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oject summary" sheetId="1" r:id="rId3"/>
    <sheet name="Hierarchy" sheetId="2" r:id="rId4"/>
    <sheet name="Parts" sheetId="3" r:id="rId5"/>
    <sheet name="Assemblies" sheetId="4" r:id="rId6"/>
    <sheet name="Materials" sheetId="5" r:id="rId7"/>
    <sheet name="Equipments" sheetId="6" r:id="rId8"/>
    <sheet name="Processes" sheetId="7" r:id="rId9"/>
    <sheet name="Components" sheetId="8" r:id="rId10"/>
    <sheet name="Consumables" sheetId="9" r:id="rId11"/>
    <sheet name="Metrics" sheetId="10" r:id="rId12"/>
    <sheet name="Exchange Rates" sheetId="11" r:id="rId13"/>
    <sheet name="Countries" sheetId="12" r:id="rId14"/>
    <sheet name="Calculation Scenarios" sheetId="13" r:id="rId15"/>
    <sheet name="Overhead Settings" sheetId="14" r:id="rId16"/>
  </sheets>
  <definedNames/>
  <calcPr fullCalcOnLoad="1"/>
</workbook>
</file>

<file path=xl/calcChain.xml><?xml version="1.0" encoding="utf-8"?>
<calcChain xmlns="http://schemas.openxmlformats.org/spreadsheetml/2006/main">
  <c r="A4" i="9" l="1"/>
</calcChain>
</file>

<file path=xl/sharedStrings.xml><?xml version="1.0" encoding="utf-8"?>
<sst xmlns="http://schemas.openxmlformats.org/spreadsheetml/2006/main" count="83252" uniqueCount="7775">
  <si>
    <t>Id</t>
  </si>
  <si>
    <t>ParentId</t>
  </si>
  <si>
    <t>Type</t>
  </si>
  <si>
    <t>ParentType</t>
  </si>
  <si>
    <t>Name</t>
  </si>
  <si>
    <t>Hierarchy</t>
  </si>
  <si>
    <t>Project</t>
  </si>
  <si>
    <t>NotSet</t>
  </si>
  <si>
    <t>Assembly</t>
  </si>
  <si>
    <t/>
  </si>
  <si>
    <t>Cooling System - Water</t>
  </si>
  <si>
    <t>Cooling System - Water &gt;  Cooling System</t>
  </si>
  <si>
    <t>Part</t>
  </si>
  <si>
    <t>Cooling System - Water &gt;  Cooling System &gt;  Radiator Support</t>
  </si>
  <si>
    <t>ID</t>
  </si>
  <si>
    <t>Parent Assembly ID</t>
  </si>
  <si>
    <t>Description</t>
  </si>
  <si>
    <t>Costs summary</t>
  </si>
  <si>
    <t>Materials cost (€)</t>
  </si>
  <si>
    <t>Components cost (€)</t>
  </si>
  <si>
    <t>Consumables cost (€)</t>
  </si>
  <si>
    <t>Material scrap (€)</t>
  </si>
  <si>
    <t>Material overhead (€)</t>
  </si>
  <si>
    <t>Total material cost (€)</t>
  </si>
  <si>
    <t>Material</t>
  </si>
  <si>
    <t>Assembly overhead (€)</t>
  </si>
  <si>
    <t>Total production cost (€)</t>
  </si>
  <si>
    <t>Production</t>
  </si>
  <si>
    <t>Manufacturing</t>
  </si>
  <si>
    <t>Manufacturing cost (€)</t>
  </si>
  <si>
    <t>Material Margin (€)</t>
  </si>
  <si>
    <t>Production margin (€)</t>
  </si>
  <si>
    <t>General overhead (€)</t>
  </si>
  <si>
    <t>Packaging cost (€)</t>
  </si>
  <si>
    <t>Transport cost (€)</t>
  </si>
  <si>
    <t>Overhead and profit</t>
  </si>
  <si>
    <t>Totals</t>
  </si>
  <si>
    <t>Total Cost (€)</t>
  </si>
  <si>
    <t>Co2 emissions summary</t>
  </si>
  <si>
    <t>Material CO2 (kgCO2e)</t>
  </si>
  <si>
    <t>Consumable CO2 (kgCO2e)</t>
  </si>
  <si>
    <t>Component CO2 (kgCO2e)</t>
  </si>
  <si>
    <t>Equipment CO2 (kgCO2e)</t>
  </si>
  <si>
    <t>Total CO2 footprint (kgCO2e)</t>
  </si>
  <si>
    <t>Overview</t>
  </si>
  <si>
    <t>Length (mm)</t>
  </si>
  <si>
    <t>Width (mm)</t>
  </si>
  <si>
    <t>Height (mm)</t>
  </si>
  <si>
    <t>Thickness (mm)</t>
  </si>
  <si>
    <t>Weight (kg)</t>
  </si>
  <si>
    <t>Details part summary</t>
  </si>
  <si>
    <t>Manufacturer</t>
  </si>
  <si>
    <t>Overhead settings</t>
  </si>
  <si>
    <t>Additional cost remarks</t>
  </si>
  <si>
    <t>Calculated total volume (qty/year)</t>
  </si>
  <si>
    <t>Add overhead and profit</t>
  </si>
  <si>
    <t>Quantity top (pcs)</t>
  </si>
  <si>
    <t>Quantity bottom (pcs)</t>
  </si>
  <si>
    <t>Calculated batch size</t>
  </si>
  <si>
    <t>Linked nodes</t>
  </si>
  <si>
    <t>Country</t>
  </si>
  <si>
    <t>Remarks</t>
  </si>
  <si>
    <t>Supplier description</t>
  </si>
  <si>
    <t>Payment terms</t>
  </si>
  <si>
    <t>Target price (€)</t>
  </si>
  <si>
    <t>Entity status</t>
  </si>
  <si>
    <t>Additional</t>
  </si>
  <si>
    <t>Components overhead (€)</t>
  </si>
  <si>
    <t>Consumables overhead (€)</t>
  </si>
  <si>
    <t>Part number</t>
  </si>
  <si>
    <t>Estimated cost (€)</t>
  </si>
  <si>
    <t>Estimated CO₂ footprint (kgCO2e)</t>
  </si>
  <si>
    <t>Functional tag</t>
  </si>
  <si>
    <t>2110-849</t>
  </si>
  <si>
    <t>0 %</t>
  </si>
  <si>
    <t>PTR - [Purchased] Mechanical Prod</t>
  </si>
  <si>
    <t>Yes</t>
  </si>
  <si>
    <t>000000007WWQEU01 (AutoReverse)</t>
  </si>
  <si>
    <t>China</t>
  </si>
  <si>
    <t>Done</t>
  </si>
  <si>
    <t>2110-854</t>
  </si>
  <si>
    <t>0000000A30L5EU01 (AutoReverse)</t>
  </si>
  <si>
    <t>Parent Project ID</t>
  </si>
  <si>
    <t>Quantity top</t>
  </si>
  <si>
    <t>Quantity bottom</t>
  </si>
  <si>
    <t>Electronic component CO2 (kgCO2e)</t>
  </si>
  <si>
    <t>Pcb part CO2 (kgCO2e)</t>
  </si>
  <si>
    <t>Details assembly summary</t>
  </si>
  <si>
    <t>Is PCBA</t>
  </si>
  <si>
    <t>2110-850</t>
  </si>
  <si>
    <t>0.000000 %</t>
  </si>
  <si>
    <t>NO MOH/SCRAP/OH/PROFIT</t>
  </si>
  <si>
    <t>No</t>
  </si>
  <si>
    <t>00000008ZE3LEU01 (AutoReverse)</t>
  </si>
  <si>
    <t>2110-763</t>
  </si>
  <si>
    <t>00000000F9RVEU01 (AutoReverse)</t>
  </si>
  <si>
    <t>0000000AXN9QEU01 (AutoReverse)</t>
  </si>
  <si>
    <t xml:space="preserve"> Noise Insulation System </t>
  </si>
  <si>
    <t xml:space="preserve"> Noise Insulation System  &gt;  On Front e-motor </t>
  </si>
  <si>
    <t>Process</t>
  </si>
  <si>
    <t xml:space="preserve"> Noise Insulation System  &gt;  On Front e-motor  &gt; Main Sound Insulation</t>
  </si>
  <si>
    <t>Parent process ID</t>
  </si>
  <si>
    <t>Price €</t>
  </si>
  <si>
    <t>Net quantity (Unit)</t>
  </si>
  <si>
    <t>Yield (%)</t>
  </si>
  <si>
    <t>Gross quantity (Unit)</t>
  </si>
  <si>
    <t>Scrap refund ratio (%)</t>
  </si>
  <si>
    <t>Reject ratio (%)</t>
  </si>
  <si>
    <t>Quantity (pcs)</t>
  </si>
  <si>
    <t>Process loss (%)</t>
  </si>
  <si>
    <t>Material CO₂ footprint (kgCO₂e)</t>
  </si>
  <si>
    <t>Metric</t>
  </si>
  <si>
    <t>Remark</t>
  </si>
  <si>
    <t>Usage</t>
  </si>
  <si>
    <t>Details material summary</t>
  </si>
  <si>
    <t>Scrap refund (€)</t>
  </si>
  <si>
    <t>CO₂ emissions summary</t>
  </si>
  <si>
    <t>Circular CO₂ Footprint (kgCO₂e)</t>
  </si>
  <si>
    <t>Direct Recycling CO₂ Footprint (kgCO₂e)</t>
  </si>
  <si>
    <t>Indirect Recycling CO₂ Footprint (kgCO₂e)</t>
  </si>
  <si>
    <t>Primary Material Footprint (kgCO₂e)</t>
  </si>
  <si>
    <t>Total CO₂ footprint (kgCO₂e)</t>
  </si>
  <si>
    <t>Recycling</t>
  </si>
  <si>
    <t>Direct recycling ratio (%)</t>
  </si>
  <si>
    <t>Indirect recycling ratio (%)</t>
  </si>
  <si>
    <t>Circular material ratio (%)</t>
  </si>
  <si>
    <t>Standard Names</t>
  </si>
  <si>
    <t>United Kingdom</t>
  </si>
  <si>
    <t>Europe</t>
  </si>
  <si>
    <t>United States</t>
  </si>
  <si>
    <t>Other</t>
  </si>
  <si>
    <t>Region Name</t>
  </si>
  <si>
    <t>Package</t>
  </si>
  <si>
    <t>Gross Material Cost (€)</t>
  </si>
  <si>
    <t>0.48000 kg</t>
  </si>
  <si>
    <t>0.5454545454545454545454545455 kg</t>
  </si>
  <si>
    <t>Not set</t>
  </si>
  <si>
    <t>3.500000 %</t>
  </si>
  <si>
    <t>6.000000 %</t>
  </si>
  <si>
    <t>12.000000 %</t>
  </si>
  <si>
    <t>CH</t>
  </si>
  <si>
    <t>Default package</t>
  </si>
  <si>
    <t xml:space="preserve"> Noise Insulation System  &gt;  On Front e-motor  &gt; Main Sound Insulation &gt; Process</t>
  </si>
  <si>
    <t>Manufacturing year</t>
  </si>
  <si>
    <t>Technology</t>
  </si>
  <si>
    <t>Fixed cost (€)</t>
  </si>
  <si>
    <t>Fixed CO₂ cost (kgCO₂e)</t>
  </si>
  <si>
    <t>Variable cost (€)</t>
  </si>
  <si>
    <t>Hourly rate tooling (€/h)</t>
  </si>
  <si>
    <t>Hourly rate (€/h)</t>
  </si>
  <si>
    <t>Hourly CO₂ footprint (kgCO₂e)</t>
  </si>
  <si>
    <t>Equipment cost (€)</t>
  </si>
  <si>
    <t>Labor cost (€)</t>
  </si>
  <si>
    <t>Setup cost (€)</t>
  </si>
  <si>
    <t>Total investment (€)</t>
  </si>
  <si>
    <t>Tool investment (€)</t>
  </si>
  <si>
    <t>Number of uses (qty)</t>
  </si>
  <si>
    <t>Investment remarks</t>
  </si>
  <si>
    <t>Setup time (s)</t>
  </si>
  <si>
    <t>Depreciation time (years)</t>
  </si>
  <si>
    <t>Utilization (%)</t>
  </si>
  <si>
    <t>Maintenance rate (1-shift) (%)</t>
  </si>
  <si>
    <t>Maintenance rate (2-shift) (%)</t>
  </si>
  <si>
    <t>Maintenance rate (3-shift) (%)</t>
  </si>
  <si>
    <t>Invest and setup</t>
  </si>
  <si>
    <t>Number of engineer operators</t>
  </si>
  <si>
    <t>Number of low skilled operators</t>
  </si>
  <si>
    <t>Number of skilled operators</t>
  </si>
  <si>
    <t>Number of technician operators</t>
  </si>
  <si>
    <t>Number of unskilled operators</t>
  </si>
  <si>
    <t>Number of engineer operators for setup</t>
  </si>
  <si>
    <t>Number of low skilled operators for setup</t>
  </si>
  <si>
    <t>Number of skilled operators for setup</t>
  </si>
  <si>
    <t>Number of technician operators for setup</t>
  </si>
  <si>
    <t>Number of unskilled operators for setup</t>
  </si>
  <si>
    <t>Labor</t>
  </si>
  <si>
    <t>Average energy consumption ratio (%)</t>
  </si>
  <si>
    <t>Electrical power consumption (Kw)</t>
  </si>
  <si>
    <t>Gas consumption (m³/h)</t>
  </si>
  <si>
    <t>Technical gas consumption (m³/h)</t>
  </si>
  <si>
    <t>Oil consumption (L/h)</t>
  </si>
  <si>
    <t>Air consumption (m³/h)</t>
  </si>
  <si>
    <t>Heating oil consumption (m³/h)</t>
  </si>
  <si>
    <t>Water consumption (m³/h)</t>
  </si>
  <si>
    <t>Total workspace area (m²)</t>
  </si>
  <si>
    <t>Consumable cost (€/h)</t>
  </si>
  <si>
    <t>Resource consumption</t>
  </si>
  <si>
    <t>CO₂ capex (kgCO₂e)</t>
  </si>
  <si>
    <t>CO₂ footprint</t>
  </si>
  <si>
    <t>Equipment</t>
  </si>
  <si>
    <t>Parent line item ID</t>
  </si>
  <si>
    <t>CO2 emissions summary</t>
  </si>
  <si>
    <t>Details process summary</t>
  </si>
  <si>
    <t>Cycle time (s)</t>
  </si>
  <si>
    <t>Parts per cycle</t>
  </si>
  <si>
    <t>Accumulated reject ratio (%)</t>
  </si>
  <si>
    <t>Calculated total process setup time (s)</t>
  </si>
  <si>
    <t>Unit count</t>
  </si>
  <si>
    <t>Setups per batch</t>
  </si>
  <si>
    <t>2110-798</t>
  </si>
  <si>
    <t>000000089WJUEU01 (AutoReverse)</t>
  </si>
  <si>
    <t>2110-799</t>
  </si>
  <si>
    <t>0000000AENXVEU01 (AutoReverse)</t>
  </si>
  <si>
    <t xml:space="preserve"> Noise Insulation System  &gt; On Rear e-Motor</t>
  </si>
  <si>
    <t>2110-815</t>
  </si>
  <si>
    <t>00000001NTWPEU01 (AutoReverse)</t>
  </si>
  <si>
    <t>2110-816</t>
  </si>
  <si>
    <t>00000001UVY9EU01 (AutoReverse)</t>
  </si>
  <si>
    <t>2110-800</t>
  </si>
  <si>
    <t>00000007PR19EU01 (AutoReverse)</t>
  </si>
  <si>
    <t>Pedals System</t>
  </si>
  <si>
    <t>Pedals System &gt; Brake Pedal Box</t>
  </si>
  <si>
    <t>00000008NJ4KEU01 (AutoReverse)</t>
  </si>
  <si>
    <t>PTR - [Purchased] Assembly</t>
  </si>
  <si>
    <t>00000000QD0NEU01 (AutoReverse)</t>
  </si>
  <si>
    <t>to be filled manually</t>
  </si>
  <si>
    <t>0.500000 %</t>
  </si>
  <si>
    <t>2.000000 %</t>
  </si>
  <si>
    <t>Part overheads (default)</t>
  </si>
  <si>
    <t>Assembly (default)</t>
  </si>
  <si>
    <t>00000004ZTQ8EU01 (AutoReverse)</t>
  </si>
  <si>
    <t>Pedals System &gt; Accelerator Pedal</t>
  </si>
  <si>
    <t>000000055SXQEU01 (AutoReverse)</t>
  </si>
  <si>
    <t>Folder</t>
  </si>
  <si>
    <t>00000000MZAPEU01 (AutoReverse)</t>
  </si>
  <si>
    <t>00000004CYRSEU01 (AutoReverse)</t>
  </si>
  <si>
    <t xml:space="preserve">Air Conditioning System </t>
  </si>
  <si>
    <t>Air Conditioning System  &gt;  AC Line</t>
  </si>
  <si>
    <t>Air Conditioning System  &gt;  AC Line &gt;  High Pressure AC Lines</t>
  </si>
  <si>
    <t>2110-1394</t>
  </si>
  <si>
    <t>00000001ZGE7EU01 (AutoReverse)</t>
  </si>
  <si>
    <t>2110-1341</t>
  </si>
  <si>
    <t>00000005P499EU01 (AutoReverse)</t>
  </si>
  <si>
    <t>2110-1254</t>
  </si>
  <si>
    <t>00000005EX9FEU01 (AutoReverse)</t>
  </si>
  <si>
    <t>2110-1255</t>
  </si>
  <si>
    <t>00000003P3NXEU01 (AutoReverse)</t>
  </si>
  <si>
    <t>Air Conditioning System  &gt;  AC Line &gt;  Low Pressure AC Lines</t>
  </si>
  <si>
    <t>2110-1468</t>
  </si>
  <si>
    <t>000000031UBSEU01 (AutoReverse)</t>
  </si>
  <si>
    <t>2110-1433</t>
  </si>
  <si>
    <t>00000006928EEU01 (AutoReverse)</t>
  </si>
  <si>
    <t>2110-1271</t>
  </si>
  <si>
    <t>00000009UZQQEU01 (AutoReverse)</t>
  </si>
  <si>
    <t>2110-1272</t>
  </si>
  <si>
    <t>00000003GAA8EU01 (AutoReverse)</t>
  </si>
  <si>
    <t>2110-1256</t>
  </si>
  <si>
    <t>0000000AIY9IEU01 (AutoReverse)</t>
  </si>
  <si>
    <t>Air Conditioning System  &gt;  Valve System</t>
  </si>
  <si>
    <t>2110-1289</t>
  </si>
  <si>
    <t>00000001PMRWEU01 (AutoReverse)</t>
  </si>
  <si>
    <t>2110-1294</t>
  </si>
  <si>
    <t>00000000E0VAEU01 (AutoReverse)</t>
  </si>
  <si>
    <t>2110-1298</t>
  </si>
  <si>
    <t>0000000292WREU01 (AutoReverse)</t>
  </si>
  <si>
    <t>2110-1290</t>
  </si>
  <si>
    <t>000000082W91EU01 (AutoReverse)</t>
  </si>
  <si>
    <t>2110-1337</t>
  </si>
  <si>
    <t>00000007UC5FEU01 (AutoReverse)</t>
  </si>
  <si>
    <t>2110-1326</t>
  </si>
  <si>
    <t>00000008OX0VEU01 (AutoReverse)</t>
  </si>
  <si>
    <t>2110-1327</t>
  </si>
  <si>
    <t>00000004T97EEU01 (AutoReverse)</t>
  </si>
  <si>
    <t>2110-1028</t>
  </si>
  <si>
    <t>000000033AMVEU01 (AutoReverse)</t>
  </si>
  <si>
    <t>2110-1033</t>
  </si>
  <si>
    <t>00000000MLZXEU01 (AutoReverse)</t>
  </si>
  <si>
    <t>2110-1452</t>
  </si>
  <si>
    <t>00000002WNWZEU01 (AutoReverse)</t>
  </si>
  <si>
    <t>2110-1463</t>
  </si>
  <si>
    <t>00000001MOCREU01 (AutoReverse)</t>
  </si>
  <si>
    <t>2110-1482</t>
  </si>
  <si>
    <t>00000005C7DJEU01 (AutoReverse)</t>
  </si>
  <si>
    <t>Air Conditioning System  &gt;  Condenser</t>
  </si>
  <si>
    <t>2.17300 kg</t>
  </si>
  <si>
    <t>2.4144444444444444444444444444 kg</t>
  </si>
  <si>
    <t>Air Conditioning System  &gt;  Condenser &gt; Process</t>
  </si>
  <si>
    <t>2110-1204</t>
  </si>
  <si>
    <t>0000000ADQQ1EU01 (AutoReverse)</t>
  </si>
  <si>
    <t>Air Conditioning System  &gt;  Condenser Protection</t>
  </si>
  <si>
    <t>0.47500 kg</t>
  </si>
  <si>
    <t>0.5 kg</t>
  </si>
  <si>
    <t>Air Conditioning System  &gt;  Condenser Protection &gt; Process</t>
  </si>
  <si>
    <t>2110-866</t>
  </si>
  <si>
    <t>00000001U1EKEU01 (AutoReverse)</t>
  </si>
  <si>
    <t>2110-867</t>
  </si>
  <si>
    <t>0000000AC1V2EU01 (AutoReverse)</t>
  </si>
  <si>
    <t>Brakes Mechanism</t>
  </si>
  <si>
    <t>Brakes Mechanism &gt; Master Cylinder</t>
  </si>
  <si>
    <t>Brakes Mechanism &gt; Master Cylinder &gt; Brake Fluid Reservoir System</t>
  </si>
  <si>
    <t>A00000168BZXEU02 (AutoReverse)</t>
  </si>
  <si>
    <t>A00000168BZYEU02 (AutoReverse)</t>
  </si>
  <si>
    <t>A00000168C14EU02 (AutoReverse)</t>
  </si>
  <si>
    <t>A00000168BZWEU02 (AutoReverse)</t>
  </si>
  <si>
    <t>Brakes Mechanism &gt; Master Cylinder &gt; Electric Brake Booster System</t>
  </si>
  <si>
    <t>Brakes Mechanism &gt; Master Cylinder &gt; Electric Brake Booster System &gt; Electric Brake Booster</t>
  </si>
  <si>
    <t>1.00000 kg</t>
  </si>
  <si>
    <t>1 kg</t>
  </si>
  <si>
    <t>Brakes Mechanism &gt; Master Cylinder &gt; Electric Brake Booster System &gt; Electric Brake Booster &gt; Process</t>
  </si>
  <si>
    <t>A00000168C17EU02 (AutoReverse)</t>
  </si>
  <si>
    <t>A00000168BZZEU02 (AutoReverse)</t>
  </si>
  <si>
    <t>00000001ACG6EU01 (AutoReverse)</t>
  </si>
  <si>
    <t>00000003ECPGEU01 (AutoReverse)</t>
  </si>
  <si>
    <t>00000005561TEU01 (AutoReverse)</t>
  </si>
  <si>
    <t>Brakes Mechanism &gt; ABS System</t>
  </si>
  <si>
    <t>Brakes Mechanism &gt; ABS System &gt; ABS Pump</t>
  </si>
  <si>
    <t>Brakes Mechanism &gt; ABS System &gt; ABS Pump &gt; Process</t>
  </si>
  <si>
    <t>000000005KDLEU01 (AutoReverse)</t>
  </si>
  <si>
    <t>00000002EHS8EU01 (AutoReverse)</t>
  </si>
  <si>
    <t>00000004S4CMEU01 (AutoReverse)</t>
  </si>
  <si>
    <t>000000036HCZEU01 (AutoReverse)</t>
  </si>
  <si>
    <t>Brakes Mechanism &gt; Brake Line System</t>
  </si>
  <si>
    <t>00000001ZH0KEU01 (AutoReverse)</t>
  </si>
  <si>
    <t>0000000408U9EU01 (AutoReverse)</t>
  </si>
  <si>
    <t>00000003XPM2EU01 (AutoReverse)</t>
  </si>
  <si>
    <t>0000000AA1A9EU01 (AutoReverse)</t>
  </si>
  <si>
    <t>00000003NMBDEU01 (AutoReverse)</t>
  </si>
  <si>
    <t>00000009MXC4EU01 (AutoReverse)</t>
  </si>
  <si>
    <t>00000000CZE6EU01 (AutoReverse)</t>
  </si>
  <si>
    <t>00000009XPNZEU01 (AutoReverse)</t>
  </si>
  <si>
    <t>00000001KGRDEU01 (AutoReverse)</t>
  </si>
  <si>
    <t>00000002COIBEU01 (AutoReverse)</t>
  </si>
  <si>
    <t>00000001LAA0EU01 (AutoReverse)</t>
  </si>
  <si>
    <t>Brakes Mechanism &gt; Front Brakes</t>
  </si>
  <si>
    <t>Brakes Mechanism &gt; Front Brakes &gt; Brake Caliper L</t>
  </si>
  <si>
    <t>Brakes Mechanism &gt; Front Brakes &gt; Brake Caliper L &gt; Brake Pads</t>
  </si>
  <si>
    <t>000000039XVEEU01 (AutoReverse)</t>
  </si>
  <si>
    <t>0000000181PYEU01 (AutoReverse)</t>
  </si>
  <si>
    <t>00000007LQV2EU01 (AutoReverse)</t>
  </si>
  <si>
    <t>Brakes Mechanism &gt; Front Brakes &gt; Brake Caliper L &gt; Caliper Body</t>
  </si>
  <si>
    <t>Brakes Mechanism &gt; Front Brakes &gt; Brake Caliper L &gt; Caliper Body &gt; Process</t>
  </si>
  <si>
    <t>A000000QDSHIEU02 (AutoReverse)</t>
  </si>
  <si>
    <t>Brakes Mechanism &gt; Front Brakes &gt; Brake Caliper L &gt; Caliper Frame</t>
  </si>
  <si>
    <t>Brakes Mechanism &gt; Front Brakes &gt; Brake Caliper L &gt; Caliper Frame &gt; Process</t>
  </si>
  <si>
    <t>A000000QDSHJEU02 (AutoReverse)</t>
  </si>
  <si>
    <t>00000001EP7PEU01 (AutoReverse)</t>
  </si>
  <si>
    <t>Brakes Mechanism &gt; Front Brakes &gt; Hose Support</t>
  </si>
  <si>
    <t>00000005UQ26EU01 (AutoReverse)</t>
  </si>
  <si>
    <t>00000006T9FREU01 (AutoReverse)</t>
  </si>
  <si>
    <t>00000008VEPXEU01 (AutoReverse)</t>
  </si>
  <si>
    <t>Brakes Mechanism &gt; Front Brakes &gt; Brake Caliper R]</t>
  </si>
  <si>
    <t>Brakes Mechanism &gt; Front Brakes &gt; Brake Caliper R] &gt; Brake Pads</t>
  </si>
  <si>
    <t>NO Scrap/MOH/OH/Profit</t>
  </si>
  <si>
    <t>Brakes Mechanism &gt; Front Brakes &gt; Brake Caliper R] &gt; Caliper Body</t>
  </si>
  <si>
    <t>Brakes Mechanism &gt; Front Brakes &gt; Brake Caliper R] &gt; Caliper Body &gt; Process</t>
  </si>
  <si>
    <t>Brakes Mechanism &gt; Front Brakes &gt; Brake Caliper R] &gt; Caliper Frame</t>
  </si>
  <si>
    <t>Brakes Mechanism &gt; Front Brakes &gt; Brake Caliper R] &gt; Caliper Frame &gt; Process</t>
  </si>
  <si>
    <t>Assembly overheads (default)</t>
  </si>
  <si>
    <t>Brakes Mechanism &gt; Front Brakes &gt; Disc</t>
  </si>
  <si>
    <t>Brakes Mechanism &gt; Front Brakes &gt; Disc &gt; Process</t>
  </si>
  <si>
    <t>00000002X5HGEU01 (AutoReverse)</t>
  </si>
  <si>
    <t>000000054R8UEU01 (AutoReverse)</t>
  </si>
  <si>
    <t>00000003Z5UAEU01 (AutoReverse)</t>
  </si>
  <si>
    <t>00000007MX7QEU01 (AutoReverse)</t>
  </si>
  <si>
    <t>000000060LDREU01 (AutoReverse)</t>
  </si>
  <si>
    <t>Brakes Mechanism &gt; Rear Brakes</t>
  </si>
  <si>
    <t>Brakes Mechanism &gt; Rear Brakes &gt; Drums system</t>
  </si>
  <si>
    <t>Brakes Mechanism &gt; Rear Brakes &gt; Drums system &gt; Shoe Assy</t>
  </si>
  <si>
    <t>Brakes Mechanism &gt; Rear Brakes &gt; Drums system &gt; Shoe Assy &gt; Shoes</t>
  </si>
  <si>
    <t>Brakes Mechanism &gt; Rear Brakes &gt; Drums system &gt; Shoe Assy &gt; Shoes &gt; Process</t>
  </si>
  <si>
    <t>00000004FGFEEU01 (AutoReverse)</t>
  </si>
  <si>
    <t>00000007RX01EU01 (AutoReverse)</t>
  </si>
  <si>
    <t>Brakes Mechanism &gt; Rear Brakes &gt; Drums system &gt; Drum</t>
  </si>
  <si>
    <t>Brakes Mechanism &gt; Rear Brakes &gt; Drums system &gt; Drum &gt; Process</t>
  </si>
  <si>
    <t>00000003UPKWEU01 (AutoReverse)</t>
  </si>
  <si>
    <t>00000001M5O3EU01 (AutoReverse)</t>
  </si>
  <si>
    <t>000000AP1BC8EU02 (AutoReverse)</t>
  </si>
  <si>
    <t>000000AP1BC9EU02 (AutoReverse)</t>
  </si>
  <si>
    <t>000000038D0TEU01 (AutoReverse)</t>
  </si>
  <si>
    <t>Brakes Mechanism &gt; Rear Brakes &gt; ABS Wiring Supports</t>
  </si>
  <si>
    <t>00000005IJNSEU01 (AutoReverse)</t>
  </si>
  <si>
    <t>00000009RO5CEU01 (AutoReverse)</t>
  </si>
  <si>
    <t>00000006KRNZEU01 (AutoReverse)</t>
  </si>
  <si>
    <t>00000005C9ZAEU01 (AutoReverse)</t>
  </si>
  <si>
    <t>00000004IRD9EU01 (AutoReverse)</t>
  </si>
  <si>
    <t>00000008Y4Y7EU01 (AutoReverse)</t>
  </si>
  <si>
    <t>00000004VBMZEU01 (AutoReverse)</t>
  </si>
  <si>
    <t>00000006R1ISEU01 (AutoReverse)</t>
  </si>
  <si>
    <t>Suspension</t>
  </si>
  <si>
    <t>Suspension &gt; Shocks absorbers</t>
  </si>
  <si>
    <t>Suspension &gt; Shocks absorbers &gt; Front</t>
  </si>
  <si>
    <t>Suspension &gt; Shocks absorbers &gt; Front &gt; Shock Absorber</t>
  </si>
  <si>
    <t>Suspension &gt; Shocks absorbers &gt; Front &gt; Shock Absorber &gt; Process</t>
  </si>
  <si>
    <t>Reviewed</t>
  </si>
  <si>
    <t>00000000DXUVEU01 (AutoReverse)</t>
  </si>
  <si>
    <t>00000007YAH2EU01 (AutoReverse)</t>
  </si>
  <si>
    <t>00000006A5KYEU01 (AutoReverse)</t>
  </si>
  <si>
    <t>0000000388ZBEU01 (AutoReverse)</t>
  </si>
  <si>
    <t>00000001Z5QUEU01 (AutoReverse)</t>
  </si>
  <si>
    <t>00000003NB17EU01 (AutoReverse)</t>
  </si>
  <si>
    <t>00000000Y43PEU01 (AutoReverse)</t>
  </si>
  <si>
    <t>00000008IHTTEU01 (AutoReverse)</t>
  </si>
  <si>
    <t>0000000AVM6SEU01 (AutoReverse)</t>
  </si>
  <si>
    <t>000000081O88EU01 (AutoReverse)</t>
  </si>
  <si>
    <t>00000000WWSUEU01 (AutoReverse)</t>
  </si>
  <si>
    <t>Suspension &gt; Shocks absorbers &gt; Front &gt; Process</t>
  </si>
  <si>
    <t>000000084GPDEU01 (AutoReverse)</t>
  </si>
  <si>
    <t>Suspension &gt; Shocks absorbers &gt; Rear</t>
  </si>
  <si>
    <t>Suspension &gt; Shocks absorbers &gt; Rear &gt; Shock Absorber</t>
  </si>
  <si>
    <t>Suspension &gt; Shocks absorbers &gt; Rear &gt; Shock Absorber &gt; Process</t>
  </si>
  <si>
    <t>000000058AGBEU01 (AutoReverse)</t>
  </si>
  <si>
    <t>00000000MXOXEU01 (AutoReverse)</t>
  </si>
  <si>
    <t>00000007KK2PEU01 (AutoReverse)</t>
  </si>
  <si>
    <t>00000003GQ1FEU01 (AutoReverse)</t>
  </si>
  <si>
    <t>00000001D4KAEU01 (AutoReverse)</t>
  </si>
  <si>
    <t>000000042IVNEU01 (AutoReverse)</t>
  </si>
  <si>
    <t>00000004NNZVEU01 (AutoReverse)</t>
  </si>
  <si>
    <t>Suspension &gt; Shocks absorbers &gt; Rear &gt; Process</t>
  </si>
  <si>
    <t>00000002X1OHEU01 (AutoReverse)</t>
  </si>
  <si>
    <t>00000002E4VDEU01 (AutoReverse)</t>
  </si>
  <si>
    <t>Suspension &gt; Axles</t>
  </si>
  <si>
    <t>Suspension &gt; Axles &gt; Front Axle</t>
  </si>
  <si>
    <t>Suspension &gt; Axles &gt; Front Axle &gt; K-Frame Reinforcement System</t>
  </si>
  <si>
    <t>00000007WNBPEU01 (AutoReverse)</t>
  </si>
  <si>
    <t>000000069NHAEU01 (AutoReverse)</t>
  </si>
  <si>
    <t>00000009VFG0EU01 (AutoReverse)</t>
  </si>
  <si>
    <t>Suspension &gt; Axles &gt; Front Axle &gt; Arm Suspension System</t>
  </si>
  <si>
    <t>Suspension &gt; Axles &gt; Front Axle &gt; Arm Suspension System &gt; Left Lower Triangle</t>
  </si>
  <si>
    <t>Suspension &gt; Axles &gt; Front Axle &gt; Arm Suspension System &gt; Left Lower Triangle &gt; Process</t>
  </si>
  <si>
    <t>00000008NOJHEU01 (AutoReverse)</t>
  </si>
  <si>
    <t>0000000A0U3CEU01 (AutoReverse)</t>
  </si>
  <si>
    <t>Suspension &gt; Axles &gt; Front Axle &gt; Stabilizer Bar System</t>
  </si>
  <si>
    <t>Suspension &gt; Axles &gt; Front Axle &gt; Stabilizer Bar System &gt; Stabilizer Bar, Rubber Mounts and Brackets</t>
  </si>
  <si>
    <t>Suspension &gt; Axles &gt; Front Axle &gt; Stabilizer Bar System &gt; Stabilizer Bar, Rubber Mounts and Brackets &gt; Process</t>
  </si>
  <si>
    <t>00000006F0C7EU01 (AutoReverse)</t>
  </si>
  <si>
    <t>00000000VSBEEU01 (AutoReverse)</t>
  </si>
  <si>
    <t>00000004GB7EEU01 (AutoReverse)</t>
  </si>
  <si>
    <t>Suspension &gt; Axles &gt; Front Axle &gt; Steering Knuckle</t>
  </si>
  <si>
    <t>Suspension &gt; Axles &gt; Front Axle &gt; Steering Knuckle &gt; Steering Knuckle</t>
  </si>
  <si>
    <t>Suspension &gt; Axles &gt; Front Axle &gt; Steering Knuckle &gt; Steering Knuckle &gt; Process</t>
  </si>
  <si>
    <t>00000009GUYTEU01 (AutoReverse)</t>
  </si>
  <si>
    <t>Suspension &gt; Axles &gt; Front Axle &gt; Steering Knuckle &gt; Hub and Bearing</t>
  </si>
  <si>
    <t>Suspension &gt; Axles &gt; Front Axle &gt; Steering Knuckle &gt; Hub and Bearing &gt; Process</t>
  </si>
  <si>
    <t>0000000AJ202EU01 (AutoReverse)</t>
  </si>
  <si>
    <t>00000001WXUFEU01 (AutoReverse)</t>
  </si>
  <si>
    <t>Suspension &gt; Axles &gt; Front Axle &gt; K-Frame</t>
  </si>
  <si>
    <t>Suspension &gt; Axles &gt; Front Axle &gt; K-Frame &gt; K-Frame Parts</t>
  </si>
  <si>
    <t>Suspension &gt; Axles &gt; Front Axle &gt; K-Frame &gt; K-Frame Parts &gt; Process</t>
  </si>
  <si>
    <t>Suspension &gt; Axles &gt; Front Axle &gt; K-Frame &gt; Assembly</t>
  </si>
  <si>
    <t>000000090CWHEU01 (AutoReverse)</t>
  </si>
  <si>
    <t>00000008M8THEU01 (AutoReverse)</t>
  </si>
  <si>
    <t>00000008AOC4EU01 (AutoReverse)</t>
  </si>
  <si>
    <t>00000008CE6LEU01 (AutoReverse)</t>
  </si>
  <si>
    <t>Suspension &gt; Axles &gt; Rear Axle</t>
  </si>
  <si>
    <t>Suspension &gt; Axles &gt; Rear Axle &gt; Arm Suspension System</t>
  </si>
  <si>
    <t>Suspension &gt; Axles &gt; Rear Axle &gt; Arm Suspension System &gt; Upper Transversal Arm</t>
  </si>
  <si>
    <t>Suspension &gt; Axles &gt; Rear Axle &gt; Arm Suspension System &gt; Upper Transversal Arm &gt; Process</t>
  </si>
  <si>
    <t>0000000A1KZBEU01 (AutoReverse)</t>
  </si>
  <si>
    <t>Suspension &gt; Axles &gt; Rear Axle &gt; Arm Suspension System &gt; Upper Transversal Arm Secondary</t>
  </si>
  <si>
    <t>Suspension &gt; Axles &gt; Rear Axle &gt; Arm Suspension System &gt; Upper Transversal Arm Secondary &gt; Process</t>
  </si>
  <si>
    <t>0000000ACPV6EU01 (AutoReverse)</t>
  </si>
  <si>
    <t>00000002H7VSEU01 (AutoReverse)</t>
  </si>
  <si>
    <t>000000099WSEEU01 (AutoReverse)</t>
  </si>
  <si>
    <t>00000001U000EU01 (AutoReverse)</t>
  </si>
  <si>
    <t>00000000OWRMEU01 (AutoReverse)</t>
  </si>
  <si>
    <t>Suspension &gt; Axles &gt; Rear Axle &gt; Stabilizer Bar System</t>
  </si>
  <si>
    <t>Suspension &gt; Axles &gt; Rear Axle &gt; Stabilizer Bar System &gt; Stabilizer Bar</t>
  </si>
  <si>
    <t>Suspension &gt; Axles &gt; Rear Axle &gt; Stabilizer Bar System &gt; Stabilizer Bar &gt; Process</t>
  </si>
  <si>
    <t>00000001J77CEU01 (AutoReverse)</t>
  </si>
  <si>
    <t>00000001LGL1EU01 (AutoReverse)</t>
  </si>
  <si>
    <t>00000006S6QLEU01 (AutoReverse)</t>
  </si>
  <si>
    <t>000000073WT6EU01 (AutoReverse)</t>
  </si>
  <si>
    <t>Suspension &gt; Axles &gt; Rear Axle &gt; Axle Cover/Aerodynamics Screen</t>
  </si>
  <si>
    <t>00000004GZ3BEU01 (AutoReverse)</t>
  </si>
  <si>
    <t>000000035CRIEU01 (AutoReverse)</t>
  </si>
  <si>
    <t>Suspension &gt; Axles &gt; Rear Axle &gt; Rear Axle</t>
  </si>
  <si>
    <t>Suspension &gt; Axles &gt; Rear Axle &gt; Rear Axle &gt; Rear Axle Parts</t>
  </si>
  <si>
    <t>Suspension &gt; Axles &gt; Rear Axle &gt; Rear Axle &gt; Rear Axle Parts &gt; Process</t>
  </si>
  <si>
    <t>Suspension &gt; Axles &gt; Rear Axle &gt; Rear Axle &gt; Assembly</t>
  </si>
  <si>
    <t>00000000EJ88EU01 (AutoReverse)</t>
  </si>
  <si>
    <t>Suspension &gt; Axles &gt; Rear Axle &gt; Bearing Hub</t>
  </si>
  <si>
    <t>Suspension &gt; Axles &gt; Rear Axle &gt; Bearing Hub &gt; Process [2]</t>
  </si>
  <si>
    <t>000000004NJXEU01 (AutoReverse)</t>
  </si>
  <si>
    <t>Suspension &gt; Axles &gt; Rear Axle &gt; Knuckle Right</t>
  </si>
  <si>
    <t>Suspension &gt; Axles &gt; Rear Axle &gt; Knuckle Right &gt; Process [2]</t>
  </si>
  <si>
    <t xml:space="preserve">Suspension &gt; Axles &gt; Rear Axle &gt; Knuckle Right </t>
  </si>
  <si>
    <t>Suspension &gt; Axles &gt; Rear Axle &gt; Knuckle Right  &gt; Process</t>
  </si>
  <si>
    <t>00000003J1E1EU01 (AutoReverse)</t>
  </si>
  <si>
    <t>00000004A0W9EU01 (AutoReverse)</t>
  </si>
  <si>
    <t>Suspension &gt; Wheels</t>
  </si>
  <si>
    <t>Suspension &gt; Wheels &gt; Wheels</t>
  </si>
  <si>
    <t>Suspension &gt; Wheels &gt; Wheels &gt; Rim</t>
  </si>
  <si>
    <t>Suspension &gt; Wheels &gt; Wheels &gt; Rim &gt; Process</t>
  </si>
  <si>
    <t>00000002H14MEU01 (AutoReverse)</t>
  </si>
  <si>
    <t>00000005XDXHEU01 (AutoReverse)</t>
  </si>
  <si>
    <t>00000007L0RAEU01 (AutoReverse)</t>
  </si>
  <si>
    <t>00000002TSC2EU01 (AutoReverse)</t>
  </si>
  <si>
    <t>0000000A4TJQEU01 (AutoReverse)</t>
  </si>
  <si>
    <t>00000002PRP8EU01 (AutoReverse)</t>
  </si>
  <si>
    <t>00000001S4IKEU01 (AutoReverse)</t>
  </si>
  <si>
    <t>Steering System</t>
  </si>
  <si>
    <t>Steering System &gt; Steering Shaft Assembly</t>
  </si>
  <si>
    <t>Steering System &gt; Steering Shaft Assembly &gt; Column Covers</t>
  </si>
  <si>
    <t>Steering System &gt; Steering Shaft Assembly &gt; Column Covers &gt; Steering Switch Cover</t>
  </si>
  <si>
    <t>Steering System &gt; Steering Shaft Assembly &gt; Column Covers &gt; Steering Switch Cover &gt; Steering Switch Covers Lower</t>
  </si>
  <si>
    <t>Steering System &gt; Steering Shaft Assembly &gt; Column Covers &gt; Steering Switch Cover &gt; Steering Switch Covers Lower &gt; Cover</t>
  </si>
  <si>
    <t>0.25500 kg</t>
  </si>
  <si>
    <t>0.2601000416160066585610653698 kg</t>
  </si>
  <si>
    <t>Steering System &gt; Steering Shaft Assembly &gt; Column Covers &gt; Steering Switch Cover &gt; Steering Switch Covers Lower &gt; Cover &gt; Injection molding</t>
  </si>
  <si>
    <t>2022</t>
  </si>
  <si>
    <t>Insert: 0.00 s, Closing: 3.75 s, Injection: 2.37 s, Cooling: 13.38 s, Opening: 1.88 s, Ejection: 0.32 s, Removal: 2.00 s. Default reject ratio based on industry average: 2%</t>
  </si>
  <si>
    <t>Interior - Part (default)</t>
  </si>
  <si>
    <t>00000000X85KEU01 (AutoReverse)</t>
  </si>
  <si>
    <t>Steering System &gt; Steering Shaft Assembly &gt; Column Covers &gt; Steering Switch Cover &gt; Steering Switch Covers Lower &gt; Shock Absorbers</t>
  </si>
  <si>
    <t>0.22000 kg</t>
  </si>
  <si>
    <t>0.2933333333333333333333333333 kg</t>
  </si>
  <si>
    <t>Steering System &gt; Steering Shaft Assembly &gt; Column Covers &gt; Steering Switch Cover &gt; Steering Switch Covers Lower &gt; Shock Absorbers &gt; Stamping</t>
  </si>
  <si>
    <t>Steering System &gt; Steering Shaft Assembly &gt; Column Covers &gt; Steering Switch Cover &gt; Steering Switch Covers Lower &gt; Shock Absorbers &gt; Cleaning</t>
  </si>
  <si>
    <t xml:space="preserve">polyurethane
For Calculation, Use the weight from CAD or Supplier. Clearly mention the assumption for the density in weight calculation. </t>
  </si>
  <si>
    <t>0.05000 kg</t>
  </si>
  <si>
    <t>0.0526315789473684210526315789 kg</t>
  </si>
  <si>
    <t>Polyurethan</t>
  </si>
  <si>
    <t>Steering System &gt; Steering Shaft Assembly &gt; Column Covers &gt; Steering Switch Cover &gt; Steering Switch Covers Lower &gt; Shock Absorbers &gt; Injection foam carrousel</t>
  </si>
  <si>
    <t xml:space="preserve">Injection of poliurethane process into the mold </t>
  </si>
  <si>
    <t>0000000231W3EU01 (AutoReverse)</t>
  </si>
  <si>
    <t>00000006CCXLEU01 (AutoReverse)</t>
  </si>
  <si>
    <t>Steering System &gt; Steering Shaft Assembly &gt; Column Covers &gt; Steering Switch Cover &gt; Steering Switch Covers Upper</t>
  </si>
  <si>
    <t>0.04100 kg</t>
  </si>
  <si>
    <t>0.0418200066912010705921712947 kg</t>
  </si>
  <si>
    <t>Steering System &gt; Steering Shaft Assembly &gt; Column Covers &gt; Steering Switch Cover &gt; Steering Switch Covers Upper &gt; Injection molding</t>
  </si>
  <si>
    <t>Opening: 0.77 s, Ejection: 0.15 s, Insert: 0.00 s, Closing: 1.93 s, Removal: 1.57 s, Cooling: 8.56 s, Injection: 1.92</t>
  </si>
  <si>
    <t>00000007I2MZEU01 (AutoReverse)</t>
  </si>
  <si>
    <t>Steering System &gt; Steering Shaft Assembly &gt; Column Covers &gt; Steering Switch Cover &gt; Shroud Front</t>
  </si>
  <si>
    <t>0.00700 kg</t>
  </si>
  <si>
    <t>0.0071400011424001827840292454 kg</t>
  </si>
  <si>
    <t>Steering System &gt; Steering Shaft Assembly &gt; Column Covers &gt; Steering Switch Cover &gt; Shroud Front &gt; Injection molding</t>
  </si>
  <si>
    <t>unit m2</t>
  </si>
  <si>
    <t>0.03550 kg</t>
  </si>
  <si>
    <t>0.044375 kg</t>
  </si>
  <si>
    <t>Opening: 0.67 s, Ejection: 0.56 s, Insert: 0.00 s, Closing: 1.67 s, Removal: 1.85 s, Cooling: 8.56 s, Injection: 1.33</t>
  </si>
  <si>
    <t>00000002P2LYEU01 (AutoReverse)</t>
  </si>
  <si>
    <t>Steering System &gt; Steering Shaft Assembly &gt; Column Covers &gt; Steering Switch Cover &gt; 2nd Steering Switch Covers Upper</t>
  </si>
  <si>
    <t>0.05800 kg</t>
  </si>
  <si>
    <t>0.0591600094656015144962423194 kg</t>
  </si>
  <si>
    <t>Steering System &gt; Steering Shaft Assembly &gt; Column Covers &gt; Steering Switch Cover &gt; 2nd Steering Switch Covers Upper &gt; Injection molding</t>
  </si>
  <si>
    <t>Opening: 1.12 s, Ejection: 0.17 s, Insert: 0.00 s, Closing: 2.50 s, Removal: 1.72 s, Cooling: 8.56 s, Injection: 2.05</t>
  </si>
  <si>
    <t>00000002M2BWEU01 (AutoReverse)</t>
  </si>
  <si>
    <t>00000001071QEU01 (AutoReverse)</t>
  </si>
  <si>
    <t>Steering System &gt; Steering Shaft Assembly &gt; Column Covers &gt; Bezel</t>
  </si>
  <si>
    <t>0.00800 kg</t>
  </si>
  <si>
    <t>0.0081600013056002088960334234 kg</t>
  </si>
  <si>
    <t>Steering System &gt; Steering Shaft Assembly &gt; Column Covers &gt; Bezel &gt; Injection molding</t>
  </si>
  <si>
    <t>Insert: 0.00 s, Closing: 3.06 s, Injection: 0.98 s, Cooling: 15.98 s, Opening: 1.38 s, Ejection: 0.14 s, Removal: 2.03 s. Default reject ratio based on industry average: 2%</t>
  </si>
  <si>
    <t>00000007ZIN2EU01 (AutoReverse)</t>
  </si>
  <si>
    <t>00000005OLB4EU01 (AutoReverse)</t>
  </si>
  <si>
    <t>Steering System &gt; Steering Shaft Assembly &gt; Steering Column</t>
  </si>
  <si>
    <t>Steering System &gt; Steering Shaft Assembly &gt; Steering Column &gt; Steering Column Parts incl Lock</t>
  </si>
  <si>
    <t>Steering System &gt; Steering Shaft Assembly &gt; Steering Column &gt; Steering Column Parts incl Lock &gt; Process</t>
  </si>
  <si>
    <t>Steering System &gt; Steering Shaft Assembly &gt; Steering Column &gt; Assembly</t>
  </si>
  <si>
    <t>000000009MHTEU01 (AutoReverse)</t>
  </si>
  <si>
    <t>Steering System &gt; Steering Shaft Assembly &gt; I-Shafts</t>
  </si>
  <si>
    <t>00000009ZOM1EU01 (AutoReverse)</t>
  </si>
  <si>
    <t>Steering System &gt; Steering Shaft Assembly &gt; I-Shafts &gt; Extension</t>
  </si>
  <si>
    <t>Steering System &gt; Steering Shaft Assembly &gt; I-Shafts &gt; Extension &gt; Process</t>
  </si>
  <si>
    <t>000000027TT5EU01 (AutoReverse)</t>
  </si>
  <si>
    <t>Steering System &gt; Steering Shaft Assembly &gt; I-Shafts &gt; I-Shaft Assy</t>
  </si>
  <si>
    <t>0000000A4QJVEU01 (AutoReverse)</t>
  </si>
  <si>
    <t>00000000WB99EU01 (AutoReverse)</t>
  </si>
  <si>
    <t>Steering System &gt; Steering Shaft Assembly &gt; Turning Switch</t>
  </si>
  <si>
    <t>100 seconds of cycle time = 1€ of process costs in China, 2024, 100k yearly volume</t>
  </si>
  <si>
    <t>Steering System &gt; Steering Shaft Assembly &gt; Turning Switch &gt; Process</t>
  </si>
  <si>
    <t>CO2 footprint per quantity (kgCO2e)</t>
  </si>
  <si>
    <t>Price (€)</t>
  </si>
  <si>
    <t>Manufacturer name</t>
  </si>
  <si>
    <t>Unit count top</t>
  </si>
  <si>
    <t>General</t>
  </si>
  <si>
    <t>Unit count bottom</t>
  </si>
  <si>
    <t>Details component summary</t>
  </si>
  <si>
    <t>Total CO₂ (kgCO₂e)</t>
  </si>
  <si>
    <t>Total cost (€)</t>
  </si>
  <si>
    <t>Parent assembly ID</t>
  </si>
  <si>
    <t>Parent part ID</t>
  </si>
  <si>
    <t>Parent raw part ID</t>
  </si>
  <si>
    <t>Electronics</t>
  </si>
  <si>
    <t>Component</t>
  </si>
  <si>
    <t>EE - Mechanics</t>
  </si>
  <si>
    <t>Electronics - Assembly (default)</t>
  </si>
  <si>
    <t>PP;EPDM;MAGNET;ELECTRONIC COMPONENT</t>
  </si>
  <si>
    <t>00000009OR03EU01 (AutoReverse)</t>
  </si>
  <si>
    <t>Steering System &gt; Steering Shaft Assembly &gt; Steering Adjuster Cover Support</t>
  </si>
  <si>
    <t>0.02500 kg</t>
  </si>
  <si>
    <t>0.025500004080000652800104448 kg</t>
  </si>
  <si>
    <t>Steering System &gt; Steering Shaft Assembly &gt; Steering Adjuster Cover Support &gt; Injection molding</t>
  </si>
  <si>
    <t>Opening: 0.67 s, Ejection: 0.09 s, Insert: 0.00 s, Closing: 1.67 s, Removal: 1.47 s, Cooling: 7.52 s, Injection: 1.67</t>
  </si>
  <si>
    <t>0000000AKLF5EU01 (AutoReverse)</t>
  </si>
  <si>
    <t>00000004XNP3EU01 (AutoReverse)</t>
  </si>
  <si>
    <t>Steering System &gt; Steering Bar</t>
  </si>
  <si>
    <t>Steering System &gt; Steering Bar &gt; Steering Bar</t>
  </si>
  <si>
    <t>Steering System &gt; Steering Bar &gt; Steering Bar &gt; Process</t>
  </si>
  <si>
    <t>0000000AW16OEU01 (AutoReverse)</t>
  </si>
  <si>
    <t>00000005G6HCEU01 (AutoReverse)</t>
  </si>
  <si>
    <t>Steering System &gt; Steering Bar &gt; Electric Motor</t>
  </si>
  <si>
    <t>Steering System &gt; Steering Bar &gt; Electric Motor &gt; Process</t>
  </si>
  <si>
    <t>00000009JKM1EU01 (AutoReverse)</t>
  </si>
  <si>
    <t>Steering System &gt; Steering Wheel System</t>
  </si>
  <si>
    <t>Steering System &gt; Steering Wheel System &gt; Steering Wheel Controls</t>
  </si>
  <si>
    <t>Steering System &gt; Steering Wheel System &gt; Steering Wheel Controls &gt; Left</t>
  </si>
  <si>
    <t>Steering System &gt; Steering Wheel System &gt; Steering Wheel Controls &gt; Left &gt; Process</t>
  </si>
  <si>
    <t>Electronics - Part (default)</t>
  </si>
  <si>
    <t>00000009JX2SEU01 (AutoReverse)</t>
  </si>
  <si>
    <t>Steering System &gt; Steering Wheel System &gt; Steering Wheel Controls &gt; Right</t>
  </si>
  <si>
    <t>Steering System &gt; Steering Wheel System &gt; Steering Wheel Controls &gt; Right &gt; Process</t>
  </si>
  <si>
    <t>000000041MJ3EU01 (AutoReverse)</t>
  </si>
  <si>
    <t>0</t>
  </si>
  <si>
    <t>00000005YSM4EU01 (AutoReverse)</t>
  </si>
  <si>
    <t>00000007317CEU01 (AutoReverse)</t>
  </si>
  <si>
    <t>Steering System &gt; Steering Wheel System &gt; Steering Wheel Cover</t>
  </si>
  <si>
    <t>Steering System &gt; Steering Wheel System &gt; Steering Wheel Cover &gt; Front</t>
  </si>
  <si>
    <t>0.06100 kg</t>
  </si>
  <si>
    <t>0.065503637062602148089763607 kg</t>
  </si>
  <si>
    <t>Steering System &gt; Steering Wheel System &gt; Steering Wheel Cover &gt; Front &gt; Injection molding</t>
  </si>
  <si>
    <t>Opening: 1.88 s, Ejection: 0.18 s, Insert: 0.00 s, Closing: 3.75 s, Removal: 2.18 s, Cooling: 10.23 s, Injection: 2.09</t>
  </si>
  <si>
    <t>0.04800 kg</t>
  </si>
  <si>
    <t>0.048 kg</t>
  </si>
  <si>
    <t>Steering System &gt; Steering Wheel System &gt; Steering Wheel Cover &gt; Front &gt; Chroming line - Small Parts</t>
  </si>
  <si>
    <t>Steering System &gt; Steering Wheel System &gt; Steering Wheel Cover &gt; Front &gt; Chroming line - Load and Unload parts to and from jig</t>
  </si>
  <si>
    <t>(2110-1069) Generic injection molding and painting template</t>
  </si>
  <si>
    <t>0000000727XGEU01 (AutoReverse)</t>
  </si>
  <si>
    <t>Steering System &gt; Steering Wheel System &gt; Steering Wheel Cover &gt; Lower Trim</t>
  </si>
  <si>
    <t>0.00242 kg</t>
  </si>
  <si>
    <t>0.0024693877551020408163265306 kg</t>
  </si>
  <si>
    <t>Steering System &gt; Steering Wheel System &gt; Steering Wheel Cover &gt; Lower Trim &gt; Painting</t>
  </si>
  <si>
    <t>0.00510 kg</t>
  </si>
  <si>
    <t>0.0052040816326530612244897959 kg</t>
  </si>
  <si>
    <t>0.00476 kg</t>
  </si>
  <si>
    <t>0.0048571428571428571428571429 kg</t>
  </si>
  <si>
    <t>Applying color and coating for aesthetic and protection.</t>
  </si>
  <si>
    <t>Steering System &gt; Steering Wheel System &gt; Steering Wheel Cover &gt; Lower Trim &gt; Loading + Unloading + Retouching + Checking</t>
  </si>
  <si>
    <t>Loading + Unloading + Retouching + Checking</t>
  </si>
  <si>
    <t>0.01500 kg</t>
  </si>
  <si>
    <t>0.0173237967756949441076570027 kg</t>
  </si>
  <si>
    <t>Steering System &gt; Steering Wheel System &gt; Steering Wheel Cover &gt; Lower Trim &gt; Injection molding</t>
  </si>
  <si>
    <t>Opening: 0.77 s, Ejection: 0.08 s, Insert: 0.00 s, Closing: 1.93 s, Removal: 1.51 s, Cooling: 10.23 s, Injection: 1.45</t>
  </si>
  <si>
    <t>(2110-1034) Generic injection molding and painting template</t>
  </si>
  <si>
    <t>00000004XD3XEU01 (AutoReverse)</t>
  </si>
  <si>
    <t>00000002LTMVEU01 (AutoReverse)</t>
  </si>
  <si>
    <t>Steering System &gt; Steering Wheel System &gt; Steering Wheel</t>
  </si>
  <si>
    <t>Steering System &gt; Steering Wheel System &gt; Steering Wheel &gt; Armature</t>
  </si>
  <si>
    <t>0.70280 kg</t>
  </si>
  <si>
    <t>0.7808888888888888888888888889 kg</t>
  </si>
  <si>
    <t>Steering System &gt; Steering Wheel System &gt; Steering Wheel &gt; Armature &gt; Pressure Die Casting : Furnace</t>
  </si>
  <si>
    <t>Steering System &gt; Steering Wheel System &gt; Steering Wheel &gt; Armature &gt; Pressure Die Casting : Ladle</t>
  </si>
  <si>
    <t>Steering System &gt; Steering Wheel System &gt; Steering Wheel &gt; Armature &gt; Pressure Die Casting : Press</t>
  </si>
  <si>
    <t>Steering System &gt; Steering Wheel System &gt; Steering Wheel &gt; Armature &gt; Pressure Die Casting : Trimming</t>
  </si>
  <si>
    <t>Steering System &gt; Steering Wheel System &gt; Steering Wheel &gt; Armature &gt; Pressure Die Casting : Laser Marking</t>
  </si>
  <si>
    <t>Steering System &gt; Steering Wheel System &gt; Steering Wheel &gt; Armature &gt; Machining</t>
  </si>
  <si>
    <t>Steering System &gt; Steering Wheel System &gt; Steering Wheel &gt; Armature &gt; Cleaning</t>
  </si>
  <si>
    <t>Steering System &gt; Steering Wheel System &gt; Steering Wheel &gt; Foam Body</t>
  </si>
  <si>
    <t>0.30120 kg</t>
  </si>
  <si>
    <t>0.4302857142857142857142857143 kg</t>
  </si>
  <si>
    <t>Steering System &gt; Steering Wheel System &gt; Steering Wheel &gt; Foam Body &gt; Reaction Injection Molding- Overmolding PUR</t>
  </si>
  <si>
    <t>Steering System &gt; Steering Wheel System &gt; Steering Wheel &gt; Leather</t>
  </si>
  <si>
    <t>0.14804 kg</t>
  </si>
  <si>
    <t>0.2467333333333333333333333333 kg</t>
  </si>
  <si>
    <t>Steering System &gt; Steering Wheel System &gt; Steering Wheel &gt; Leather &gt; Leather Cutting</t>
  </si>
  <si>
    <t>Steering System &gt; Steering Wheel System &gt; Steering Wheel &gt; Leather &gt; Adjusting leather and sewing</t>
  </si>
  <si>
    <t>(2110-1116) Steering wheel BUP costing template</t>
  </si>
  <si>
    <t>00000006IHEFEU01 (AutoReverse)</t>
  </si>
  <si>
    <t>0000000681L8EU01 (AutoReverse)</t>
  </si>
  <si>
    <t>2024</t>
  </si>
  <si>
    <t>Steering System &gt; Steering Wheel System &gt; Assembly</t>
  </si>
  <si>
    <t>Interior - Assembly (default)</t>
  </si>
  <si>
    <t>000000008DBUEU01 (AutoReverse)</t>
  </si>
  <si>
    <t>Steering System &gt; Steering Switch Cover</t>
  </si>
  <si>
    <t>Steering System &gt; Steering Switch Cover &gt; Steering Switch Covers Upper</t>
  </si>
  <si>
    <t>Steering System &gt; Steering Switch Cover &gt; Steering Switch Covers Upper &gt; Injection molding</t>
  </si>
  <si>
    <t>Steering System &gt; Steering Switch Cover &gt; Steering Switch Cover Lower</t>
  </si>
  <si>
    <t>Steering System &gt; Steering Switch Cover &gt; Steering Switch Cover Lower &gt; Injection molding</t>
  </si>
  <si>
    <t>Opening: 1.38 s, Ejection: 0.43 s, Insert: 0.00 s, Closing: 3.06 s, Removal: 2.08 s, Cooling: 8.56 s, Injection: 2.37</t>
  </si>
  <si>
    <t>Steering System &gt; Steering Switch Cover &gt; Shroud Front</t>
  </si>
  <si>
    <t>0.01400 kg</t>
  </si>
  <si>
    <t>0.0142800022848003655680584909 kg</t>
  </si>
  <si>
    <t>Steering System &gt; Steering Switch Cover &gt; Shroud Front &gt; Injection molding</t>
  </si>
  <si>
    <t>Opening: 0.77 s, Ejection: 0.31 s, Insert: 0.00 s, Closing: 1.93 s, Removal: 1.70 s, Cooling: 8.56 s, Injection: 1.33</t>
  </si>
  <si>
    <t>00000001GQ39EU01 (AutoReverse)</t>
  </si>
  <si>
    <t>Safety System</t>
  </si>
  <si>
    <t>Safety System &gt; Airbags</t>
  </si>
  <si>
    <t>Safety System &gt; Airbags &gt; Airbag Control Unit</t>
  </si>
  <si>
    <t>Safety System &gt; Airbags &gt; Airbag Control Unit &gt; Control Unit</t>
  </si>
  <si>
    <t>Safety System &gt; Airbags &gt; Airbag Control Unit &gt; Control Unit &gt; Process</t>
  </si>
  <si>
    <t>{_x000d_
  "productId": "00000019JZAUCID0",_x000d_
  "productCompleteName": "Veoneer"_x000d_
}</t>
  </si>
  <si>
    <t>ELECTRONIC COMPONENT;PLASTIC UNKNOWN</t>
  </si>
  <si>
    <t>000000039540EU01 (AutoReverse)</t>
  </si>
  <si>
    <t>00000007QBH0EU01 (AutoReverse)</t>
  </si>
  <si>
    <t>Safety System &gt; Airbags &gt; Airbags Sensors</t>
  </si>
  <si>
    <t>{_x000d_
  "productId": "0000009YOCUDEU02",_x000d_
  "productCompleteName": "Volkswagen"_x000d_
}</t>
  </si>
  <si>
    <t>Commodity</t>
  </si>
  <si>
    <t>ELECTRONIC COMPONENT;PLASTIC UNKNOWN;FERROUS METAL</t>
  </si>
  <si>
    <t>00000009FCTUEU01 (AutoReverse)</t>
  </si>
  <si>
    <t>Safety System &gt; Airbags &gt; Airbags Sensors &gt; Driver Door Sensor</t>
  </si>
  <si>
    <t>Safety System &gt; Airbags &gt; Airbags Sensors &gt; Driver Door Sensor &gt; Process</t>
  </si>
  <si>
    <t>4.000000 %</t>
  </si>
  <si>
    <t>PBT;ELECTRONIC COMPONENT</t>
  </si>
  <si>
    <t>0000000660JBEU01 (AutoReverse)</t>
  </si>
  <si>
    <t>00000000BCBUEU01 (AutoReverse)</t>
  </si>
  <si>
    <t>00000002PKZBEU01 (AutoReverse)</t>
  </si>
  <si>
    <t>{_x000d_
  "productId": "0000000W0ZIMCID0",_x000d_
  "productCompleteName": "Autoliv (Livbag)"_x000d_
}</t>
  </si>
  <si>
    <t>PA66;TPE</t>
  </si>
  <si>
    <t>000000095J44EU01 (AutoReverse)</t>
  </si>
  <si>
    <t>00000000D9M3EU01 (AutoReverse)</t>
  </si>
  <si>
    <t>Safety System &gt; Airbags &gt; Driver Airbag</t>
  </si>
  <si>
    <t>Safety System &gt; Airbags &gt; Driver Airbag &gt; Airbag Unit</t>
  </si>
  <si>
    <t>Safety System &gt; Airbags &gt; Driver Airbag &gt; Airbag Unit &gt; Automated process</t>
  </si>
  <si>
    <t>Directional cost of airbags with material and process portion.</t>
  </si>
  <si>
    <t>Metal</t>
  </si>
  <si>
    <t>(2110-933) Airbag directional costing template</t>
  </si>
  <si>
    <t>00000002U0NTEU01 (AutoReverse)</t>
  </si>
  <si>
    <t>00000008LU4HEU01 (AutoReverse)</t>
  </si>
  <si>
    <t>Safety System &gt; Airbags &gt; Passenger Airbag</t>
  </si>
  <si>
    <t>Safety System &gt; Airbags &gt; Passenger Airbag &gt; Airbag Unit</t>
  </si>
  <si>
    <t>Safety System &gt; Airbags &gt; Passenger Airbag &gt; Airbag Unit &gt; Automated process</t>
  </si>
  <si>
    <t>(2110-1650) Airbag directional costing template</t>
  </si>
  <si>
    <t>000000024C6WEU01 (AutoReverse)</t>
  </si>
  <si>
    <t>00000009EBTREU01 (AutoReverse)</t>
  </si>
  <si>
    <t>Safety System &gt; Airbags &gt; Curtains Airbag</t>
  </si>
  <si>
    <t>Safety System &gt; Airbags &gt; Curtains Airbag &gt; Airbag Support</t>
  </si>
  <si>
    <t>Safety System &gt; Airbags &gt; Curtains Airbag &gt; Airbag Support &gt; Support 1</t>
  </si>
  <si>
    <t>0.13800 kg</t>
  </si>
  <si>
    <t>0.3674189881068071023687874907 kg</t>
  </si>
  <si>
    <t>Safety System &gt; Airbags &gt; Curtains Airbag &gt; Airbag Support &gt; Support 1 &gt; Stamping</t>
  </si>
  <si>
    <t>FERROUS METAL</t>
  </si>
  <si>
    <t>000000095NJ7EU01 (AutoReverse)</t>
  </si>
  <si>
    <t>Safety System &gt; Airbags &gt; Curtains Airbag &gt; Airbag Support &gt; Support 2</t>
  </si>
  <si>
    <t>0.05500 kg</t>
  </si>
  <si>
    <t>0.0592683909817216282212370499 kg</t>
  </si>
  <si>
    <t>Safety System &gt; Airbags &gt; Curtains Airbag &gt; Airbag Support &gt; Support 2 &gt; Injection molding</t>
  </si>
  <si>
    <t>Opening: 0.77 s, Ejection: 0.28 s, Insert: 0.00 s, Closing: 1.93 s, Removal: 1.67 s, Cooling: 8.56 s, Injection: 2.05</t>
  </si>
  <si>
    <t>Part (default)</t>
  </si>
  <si>
    <t>PP-PE</t>
  </si>
  <si>
    <t>0000000942ITEU01 (AutoReverse)</t>
  </si>
  <si>
    <t>00000004IEMQEU01 (AutoReverse)</t>
  </si>
  <si>
    <t>Safety System &gt; Airbags &gt; Curtains Airbag &gt; Curtain Airbags</t>
  </si>
  <si>
    <t>Safety System &gt; Airbags &gt; Curtains Airbag &gt; Curtain Airbags &gt; Automated process</t>
  </si>
  <si>
    <t>Plastics</t>
  </si>
  <si>
    <t>(2110-1363) Airbag directional costing template</t>
  </si>
  <si>
    <t>000000027REMEU01 (AutoReverse)</t>
  </si>
  <si>
    <t>0000000822YKEU01 (AutoReverse)</t>
  </si>
  <si>
    <t>00000004E6FWEU01 (AutoReverse)</t>
  </si>
  <si>
    <t>Safety System &gt; Seat Belt</t>
  </si>
  <si>
    <t>Safety System &gt; Seat Belt &gt; Seat Belt Front Driver</t>
  </si>
  <si>
    <t>Safety System &gt; Seat Belt &gt; Seat Belt Front Driver &gt; Guide</t>
  </si>
  <si>
    <t>Safety System &gt; Seat Belt &gt; Seat Belt Front Driver &gt; Guide &gt; Upper</t>
  </si>
  <si>
    <t>0.09900 kg</t>
  </si>
  <si>
    <t>0.1042105263157894736842105263 kg</t>
  </si>
  <si>
    <t>Safety System &gt; Seat Belt &gt; Seat Belt Front Driver &gt; Guide &gt; Upper &gt; Automated Process</t>
  </si>
  <si>
    <t>00000004V9STEU01 (AutoReverse)</t>
  </si>
  <si>
    <t>Safety System &gt; Seat Belt &gt; Seat Belt Front Driver &gt; Guide &gt; Lower</t>
  </si>
  <si>
    <t>0.03600 kg</t>
  </si>
  <si>
    <t>0.045 kg</t>
  </si>
  <si>
    <t>Safety System &gt; Seat Belt &gt; Seat Belt Front Driver &gt; Guide &gt; Lower &gt; Automated Process</t>
  </si>
  <si>
    <t>00000001RB05EU01 (AutoReverse)</t>
  </si>
  <si>
    <t>00000006SLVJEU01 (AutoReverse)</t>
  </si>
  <si>
    <t>POM;PP;TPV;PET;FERROUS METAL</t>
  </si>
  <si>
    <t>00000003FC6SEU01 (AutoReverse)</t>
  </si>
  <si>
    <t>FERROUS METAL;PLASTIC UNKNOWN</t>
  </si>
  <si>
    <t>000000032LMREU01 (AutoReverse)</t>
  </si>
  <si>
    <t>FERROUS METAL;POM</t>
  </si>
  <si>
    <t>00000003HU7LEU01 (AutoReverse)</t>
  </si>
  <si>
    <t>0000000913DKEU01 (AutoReverse)</t>
  </si>
  <si>
    <t>Safety System &gt; Seat Belt &gt; Seat Belt Front Passenger</t>
  </si>
  <si>
    <t>Safety System &gt; Seat Belt &gt; Seat Belt Front Passenger &gt; Guide</t>
  </si>
  <si>
    <t>Safety System &gt; Seat Belt &gt; Seat Belt Front Passenger &gt; Guide &gt; Upper</t>
  </si>
  <si>
    <t>Safety System &gt; Seat Belt &gt; Seat Belt Front Passenger &gt; Guide &gt; Upper &gt; Automated Process</t>
  </si>
  <si>
    <t>00000007U380EU01 (AutoReverse)</t>
  </si>
  <si>
    <t>Safety System &gt; Seat Belt &gt; Seat Belt Front Passenger &gt; Guide &gt; Lower</t>
  </si>
  <si>
    <t>Safety System &gt; Seat Belt &gt; Seat Belt Front Passenger &gt; Guide &gt; Lower &gt; Automated Process</t>
  </si>
  <si>
    <t>00000003J17REU01 (AutoReverse)</t>
  </si>
  <si>
    <t>000000066RD8EU01 (AutoReverse)</t>
  </si>
  <si>
    <t>Safety System &gt; Seat Belt &gt; Seat Belt Front Passenger &gt; Anchor</t>
  </si>
  <si>
    <t>PP;FERROUS METAL</t>
  </si>
  <si>
    <t>00000007PEIPEU01 (AutoReverse)</t>
  </si>
  <si>
    <t>00000007MZWMEU01 (AutoReverse)</t>
  </si>
  <si>
    <t>FERROUS METAL;PP</t>
  </si>
  <si>
    <t>0000000A61C0EU01 (AutoReverse)</t>
  </si>
  <si>
    <t>POM;FERROUS METAL</t>
  </si>
  <si>
    <t>0000000211YHEU01 (AutoReverse)</t>
  </si>
  <si>
    <t>00000005RCOQEU01 (AutoReverse)</t>
  </si>
  <si>
    <t>ELECTRONIC COMPONENT;PP;POM;FERROUS METAL</t>
  </si>
  <si>
    <t>00000007ZMV8EU01 (AutoReverse)</t>
  </si>
  <si>
    <t>FERROUS METAL;TPV</t>
  </si>
  <si>
    <t>00000004JF0LEU01 (AutoReverse)</t>
  </si>
  <si>
    <t>00000009ZBS5EU01 (AutoReverse)</t>
  </si>
  <si>
    <t>Safety System &gt; Seat Belt &gt; Rear Left Seat Belt</t>
  </si>
  <si>
    <t>{_x000d_
  "productId": "000000AFIBB9EU02",_x000d_
  "productCompleteName": "Joyson Safety Systems (JSS)"_x000d_
}</t>
  </si>
  <si>
    <t>PP;FERROUS METAL;PLASTIC UNKNOWN</t>
  </si>
  <si>
    <t>000000033SU9EU01 (AutoReverse)</t>
  </si>
  <si>
    <t>000000096P6PEU01 (AutoReverse)</t>
  </si>
  <si>
    <t>00000006Q9HOEU01 (AutoReverse)</t>
  </si>
  <si>
    <t>Safety System &gt; Seat Belt &gt; Rear Central Seat Belt</t>
  </si>
  <si>
    <t>PP;POM;FERROUS METAL</t>
  </si>
  <si>
    <t>00000003YKMQEU01 (AutoReverse)</t>
  </si>
  <si>
    <t>00000004KF85EU01 (AutoReverse)</t>
  </si>
  <si>
    <t>0000000424KJEU01 (AutoReverse)</t>
  </si>
  <si>
    <t>Safety System &gt; Seat Belt &gt; Rear Central Seat Belt &gt; Guide</t>
  </si>
  <si>
    <t>0.05700 kg</t>
  </si>
  <si>
    <t>0.06 kg</t>
  </si>
  <si>
    <t>Safety System &gt; Seat Belt &gt; Rear Central Seat Belt &gt; Guide &gt; Automated Process</t>
  </si>
  <si>
    <t>ASA-PA</t>
  </si>
  <si>
    <t>000000051F9KEU01 (AutoReverse)</t>
  </si>
  <si>
    <t>00000001N79IEU01 (AutoReverse)</t>
  </si>
  <si>
    <t>Safety System &gt; Seat Belt &gt; Rear Right Belt</t>
  </si>
  <si>
    <t>Safety System &gt; Seat Belt &gt; Rear Right Belt &gt; Anchor</t>
  </si>
  <si>
    <t>00000000ADMPEU01 (AutoReverse)</t>
  </si>
  <si>
    <t>000000042AVKEU01 (AutoReverse)</t>
  </si>
  <si>
    <t>0000000AS3ZIEU01 (AutoReverse)</t>
  </si>
  <si>
    <t>PP;FERROUS METAL;PET</t>
  </si>
  <si>
    <t>00000003ACA4EU01 (AutoReverse)</t>
  </si>
  <si>
    <t>00000008ED03EU01 (AutoReverse)</t>
  </si>
  <si>
    <t>0000000AATN6EU01 (AutoReverse)</t>
  </si>
  <si>
    <t>000000050BHAEU01 (AutoReverse)</t>
  </si>
  <si>
    <t>Safety System &gt; Horn System</t>
  </si>
  <si>
    <t>{_x000d_
  "productId": "0000000W0ZQQCID0",_x000d_
  "productCompleteName": "Clarton Horn"_x000d_
}</t>
  </si>
  <si>
    <t>PA;FERROUS METAL;ELECTRONIC COMPONENT</t>
  </si>
  <si>
    <t>00000005Q7RVEU01 (AutoReverse)</t>
  </si>
  <si>
    <t>00000007XTPEEU01 (AutoReverse)</t>
  </si>
  <si>
    <t>000000085KRMEU01 (AutoReverse)</t>
  </si>
  <si>
    <t>00000000RR6SEU01 (AutoReverse)</t>
  </si>
  <si>
    <t xml:space="preserve"> Heating System</t>
  </si>
  <si>
    <t xml:space="preserve"> Heating System &gt;  Heating System</t>
  </si>
  <si>
    <t xml:space="preserve"> Heating System &gt;  Heating System &gt;  Covers</t>
  </si>
  <si>
    <t xml:space="preserve"> Heating System &gt;  Heating System &gt;  Covers &gt;  Lower</t>
  </si>
  <si>
    <t>0.63900 kg</t>
  </si>
  <si>
    <t>0.6726315789473684210526315789 kg</t>
  </si>
  <si>
    <t xml:space="preserve"> Heating System &gt;  Heating System &gt;  Covers &gt;  Lower &gt; Process</t>
  </si>
  <si>
    <t>2110-504</t>
  </si>
  <si>
    <t>PTR - [Internal] Mechanical Prod</t>
  </si>
  <si>
    <t>000000076NPLEU01 (AutoReverse)</t>
  </si>
  <si>
    <t xml:space="preserve"> Heating System &gt;  Heating System &gt;  Covers &gt;  Left</t>
  </si>
  <si>
    <t>0.72000 kg</t>
  </si>
  <si>
    <t>0.7578947368421052631578947368 kg</t>
  </si>
  <si>
    <t xml:space="preserve"> Heating System &gt;  Heating System &gt;  Covers &gt;  Left &gt; Process</t>
  </si>
  <si>
    <t>2110-1725</t>
  </si>
  <si>
    <t>00000002PIHREU01 (AutoReverse)</t>
  </si>
  <si>
    <t>2110-442</t>
  </si>
  <si>
    <t>000000A9WT7MEU02 (AutoReverse)</t>
  </si>
  <si>
    <t xml:space="preserve"> Heating System &gt;  Heating System &gt;  Covers &gt;  Right</t>
  </si>
  <si>
    <t>0.77500 kg</t>
  </si>
  <si>
    <t>0.8157894736842105263157894737 kg</t>
  </si>
  <si>
    <t xml:space="preserve"> Heating System &gt;  Heating System &gt;  Covers &gt;  Right &gt; Process</t>
  </si>
  <si>
    <t>2110-1781</t>
  </si>
  <si>
    <t>0000000ANXG6EU01 (AutoReverse)</t>
  </si>
  <si>
    <t>2110-458</t>
  </si>
  <si>
    <t>000000A9WT7NEU02 (AutoReverse)</t>
  </si>
  <si>
    <t>2110-1780</t>
  </si>
  <si>
    <t>00000008T46WEU01 (AutoReverse)</t>
  </si>
  <si>
    <t>2110-1773</t>
  </si>
  <si>
    <t>000000APEBNEEU02 (AutoReverse)</t>
  </si>
  <si>
    <t>2110-1771</t>
  </si>
  <si>
    <t>0000000034KBEU01 (AutoReverse)</t>
  </si>
  <si>
    <t>2110-1772</t>
  </si>
  <si>
    <t>000000010U2OEU01 (AutoReverse)</t>
  </si>
  <si>
    <t>2110-443</t>
  </si>
  <si>
    <t>000000016CKTEU01 (AutoReverse)</t>
  </si>
  <si>
    <t xml:space="preserve"> Heating System &gt;  Heating System &gt;  Motors</t>
  </si>
  <si>
    <t xml:space="preserve"> Heating System &gt;  Heating System &gt;  Motors &gt;  Intake Air Vent Motor</t>
  </si>
  <si>
    <t>2110-392</t>
  </si>
  <si>
    <t>00000009WXBREU01 (AutoReverse)</t>
  </si>
  <si>
    <t>2110-413</t>
  </si>
  <si>
    <t>000000049V51EU01 (AutoReverse)</t>
  </si>
  <si>
    <t>2110-393</t>
  </si>
  <si>
    <t>00000001V5P0EU01 (AutoReverse)</t>
  </si>
  <si>
    <t xml:space="preserve"> Heating System &gt;  Heating System &gt;  Motors &gt;  Heater Core Motors</t>
  </si>
  <si>
    <t>2110-1403</t>
  </si>
  <si>
    <t>00000004K06OEU01 (AutoReverse)</t>
  </si>
  <si>
    <t>2110-1451</t>
  </si>
  <si>
    <t>00000004G5RNEU01 (AutoReverse)</t>
  </si>
  <si>
    <t>2110-1404</t>
  </si>
  <si>
    <t>0000000ASJT3EU01 (AutoReverse)</t>
  </si>
  <si>
    <t xml:space="preserve"> Heating System &gt;  Heating System &gt;  Motors &gt;  Top/Bottom Flap Motor</t>
  </si>
  <si>
    <t>2110-1399</t>
  </si>
  <si>
    <t>000000019ES5EU01 (AutoReverse)</t>
  </si>
  <si>
    <t>2110-1414</t>
  </si>
  <si>
    <t>000000099J8GEU01 (AutoReverse)</t>
  </si>
  <si>
    <t>2110-1400</t>
  </si>
  <si>
    <t>00000006A4T1EU01 (AutoReverse)</t>
  </si>
  <si>
    <t>2110-1605</t>
  </si>
  <si>
    <t>00000002S19IEU01 (AutoReverse)</t>
  </si>
  <si>
    <t>2110-394</t>
  </si>
  <si>
    <t>00000006WAPKEU01 (AutoReverse)</t>
  </si>
  <si>
    <t xml:space="preserve"> Heating System &gt;  Heating System &gt;  Selection Flaps</t>
  </si>
  <si>
    <t xml:space="preserve"> Heating System &gt;  Heating System &gt;  Selection Flaps &gt;  Central Vents</t>
  </si>
  <si>
    <t>2110-1696</t>
  </si>
  <si>
    <t>0000000ATDV3EU01 (AutoReverse)</t>
  </si>
  <si>
    <t>2110-1759</t>
  </si>
  <si>
    <t>00000004YFOQEU01 (AutoReverse)</t>
  </si>
  <si>
    <t>2110-1697</t>
  </si>
  <si>
    <t>0000000252YAEU01 (AutoReverse)</t>
  </si>
  <si>
    <t xml:space="preserve"> Heating System &gt;  Heating System &gt;  Selection Flaps &gt;  Upper Front Part</t>
  </si>
  <si>
    <t>2110-1753</t>
  </si>
  <si>
    <t>000000077WTTEU01 (AutoReverse)</t>
  </si>
  <si>
    <t>2110-1769</t>
  </si>
  <si>
    <t>0000000A2V8CEU01 (AutoReverse)</t>
  </si>
  <si>
    <t>2110-1754</t>
  </si>
  <si>
    <t>000000011M61EU01 (AutoReverse)</t>
  </si>
  <si>
    <t xml:space="preserve"> Heating System &gt;  Heating System &gt;  Selection Flaps &gt;  Windshield Demisting</t>
  </si>
  <si>
    <t>2110-1733</t>
  </si>
  <si>
    <t>00000009ALCPEU01 (AutoReverse)</t>
  </si>
  <si>
    <t>2110-1734</t>
  </si>
  <si>
    <t>0000000747ABEU01 (AutoReverse)</t>
  </si>
  <si>
    <t xml:space="preserve"> Heating System &gt;  Heating System &gt;  Selection Flaps &gt;  Lower Front Part</t>
  </si>
  <si>
    <t>2110-1554</t>
  </si>
  <si>
    <t>000000078O8TEU01 (AutoReverse)</t>
  </si>
  <si>
    <t>2110-1608</t>
  </si>
  <si>
    <t>00000003ET53EU01 (AutoReverse)</t>
  </si>
  <si>
    <t>2110-1555</t>
  </si>
  <si>
    <t>00000004L3X8EU01 (AutoReverse)</t>
  </si>
  <si>
    <t xml:space="preserve"> Heating System &gt;  Heating System &gt;  Selection Flaps &gt;  Row 2 Center</t>
  </si>
  <si>
    <t>2110-1755</t>
  </si>
  <si>
    <t>00000005SRA6EU01 (AutoReverse)</t>
  </si>
  <si>
    <t>2110-1756</t>
  </si>
  <si>
    <t>00000007OG0LEU01 (AutoReverse)</t>
  </si>
  <si>
    <t xml:space="preserve"> Heating System &gt;  Heating System &gt;  Selection Flaps &gt;  Feet Row 2</t>
  </si>
  <si>
    <t>2110-1740</t>
  </si>
  <si>
    <t>00000003X896EU01 (AutoReverse)</t>
  </si>
  <si>
    <t>2110-1764</t>
  </si>
  <si>
    <t>000000053F78EU01 (AutoReverse)</t>
  </si>
  <si>
    <t>2110-1741</t>
  </si>
  <si>
    <t>00000008Y3KBEU01 (AutoReverse)</t>
  </si>
  <si>
    <t>2110-1702</t>
  </si>
  <si>
    <t>00000002B2YAEU01 (AutoReverse)</t>
  </si>
  <si>
    <t>2110-1763</t>
  </si>
  <si>
    <t>0000000AP88UEU01 (AutoReverse)</t>
  </si>
  <si>
    <t>2110-1705</t>
  </si>
  <si>
    <t>00000000XP48EU01 (AutoReverse)</t>
  </si>
  <si>
    <t>2110-1761</t>
  </si>
  <si>
    <t>000000032QH1EU01 (AutoReverse)</t>
  </si>
  <si>
    <t>2110-1556</t>
  </si>
  <si>
    <t>00000003GZLMEU01 (AutoReverse)</t>
  </si>
  <si>
    <t xml:space="preserve"> Heating System &gt;  Heating System &gt;  Mechanism</t>
  </si>
  <si>
    <t>2110-410</t>
  </si>
  <si>
    <t>0000000AO8DDEU01 (AutoReverse)</t>
  </si>
  <si>
    <t>2110-414</t>
  </si>
  <si>
    <t>0000009ZG60NEU02 (AutoReverse)</t>
  </si>
  <si>
    <t>2110-1515</t>
  </si>
  <si>
    <t>00000005UBKWEU01 (AutoReverse)</t>
  </si>
  <si>
    <t>2110-1532</t>
  </si>
  <si>
    <t>00000000VPGPEU01 (AutoReverse)</t>
  </si>
  <si>
    <t>2110-412</t>
  </si>
  <si>
    <t>00000008QNW9EU01 (AutoReverse)</t>
  </si>
  <si>
    <t>2110-1596</t>
  </si>
  <si>
    <t>00000008Y2DYEU01 (AutoReverse)</t>
  </si>
  <si>
    <t>2110-1602</t>
  </si>
  <si>
    <t>00000007SB6NEU01 (AutoReverse)</t>
  </si>
  <si>
    <t>2110-1553</t>
  </si>
  <si>
    <t>00000003B6FGEU01 (AutoReverse)</t>
  </si>
  <si>
    <t>2110-1409</t>
  </si>
  <si>
    <t>00000008547SEU01 (AutoReverse)</t>
  </si>
  <si>
    <t>2110-1412</t>
  </si>
  <si>
    <t>000000044DGBEU01 (AutoReverse)</t>
  </si>
  <si>
    <t>2110-1506</t>
  </si>
  <si>
    <t>000000043JIBEU01 (AutoReverse)</t>
  </si>
  <si>
    <t>2110-1617</t>
  </si>
  <si>
    <t>000000013QRGEU01 (AutoReverse)</t>
  </si>
  <si>
    <t>2110-1766</t>
  </si>
  <si>
    <t>000000086T4ZEU01 (AutoReverse)</t>
  </si>
  <si>
    <t>2110-1620</t>
  </si>
  <si>
    <t>000000AHOXZJEU02 (AutoReverse)</t>
  </si>
  <si>
    <t>2110-1736</t>
  </si>
  <si>
    <t>A000000AE3BCEU02 (AutoReverse)</t>
  </si>
  <si>
    <t>2110-1517</t>
  </si>
  <si>
    <t>000000082W7JEU01 (AutoReverse)</t>
  </si>
  <si>
    <t>2110-1537</t>
  </si>
  <si>
    <t>00000009IN2TEU01 (AutoReverse)</t>
  </si>
  <si>
    <t>2110-1540</t>
  </si>
  <si>
    <t>00000002K618EU01 (AutoReverse)</t>
  </si>
  <si>
    <t>2110-1767</t>
  </si>
  <si>
    <t>0000000IG744CID0 (AutoReverse)</t>
  </si>
  <si>
    <t>2110-1519</t>
  </si>
  <si>
    <t>000000001IKUEU01 (AutoReverse)</t>
  </si>
  <si>
    <t>2110-1738</t>
  </si>
  <si>
    <t>0000000IG6YZCID0 (AutoReverse)</t>
  </si>
  <si>
    <t>2110-1538</t>
  </si>
  <si>
    <t>00000004HMDZEU01 (AutoReverse)</t>
  </si>
  <si>
    <t>2110-1611</t>
  </si>
  <si>
    <t>A000000GLNUPEU02 (AutoReverse)</t>
  </si>
  <si>
    <t>2110-1622</t>
  </si>
  <si>
    <t>A000000GLNUZEU02 (AutoReverse)</t>
  </si>
  <si>
    <t>2110-411</t>
  </si>
  <si>
    <t>00000008YMTOEU01 (AutoReverse)</t>
  </si>
  <si>
    <t xml:space="preserve"> Heating System &gt;  Heating System &gt;  Blowing Unit System</t>
  </si>
  <si>
    <t xml:space="preserve"> Heating System &gt;  Heating System &gt;  Blowing Unit System &gt;  Air Unit</t>
  </si>
  <si>
    <t xml:space="preserve"> Heating System &gt;  Heating System &gt;  Blowing Unit System &gt;  Air Unit &gt;  Covers</t>
  </si>
  <si>
    <t>2110-356</t>
  </si>
  <si>
    <t>0000000A6Z5QEU01 (AutoReverse)</t>
  </si>
  <si>
    <t>2110-502</t>
  </si>
  <si>
    <t>000000014A14EU01 (AutoReverse)</t>
  </si>
  <si>
    <t>2110-459</t>
  </si>
  <si>
    <t>00000007CMAEEU01 (AutoReverse)</t>
  </si>
  <si>
    <t>2110-357</t>
  </si>
  <si>
    <t>00000000U8NQEU01 (AutoReverse)</t>
  </si>
  <si>
    <t>2110-381</t>
  </si>
  <si>
    <t>000000017GMHEU01 (AutoReverse)</t>
  </si>
  <si>
    <t>2110-294</t>
  </si>
  <si>
    <t>0000000965E3EU01 (AutoReverse)</t>
  </si>
  <si>
    <t>2110-352</t>
  </si>
  <si>
    <t>00000000BDJ2EU01 (AutoReverse)</t>
  </si>
  <si>
    <t>2110-941</t>
  </si>
  <si>
    <t>0000000A2RM9EU01 (AutoReverse)</t>
  </si>
  <si>
    <t>2110-353</t>
  </si>
  <si>
    <t>000000045WS5EU01 (AutoReverse)</t>
  </si>
  <si>
    <t xml:space="preserve"> Heating System &gt;  Heating System &gt;  Bracket</t>
  </si>
  <si>
    <t>2110-350</t>
  </si>
  <si>
    <t>00000005Y9KSEU01 (AutoReverse)</t>
  </si>
  <si>
    <t xml:space="preserve"> Heating System &gt;  Heating System &gt;  Bracket &gt;  Central/Single</t>
  </si>
  <si>
    <t xml:space="preserve"> Heating System &gt;  Heating System &gt;  Bracket &gt;  Central/Single &gt; Process</t>
  </si>
  <si>
    <t>2110-1684</t>
  </si>
  <si>
    <t>0000000361QOEU01 (AutoReverse)</t>
  </si>
  <si>
    <t>2110-1701</t>
  </si>
  <si>
    <t>0000000AHKOEEU01 (AutoReverse)</t>
  </si>
  <si>
    <t>2110-351</t>
  </si>
  <si>
    <t>00000008NBLTEU01 (AutoReverse)</t>
  </si>
  <si>
    <t xml:space="preserve"> Heating System &gt;  Heating System &gt;  Evaporator System</t>
  </si>
  <si>
    <t>2110-1690</t>
  </si>
  <si>
    <t>00000004ZU0GEU01 (AutoReverse)</t>
  </si>
  <si>
    <t xml:space="preserve"> Heating System &gt;  Heating System &gt;  Evaporator System &gt;  Evaporator</t>
  </si>
  <si>
    <t>0.99500 kg</t>
  </si>
  <si>
    <t>1.1055555555555555555555555556 kg</t>
  </si>
  <si>
    <t xml:space="preserve"> Heating System &gt;  Heating System &gt;  Evaporator System &gt;  Evaporator &gt; Process</t>
  </si>
  <si>
    <t>2110-1640</t>
  </si>
  <si>
    <t>00000007JFM5EU01 (AutoReverse)</t>
  </si>
  <si>
    <t>2110-1456</t>
  </si>
  <si>
    <t>00000006M591EU01 (AutoReverse)</t>
  </si>
  <si>
    <t>2110-1695</t>
  </si>
  <si>
    <t>00000004O8EHEU01 (AutoReverse)</t>
  </si>
  <si>
    <t>2110-1350</t>
  </si>
  <si>
    <t>00000002S3UIEU01 (AutoReverse)</t>
  </si>
  <si>
    <t>2110-1351</t>
  </si>
  <si>
    <t>000000046OFHEU01 (AutoReverse)</t>
  </si>
  <si>
    <t xml:space="preserve"> Heating System &gt;  Heating System &gt;  PTC Heater System</t>
  </si>
  <si>
    <t>2110-1459</t>
  </si>
  <si>
    <t>000000019WPOEU01 (AutoReverse)</t>
  </si>
  <si>
    <t>2110-1563</t>
  </si>
  <si>
    <t>00000007XZ16EU01 (AutoReverse)</t>
  </si>
  <si>
    <t>2110-1460</t>
  </si>
  <si>
    <t>00000002CCWEEU01 (AutoReverse)</t>
  </si>
  <si>
    <t xml:space="preserve"> Heating System &gt;  Heating System &gt;  Purifier Filter</t>
  </si>
  <si>
    <t>2110-300</t>
  </si>
  <si>
    <t>00000007XXGHEU01 (AutoReverse)</t>
  </si>
  <si>
    <t>2110-305</t>
  </si>
  <si>
    <t>00000008V57UEU01 (AutoReverse)</t>
  </si>
  <si>
    <t>2110-301</t>
  </si>
  <si>
    <t>0000000AG0THEU01 (AutoReverse)</t>
  </si>
  <si>
    <t xml:space="preserve"> Heating System &gt;  Heating System &gt;  Drain Tube - Air Conditioning System</t>
  </si>
  <si>
    <t>2110-1638</t>
  </si>
  <si>
    <t>00000001VC1FEU01 (AutoReverse)</t>
  </si>
  <si>
    <t>2110-1639</t>
  </si>
  <si>
    <t>0000000ACLHUEU01 (AutoReverse)</t>
  </si>
  <si>
    <t xml:space="preserve"> Heating System &gt;  Heating System &gt;  Air Intake Duct</t>
  </si>
  <si>
    <t>2110-432</t>
  </si>
  <si>
    <t>0000000A6PD1EU01 (AutoReverse)</t>
  </si>
  <si>
    <t>2110-431</t>
  </si>
  <si>
    <t>00000007CBZVEU01 (AutoReverse)</t>
  </si>
  <si>
    <t>2110-391</t>
  </si>
  <si>
    <t>00000007WY7OEU01 (AutoReverse)</t>
  </si>
  <si>
    <t>2110-426</t>
  </si>
  <si>
    <t>00000001PD4FEU01 (AutoReverse)</t>
  </si>
  <si>
    <t>2110-233</t>
  </si>
  <si>
    <t>00000006O44FEU01 (AutoReverse)</t>
  </si>
  <si>
    <t>2110-292</t>
  </si>
  <si>
    <t>000000017ME9EU01 (AutoReverse)</t>
  </si>
  <si>
    <t>2110-248</t>
  </si>
  <si>
    <t>00000009ZUR8EU01 (AutoReverse)</t>
  </si>
  <si>
    <t>2110-210</t>
  </si>
  <si>
    <t>000000038BJDEU01 (AutoReverse)</t>
  </si>
  <si>
    <t xml:space="preserve"> Heating System &gt;  Heating System &gt;  Sound Insulation System</t>
  </si>
  <si>
    <t>2110-240</t>
  </si>
  <si>
    <t>00000000YD94EU01 (AutoReverse)</t>
  </si>
  <si>
    <t>2110-244</t>
  </si>
  <si>
    <t>00000009WXZQEU01 (AutoReverse)</t>
  </si>
  <si>
    <t>2110-1894</t>
  </si>
  <si>
    <t>A0000017TSDKEU02 (AutoReverse)</t>
  </si>
  <si>
    <t>2110-514</t>
  </si>
  <si>
    <t>00000009KKHUEU01 (AutoReverse)</t>
  </si>
  <si>
    <t>2110-1691</t>
  </si>
  <si>
    <t>000000070YT8EU01 (AutoReverse)</t>
  </si>
  <si>
    <t>2110-1700</t>
  </si>
  <si>
    <t>00000006LDIXEU01 (AutoReverse)</t>
  </si>
  <si>
    <t xml:space="preserve"> Heating System &gt;  Heating System &gt; Process</t>
  </si>
  <si>
    <t>2110-1293</t>
  </si>
  <si>
    <t>00000001HDITEU01 (AutoReverse)</t>
  </si>
  <si>
    <t xml:space="preserve"> Heating System &gt;  Front Air Duct</t>
  </si>
  <si>
    <t>2110-1646</t>
  </si>
  <si>
    <t>00000002JUJDEU01 (AutoReverse)</t>
  </si>
  <si>
    <t xml:space="preserve"> Heating System &gt;  Front Air Duct &gt;  Central</t>
  </si>
  <si>
    <t>0.72500 kg</t>
  </si>
  <si>
    <t>0.7631578947368421052631578947 kg</t>
  </si>
  <si>
    <t xml:space="preserve"> Heating System &gt;  Front Air Duct &gt;  Central &gt; Process</t>
  </si>
  <si>
    <t>2110-1648</t>
  </si>
  <si>
    <t>00000004K0REEU01 (AutoReverse)</t>
  </si>
  <si>
    <t>2110-1647</t>
  </si>
  <si>
    <t>0000000AJN15EU01 (AutoReverse)</t>
  </si>
  <si>
    <t>2110-1379</t>
  </si>
  <si>
    <t>000000084GVYEU01 (AutoReverse)</t>
  </si>
  <si>
    <t>2110-1645</t>
  </si>
  <si>
    <t>00000003RYT3EU01 (AutoReverse)</t>
  </si>
  <si>
    <t>2110-1348</t>
  </si>
  <si>
    <t>00000006OEUGEU01 (AutoReverse)</t>
  </si>
  <si>
    <t>2110-1349</t>
  </si>
  <si>
    <t>00000003ST56EU01 (AutoReverse)</t>
  </si>
  <si>
    <t xml:space="preserve"> Heating System &gt;  Front Lower Air Pipe</t>
  </si>
  <si>
    <t xml:space="preserve"> Heating System &gt;  Front Lower Air Pipe &gt;  Temperature Sensor</t>
  </si>
  <si>
    <t>2110-1464</t>
  </si>
  <si>
    <t>00000006S4V0EU01 (AutoReverse)</t>
  </si>
  <si>
    <t>2110-1465</t>
  </si>
  <si>
    <t>000000046R37EU01 (AutoReverse)</t>
  </si>
  <si>
    <t>2110-1413</t>
  </si>
  <si>
    <t>000000061K7VEU01 (AutoReverse)</t>
  </si>
  <si>
    <t>2110-1406</t>
  </si>
  <si>
    <t>00000001QTYSEU01 (AutoReverse)</t>
  </si>
  <si>
    <t>2110-1407</t>
  </si>
  <si>
    <t>00000007M8H8EU01 (AutoReverse)</t>
  </si>
  <si>
    <t xml:space="preserve"> Heating System &gt;  Lateral Defroster System</t>
  </si>
  <si>
    <t xml:space="preserve"> Heating System &gt;  Lateral Defroster System &gt;  Side Vents</t>
  </si>
  <si>
    <t>2110-1641</t>
  </si>
  <si>
    <t>0000000217PSEU01 (AutoReverse)</t>
  </si>
  <si>
    <t>2110-1644</t>
  </si>
  <si>
    <t>000000068BMXEU01 (AutoReverse)</t>
  </si>
  <si>
    <t>2110-1642</t>
  </si>
  <si>
    <t>00000001TLMAEU01 (AutoReverse)</t>
  </si>
  <si>
    <t>2110-1643</t>
  </si>
  <si>
    <t>000000023IN6EU01 (AutoReverse)</t>
  </si>
  <si>
    <t xml:space="preserve"> Heating System &gt;  Windshield Defroster Vent Ducts</t>
  </si>
  <si>
    <t>2110-1625</t>
  </si>
  <si>
    <t>00000006260REU01 (AutoReverse)</t>
  </si>
  <si>
    <t>2110-1375</t>
  </si>
  <si>
    <t>00000001R3XCEU01 (AutoReverse)</t>
  </si>
  <si>
    <t>2110-1778</t>
  </si>
  <si>
    <t>0000000A8HJVEU01 (AutoReverse)</t>
  </si>
  <si>
    <t>2110-1345</t>
  </si>
  <si>
    <t>00000006O2SJEU01 (AutoReverse)</t>
  </si>
  <si>
    <t>2110-1346</t>
  </si>
  <si>
    <t>00000006TQLMEU01 (AutoReverse)</t>
  </si>
  <si>
    <t xml:space="preserve"> Heating System &gt;  Windshield Defroster Grill</t>
  </si>
  <si>
    <t>2110-1776</t>
  </si>
  <si>
    <t>00000003IKBJEU01 (AutoReverse)</t>
  </si>
  <si>
    <t>2110-1777</t>
  </si>
  <si>
    <t>0000000738QTEU01 (AutoReverse)</t>
  </si>
  <si>
    <t xml:space="preserve"> Heating System &gt;  Auxiliary Heating System</t>
  </si>
  <si>
    <t>2110-1512</t>
  </si>
  <si>
    <t>00000003FQ11EU01 (AutoReverse)</t>
  </si>
  <si>
    <t>2110-1536</t>
  </si>
  <si>
    <t>000000AAF3VHEU02 (AutoReverse)</t>
  </si>
  <si>
    <t>2110-1542</t>
  </si>
  <si>
    <t>000000AAF3VKEU02 (AutoReverse)</t>
  </si>
  <si>
    <t>2110-1513</t>
  </si>
  <si>
    <t>000000097RA4EU01 (AutoReverse)</t>
  </si>
  <si>
    <t xml:space="preserve"> Heating System &gt;  2nd Row Ventilation</t>
  </si>
  <si>
    <t xml:space="preserve"> Heating System &gt;  2nd Row Ventilation &gt;  2nd Row: Feet</t>
  </si>
  <si>
    <t xml:space="preserve"> Heating System &gt;  2nd Row Ventilation &gt;  2nd Row: Feet &gt;  Air Duct Under Left Seat</t>
  </si>
  <si>
    <t>0.37600 kg</t>
  </si>
  <si>
    <t>0.3957894736842105263157894737 kg</t>
  </si>
  <si>
    <t xml:space="preserve"> Heating System &gt;  2nd Row Ventilation &gt;  2nd Row: Feet &gt;  Air Duct Under Left Seat &gt; Process</t>
  </si>
  <si>
    <t>2110-1018</t>
  </si>
  <si>
    <t>00000003QFMAEU01 (AutoReverse)</t>
  </si>
  <si>
    <t xml:space="preserve"> Heating System &gt;  2nd Row Ventilation &gt;  2nd Row: Feet &gt;  Air Duct Under Right Seat</t>
  </si>
  <si>
    <t>0.38100 kg</t>
  </si>
  <si>
    <t>0.4010526315789473684210526316 kg</t>
  </si>
  <si>
    <t xml:space="preserve"> Heating System &gt;  2nd Row Ventilation &gt;  2nd Row: Feet &gt;  Air Duct Under Right Seat &gt; Process</t>
  </si>
  <si>
    <t>2110-1015</t>
  </si>
  <si>
    <t>000000017N2UEU01 (AutoReverse)</t>
  </si>
  <si>
    <t>2110-1016</t>
  </si>
  <si>
    <t>00000009CLMCEU01 (AutoReverse)</t>
  </si>
  <si>
    <t xml:space="preserve"> Heating System &gt;  2nd Row Ventilation &gt;  Central</t>
  </si>
  <si>
    <t>2110-1383</t>
  </si>
  <si>
    <t>0000000AQJDIEU01 (AutoReverse)</t>
  </si>
  <si>
    <t>2110-1014</t>
  </si>
  <si>
    <t>000000024LZVEU01 (AutoReverse)</t>
  </si>
  <si>
    <t>2110-1000</t>
  </si>
  <si>
    <t>0000000APPUKEU01 (AutoReverse)</t>
  </si>
  <si>
    <t>2110-1001</t>
  </si>
  <si>
    <t>00000000OKEQEU01 (AutoReverse)</t>
  </si>
  <si>
    <t>2110-1002</t>
  </si>
  <si>
    <t>00000001Q2VVEU01 (AutoReverse)</t>
  </si>
  <si>
    <t>2110-236</t>
  </si>
  <si>
    <t>00000002JWH9EU01 (AutoReverse)</t>
  </si>
  <si>
    <t>Accessories</t>
  </si>
  <si>
    <t>Accessories &gt; Sensors</t>
  </si>
  <si>
    <t>Accessories &gt; Sensors &gt; Interior Temperature Sensor</t>
  </si>
  <si>
    <t>Accessories &gt; Sensors &gt; Interior Temperature Sensor &gt; Interior Temperature Sensor</t>
  </si>
  <si>
    <t>Accessories &gt; Sensors &gt; Interior Temperature Sensor &gt; Interior Temperature Sensor &gt; Process</t>
  </si>
  <si>
    <t>PC-ABS;ELECTRONIC COMPONENT</t>
  </si>
  <si>
    <t>00000008O989EU01 (AutoReverse)</t>
  </si>
  <si>
    <t>PP</t>
  </si>
  <si>
    <t>00000001DLYFEU01 (AutoReverse)</t>
  </si>
  <si>
    <t>00000007I4OPEU01 (AutoReverse)</t>
  </si>
  <si>
    <t>Accessories &gt; Sensors &gt; Exterior Temperature Sensor</t>
  </si>
  <si>
    <t>Accessories &gt; Sensors &gt; Exterior Temperature Sensor &gt; Process</t>
  </si>
  <si>
    <t>PA66;ELECTRONIC COMPONENT</t>
  </si>
  <si>
    <t>0000000A3KYTEU01 (AutoReverse)</t>
  </si>
  <si>
    <t>000000027N8XEU01 (AutoReverse)</t>
  </si>
  <si>
    <t>Accessories &gt; Sensors &gt; Rain Sensor</t>
  </si>
  <si>
    <t>Accessories &gt; Sensors &gt; Rain Sensor &gt; Process</t>
  </si>
  <si>
    <t>{_x000d_
  "productId": "0000000W11PUCID0",_x000d_
  "productCompleteName": "TRW"_x000d_
}</t>
  </si>
  <si>
    <t>PLASTIC UNKNOWN;ELECTRONIC COMPONENT</t>
  </si>
  <si>
    <t>00000006E0YYEU01 (AutoReverse)</t>
  </si>
  <si>
    <t>0000000968XPEU01 (AutoReverse)</t>
  </si>
  <si>
    <t>Accessories &gt; Plugs</t>
  </si>
  <si>
    <t>Accessories &gt; Plugs &gt; USB Plug</t>
  </si>
  <si>
    <t>Accessories &gt; Plugs &gt; USB Plug &gt; Process [2]</t>
  </si>
  <si>
    <t>00000003YQ5HEU01 (AutoReverse)</t>
  </si>
  <si>
    <t>Accessories &gt; Plugs &gt; USB Plug 2</t>
  </si>
  <si>
    <t>Accessories &gt; Plugs &gt; USB Plug 2 &gt; Process [2]</t>
  </si>
  <si>
    <t>00000007SMGPEU01 (AutoReverse)</t>
  </si>
  <si>
    <t>{_x000d_
  "productId": "0000000W11RSCID0",_x000d_
  "productCompleteName": "Valeo"_x000d_
}</t>
  </si>
  <si>
    <t>ELECTRONIC COMPONENT;PA66;FERROUS METAL</t>
  </si>
  <si>
    <t>000000016UPGEU01 (AutoReverse)</t>
  </si>
  <si>
    <t>PA66;FERROUS METAL</t>
  </si>
  <si>
    <t>000000095V7LEU01 (AutoReverse)</t>
  </si>
  <si>
    <t>00000008BEDDEU01 (AutoReverse)</t>
  </si>
  <si>
    <t>Accessories &gt; Tool Box</t>
  </si>
  <si>
    <t>Accessories &gt; Tool Box &gt; Towing Hook</t>
  </si>
  <si>
    <t>{_x000d_
  "productId": "A000000199PLEU02",_x000d_
  "productCompleteName": "Audi"_x000d_
}</t>
  </si>
  <si>
    <t>00000003UE33EU01 (AutoReverse)</t>
  </si>
  <si>
    <t>Accessories &gt; Tool Box &gt; Tire Sealant</t>
  </si>
  <si>
    <t>0.80400 kg</t>
  </si>
  <si>
    <t>0.8463157894736842105263157895 kg</t>
  </si>
  <si>
    <t>Accessories &gt; Tool Box &gt; Tire Sealant &gt; Automated Process</t>
  </si>
  <si>
    <t>00000007IUNTEU01 (AutoReverse)</t>
  </si>
  <si>
    <t>{_x000d_
  "productId": "0000000W0ZDOCID0",_x000d_
  "productCompleteName": "Aircom"_x000d_
}</t>
  </si>
  <si>
    <t>ELECTRONIC COMPONENT;PP</t>
  </si>
  <si>
    <t>00000008NBW1EU01 (AutoReverse)</t>
  </si>
  <si>
    <t>Accessories &gt; Tool Box &gt; Hubcaps Remover</t>
  </si>
  <si>
    <t>0000000ATP8FEU01 (AutoReverse)</t>
  </si>
  <si>
    <t>Accessories &gt; Tool Box &gt; Storage Compartment</t>
  </si>
  <si>
    <t>0.0378947368421052631578947368 kg</t>
  </si>
  <si>
    <t>Accessories &gt; Tool Box &gt; Storage Compartment &gt; Automated Process</t>
  </si>
  <si>
    <t>EPP</t>
  </si>
  <si>
    <t>00000005LTCMEU01 (AutoReverse)</t>
  </si>
  <si>
    <t>Accessories &gt; Tool Box &gt; Storage Compartment 2</t>
  </si>
  <si>
    <t>{_x000d_
  "productId": "0000000W0ZLQCID0",_x000d_
  "productCompleteName": "Borgers"_x000d_
}</t>
  </si>
  <si>
    <t>PET-PP;CO</t>
  </si>
  <si>
    <t>000000068PG7EU01 (AutoReverse)</t>
  </si>
  <si>
    <t>Accessories &gt; Tool Box &gt; Storage Bag</t>
  </si>
  <si>
    <t>0.04950 kg</t>
  </si>
  <si>
    <t>0.0521052631578947368421052632 kg</t>
  </si>
  <si>
    <t>Accessories &gt; Tool Box &gt; Storage Bag &gt; Automated Process</t>
  </si>
  <si>
    <t>0.066 kg</t>
  </si>
  <si>
    <t>PVC;NON FERROUS METAL</t>
  </si>
  <si>
    <t>0000000A472BEU01 (AutoReverse)</t>
  </si>
  <si>
    <t>Accessories &gt; Tool Box &gt; Security Nut Tool</t>
  </si>
  <si>
    <t>000000048UEREU01 (AutoReverse)</t>
  </si>
  <si>
    <t>Accessories &gt; Tool Box &gt; Security Screw Nut</t>
  </si>
  <si>
    <t>00000003YR9JEU01 (AutoReverse)</t>
  </si>
  <si>
    <t>00000006ODVZEU01 (AutoReverse)</t>
  </si>
  <si>
    <t>Accessories &gt; Audio System</t>
  </si>
  <si>
    <t>Accessories &gt; Audio System &gt; Radio Antenna System</t>
  </si>
  <si>
    <t>Accessories &gt; Audio System &gt; Radio Antenna System &gt; Radio Antenna</t>
  </si>
  <si>
    <t>Accessories &gt; Audio System &gt; Radio Antenna System &gt; Radio Antenna &gt; Process</t>
  </si>
  <si>
    <t>PC;ELASTOMER UNKNOWN;FERROUS METAL;ELECTRONIC COMPONENT</t>
  </si>
  <si>
    <t>00000003WPKFEU01 (AutoReverse)</t>
  </si>
  <si>
    <t>00000003X649EU01 (AutoReverse)</t>
  </si>
  <si>
    <t>{_x000d_
  "productId": "0000000W10W6CID0",_x000d_
  "productCompleteName": "Molex"_x000d_
}</t>
  </si>
  <si>
    <t>ELECTRONIC COMPONENT;FERROUS METAL;PC</t>
  </si>
  <si>
    <t>00000007FBFREU01 (AutoReverse)</t>
  </si>
  <si>
    <t>00000006QES1EU01 (AutoReverse)</t>
  </si>
  <si>
    <t>Accessories &gt; Phone System</t>
  </si>
  <si>
    <t>Accessories &gt; Phone System &gt; Telematics ECU</t>
  </si>
  <si>
    <t>Accessories &gt; Phone System &gt; Telematics ECU &gt; Process</t>
  </si>
  <si>
    <t>{_x000d_
  "productId": "0000000W10P4CID0",_x000d_
  "productCompleteName": "LG"_x000d_
}</t>
  </si>
  <si>
    <t>ELECTRONIC COMPONENT;PC-ABS;NON FERROUS METAL</t>
  </si>
  <si>
    <t>00000008E2ZSEU01 (AutoReverse)</t>
  </si>
  <si>
    <t>PA6</t>
  </si>
  <si>
    <t>0000000ALV4FEU01 (AutoReverse)</t>
  </si>
  <si>
    <t>ELECTRONIC COMPONENT;ELASTOMER UNKNOWN;NON FERROUS METAL</t>
  </si>
  <si>
    <t>00000002NTF3EU01 (AutoReverse)</t>
  </si>
  <si>
    <t>Accessories &gt; Phone System &gt; Induction Charger   Qi System</t>
  </si>
  <si>
    <t>Accessories &gt; Phone System &gt; Induction Charger   Qi System &gt; Process</t>
  </si>
  <si>
    <t>ELECTRONIC COMPONENT;PC;NON FERROUS METAL</t>
  </si>
  <si>
    <t>00000003GUOFEU01 (AutoReverse)</t>
  </si>
  <si>
    <t>TPE-SEBS</t>
  </si>
  <si>
    <t>0000009YP5OCEU02 (AutoReverse)</t>
  </si>
  <si>
    <t>Accessories &gt; Phone System &gt; Induction Charger Support</t>
  </si>
  <si>
    <t>0.03800 kg</t>
  </si>
  <si>
    <t>0.04 kg</t>
  </si>
  <si>
    <t>Accessories &gt; Phone System &gt; Induction Charger Support &gt; Automated Process</t>
  </si>
  <si>
    <t>PC-ABS</t>
  </si>
  <si>
    <t>000000061C4REU01 (AutoReverse)</t>
  </si>
  <si>
    <t>00000005PCCQEU01 (AutoReverse)</t>
  </si>
  <si>
    <t>Accessories &gt; Emblems</t>
  </si>
  <si>
    <t>Accessories &gt; Emblems &gt; Model Emblem</t>
  </si>
  <si>
    <t>0.00300 kg</t>
  </si>
  <si>
    <t>0.0031578947368421052631578947 kg</t>
  </si>
  <si>
    <t>Accessories &gt; Emblems &gt; Model Emblem &gt; Automated Process</t>
  </si>
  <si>
    <t>PMMA</t>
  </si>
  <si>
    <t>00000009F2O5EU01 (AutoReverse)</t>
  </si>
  <si>
    <t>Accessories &gt; Emblems &gt; Trim Level Emblem</t>
  </si>
  <si>
    <t>0.0073684210526315789473684211 kg</t>
  </si>
  <si>
    <t>Accessories &gt; Emblems &gt; Trim Level Emblem &gt; Automated Process</t>
  </si>
  <si>
    <t>ABS</t>
  </si>
  <si>
    <t>0000000AXXKWEU01 (AutoReverse)</t>
  </si>
  <si>
    <t>Accessories &gt; Emblems &gt; Trim Level Emblem Support</t>
  </si>
  <si>
    <t>0.00650 kg</t>
  </si>
  <si>
    <t>0.0068421052631578947368421053 kg</t>
  </si>
  <si>
    <t>Accessories &gt; Emblems &gt; Trim Level Emblem Support &gt; Automated Process</t>
  </si>
  <si>
    <t>ABS;PMMA</t>
  </si>
  <si>
    <t>A000000EQMUWEU02 (AutoReverse)</t>
  </si>
  <si>
    <t>00000001LICSEU01 (AutoReverse)</t>
  </si>
  <si>
    <t>Accessories &gt; Keyless Opening System</t>
  </si>
  <si>
    <t>Accessories &gt; Keyless Opening System &gt; Passive Entry System</t>
  </si>
  <si>
    <t>{_x000d_
  "productId": "0000000W10AGCID0",_x000d_
  "productCompleteName": "Hella"_x000d_
}</t>
  </si>
  <si>
    <t>ELECTRONIC COMPONENT;PP;NON FERROUS METAL</t>
  </si>
  <si>
    <t>000000070WC4EU01 (AutoReverse)</t>
  </si>
  <si>
    <t>A0000006RKLLEU02 (AutoReverse)</t>
  </si>
  <si>
    <t>00000008BEQKEU01 (AutoReverse)</t>
  </si>
  <si>
    <t>Accessories &gt; Keyless Opening System &gt; Keyless Entry ECU</t>
  </si>
  <si>
    <t>Accessories &gt; Keyless Opening System &gt; Keyless Entry ECU &gt; Process</t>
  </si>
  <si>
    <t>PP;ELECTRONIC COMPONENT</t>
  </si>
  <si>
    <t>00000006EFZPEU01 (AutoReverse)</t>
  </si>
  <si>
    <t>00000008VR09EU01 (AutoReverse)</t>
  </si>
  <si>
    <t>ELECTRONIC COMPONENT;PBT</t>
  </si>
  <si>
    <t>00000005KBP3EU01 (AutoReverse)</t>
  </si>
  <si>
    <t>0000000780FKEU01 (AutoReverse)</t>
  </si>
  <si>
    <t>00000006BSTMEU01 (AutoReverse)</t>
  </si>
  <si>
    <t>Accessories &gt; Keyless Opening System &gt; Antenna 5 Keyless Entry</t>
  </si>
  <si>
    <t>Accessories &gt; Keyless Opening System &gt; Antenna 5 Keyless Entry &gt; Process</t>
  </si>
  <si>
    <t>00000002OLBZEU01 (AutoReverse)</t>
  </si>
  <si>
    <t>Accessories &gt; Keyless Opening System &gt; Antenna 6 Keyless Entry</t>
  </si>
  <si>
    <t>Accessories &gt; Keyless Opening System &gt; Antenna 6 Keyless Entry &gt; Process</t>
  </si>
  <si>
    <t>000000012HYKEU01 (AutoReverse)</t>
  </si>
  <si>
    <t>000000005TATEU01 (AutoReverse)</t>
  </si>
  <si>
    <t>000000242OBJCID0 (AutoReverse)</t>
  </si>
  <si>
    <t>00000009SAP3EU01 (AutoReverse)</t>
  </si>
  <si>
    <t>Accessories &gt; Park Assist System</t>
  </si>
  <si>
    <t>Accessories &gt; Park Assist System &gt; Front Park Assist</t>
  </si>
  <si>
    <t>00000004D71IEU01 (AutoReverse)</t>
  </si>
  <si>
    <t>{_x000d_
  "productId": "0000000W10R2CID0",_x000d_
  "productCompleteName": "Magna"_x000d_
}</t>
  </si>
  <si>
    <t>0000000551OGEU01 (AutoReverse)</t>
  </si>
  <si>
    <t>00000003M75FEU01 (AutoReverse)</t>
  </si>
  <si>
    <t>00000009GR8SEU01 (AutoReverse)</t>
  </si>
  <si>
    <t>Accessories &gt; Park Assist System &gt; Rear Park Assist</t>
  </si>
  <si>
    <t>Accessories &gt; Park Assist System &gt; Rear Park Assist &gt; Camera System</t>
  </si>
  <si>
    <t>Accessories &gt; Park Assist System &gt; Rear Park Assist &gt; Camera System &gt; Camera Washer System</t>
  </si>
  <si>
    <t>POM</t>
  </si>
  <si>
    <t>00000006XOMKEU01 (AutoReverse)</t>
  </si>
  <si>
    <t>0000000935K1EU01 (AutoReverse)</t>
  </si>
  <si>
    <t>Accessories &gt; Park Assist System &gt; Rear Park Assist &gt; Camera System &gt; Rear Camera</t>
  </si>
  <si>
    <t>Accessories &gt; Park Assist System &gt; Rear Park Assist &gt; Camera System &gt; Rear Camera &gt; Process</t>
  </si>
  <si>
    <t>ELECTRONIC COMPONENT;PBT;NON FERROUS METAL</t>
  </si>
  <si>
    <t>000000029UJTEU01 (AutoReverse)</t>
  </si>
  <si>
    <t>000000072XIEEU01 (AutoReverse)</t>
  </si>
  <si>
    <t>Accessories &gt; Park Assist System &gt; Rear Park Assist &gt; Parking Assist ECU</t>
  </si>
  <si>
    <t>Accessories &gt; Park Assist System &gt; Rear Park Assist &gt; Parking Assist ECU &gt; Process</t>
  </si>
  <si>
    <t>{_x000d_
  "productId": "0000000W0ZM0CID0",_x000d_
  "productCompleteName": "Bosch"_x000d_
}</t>
  </si>
  <si>
    <t>00000001OL5UEU01 (AutoReverse)</t>
  </si>
  <si>
    <t>0000000765AYEU01 (AutoReverse)</t>
  </si>
  <si>
    <t>PLASTIC UNKNOWN</t>
  </si>
  <si>
    <t>00000000VPP9EU01 (AutoReverse)</t>
  </si>
  <si>
    <t>00000004BS17EU01 (AutoReverse)</t>
  </si>
  <si>
    <t>{_x000d_
  "productId": "0000000W0ZI2CID0",_x000d_
  "productCompleteName": "ATW"_x000d_
}</t>
  </si>
  <si>
    <t>00000001OJAYEU01 (AutoReverse)</t>
  </si>
  <si>
    <t>00000009992UEU01 (AutoReverse)</t>
  </si>
  <si>
    <t>00000002MP93EU01 (AutoReverse)</t>
  </si>
  <si>
    <t>Accessories &gt; Distance Control System</t>
  </si>
  <si>
    <t>Accessories &gt; Distance Control System &gt; Distance Control Radar</t>
  </si>
  <si>
    <t>Accessories &gt; Distance Control System &gt; Distance Control Radar &gt; Process</t>
  </si>
  <si>
    <t>{_x000d_
  "productId": "0000000W0ZS0CID0",_x000d_
  "productCompleteName": "Continental"_x000d_
}</t>
  </si>
  <si>
    <t>PBT;ELECTRONIC COMPONENT;NON FERROUS METAL</t>
  </si>
  <si>
    <t>00000007NWALEU01 (AutoReverse)</t>
  </si>
  <si>
    <t>000000055YLOEU01 (AutoReverse)</t>
  </si>
  <si>
    <t>0000000920WNEU01 (AutoReverse)</t>
  </si>
  <si>
    <t>Accessories &gt; Lane Assist System</t>
  </si>
  <si>
    <t>Accessories &gt; Lane Assist System &gt; Lane Assist Camera</t>
  </si>
  <si>
    <t>Accessories &gt; Lane Assist System &gt; Lane Assist Camera &gt; Process</t>
  </si>
  <si>
    <t>00000000RALREU01 (AutoReverse)</t>
  </si>
  <si>
    <t>00000007R124EU01 (AutoReverse)</t>
  </si>
  <si>
    <t>Accessories &gt; Blind Spot Detection System</t>
  </si>
  <si>
    <t>Accessories &gt; Blind Spot Detection System &gt; Blind Spot Detection Radar</t>
  </si>
  <si>
    <t>Accessories &gt; Blind Spot Detection System &gt; Blind Spot Detection Radar &gt; Process</t>
  </si>
  <si>
    <t>00000001HQMMEU01 (AutoReverse)</t>
  </si>
  <si>
    <t>0000000653CTEU01 (AutoReverse)</t>
  </si>
  <si>
    <t>00000006F85YEU01 (AutoReverse)</t>
  </si>
  <si>
    <t>Accessories &gt; Trailer Hitch System   Bike Carier</t>
  </si>
  <si>
    <t>Accessories &gt; Trailer Hitch System   Bike Carier &gt; Receiver</t>
  </si>
  <si>
    <t>00000005U2H3EU01 (AutoReverse)</t>
  </si>
  <si>
    <t>Accessories &gt; Trailer Hitch System   Bike Carier &gt; Protection</t>
  </si>
  <si>
    <t>0.02700 kg</t>
  </si>
  <si>
    <t>0.0284210526315789473684210526 kg</t>
  </si>
  <si>
    <t>Accessories &gt; Trailer Hitch System   Bike Carier &gt; Protection &gt; Automated Process</t>
  </si>
  <si>
    <t>000000020E42EU01 (AutoReverse)</t>
  </si>
  <si>
    <t>000000072NHNEU01 (AutoReverse)</t>
  </si>
  <si>
    <t>Accessories &gt; Trunk Open Assist By Foot System</t>
  </si>
  <si>
    <t>{_x000d_
  "productId": "0000000W10T8CID0",_x000d_
  "productCompleteName": "MD Elektronik"_x000d_
}</t>
  </si>
  <si>
    <t>ELECTRONIC COMPONENT;PP-EPDM</t>
  </si>
  <si>
    <t>00000001EPK7EU01 (AutoReverse)</t>
  </si>
  <si>
    <t>Accessories &gt; Trunk Open Assist By Foot System &gt; Hands Free Trunk Tailgate Release ECU</t>
  </si>
  <si>
    <t>Accessories &gt; Trunk Open Assist By Foot System &gt; Hands Free Trunk Tailgate Release ECU &gt; Process</t>
  </si>
  <si>
    <t>{_x000d_
  "productId": "0000000W10D6CID0",_x000d_
  "productCompleteName": "Huf"_x000d_
}</t>
  </si>
  <si>
    <t>0000000657WEEU01 (AutoReverse)</t>
  </si>
  <si>
    <t>{_x000d_
  "productId": "0000000W10A0CID0",_x000d_
  "productCompleteName": "Haubitz / HBZ"_x000d_
}</t>
  </si>
  <si>
    <t>00000008CZ39EU01 (AutoReverse)</t>
  </si>
  <si>
    <t>000000046XW3EU01 (AutoReverse)</t>
  </si>
  <si>
    <t>Accessories &gt; Pedestrian Sound System</t>
  </si>
  <si>
    <t>Accessories &gt; Pedestrian Sound System &gt; Pedestrian Sound Speaker</t>
  </si>
  <si>
    <t>Accessories &gt; Pedestrian Sound System &gt; Pedestrian Sound Speaker &gt; Process [2]</t>
  </si>
  <si>
    <t>PCB Assembly + Final Assembly + Functional Test + Handling/Packaging</t>
  </si>
  <si>
    <t>PCB + All Electronic Components</t>
  </si>
  <si>
    <t>Electronics [2]</t>
  </si>
  <si>
    <t>Housings</t>
  </si>
  <si>
    <t>EE - Mechanics [2]</t>
  </si>
  <si>
    <t>000000029SY4EU01 (AutoReverse)</t>
  </si>
  <si>
    <t>0000000AVI82EU01 (AutoReverse)</t>
  </si>
  <si>
    <t>000000AALZ6DEU02 (AutoReverse)</t>
  </si>
  <si>
    <t>000000AALZ6EEU02 (AutoReverse)</t>
  </si>
  <si>
    <t>0000000AWQLBEU01 (AutoReverse)</t>
  </si>
  <si>
    <t>00000006TOONEU01 (AutoReverse)</t>
  </si>
  <si>
    <t>Transmission System</t>
  </si>
  <si>
    <t>Transmission System &gt; Front Gearbox &amp; Halfshafts</t>
  </si>
  <si>
    <t>Transmission System &gt; Front Gearbox &amp; Halfshafts &gt; Gearbox</t>
  </si>
  <si>
    <t>Transmission System &gt; Front Gearbox &amp; Halfshafts &gt; Gearbox &gt; Differential</t>
  </si>
  <si>
    <t>Transmission System &gt; Front Gearbox &amp; Halfshafts &gt; Gearbox &gt; Differential &gt; Differential gear</t>
  </si>
  <si>
    <t>1.67500 kg</t>
  </si>
  <si>
    <t>2.2333333333333333333333333333 kg</t>
  </si>
  <si>
    <t>Transmission System &gt; Front Gearbox &amp; Halfshafts &gt; Gearbox &gt; Differential &gt; Differential gear &gt; Process</t>
  </si>
  <si>
    <t>2110-1124-1</t>
  </si>
  <si>
    <t>00000004CYRAEU01 (AutoReverse)</t>
  </si>
  <si>
    <t>Transmission System &gt; Front Gearbox &amp; Halfshafts &gt; Gearbox &gt; Differential &gt; Differential case</t>
  </si>
  <si>
    <t>1.70000 kg</t>
  </si>
  <si>
    <t>1.7894736842105263157894736842 kg</t>
  </si>
  <si>
    <t>Transmission System &gt; Front Gearbox &amp; Halfshafts &gt; Gearbox &gt; Differential &gt; Differential case &gt; Process</t>
  </si>
  <si>
    <t>2110-1124-2</t>
  </si>
  <si>
    <t>Transmission System &gt; Front Gearbox &amp; Halfshafts &gt; Gearbox &gt; Differential &gt; Sun gear</t>
  </si>
  <si>
    <t>0.23200 kg</t>
  </si>
  <si>
    <t>0.3314285714285714285714285714 kg</t>
  </si>
  <si>
    <t>Transmission System &gt; Front Gearbox &amp; Halfshafts &gt; Gearbox &gt; Differential &gt; Sun gear &gt; Process</t>
  </si>
  <si>
    <t>2110-1124-3</t>
  </si>
  <si>
    <t>2110-1124-4</t>
  </si>
  <si>
    <t>Transmission System &gt; Front Gearbox &amp; Halfshafts &gt; Gearbox &gt; Differential &gt; Planet gear</t>
  </si>
  <si>
    <t>0.11400 kg</t>
  </si>
  <si>
    <t>0.1628571428571428571428571429 kg</t>
  </si>
  <si>
    <t>Transmission System &gt; Front Gearbox &amp; Halfshafts &gt; Gearbox &gt; Differential &gt; Planet gear &gt; Process</t>
  </si>
  <si>
    <t>2110-1124-5</t>
  </si>
  <si>
    <t>2110-1124-6</t>
  </si>
  <si>
    <t>2110-1124-6-1</t>
  </si>
  <si>
    <t>2110-1124-7</t>
  </si>
  <si>
    <t>2110-977</t>
  </si>
  <si>
    <t>000000086KRDEU01 (AutoReverse)</t>
  </si>
  <si>
    <t>2110-1103</t>
  </si>
  <si>
    <t>0000000A9ZHEEU01 (AutoReverse)</t>
  </si>
  <si>
    <t>Transmission System &gt; Front Gearbox &amp; Halfshafts &gt; Gearbox &gt; Differential &gt; Differential assembly</t>
  </si>
  <si>
    <t>2110-976</t>
  </si>
  <si>
    <t>PTR - [Internal] Assembly</t>
  </si>
  <si>
    <t>00000002JZALEU01 (AutoReverse)</t>
  </si>
  <si>
    <t>Transmission System &gt; Front Gearbox &amp; Halfshafts &gt; Gearbox &gt; Input stage</t>
  </si>
  <si>
    <t>Transmission System &gt; Front Gearbox &amp; Halfshafts &gt; Gearbox &gt; Input stage &gt; Input shaft</t>
  </si>
  <si>
    <t>1.51300 kg</t>
  </si>
  <si>
    <t>2.3276923076923076923076923077 kg</t>
  </si>
  <si>
    <t>Transmission System &gt; Front Gearbox &amp; Halfshafts &gt; Gearbox &gt; Input stage &gt; Input shaft &gt; Process</t>
  </si>
  <si>
    <t>2110-878</t>
  </si>
  <si>
    <t>00000005T498EU01 (AutoReverse)</t>
  </si>
  <si>
    <t>2110-878-1</t>
  </si>
  <si>
    <t>2110-858</t>
  </si>
  <si>
    <t>000000073VMUEU01 (AutoReverse)</t>
  </si>
  <si>
    <t>Transmission System &gt; Front Gearbox &amp; Halfshafts &gt; Gearbox &gt; Intermediate stage</t>
  </si>
  <si>
    <t>Transmission System &gt; Front Gearbox &amp; Halfshafts &gt; Gearbox &gt; Intermediate stage &gt; Gear</t>
  </si>
  <si>
    <t>2.77700 kg</t>
  </si>
  <si>
    <t>3.7026666666666666666666666667 kg</t>
  </si>
  <si>
    <t>Transmission System &gt; Front Gearbox &amp; Halfshafts &gt; Gearbox &gt; Intermediate stage &gt; Gear &gt; Process</t>
  </si>
  <si>
    <t>2110-1187</t>
  </si>
  <si>
    <t>000000012SB2EU01 (AutoReverse)</t>
  </si>
  <si>
    <t>2110-974</t>
  </si>
  <si>
    <t>00000008A008EU01 (AutoReverse)</t>
  </si>
  <si>
    <t>2110-1175</t>
  </si>
  <si>
    <t>000000019WGVEU01 (AutoReverse)</t>
  </si>
  <si>
    <t>2110-1006</t>
  </si>
  <si>
    <t>00000001VBMVEU01 (AutoReverse)</t>
  </si>
  <si>
    <t xml:space="preserve">Transmission System &gt; Front Gearbox &amp; Halfshafts &gt; Gearbox &gt; Oil management system </t>
  </si>
  <si>
    <t>2110-967</t>
  </si>
  <si>
    <t>0000000ASLVGEU01 (AutoReverse)</t>
  </si>
  <si>
    <t>2110-969</t>
  </si>
  <si>
    <t>000000ABLXL3EU02 (AutoReverse)</t>
  </si>
  <si>
    <t>Transmission System &gt; Front Gearbox &amp; Halfshafts &gt; Gearbox &gt; Oil management system  &gt; Lubrication screen</t>
  </si>
  <si>
    <t>0.15000 kg</t>
  </si>
  <si>
    <t>0.1595744680851063829787234043 kg</t>
  </si>
  <si>
    <t>Transmission System &gt; Front Gearbox &amp; Halfshafts &gt; Gearbox &gt; Oil management system  &gt; Lubrication screen &gt; Process</t>
  </si>
  <si>
    <t>2110-891</t>
  </si>
  <si>
    <t>00000002Y8GSEU01 (AutoReverse)</t>
  </si>
  <si>
    <t>Transmission System &gt; Front Gearbox &amp; Halfshafts &gt; Gearbox &gt; Access cover</t>
  </si>
  <si>
    <t>0.71400 kg</t>
  </si>
  <si>
    <t>0.7285714285714285714285714286 kg</t>
  </si>
  <si>
    <t>Transmission System &gt; Front Gearbox &amp; Halfshafts &gt; Gearbox &gt; Access cover &gt; Process</t>
  </si>
  <si>
    <t>2110-996</t>
  </si>
  <si>
    <t>0000000ATHZFEU01 (AutoReverse)</t>
  </si>
  <si>
    <t>2110-905</t>
  </si>
  <si>
    <t>00000008YB3TEU01 (AutoReverse)</t>
  </si>
  <si>
    <t>Transmission System &gt; Front Gearbox &amp; Halfshafts &gt; Gearbox &gt; Housing</t>
  </si>
  <si>
    <t>2.93500 kg</t>
  </si>
  <si>
    <t>2.994897959183673469387755102 kg</t>
  </si>
  <si>
    <t>Transmission System &gt; Front Gearbox &amp; Halfshafts &gt; Gearbox &gt; Housing &gt; Process</t>
  </si>
  <si>
    <t>2110-948</t>
  </si>
  <si>
    <t>00000009H4U2EU01 (AutoReverse)</t>
  </si>
  <si>
    <t>Transmission System &gt; Front Gearbox &amp; Halfshafts &gt; Gearbox &gt; GBX assembly</t>
  </si>
  <si>
    <t>2110-843</t>
  </si>
  <si>
    <t>000000033T6MEU01 (AutoReverse)</t>
  </si>
  <si>
    <t>2110-1301</t>
  </si>
  <si>
    <t>0000000AT8LIEU01 (AutoReverse)</t>
  </si>
  <si>
    <t>2110-1314</t>
  </si>
  <si>
    <t>00000001Q836EU01 (AutoReverse)</t>
  </si>
  <si>
    <t>2110-754</t>
  </si>
  <si>
    <t>00000007OHOBEU01 (AutoReverse)</t>
  </si>
  <si>
    <t>Transmission System &gt; Rear Gearbox &amp; Halfshafts</t>
  </si>
  <si>
    <t>Transmission System &gt; Rear Gearbox &amp; Halfshafts &gt; Gearbox</t>
  </si>
  <si>
    <t>Transmission System &gt; Rear Gearbox &amp; Halfshafts &gt; Gearbox &gt; Differential</t>
  </si>
  <si>
    <t>Transmission System &gt; Rear Gearbox &amp; Halfshafts &gt; Gearbox &gt; Differential &gt; Differential case</t>
  </si>
  <si>
    <t>3.66200 kg</t>
  </si>
  <si>
    <t>3.8547368421052631578947368421 kg</t>
  </si>
  <si>
    <t>Transmission System &gt; Rear Gearbox &amp; Halfshafts &gt; Gearbox &gt; Differential &gt; Differential case &gt; Process</t>
  </si>
  <si>
    <t>2110-1716</t>
  </si>
  <si>
    <t>000000049CIKEU01 (AutoReverse)</t>
  </si>
  <si>
    <t>Transmission System &gt; Rear Gearbox &amp; Halfshafts &gt; Gearbox &gt; Differential &gt; Sun gear</t>
  </si>
  <si>
    <t>0.54350 kg</t>
  </si>
  <si>
    <t>0.7764285714285714285714285714 kg</t>
  </si>
  <si>
    <t>Transmission System &gt; Rear Gearbox &amp; Halfshafts &gt; Gearbox &gt; Differential &gt; Sun gear &gt; Process</t>
  </si>
  <si>
    <t>2110-1707</t>
  </si>
  <si>
    <t>0000000865WYEU01 (AutoReverse)</t>
  </si>
  <si>
    <t>Transmission System &gt; Rear Gearbox &amp; Halfshafts &gt; Gearbox &gt; Differential &gt; Planet gear</t>
  </si>
  <si>
    <t>0.24250 kg</t>
  </si>
  <si>
    <t>0.3464285714285714285714285714 kg</t>
  </si>
  <si>
    <t>Transmission System &gt; Rear Gearbox &amp; Halfshafts &gt; Gearbox &gt; Differential &gt; Planet gear &gt; Process</t>
  </si>
  <si>
    <t>2110-1706</t>
  </si>
  <si>
    <t>00000009RFZSEU01 (AutoReverse)</t>
  </si>
  <si>
    <t>Transmission System &gt; Rear Gearbox &amp; Halfshafts &gt; Gearbox &gt; Differential &gt; Differential gear</t>
  </si>
  <si>
    <t>3.60100 kg</t>
  </si>
  <si>
    <t>4.8013333333333333333333333333 kg</t>
  </si>
  <si>
    <t>Transmission System &gt; Rear Gearbox &amp; Halfshafts &gt; Gearbox &gt; Differential &gt; Differential gear &gt; Process</t>
  </si>
  <si>
    <t>2110-1703</t>
  </si>
  <si>
    <t>00000006RNFPEU01 (AutoReverse)</t>
  </si>
  <si>
    <t>Transmission System &gt; Rear Gearbox &amp; Halfshafts &gt; Gearbox &gt; Differential &gt; Planet gear axle</t>
  </si>
  <si>
    <t xml:space="preserve">Equivalent of AISI 1045
</t>
  </si>
  <si>
    <t>0.30200 kg</t>
  </si>
  <si>
    <t>0.4314285714285714285714285714 kg</t>
  </si>
  <si>
    <t>C45E</t>
  </si>
  <si>
    <t>1045</t>
  </si>
  <si>
    <t>Transmission System &gt; Rear Gearbox &amp; Halfshafts &gt; Gearbox &gt; Differential &gt; Planet gear axle &gt; Process</t>
  </si>
  <si>
    <t>2110-1704</t>
  </si>
  <si>
    <t>000000024S60EU01 (AutoReverse)</t>
  </si>
  <si>
    <t>2110-1714</t>
  </si>
  <si>
    <t>00000000WMJLEU01 (AutoReverse)</t>
  </si>
  <si>
    <t>2110-1699</t>
  </si>
  <si>
    <t>000000092G6VEU01 (AutoReverse)</t>
  </si>
  <si>
    <t>2110-1687</t>
  </si>
  <si>
    <t>000000055U5LEU01 (AutoReverse)</t>
  </si>
  <si>
    <t>2110-1692</t>
  </si>
  <si>
    <t>0000000APRBJEU01 (AutoReverse)</t>
  </si>
  <si>
    <t>Transmission System &gt; Rear Gearbox &amp; Halfshafts &gt; Gearbox &gt; Differential &gt; Differential assembly</t>
  </si>
  <si>
    <t>2110-1685</t>
  </si>
  <si>
    <t>00000002DA8TEU01 (AutoReverse)</t>
  </si>
  <si>
    <t>Transmission System &gt; Rear Gearbox &amp; Halfshafts &gt; Gearbox &gt; Input stage</t>
  </si>
  <si>
    <t>Transmission System &gt; Rear Gearbox &amp; Halfshafts &gt; Gearbox &gt; Input stage &gt; Input shaft</t>
  </si>
  <si>
    <t>1.03900 kg</t>
  </si>
  <si>
    <t>1.3853333333333333333333333333 kg</t>
  </si>
  <si>
    <t>Transmission System &gt; Rear Gearbox &amp; Halfshafts &gt; Gearbox &gt; Input stage &gt; Input shaft &gt; Process</t>
  </si>
  <si>
    <t>2110-1723</t>
  </si>
  <si>
    <t>0000000455XDEU01 (AutoReverse)</t>
  </si>
  <si>
    <t>2110-1748</t>
  </si>
  <si>
    <t>000000AGARBJEU02 (AutoReverse)</t>
  </si>
  <si>
    <t>2110-1589</t>
  </si>
  <si>
    <t>000000AP1BCPEU02 (AutoReverse)</t>
  </si>
  <si>
    <t>2110-1593</t>
  </si>
  <si>
    <t>00000004S01XEU01 (AutoReverse)</t>
  </si>
  <si>
    <t>Transmission System &gt; Rear Gearbox &amp; Halfshafts &gt; Gearbox &gt; Intermediate stage</t>
  </si>
  <si>
    <t>Transmission System &gt; Rear Gearbox &amp; Halfshafts &gt; Gearbox &gt; Intermediate stage &gt; Shaft</t>
  </si>
  <si>
    <t>1.49300 kg</t>
  </si>
  <si>
    <t>1.9264516129032258064516129032 kg</t>
  </si>
  <si>
    <t>Transmission System &gt; Rear Gearbox &amp; Halfshafts &gt; Gearbox &gt; Intermediate stage &gt; Shaft &gt; Process</t>
  </si>
  <si>
    <t>2110-1739</t>
  </si>
  <si>
    <t>00000000938ZEU01 (AutoReverse)</t>
  </si>
  <si>
    <t>Transmission System &gt; Rear Gearbox &amp; Halfshafts &gt; Gearbox &gt; Intermediate stage &gt; Gear</t>
  </si>
  <si>
    <t>2.13200 kg</t>
  </si>
  <si>
    <t>2.7509677419354838709677419355 kg</t>
  </si>
  <si>
    <t>Transmission System &gt; Rear Gearbox &amp; Halfshafts &gt; Gearbox &gt; Intermediate stage &gt; Gear &gt; Process</t>
  </si>
  <si>
    <t>2110-1735</t>
  </si>
  <si>
    <t>000000032CZQEU01 (AutoReverse)</t>
  </si>
  <si>
    <t>2110-1742</t>
  </si>
  <si>
    <t>00000008X463EU01 (AutoReverse)</t>
  </si>
  <si>
    <t>2110-1737</t>
  </si>
  <si>
    <t>000000AP1BCQEU02 (AutoReverse)</t>
  </si>
  <si>
    <t>2110-1592</t>
  </si>
  <si>
    <t>000000AP1BCOEU02 (AutoReverse)</t>
  </si>
  <si>
    <t>2110-1590</t>
  </si>
  <si>
    <t>000000006GBPEU01 (AutoReverse)</t>
  </si>
  <si>
    <t>Transmission System &gt; Rear Gearbox &amp; Halfshafts &gt; Gearbox &gt; Misc.</t>
  </si>
  <si>
    <t>2110-1584, 2110-1578</t>
  </si>
  <si>
    <t>000000065UWMEU01 (AutoReverse)</t>
  </si>
  <si>
    <t>2110-1674</t>
  </si>
  <si>
    <t>00000011UK7HCID0 (AutoReverse)</t>
  </si>
  <si>
    <t>2110-777</t>
  </si>
  <si>
    <t>00000004T6YVEU01 (AutoReverse)</t>
  </si>
  <si>
    <t>2110-792</t>
  </si>
  <si>
    <t>00000009OH12EU01 (AutoReverse)</t>
  </si>
  <si>
    <t>2110-1675</t>
  </si>
  <si>
    <t>0000000BSOX9CID0 (AutoReverse)</t>
  </si>
  <si>
    <t>2110-1479</t>
  </si>
  <si>
    <t>00000008UZGXEU01 (AutoReverse)</t>
  </si>
  <si>
    <t>2110-1466</t>
  </si>
  <si>
    <t>00000007JIWSEU01 (AutoReverse)</t>
  </si>
  <si>
    <t>Transmission System &gt; Rear Gearbox &amp; Halfshafts &gt; Gearbox &gt; Main housing</t>
  </si>
  <si>
    <t>4.12100 kg</t>
  </si>
  <si>
    <t>4.205102040816326530612244898 kg</t>
  </si>
  <si>
    <t>Transmission System &gt; Rear Gearbox &amp; Halfshafts &gt; Gearbox &gt; Main housing &gt; Process</t>
  </si>
  <si>
    <t>2110-1762</t>
  </si>
  <si>
    <t>00000003O56GEU01 (AutoReverse)</t>
  </si>
  <si>
    <t>Transmission System &gt; Rear Gearbox &amp; Halfshafts &gt; Gearbox &gt; Right housing</t>
  </si>
  <si>
    <t>5.53000 kg</t>
  </si>
  <si>
    <t>5.6428571428571428571428571429 kg</t>
  </si>
  <si>
    <t>Transmission System &gt; Rear Gearbox &amp; Halfshafts &gt; Gearbox &gt; Right housing &gt; Process</t>
  </si>
  <si>
    <t>2110-1729</t>
  </si>
  <si>
    <t>00000002L2OHEU01 (AutoReverse)</t>
  </si>
  <si>
    <t>Transmission System &gt; Rear Gearbox &amp; Halfshafts &gt; Gearbox &gt; GBX assembly</t>
  </si>
  <si>
    <t>2110-1862</t>
  </si>
  <si>
    <t>0000000A0FL6EU01 (AutoReverse)</t>
  </si>
  <si>
    <t>2110-752</t>
  </si>
  <si>
    <t>00000009EFDSEU01 (AutoReverse)</t>
  </si>
  <si>
    <t>2110-774</t>
  </si>
  <si>
    <t>000000060KZREU01 (AutoReverse)</t>
  </si>
  <si>
    <t>2110-753</t>
  </si>
  <si>
    <t>00000000YMFBEU01 (AutoReverse)</t>
  </si>
  <si>
    <t>00000001CDEWEU01 (AutoReverse)</t>
  </si>
  <si>
    <t>Electrical</t>
  </si>
  <si>
    <t>Electrical &gt; Low Voltage Battery</t>
  </si>
  <si>
    <t>Electrical &gt; Low Voltage Battery &gt; Power Distribution Module or Battery Fuse Box</t>
  </si>
  <si>
    <t>Electrical &gt; Low Voltage Battery &gt; Power Distribution Module or Battery Fuse Box &gt; Process</t>
  </si>
  <si>
    <t>{_x000d_
  "productId": "0000000W102CCID0",_x000d_
  "productCompleteName": "FEP"_x000d_
}</t>
  </si>
  <si>
    <t>000000000UOZEU01 (AutoReverse)</t>
  </si>
  <si>
    <t>{_x000d_
  "productId": "0000000W11RWCID0",_x000d_
  "productCompleteName": "Varta"_x000d_
}</t>
  </si>
  <si>
    <t>PP-PE;FERROUS METAL;PLASTIC UNKNOWN;ELECTRONIC COMPONENT</t>
  </si>
  <si>
    <t>0000000AXP6OEU01 (AutoReverse)</t>
  </si>
  <si>
    <t>HC260LA</t>
  </si>
  <si>
    <t>00000005AKC3EU01 (AutoReverse)</t>
  </si>
  <si>
    <t>00000004DW6TEU01 (AutoReverse)</t>
  </si>
  <si>
    <t>NON FERROUS METAL</t>
  </si>
  <si>
    <t>00000004PTIBEU01 (AutoReverse)</t>
  </si>
  <si>
    <t>PBT;NON FERROUS METAL;ELECTRONIC COMPONENT</t>
  </si>
  <si>
    <t>00000006GRZIEU01 (AutoReverse)</t>
  </si>
  <si>
    <t>00000009BTYAEU01 (AutoReverse)</t>
  </si>
  <si>
    <t>00000004JX0VEU01 (AutoReverse)</t>
  </si>
  <si>
    <t>000000055QUPEU01 (AutoReverse)</t>
  </si>
  <si>
    <t>00000002DQ1JEU01 (AutoReverse)</t>
  </si>
  <si>
    <t>00000002NHXFEU01 (AutoReverse)</t>
  </si>
  <si>
    <t>Electrical &gt; Wiring</t>
  </si>
  <si>
    <t>Electrical &gt; Wiring &gt; Body Wiring Harness</t>
  </si>
  <si>
    <t>Electrical &gt; Wiring &gt; Body Wiring Harness &gt; Process</t>
  </si>
  <si>
    <t>Including Connectors, Wire insulation, other material</t>
  </si>
  <si>
    <t>Wireharness Material</t>
  </si>
  <si>
    <t>10.000000 %</t>
  </si>
  <si>
    <t>{_x000d_
  "productId": "0000009Z1MBDEU02",_x000d_
  "productCompleteName": "Leoni/LWS"_x000d_
}</t>
  </si>
  <si>
    <t>Wire Harness</t>
  </si>
  <si>
    <t>000000038S60EU01 (AutoReverse)</t>
  </si>
  <si>
    <t>Electrical &gt; Wiring &gt; 2nd Body Wiring Harness / Front e-Machine Harness</t>
  </si>
  <si>
    <t>Electrical &gt; Wiring &gt; 2nd Body Wiring Harness / Front e-Machine Harness &gt; Process</t>
  </si>
  <si>
    <t>000000AK2KOXEU02 (AutoReverse)</t>
  </si>
  <si>
    <t>Electrical &gt; Wiring &gt; Front compartment wiring</t>
  </si>
  <si>
    <t>Electrical &gt; Wiring &gt; Front compartment wiring &gt; Process</t>
  </si>
  <si>
    <t>00000009QHT3EU01 (AutoReverse)</t>
  </si>
  <si>
    <t>00000008E8FKEU01 (AutoReverse)</t>
  </si>
  <si>
    <t>00000003RUYDEU01 (AutoReverse)</t>
  </si>
  <si>
    <t>000000055KNSEU01 (AutoReverse)</t>
  </si>
  <si>
    <t>00000003QO4WEU01 (AutoReverse)</t>
  </si>
  <si>
    <t>Price included in Steering Wheel Harness</t>
  </si>
  <si>
    <t>WIRE HARNESS</t>
  </si>
  <si>
    <t>000000061AK5EU01 (AutoReverse)</t>
  </si>
  <si>
    <t>00000008KCOXEU01 (AutoReverse)</t>
  </si>
  <si>
    <t>000000086E2DEU01 (AutoReverse)</t>
  </si>
  <si>
    <t>00000007UZZKEU01 (AutoReverse)</t>
  </si>
  <si>
    <t>A000000GQQJ7EU02 (AutoReverse)</t>
  </si>
  <si>
    <t>A000000GQQJ8EU02 (AutoReverse)</t>
  </si>
  <si>
    <t>00000003A5C7EU01 (AutoReverse)</t>
  </si>
  <si>
    <t>Electrical &gt; ECU Electronic Control Unit</t>
  </si>
  <si>
    <t>Electrical &gt; ECU Electronic Control Unit &gt; Network ECU BCM</t>
  </si>
  <si>
    <t>Electrical &gt; ECU Electronic Control Unit &gt; Network ECU BCM &gt; Network ECU BCM</t>
  </si>
  <si>
    <t>Electrical &gt; ECU Electronic Control Unit &gt; Network ECU BCM &gt; Network ECU BCM &gt; Process</t>
  </si>
  <si>
    <t>000000057IOQEU01 (AutoReverse)</t>
  </si>
  <si>
    <t>0000000AKAD4EU01 (AutoReverse)</t>
  </si>
  <si>
    <t>00000002O363EU01 (AutoReverse)</t>
  </si>
  <si>
    <t>Electrical &gt; ECU Electronic Control Unit &gt; Trailer Hitch ECU</t>
  </si>
  <si>
    <t>Electrical &gt; ECU Electronic Control Unit &gt; Trailer Hitch ECU &gt; Trailer Hitch ECU</t>
  </si>
  <si>
    <t>Electrical &gt; ECU Electronic Control Unit &gt; Trailer Hitch ECU &gt; Trailer Hitch ECU &gt; Process</t>
  </si>
  <si>
    <t>ELECTRONIC COMPONENT;PC</t>
  </si>
  <si>
    <t>00000000VFI2EU01 (AutoReverse)</t>
  </si>
  <si>
    <t>00000009UV8YEU01 (AutoReverse)</t>
  </si>
  <si>
    <t>Electrical &gt; ECU Electronic Control Unit &gt; Gateway ECU</t>
  </si>
  <si>
    <t>Electrical &gt; ECU Electronic Control Unit &gt; Gateway ECU &gt; Gateway ECU</t>
  </si>
  <si>
    <t>Electrical &gt; ECU Electronic Control Unit &gt; Gateway ECU &gt; Gateway ECU &gt; Process</t>
  </si>
  <si>
    <t>000000019LD8EU01 (AutoReverse)</t>
  </si>
  <si>
    <t>000000007F4KEU01 (AutoReverse)</t>
  </si>
  <si>
    <t>000000APILA4EU02 (AutoReverse)</t>
  </si>
  <si>
    <t>00000005LQC4EU01 (AutoReverse)</t>
  </si>
  <si>
    <t>Electrical &gt; ECU Electronic Control Unit &gt; Climate Control ECU</t>
  </si>
  <si>
    <t>Electrical &gt; ECU Electronic Control Unit &gt; Climate Control ECU &gt; Climate Control ECU</t>
  </si>
  <si>
    <t>Electrical &gt; ECU Electronic Control Unit &gt; Climate Control ECU &gt; Climate Control ECU &gt; Process</t>
  </si>
  <si>
    <t>{_x000d_
  "productId": "0000000W0ZKQCID0",_x000d_
  "productCompleteName": "BHTC"_x000d_
}</t>
  </si>
  <si>
    <t>ELECTRONIC COMPONENT;PC-ABS</t>
  </si>
  <si>
    <t>000000039BXWEU01 (AutoReverse)</t>
  </si>
  <si>
    <t>0000000A0BZHEU01 (AutoReverse)</t>
  </si>
  <si>
    <t>Electrical &gt; ECU Electronic Control Unit &gt; Trunk Lid   Tailgate Lifting ECU</t>
  </si>
  <si>
    <t>Electrical &gt; ECU Electronic Control Unit &gt; Trunk Lid   Tailgate Lifting ECU &gt; Trunk Lid   Tailgate Lifting ECU</t>
  </si>
  <si>
    <t>Electrical &gt; ECU Electronic Control Unit &gt; Trunk Lid   Tailgate Lifting ECU &gt; Trunk Lid   Tailgate Lifting ECU &gt; Process</t>
  </si>
  <si>
    <t>000000092XQVEU01 (AutoReverse)</t>
  </si>
  <si>
    <t>00000008YBI8EU01 (AutoReverse)</t>
  </si>
  <si>
    <t>000000010LZXEU01 (AutoReverse)</t>
  </si>
  <si>
    <t>{_x000d_
  "productId": "000000AJWQU1EU02",_x000d_
  "productCompleteName": "Shengyi Electronics CO Ltd"_x000d_
}</t>
  </si>
  <si>
    <t>ELECTRONIC COMPONENT;PLASTIC UNKNOWN;NON FERROUS METAL;FERROUS METAL</t>
  </si>
  <si>
    <t>A000000GQQJ6EU02 (AutoReverse)</t>
  </si>
  <si>
    <t>00000007ZFDPEU01 (AutoReverse)</t>
  </si>
  <si>
    <t>Electrical &gt; Ground cable</t>
  </si>
  <si>
    <t>{_x000d_
  "productId": "000000AFQ370EU02",_x000d_
  "productCompleteName": "SCHULTE &amp; CO"_x000d_
}</t>
  </si>
  <si>
    <t>00000000E1UUEU01 (AutoReverse)</t>
  </si>
  <si>
    <t>0000000153A8EU01 (AutoReverse)</t>
  </si>
  <si>
    <t>Electrical &gt; Fuses Box Relay System</t>
  </si>
  <si>
    <t>Electrical &gt; Fuses Box Relay System &gt; Engine compartment fuses relays box system</t>
  </si>
  <si>
    <t>00000005YZCKEU01 (AutoReverse)</t>
  </si>
  <si>
    <t>00000005077XEU01 (AutoReverse)</t>
  </si>
  <si>
    <t>00000002SDDHEU01 (AutoReverse)</t>
  </si>
  <si>
    <t>Electrical &gt; Fuses Box Relay System &gt; Engine compartment fuses relays box system &gt; Process</t>
  </si>
  <si>
    <t>00000005XE9GEU01 (AutoReverse)</t>
  </si>
  <si>
    <t>Electrical &gt; Fuses Box Relay System &gt; Fuses relays box passenger compartment left side</t>
  </si>
  <si>
    <t>00000005DQT5EU01 (AutoReverse)</t>
  </si>
  <si>
    <t>Electrical &gt; Fuses Box Relay System &gt; Fuses relays box passenger compartment left side &gt; Process</t>
  </si>
  <si>
    <t>00000001IDZBEU01 (AutoReverse)</t>
  </si>
  <si>
    <t>00000007I3XQEU01 (AutoReverse)</t>
  </si>
  <si>
    <t>Electrical &gt; Wiring support system</t>
  </si>
  <si>
    <t>Electrical &gt; Wiring support system &gt; Engine compartment support</t>
  </si>
  <si>
    <t>PA66</t>
  </si>
  <si>
    <t>0000000070PEEU01 (AutoReverse)</t>
  </si>
  <si>
    <t>00000000MJK0EU01 (AutoReverse)</t>
  </si>
  <si>
    <t>00000007E2J5EU01 (AutoReverse)</t>
  </si>
  <si>
    <t>000000054KRQEU01 (AutoReverse)</t>
  </si>
  <si>
    <t>00000004Q5HXEU01 (AutoReverse)</t>
  </si>
  <si>
    <t>00000001U5GHEU01 (AutoReverse)</t>
  </si>
  <si>
    <t>Electrical &gt; Wiring Harness Guide</t>
  </si>
  <si>
    <t>Electrical &gt; Wiring Harness Guide &gt; Under Body</t>
  </si>
  <si>
    <t>000000085RLPEU01 (AutoReverse)</t>
  </si>
  <si>
    <t>PP;NON FERROUS METAL;PLASTIC UNKNOWN</t>
  </si>
  <si>
    <t>00000000OZ5JEU01 (AutoReverse)</t>
  </si>
  <si>
    <t>000000057J7CEU01 (AutoReverse)</t>
  </si>
  <si>
    <t>000000050A5AEU01 (AutoReverse)</t>
  </si>
  <si>
    <t>000000069VDWEU01 (AutoReverse)</t>
  </si>
  <si>
    <t>00000002BNN2EU01 (AutoReverse)</t>
  </si>
  <si>
    <t>00000008QLL4EU01 (AutoReverse)</t>
  </si>
  <si>
    <t>PA</t>
  </si>
  <si>
    <t>00000009TXV5EU01 (AutoReverse)</t>
  </si>
  <si>
    <t>00000001CUDZEU01 (AutoReverse)</t>
  </si>
  <si>
    <t>000000017VUVEU01 (AutoReverse)</t>
  </si>
  <si>
    <t>00000000MIEAEU01 (AutoReverse)</t>
  </si>
  <si>
    <t>PA6-PP</t>
  </si>
  <si>
    <t>000000067J88EU01 (AutoReverse)</t>
  </si>
  <si>
    <t>0000000AK78FEU01 (AutoReverse)</t>
  </si>
  <si>
    <t>0000000AI45CEU01 (AutoReverse)</t>
  </si>
  <si>
    <t>000000033BVVEU01 (AutoReverse)</t>
  </si>
  <si>
    <t>00000008OJWVEU01 (AutoReverse)</t>
  </si>
  <si>
    <t>0000000AHDDPEU01 (AutoReverse)</t>
  </si>
  <si>
    <t>0000000A3JDAEU01 (AutoReverse)</t>
  </si>
  <si>
    <t>Electrical &gt; Plugs Support System</t>
  </si>
  <si>
    <t>Electrical &gt; Plugs Support System &gt; Plugs Support Engine Compartment</t>
  </si>
  <si>
    <t>0.0443967510241031044157441708 kg</t>
  </si>
  <si>
    <t>Electrical &gt; Plugs Support System &gt; Plugs Support Engine Compartment &gt; Injection molding</t>
  </si>
  <si>
    <t>Insert: 0.00 s, Closing: 1.67 s, Injection: 1.94 s, Cooling: 4.82 s, Opening: 0.67 s, Ejection: 0.51 s, Removal: 1.86 s. Default reject ratio based on industry average: 2%</t>
  </si>
  <si>
    <t>0000000AK7VZEU01 (AutoReverse)</t>
  </si>
  <si>
    <t>00000004Q78JEU01 (AutoReverse)</t>
  </si>
  <si>
    <t>Electrical &gt; Shunt Plug System</t>
  </si>
  <si>
    <t>{_x000d_
  "productId": "0000000W10BICID0",_x000d_
  "productCompleteName": "Hirschmann"_x000d_
}</t>
  </si>
  <si>
    <t>ELECTRONIC COMPONENT;PA66</t>
  </si>
  <si>
    <t>A000001BCKYIEU02 (AutoReverse)</t>
  </si>
  <si>
    <t>A000001BCKYHEU02 (AutoReverse)</t>
  </si>
  <si>
    <t>00000004UCZ6EU01 (AutoReverse)</t>
  </si>
  <si>
    <t>Engine</t>
  </si>
  <si>
    <t>Engine &gt; Hybrid Electric System</t>
  </si>
  <si>
    <t>Engine &gt; Hybrid Electric System &gt; Power Inverter Module Converter Module</t>
  </si>
  <si>
    <t>Engine &gt; Hybrid Electric System &gt; Power Inverter Module Converter Module &gt; Rear AC DC Inverter</t>
  </si>
  <si>
    <t>Engine &gt; Hybrid Electric System &gt; Power Inverter Module Converter Module &gt; Rear AC DC Inverter &gt;  Connectors &amp; Wire Harnesses</t>
  </si>
  <si>
    <t>Engine &gt; Hybrid Electric System &gt; Power Inverter Module Converter Module &gt; Rear AC DC Inverter &gt;  Connectors &amp; Wire Harnesses &gt;  Busbars</t>
  </si>
  <si>
    <t>Engine &gt; Hybrid Electric System &gt; Power Inverter Module Converter Module &gt; Rear AC DC Inverter &gt;  Connectors &amp; Wire Harnesses &gt;  Busbars &gt;  Busbar Assembly 1</t>
  </si>
  <si>
    <t>0.18200 kg</t>
  </si>
  <si>
    <t>0.2420212765957446808510638298 kg</t>
  </si>
  <si>
    <t>Engine &gt; Hybrid Electric System &gt; Power Inverter Module Converter Module &gt; Rear AC DC Inverter &gt;  Connectors &amp; Wire Harnesses &gt;  Busbars &gt;  Busbar Assembly 1 &gt; Process</t>
  </si>
  <si>
    <t>0.1935483870967741935483870968 kg</t>
  </si>
  <si>
    <t>0.13000 kg</t>
  </si>
  <si>
    <t>0.1612903225806451612903225806 kg</t>
  </si>
  <si>
    <t>0.14500 kg</t>
  </si>
  <si>
    <t>0.1523109243697478991596638655 kg</t>
  </si>
  <si>
    <t>0.02020 kg</t>
  </si>
  <si>
    <t>0.0242496998799519807923169268 kg</t>
  </si>
  <si>
    <t xml:space="preserve">2154-241
</t>
  </si>
  <si>
    <t>Engine &gt; Hybrid Electric System &gt; Power Inverter Module Converter Module &gt; Rear AC DC Inverter &gt;  Connectors &amp; Wire Harnesses &gt;  Busbars &gt;  Busbar Assembly 2</t>
  </si>
  <si>
    <t>0.07300 kg</t>
  </si>
  <si>
    <t>0.0840046029919447640966628308 kg</t>
  </si>
  <si>
    <t>Engine &gt; Hybrid Electric System &gt; Power Inverter Module Converter Module &gt; Rear AC DC Inverter &gt;  Connectors &amp; Wire Harnesses &gt;  Busbars &gt;  Busbar Assembly 2 &gt; Process</t>
  </si>
  <si>
    <t>0.09500 kg</t>
  </si>
  <si>
    <t>0.1283783783783783783783783784 kg</t>
  </si>
  <si>
    <t>0.08900 kg</t>
  </si>
  <si>
    <t>0.1068427370948379351740696279 kg</t>
  </si>
  <si>
    <t>1.2004801920768307322929171669 kg</t>
  </si>
  <si>
    <t xml:space="preserve">2154-254
</t>
  </si>
  <si>
    <t xml:space="preserve">2154-242
</t>
  </si>
  <si>
    <t>Engine &gt; Hybrid Electric System &gt; Power Inverter Module Converter Module &gt; Rear AC DC Inverter &gt;  Connectors &amp; Wire Harnesses &gt;  Connectors</t>
  </si>
  <si>
    <t>Engine &gt; Hybrid Electric System &gt; Power Inverter Module Converter Module &gt; Rear AC DC Inverter &gt;  Connectors &amp; Wire Harnesses &gt;  Connectors &gt;  HV Connectors</t>
  </si>
  <si>
    <t xml:space="preserve">2154-258
</t>
  </si>
  <si>
    <t xml:space="preserve">2154-259
</t>
  </si>
  <si>
    <t xml:space="preserve">2154-260
</t>
  </si>
  <si>
    <t xml:space="preserve">2154-243
</t>
  </si>
  <si>
    <t>Engine &gt; Hybrid Electric System &gt; Power Inverter Module Converter Module &gt; Rear AC DC Inverter &gt;  Electrical Parts</t>
  </si>
  <si>
    <t>Engine &gt; Hybrid Electric System &gt; Power Inverter Module Converter Module &gt; Rear AC DC Inverter &gt;  Electrical Parts &gt;  Capacitors</t>
  </si>
  <si>
    <t xml:space="preserve">2154-248
</t>
  </si>
  <si>
    <t>DC-Link OH &amp; Profit</t>
  </si>
  <si>
    <t xml:space="preserve">2154-249
</t>
  </si>
  <si>
    <t>Engine &gt; Hybrid Electric System &gt; Power Inverter Module Converter Module &gt; Rear AC DC Inverter &gt;  Electrical Parts &gt;  Ferrites &amp; Cores</t>
  </si>
  <si>
    <t xml:space="preserve">2154-252-8
</t>
  </si>
  <si>
    <t xml:space="preserve">2154-252-9
</t>
  </si>
  <si>
    <t xml:space="preserve">2154-256
</t>
  </si>
  <si>
    <t>Engine &gt; Hybrid Electric System &gt; Power Inverter Module Converter Module &gt; Rear AC DC Inverter &gt;  Electrical Parts &gt;  Power Modules</t>
  </si>
  <si>
    <t xml:space="preserve">2154-240
</t>
  </si>
  <si>
    <t>Power Module OH &amp; profits</t>
  </si>
  <si>
    <t xml:space="preserve">2154-297
</t>
  </si>
  <si>
    <t>Engine &gt; Hybrid Electric System &gt; Power Inverter Module Converter Module &gt; Rear AC DC Inverter &gt;  Electrical Parts &gt;  Resistors</t>
  </si>
  <si>
    <t xml:space="preserve">2154-245
</t>
  </si>
  <si>
    <t xml:space="preserve">2154-246
</t>
  </si>
  <si>
    <t xml:space="preserve">2154-247
</t>
  </si>
  <si>
    <t>Engine &gt; Hybrid Electric System &gt; Power Inverter Module Converter Module &gt; Rear AC DC Inverter &gt;  Electronic Parts</t>
  </si>
  <si>
    <t xml:space="preserve">2154-228
</t>
  </si>
  <si>
    <t xml:space="preserve">2154-238
</t>
  </si>
  <si>
    <t xml:space="preserve">2154-252
</t>
  </si>
  <si>
    <t xml:space="preserve">2154-229
</t>
  </si>
  <si>
    <t>Engine &gt; Hybrid Electric System &gt; Power Inverter Module Converter Module &gt; Rear AC DC Inverter &gt;  Mechanical Parts</t>
  </si>
  <si>
    <t>Engine &gt; Hybrid Electric System &gt; Power Inverter Module Converter Module &gt; Rear AC DC Inverter &gt;  Mechanical Parts &gt;  Covers</t>
  </si>
  <si>
    <t xml:space="preserve">2154-253
</t>
  </si>
  <si>
    <t xml:space="preserve">2154-239
</t>
  </si>
  <si>
    <t xml:space="preserve">2154-235
</t>
  </si>
  <si>
    <t>Engine &gt; Hybrid Electric System &gt; Power Inverter Module Converter Module &gt; Rear AC DC Inverter &gt;  Mechanical Parts &gt;  Housing Parts</t>
  </si>
  <si>
    <t>Engine &gt; Hybrid Electric System &gt; Power Inverter Module Converter Module &gt; Rear AC DC Inverter &gt;  Mechanical Parts &gt;  Housing Parts &gt;  Main Housing</t>
  </si>
  <si>
    <t>2.42500 kg</t>
  </si>
  <si>
    <t>2.4619289340101522842639593909 kg</t>
  </si>
  <si>
    <t>Engine &gt; Hybrid Electric System &gt; Power Inverter Module Converter Module &gt; Rear AC DC Inverter &gt;  Mechanical Parts &gt;  Housing Parts &gt;  Main Housing &gt; Process</t>
  </si>
  <si>
    <t xml:space="preserve">2154-264
</t>
  </si>
  <si>
    <t>Engine &gt; Hybrid Electric System &gt; Power Inverter Module Converter Module &gt; Rear AC DC Inverter &gt;  Mechanical Parts &gt;  Housing Parts &gt;  Top Lid</t>
  </si>
  <si>
    <t>0.77800 kg</t>
  </si>
  <si>
    <t>0.8861047835990888382687927107 kg</t>
  </si>
  <si>
    <t>Engine &gt; Hybrid Electric System &gt; Power Inverter Module Converter Module &gt; Rear AC DC Inverter &gt;  Mechanical Parts &gt;  Housing Parts &gt;  Top Lid &gt; Process</t>
  </si>
  <si>
    <t xml:space="preserve">2154-224
</t>
  </si>
  <si>
    <t>Engine &gt; Hybrid Electric System &gt; Power Inverter Module Converter Module &gt; Rear AC DC Inverter &gt;  Mechanical Parts &gt;  Housing Parts &gt;  Coolant Channel Bottom/Single</t>
  </si>
  <si>
    <t>0.35500 kg</t>
  </si>
  <si>
    <t>0.3604060913705583756345177665 kg</t>
  </si>
  <si>
    <t>Engine &gt; Hybrid Electric System &gt; Power Inverter Module Converter Module &gt; Rear AC DC Inverter &gt;  Mechanical Parts &gt;  Housing Parts &gt;  Coolant Channel Bottom/Single &gt; Process</t>
  </si>
  <si>
    <t xml:space="preserve">2154-244
</t>
  </si>
  <si>
    <t xml:space="preserve">2154-234
</t>
  </si>
  <si>
    <t xml:space="preserve">2154-225
</t>
  </si>
  <si>
    <t>Engine &gt; Hybrid Electric System &gt; Power Inverter Module Converter Module &gt; Rear AC DC Inverter &gt;  Mechanical Parts &gt;  Pressure Vents</t>
  </si>
  <si>
    <t xml:space="preserve">2154-262
</t>
  </si>
  <si>
    <t xml:space="preserve">2154-263
</t>
  </si>
  <si>
    <t>Engine &gt; Hybrid Electric System &gt; Power Inverter Module Converter Module &gt; Rear AC DC Inverter &gt;  Mechanical Parts &gt;  Shields</t>
  </si>
  <si>
    <t xml:space="preserve">2154-250
</t>
  </si>
  <si>
    <t xml:space="preserve">2154-251
</t>
  </si>
  <si>
    <t>Engine &gt; Hybrid Electric System &gt; Power Inverter Module Converter Module &gt; Rear AC DC Inverter &gt;  Mechanical Parts &gt;  Thermal Paste/Gap Pad</t>
  </si>
  <si>
    <t xml:space="preserve">2154-236-1
</t>
  </si>
  <si>
    <t xml:space="preserve">2154-261
</t>
  </si>
  <si>
    <t>2154-236-2</t>
  </si>
  <si>
    <t xml:space="preserve">2154-236-3
</t>
  </si>
  <si>
    <t xml:space="preserve">2154-236-4
</t>
  </si>
  <si>
    <t xml:space="preserve">2154-236-5
</t>
  </si>
  <si>
    <t>2154-236-16</t>
  </si>
  <si>
    <t xml:space="preserve">2154-236-7
</t>
  </si>
  <si>
    <t xml:space="preserve">2154-236-8
</t>
  </si>
  <si>
    <t xml:space="preserve">2154-236-9
</t>
  </si>
  <si>
    <t xml:space="preserve">2154-237
</t>
  </si>
  <si>
    <t>Engine &gt; Hybrid Electric System &gt; Power Inverter Module Converter Module &gt; Rear AC DC Inverter &gt;  Mechanical Parts &gt; Seals</t>
  </si>
  <si>
    <t xml:space="preserve">2154-226
</t>
  </si>
  <si>
    <t>Engine &gt; Hybrid Electric System &gt; Power Inverter Module Converter Module &gt; Rear AC DC Inverter &gt; Final Assembly</t>
  </si>
  <si>
    <t>2154-3</t>
  </si>
  <si>
    <t>Assembly OH Settings - PTR Standard</t>
  </si>
  <si>
    <t>Engine &gt; Hybrid Electric System &gt; Power Inverter Module Converter Module &gt;  Front AC DC Inverter</t>
  </si>
  <si>
    <t>Engine &gt; Hybrid Electric System &gt; Power Inverter Module Converter Module &gt;  Front AC DC Inverter &gt;  Connectors &amp; Wire Harnesses</t>
  </si>
  <si>
    <t>2154-277</t>
  </si>
  <si>
    <t>2154-280</t>
  </si>
  <si>
    <t>2154-327</t>
  </si>
  <si>
    <t>2154-293</t>
  </si>
  <si>
    <t>2154-337</t>
  </si>
  <si>
    <t>Engine &gt; Hybrid Electric System &gt; Power Inverter Module Converter Module &gt;  Front AC DC Inverter &gt;  Connectors &amp; Wire Harnesses &gt;  Busbar Assembly 1</t>
  </si>
  <si>
    <t>0.17000 kg</t>
  </si>
  <si>
    <t>0.1920903954802259887005649718 kg</t>
  </si>
  <si>
    <t>Engine &gt; Hybrid Electric System &gt; Power Inverter Module Converter Module &gt;  Front AC DC Inverter &gt;  Connectors &amp; Wire Harnesses &gt;  Busbar Assembly 1 &gt; Process</t>
  </si>
  <si>
    <t>0.04500 kg</t>
  </si>
  <si>
    <t>0.0540216086434573829531812725 kg</t>
  </si>
  <si>
    <t>2154-330</t>
  </si>
  <si>
    <t>Engine &gt; Hybrid Electric System &gt; Power Inverter Module Converter Module &gt;  Front AC DC Inverter &gt;  Connectors &amp; Wire Harnesses &gt;  Busbar Assembly 2</t>
  </si>
  <si>
    <t>0.14000 kg</t>
  </si>
  <si>
    <t>0.1590909090909090909090909091 kg</t>
  </si>
  <si>
    <t>Engine &gt; Hybrid Electric System &gt; Power Inverter Module Converter Module &gt;  Front AC DC Inverter &gt;  Connectors &amp; Wire Harnesses &gt;  Busbar Assembly 2 &gt; Process</t>
  </si>
  <si>
    <t>0.04000 kg</t>
  </si>
  <si>
    <t>0.0444444444444444444444444444 kg</t>
  </si>
  <si>
    <t>2154-333</t>
  </si>
  <si>
    <t>2154-279</t>
  </si>
  <si>
    <t>Engine &gt; Hybrid Electric System &gt; Power Inverter Module Converter Module &gt;  Front AC DC Inverter &gt;  Electrical &amp; Electronics Parts</t>
  </si>
  <si>
    <t>2154-285</t>
  </si>
  <si>
    <t>2154-267</t>
  </si>
  <si>
    <t>2154-270</t>
  </si>
  <si>
    <t>2154-300</t>
  </si>
  <si>
    <t>2154-323</t>
  </si>
  <si>
    <t>2154-274</t>
  </si>
  <si>
    <t>2154-290</t>
  </si>
  <si>
    <t>2154-296</t>
  </si>
  <si>
    <t>2154-269</t>
  </si>
  <si>
    <t>Engine &gt; Hybrid Electric System &gt; Power Inverter Module Converter Module &gt;  Front AC DC Inverter &gt;  Mechanical Parts</t>
  </si>
  <si>
    <t>2154-265</t>
  </si>
  <si>
    <t>2154-273</t>
  </si>
  <si>
    <t>2154-271</t>
  </si>
  <si>
    <t>2154-291</t>
  </si>
  <si>
    <t>Engine &gt; Hybrid Electric System &gt; Power Inverter Module Converter Module &gt;  Front AC DC Inverter &gt;  Mechanical Parts &gt;  Main Housing</t>
  </si>
  <si>
    <t>2.28100 kg</t>
  </si>
  <si>
    <t>2.8160493827160493827160493827 kg</t>
  </si>
  <si>
    <t>Engine &gt; Hybrid Electric System &gt; Power Inverter Module Converter Module &gt;  Front AC DC Inverter &gt;  Mechanical Parts &gt;  Main Housing &gt; Process</t>
  </si>
  <si>
    <t>2154-339</t>
  </si>
  <si>
    <t>Engine &gt; Hybrid Electric System &gt; Power Inverter Module Converter Module &gt;  Front AC DC Inverter &gt;  Mechanical Parts &gt;  Top Lid</t>
  </si>
  <si>
    <t>0.94800 kg</t>
  </si>
  <si>
    <t>0.962436548223350253807106599 kg</t>
  </si>
  <si>
    <t>Engine &gt; Hybrid Electric System &gt; Power Inverter Module Converter Module &gt;  Front AC DC Inverter &gt;  Mechanical Parts &gt;  Top Lid &gt; Process</t>
  </si>
  <si>
    <t>2154-230</t>
  </si>
  <si>
    <t>Engine &gt; Hybrid Electric System &gt; Power Inverter Module Converter Module &gt;  Front AC DC Inverter &gt;  Mechanical Parts &gt;  EMI Shield 1</t>
  </si>
  <si>
    <t>0.4822335025380710659898477157 kg</t>
  </si>
  <si>
    <t>Engine &gt; Hybrid Electric System &gt; Power Inverter Module Converter Module &gt;  Front AC DC Inverter &gt;  Mechanical Parts &gt;  EMI Shield 1 &gt; Process</t>
  </si>
  <si>
    <t>2154-283</t>
  </si>
  <si>
    <t>2154-232</t>
  </si>
  <si>
    <t>Engine &gt; Hybrid Electric System &gt; Power Inverter Module Converter Module &gt;  Front AC DC Inverter &gt; Final Assembly</t>
  </si>
  <si>
    <t>2154-233</t>
  </si>
  <si>
    <t>000000091G4UEU01 (AutoReverse)</t>
  </si>
  <si>
    <t>Engine &gt; Hybrid Electric System &gt; e-Motor System</t>
  </si>
  <si>
    <t>Engine &gt; Hybrid Electric System &gt; e-Motor System &gt; Front Motor</t>
  </si>
  <si>
    <t>Engine &gt; Hybrid Electric System &gt; e-Motor System &gt; Front Motor &gt; Stator</t>
  </si>
  <si>
    <t>Engine &gt; Hybrid Electric System &gt; e-Motor System &gt; Front Motor &gt; Stator &gt; Lamination stack</t>
  </si>
  <si>
    <t>11.76000 kg</t>
  </si>
  <si>
    <t>22.615384615384615384615384615 kg</t>
  </si>
  <si>
    <t>Engine &gt; Hybrid Electric System &gt; e-Motor System &gt; Front Motor &gt; Stator &gt; Lamination stack &gt; Process</t>
  </si>
  <si>
    <t>2154-369-1</t>
  </si>
  <si>
    <t>2154-369-2</t>
  </si>
  <si>
    <t>2154-369-3</t>
  </si>
  <si>
    <t>2154-369-4</t>
  </si>
  <si>
    <t>2154-369-5</t>
  </si>
  <si>
    <t>2154-369-6</t>
  </si>
  <si>
    <t>Engine &gt; Hybrid Electric System &gt; e-Motor System &gt; Front Motor &gt; Stator &gt; Stator assembly</t>
  </si>
  <si>
    <t>2154-6</t>
  </si>
  <si>
    <t>A000000POFBNEU02 (AutoReverse)</t>
  </si>
  <si>
    <t>Engine &gt; Hybrid Electric System &gt; e-Motor System &gt; Front Motor &gt; Rotor</t>
  </si>
  <si>
    <t>Engine &gt; Hybrid Electric System &gt; e-Motor System &gt; Front Motor &gt; Rotor &gt; Rotor shaft</t>
  </si>
  <si>
    <t>1.63000 kg</t>
  </si>
  <si>
    <t>3.0185185185185185185185185185 kg</t>
  </si>
  <si>
    <t>Engine &gt; Hybrid Electric System &gt; e-Motor System &gt; Front Motor &gt; Rotor &gt; Rotor shaft &gt; Process</t>
  </si>
  <si>
    <t>2154-9-001</t>
  </si>
  <si>
    <t>Engine &gt; Hybrid Electric System &gt; e-Motor System &gt; Front Motor &gt; Rotor &gt; Squirrel cage</t>
  </si>
  <si>
    <t>7.28000 kg</t>
  </si>
  <si>
    <t>11.03030303030303030303030303 kg</t>
  </si>
  <si>
    <t>Engine &gt; Hybrid Electric System &gt; e-Motor System &gt; Front Motor &gt; Rotor &gt; Squirrel cage &gt; Process</t>
  </si>
  <si>
    <t>2154-9-002</t>
  </si>
  <si>
    <t>2154-391</t>
  </si>
  <si>
    <t>2154-393</t>
  </si>
  <si>
    <t>2154-408</t>
  </si>
  <si>
    <t>A000000PPJZPEU02 (AutoReverse)</t>
  </si>
  <si>
    <t>Engine &gt; Hybrid Electric System &gt; e-Motor System &gt; Front Motor &gt; Rotor &gt; Rotor assembly</t>
  </si>
  <si>
    <t>2154-9</t>
  </si>
  <si>
    <t>A000000POFBWEU02 (AutoReverse)</t>
  </si>
  <si>
    <t>Engine &gt; Hybrid Electric System &gt; e-Motor System &gt; Front Motor &gt; Stator housing</t>
  </si>
  <si>
    <t>6.96400 kg</t>
  </si>
  <si>
    <t>7.1061224489795918367346938776 kg</t>
  </si>
  <si>
    <t>Engine &gt; Hybrid Electric System &gt; e-Motor System &gt; Front Motor &gt; Stator housing &gt; Process</t>
  </si>
  <si>
    <t>2154-368</t>
  </si>
  <si>
    <t>Engine &gt; Hybrid Electric System &gt; e-Motor System &gt; Front Motor &gt; Left housing</t>
  </si>
  <si>
    <t>1.70700 kg</t>
  </si>
  <si>
    <t>1.7418367346938775510204081633 kg</t>
  </si>
  <si>
    <t>Engine &gt; Hybrid Electric System &gt; e-Motor System &gt; Front Motor &gt; Left housing &gt; Process</t>
  </si>
  <si>
    <t>2154-388</t>
  </si>
  <si>
    <t>A000000POFCEEU02 (AutoReverse)</t>
  </si>
  <si>
    <t>2154-397</t>
  </si>
  <si>
    <t>A000000POFD8EU02 (AutoReverse)</t>
  </si>
  <si>
    <t>2154-398</t>
  </si>
  <si>
    <t>A000000POFDAEU02 (AutoReverse)</t>
  </si>
  <si>
    <t>2154-400</t>
  </si>
  <si>
    <t>2154-519</t>
  </si>
  <si>
    <t>2154-396</t>
  </si>
  <si>
    <t>2154-403</t>
  </si>
  <si>
    <t>2154-401</t>
  </si>
  <si>
    <t>A000000POFDUEU02 (AutoReverse)</t>
  </si>
  <si>
    <t>2154-394</t>
  </si>
  <si>
    <t>A000000POFCNEU02 (AutoReverse)</t>
  </si>
  <si>
    <t>2154-395</t>
  </si>
  <si>
    <t>A000000POFCOEU02 (AutoReverse)</t>
  </si>
  <si>
    <t>2154-404</t>
  </si>
  <si>
    <t>A000000PPK0YEU02 (AutoReverse)</t>
  </si>
  <si>
    <t>2154-390</t>
  </si>
  <si>
    <t>2154-389</t>
  </si>
  <si>
    <t>2154-399</t>
  </si>
  <si>
    <t>A000000POFDFEU02 (AutoReverse)</t>
  </si>
  <si>
    <t>Engine &gt; Hybrid Electric System &gt; e-Motor System &gt; Front Motor &gt; Final assembly</t>
  </si>
  <si>
    <t>A000000POFBKEU02 (AutoReverse)</t>
  </si>
  <si>
    <t>Engine &gt; Hybrid Electric System &gt; e-Motor System &gt; Rear Motor</t>
  </si>
  <si>
    <t>Engine &gt; Hybrid Electric System &gt; e-Motor System &gt; Rear Motor &gt; Stator</t>
  </si>
  <si>
    <t>Engine &gt; Hybrid Electric System &gt; e-Motor System &gt; Rear Motor &gt; Stator &gt; Coupling busbar</t>
  </si>
  <si>
    <t>0.04700 kg</t>
  </si>
  <si>
    <t>0.1566666666666666666666666667 kg</t>
  </si>
  <si>
    <t>Engine &gt; Hybrid Electric System &gt; e-Motor System &gt; Rear Motor &gt; Stator &gt; Coupling busbar &gt; Process</t>
  </si>
  <si>
    <t>2154-11-001</t>
  </si>
  <si>
    <t>2154-11-002</t>
  </si>
  <si>
    <t>2154-11-003</t>
  </si>
  <si>
    <t>2154-11-004</t>
  </si>
  <si>
    <t>2154-11-005</t>
  </si>
  <si>
    <t>2154-11-006</t>
  </si>
  <si>
    <t>2154-11-007</t>
  </si>
  <si>
    <t>2154-11-008</t>
  </si>
  <si>
    <t>2154-11-009</t>
  </si>
  <si>
    <t>Engine &gt; Hybrid Electric System &gt; e-Motor System &gt; Rear Motor &gt; Stator &gt; Lamination stack</t>
  </si>
  <si>
    <t>15.91000 kg</t>
  </si>
  <si>
    <t>37 kg</t>
  </si>
  <si>
    <t>Engine &gt; Hybrid Electric System &gt; e-Motor System &gt; Rear Motor &gt; Stator &gt; Lamination stack &gt; Process</t>
  </si>
  <si>
    <t>2154-11-010</t>
  </si>
  <si>
    <t>Engine &gt; Hybrid Electric System &gt; e-Motor System &gt; Rear Motor &gt; Stator &gt; Stator assembly</t>
  </si>
  <si>
    <t>2154-11</t>
  </si>
  <si>
    <t>00000005I7X9EU01 (AutoReverse)</t>
  </si>
  <si>
    <t>Engine &gt; Hybrid Electric System &gt; e-Motor System &gt; Rear Motor &gt; Rotor</t>
  </si>
  <si>
    <t>Engine &gt; Hybrid Electric System &gt; e-Motor System &gt; Rear Motor &gt; Rotor &gt; End plates</t>
  </si>
  <si>
    <t>0.48600 kg</t>
  </si>
  <si>
    <t>0.4959183673469387755102040816 kg</t>
  </si>
  <si>
    <t>Engine &gt; Hybrid Electric System &gt; e-Motor System &gt; Rear Motor &gt; Rotor &gt; End plates &gt; Process</t>
  </si>
  <si>
    <t>2154-14-001</t>
  </si>
  <si>
    <t>Engine &gt; Hybrid Electric System &gt; e-Motor System &gt; Rear Motor &gt; Rotor &gt; Magnet #1</t>
  </si>
  <si>
    <t>0.01800 kg</t>
  </si>
  <si>
    <t>0.0189473684210526315789473684 kg</t>
  </si>
  <si>
    <t>Engine &gt; Hybrid Electric System &gt; e-Motor System &gt; Rear Motor &gt; Rotor &gt; Magnet #1 &gt; Process</t>
  </si>
  <si>
    <t>2154-14-002</t>
  </si>
  <si>
    <t>Engine &gt; Hybrid Electric System &gt; e-Motor System &gt; Rear Motor &gt; Rotor &gt; Magnet #2</t>
  </si>
  <si>
    <t>0.03100 kg</t>
  </si>
  <si>
    <t>0.0326315789473684210526315789 kg</t>
  </si>
  <si>
    <t>Engine &gt; Hybrid Electric System &gt; e-Motor System &gt; Rear Motor &gt; Rotor &gt; Magnet #2 &gt; Process</t>
  </si>
  <si>
    <t>2154-14-003</t>
  </si>
  <si>
    <t>Engine &gt; Hybrid Electric System &gt; e-Motor System &gt; Rear Motor &gt; Rotor &gt; Lamination stack</t>
  </si>
  <si>
    <t>15.18000 kg</t>
  </si>
  <si>
    <t>29.192307692307692307692307692 kg</t>
  </si>
  <si>
    <t>Engine &gt; Hybrid Electric System &gt; e-Motor System &gt; Rear Motor &gt; Rotor &gt; Lamination stack &gt; Process</t>
  </si>
  <si>
    <t>2154-14-004</t>
  </si>
  <si>
    <t>Engine &gt; Hybrid Electric System &gt; e-Motor System &gt; Rear Motor &gt; Rotor &gt; Rotor shaft</t>
  </si>
  <si>
    <t>2.16000 kg</t>
  </si>
  <si>
    <t>3.3230769230769230769230769231 kg</t>
  </si>
  <si>
    <t>Engine &gt; Hybrid Electric System &gt; e-Motor System &gt; Rear Motor &gt; Rotor &gt; Rotor shaft &gt; Process</t>
  </si>
  <si>
    <t>2154-14-005</t>
  </si>
  <si>
    <t>2154-414</t>
  </si>
  <si>
    <t>0000000691DAEU01 (AutoReverse)</t>
  </si>
  <si>
    <t>2154-415</t>
  </si>
  <si>
    <t>000000AK2KOLEU02 (AutoReverse)</t>
  </si>
  <si>
    <t>Engine &gt; Hybrid Electric System &gt; e-Motor System &gt; Rear Motor &gt; Rotor &gt; Rotor assembly</t>
  </si>
  <si>
    <t>2154-14</t>
  </si>
  <si>
    <t>000000025FOOEU01 (AutoReverse)</t>
  </si>
  <si>
    <t>Engine &gt; Hybrid Electric System &gt; e-Motor System &gt; Rear Motor &gt; Stator housing</t>
  </si>
  <si>
    <t>4.48900 kg</t>
  </si>
  <si>
    <t>4.5806122448979591836734693878 kg</t>
  </si>
  <si>
    <t>Engine &gt; Hybrid Electric System &gt; e-Motor System &gt; Rear Motor &gt; Stator housing &gt; Process</t>
  </si>
  <si>
    <t>2154-376</t>
  </si>
  <si>
    <t>Engine &gt; Hybrid Electric System &gt; e-Motor System &gt; Rear Motor &gt; Right housing</t>
  </si>
  <si>
    <t>2.38100 kg</t>
  </si>
  <si>
    <t>2.4295918367346938775510204082 kg</t>
  </si>
  <si>
    <t>Engine &gt; Hybrid Electric System &gt; e-Motor System &gt; Rear Motor &gt; Right housing &gt; Process</t>
  </si>
  <si>
    <t>2154-409</t>
  </si>
  <si>
    <t>2154-413</t>
  </si>
  <si>
    <t xml:space="preserve">Engine &gt; Hybrid Electric System &gt; e-Motor System &gt; Rear Motor &gt; Busbar connector </t>
  </si>
  <si>
    <t>Small press in bushing</t>
  </si>
  <si>
    <t>Engine &gt; Hybrid Electric System &gt; e-Motor System &gt; Rear Motor &gt; Busbar connector  &gt; Process</t>
  </si>
  <si>
    <t>0.06000 kg</t>
  </si>
  <si>
    <t>0.0631578947368421052631578947 kg</t>
  </si>
  <si>
    <t>2154-417</t>
  </si>
  <si>
    <t>2154-418</t>
  </si>
  <si>
    <t>00000000KTR5EU01 (AutoReverse)</t>
  </si>
  <si>
    <t>2154-421</t>
  </si>
  <si>
    <t>2154-422</t>
  </si>
  <si>
    <t>2154-423</t>
  </si>
  <si>
    <t>00000011UK7LCID0 (AutoReverse)</t>
  </si>
  <si>
    <t>2154-416</t>
  </si>
  <si>
    <t>00000011UK7NCID0 (AutoReverse)</t>
  </si>
  <si>
    <t>2154-420</t>
  </si>
  <si>
    <t>00000011UK6QCID0 (AutoReverse)</t>
  </si>
  <si>
    <t>2154-424</t>
  </si>
  <si>
    <t>2154-412</t>
  </si>
  <si>
    <t>2154-411</t>
  </si>
  <si>
    <t>Engine &gt; Hybrid Electric System &gt; e-Motor System &gt; Rear Motor &gt; Final assembly</t>
  </si>
  <si>
    <t>2154-12</t>
  </si>
  <si>
    <t>0000000851E0EU01 (AutoReverse)</t>
  </si>
  <si>
    <t>00000001H6Q5EU01 (AutoReverse)</t>
  </si>
  <si>
    <t xml:space="preserve">Engine &gt; Hybrid Electric System &gt; Hybrid/Electric Vehicle ECU </t>
  </si>
  <si>
    <t>Engine &gt; Hybrid Electric System &gt; Hybrid/Electric Vehicle ECU  &gt;  Hybrid Electric Vehicle ECU</t>
  </si>
  <si>
    <t>Engine &gt; Hybrid Electric System &gt; Hybrid/Electric Vehicle ECU  &gt;  Hybrid Electric Vehicle ECU &gt;  Structural Parts</t>
  </si>
  <si>
    <t xml:space="preserve">2154-487
</t>
  </si>
  <si>
    <t xml:space="preserve">2154-489
</t>
  </si>
  <si>
    <t>Engine &gt; Hybrid Electric System &gt; Hybrid/Electric Vehicle ECU  &gt;  Hybrid Electric Vehicle ECU &gt;  Electrical Components</t>
  </si>
  <si>
    <t xml:space="preserve">2154-490
</t>
  </si>
  <si>
    <t xml:space="preserve">2154-491
</t>
  </si>
  <si>
    <t>Engine &gt; Hybrid Electric System &gt; Hybrid/Electric Vehicle ECU  &gt;  Hybrid Electric Vehicle ECU &gt; Final Assy</t>
  </si>
  <si>
    <t xml:space="preserve">2154-485
</t>
  </si>
  <si>
    <t>Engine &gt; Hybrid Electric System &gt; Hybrid/Electric Vehicle ECU  &gt;  External Components</t>
  </si>
  <si>
    <t>1945-881</t>
  </si>
  <si>
    <t>1945-882</t>
  </si>
  <si>
    <t xml:space="preserve">2154-486
</t>
  </si>
  <si>
    <t>0000000278QJEU01 (AutoReverse)</t>
  </si>
  <si>
    <t xml:space="preserve">Engine &gt; Hybrid Electric System &gt; DC-DC Converter </t>
  </si>
  <si>
    <t>Engine &gt; Hybrid Electric System &gt; DC-DC Converter  &gt;  Connectors &amp; Wire Harnesses</t>
  </si>
  <si>
    <t>Engine &gt; Hybrid Electric System &gt; DC-DC Converter  &gt;  Connectors &amp; Wire Harnesses &gt;  Busbars</t>
  </si>
  <si>
    <t>2154-99</t>
  </si>
  <si>
    <t>2154-133</t>
  </si>
  <si>
    <t>2154-100</t>
  </si>
  <si>
    <t>Engine &gt; Hybrid Electric System &gt; DC-DC Converter  &gt;  Connectors &amp; Wire Harnesses &gt;  Connectors</t>
  </si>
  <si>
    <t>Engine &gt; Hybrid Electric System &gt; DC-DC Converter  &gt;  Connectors &amp; Wire Harnesses &gt;  Connectors &gt;  HV Connectors</t>
  </si>
  <si>
    <t>2154-130</t>
  </si>
  <si>
    <t>2154-131</t>
  </si>
  <si>
    <t>2154-132</t>
  </si>
  <si>
    <t xml:space="preserve">2154-101
</t>
  </si>
  <si>
    <t>Engine &gt; Hybrid Electric System &gt; DC-DC Converter  &gt;  Electrical Parts</t>
  </si>
  <si>
    <t>Engine &gt; Hybrid Electric System &gt; DC-DC Converter  &gt;  Electrical Parts &gt;  Ferrites &amp; Cores</t>
  </si>
  <si>
    <t xml:space="preserve">2154-111
</t>
  </si>
  <si>
    <t xml:space="preserve">2154-114
</t>
  </si>
  <si>
    <t xml:space="preserve">2154-117
</t>
  </si>
  <si>
    <t xml:space="preserve">2154-116
</t>
  </si>
  <si>
    <t xml:space="preserve">2154-115
</t>
  </si>
  <si>
    <t xml:space="preserve">2154-120
</t>
  </si>
  <si>
    <t xml:space="preserve">2154-122
</t>
  </si>
  <si>
    <t xml:space="preserve">2154-111-1
</t>
  </si>
  <si>
    <t xml:space="preserve">2154-42-1
</t>
  </si>
  <si>
    <t xml:space="preserve">2154-115-1
</t>
  </si>
  <si>
    <t xml:space="preserve">2154-112
</t>
  </si>
  <si>
    <t xml:space="preserve">2154-113
</t>
  </si>
  <si>
    <t>Engine &gt; Hybrid Electric System &gt; DC-DC Converter  &gt;  Electronic Parts</t>
  </si>
  <si>
    <t xml:space="preserve">2154-128
</t>
  </si>
  <si>
    <t xml:space="preserve">2154-129
</t>
  </si>
  <si>
    <t>Engine &gt; Hybrid Electric System &gt; DC-DC Converter  &gt;  Mechanical Parts</t>
  </si>
  <si>
    <t>Engine &gt; Hybrid Electric System &gt; DC-DC Converter  &gt;  Mechanical Parts &gt;  Adhesives / Foam Pads</t>
  </si>
  <si>
    <t xml:space="preserve">2154-103
</t>
  </si>
  <si>
    <t xml:space="preserve">2154-106
</t>
  </si>
  <si>
    <t>2154-136-1</t>
  </si>
  <si>
    <t>2154-137-3</t>
  </si>
  <si>
    <t>2154-137-2</t>
  </si>
  <si>
    <t xml:space="preserve">2154-104
</t>
  </si>
  <si>
    <t>Engine &gt; Hybrid Electric System &gt; DC-DC Converter  &gt;  Mechanical Parts &gt;  Covers</t>
  </si>
  <si>
    <t xml:space="preserve">2154-126
</t>
  </si>
  <si>
    <t xml:space="preserve">2154-124
</t>
  </si>
  <si>
    <t xml:space="preserve">2154-127
</t>
  </si>
  <si>
    <t>Engine &gt; Hybrid Electric System &gt; DC-DC Converter  &gt;  Mechanical Parts &gt;  Housing Parts</t>
  </si>
  <si>
    <t>Engine &gt; Hybrid Electric System &gt; DC-DC Converter  &gt;  Mechanical Parts &gt;  Housing Parts &gt;  Main Housing</t>
  </si>
  <si>
    <t>1.68900 kg</t>
  </si>
  <si>
    <t>1.7147208121827411167512690355 kg</t>
  </si>
  <si>
    <t>Engine &gt; Hybrid Electric System &gt; DC-DC Converter  &gt;  Mechanical Parts &gt;  Housing Parts &gt;  Main Housing &gt; Process</t>
  </si>
  <si>
    <t xml:space="preserve">2154-137
</t>
  </si>
  <si>
    <t>Engine &gt; Hybrid Electric System &gt; DC-DC Converter  &gt;  Mechanical Parts &gt;  Housing Parts &gt;  Top Lid</t>
  </si>
  <si>
    <t>0.24000 kg</t>
  </si>
  <si>
    <t>0.3366058906030855539971949509 kg</t>
  </si>
  <si>
    <t>Engine &gt; Hybrid Electric System &gt; DC-DC Converter  &gt;  Mechanical Parts &gt;  Housing Parts &gt;  Top Lid &gt; Process</t>
  </si>
  <si>
    <t xml:space="preserve">2154-107
</t>
  </si>
  <si>
    <t xml:space="preserve">2154-136
</t>
  </si>
  <si>
    <t xml:space="preserve">2154-108
</t>
  </si>
  <si>
    <t xml:space="preserve">2154-105
</t>
  </si>
  <si>
    <t>Engine &gt; Hybrid Electric System &gt; DC-DC Converter  &gt; Final Assy</t>
  </si>
  <si>
    <t xml:space="preserve">2154-5
</t>
  </si>
  <si>
    <t>00000002OS2ZEU01 (AutoReverse)</t>
  </si>
  <si>
    <t xml:space="preserve">Engine &gt; Hybrid Electric System &gt; Onboard Charger </t>
  </si>
  <si>
    <t>Engine &gt; Hybrid Electric System &gt; Onboard Charger  &gt;  Connectors &amp; Wire Harnesses</t>
  </si>
  <si>
    <t>Engine &gt; Hybrid Electric System &gt; Onboard Charger  &gt;  Connectors &amp; Wire Harnesses &gt;  Connectors</t>
  </si>
  <si>
    <t>Engine &gt; Hybrid Electric System &gt; Onboard Charger  &gt;  Connectors &amp; Wire Harnesses &gt;  Connectors &gt;  HV Connectors</t>
  </si>
  <si>
    <t xml:space="preserve">2154-316
</t>
  </si>
  <si>
    <t xml:space="preserve">2154-342
</t>
  </si>
  <si>
    <t xml:space="preserve">2154-317
</t>
  </si>
  <si>
    <t xml:space="preserve">2154-345
</t>
  </si>
  <si>
    <t xml:space="preserve">2154-318
</t>
  </si>
  <si>
    <t xml:space="preserve">2154-305
</t>
  </si>
  <si>
    <t>Engine &gt; Hybrid Electric System &gt; Onboard Charger  &gt;  Electrical Parts</t>
  </si>
  <si>
    <t>Engine &gt; Hybrid Electric System &gt; Onboard Charger  &gt;  Electrical Parts &gt;  Inductors</t>
  </si>
  <si>
    <t xml:space="preserve">2154-334
</t>
  </si>
  <si>
    <t xml:space="preserve">2154-353
</t>
  </si>
  <si>
    <t xml:space="preserve">2154-335
</t>
  </si>
  <si>
    <t xml:space="preserve">2154-336
</t>
  </si>
  <si>
    <t>Engine &gt; Hybrid Electric System &gt; Onboard Charger  &gt;  Electronic Parts</t>
  </si>
  <si>
    <t xml:space="preserve">2154-361
</t>
  </si>
  <si>
    <t xml:space="preserve">2154-347
</t>
  </si>
  <si>
    <t xml:space="preserve">2154-313
</t>
  </si>
  <si>
    <t xml:space="preserve">2154-367
</t>
  </si>
  <si>
    <t xml:space="preserve">2154-362
</t>
  </si>
  <si>
    <t xml:space="preserve">2154-321
</t>
  </si>
  <si>
    <t xml:space="preserve">2154-340
</t>
  </si>
  <si>
    <t xml:space="preserve">2154-366
</t>
  </si>
  <si>
    <t xml:space="preserve">2154-322
</t>
  </si>
  <si>
    <t xml:space="preserve">2154-341
</t>
  </si>
  <si>
    <t xml:space="preserve">2154-314
</t>
  </si>
  <si>
    <t>Engine &gt; Hybrid Electric System &gt; Onboard Charger  &gt;  Mechanical Parts</t>
  </si>
  <si>
    <t>Engine &gt; Hybrid Electric System &gt; Onboard Charger  &gt;  Mechanical Parts &gt;  Covers</t>
  </si>
  <si>
    <t xml:space="preserve">2154-344
</t>
  </si>
  <si>
    <t xml:space="preserve">2154-343
</t>
  </si>
  <si>
    <t xml:space="preserve">2154-326
</t>
  </si>
  <si>
    <t>Engine &gt; Hybrid Electric System &gt; Onboard Charger  &gt;  Mechanical Parts &gt;  Housing Parts</t>
  </si>
  <si>
    <t>Engine &gt; Hybrid Electric System &gt; Onboard Charger  &gt;  Mechanical Parts &gt;  Housing Parts &gt;  Top Lid</t>
  </si>
  <si>
    <t>0.59600 kg</t>
  </si>
  <si>
    <t>0.6954492415402567094515752625 kg</t>
  </si>
  <si>
    <t>Engine &gt; Hybrid Electric System &gt; Onboard Charger  &gt;  Mechanical Parts &gt;  Housing Parts &gt;  Top Lid &gt; Process</t>
  </si>
  <si>
    <t xml:space="preserve">2154-302
</t>
  </si>
  <si>
    <t>Engine &gt; Hybrid Electric System &gt; Onboard Charger  &gt;  Mechanical Parts &gt;  Housing Parts &gt;  Cooling Channel</t>
  </si>
  <si>
    <t>0.28500 kg</t>
  </si>
  <si>
    <t>0.3051391862955032119914346895 kg</t>
  </si>
  <si>
    <t>Engine &gt; Hybrid Electric System &gt; Onboard Charger  &gt;  Mechanical Parts &gt;  Housing Parts &gt;  Cooling Channel &gt; Process</t>
  </si>
  <si>
    <t xml:space="preserve">2154-329
</t>
  </si>
  <si>
    <t>Engine &gt; Hybrid Electric System &gt; Onboard Charger  &gt;  Mechanical Parts &gt;  Housing Parts &gt;  Main Housing</t>
  </si>
  <si>
    <t>4.26000 kg</t>
  </si>
  <si>
    <t>4.324873096446700507614213198 kg</t>
  </si>
  <si>
    <t>Engine &gt; Hybrid Electric System &gt; Onboard Charger  &gt;  Mechanical Parts &gt;  Housing Parts &gt;  Main Housing &gt; Process</t>
  </si>
  <si>
    <t xml:space="preserve">2154-374
</t>
  </si>
  <si>
    <t xml:space="preserve">2154-325
</t>
  </si>
  <si>
    <t xml:space="preserve">2154-303
</t>
  </si>
  <si>
    <t>Engine &gt; Hybrid Electric System &gt; Onboard Charger  &gt;  Mechanical Parts &gt;  Pressure Vents</t>
  </si>
  <si>
    <t xml:space="preserve">2154-311
</t>
  </si>
  <si>
    <t xml:space="preserve">2154-312
</t>
  </si>
  <si>
    <t>Engine &gt; Hybrid Electric System &gt; Onboard Charger  &gt;  Mechanical Parts &gt;  Seals</t>
  </si>
  <si>
    <t xml:space="preserve">2154-309
</t>
  </si>
  <si>
    <t xml:space="preserve">2154-310
</t>
  </si>
  <si>
    <t>Engine &gt; Hybrid Electric System &gt; Onboard Charger  &gt;  Mechanical Parts &gt;  Thermal Paste / Gap Pad</t>
  </si>
  <si>
    <t xml:space="preserve">2154-331
</t>
  </si>
  <si>
    <t xml:space="preserve">2154-332
</t>
  </si>
  <si>
    <t xml:space="preserve">2154-304
</t>
  </si>
  <si>
    <t>Engine &gt; Hybrid Electric System &gt; Onboard Charger  &gt; Final Assy</t>
  </si>
  <si>
    <t xml:space="preserve">Engine &gt; Hybrid Electric System &gt;  Cable Guide </t>
  </si>
  <si>
    <t>2110-1258</t>
  </si>
  <si>
    <t>0000000ALUB7EU01 (AutoReverse)</t>
  </si>
  <si>
    <t>2110-1718</t>
  </si>
  <si>
    <t>000000043PY1EU01 (AutoReverse)</t>
  </si>
  <si>
    <t>2110-1760</t>
  </si>
  <si>
    <t>0000000515FPEU01 (AutoReverse)</t>
  </si>
  <si>
    <t>2110-1768</t>
  </si>
  <si>
    <t>0000000ADGUWEU01 (AutoReverse)</t>
  </si>
  <si>
    <t>2110-1287</t>
  </si>
  <si>
    <t>00000009BTZPEU01 (AutoReverse)</t>
  </si>
  <si>
    <t>2110-1276</t>
  </si>
  <si>
    <t>00000005NRRPEU01 (AutoReverse)</t>
  </si>
  <si>
    <t>2110-1750</t>
  </si>
  <si>
    <t>00000008LXYPEU01 (AutoReverse)</t>
  </si>
  <si>
    <t>2110-1745</t>
  </si>
  <si>
    <t>00000006ZW33EU01 (AutoReverse)</t>
  </si>
  <si>
    <t>2110-1259</t>
  </si>
  <si>
    <t>00000002RFRCEU01 (AutoReverse)</t>
  </si>
  <si>
    <t xml:space="preserve">Engine &gt; Hybrid Electric System &gt;  Cables System </t>
  </si>
  <si>
    <t>Engine &gt; Hybrid Electric System &gt;  Cables System  &gt;  Cable Battery/Converter</t>
  </si>
  <si>
    <t>0000000907TXEU01 (AutoReverse)</t>
  </si>
  <si>
    <t>Engine &gt; Hybrid Electric System &gt;  Cables System  &gt;  Cable Battery/Converter &gt; Process</t>
  </si>
  <si>
    <t>2110-1775</t>
  </si>
  <si>
    <t>000000076ANDEU01 (AutoReverse)</t>
  </si>
  <si>
    <t>Engine &gt; Hybrid Electric System &gt;  Cables System  &gt;  Cable HV Charger/Converter</t>
  </si>
  <si>
    <t>Engine &gt; Hybrid Electric System &gt;  Cables System  &gt;  Cable HV Charger/Converter &gt; Process</t>
  </si>
  <si>
    <t>2110-1603</t>
  </si>
  <si>
    <t>2110-624</t>
  </si>
  <si>
    <t>00000001FV8CEU01 (AutoReverse)</t>
  </si>
  <si>
    <t xml:space="preserve">Engine &gt; Hybrid Electric System &gt;  HV cable cover protection system </t>
  </si>
  <si>
    <t>2110-1795</t>
  </si>
  <si>
    <t>00000007TNB3EU01 (AutoReverse)</t>
  </si>
  <si>
    <t>2110-1797</t>
  </si>
  <si>
    <t>2110-1796</t>
  </si>
  <si>
    <t>000000030S1BEU01 (AutoReverse)</t>
  </si>
  <si>
    <t xml:space="preserve">Engine &gt; Hybrid Electric System &gt;  HV cable bracket system </t>
  </si>
  <si>
    <t>2110-725</t>
  </si>
  <si>
    <t>2110-823</t>
  </si>
  <si>
    <t>2110-828</t>
  </si>
  <si>
    <t>2110-902</t>
  </si>
  <si>
    <t>2110-1731</t>
  </si>
  <si>
    <t>2110-1237</t>
  </si>
  <si>
    <t>Engine &gt; Hybrid Electric System &gt;  HV cable bracket system  &gt;  5th HV cable support</t>
  </si>
  <si>
    <t>0.29200 kg</t>
  </si>
  <si>
    <t>0.3318181818181818181818181818 kg</t>
  </si>
  <si>
    <t>Engine &gt; Hybrid Electric System &gt;  HV cable bracket system  &gt;  5th HV cable support &gt; Process</t>
  </si>
  <si>
    <t>2110-1230</t>
  </si>
  <si>
    <t>2110-726</t>
  </si>
  <si>
    <t>Engine &gt; Hybrid Electric System &gt; Plug In System</t>
  </si>
  <si>
    <t>Engine &gt; Hybrid Electric System &gt; Plug In System &gt;  Charging Inlet</t>
  </si>
  <si>
    <t>Engine &gt; Hybrid Electric System &gt; Plug In System &gt;  Charging Inlet &gt; Process</t>
  </si>
  <si>
    <t>2110-1344</t>
  </si>
  <si>
    <t>0000000095IAEU01 (AutoReverse)</t>
  </si>
  <si>
    <t>Engine &gt; Hybrid Electric System &gt; Plug In System &gt;  Exterior Charging Cable</t>
  </si>
  <si>
    <t>Engine &gt; Hybrid Electric System &gt; Plug In System &gt;  Exterior Charging Cable &gt; Process</t>
  </si>
  <si>
    <t>2110-623</t>
  </si>
  <si>
    <t>00000001US15EU01 (AutoReverse)</t>
  </si>
  <si>
    <t>2110-645</t>
  </si>
  <si>
    <t>00000003XJK8EU01 (AutoReverse)</t>
  </si>
  <si>
    <t>2110-1243</t>
  </si>
  <si>
    <t>00000002JLSBEU01 (AutoReverse)</t>
  </si>
  <si>
    <t>2110-1251</t>
  </si>
  <si>
    <t>00000000BFUJEU01 (AutoReverse)</t>
  </si>
  <si>
    <t>2110-1263</t>
  </si>
  <si>
    <t>A000000EDWJLEU02 (AutoReverse)</t>
  </si>
  <si>
    <t>Engine &gt; Hybrid Electric System &gt; Plug In System &gt; Charging indicator</t>
  </si>
  <si>
    <t>Engine &gt; Hybrid Electric System &gt; Plug In System &gt; Charging indicator &gt; Process</t>
  </si>
  <si>
    <t>NON FERROUS METAL;ELECTRONIC COMPONENT</t>
  </si>
  <si>
    <t>000000004FT6EU01 (AutoReverse)</t>
  </si>
  <si>
    <t>00000002X4AVEU01 (AutoReverse)</t>
  </si>
  <si>
    <t>Engine &gt; Hybrid Electric System &gt;  HV Battery Pack</t>
  </si>
  <si>
    <t>Engine &gt; Hybrid Electric System &gt;  HV Battery Pack &gt; Battery pack: Excluding cells</t>
  </si>
  <si>
    <t>Engine &gt; Hybrid Electric System &gt;  HV Battery Pack &gt; Battery pack: Excluding cells &gt; Cell Module, Large</t>
  </si>
  <si>
    <t>Engine &gt; Hybrid Electric System &gt;  HV Battery Pack &gt; Battery pack: Excluding cells &gt; Cell Module, Large &gt; Housing</t>
  </si>
  <si>
    <t>2154-591</t>
  </si>
  <si>
    <t>Battery [Production Overhead]</t>
  </si>
  <si>
    <t>0000009X68DVEU02 (Powertrain)</t>
  </si>
  <si>
    <t>2154-207</t>
  </si>
  <si>
    <t>Battery [Mechanical Prod] [Purchased]</t>
  </si>
  <si>
    <t>0000009X686NEU02 (Powertrain)</t>
  </si>
  <si>
    <t>2154-282</t>
  </si>
  <si>
    <t>0000009X68B5EU02 (Powertrain)</t>
  </si>
  <si>
    <t>2154-208</t>
  </si>
  <si>
    <t>0000009X68B0EU02 (Powertrain)</t>
  </si>
  <si>
    <t>2154-281</t>
  </si>
  <si>
    <t>0000009X6914EU02 (Powertrain)</t>
  </si>
  <si>
    <t>2154-281-01</t>
  </si>
  <si>
    <t>2154-287</t>
  </si>
  <si>
    <t>0000009X6BF6EU02 (Powertrain)</t>
  </si>
  <si>
    <t>2154-306</t>
  </si>
  <si>
    <t>0000009X69OWEU02 (Powertrain)</t>
  </si>
  <si>
    <t>2154-299</t>
  </si>
  <si>
    <t>A000005CMUPDEU01 (Powertrain)</t>
  </si>
  <si>
    <t>2154-210</t>
  </si>
  <si>
    <t>0000009X6BPREU02 (Powertrain)</t>
  </si>
  <si>
    <t>2154-209</t>
  </si>
  <si>
    <t>000000ATQW73EU02 (Powertrain)</t>
  </si>
  <si>
    <t>2154-109-01-06</t>
  </si>
  <si>
    <t>2154-109-01-07</t>
  </si>
  <si>
    <t>Engine &gt; Hybrid Electric System &gt;  HV Battery Pack &gt; Battery pack: Excluding cells &gt; Cell Module, Large &gt; Process</t>
  </si>
  <si>
    <t>2154-109</t>
  </si>
  <si>
    <t>16.000000 %</t>
  </si>
  <si>
    <t>Battery [Module Mechanics Overhead Settings] [Purchased]</t>
  </si>
  <si>
    <t>0000009X67S0EU02 (Powertrain)</t>
  </si>
  <si>
    <t>Engine &gt; Hybrid Electric System &gt;  HV Battery Pack &gt; Battery pack: Excluding cells &gt; Electrical Components</t>
  </si>
  <si>
    <t>Engine &gt; Hybrid Electric System &gt;  HV Battery Pack &gt; Battery pack: Excluding cells &gt; Electrical Components &gt; BMS Master ECU</t>
  </si>
  <si>
    <t>Engine &gt; Hybrid Electric System &gt;  HV Battery Pack &gt; Battery pack: Excluding cells &gt; Electrical Components &gt; BMS Master ECU &gt; BMS Master PCBA</t>
  </si>
  <si>
    <t>2154-93-01</t>
  </si>
  <si>
    <t>Battery [Final Assembly] [Internal]</t>
  </si>
  <si>
    <t>000000AUD31FEU02 (Powertrain)</t>
  </si>
  <si>
    <t>2154-93</t>
  </si>
  <si>
    <t>Engine &gt; Hybrid Electric System &gt;  HV Battery Pack &gt; Battery pack: Excluding cells &gt; Electrical Components &gt; BMS Master ECU &gt; BMS Master ECU Mechanical Components</t>
  </si>
  <si>
    <t>2154-95</t>
  </si>
  <si>
    <t>000000AUD31IEU02 (Powertrain)</t>
  </si>
  <si>
    <t>2154-98</t>
  </si>
  <si>
    <t>000000AUD31HEU02 (Powertrain)</t>
  </si>
  <si>
    <t>2154-98-01</t>
  </si>
  <si>
    <t>2154-97</t>
  </si>
  <si>
    <t>000000AUD31EEU02 (Powertrain)</t>
  </si>
  <si>
    <t>2154-32</t>
  </si>
  <si>
    <t>Battery [BMS Overhead Settings] [Purchased]</t>
  </si>
  <si>
    <t>0000009X67Q2EU02 (Powertrain)</t>
  </si>
  <si>
    <t>Engine &gt; Hybrid Electric System &gt;  HV Battery Pack &gt; Battery pack: Excluding cells &gt; Electrical Components &gt; Slave BMS ECU</t>
  </si>
  <si>
    <t>Engine &gt; Hybrid Electric System &gt;  HV Battery Pack &gt; Battery pack: Excluding cells &gt; Electrical Components &gt; Slave BMS ECU &gt; Slave BMS PCBA</t>
  </si>
  <si>
    <t>2154-84-07</t>
  </si>
  <si>
    <t>000000AUF9XBEU02 (Powertrain)</t>
  </si>
  <si>
    <t>2154-84</t>
  </si>
  <si>
    <t>000000AUF9X9EU02 (Powertrain)</t>
  </si>
  <si>
    <t>Engine &gt; Hybrid Electric System &gt;  HV Battery Pack &gt; Battery pack: Excluding cells &gt; Electrical Components &gt; Slave BMS ECU &gt; Slave BMS ECU Mechanical Components</t>
  </si>
  <si>
    <t>2154-85</t>
  </si>
  <si>
    <t>000000AUF9XEEU02 (Powertrain)</t>
  </si>
  <si>
    <t>2154-86</t>
  </si>
  <si>
    <t>000000AUF9XDEU02 (Powertrain)</t>
  </si>
  <si>
    <t>2154-86-01</t>
  </si>
  <si>
    <t>0000009X6ASTEU02 (Powertrain)</t>
  </si>
  <si>
    <t>2154-91</t>
  </si>
  <si>
    <t>000000AUF9XAEU02 (Powertrain)</t>
  </si>
  <si>
    <t>2154-67</t>
  </si>
  <si>
    <t>0000009X68YXEU02 (Powertrain)</t>
  </si>
  <si>
    <t>Engine &gt; Hybrid Electric System &gt;  HV Battery Pack &gt; Battery pack: Excluding cells &gt; Electrical Components &gt; Relay Box #1</t>
  </si>
  <si>
    <t>Engine &gt; Hybrid Electric System &gt;  HV Battery Pack &gt; Battery pack: Excluding cells &gt; Electrical Components &gt; Relay Box #1 &gt; Housing Bottom</t>
  </si>
  <si>
    <t>2154-223</t>
  </si>
  <si>
    <t>000000ADZUPGEU02 (Powertrain)</t>
  </si>
  <si>
    <t>2154-212</t>
  </si>
  <si>
    <t>0000009X695ZEU02 (Powertrain)</t>
  </si>
  <si>
    <t>2154-212-01</t>
  </si>
  <si>
    <t>2154-214</t>
  </si>
  <si>
    <t>0000009X68WYEU02 (Powertrain)</t>
  </si>
  <si>
    <t>2154-214-01</t>
  </si>
  <si>
    <t>2154-81</t>
  </si>
  <si>
    <t>0000009X68X1EU02 (Powertrain)</t>
  </si>
  <si>
    <t>2154-217</t>
  </si>
  <si>
    <t>0000009X6A6MEU02 (Powertrain)</t>
  </si>
  <si>
    <t>2154-219</t>
  </si>
  <si>
    <t>0000009X6ATGEU02 (Powertrain)</t>
  </si>
  <si>
    <t>2154-220</t>
  </si>
  <si>
    <t>000000ADUPP3EU02 (Powertrain)</t>
  </si>
  <si>
    <t>2154-220-01</t>
  </si>
  <si>
    <t>2154-221</t>
  </si>
  <si>
    <t>000000ADZUPFEU02 (Powertrain)</t>
  </si>
  <si>
    <t>2154-223-01</t>
  </si>
  <si>
    <t>2154-211</t>
  </si>
  <si>
    <t>000000APLYKOEU02 (Powertrain)</t>
  </si>
  <si>
    <t>2154-206</t>
  </si>
  <si>
    <t>000000APLYKXEU02 (Powertrain)</t>
  </si>
  <si>
    <t>2154-82</t>
  </si>
  <si>
    <t>Battery [Relay Box Overhead Settings] [Purchased]</t>
  </si>
  <si>
    <t>0000009X68J9EU02 (Powertrain)</t>
  </si>
  <si>
    <t>Engine &gt; Hybrid Electric System &gt;  HV Battery Pack &gt; Battery pack: Excluding cells &gt; Electrical Components &gt; Relay Box #2</t>
  </si>
  <si>
    <t>2154-182</t>
  </si>
  <si>
    <t>0000009X68N6EU02 (Powertrain)</t>
  </si>
  <si>
    <t>2154-182-01</t>
  </si>
  <si>
    <t>2154-183</t>
  </si>
  <si>
    <t>0000009X68XKEU02 (Powertrain)</t>
  </si>
  <si>
    <t>2154-183-01</t>
  </si>
  <si>
    <t>2154-79</t>
  </si>
  <si>
    <t>0000009X68XLEU02 (Powertrain)</t>
  </si>
  <si>
    <t>2154-185</t>
  </si>
  <si>
    <t>000000APLYKIEU02 (Powertrain)</t>
  </si>
  <si>
    <t>2154-187</t>
  </si>
  <si>
    <t>000000ADZUP2EU02 (Powertrain)</t>
  </si>
  <si>
    <t>2154-189</t>
  </si>
  <si>
    <t>000000ADZUP3EU02 (Powertrain)</t>
  </si>
  <si>
    <t>2154-189-01</t>
  </si>
  <si>
    <t>2154-190</t>
  </si>
  <si>
    <t>000000APLYKGEU02 (Powertrain)</t>
  </si>
  <si>
    <t>2154-193</t>
  </si>
  <si>
    <t>000000APLYKNEU02 (Powertrain)</t>
  </si>
  <si>
    <t>2154-76</t>
  </si>
  <si>
    <t>0000009X68WLEU02 (Powertrain)</t>
  </si>
  <si>
    <t>Engine &gt; Hybrid Electric System &gt;  HV Battery Pack &gt; Battery pack: Excluding cells &gt; Electrical Components &gt; Power Connection</t>
  </si>
  <si>
    <t>2154-42</t>
  </si>
  <si>
    <t>0000009X67NXEU02 (Powertrain)</t>
  </si>
  <si>
    <t>2154-44</t>
  </si>
  <si>
    <t>0000009X67QIEU02 (Powertrain)</t>
  </si>
  <si>
    <t>2154-45</t>
  </si>
  <si>
    <t>0000009X67QJEU02 (Powertrain)</t>
  </si>
  <si>
    <t>2154-45-01</t>
  </si>
  <si>
    <t>2154-44/42-01</t>
  </si>
  <si>
    <t>2154-48</t>
  </si>
  <si>
    <t>2154-48-01</t>
  </si>
  <si>
    <t>2154-48-02</t>
  </si>
  <si>
    <t>2154-48-03</t>
  </si>
  <si>
    <t>2154-43</t>
  </si>
  <si>
    <t>0000009X67PYEU02 (Powertrain)</t>
  </si>
  <si>
    <t>Engine &gt; Hybrid Electric System &gt;  HV Battery Pack &gt; Battery pack: Excluding cells &gt; Electrical Components &gt; Signal Connection</t>
  </si>
  <si>
    <t>2154-68</t>
  </si>
  <si>
    <t>0000009X67PFEU02 (Powertrain)</t>
  </si>
  <si>
    <t>2154-63</t>
  </si>
  <si>
    <t>0000009X68U4EU02 (Powertrain)</t>
  </si>
  <si>
    <t>2154-65</t>
  </si>
  <si>
    <t>0000009X6A9EEU02 (Powertrain)</t>
  </si>
  <si>
    <t>2154-66</t>
  </si>
  <si>
    <t>0000009X6ARIEU02 (Powertrain)</t>
  </si>
  <si>
    <t>2154-64</t>
  </si>
  <si>
    <t>2154-33</t>
  </si>
  <si>
    <t>0000009X67MREU02 (Powertrain)</t>
  </si>
  <si>
    <t>Engine &gt; Hybrid Electric System &gt;  HV Battery Pack &gt; Battery pack: Excluding cells &gt; Structural Components</t>
  </si>
  <si>
    <t>Engine &gt; Hybrid Electric System &gt;  HV Battery Pack &gt; Battery pack: Excluding cells &gt; Structural Components &gt; Enclosure Bottom</t>
  </si>
  <si>
    <t>2154-141</t>
  </si>
  <si>
    <t>Battery [Assembly] [Purchased]</t>
  </si>
  <si>
    <t>0000009X67PAEU02 (Powertrain)</t>
  </si>
  <si>
    <t>Engine &gt; Hybrid Electric System &gt;  HV Battery Pack &gt; Battery pack: Excluding cells &gt; Structural Components &gt; Second Enclosure Bottom</t>
  </si>
  <si>
    <t>2154-142</t>
  </si>
  <si>
    <t>0000009X67MPEU02 (Powertrain)</t>
  </si>
  <si>
    <t>Engine &gt; Hybrid Electric System &gt;  HV Battery Pack &gt; Battery pack: Excluding cells &gt; Structural Components &gt; Enclosure Top</t>
  </si>
  <si>
    <t>2154-87</t>
  </si>
  <si>
    <t>0000009X67PBEU02 (Powertrain)</t>
  </si>
  <si>
    <t>2154-141-01</t>
  </si>
  <si>
    <t>2154-141-02</t>
  </si>
  <si>
    <t>2154-142-01</t>
  </si>
  <si>
    <t>2154-142-02</t>
  </si>
  <si>
    <t>2154-87-01</t>
  </si>
  <si>
    <t>2154-87-02</t>
  </si>
  <si>
    <t>2154-87-03</t>
  </si>
  <si>
    <t>2154-87-04</t>
  </si>
  <si>
    <t>2154-87-05</t>
  </si>
  <si>
    <t>2154-89</t>
  </si>
  <si>
    <t>0000009X67MOEU02 (Powertrain)</t>
  </si>
  <si>
    <t>Engine &gt; Hybrid Electric System &gt;  HV Battery Pack &gt; Battery pack: Excluding cells &gt; Thermal Control system (air/Liquid)</t>
  </si>
  <si>
    <t>Engine &gt; Hybrid Electric System &gt;  HV Battery Pack &gt; Battery pack: Excluding cells &gt; Thermal Control system (air/Liquid) &gt; Cooling Plate 1</t>
  </si>
  <si>
    <t>2154-143</t>
  </si>
  <si>
    <t>0000009X68LYEU02 (Powertrain)</t>
  </si>
  <si>
    <t>2154-143-01</t>
  </si>
  <si>
    <t>2154-143-02</t>
  </si>
  <si>
    <t>2154-143-03</t>
  </si>
  <si>
    <t>2154-118</t>
  </si>
  <si>
    <t>0000009X69AMEU02 (Powertrain)</t>
  </si>
  <si>
    <t>2154-118-01</t>
  </si>
  <si>
    <t>2154-118-02</t>
  </si>
  <si>
    <t>2154-69</t>
  </si>
  <si>
    <t>000000AHAZFLEU02 (Powertrain)</t>
  </si>
  <si>
    <t>2154-70</t>
  </si>
  <si>
    <t>0000009X67OEEU02 (Powertrain)</t>
  </si>
  <si>
    <t>Engine &gt; Hybrid Electric System &gt;  HV Battery Pack &gt; Battery pack: Excluding cells &gt; Off-Gas Vent System</t>
  </si>
  <si>
    <t>2154-46</t>
  </si>
  <si>
    <t>0000009X694HEU02 (Powertrain)</t>
  </si>
  <si>
    <t>2154-47</t>
  </si>
  <si>
    <t>0000009X686OEU02 (Powertrain)</t>
  </si>
  <si>
    <t>2154-110</t>
  </si>
  <si>
    <t>Battery [Battery Excluding Cells] [Internal]</t>
  </si>
  <si>
    <t>Engine &gt; Hybrid Electric System &gt;  HV Battery Pack &gt; External Components</t>
  </si>
  <si>
    <t>Engine &gt; Hybrid Electric System &gt;  HV Battery Pack &gt; External Components &gt; Front/single Cover Protection</t>
  </si>
  <si>
    <t>0.63400 kg</t>
  </si>
  <si>
    <t>0.7458823529411764705882352941 kg</t>
  </si>
  <si>
    <t>Engine &gt; Hybrid Electric System &gt;  HV Battery Pack &gt; External Components &gt; Front/single Cover Protection &gt; Process</t>
  </si>
  <si>
    <t>2154-385</t>
  </si>
  <si>
    <t>2154-385-01</t>
  </si>
  <si>
    <t>2154-385-02</t>
  </si>
  <si>
    <t>2154-383</t>
  </si>
  <si>
    <t>2154-383-01</t>
  </si>
  <si>
    <t>2154-383-02</t>
  </si>
  <si>
    <t>2154-383-03</t>
  </si>
  <si>
    <t>2154-384</t>
  </si>
  <si>
    <t>Engine &gt; Hybrid Electric System &gt;  HV Battery Pack &gt; Cells - Pack</t>
  </si>
  <si>
    <t>Engine &gt; Hybrid Electric System &gt;  HV Battery Pack &gt; Cells - Pack &gt; Cells - per module</t>
  </si>
  <si>
    <t>2154-289
Pouch Cells, 285Wh, 3.45V</t>
  </si>
  <si>
    <t>Battery [Cells: Cell Manufacturing ] [Purchased]</t>
  </si>
  <si>
    <t>Cell material price updated on A2MAC1 Q2 2024</t>
  </si>
  <si>
    <t>0000009X682LEU02 (Powertrain)</t>
  </si>
  <si>
    <t>3.000000 %</t>
  </si>
  <si>
    <t>Battery [Cells: Module level] [Purchased]</t>
  </si>
  <si>
    <t>Battery [Cells: Pack level] [Internal]</t>
  </si>
  <si>
    <t>Engine &gt; Hybrid Electric System &gt;  HV Battery Pack &gt; Final assembly</t>
  </si>
  <si>
    <t>00000004ALGPEU01 (AutoReverse)</t>
  </si>
  <si>
    <t>Engine &gt; Hybrid Electric System &gt; Cooling System</t>
  </si>
  <si>
    <t>Engine &gt; Hybrid Electric System &gt; Cooling System &gt;  Expansion Bottle System</t>
  </si>
  <si>
    <t>2110-1087</t>
  </si>
  <si>
    <t>000000007Z2XEU01 (AutoReverse)</t>
  </si>
  <si>
    <t>2110-1052</t>
  </si>
  <si>
    <t>00000008WK6VEU01 (AutoReverse)</t>
  </si>
  <si>
    <t>2110-1884</t>
  </si>
  <si>
    <t>000000012K3WEU01 (AutoReverse)</t>
  </si>
  <si>
    <t>Engine &gt; Hybrid Electric System &gt; Cooling System &gt;  Cooling System for Battery</t>
  </si>
  <si>
    <t>Engine &gt; Hybrid Electric System &gt; Cooling System &gt;  Cooling System for Battery &gt;  Exchanger With Air Conditioning</t>
  </si>
  <si>
    <t>0.46000 kg</t>
  </si>
  <si>
    <t>0.5111111111111111111111111111 kg</t>
  </si>
  <si>
    <t>Engine &gt; Hybrid Electric System &gt; Cooling System &gt;  Cooling System for Battery &gt;  Exchanger With Air Conditioning &gt; Process</t>
  </si>
  <si>
    <t>2110-1357</t>
  </si>
  <si>
    <t>00000001COBBEU01 (AutoReverse)</t>
  </si>
  <si>
    <t>2110-1360</t>
  </si>
  <si>
    <t>00000006KQ57EU01 (AutoReverse)</t>
  </si>
  <si>
    <t>2110-1261</t>
  </si>
  <si>
    <t>0000000ADSEQEU01 (AutoReverse)</t>
  </si>
  <si>
    <t>2110-1388</t>
  </si>
  <si>
    <t>00000004XQ0CEU01 (AutoReverse)</t>
  </si>
  <si>
    <t>2110-1066</t>
  </si>
  <si>
    <t>00000001CZPIEU01 (AutoReverse)</t>
  </si>
  <si>
    <t>2110-1436</t>
  </si>
  <si>
    <t>000000AAF3VEEU02 (AutoReverse)</t>
  </si>
  <si>
    <t>2110-1509</t>
  </si>
  <si>
    <t>000000AB0CCXEU02 (AutoReverse)</t>
  </si>
  <si>
    <t>2110-1502</t>
  </si>
  <si>
    <t>000000AB0CCWEU02 (AutoReverse)</t>
  </si>
  <si>
    <t>2110-1262</t>
  </si>
  <si>
    <t>00000004OTQ5EU01 (AutoReverse)</t>
  </si>
  <si>
    <t>Engine &gt; Hybrid Electric System &gt; Cooling System &gt;  Pipe System/Duct</t>
  </si>
  <si>
    <t>2110-893</t>
  </si>
  <si>
    <t>00000000GGGVEU01 (AutoReverse)</t>
  </si>
  <si>
    <t>2110-1679</t>
  </si>
  <si>
    <t>00000004J1Y2EU01 (AutoReverse)</t>
  </si>
  <si>
    <t>2110-1698</t>
  </si>
  <si>
    <t>0000000AFEUGEU01 (AutoReverse)</t>
  </si>
  <si>
    <t>2110-1447</t>
  </si>
  <si>
    <t>0000000273HLEU01 (AutoReverse)</t>
  </si>
  <si>
    <t>2110-1576</t>
  </si>
  <si>
    <t>0000000BSOINCID0 (AutoReverse)</t>
  </si>
  <si>
    <t>2110-1601</t>
  </si>
  <si>
    <t>00000004RO72EU01 (AutoReverse)</t>
  </si>
  <si>
    <t>2110-1728</t>
  </si>
  <si>
    <t>000000059HUUEU01 (AutoReverse)</t>
  </si>
  <si>
    <t>2110-1724</t>
  </si>
  <si>
    <t>00000006Q2GPEU01 (AutoReverse)</t>
  </si>
  <si>
    <t>2110-1708</t>
  </si>
  <si>
    <t>00000009YCTPEU01 (AutoReverse)</t>
  </si>
  <si>
    <t>2110-1595</t>
  </si>
  <si>
    <t>000000006EKWEU01 (AutoReverse)</t>
  </si>
  <si>
    <t>2110-853</t>
  </si>
  <si>
    <t>00000005MHKDEU01 (AutoReverse)</t>
  </si>
  <si>
    <t>2110-803</t>
  </si>
  <si>
    <t>000000ATQW6REU02 (AutoReverse)</t>
  </si>
  <si>
    <t>2110-1476</t>
  </si>
  <si>
    <t>00000009DIV4EU01 (AutoReverse)</t>
  </si>
  <si>
    <t>2110-804</t>
  </si>
  <si>
    <t>00000005RTIXEU01 (AutoReverse)</t>
  </si>
  <si>
    <t>Engine &gt; Hybrid Electric System &gt; Cooling System &gt;  Fan System</t>
  </si>
  <si>
    <t>Engine &gt; Hybrid Electric System &gt; Cooling System &gt;  Fan System &gt;  Radiator Fan</t>
  </si>
  <si>
    <t>Engine &gt; Hybrid Electric System &gt; Cooling System &gt;  Fan System &gt;  Radiator Fan &gt;  Radiator Fan Left/Single</t>
  </si>
  <si>
    <t>0.55400 kg</t>
  </si>
  <si>
    <t>0.5831578947368421052631578947 kg</t>
  </si>
  <si>
    <t>Engine &gt; Hybrid Electric System &gt; Cooling System &gt;  Fan System &gt;  Radiator Fan &gt;  Radiator Fan Left/Single &gt; Process</t>
  </si>
  <si>
    <t>2110-757</t>
  </si>
  <si>
    <t>000000AO1JKGEU02 (AutoReverse)</t>
  </si>
  <si>
    <t>2110-1881</t>
  </si>
  <si>
    <t>000000AO1JKKEU02 (AutoReverse)</t>
  </si>
  <si>
    <t>Engine &gt; Hybrid Electric System &gt; Cooling System &gt;  Fan System &gt;  Motor System</t>
  </si>
  <si>
    <t>2110-759</t>
  </si>
  <si>
    <t>000000AO1JKIEU02 (AutoReverse)</t>
  </si>
  <si>
    <t>Engine &gt; Hybrid Electric System &gt; Cooling System &gt;  Fan System &gt;  Motor System &gt;  Front cooling module</t>
  </si>
  <si>
    <t>1.18900 kg</t>
  </si>
  <si>
    <t>1.2515789473684210526315789474 kg</t>
  </si>
  <si>
    <t>Engine &gt; Hybrid Electric System &gt; Cooling System &gt;  Fan System &gt;  Motor System &gt;  Front cooling module &gt; Process</t>
  </si>
  <si>
    <t>2110-748</t>
  </si>
  <si>
    <t>000000AO1JKJEU02 (AutoReverse)</t>
  </si>
  <si>
    <t>2110-1883</t>
  </si>
  <si>
    <t>000000AO1JKHEU02 (AutoReverse)</t>
  </si>
  <si>
    <t>2110-1882</t>
  </si>
  <si>
    <t>000000AO1JKSEU02 (AutoReverse)</t>
  </si>
  <si>
    <t>Engine &gt; Hybrid Electric System &gt; Cooling System &gt;  Dynamic Flaps System</t>
  </si>
  <si>
    <t>Engine &gt; Hybrid Electric System &gt; Cooling System &gt;  Dynamic Flaps System &gt;  Dynamics Flaps Upper / Single</t>
  </si>
  <si>
    <t>2110-852</t>
  </si>
  <si>
    <t>000000AODII8EU02 (AutoReverse)</t>
  </si>
  <si>
    <t>2110-1183</t>
  </si>
  <si>
    <t>000000AODII9EU02 (AutoReverse)</t>
  </si>
  <si>
    <t>2110-1200</t>
  </si>
  <si>
    <t>000000AODIIAEU02 (AutoReverse)</t>
  </si>
  <si>
    <t>2110-1201</t>
  </si>
  <si>
    <t>000000AODIIBEU02 (AutoReverse)</t>
  </si>
  <si>
    <t>2110-1182</t>
  </si>
  <si>
    <t>A000000M2786EU02 (AutoReverse)</t>
  </si>
  <si>
    <t>2110-1879</t>
  </si>
  <si>
    <t>000000AODII7EU02 (AutoReverse)</t>
  </si>
  <si>
    <t>2110-1880</t>
  </si>
  <si>
    <t>000000AODII6EU02 (AutoReverse)</t>
  </si>
  <si>
    <t>Engine &gt; Hybrid Electric System &gt; Cooling System &gt;  Air Intake radiator</t>
  </si>
  <si>
    <t>Engine &gt; Hybrid Electric System &gt; Cooling System &gt;  Air Intake radiator &gt;  Main/Single</t>
  </si>
  <si>
    <t>0.45900 kg</t>
  </si>
  <si>
    <t>0.4831578947368421052631578947 kg</t>
  </si>
  <si>
    <t>Engine &gt; Hybrid Electric System &gt; Cooling System &gt;  Air Intake radiator &gt;  Main/Single &gt; Process</t>
  </si>
  <si>
    <t>2110-602</t>
  </si>
  <si>
    <t>00000008HJS5EU01 (AutoReverse)</t>
  </si>
  <si>
    <t>2110-603</t>
  </si>
  <si>
    <t>00000000YGKWEU01 (AutoReverse)</t>
  </si>
  <si>
    <t>2110-1518</t>
  </si>
  <si>
    <t>00000003ZYIWEU01 (AutoReverse)</t>
  </si>
  <si>
    <t>2110-807</t>
  </si>
  <si>
    <t>00000002MJC5EU01 (AutoReverse)</t>
  </si>
  <si>
    <t>Engine &gt; Hybrid Electric System &gt; Cooling System &gt;  Radiator for Hybrid /Electric system</t>
  </si>
  <si>
    <t>2.80600 kg</t>
  </si>
  <si>
    <t>3.1177777777777777777777777778 kg</t>
  </si>
  <si>
    <t>Engine &gt; Hybrid Electric System &gt; Cooling System &gt;  Radiator for Hybrid /Electric system &gt; Process</t>
  </si>
  <si>
    <t>0.50000 kg</t>
  </si>
  <si>
    <t>0.5263157894736842105263157895 kg</t>
  </si>
  <si>
    <t>2110-1205</t>
  </si>
  <si>
    <t>0000000A5T19EU01 (AutoReverse)</t>
  </si>
  <si>
    <t>2110-1208</t>
  </si>
  <si>
    <t>000000AFPQ0TEU02 (AutoReverse)</t>
  </si>
  <si>
    <t>Engine &gt; Hybrid Electric System &gt; Cooling System &gt;  Radiator grill protection</t>
  </si>
  <si>
    <t>0.97400 kg</t>
  </si>
  <si>
    <t>1.0252631578947368421052631579 kg</t>
  </si>
  <si>
    <t>Engine &gt; Hybrid Electric System &gt; Cooling System &gt;  Radiator grill protection &gt; Process</t>
  </si>
  <si>
    <t>2110-761</t>
  </si>
  <si>
    <t>00000009XI7TEU01 (AutoReverse)</t>
  </si>
  <si>
    <t>2110-1445</t>
  </si>
  <si>
    <t>00000009KEG0EU01 (AutoReverse)</t>
  </si>
  <si>
    <t>2110-1455</t>
  </si>
  <si>
    <t>00000006705FEU01 (AutoReverse)</t>
  </si>
  <si>
    <t>2110-1279</t>
  </si>
  <si>
    <t>00000009906VEU01 (AutoReverse)</t>
  </si>
  <si>
    <t>2110-1299</t>
  </si>
  <si>
    <t>00000005LZOJEU01 (AutoReverse)</t>
  </si>
  <si>
    <t>2110-1313</t>
  </si>
  <si>
    <t>000000061E05EU01 (AutoReverse)</t>
  </si>
  <si>
    <t>2110-1324</t>
  </si>
  <si>
    <t>00000002KYLFEU01 (AutoReverse)</t>
  </si>
  <si>
    <t>2110-1236</t>
  </si>
  <si>
    <t>00000004RMUUEU01 (AutoReverse)</t>
  </si>
  <si>
    <t>2110-1335</t>
  </si>
  <si>
    <t>0000000AUHF5EU01 (AutoReverse)</t>
  </si>
  <si>
    <t>2110-604</t>
  </si>
  <si>
    <t>00000009T8UMEU01 (AutoReverse)</t>
  </si>
  <si>
    <t>Engine &gt; Hybrid Electric System &gt; Hybrid/Electric Unit Control</t>
  </si>
  <si>
    <t>Engine &gt; Hybrid Electric System &gt; Hybrid/Electric Unit Control &gt; Process</t>
  </si>
  <si>
    <t>0000000ABWR3EU01 (AutoReverse)</t>
  </si>
  <si>
    <t>000000067EJWEU01 (AutoReverse)</t>
  </si>
  <si>
    <t xml:space="preserve">Engine &gt; Engine mounts </t>
  </si>
  <si>
    <t>Engine &gt; Engine mounts  &gt; Support on gearbox</t>
  </si>
  <si>
    <t>0.72400 kg</t>
  </si>
  <si>
    <t>0.7387755102040816326530612245 kg</t>
  </si>
  <si>
    <t>Engine &gt; Engine mounts  &gt; Support on gearbox &gt; Process</t>
  </si>
  <si>
    <t>2110-1488</t>
  </si>
  <si>
    <t>00000004KB5OEU01 (AutoReverse)</t>
  </si>
  <si>
    <t>Engine &gt; Engine mounts  &gt; Support 1</t>
  </si>
  <si>
    <t>0.72600 kg</t>
  </si>
  <si>
    <t>0.7408163265306122448979591837 kg</t>
  </si>
  <si>
    <t>Engine &gt; Engine mounts  &gt; Support 1 &gt; Process</t>
  </si>
  <si>
    <t>2110-692</t>
  </si>
  <si>
    <t>000000AFPQ0KEU02 (AutoReverse)</t>
  </si>
  <si>
    <t>Engine &gt; Engine mounts  &gt; Support 2</t>
  </si>
  <si>
    <t>0.87900 kg</t>
  </si>
  <si>
    <t>0.8969387755102040816326530612 kg</t>
  </si>
  <si>
    <t>Engine &gt; Engine mounts  &gt; Support 2 &gt; Process</t>
  </si>
  <si>
    <t>2110-709</t>
  </si>
  <si>
    <t>000000AFPQ0LEU02 (AutoReverse)</t>
  </si>
  <si>
    <t>Engine &gt; Engine mounts  &gt; Support 3</t>
  </si>
  <si>
    <t>0.48300 kg</t>
  </si>
  <si>
    <t>0.4928571428571428571428571429 kg</t>
  </si>
  <si>
    <t>Engine &gt; Engine mounts  &gt; Support 3 &gt; Process</t>
  </si>
  <si>
    <t>2110-715</t>
  </si>
  <si>
    <t>000000AFPQ0MEU02 (AutoReverse)</t>
  </si>
  <si>
    <t>2110-1487</t>
  </si>
  <si>
    <t>000000AFPQ0NEU02 (AutoReverse)</t>
  </si>
  <si>
    <t>Engine &gt; Engine mounts  &gt; Rubber Mount</t>
  </si>
  <si>
    <t>0.57500 kg</t>
  </si>
  <si>
    <t>0.5867346938775510204081632653 kg</t>
  </si>
  <si>
    <t>Engine &gt; Engine mounts  &gt; Rubber Mount &gt; Process</t>
  </si>
  <si>
    <t>2110-1355</t>
  </si>
  <si>
    <t>000000AU1D19EU02 (AutoReverse)</t>
  </si>
  <si>
    <t>2110-1489</t>
  </si>
  <si>
    <t>0000000335RIEU01 (AutoReverse)</t>
  </si>
  <si>
    <t>00000003WRABEU01 (AutoReverse)</t>
  </si>
  <si>
    <t>Seats</t>
  </si>
  <si>
    <t>Seats &gt; Driver</t>
  </si>
  <si>
    <t>Seats &gt; Driver &gt; Head Rest</t>
  </si>
  <si>
    <t>Seats &gt; Driver &gt; Head Rest &gt; Cover</t>
  </si>
  <si>
    <t xml:space="preserve"> net weight in m^2</t>
  </si>
  <si>
    <t>0.33000 kg</t>
  </si>
  <si>
    <t>0.44 kg</t>
  </si>
  <si>
    <t>To review</t>
  </si>
  <si>
    <t>Seats &gt; Driver &gt; Head Rest &gt; Cover &gt; Cutting</t>
  </si>
  <si>
    <t>Vinyl cutting</t>
  </si>
  <si>
    <t>Seats &gt; Driver &gt; Head Rest &gt; Cover &gt; Sewing</t>
  </si>
  <si>
    <t>{_x000d_
  "productId": "0000000W108ACID0",_x000d_
  "productCompleteName": "Grammer / GWA"_x000d_
}</t>
  </si>
  <si>
    <t>000000042HW9EU01 (AutoReverse)</t>
  </si>
  <si>
    <t>Seats &gt; Driver &gt; Head Rest &gt; Padding</t>
  </si>
  <si>
    <t>0.21700 kg</t>
  </si>
  <si>
    <t>0.2284210526315789473684210526 kg</t>
  </si>
  <si>
    <t>Seats &gt; Driver &gt; Head Rest &gt; Padding &gt; Automated Process</t>
  </si>
  <si>
    <t>PUR</t>
  </si>
  <si>
    <t>000000046GDYEU01 (AutoReverse)</t>
  </si>
  <si>
    <t>Seats &gt; Driver &gt; Head Rest &gt; Frame / Reinforcement Mechanism</t>
  </si>
  <si>
    <t>0.11000 kg</t>
  </si>
  <si>
    <t>0.1157894736842105263157894737 kg</t>
  </si>
  <si>
    <t xml:space="preserve">Seats &gt; Driver &gt; Head Rest &gt; Frame / Reinforcement Mechanism &gt; Automated Process </t>
  </si>
  <si>
    <t>0.5102040816326530612244897959 kg</t>
  </si>
  <si>
    <t>FERROUS METAL;HDPE</t>
  </si>
  <si>
    <t>000000095YS9EU01 (AutoReverse)</t>
  </si>
  <si>
    <t>00000000HXY3EU01 (AutoReverse)</t>
  </si>
  <si>
    <t>Seats &gt; Driver &gt; Back</t>
  </si>
  <si>
    <t>Seats &gt; Driver &gt; Back &gt; Armrest System</t>
  </si>
  <si>
    <t>Seats &gt; Driver &gt; Back &gt; Armrest System &gt; Cover</t>
  </si>
  <si>
    <t>0.1866666666666666666666666667 kg</t>
  </si>
  <si>
    <t>Seats &gt; Driver &gt; Back &gt; Armrest System &gt; Cover &gt; Cutting</t>
  </si>
  <si>
    <t>Seats &gt; Driver &gt; Back &gt; Armrest System &gt; Cover &gt; Sewing</t>
  </si>
  <si>
    <t>0000000AC0TZEU01 (AutoReverse)</t>
  </si>
  <si>
    <t>Seats &gt; Driver &gt; Back &gt; Armrest System &gt; Pad</t>
  </si>
  <si>
    <t>0.0642105263157894736842105263 kg</t>
  </si>
  <si>
    <t>Seats &gt; Driver &gt; Back &gt; Armrest System &gt; Pad &gt; Automated Process</t>
  </si>
  <si>
    <t>000000059PPZEU01 (AutoReverse)</t>
  </si>
  <si>
    <t>Seats &gt; Driver &gt; Back &gt; Armrest System &gt; Frame</t>
  </si>
  <si>
    <t>0.22100 kg</t>
  </si>
  <si>
    <t>0.2326315789473684210526315789 kg</t>
  </si>
  <si>
    <t>Seats &gt; Driver &gt; Back &gt; Armrest System &gt; Frame &gt; Automated Process</t>
  </si>
  <si>
    <t>Other Metal Fasteners (GCDB_01_01007)</t>
  </si>
  <si>
    <t>{_x000d_
  "productId": "0000000W0ZLWCID0",_x000d_
  "productCompleteName": "BOS automotive"_x000d_
}</t>
  </si>
  <si>
    <t>PA6;FERROUS METAL</t>
  </si>
  <si>
    <t>00000004AXXLEU01 (AutoReverse)</t>
  </si>
  <si>
    <t>Seats &gt; Driver &gt; Back &gt; Armrest System &gt; Armrest Inner Trim</t>
  </si>
  <si>
    <t>0.1 kg</t>
  </si>
  <si>
    <t>Seats &gt; Driver &gt; Back &gt; Armrest System &gt; Armrest Inner Trim &gt; Automated Process</t>
  </si>
  <si>
    <t>00000009ZAMEEU01 (AutoReverse)</t>
  </si>
  <si>
    <t>Seats &gt; Driver &gt; Back &gt; Armrest System &gt; Armrest Adjuster Shaft</t>
  </si>
  <si>
    <t>0.07600 kg</t>
  </si>
  <si>
    <t>0.08 kg</t>
  </si>
  <si>
    <t>Seats &gt; Driver &gt; Back &gt; Armrest System &gt; Armrest Adjuster Shaft &gt; Automated Process</t>
  </si>
  <si>
    <t>FERROUS METAL;PA6</t>
  </si>
  <si>
    <t>00000007FC8HEU01 (AutoReverse)</t>
  </si>
  <si>
    <t>Seats &gt; Driver &gt; Back &gt; Armrest System &gt; Fastener Cover</t>
  </si>
  <si>
    <t>0.05100 kg</t>
  </si>
  <si>
    <t>0.0536842105263157894736842105 kg</t>
  </si>
  <si>
    <t>Seats &gt; Driver &gt; Back &gt; Armrest System &gt; Fastener Cover &gt; Automated Process</t>
  </si>
  <si>
    <t>00000003W7KVEU01 (AutoReverse)</t>
  </si>
  <si>
    <t>00000003F5MVEU01 (AutoReverse)</t>
  </si>
  <si>
    <t>Seats &gt; Driver &gt; Back &gt; Head Rest Support Bracket</t>
  </si>
  <si>
    <t>Seats &gt; Driver &gt; Back &gt; Head Rest Support Bracket &gt; Lock Support</t>
  </si>
  <si>
    <t>0.03200 kg</t>
  </si>
  <si>
    <t>0.0336842105263157894736842105 kg</t>
  </si>
  <si>
    <t>Seats &gt; Driver &gt; Back &gt; Head Rest Support Bracket &gt; Lock Support &gt; Automated Process</t>
  </si>
  <si>
    <t>0000000AA25PEU01 (AutoReverse)</t>
  </si>
  <si>
    <t>Seats &gt; Driver &gt; Back &gt; Head Rest Support Bracket &gt; Simple Guide Support</t>
  </si>
  <si>
    <t>0.02300 kg</t>
  </si>
  <si>
    <t>0.0242105263157894736842105263 kg</t>
  </si>
  <si>
    <t>Seats &gt; Driver &gt; Back &gt; Head Rest Support Bracket &gt; Simple Guide Support &gt; Automated Process</t>
  </si>
  <si>
    <t>00000003O4EYEU01 (AutoReverse)</t>
  </si>
  <si>
    <t>00000006SMBEEU01 (AutoReverse)</t>
  </si>
  <si>
    <t>Seats &gt; Driver &gt; Back &gt; Cover</t>
  </si>
  <si>
    <t>Surface area 0.15 m2 (not in Kg)</t>
  </si>
  <si>
    <t>0.15 kg</t>
  </si>
  <si>
    <t>Seats &gt; Driver &gt; Back &gt; Cover &gt; Cutting</t>
  </si>
  <si>
    <t>0.25000 kg</t>
  </si>
  <si>
    <t>0.3333333333333333333333333333 kg</t>
  </si>
  <si>
    <t>1.24000 kg</t>
  </si>
  <si>
    <t>1.6533333333333333333333333333 kg</t>
  </si>
  <si>
    <t>Seats &gt; Driver &gt; Back &gt; Cover &gt; Sewing</t>
  </si>
  <si>
    <t>PUR;PES;PP</t>
  </si>
  <si>
    <t>00000007MNZUEU01 (AutoReverse)</t>
  </si>
  <si>
    <t>Seats &gt; Driver &gt; Back &gt; Pad</t>
  </si>
  <si>
    <t>1.49700 kg</t>
  </si>
  <si>
    <t>1.5757894736842105263157894737 kg</t>
  </si>
  <si>
    <t>Seats &gt; Driver &gt; Back &gt; Pad &gt; Automated Process</t>
  </si>
  <si>
    <t>{_x000d_
  "productId": "0000000W0ZCICID0",_x000d_
  "productCompleteName": "Adient"_x000d_
}</t>
  </si>
  <si>
    <t>00000006HLTMEU01 (AutoReverse)</t>
  </si>
  <si>
    <t>Seats &gt; Driver &gt; Back &gt; Frame</t>
  </si>
  <si>
    <t>Seats &gt; Driver &gt; Back &gt; Frame &gt; Automated Process</t>
  </si>
  <si>
    <t>3.07000 kg</t>
  </si>
  <si>
    <t>4.0933333333333333333333333333 kg</t>
  </si>
  <si>
    <t>0.03570 kg</t>
  </si>
  <si>
    <t>0.0364285714285714285714285714 kg</t>
  </si>
  <si>
    <t>00000003WSH3EU01 (AutoReverse)</t>
  </si>
  <si>
    <t>Seats &gt; Driver &gt; Back &gt; Sound Insulation Sheet</t>
  </si>
  <si>
    <t>0.03050 kg</t>
  </si>
  <si>
    <t>0.0321052631578947368421052632 kg</t>
  </si>
  <si>
    <t>Seats &gt; Driver &gt; Back &gt; Sound Insulation Sheet &gt; Automated Process</t>
  </si>
  <si>
    <t>PE;PP</t>
  </si>
  <si>
    <t>00000003LN1OEU01 (AutoReverse)</t>
  </si>
  <si>
    <t>00000001JG5UEU01 (AutoReverse)</t>
  </si>
  <si>
    <t>Seats &gt; Driver &gt; Cushion</t>
  </si>
  <si>
    <t>Seats &gt; Driver &gt; Cushion &gt; Garnish</t>
  </si>
  <si>
    <t>Seats &gt; Driver &gt; Cushion &gt; Garnish &gt; Outer Side</t>
  </si>
  <si>
    <t>0.27400 kg</t>
  </si>
  <si>
    <t>0.2884210526315789473684210526 kg</t>
  </si>
  <si>
    <t>Seats &gt; Driver &gt; Cushion &gt; Garnish &gt; Outer Side &gt; Automated Process</t>
  </si>
  <si>
    <t>{_x000d_
  "productId": "0000000W0ZE4CID0",_x000d_
  "productCompleteName": "AKT"_x000d_
}</t>
  </si>
  <si>
    <t>00000001W18FEU01 (AutoReverse)</t>
  </si>
  <si>
    <t>Seats &gt; Driver &gt; Cushion &gt; Garnish &gt; Exterior Trim Support</t>
  </si>
  <si>
    <t>0.12700 kg</t>
  </si>
  <si>
    <t>0.1336842105263157894736842105 kg</t>
  </si>
  <si>
    <t>Seats &gt; Driver &gt; Cushion &gt; Garnish &gt; Exterior Trim Support &gt; Automated Process</t>
  </si>
  <si>
    <t>00000007UJCAEU01 (AutoReverse)</t>
  </si>
  <si>
    <t>Seats &gt; Driver &gt; Cushion &gt; Garnish &gt; Inner Side</t>
  </si>
  <si>
    <t>0.08800 kg</t>
  </si>
  <si>
    <t>0.0926315789473684210526315789 kg</t>
  </si>
  <si>
    <t>Seats &gt; Driver &gt; Cushion &gt; Garnish &gt; Inner Side &gt; Automated Process</t>
  </si>
  <si>
    <t>00000003WRKHEU01 (AutoReverse)</t>
  </si>
  <si>
    <t>00000005OGVAEU01 (AutoReverse)</t>
  </si>
  <si>
    <t>Seats &gt; Driver &gt; Cushion &gt; Lower Lighting</t>
  </si>
  <si>
    <t>PC;ELECTRONIC COMPONENT</t>
  </si>
  <si>
    <t>00000002OZBPEU01 (AutoReverse)</t>
  </si>
  <si>
    <t>000000034QXVEU01 (AutoReverse)</t>
  </si>
  <si>
    <t>00000004MFE9EU01 (AutoReverse)</t>
  </si>
  <si>
    <t>Seats &gt; Driver &gt; Cushion &gt; Cover</t>
  </si>
  <si>
    <t>Surface area 0.24 m2 (not in Kg)</t>
  </si>
  <si>
    <t>0.24 kg</t>
  </si>
  <si>
    <t>Seats &gt; Driver &gt; Cushion &gt; Cover &gt; Cutting</t>
  </si>
  <si>
    <t>0.16000 kg</t>
  </si>
  <si>
    <t>0.2133333333333333333333333333 kg</t>
  </si>
  <si>
    <t>0.6133333333333333333333333333 kg</t>
  </si>
  <si>
    <t>0.34000 kg</t>
  </si>
  <si>
    <t>0.4533333333333333333333333333 kg</t>
  </si>
  <si>
    <t>Seats &gt; Driver &gt; Cushion &gt; Cover &gt; Sewing</t>
  </si>
  <si>
    <t>00000006D1T2EU01 (AutoReverse)</t>
  </si>
  <si>
    <t>Seats &gt; Driver &gt; Cushion &gt; Pad</t>
  </si>
  <si>
    <t>1.43000 kg</t>
  </si>
  <si>
    <t>1.5052631578947368421052631579 kg</t>
  </si>
  <si>
    <t>Seats &gt; Driver &gt; Cushion &gt; Pad &gt; Automated Process</t>
  </si>
  <si>
    <t>00000000587GEU01 (AutoReverse)</t>
  </si>
  <si>
    <t>Seats &gt; Driver &gt; Cushion &gt; Frame</t>
  </si>
  <si>
    <t>3.48500 kg</t>
  </si>
  <si>
    <t>6.97 kg</t>
  </si>
  <si>
    <t>Seats &gt; Driver &gt; Cushion &gt; Frame &gt; Automated Process</t>
  </si>
  <si>
    <t>00000002P0WYEU01 (AutoReverse)</t>
  </si>
  <si>
    <t>Seats &gt; Driver &gt; Cushion &gt; Base Assembly</t>
  </si>
  <si>
    <t>1.11300 kg</t>
  </si>
  <si>
    <t>1.7123076923076923076923076923 kg</t>
  </si>
  <si>
    <t>Seats &gt; Driver &gt; Cushion &gt; Base Assembly &gt; Automated Process</t>
  </si>
  <si>
    <t>0.03500 kg</t>
  </si>
  <si>
    <t>0.035 kg</t>
  </si>
  <si>
    <t>00000009INKCEU01 (AutoReverse)</t>
  </si>
  <si>
    <t>{_x000d_
  "productId": "0000000W0ZCCCID0",_x000d_
  "productCompleteName": "ADAC"_x000d_
}</t>
  </si>
  <si>
    <t>00000002VNXFEU01 (AutoReverse)</t>
  </si>
  <si>
    <t>00000003NINTEU01 (AutoReverse)</t>
  </si>
  <si>
    <t>Seats &gt; Driver &gt; Safety</t>
  </si>
  <si>
    <t>Seats &gt; Driver &gt; Safety &gt; Outer Side Airbag System</t>
  </si>
  <si>
    <t>Seats &gt; Driver &gt; Safety &gt; Outer Side Airbag System &gt; Airbag Support</t>
  </si>
  <si>
    <t>0.16 kg</t>
  </si>
  <si>
    <t>Seats &gt; Driver &gt; Safety &gt; Outer Side Airbag System &gt; Airbag Support &gt; Stamping</t>
  </si>
  <si>
    <t>Seats &gt; Driver &gt; Safety &gt; Outer Side Airbag System &gt; Airbag Support &gt; Cleaning</t>
  </si>
  <si>
    <t>Seats &gt; Driver &gt; Safety &gt; Outer Side Airbag System &gt; Airbag Support &gt; Packaging</t>
  </si>
  <si>
    <t>Fe-Zn</t>
  </si>
  <si>
    <t>0000009BQ9TYCID0 (AutoReverse)</t>
  </si>
  <si>
    <t>(2110-918) Airbag Cylinder directional costing template</t>
  </si>
  <si>
    <t>00000099Q56ICID0 (AutoReverse)</t>
  </si>
  <si>
    <t>Seats &gt; Driver &gt; Safety &gt; Outer Side Airbag System &gt; Side Airbag</t>
  </si>
  <si>
    <t>0.05450 kg</t>
  </si>
  <si>
    <t>0.068125 kg</t>
  </si>
  <si>
    <t>Seats &gt; Driver &gt; Safety &gt; Outer Side Airbag System &gt; Side Airbag &gt; Top Layer Cutting</t>
  </si>
  <si>
    <t>Top Layer Woven Material Laser Cutting</t>
  </si>
  <si>
    <t>Seats &gt; Driver &gt; Safety &gt; Outer Side Airbag System &gt; Side Airbag &gt; Bottom Layer Cutting</t>
  </si>
  <si>
    <t>Bottom Layer Woven Material Laser Cutting</t>
  </si>
  <si>
    <t>Seats &gt; Driver &gt; Safety &gt; Outer Side Airbag System &gt; Side Airbag &gt; Cushion Laying</t>
  </si>
  <si>
    <t>Placement of the cushion for sewing operation</t>
  </si>
  <si>
    <t>Seats &gt; Driver &gt; Safety &gt; Outer Side Airbag System &gt; Side Airbag &gt; Sewing bag</t>
  </si>
  <si>
    <t>Sewing operation</t>
  </si>
  <si>
    <t>2110-917</t>
  </si>
  <si>
    <t>00000099Q56HCID0 (AutoReverse)</t>
  </si>
  <si>
    <t>Reference line for CAB. Folding + Bracket Mounting + Inflator Bag &amp; Bracket w oeticker ring + cover + Quality check + Electric Safety Control</t>
  </si>
  <si>
    <t>Interior</t>
  </si>
  <si>
    <t xml:space="preserve">Seats &gt; Driver &gt; Safety &gt; Outer Side Airbag System &gt; Assembly </t>
  </si>
  <si>
    <t>00000002UCH1EU01 (AutoReverse)</t>
  </si>
  <si>
    <t>{_x000d_
  "productId": "0000000W10GCCID0",_x000d_
  "productCompleteName": "ISI Automotive"_x000d_
}</t>
  </si>
  <si>
    <t>000000090OKSEU01 (AutoReverse)</t>
  </si>
  <si>
    <t>PA6;ELECTRONIC COMPONENT;PLASTIC UNKNOWN</t>
  </si>
  <si>
    <t>00000003QPEYEU01 (AutoReverse)</t>
  </si>
  <si>
    <t>Seats &gt; Driver &gt; Safety &gt; Occupant Detection Support</t>
  </si>
  <si>
    <t>0.01300 kg</t>
  </si>
  <si>
    <t>0.0136842105263157894736842105 kg</t>
  </si>
  <si>
    <t>Seats &gt; Driver &gt; Safety &gt; Occupant Detection Support &gt; Automated Process</t>
  </si>
  <si>
    <t>00000002RBJ2EU01 (AutoReverse)</t>
  </si>
  <si>
    <t>000000015UTQEU01 (AutoReverse)</t>
  </si>
  <si>
    <t>Seats &gt; Driver &gt; Power Adjusters</t>
  </si>
  <si>
    <t>Seats &gt; Driver &gt; Power Adjusters &gt; Longitudinal</t>
  </si>
  <si>
    <t>Seats &gt; Driver &gt; Power Adjusters &gt; Longitudinal &gt; Rails</t>
  </si>
  <si>
    <t>Seats &gt; Driver &gt; Power Adjusters &gt; Longitudinal &gt; Rails &gt; Inner Side</t>
  </si>
  <si>
    <t>1.66700 kg</t>
  </si>
  <si>
    <t>2.3814285714285714285714285714 kg</t>
  </si>
  <si>
    <t>Seats &gt; Driver &gt; Power Adjusters &gt; Longitudinal &gt; Rails &gt; Inner Side &gt; Automated Process</t>
  </si>
  <si>
    <t>00000009CW83EU01 (AutoReverse)</t>
  </si>
  <si>
    <t>Seats &gt; Driver &gt; Power Adjusters &gt; Longitudinal &gt; Rails &gt; Outer Side</t>
  </si>
  <si>
    <t>1.55500 kg</t>
  </si>
  <si>
    <t>2.2214285714285714285714285714 kg</t>
  </si>
  <si>
    <t>Seats &gt; Driver &gt; Power Adjusters &gt; Longitudinal &gt; Rails &gt; Outer Side &gt; Automated Process</t>
  </si>
  <si>
    <t>00000009GS0EEU01 (AutoReverse)</t>
  </si>
  <si>
    <t>00000007NMP0EU01 (AutoReverse)</t>
  </si>
  <si>
    <t>{_x000d_
  "productId": "0000000W0ZN4CID0",_x000d_
  "productCompleteName": "Brose"_x000d_
}</t>
  </si>
  <si>
    <t>ELECTRIC MOTOR;PLASTIC UNKNOWN</t>
  </si>
  <si>
    <t>00000002JCBJEU01 (AutoReverse)</t>
  </si>
  <si>
    <t>Seats &gt; Driver &gt; Power Adjusters &gt; Longitudinal &gt; Mount Bracket</t>
  </si>
  <si>
    <t>0.30300 kg</t>
  </si>
  <si>
    <t>0.4328571428571428571428571429 kg</t>
  </si>
  <si>
    <t>Seats &gt; Driver &gt; Power Adjusters &gt; Longitudinal &gt; Mount Bracket &gt; Automated Process</t>
  </si>
  <si>
    <t>0000000098CZEU01 (AutoReverse)</t>
  </si>
  <si>
    <t>Screws (GCDB_01_00481)</t>
  </si>
  <si>
    <t>Seats &gt; Driver &gt; Power Adjusters &gt; Longitudinal &gt; Crosstalk Shaft Inner</t>
  </si>
  <si>
    <t>0000000242N9EU01 (AutoReverse)</t>
  </si>
  <si>
    <t>00000001RMYNEU01 (AutoReverse)</t>
  </si>
  <si>
    <t>Seats &gt; Driver &gt; Power Adjusters &gt; Longitudinal &gt; Crosstalk Shaft Cover</t>
  </si>
  <si>
    <t>0.07000 kg</t>
  </si>
  <si>
    <t>0.0736842105263157894736842105 kg</t>
  </si>
  <si>
    <t>Seats &gt; Driver &gt; Power Adjusters &gt; Longitudinal &gt; Crosstalk Shaft Cover &gt; Automated Process</t>
  </si>
  <si>
    <t>000000085AABEU01 (AutoReverse)</t>
  </si>
  <si>
    <t>00000009ZOUAEU01 (AutoReverse)</t>
  </si>
  <si>
    <t>Seats &gt; Driver &gt; Power Adjusters &gt; Height</t>
  </si>
  <si>
    <t>Seats &gt; Driver &gt; Power Adjusters &gt; Height &gt; Front</t>
  </si>
  <si>
    <t>ELECTRIC MOTOR;FERROUS METAL;PBT</t>
  </si>
  <si>
    <t>0000000593KVEU01 (AutoReverse)</t>
  </si>
  <si>
    <t>00000009AH87EU01 (AutoReverse)</t>
  </si>
  <si>
    <t>Seats &gt; Driver &gt; Power Adjusters &gt; Height &gt; Rear</t>
  </si>
  <si>
    <t>PA66;ELECTRIC MOTOR;FERROUS METAL</t>
  </si>
  <si>
    <t>00000007FFYYEU01 (AutoReverse)</t>
  </si>
  <si>
    <t>Seats &gt; Driver &gt; Power Adjusters &gt; Height &gt; Rear &gt; Motor Support</t>
  </si>
  <si>
    <t>0.14100 kg</t>
  </si>
  <si>
    <t>1.7159756112402487556134308559 kg</t>
  </si>
  <si>
    <t>Seats &gt; Driver &gt; Power Adjusters &gt; Height &gt; Rear &gt; Motor Support &gt; Stamping</t>
  </si>
  <si>
    <t>Seats &gt; Driver &gt; Power Adjusters &gt; Height &gt; Rear &gt; Motor Support &gt; Cleaning</t>
  </si>
  <si>
    <t>0.00190 kg</t>
  </si>
  <si>
    <t>0.002 kg</t>
  </si>
  <si>
    <t>Seats &gt; Driver &gt; Power Adjusters &gt; Height &gt; Rear &gt; Motor Support &gt; Cataphoresis</t>
  </si>
  <si>
    <t>Update May 2025</t>
  </si>
  <si>
    <t>00000001MF9FEU01 (AutoReverse)</t>
  </si>
  <si>
    <t>00000004WJ0YEU01 (AutoReverse)</t>
  </si>
  <si>
    <t>0000000AXWEFEU01 (AutoReverse)</t>
  </si>
  <si>
    <t>00000007DSLLEU01 (AutoReverse)</t>
  </si>
  <si>
    <t>Seats &gt; Driver &gt; Power Adjusters &gt; Recliner</t>
  </si>
  <si>
    <t>Seats &gt; Driver &gt; Power Adjusters &gt; Recliner &gt; Mechanism</t>
  </si>
  <si>
    <t>00000007MPKIEU01 (AutoReverse)</t>
  </si>
  <si>
    <t>00000003UP3IEU01 (AutoReverse)</t>
  </si>
  <si>
    <t>00000004KDIFEU01 (AutoReverse)</t>
  </si>
  <si>
    <t>00000004QWEMEU01 (AutoReverse)</t>
  </si>
  <si>
    <t>Seats &gt; Driver &gt; Power Adjusters &gt; Lumbar</t>
  </si>
  <si>
    <t>Seats &gt; Driver &gt; Power Adjusters &gt; Lumbar &gt; Mechanism</t>
  </si>
  <si>
    <t>Seats &gt; Driver &gt; Power Adjusters &gt; Lumbar &gt; Mechanism &gt; Pressure Knob</t>
  </si>
  <si>
    <t>0.32300 kg</t>
  </si>
  <si>
    <t>0.34 kg</t>
  </si>
  <si>
    <t>Seats &gt; Driver &gt; Power Adjusters &gt; Lumbar &gt; Mechanism &gt; Pressure Knob &gt; Automated Process</t>
  </si>
  <si>
    <t>TPU;PLASTIC UNKNOWN</t>
  </si>
  <si>
    <t>00000006J7VGEU01 (AutoReverse)</t>
  </si>
  <si>
    <t>Seats &gt; Driver &gt; Power Adjusters &gt; Lumbar &gt; Mechanism &gt; Pressure Knob Support</t>
  </si>
  <si>
    <t>0.11150 kg</t>
  </si>
  <si>
    <t>0.1173684210526315789473684211 kg</t>
  </si>
  <si>
    <t>Seats &gt; Driver &gt; Power Adjusters &gt; Lumbar &gt; Mechanism &gt; Pressure Knob Support &gt; Automated Process</t>
  </si>
  <si>
    <t>00000004UVN2EU01 (AutoReverse)</t>
  </si>
  <si>
    <t>00000009H94QEU01 (AutoReverse)</t>
  </si>
  <si>
    <t>{_x000d_
  "productId": "A000000XKWOUEU02",_x000d_
  "productCompleteName": "Leopold Kostal GmbH &amp; Co. KG (LK)"_x000d_
}</t>
  </si>
  <si>
    <t>000000077ZE1EU01 (AutoReverse)</t>
  </si>
  <si>
    <t>{_x000d_
  "productId": "0000000W0ZEGCID0",_x000d_
  "productCompleteName": "Alfmeier (AFR)"_x000d_
}</t>
  </si>
  <si>
    <t>POM;ELECTRONIC COMPONENT</t>
  </si>
  <si>
    <t>00000000L4JXEU01 (AutoReverse)</t>
  </si>
  <si>
    <t>Seats &gt; Driver &gt; Power Adjusters &gt; Lumbar &gt; Air Distributor</t>
  </si>
  <si>
    <t>Seats &gt; Driver &gt; Power Adjusters &gt; Lumbar &gt; Air Distributor &gt; Process</t>
  </si>
  <si>
    <t>00000009UXBDEU01 (AutoReverse)</t>
  </si>
  <si>
    <t>000000046FQ7EU01 (AutoReverse)</t>
  </si>
  <si>
    <t>Seats &gt; Driver &gt; Power Adjusters &gt; Presetting System</t>
  </si>
  <si>
    <t>ELECTRONIC COMPONENT;PA6</t>
  </si>
  <si>
    <t>00000000F45REU01 (AutoReverse)</t>
  </si>
  <si>
    <t>00000006ZS68EU01 (AutoReverse)</t>
  </si>
  <si>
    <t>Seats &gt; Driver &gt; Power Adjusters &gt; Adjustment Control</t>
  </si>
  <si>
    <t>Seats &gt; Driver &gt; Power Adjusters &gt; Adjustment Control &gt; Process</t>
  </si>
  <si>
    <t>00000004N9K8EU01 (AutoReverse)</t>
  </si>
  <si>
    <t>Seats &gt; Driver &gt; Power Adjusters &gt; Driver Seat ECU</t>
  </si>
  <si>
    <t>Seats &gt; Driver &gt; Power Adjusters &gt; Driver Seat ECU &gt; Process</t>
  </si>
  <si>
    <t>A000000MVKQ8EU02 (AutoReverse)</t>
  </si>
  <si>
    <t>A000000MVKQ9EU02 (AutoReverse)</t>
  </si>
  <si>
    <t>00000000KABIEU01 (AutoReverse)</t>
  </si>
  <si>
    <t>Seats &gt; Driver &gt; Support System</t>
  </si>
  <si>
    <t>Seats &gt; Driver &gt; Support System &gt; Front Inner Trim and Outer if the Same</t>
  </si>
  <si>
    <t>0.00500 kg</t>
  </si>
  <si>
    <t>0.0052631578947368421052631579 kg</t>
  </si>
  <si>
    <t>Seats &gt; Driver &gt; Support System &gt; Front Inner Trim and Outer if the Same &gt; Automated Process</t>
  </si>
  <si>
    <t>{_x000d_
  "productId": "00000046PZYZDV01",_x000d_
  "productCompleteName": "MPE (seat)"_x000d_
}</t>
  </si>
  <si>
    <t>00000008UJI7EU01 (AutoReverse)</t>
  </si>
  <si>
    <t>Seats &gt; Driver &gt; Support System &gt; Front Outer Trim</t>
  </si>
  <si>
    <t>Seats &gt; Driver &gt; Support System &gt; Front Outer Trim &gt; Automated Process</t>
  </si>
  <si>
    <t>0000000A6PE2EU01 (AutoReverse)</t>
  </si>
  <si>
    <t>00000001W1E7EU01 (AutoReverse)</t>
  </si>
  <si>
    <t>Seats &gt; Driver &gt; Heating System</t>
  </si>
  <si>
    <t>{_x000d_
  "productId": "0000000W10LICID0",_x000d_
  "productCompleteName": "Kongsberg Automotive"_x000d_
}</t>
  </si>
  <si>
    <t>PET</t>
  </si>
  <si>
    <t>00000007DGTMEU01 (AutoReverse)</t>
  </si>
  <si>
    <t>0000000A4W53EU01 (AutoReverse)</t>
  </si>
  <si>
    <t>00000008UJ87EU01 (AutoReverse)</t>
  </si>
  <si>
    <t>Seats &gt; Driver &gt; Wiring Harness</t>
  </si>
  <si>
    <t>Seats &gt; Driver &gt; Wiring Harness &gt; Process</t>
  </si>
  <si>
    <t>00000001Z36EEU01 (AutoReverse)</t>
  </si>
  <si>
    <t>0000000A2UZ8EU01 (AutoReverse)</t>
  </si>
  <si>
    <t>Seats &gt; Driver &gt; Position Sensor Support</t>
  </si>
  <si>
    <t>0.00100 kg</t>
  </si>
  <si>
    <t>0.0018945996332055110114130682 kg</t>
  </si>
  <si>
    <t>Seats &gt; Driver &gt; Position Sensor Support &gt; Injection molding</t>
  </si>
  <si>
    <t>Insert: 0.00 s, Closing: 1.67 s, Injection: 0.33 s, Cooling: 6.04 s, Opening: 0.67 s, Ejection: 0.03 s, Removal: 1.43 s. Default reject ratio based on industry average: 2%</t>
  </si>
  <si>
    <t>00000005TMEZEU01 (AutoReverse)</t>
  </si>
  <si>
    <t>Seats &gt; Driver &gt; J.I.T. Assembly</t>
  </si>
  <si>
    <t>00000004CKY5EU01 (AutoReverse)</t>
  </si>
  <si>
    <t>Seats &gt; Passenger</t>
  </si>
  <si>
    <t>Seats &gt; Passenger &gt; Back</t>
  </si>
  <si>
    <t>Seats &gt; Passenger &gt; Back &gt; Head Rest Support Bracket</t>
  </si>
  <si>
    <t>Seats &gt; Passenger &gt; Back &gt; Head Rest Support Bracket &gt; Lock Support</t>
  </si>
  <si>
    <t>Seats &gt; Passenger &gt; Back &gt; Head Rest Support Bracket &gt; Lock Support &gt; Automated Process</t>
  </si>
  <si>
    <t>000000017XGJEU01 (AutoReverse)</t>
  </si>
  <si>
    <t>Seats &gt; Passenger &gt; Back &gt; Head Rest Support Bracket &gt; Simple Guide Support</t>
  </si>
  <si>
    <t>Seats &gt; Passenger &gt; Back &gt; Head Rest Support Bracket &gt; Simple Guide Support &gt; Automated Process</t>
  </si>
  <si>
    <t>00000000S9PCEU01 (AutoReverse)</t>
  </si>
  <si>
    <t>00000004SSXKEU01 (AutoReverse)</t>
  </si>
  <si>
    <t>Seats &gt; Passenger &gt; Back &gt; Armrest System</t>
  </si>
  <si>
    <t>Seats &gt; Passenger &gt; Back &gt; Armrest System &gt; Cover</t>
  </si>
  <si>
    <t>Seats &gt; Passenger &gt; Back &gt; Armrest System &gt; Cover &gt; Cutting</t>
  </si>
  <si>
    <t>Seats &gt; Passenger &gt; Back &gt; Armrest System &gt; Cover &gt; Sewing</t>
  </si>
  <si>
    <t>00000005KYWNEU01 (AutoReverse)</t>
  </si>
  <si>
    <t>Seats &gt; Passenger &gt; Back &gt; Armrest System &gt; Pad</t>
  </si>
  <si>
    <t>Seats &gt; Passenger &gt; Back &gt; Armrest System &gt; Pad &gt; Automated Process</t>
  </si>
  <si>
    <t>Seats &gt; Passenger &gt; Back &gt; Armrest System &gt; Frame</t>
  </si>
  <si>
    <t>Seats &gt; Passenger &gt; Back &gt; Armrest System &gt; Frame &gt; Automated Process</t>
  </si>
  <si>
    <t>Seats &gt; Passenger &gt; Back &gt; Armrest System &gt; Armrest Inner Trim</t>
  </si>
  <si>
    <t>Seats &gt; Passenger &gt; Back &gt; Armrest System &gt; Armrest Inner Trim &gt; Automated Process</t>
  </si>
  <si>
    <t>Seats &gt; Passenger &gt; Back &gt; Armrest System &gt; Armrest Adjuster Shaft</t>
  </si>
  <si>
    <t>Seats &gt; Passenger &gt; Back &gt; Armrest System &gt; Armrest Adjuster Shaft &gt; Automated Process</t>
  </si>
  <si>
    <t>Seats &gt; Passenger &gt; Back &gt; Armrest System &gt; Fastener Cover</t>
  </si>
  <si>
    <t>Seats &gt; Passenger &gt; Back &gt; Armrest System &gt; Fastener Cover &gt; Automated Process</t>
  </si>
  <si>
    <t>000000A66HN8EU02 (AutoReverse)</t>
  </si>
  <si>
    <t>00000001YV1GEU01 (AutoReverse)</t>
  </si>
  <si>
    <t>Seats &gt; Passenger &gt; Back &gt; Frame Protection</t>
  </si>
  <si>
    <t>0.00400 kg</t>
  </si>
  <si>
    <t>0.0042105263157894736842105263 kg</t>
  </si>
  <si>
    <t>Seats &gt; Passenger &gt; Back &gt; Frame Protection &gt; Automated Process</t>
  </si>
  <si>
    <t>00000007PDDREU01 (AutoReverse)</t>
  </si>
  <si>
    <t>Seats &gt; Passenger &gt; Back &gt; Sound Insulation Sheet</t>
  </si>
  <si>
    <t>0.06200 kg</t>
  </si>
  <si>
    <t>0.0652631578947368421052631579 kg</t>
  </si>
  <si>
    <t>Seats &gt; Passenger &gt; Back &gt; Sound Insulation Sheet &gt; Automated Process</t>
  </si>
  <si>
    <t>00000002730JEU01 (AutoReverse)</t>
  </si>
  <si>
    <t>Seats &gt; Passenger &gt; Back &gt; Frame</t>
  </si>
  <si>
    <t>Seats &gt; Passenger &gt; Back &gt; Frame &gt; Automated Process</t>
  </si>
  <si>
    <t>00000003R45TEU01 (AutoReverse)</t>
  </si>
  <si>
    <t>Seats &gt; Passenger &gt; Back &gt; Cover</t>
  </si>
  <si>
    <t>Seats &gt; Passenger &gt; Back &gt; Cover &gt; Cutting</t>
  </si>
  <si>
    <t>Seats &gt; Passenger &gt; Back &gt; Cover &gt; Sewing</t>
  </si>
  <si>
    <t>00000003QANIEU01 (AutoReverse)</t>
  </si>
  <si>
    <t>Seats &gt; Passenger &gt; Back &gt; Pad</t>
  </si>
  <si>
    <t>1.51100 kg</t>
  </si>
  <si>
    <t>1.5905263157894736842105263158 kg</t>
  </si>
  <si>
    <t>Seats &gt; Passenger &gt; Back &gt; Pad &gt; Automated Process</t>
  </si>
  <si>
    <t>00000003J536EU01 (AutoReverse)</t>
  </si>
  <si>
    <t>0000000538QEEU01 (AutoReverse)</t>
  </si>
  <si>
    <t>Seats &gt; Passenger &gt; Cushion</t>
  </si>
  <si>
    <t>Seats &gt; Passenger &gt; Cushion &gt; Garnish</t>
  </si>
  <si>
    <t>Seats &gt; Passenger &gt; Cushion &gt; Garnish &gt; Outer Side</t>
  </si>
  <si>
    <t>0.27300 kg</t>
  </si>
  <si>
    <t>0.2873684210526315789473684211 kg</t>
  </si>
  <si>
    <t>Seats &gt; Passenger &gt; Cushion &gt; Garnish &gt; Outer Side &gt; Automated Process</t>
  </si>
  <si>
    <t>000000050AFKEU01 (AutoReverse)</t>
  </si>
  <si>
    <t>Seats &gt; Passenger &gt; Cushion &gt; Garnish &gt; Inner Side</t>
  </si>
  <si>
    <t>0.08700 kg</t>
  </si>
  <si>
    <t>0.0915789473684210526315789474 kg</t>
  </si>
  <si>
    <t>Seats &gt; Passenger &gt; Cushion &gt; Garnish &gt; Inner Side &gt; Automated Process</t>
  </si>
  <si>
    <t>00000009ISXUEU01 (AutoReverse)</t>
  </si>
  <si>
    <t>Seats &gt; Passenger &gt; Cushion &gt; Garnish &gt; Exterior Trim Support</t>
  </si>
  <si>
    <t>0.12900 kg</t>
  </si>
  <si>
    <t>0.1357894736842105263157894737 kg</t>
  </si>
  <si>
    <t>Seats &gt; Passenger &gt; Cushion &gt; Garnish &gt; Exterior Trim Support &gt; Automated Process</t>
  </si>
  <si>
    <t>00000003213NEU01 (AutoReverse)</t>
  </si>
  <si>
    <t>000000043QKZEU01 (AutoReverse)</t>
  </si>
  <si>
    <t>Seats &gt; Passenger &gt; Cushion &gt; Lower Lighting</t>
  </si>
  <si>
    <t>000000034D6BEU01 (AutoReverse)</t>
  </si>
  <si>
    <t>00000008ZQC8EU01 (AutoReverse)</t>
  </si>
  <si>
    <t>00000006Z17AEU01 (AutoReverse)</t>
  </si>
  <si>
    <t>Seats &gt; Passenger &gt; Cushion &gt; Pad</t>
  </si>
  <si>
    <t>Seats &gt; Passenger &gt; Cushion &gt; Pad &gt; Automated Process</t>
  </si>
  <si>
    <t>00000000AI7MEU01 (AutoReverse)</t>
  </si>
  <si>
    <t>Seats &gt; Passenger &gt; Cushion &gt; Cover</t>
  </si>
  <si>
    <t>Seats &gt; Passenger &gt; Cushion &gt; Cover &gt; Cutting</t>
  </si>
  <si>
    <t>Seats &gt; Passenger &gt; Cushion &gt; Cover &gt; Sewing</t>
  </si>
  <si>
    <t>00000000WXZEEU01 (AutoReverse)</t>
  </si>
  <si>
    <t>Seats &gt; Passenger &gt; Cushion &gt; Frame</t>
  </si>
  <si>
    <t>Seats &gt; Passenger &gt; Cushion &gt; Frame &gt; Automated Process</t>
  </si>
  <si>
    <t>00000008OM3SEU01 (AutoReverse)</t>
  </si>
  <si>
    <t>Seats &gt; Passenger &gt; Cushion &gt; Base Assembly</t>
  </si>
  <si>
    <t>Seats &gt; Passenger &gt; Cushion &gt; Base Assembly &gt; Automated Process</t>
  </si>
  <si>
    <t>00000003FKRVEU01 (AutoReverse)</t>
  </si>
  <si>
    <t>0000000ASFNCEU01 (AutoReverse)</t>
  </si>
  <si>
    <t>000000047H68EU01 (AutoReverse)</t>
  </si>
  <si>
    <t>Seats &gt; Passenger &gt; Safety</t>
  </si>
  <si>
    <t>Seats &gt; Passenger &gt; Safety &gt; Detection of Position System</t>
  </si>
  <si>
    <t>000000033AP4EU01 (AutoReverse)</t>
  </si>
  <si>
    <t>Seats &gt; Passenger &gt; Safety &gt; Detection of Position System &gt; Sensor Support</t>
  </si>
  <si>
    <t>0.0010526315789473684210526316 kg</t>
  </si>
  <si>
    <t>Seats &gt; Passenger &gt; Safety &gt; Detection of Position System &gt; Sensor Support &gt; Automated Process</t>
  </si>
  <si>
    <t>0000000IG6YYCID0 (AutoReverse)</t>
  </si>
  <si>
    <t>00000006DUUIEU01 (AutoReverse)</t>
  </si>
  <si>
    <t>Seats &gt; Passenger &gt; Safety &gt; Detection of Position System &gt; Detection of Position System Module Support</t>
  </si>
  <si>
    <t>0.02200 kg</t>
  </si>
  <si>
    <t>0.0231578947368421052631578947 kg</t>
  </si>
  <si>
    <t>Seats &gt; Passenger &gt; Safety &gt; Detection of Position System &gt; Detection of Position System Module Support &gt; Automated Process</t>
  </si>
  <si>
    <t>00000006ZT12EU01 (AutoReverse)</t>
  </si>
  <si>
    <t>00000005ABPVEU01 (AutoReverse)</t>
  </si>
  <si>
    <t>PP;FERROUS METAL;PA66;VMQ</t>
  </si>
  <si>
    <t>00000007C2D8EU01 (AutoReverse)</t>
  </si>
  <si>
    <t>Seats &gt; Passenger &gt; Safety &gt; Airbag Support</t>
  </si>
  <si>
    <t>Seats &gt; Passenger &gt; Safety &gt; Airbag Support &gt; Cleaning</t>
  </si>
  <si>
    <t>Seats &gt; Passenger &gt; Safety &gt; Airbag Support &gt; Stamping</t>
  </si>
  <si>
    <t>Seats &gt; Passenger &gt; Safety &gt; Airbag Support &gt; Packaging</t>
  </si>
  <si>
    <t>00000007PUPBEU01 (AutoReverse)</t>
  </si>
  <si>
    <t>00000006K4HBEU01 (AutoReverse)</t>
  </si>
  <si>
    <t>Seats &gt; Passenger &gt; Power Adjusters</t>
  </si>
  <si>
    <t>Seats &gt; Passenger &gt; Power Adjusters &gt; Longitudinal</t>
  </si>
  <si>
    <t>Seats &gt; Passenger &gt; Power Adjusters &gt; Longitudinal &gt; Rails</t>
  </si>
  <si>
    <t>Seats &gt; Passenger &gt; Power Adjusters &gt; Longitudinal &gt; Rails &gt; Inner Side</t>
  </si>
  <si>
    <t xml:space="preserve">Seats &gt; Passenger &gt; Power Adjusters &gt; Longitudinal &gt; Rails &gt; Inner Side &gt; Automated Process </t>
  </si>
  <si>
    <t>00000008SUNJEU01 (AutoReverse)</t>
  </si>
  <si>
    <t>Seats &gt; Passenger &gt; Power Adjusters &gt; Longitudinal &gt; Rails &gt; Outer Side</t>
  </si>
  <si>
    <t>Seats &gt; Passenger &gt; Power Adjusters &gt; Longitudinal &gt; Rails &gt; Outer Side &gt; Automated Process</t>
  </si>
  <si>
    <t>00000008TRL3EU01 (AutoReverse)</t>
  </si>
  <si>
    <t>0000000AJEBHEU01 (AutoReverse)</t>
  </si>
  <si>
    <t>ELECTRIC MOTOR;FERROUS METAL</t>
  </si>
  <si>
    <t>00000007HAZCEU01 (AutoReverse)</t>
  </si>
  <si>
    <t>Seats &gt; Passenger &gt; Power Adjusters &gt; Longitudinal &gt; Mount Bracket</t>
  </si>
  <si>
    <t>Seats &gt; Passenger &gt; Power Adjusters &gt; Longitudinal &gt; Mount Bracket &gt; Automated Process</t>
  </si>
  <si>
    <t>00000006FSWDEU01 (AutoReverse)</t>
  </si>
  <si>
    <t>Seats &gt; Passenger &gt; Power Adjusters &gt; Longitudinal &gt; Crosstalk Shaft Inner</t>
  </si>
  <si>
    <t>0.00200 kg</t>
  </si>
  <si>
    <t>0.0021052631578947368421052632 kg</t>
  </si>
  <si>
    <t>Seats &gt; Passenger &gt; Power Adjusters &gt; Longitudinal &gt; Crosstalk Shaft Inner &gt; Automated Process</t>
  </si>
  <si>
    <t>0000000IG6YDCID0 (AutoReverse)</t>
  </si>
  <si>
    <t>Seats &gt; Passenger &gt; Power Adjusters &gt; Longitudinal &gt; Crosstalk Shaft Outer</t>
  </si>
  <si>
    <t>0.01100 kg</t>
  </si>
  <si>
    <t>0.0115789473684210526315789474 kg</t>
  </si>
  <si>
    <t>Seats &gt; Passenger &gt; Power Adjusters &gt; Longitudinal &gt; Crosstalk Shaft Outer &gt; Automated Process</t>
  </si>
  <si>
    <t>0000000IG6YECID0 (AutoReverse)</t>
  </si>
  <si>
    <t>Seats &gt; Passenger &gt; Power Adjusters &gt; Longitudinal &gt; Crosstalk Shaft Cover</t>
  </si>
  <si>
    <t>0.07100 kg</t>
  </si>
  <si>
    <t>0.0747368421052631578947368421 kg</t>
  </si>
  <si>
    <t>Seats &gt; Passenger &gt; Power Adjusters &gt; Longitudinal &gt; Crosstalk Shaft Cover &gt; Automated Process</t>
  </si>
  <si>
    <t>0000000IG6Z2CID0 (AutoReverse)</t>
  </si>
  <si>
    <t>0000000AVZ96EU01 (AutoReverse)</t>
  </si>
  <si>
    <t>Seats &gt; Passenger &gt; Power Adjusters &gt; Height</t>
  </si>
  <si>
    <t>Seats &gt; Passenger &gt; Power Adjusters &gt; Height &gt; Front</t>
  </si>
  <si>
    <t>ELECTRIC MOTOR;PA66</t>
  </si>
  <si>
    <t>00000001KVZQEU01 (AutoReverse)</t>
  </si>
  <si>
    <t>00000000QAKPEU01 (AutoReverse)</t>
  </si>
  <si>
    <t>Seats &gt; Passenger &gt; Power Adjusters &gt; Height &gt; Rear</t>
  </si>
  <si>
    <t>ELECTRIC MOTOR;PA66;FERROUS METAL</t>
  </si>
  <si>
    <t>00000004H4NQEU01 (AutoReverse)</t>
  </si>
  <si>
    <t>Seats &gt; Passenger &gt; Power Adjusters &gt; Height &gt; Rear &gt; Motor Support</t>
  </si>
  <si>
    <t>Seats &gt; Passenger &gt; Power Adjusters &gt; Height &gt; Rear &gt; Motor Support &gt; Stamping</t>
  </si>
  <si>
    <t>Seats &gt; Passenger &gt; Power Adjusters &gt; Height &gt; Rear &gt; Motor Support &gt; Cleaning</t>
  </si>
  <si>
    <t>Seats &gt; Passenger &gt; Power Adjusters &gt; Height &gt; Rear &gt; Motor Support &gt; Cataphoresis</t>
  </si>
  <si>
    <t>000000A68QE8EU02 (AutoReverse)</t>
  </si>
  <si>
    <t>00000002W4SEEU01 (AutoReverse)</t>
  </si>
  <si>
    <t>0000000AE4V1EU01 (AutoReverse)</t>
  </si>
  <si>
    <t>00000001MHBJEU01 (AutoReverse)</t>
  </si>
  <si>
    <t>Seats &gt; Passenger &gt; Power Adjusters &gt; Recliner</t>
  </si>
  <si>
    <t>Seats &gt; Passenger &gt; Power Adjusters &gt; Recliner &gt; Mechanism</t>
  </si>
  <si>
    <t>000000056ABUEU01 (AutoReverse)</t>
  </si>
  <si>
    <t>00000003B62LEU01 (AutoReverse)</t>
  </si>
  <si>
    <t>ELECTRIC MOTOR;PA66;PBT</t>
  </si>
  <si>
    <t>0000000A8HTYEU01 (AutoReverse)</t>
  </si>
  <si>
    <t>00000004QA6IEU01 (AutoReverse)</t>
  </si>
  <si>
    <t>Seats &gt; Passenger &gt; Power Adjusters &gt; Lumbar</t>
  </si>
  <si>
    <t>Seats &gt; Passenger &gt; Power Adjusters &gt; Lumbar &gt; Mechanism</t>
  </si>
  <si>
    <t>Seats &gt; Passenger &gt; Power Adjusters &gt; Lumbar &gt; Mechanism &gt; Pressure Knob Support</t>
  </si>
  <si>
    <t>Seats &gt; Passenger &gt; Power Adjusters &gt; Lumbar &gt; Mechanism &gt; Pressure Knob Support &gt; Automated Process</t>
  </si>
  <si>
    <t>0000000AAI87EU01 (AutoReverse)</t>
  </si>
  <si>
    <t>Seats &gt; Passenger &gt; Power Adjusters &gt; Lumbar &gt; Mechanism &gt; Pressure Knob</t>
  </si>
  <si>
    <t>Seats &gt; Passenger &gt; Power Adjusters &gt; Lumbar &gt; Mechanism &gt; Pressure Knob &gt; Automated Process</t>
  </si>
  <si>
    <t>00000007BB3YEU01 (AutoReverse)</t>
  </si>
  <si>
    <t>0000000042L0EU01 (AutoReverse)</t>
  </si>
  <si>
    <t>ELECTRONIC COMPONENT;PBT-ASA</t>
  </si>
  <si>
    <t>00000005E2R5EU01 (AutoReverse)</t>
  </si>
  <si>
    <t>ELECTRONIC COMPONENT;POM</t>
  </si>
  <si>
    <t>00000000F2HMEU01 (AutoReverse)</t>
  </si>
  <si>
    <t>Seats &gt; Passenger &gt; Power Adjusters &gt; Lumbar &gt; Air Distributor</t>
  </si>
  <si>
    <t>Seats &gt; Passenger &gt; Power Adjusters &gt; Lumbar &gt; Air Distributor &gt; Process</t>
  </si>
  <si>
    <t>00000002XG26EU01 (AutoReverse)</t>
  </si>
  <si>
    <t>00000001XWM7EU01 (AutoReverse)</t>
  </si>
  <si>
    <t>ELECTRONIC COMPONENT;PP;PBT</t>
  </si>
  <si>
    <t>A000000MVKQAEU02  (AutoReverse)</t>
  </si>
  <si>
    <t>A000000MVKQDEU02 (AutoReverse)</t>
  </si>
  <si>
    <t>Seats &gt; Passenger &gt; Power Adjusters &gt; Adjustment Control</t>
  </si>
  <si>
    <t>Seats &gt; Passenger &gt; Power Adjusters &gt; Adjustment Control &gt; Process</t>
  </si>
  <si>
    <t>00000005O160EU01 (AutoReverse)</t>
  </si>
  <si>
    <t>Seats &gt; Passenger &gt; Power Adjusters &gt; Presetting Control</t>
  </si>
  <si>
    <t>Seats &gt; Passenger &gt; Power Adjusters &gt; Presetting Control &gt; Process</t>
  </si>
  <si>
    <t>00000006B3ZCEU01 (AutoReverse)</t>
  </si>
  <si>
    <t>Seats &gt; Passenger &gt; Power Adjusters &gt; Passenger Seat ECU</t>
  </si>
  <si>
    <t>Seats &gt; Passenger &gt; Power Adjusters &gt; Passenger Seat ECU &gt; Process</t>
  </si>
  <si>
    <t>A000000MVKQAEU02 (AutoReverse)</t>
  </si>
  <si>
    <t>000000029W66EU01 (AutoReverse)</t>
  </si>
  <si>
    <t>Seats &gt; Passenger &gt; Support System</t>
  </si>
  <si>
    <t>Seats &gt; Passenger &gt; Support System &gt; Front Inner Trim and Outer if Similar</t>
  </si>
  <si>
    <t>Seats &gt; Passenger &gt; Support System &gt; Front Inner Trim and Outer if Similar &gt; Automated Process</t>
  </si>
  <si>
    <t>00000002AZMUEU01 (AutoReverse)</t>
  </si>
  <si>
    <t>Seats &gt; Passenger &gt; Support System &gt; Front Outer Trim</t>
  </si>
  <si>
    <t>Seats &gt; Passenger &gt; Support System &gt; Front Outer Trim &gt; Automated Process</t>
  </si>
  <si>
    <t>0000000AMDHTEU01 (AutoReverse)</t>
  </si>
  <si>
    <t>00000001Y0AMEU01 (AutoReverse)</t>
  </si>
  <si>
    <t>Seats &gt; Passenger &gt; Head Rest</t>
  </si>
  <si>
    <t>Seats &gt; Passenger &gt; Head Rest &gt; Cover</t>
  </si>
  <si>
    <t>Seats &gt; Passenger &gt; Head Rest &gt; Cover &gt; Cutting</t>
  </si>
  <si>
    <t>Seats &gt; Passenger &gt; Head Rest &gt; Cover &gt; Sewing</t>
  </si>
  <si>
    <t>Interior Standard</t>
  </si>
  <si>
    <t>Seats &gt; Passenger &gt; Head Rest &gt; Padding</t>
  </si>
  <si>
    <t>Seats &gt; Passenger &gt; Head Rest &gt; Padding &gt; Automated Process</t>
  </si>
  <si>
    <t>Seats &gt; Passenger &gt; Head Rest &gt; Frame / Reinforcement Mechanism</t>
  </si>
  <si>
    <t xml:space="preserve">Seats &gt; Passenger &gt; Head Rest &gt; Frame / Reinforcement Mechanism &gt; Automated Process </t>
  </si>
  <si>
    <t>00000006K9SZEU01 (AutoReverse)</t>
  </si>
  <si>
    <t>Seats &gt; Passenger &gt; Heating System</t>
  </si>
  <si>
    <t>00000007N7COEU01 (AutoReverse)</t>
  </si>
  <si>
    <t>00000001R5EVEU01 (AutoReverse)</t>
  </si>
  <si>
    <t>00000003OQ2GEU01 (AutoReverse)</t>
  </si>
  <si>
    <t>Seats &gt; Passenger &gt; Wiring Harness</t>
  </si>
  <si>
    <t>Seats &gt; Passenger &gt; Wiring Harness &gt; Process</t>
  </si>
  <si>
    <t>{_x000d_
  "productId": "0000000W0ZRECID0",_x000d_
  "productCompleteName": "Cofat"_x000d_
}</t>
  </si>
  <si>
    <t>00000006XYWUEU01 (AutoReverse)</t>
  </si>
  <si>
    <t>Seats &gt; Passenger &gt; J.I.T. Assembly</t>
  </si>
  <si>
    <t>000000050K9NEU01 (AutoReverse)</t>
  </si>
  <si>
    <t>Seats &gt; Rear Seat</t>
  </si>
  <si>
    <t>Seats &gt; Rear Seat &gt; Seat 1-3</t>
  </si>
  <si>
    <t>Seats &gt; Rear Seat &gt; Seat 1-3 &gt; Head Rest</t>
  </si>
  <si>
    <t>Seats &gt; Rear Seat &gt; Seat 1-3 &gt; Head Rest &gt; Cover</t>
  </si>
  <si>
    <t>0.32 kg</t>
  </si>
  <si>
    <t>Seats &gt; Rear Seat &gt; Seat 1-3 &gt; Head Rest &gt; Cover &gt; Cutting</t>
  </si>
  <si>
    <t>Seats &gt; Rear Seat &gt; Seat 1-3 &gt; Head Rest &gt; Cover &gt; Sewing</t>
  </si>
  <si>
    <t>00000008Q53REU01 (AutoReverse)</t>
  </si>
  <si>
    <t>Seats &gt; Rear Seat &gt; Seat 1-3 &gt; Head Rest &gt; Padding</t>
  </si>
  <si>
    <t>0.10900 kg</t>
  </si>
  <si>
    <t>0.1147368421052631578947368421 kg</t>
  </si>
  <si>
    <t>Seats &gt; Rear Seat &gt; Seat 1-3 &gt; Head Rest &gt; Padding &gt; Automated Process</t>
  </si>
  <si>
    <t>00000008XZWDEU01 (AutoReverse)</t>
  </si>
  <si>
    <t>Seats &gt; Rear Seat &gt; Seat 1-3 &gt; Head Rest &gt; Frame</t>
  </si>
  <si>
    <t>0.1414141414141414141414141414 kg</t>
  </si>
  <si>
    <t>Seats &gt; Rear Seat &gt; Seat 1-3 &gt; Head Rest &gt; Frame &gt; Automated Process</t>
  </si>
  <si>
    <t>000000028B50EU01 (AutoReverse)</t>
  </si>
  <si>
    <t>Seats &gt; Rear Seat &gt; Seat 1-3 &gt; Head Rest &gt; Reinforcement</t>
  </si>
  <si>
    <t>0.21900 kg</t>
  </si>
  <si>
    <t>0.2305263157894736842105263158 kg</t>
  </si>
  <si>
    <t>Seats &gt; Rear Seat &gt; Seat 1-3 &gt; Head Rest &gt; Reinforcement &gt; Automated Process</t>
  </si>
  <si>
    <t>HDPE</t>
  </si>
  <si>
    <t>00000000S064EU01 (AutoReverse)</t>
  </si>
  <si>
    <t>00000000QVUSEU01 (AutoReverse)</t>
  </si>
  <si>
    <t>Seats &gt; Rear Seat &gt; Seat 1-3 &gt; Back</t>
  </si>
  <si>
    <t>Seats &gt; Rear Seat &gt; Seat 1-3 &gt; Back &gt; Head Rest Support</t>
  </si>
  <si>
    <t>Seats &gt; Rear Seat &gt; Seat 1-3 &gt; Back &gt; Head Rest Support &gt; Lock Support</t>
  </si>
  <si>
    <t>0.02800 kg</t>
  </si>
  <si>
    <t>0.0294736842105263157894736842 kg</t>
  </si>
  <si>
    <t>Seats &gt; Rear Seat &gt; Seat 1-3 &gt; Back &gt; Head Rest Support &gt; Lock Support &gt; Automated Process</t>
  </si>
  <si>
    <t>{_x000d_
  "productId": "0000000W10GKCID0",_x000d_
  "productCompleteName": "ITW"_x000d_
}</t>
  </si>
  <si>
    <t>000000088BHNEU01 (AutoReverse)</t>
  </si>
  <si>
    <t>Seats &gt; Rear Seat &gt; Seat 1-3 &gt; Back &gt; Head Rest Support &gt; Simple Guide Support</t>
  </si>
  <si>
    <t>Seats &gt; Rear Seat &gt; Seat 1-3 &gt; Back &gt; Head Rest Support &gt; Simple Guide Support &gt; Automated Process</t>
  </si>
  <si>
    <t>00000005NLY6EU01 (AutoReverse)</t>
  </si>
  <si>
    <t>00000007SAG6EU01 (AutoReverse)</t>
  </si>
  <si>
    <t>Seats &gt; Rear Seat &gt; Seat 1-3 &gt; Back &gt; Locking System</t>
  </si>
  <si>
    <t>{_x000d_
  "productId": "0000000W11V2CID0",_x000d_
  "productCompleteName": "Witte Automotive (Witte Velbert)"_x000d_
}</t>
  </si>
  <si>
    <t>00000001EDGOEU01 (AutoReverse)</t>
  </si>
  <si>
    <t>Seats &gt; Rear Seat &gt; Seat 1-3 &gt; Back &gt; Locking System &gt; Lock cover</t>
  </si>
  <si>
    <t>0.04200 kg</t>
  </si>
  <si>
    <t>0.0442105263157894736842105263 kg</t>
  </si>
  <si>
    <t>Seats &gt; Rear Seat &gt; Seat 1-3 &gt; Back &gt; Locking System &gt; Lock cover &gt; Automated Process</t>
  </si>
  <si>
    <t>00000006MDBREU01 (AutoReverse)</t>
  </si>
  <si>
    <t>00000001K3FGEU01 (AutoReverse)</t>
  </si>
  <si>
    <t>Seats &gt; Rear Seat &gt; Seat 1-3 &gt; Back &gt; Cover</t>
  </si>
  <si>
    <t>0.20000 kg</t>
  </si>
  <si>
    <t>0.2666666666666666666666666667 kg</t>
  </si>
  <si>
    <t>Seats &gt; Rear Seat &gt; Seat 1-3 &gt; Back &gt; Cover &gt; Cutting</t>
  </si>
  <si>
    <t>0.81000 kg</t>
  </si>
  <si>
    <t>1.08 kg</t>
  </si>
  <si>
    <t>0.0933333333333333333333333333 kg</t>
  </si>
  <si>
    <t>Seats &gt; Rear Seat &gt; Seat 1-3 &gt; Back &gt; Cover &gt; Sewing</t>
  </si>
  <si>
    <t>{_x000d_
  "productId": "0000000W0ZI4CID0",_x000d_
  "productCompleteName": "Aunde Teknik"_x000d_
}</t>
  </si>
  <si>
    <t>00000008094GEU01 (AutoReverse)</t>
  </si>
  <si>
    <t>Seats &gt; Rear Seat &gt; Seat 1-3 &gt; Back &gt; Pad</t>
  </si>
  <si>
    <t>0.96300 kg</t>
  </si>
  <si>
    <t>1.0136842105263157894736842105 kg</t>
  </si>
  <si>
    <t>Seats &gt; Rear Seat &gt; Seat 1-3 &gt; Back &gt; Pad &gt; Automated Process</t>
  </si>
  <si>
    <t>00000001EJ43EU01 (AutoReverse)</t>
  </si>
  <si>
    <t>Seats &gt; Rear Seat &gt; Seat 1-3 &gt; Back &gt; Frame</t>
  </si>
  <si>
    <t>3.48100 kg</t>
  </si>
  <si>
    <t>4.6413333333333333333333333333 kg</t>
  </si>
  <si>
    <t>Seats &gt; Rear Seat &gt; Seat 1-3 &gt; Back &gt; Frame &gt; Automated Process</t>
  </si>
  <si>
    <t>0.0408163265306122448979591837 kg</t>
  </si>
  <si>
    <t>{_x000d_
  "productId": "00000048ZPI4DV01",_x000d_
  "productCompleteName": "Seat"_x000d_
}</t>
  </si>
  <si>
    <t>00000005KXGMEU01 (AutoReverse)</t>
  </si>
  <si>
    <t>Seats &gt; Rear Seat &gt; Seat 1-3 &gt; Back &gt; Rear Panel</t>
  </si>
  <si>
    <t>Seats &gt; Rear Seat &gt; Seat 1-3 &gt; Back &gt; Rear Panel &gt; Automated Process</t>
  </si>
  <si>
    <t>00000004HN3VEU01 (AutoReverse)</t>
  </si>
  <si>
    <t>000000038280EU01 (AutoReverse)</t>
  </si>
  <si>
    <t>00000007VIYVEU01 (AutoReverse)</t>
  </si>
  <si>
    <t>Seats &gt; Rear Seat &gt; Seat 2-3</t>
  </si>
  <si>
    <t>Seats &gt; Rear Seat &gt; Seat 2-3 &gt; Head Rest</t>
  </si>
  <si>
    <t>Seats &gt; Rear Seat &gt; Seat 2-3 &gt; Head Rest &gt; Inner Side</t>
  </si>
  <si>
    <t>Seats &gt; Rear Seat &gt; Seat 2-3 &gt; Head Rest &gt; Inner Side &gt; Cover</t>
  </si>
  <si>
    <t>0.21000 kg</t>
  </si>
  <si>
    <t>0.28 kg</t>
  </si>
  <si>
    <t>Seats &gt; Rear Seat &gt; Seat 2-3 &gt; Head Rest &gt; Inner Side &gt; Cover &gt; Cutting</t>
  </si>
  <si>
    <t>Seats &gt; Rear Seat &gt; Seat 2-3 &gt; Head Rest &gt; Inner Side &gt; Cover &gt; Sewing</t>
  </si>
  <si>
    <t>0000000A9Z0DEU01 (AutoReverse)</t>
  </si>
  <si>
    <t>Seats &gt; Rear Seat &gt; Seat 2-3 &gt; Head Rest &gt; Inner Side &gt; Padding</t>
  </si>
  <si>
    <t>Seats &gt; Rear Seat &gt; Seat 2-3 &gt; Head Rest &gt; Inner Side &gt; Padding &gt; Automated Process</t>
  </si>
  <si>
    <t>00000006JL1KEU01 (AutoReverse)</t>
  </si>
  <si>
    <t>Seats &gt; Rear Seat &gt; Seat 2-3 &gt; Head Rest &gt; Inner Side &gt; Frame</t>
  </si>
  <si>
    <t>0.16100 kg</t>
  </si>
  <si>
    <t>0.1626262626262626262626262626 kg</t>
  </si>
  <si>
    <t>Seats &gt; Rear Seat &gt; Seat 2-3 &gt; Head Rest &gt; Inner Side &gt; Frame &gt; Automated Process</t>
  </si>
  <si>
    <t>00000006YQ8EEU01 (AutoReverse)</t>
  </si>
  <si>
    <t>Seats &gt; Rear Seat &gt; Seat 2-3 &gt; Head Rest &gt; Inner Side &gt; Reinforcement</t>
  </si>
  <si>
    <t>0.17100 kg</t>
  </si>
  <si>
    <t>0.18 kg</t>
  </si>
  <si>
    <t>Seats &gt; Rear Seat &gt; Seat 2-3 &gt; Head Rest &gt; Inner Side &gt; Reinforcement &gt; Automated Process</t>
  </si>
  <si>
    <t>00000003A82UEU01 (AutoReverse)</t>
  </si>
  <si>
    <t>00000003KKO7EU01 (AutoReverse)</t>
  </si>
  <si>
    <t>Seats &gt; Rear Seat &gt; Seat 2-3 &gt; Head Rest &gt; Outer Side</t>
  </si>
  <si>
    <t>Seats &gt; Rear Seat &gt; Seat 2-3 &gt; Head Rest &gt; Outer Side &gt; Cover</t>
  </si>
  <si>
    <t>Seats &gt; Rear Seat &gt; Seat 2-3 &gt; Head Rest &gt; Outer Side &gt; Cover &gt; Cutting</t>
  </si>
  <si>
    <t>Seats &gt; Rear Seat &gt; Seat 2-3 &gt; Head Rest &gt; Outer Side &gt; Cover &gt; Sewing</t>
  </si>
  <si>
    <t>Seats &gt; Rear Seat &gt; Seat 2-3 &gt; Head Rest &gt; Outer Side &gt; Padding</t>
  </si>
  <si>
    <t>Seats &gt; Rear Seat &gt; Seat 2-3 &gt; Head Rest &gt; Outer Side &gt; Padding &gt; Automated Process</t>
  </si>
  <si>
    <t>Seats &gt; Rear Seat &gt; Seat 2-3 &gt; Head Rest &gt; Outer Side &gt; Frame</t>
  </si>
  <si>
    <t>Seats &gt; Rear Seat &gt; Seat 2-3 &gt; Head Rest &gt; Outer Side &gt; Frame &gt; Automated Process</t>
  </si>
  <si>
    <t>Seats &gt; Rear Seat &gt; Seat 2-3 &gt; Head Rest &gt; Outer Side &gt; Reinforcement</t>
  </si>
  <si>
    <t>Seats &gt; Rear Seat &gt; Seat 2-3 &gt; Head Rest &gt; Outer Side &gt; Reinforcement &gt; Automated Process</t>
  </si>
  <si>
    <t>00000003FMTKEU01 (AutoReverse)</t>
  </si>
  <si>
    <t>0000000A2S84EU01 (AutoReverse)</t>
  </si>
  <si>
    <t>Seats &gt; Rear Seat &gt; Seat 2-3 &gt; Back</t>
  </si>
  <si>
    <t>Seats &gt; Rear Seat &gt; Seat 2-3 &gt; Back &gt; Head Rest Support</t>
  </si>
  <si>
    <t>Seats &gt; Rear Seat &gt; Seat 2-3 &gt; Back &gt; Head Rest Support &gt; Lock Support</t>
  </si>
  <si>
    <t>Seats &gt; Rear Seat &gt; Seat 2-3 &gt; Back &gt; Head Rest Support &gt; Lock Support &gt; Automated Process</t>
  </si>
  <si>
    <t>00000009LYAKEU01 (AutoReverse)</t>
  </si>
  <si>
    <t>Seats &gt; Rear Seat &gt; Seat 2-3 &gt; Back &gt; Head Rest Support &gt; Simple Guide Support</t>
  </si>
  <si>
    <t>Seats &gt; Rear Seat &gt; Seat 2-3 &gt; Back &gt; Head Rest Support &gt; Simple Guide Support &gt; Automated Process</t>
  </si>
  <si>
    <t>000000060S40EU01 (AutoReverse)</t>
  </si>
  <si>
    <t>Seats &gt; Rear Seat &gt; Seat 2-3 &gt; Back &gt; Head Rest Support &gt; Center Lock Support if Different</t>
  </si>
  <si>
    <t>Seats &gt; Rear Seat &gt; Seat 2-3 &gt; Back &gt; Head Rest Support &gt; Center Lock Support if Different &gt; Automated Process</t>
  </si>
  <si>
    <t>000000093X50EU01 (AutoReverse)</t>
  </si>
  <si>
    <t>Seats &gt; Rear Seat &gt; Seat 2-3 &gt; Back &gt; Head Rest Support &gt; Center Simple Guide Support if Different</t>
  </si>
  <si>
    <t>Seats &gt; Rear Seat &gt; Seat 2-3 &gt; Back &gt; Head Rest Support &gt; Center Simple Guide Support if Different &gt; Automated Process</t>
  </si>
  <si>
    <t>00000001LKKGEU01 (AutoReverse)</t>
  </si>
  <si>
    <t>00000001VWGXEU01 (AutoReverse)</t>
  </si>
  <si>
    <t>Seats &gt; Rear Seat &gt; Seat 2-3 &gt; Back &gt; Unlocking System</t>
  </si>
  <si>
    <t>PP;PA66;FERROUS METAL</t>
  </si>
  <si>
    <t>00000002A3Z0EU01 (AutoReverse)</t>
  </si>
  <si>
    <t>Seats &gt; Rear Seat &gt; Seat 2-3 &gt; Back &gt; Unlocking System &gt; Lock Cover</t>
  </si>
  <si>
    <t>0.0421052631578947368421052632 kg</t>
  </si>
  <si>
    <t>Seats &gt; Rear Seat &gt; Seat 2-3 &gt; Back &gt; Unlocking System &gt; Lock Cover &gt; Automated Process</t>
  </si>
  <si>
    <t>000000067U6ZEU01 (AutoReverse)</t>
  </si>
  <si>
    <t>000000076VCQEU01 (AutoReverse)</t>
  </si>
  <si>
    <t>Seats &gt; Rear Seat &gt; Seat 2-3 &gt; Back &gt; Anchor</t>
  </si>
  <si>
    <t>Seats &gt; Rear Seat &gt; Seat 2-3 &gt; Back &gt; Anchor &gt; Center Bezel</t>
  </si>
  <si>
    <t>0.02900 kg</t>
  </si>
  <si>
    <t>0.0305263157894736842105263158 kg</t>
  </si>
  <si>
    <t>Seats &gt; Rear Seat &gt; Seat 2-3 &gt; Back &gt; Anchor &gt; Center Bezel &gt; Automated Process</t>
  </si>
  <si>
    <t>00000001TFMAEU01 (AutoReverse)</t>
  </si>
  <si>
    <t>0000000AMHTUEU01 (AutoReverse)</t>
  </si>
  <si>
    <t>Seats &gt; Rear Seat &gt; Seat 2-3 &gt; Back &gt; Ski Trap</t>
  </si>
  <si>
    <t>Seats &gt; Rear Seat &gt; Seat 2-3 &gt; Back &gt; Ski Trap &gt; Load Through Lid</t>
  </si>
  <si>
    <t>0.43400 kg</t>
  </si>
  <si>
    <t>0.4568421052631578947368421053 kg</t>
  </si>
  <si>
    <t>Seats &gt; Rear Seat &gt; Seat 2-3 &gt; Back &gt; Ski Trap &gt; Load Through Lid &gt; Automated Process</t>
  </si>
  <si>
    <t>00000001Y5K4EU01 (AutoReverse)</t>
  </si>
  <si>
    <t>Seats &gt; Rear Seat &gt; Seat 2-3 &gt; Back &gt; Ski Trap &gt; Bezel</t>
  </si>
  <si>
    <t>0.02400 kg</t>
  </si>
  <si>
    <t>0.0252631578947368421052631579 kg</t>
  </si>
  <si>
    <t>Seats &gt; Rear Seat &gt; Seat 2-3 &gt; Back &gt; Ski Trap &gt; Bezel &gt; Automated Process</t>
  </si>
  <si>
    <t>0000000A8DGHEU01 (AutoReverse)</t>
  </si>
  <si>
    <t>Seats &gt; Rear Seat &gt; Seat 2-3 &gt; Back &gt; Ski Trap &gt; Rear Trim</t>
  </si>
  <si>
    <t>0.10000 kg</t>
  </si>
  <si>
    <t>0.1052631578947368421052631579 kg</t>
  </si>
  <si>
    <t>Seats &gt; Rear Seat &gt; Seat 2-3 &gt; Back &gt; Ski Trap &gt; Rear Trim &gt; Automated Process</t>
  </si>
  <si>
    <t>00000003I70CEU01 (AutoReverse)</t>
  </si>
  <si>
    <t>Seats &gt; Rear Seat &gt; Seat 2-3 &gt; Back &gt; Ski Trap &gt; Frame</t>
  </si>
  <si>
    <t>1.97800 kg</t>
  </si>
  <si>
    <t>3.2966666666666666666666666667 kg</t>
  </si>
  <si>
    <t>Seats &gt; Rear Seat &gt; Seat 2-3 &gt; Back &gt; Ski Trap &gt; Frame &gt; Automated Process</t>
  </si>
  <si>
    <t>0.00040 kg</t>
  </si>
  <si>
    <t>0.0004081632653061224489795918 kg</t>
  </si>
  <si>
    <t>00000001EPQ2EU01 (AutoReverse)</t>
  </si>
  <si>
    <t>Seats &gt; Rear Seat &gt; Seat 2-3 &gt; Back &gt; Ski Trap &gt; Lock Mechanism</t>
  </si>
  <si>
    <t>0.06050 kg</t>
  </si>
  <si>
    <t>0.0636842105263157894736842105 kg</t>
  </si>
  <si>
    <t>Seats &gt; Rear Seat &gt; Seat 2-3 &gt; Back &gt; Ski Trap &gt; Lock Mechanism &gt; Automated Process</t>
  </si>
  <si>
    <t>POM;PA6;PC-ABS;FERROUS METAL</t>
  </si>
  <si>
    <t>00000004VOVCEU01 (AutoReverse)</t>
  </si>
  <si>
    <t>Seats &gt; Rear Seat &gt; Seat 2-3 &gt; Back &gt; Ski Trap &gt; Handle</t>
  </si>
  <si>
    <t>0.02600 kg</t>
  </si>
  <si>
    <t>0.0273684210526315789473684211 kg</t>
  </si>
  <si>
    <t>Seats &gt; Rear Seat &gt; Seat 2-3 &gt; Back &gt; Ski Trap &gt; Handle &gt; Automated Process</t>
  </si>
  <si>
    <t>00000008PODBEU01 (AutoReverse)</t>
  </si>
  <si>
    <t>Seats &gt; Rear Seat &gt; Seat 2-3 &gt; Back &gt; Ski Trap &gt; Anchor Covers</t>
  </si>
  <si>
    <t>Seats &gt; Rear Seat &gt; Seat 2-3 &gt; Back &gt; Ski Trap &gt; Anchor Covers &gt; Automated Process</t>
  </si>
  <si>
    <t>00000005PHR2EU01 (AutoReverse)</t>
  </si>
  <si>
    <t>Seats &gt; Rear Seat &gt; Seat 2-3 &gt; Back &gt; Ski Trap &gt; Rear frame panel</t>
  </si>
  <si>
    <t>0.08000 kg</t>
  </si>
  <si>
    <t>Seats &gt; Rear Seat &gt; Seat 2-3 &gt; Back &gt; Ski Trap &gt; Rear frame panel &gt; Automated Process</t>
  </si>
  <si>
    <t>00000002NYWAEU01 (AutoReverse)</t>
  </si>
  <si>
    <t>00000001AP5BEU01 (AutoReverse)</t>
  </si>
  <si>
    <t>Seats &gt; Rear Seat &gt; Seat 2-3 &gt; Back &gt; Armrest</t>
  </si>
  <si>
    <t>Seats &gt; Rear Seat &gt; Seat 2-3 &gt; Back &gt; Armrest &gt; Mounting Bracket Cover</t>
  </si>
  <si>
    <t>Seats &gt; Rear Seat &gt; Seat 2-3 &gt; Back &gt; Armrest &gt; Mounting Bracket Cover &gt; Interior</t>
  </si>
  <si>
    <t>0.0157894736842105263157894737 kg</t>
  </si>
  <si>
    <t>Seats &gt; Rear Seat &gt; Seat 2-3 &gt; Back &gt; Armrest &gt; Mounting Bracket Cover &gt; Interior &gt; Automated Process</t>
  </si>
  <si>
    <t>00000002KSLWEU01 (AutoReverse)</t>
  </si>
  <si>
    <t>Seats &gt; Rear Seat &gt; Seat 2-3 &gt; Back &gt; Armrest &gt; Mounting Bracket Cover &gt; Exterior</t>
  </si>
  <si>
    <t>0.01600 kg</t>
  </si>
  <si>
    <t>0.0168421052631578947368421053 kg</t>
  </si>
  <si>
    <t>Seats &gt; Rear Seat &gt; Seat 2-3 &gt; Back &gt; Armrest &gt; Mounting Bracket Cover &gt; Exterior &gt; Automated Process</t>
  </si>
  <si>
    <t>00000006EI0PEU01 (AutoReverse)</t>
  </si>
  <si>
    <t>00000007ONBBEU01 (AutoReverse)</t>
  </si>
  <si>
    <t>Seats &gt; Rear Seat &gt; Seat 2-3 &gt; Back &gt; Armrest &gt; Cup Holder</t>
  </si>
  <si>
    <t>Seats &gt; Rear Seat &gt; Seat 2-3 &gt; Back &gt; Armrest &gt; Cup Holder &gt; Cup Holder</t>
  </si>
  <si>
    <t>0.07200 kg</t>
  </si>
  <si>
    <t>0.0757894736842105263157894737 kg</t>
  </si>
  <si>
    <t>Seats &gt; Rear Seat &gt; Seat 2-3 &gt; Back &gt; Armrest &gt; Cup Holder &gt; Cup Holder &gt; Automated Process</t>
  </si>
  <si>
    <t>ABS;TPE</t>
  </si>
  <si>
    <t>0000000BSOQMCID0 (AutoReverse)</t>
  </si>
  <si>
    <t>000000029NBFEU01 (AutoReverse)</t>
  </si>
  <si>
    <t>Seats &gt; Rear Seat &gt; Seat 2-3 &gt; Back &gt; Armrest &gt; Plastic Trim</t>
  </si>
  <si>
    <t>Seats &gt; Rear Seat &gt; Seat 2-3 &gt; Back &gt; Armrest &gt; Plastic Trim &gt; Inner</t>
  </si>
  <si>
    <t>0.36400 kg</t>
  </si>
  <si>
    <t>0.3831578947368421052631578947 kg</t>
  </si>
  <si>
    <t>Seats &gt; Rear Seat &gt; Seat 2-3 &gt; Back &gt; Armrest &gt; Plastic Trim &gt; Inner &gt; Automated Process</t>
  </si>
  <si>
    <t>00000000GICGEU01 (AutoReverse)</t>
  </si>
  <si>
    <t>00000008H7C9EU01 (AutoReverse)</t>
  </si>
  <si>
    <t>Seats &gt; Rear Seat &gt; Seat 2-3 &gt; Back &gt; Armrest &gt; Lid</t>
  </si>
  <si>
    <t>0.43000 kg</t>
  </si>
  <si>
    <t>0.5733333333333333333333333333 kg</t>
  </si>
  <si>
    <t>Seats &gt; Rear Seat &gt; Seat 2-3 &gt; Back &gt; Armrest &gt; Lid &gt; Cutting</t>
  </si>
  <si>
    <t>0.30000 kg</t>
  </si>
  <si>
    <t>0.3 kg</t>
  </si>
  <si>
    <t>Seats &gt; Rear Seat &gt; Seat 2-3 &gt; Back &gt; Armrest &gt; Lid &gt; Sewing</t>
  </si>
  <si>
    <t>PP;PUR;PES</t>
  </si>
  <si>
    <t>00000009FKXYEU01 (AutoReverse)</t>
  </si>
  <si>
    <t>Seats &gt; Rear Seat &gt; Seat 2-3 &gt; Back &gt; Armrest &gt; Stuffing and Framework</t>
  </si>
  <si>
    <t>0.42133 kg</t>
  </si>
  <si>
    <t>0.4435052631578947368421052632 kg</t>
  </si>
  <si>
    <t>Seats &gt; Rear Seat &gt; Seat 2-3 &gt; Back &gt; Armrest &gt; Stuffing and Framework &gt; Automated Process</t>
  </si>
  <si>
    <t>0.80000 kg</t>
  </si>
  <si>
    <t>PUR;ABS;FERROUS METAL</t>
  </si>
  <si>
    <t>000000033H1REU01 (AutoReverse)</t>
  </si>
  <si>
    <t>00000007V78BEU01 (AutoReverse)</t>
  </si>
  <si>
    <t>Seats &gt; Rear Seat &gt; Seat 2-3 &gt; Back &gt; Inferior Stuffing</t>
  </si>
  <si>
    <t>Seats &gt; Rear Seat &gt; Seat 2-3 &gt; Back &gt; Inferior Stuffing &gt; Padding</t>
  </si>
  <si>
    <t>0.06800 kg</t>
  </si>
  <si>
    <t>0.0715789473684210526315789474 kg</t>
  </si>
  <si>
    <t>Seats &gt; Rear Seat &gt; Seat 2-3 &gt; Back &gt; Inferior Stuffing &gt; Padding &gt; Automated Process</t>
  </si>
  <si>
    <t>00000000QZJKEU01 (AutoReverse)</t>
  </si>
  <si>
    <t>Seats &gt; Rear Seat &gt; Seat 2-3 &gt; Back &gt; Inferior Stuffing &gt; Cover</t>
  </si>
  <si>
    <t>Seats &gt; Rear Seat &gt; Seat 2-3 &gt; Back &gt; Inferior Stuffing &gt; Cover &gt; Cutting</t>
  </si>
  <si>
    <t>Seats &gt; Rear Seat &gt; Seat 2-3 &gt; Back &gt; Inferior Stuffing &gt; Cover &gt; Sewing</t>
  </si>
  <si>
    <t>0000000992RVEU01 (AutoReverse)</t>
  </si>
  <si>
    <t>Seats &gt; Rear Seat &gt; Seat 2-3 &gt; Back &gt; Inferior Stuffing &gt; Framework</t>
  </si>
  <si>
    <t>0.08200 kg</t>
  </si>
  <si>
    <t>0.0863157894736842105263157895 kg</t>
  </si>
  <si>
    <t>Seats &gt; Rear Seat &gt; Seat 2-3 &gt; Back &gt; Inferior Stuffing &gt; Framework &gt; Automated Process</t>
  </si>
  <si>
    <t>PP-PET</t>
  </si>
  <si>
    <t>00000000SIEUEU01 (AutoReverse)</t>
  </si>
  <si>
    <t>00000002H36NEU01 (AutoReverse)</t>
  </si>
  <si>
    <t>Seats &gt; Rear Seat &gt; Seat 2-3 &gt; Back &gt; Cover</t>
  </si>
  <si>
    <t>0.11 kg</t>
  </si>
  <si>
    <t>Seats &gt; Rear Seat &gt; Seat 2-3 &gt; Back &gt; Cover &gt; Cutting</t>
  </si>
  <si>
    <t>1.0666666666666666666666666667 kg</t>
  </si>
  <si>
    <t>Seats &gt; Rear Seat &gt; Seat 2-3 &gt; Back &gt; Cover &gt; Sewing</t>
  </si>
  <si>
    <t>00000002T3NNEU01 (AutoReverse)</t>
  </si>
  <si>
    <t>Seats &gt; Rear Seat &gt; Seat 2-3 &gt; Back &gt; Pad</t>
  </si>
  <si>
    <t>1.01400 kg</t>
  </si>
  <si>
    <t>1.0673684210526315789473684211 kg</t>
  </si>
  <si>
    <t>Seats &gt; Rear Seat &gt; Seat 2-3 &gt; Back &gt; Pad &gt; Automated Process</t>
  </si>
  <si>
    <t>000000022JVTEU01 (AutoReverse)</t>
  </si>
  <si>
    <t>Seats &gt; Rear Seat &gt; Seat 2-3 &gt; Back &gt; Frame</t>
  </si>
  <si>
    <t>6.34300 kg</t>
  </si>
  <si>
    <t>10.571666666666666666666666667 kg</t>
  </si>
  <si>
    <t>Seats &gt; Rear Seat &gt; Seat 2-3 &gt; Back &gt; Frame &gt; Automated Process</t>
  </si>
  <si>
    <t>0.0510204081632653061224489796 kg</t>
  </si>
  <si>
    <t>0000000AFDTKEU01 (AutoReverse)</t>
  </si>
  <si>
    <t>Seats &gt; Rear Seat &gt; Seat 2-3 &gt; Back &gt; Rear Panel</t>
  </si>
  <si>
    <t>0.36000 kg</t>
  </si>
  <si>
    <t>0.36 kg</t>
  </si>
  <si>
    <t>Seats &gt; Rear Seat &gt; Seat 2-3 &gt; Back &gt; Rear Panel &gt; Automated Process</t>
  </si>
  <si>
    <t>00000005VNRLEU01 (AutoReverse)</t>
  </si>
  <si>
    <t>Seats &gt; Rear Seat &gt; Seat 2-3 &gt; Back &gt; Fastener Support</t>
  </si>
  <si>
    <t>0.06700 kg</t>
  </si>
  <si>
    <t>0.08375 kg</t>
  </si>
  <si>
    <t>Seats &gt; Rear Seat &gt; Seat 2-3 &gt; Back &gt; Fastener Support &gt; Automated Process</t>
  </si>
  <si>
    <t>000000061HIIEU01 (AutoReverse)</t>
  </si>
  <si>
    <t>0000000ARECYEU01 (AutoReverse)</t>
  </si>
  <si>
    <t>00000000JBKREU01 (AutoReverse)</t>
  </si>
  <si>
    <t>Seats &gt; Rear Seat &gt; Cushion</t>
  </si>
  <si>
    <t>Seats &gt; Rear Seat &gt; Cushion &gt; Frame</t>
  </si>
  <si>
    <t>5.23600 kg</t>
  </si>
  <si>
    <t>6.9813333333333333333333333333 kg</t>
  </si>
  <si>
    <t>Seats &gt; Rear Seat &gt; Cushion &gt; Frame &gt; Automated Process</t>
  </si>
  <si>
    <t>00000003OSV4EU01 (AutoReverse)</t>
  </si>
  <si>
    <t>Seats &gt; Rear Seat &gt; Cushion &gt; Cover</t>
  </si>
  <si>
    <t>1.23500 kg</t>
  </si>
  <si>
    <t>1.235 kg</t>
  </si>
  <si>
    <t xml:space="preserve">Seats &gt; Rear Seat &gt; Cushion &gt; Cover &gt; Automated Process </t>
  </si>
  <si>
    <t>0.47000 kg</t>
  </si>
  <si>
    <t>0.6266666666666666666666666667 kg</t>
  </si>
  <si>
    <t>Seats &gt; Rear Seat &gt; Cushion &gt; Cover &gt; Cutting</t>
  </si>
  <si>
    <t>1.3333333333333333333333333333 kg</t>
  </si>
  <si>
    <t>Seats &gt; Rear Seat &gt; Cushion &gt; Cover &gt; Sewing</t>
  </si>
  <si>
    <t>00000009YFQ1EU01 (AutoReverse)</t>
  </si>
  <si>
    <t>Seats &gt; Rear Seat &gt; Cushion &gt; Pad</t>
  </si>
  <si>
    <t>3.03100 kg</t>
  </si>
  <si>
    <t>3.1905263157894736842105263158 kg</t>
  </si>
  <si>
    <t>Seats &gt; Rear Seat &gt; Cushion &gt; Pad &gt; Automated Process</t>
  </si>
  <si>
    <t>1.35800 kg</t>
  </si>
  <si>
    <t>1.3857142857142857142857142857 kg</t>
  </si>
  <si>
    <t>PUR;FERROUS METAL</t>
  </si>
  <si>
    <t>00000001NFNHEU01 (AutoReverse)</t>
  </si>
  <si>
    <t>00000004Y6T1EU01 (AutoReverse)</t>
  </si>
  <si>
    <t>Seats &gt; Rear Seat &gt; Isofix Cover</t>
  </si>
  <si>
    <t>Seats &gt; Rear Seat &gt; Isofix Cover &gt; Isofix Cover Support</t>
  </si>
  <si>
    <t>Seats &gt; Rear Seat &gt; Isofix Cover &gt; Isofix Cover Support &gt; Automated Process</t>
  </si>
  <si>
    <t>000000093185EU01 (AutoReverse)</t>
  </si>
  <si>
    <t>00000007UXNZEU01 (AutoReverse)</t>
  </si>
  <si>
    <t>Seats &gt; Rear Seat &gt; Top Tether Cover</t>
  </si>
  <si>
    <t>0.02450 kg</t>
  </si>
  <si>
    <t>0.0257894736842105263157894737 kg</t>
  </si>
  <si>
    <t>Seats &gt; Rear Seat &gt; Top Tether Cover &gt; Automated Process</t>
  </si>
  <si>
    <t>00000005PTH8EU01 (AutoReverse)</t>
  </si>
  <si>
    <t>Seats &gt; Rear Seat &gt; J.I.T. Assembly</t>
  </si>
  <si>
    <t>00000006WID8EU01 (AutoReverse)</t>
  </si>
  <si>
    <t>00000003VG2AEU01 (AutoReverse)</t>
  </si>
  <si>
    <t>Interior &gt; Instrument Panel</t>
  </si>
  <si>
    <t>Interior &gt; Instrument Panel &gt; Cross Car Beam</t>
  </si>
  <si>
    <t>Interior &gt; Instrument Panel &gt; Cross Car Beam &gt; IP Reinforcement</t>
  </si>
  <si>
    <t>8.08200 kg</t>
  </si>
  <si>
    <t>8.082 kg</t>
  </si>
  <si>
    <t>Interior &gt; Instrument Panel &gt; Cross Car Beam &gt; IP Reinforcement &gt; Automated Process</t>
  </si>
  <si>
    <t>{_x000d_
  "productId": "0000000W10KSCID0",_x000d_
  "productCompleteName": "KMC"_x000d_
}</t>
  </si>
  <si>
    <t>00000002I6LQEU01 (AutoReverse)</t>
  </si>
  <si>
    <t>Interior &gt; Instrument Panel &gt; Cross Car Beam &gt; Passenger Side</t>
  </si>
  <si>
    <t>0.69200 kg</t>
  </si>
  <si>
    <t>0.692 kg</t>
  </si>
  <si>
    <t>Interior &gt; Instrument Panel &gt; Cross Car Beam &gt; Passenger Side &gt; Automated Process</t>
  </si>
  <si>
    <t>00000006MTCKEU01 (AutoReverse)</t>
  </si>
  <si>
    <t>Interior &gt; Instrument Panel &gt; Cross Car Beam &gt; Central Reinforcement</t>
  </si>
  <si>
    <t>0.27600 kg</t>
  </si>
  <si>
    <t>0.2905263157894736842105263158 kg</t>
  </si>
  <si>
    <t>Interior &gt; Instrument Panel &gt; Cross Car Beam &gt; Central Reinforcement &gt; Automated Process</t>
  </si>
  <si>
    <t>A000000BO0JXEU02 (AutoReverse)</t>
  </si>
  <si>
    <t>Interior &gt; Instrument Panel &gt; Cross Car Beam &gt; Front Body Panel Support</t>
  </si>
  <si>
    <t>0.0768421052631578947368421053 kg</t>
  </si>
  <si>
    <t>Interior &gt; Instrument Panel &gt; Cross Car Beam &gt; Front Body Panel Support &gt; Automated Process</t>
  </si>
  <si>
    <t>00000008PVIAEU01 (AutoReverse)</t>
  </si>
  <si>
    <t>Interior &gt; Instrument Panel &gt; Cross Car Beam &gt; 2nd Front Body Panel Support</t>
  </si>
  <si>
    <t>0.16600 kg</t>
  </si>
  <si>
    <t>0.1747368421052631578947368421 kg</t>
  </si>
  <si>
    <t>Interior &gt; Instrument Panel &gt; Cross Car Beam &gt; 2nd Front Body Panel Support &gt; Automated Process</t>
  </si>
  <si>
    <t>00000007WRRQEU01 (AutoReverse)</t>
  </si>
  <si>
    <t>00000002YFQ4EU01 (AutoReverse)</t>
  </si>
  <si>
    <t>Interior &gt; Instrument Panel &gt; Dashboard Covers</t>
  </si>
  <si>
    <t>Interior &gt; Instrument Panel &gt; Dashboard Covers &gt; Driver Side Trim</t>
  </si>
  <si>
    <t>Interior &gt; Instrument Panel &gt; Dashboard Covers &gt; Driver Side Trim &gt; Upper Panel</t>
  </si>
  <si>
    <t>0.73800 kg</t>
  </si>
  <si>
    <t>0.7768421052631578947368421053 kg</t>
  </si>
  <si>
    <t>Interior &gt; Instrument Panel &gt; Dashboard Covers &gt; Driver Side Trim &gt; Upper Panel &gt; Automated Process</t>
  </si>
  <si>
    <t>00000004CMKHEU01 (AutoReverse)</t>
  </si>
  <si>
    <t>Interior &gt; Instrument Panel &gt; Dashboard Covers &gt; Driver Side Trim &gt; Cover Under Steering Column</t>
  </si>
  <si>
    <t>Interior &gt; Instrument Panel &gt; Dashboard Covers &gt; Driver Side Trim &gt; Cover Under Steering Column &gt; Automated Process</t>
  </si>
  <si>
    <t>0000000AEKGEEU01 (AutoReverse)</t>
  </si>
  <si>
    <t>Interior &gt; Instrument Panel &gt; Dashboard Covers &gt; Driver Side Trim &gt; Cover Under Steering Column Support</t>
  </si>
  <si>
    <t>0.23900 kg</t>
  </si>
  <si>
    <t>0.2515789473684210526315789474 kg</t>
  </si>
  <si>
    <t>Interior &gt; Instrument Panel &gt; Dashboard Covers &gt; Driver Side Trim &gt; Cover Under Steering Column Support &gt; Automated Process</t>
  </si>
  <si>
    <t>A0000007LJ38EU02 (AutoReverse)</t>
  </si>
  <si>
    <t>Interior &gt; Instrument Panel &gt; Dashboard Covers &gt; Driver Side Trim &gt; Foot Well Trim</t>
  </si>
  <si>
    <t>CO;WO;PET;EP</t>
  </si>
  <si>
    <t>Interior &gt; Instrument Panel &gt; Dashboard Covers &gt; Driver Side Trim &gt; Foot Well Trim &gt; Automated Process</t>
  </si>
  <si>
    <t>{_x000d_
  "productId": "A000000BZQKWEU02",_x000d_
  "productCompleteName": "Suroflex"_x000d_
}</t>
  </si>
  <si>
    <t>0000000AK6U1EU01 (AutoReverse)</t>
  </si>
  <si>
    <t>00000003U57YEU01 (AutoReverse)</t>
  </si>
  <si>
    <t>Interior &gt; Instrument Panel &gt; Dashboard Covers &gt; Passenger Side Trim</t>
  </si>
  <si>
    <t>Interior &gt; Instrument Panel &gt; Dashboard Covers &gt; Passenger Side Trim &gt; Lower Panel</t>
  </si>
  <si>
    <t>1.1715789473684210526315789474 kg</t>
  </si>
  <si>
    <t>Interior &gt; Instrument Panel &gt; Dashboard Covers &gt; Passenger Side Trim &gt; Lower Panel &gt; Automated Process</t>
  </si>
  <si>
    <t>00000003RKW0EU01 (AutoReverse)</t>
  </si>
  <si>
    <t>000000096DR1EU01 (AutoReverse)</t>
  </si>
  <si>
    <t>Interior &gt; Instrument Panel &gt; Dashboard Covers &gt; Central Trim</t>
  </si>
  <si>
    <t>Interior &gt; Instrument Panel &gt; Dashboard Covers &gt; Central Trim &gt; Lower Part</t>
  </si>
  <si>
    <t>0.58500 kg</t>
  </si>
  <si>
    <t>0.6157894736842105263157894737 kg</t>
  </si>
  <si>
    <t>Interior &gt; Instrument Panel &gt; Dashboard Covers &gt; Central Trim &gt; Lower Part &gt; Automated Process</t>
  </si>
  <si>
    <t>00000009713REU01 (AutoReverse)</t>
  </si>
  <si>
    <t>00000007IKAYEU01 (AutoReverse)</t>
  </si>
  <si>
    <t>Interior &gt; Instrument Panel &gt; Dashboard Covers &gt; Garnish Left Side</t>
  </si>
  <si>
    <t>0.11700 kg</t>
  </si>
  <si>
    <t>0.1231578947368421052631578947 kg</t>
  </si>
  <si>
    <t>Interior &gt; Instrument Panel &gt; Dashboard Covers &gt; Garnish Left Side &gt; Automated Process</t>
  </si>
  <si>
    <t>00000007J7ZEEU01 (AutoReverse)</t>
  </si>
  <si>
    <t>Interior &gt; Instrument Panel &gt; Dashboard Covers &gt; Garnish Right Side</t>
  </si>
  <si>
    <t>0.11800 kg</t>
  </si>
  <si>
    <t>0.1242105263157894736842105263 kg</t>
  </si>
  <si>
    <t>Interior &gt; Instrument Panel &gt; Dashboard Covers &gt; Garnish Right Side &gt; Automated Process</t>
  </si>
  <si>
    <t>0000000AY8A2EU01 (AutoReverse)</t>
  </si>
  <si>
    <t>Interior &gt; Instrument Panel &gt; Dashboard Covers &gt; Upper Skin Support</t>
  </si>
  <si>
    <t>0.3473684210526315789473684211 kg</t>
  </si>
  <si>
    <t>Interior &gt; Instrument Panel &gt; Dashboard Covers &gt; Upper Skin Support &gt; Automated Process</t>
  </si>
  <si>
    <t>00000002RQMSEU01 (AutoReverse)</t>
  </si>
  <si>
    <t>000000089T8JEU01 (AutoReverse)</t>
  </si>
  <si>
    <t>Interior &gt; Instrument Panel &gt; Bezels System</t>
  </si>
  <si>
    <t>Interior &gt; Instrument Panel &gt; Bezels System &gt; Bezels Driver Side</t>
  </si>
  <si>
    <t>Interior &gt; Instrument Panel &gt; Bezels System &gt; Bezels Driver Side &gt; Left Bezel</t>
  </si>
  <si>
    <t>Interior &gt; Instrument Panel &gt; Bezels System &gt; Bezels Driver Side &gt; Left Bezel &gt; Automated Process</t>
  </si>
  <si>
    <t>0.00790 kg</t>
  </si>
  <si>
    <t>0.0087777777777777777777777778 kg</t>
  </si>
  <si>
    <t>Interior &gt; Instrument Panel &gt; Bezels System &gt; Bezels Driver Side &gt; Left Bezel &gt; Chroming line - Small Parts</t>
  </si>
  <si>
    <t>Interior &gt; Instrument Panel &gt; Bezels System &gt; Bezels Driver Side &gt; Left Bezel &gt; Chroming line - Load and Unload parts to and from jig</t>
  </si>
  <si>
    <t>000000074CR1EU01 (AutoReverse)</t>
  </si>
  <si>
    <t>00000004FOD9EU01 (AutoReverse)</t>
  </si>
  <si>
    <t>Interior &gt; Instrument Panel &gt; Bezels System &gt; Bezels Passenger Side</t>
  </si>
  <si>
    <t>Interior &gt; Instrument Panel &gt; Bezels System &gt; Bezels Passenger Side &gt; Bezel</t>
  </si>
  <si>
    <t>0.20300 kg</t>
  </si>
  <si>
    <t>0.2136842105263157894736842105 kg</t>
  </si>
  <si>
    <t>Interior &gt; Instrument Panel &gt; Bezels System &gt; Bezels Passenger Side &gt; Bezel &gt; Automated Process</t>
  </si>
  <si>
    <t>0.00927 kg</t>
  </si>
  <si>
    <t>Interior &gt; Instrument Panel &gt; Bezels System &gt; Bezels Passenger Side &gt; Bezel &gt; Painting</t>
  </si>
  <si>
    <t>0.01090 kg</t>
  </si>
  <si>
    <t>0.0109 kg</t>
  </si>
  <si>
    <t>0.01390 kg</t>
  </si>
  <si>
    <t>0.0139 kg</t>
  </si>
  <si>
    <t>Paint Line</t>
  </si>
  <si>
    <t>0000000A8B9JEU01 (AutoReverse)</t>
  </si>
  <si>
    <t>00000009EKVMEU01 (AutoReverse)</t>
  </si>
  <si>
    <t>00000003QNSJEU01 (AutoReverse)</t>
  </si>
  <si>
    <t>Interior &gt; Instrument Panel &gt; Instrumentation</t>
  </si>
  <si>
    <t>Interior &gt; Instrument Panel &gt; Instrumentation &gt; Cluster system</t>
  </si>
  <si>
    <t>Interior &gt; Instrument Panel &gt; Instrumentation &gt; Cluster system &gt; Bezels System</t>
  </si>
  <si>
    <t>000000020ZFVEU01 (AutoReverse)</t>
  </si>
  <si>
    <t>00000000470REU01 (AutoReverse)</t>
  </si>
  <si>
    <t>Interior &gt; Instrument Panel &gt; Instrumentation &gt; Cluster system &gt; Cluster</t>
  </si>
  <si>
    <t>Interior &gt; Instrument Panel &gt; Instrumentation &gt; Cluster system &gt; Cluster &gt; Process</t>
  </si>
  <si>
    <t>PA12;PA6;PLASTIC UNKNOWN;ELECTRONIC COMPONENT</t>
  </si>
  <si>
    <t>00000007ZBITEU01 (AutoReverse)</t>
  </si>
  <si>
    <t>00000003KPMYEU01 (AutoReverse)</t>
  </si>
  <si>
    <t>Interior &gt; Instrument Panel &gt; Instrumentation &gt; Audio System</t>
  </si>
  <si>
    <t>Interior &gt; Instrument Panel &gt; Instrumentation &gt; Audio System &gt; Radio</t>
  </si>
  <si>
    <t>Interior &gt; Instrument Panel &gt; Instrumentation &gt; Audio System &gt; Radio &gt; Process</t>
  </si>
  <si>
    <t>FERROUS METAL;ELECTRONIC COMPONENT;PLASTIC UNKNOWN</t>
  </si>
  <si>
    <t>000000035ZBQEU01 (AutoReverse)</t>
  </si>
  <si>
    <t>0000000A2I0SEU01 (AutoReverse)</t>
  </si>
  <si>
    <t>000000007V6DEU01 (AutoReverse)</t>
  </si>
  <si>
    <t>Interior &gt; Instrument Panel &gt; Instrumentation &gt; LCD Screen System</t>
  </si>
  <si>
    <t>Interior &gt; Instrument Panel &gt; Instrumentation &gt; LCD Screen System &gt; Screen</t>
  </si>
  <si>
    <t>Interior &gt; Instrument Panel &gt; Instrumentation &gt; LCD Screen System &gt; Screen &gt; Process</t>
  </si>
  <si>
    <t>ELECTRONIC COMPONENT;AZ91D;FERROUS METAL;GLASS;PC-ABS</t>
  </si>
  <si>
    <t>00000002Z8TBEU01 (AutoReverse)</t>
  </si>
  <si>
    <t>Interior &gt; Instrument Panel &gt; Instrumentation &gt; LCD Screen System &gt; LCD Screen Bezel</t>
  </si>
  <si>
    <t>0.13600 kg</t>
  </si>
  <si>
    <t>0.1431578947368421052631578947 kg</t>
  </si>
  <si>
    <t>Interior &gt; Instrument Panel &gt; Instrumentation &gt; LCD Screen System &gt; LCD Screen Bezel &gt; Automated Process</t>
  </si>
  <si>
    <t>00000009LMSTEU01 (AutoReverse)</t>
  </si>
  <si>
    <t>Interior &gt; Instrument Panel &gt; Instrumentation &gt; LCD Screen System &gt; 2nd Trim</t>
  </si>
  <si>
    <t>0.02100 kg</t>
  </si>
  <si>
    <t>0.0221052631578947368421052632 kg</t>
  </si>
  <si>
    <t>Interior &gt; Instrument Panel &gt; Instrumentation &gt; LCD Screen System &gt; 2nd Trim &gt; Automated Process</t>
  </si>
  <si>
    <t>00000003AWV8EU01 (AutoReverse)</t>
  </si>
  <si>
    <t>00000009IC9HEU01 (AutoReverse)</t>
  </si>
  <si>
    <t>00000004WP88EU01 (AutoReverse)</t>
  </si>
  <si>
    <t>00000000HSPLEU01 (AutoReverse)</t>
  </si>
  <si>
    <t>Interior &gt; Instrument Panel &gt; Instrumentation &gt; Lighting System</t>
  </si>
  <si>
    <t>PC-SAN;PC;ELECTRONIC COMPONENT</t>
  </si>
  <si>
    <t>00000008Y63HEU01 (AutoReverse)</t>
  </si>
  <si>
    <t>0000000ACYEQEU01 (AutoReverse)</t>
  </si>
  <si>
    <t>Interior &gt; Instrument Panel &gt; Instrumentation &gt; Electronics Ignition System</t>
  </si>
  <si>
    <t>{_x000d_
  "productId": "0000000W0ZKYCID0",_x000d_
  "productCompleteName": "Bitron"_x000d_
}</t>
  </si>
  <si>
    <t>PC-ABS;ELECTRONIC COMPONENT;PLASTIC UNKNOWN</t>
  </si>
  <si>
    <t>000000027O0QEU01 (AutoReverse)</t>
  </si>
  <si>
    <t>00000004179REU01 (AutoReverse)</t>
  </si>
  <si>
    <t>0000000234IPEU01 (AutoReverse)</t>
  </si>
  <si>
    <t>Interior &gt; Instrument Panel &gt; Instrumentation &gt; Ambiance Light System</t>
  </si>
  <si>
    <t>{_x000d_
  "productId": "0000000W0ZP8CID0",_x000d_
  "productCompleteName": "Cemm Thome"_x000d_
}</t>
  </si>
  <si>
    <t>00000001LH5AEU01 (AutoReverse)</t>
  </si>
  <si>
    <t>00000007YEN1EU01 (AutoReverse)</t>
  </si>
  <si>
    <t>PC;PP</t>
  </si>
  <si>
    <t>00000000JKFWEU01 (AutoReverse)</t>
  </si>
  <si>
    <t>00000000LMD1EU01 (AutoReverse)</t>
  </si>
  <si>
    <t>00000004XUOOEU01 (AutoReverse)</t>
  </si>
  <si>
    <t>0000000767Z2EU01 (AutoReverse)</t>
  </si>
  <si>
    <t>00000002FBLWEU01 (AutoReverse)</t>
  </si>
  <si>
    <t>PP;PC</t>
  </si>
  <si>
    <t>00000001YTPJEU01 (AutoReverse)</t>
  </si>
  <si>
    <t>00000009OO5YEU01 (AutoReverse)</t>
  </si>
  <si>
    <t>Interior &gt; Instrument Panel &gt; Instrumentation &gt; Driver Communication Light Bar System</t>
  </si>
  <si>
    <t>Interior &gt; Instrument Panel &gt; Instrumentation &gt; Driver Communication Light Bar System &gt; Center Light</t>
  </si>
  <si>
    <t>Interior &gt; Instrument Panel &gt; Instrumentation &gt; Driver Communication Light Bar System &gt; Center Light &gt; Process</t>
  </si>
  <si>
    <t>ELECTRONIC COMPONENT;PLASTIC UNKNOWN;NON FERROUS METAL</t>
  </si>
  <si>
    <t>A000000GQQJ9EU02 (AutoReverse)</t>
  </si>
  <si>
    <t>Interior &gt; Instrument Panel &gt; Instrumentation &gt; Driver Communication Light Bar System &gt; Left Light</t>
  </si>
  <si>
    <t>Interior &gt; Instrument Panel &gt; Instrumentation &gt; Driver Communication Light Bar System &gt; Left Light &gt; Process</t>
  </si>
  <si>
    <t>A000000GQQJAEU02 (AutoReverse)</t>
  </si>
  <si>
    <t>Interior &gt; Instrument Panel &gt; Instrumentation &gt; Driver Communication Light Bar System &gt; Right Light</t>
  </si>
  <si>
    <t>Interior &gt; Instrument Panel &gt; Instrumentation &gt; Driver Communication Light Bar System &gt; Right Light &gt; Process</t>
  </si>
  <si>
    <t>ELECTRONIC COMPONENT</t>
  </si>
  <si>
    <t>A000000GQQJFEU02 (AutoReverse)</t>
  </si>
  <si>
    <t>{_x000d_
  "productId": "0000000W0ZWMCID0",_x000d_
  "productCompleteName": "Dräxlmaier"_x000d_
}</t>
  </si>
  <si>
    <t>PC</t>
  </si>
  <si>
    <t>A000000GQQJGEU02 (AutoReverse)</t>
  </si>
  <si>
    <t>A000000GQQJBEU02 (AutoReverse)</t>
  </si>
  <si>
    <t>PC-ABS;PC</t>
  </si>
  <si>
    <t>A000000GQQJCEU02 (AutoReverse)</t>
  </si>
  <si>
    <t>A000000GQQJEEU02 (AutoReverse)</t>
  </si>
  <si>
    <t>{_x000d_
  "productId": "000000AJIIX2EU02",_x000d_
  "productCompleteName": "BCS Automotive Interface Solutions"_x000d_
}</t>
  </si>
  <si>
    <t>ELECTRONIC COMPONENT;PC-ABS;PC;NON FERROUS METAL</t>
  </si>
  <si>
    <t>000000083483EU01 (AutoReverse)</t>
  </si>
  <si>
    <t>00000000ZH55EU01 (AutoReverse)</t>
  </si>
  <si>
    <t>Interior &gt; Instrument Panel &gt; Storage Compartments</t>
  </si>
  <si>
    <t>Interior &gt; Instrument Panel &gt; Storage Compartments &gt; Glove Box System</t>
  </si>
  <si>
    <t>Interior &gt; Instrument Panel &gt; Storage Compartments &gt; Glove Box System &gt; Opening System</t>
  </si>
  <si>
    <t>Interior &gt; Instrument Panel &gt; Storage Compartments &gt; Glove Box System &gt; Opening System &gt; Control</t>
  </si>
  <si>
    <t>0.0147368421052631578947368421 kg</t>
  </si>
  <si>
    <t>Interior &gt; Instrument Panel &gt; Storage Compartments &gt; Glove Box System &gt; Opening System &gt; Control &gt; Automated Process</t>
  </si>
  <si>
    <t>00000004W2UAEU01 (AutoReverse)</t>
  </si>
  <si>
    <t>Interior &gt; Instrument Panel &gt; Storage Compartments &gt; Glove Box System &gt; Opening System &gt; Control Support</t>
  </si>
  <si>
    <t>0.00900 kg</t>
  </si>
  <si>
    <t>0.0094736842105263157894736842 kg</t>
  </si>
  <si>
    <t>Interior &gt; Instrument Panel &gt; Storage Compartments &gt; Glove Box System &gt; Opening System &gt; Control Support &gt; Automated Process</t>
  </si>
  <si>
    <t>000000067EY0EU01 (AutoReverse)</t>
  </si>
  <si>
    <t>Interior &gt; Instrument Panel &gt; Storage Compartments &gt; Glove Box System &gt; Opening System &gt; Latch Anchor</t>
  </si>
  <si>
    <t>Interior &gt; Instrument Panel &gt; Storage Compartments &gt; Glove Box System &gt; Opening System &gt; Latch Anchor &gt; Automated Process</t>
  </si>
  <si>
    <t>000000038WIHEU01 (AutoReverse)</t>
  </si>
  <si>
    <t>Interior &gt; Instrument Panel &gt; Storage Compartments &gt; Glove Box System &gt; Opening System &gt; 2nd Anchor Right</t>
  </si>
  <si>
    <t>Interior &gt; Instrument Panel &gt; Storage Compartments &gt; Glove Box System &gt; Opening System &gt; 2nd Anchor Right &gt; Automated Process</t>
  </si>
  <si>
    <t>00000009FYA2EU01 (AutoReverse)</t>
  </si>
  <si>
    <t>Interior &gt; Instrument Panel &gt; Storage Compartments &gt; Glove Box System &gt; Opening System &gt; Retarder Strut</t>
  </si>
  <si>
    <t>Interior &gt; Instrument Panel &gt; Storage Compartments &gt; Glove Box System &gt; Opening System &gt; Retarder Strut &gt; Automated Process</t>
  </si>
  <si>
    <t>PA66;PBT</t>
  </si>
  <si>
    <t>00000004VH5AEU01 (AutoReverse)</t>
  </si>
  <si>
    <t>Interior &gt; Instrument Panel &gt; Storage Compartments &gt; Glove Box System &gt; Opening System &gt; Mechanism</t>
  </si>
  <si>
    <t>Interior &gt; Instrument Panel &gt; Storage Compartments &gt; Glove Box System &gt; Opening System &gt; Mechanism &gt; Automated Process</t>
  </si>
  <si>
    <t>00000002HNEDEU01 (AutoReverse)</t>
  </si>
  <si>
    <t>Interior &gt; Instrument Panel &gt; Storage Compartments &gt; Glove Box System &gt; Opening System &gt; Mechanism support</t>
  </si>
  <si>
    <t>0.00600 kg</t>
  </si>
  <si>
    <t>0.0063157894736842105263157895 kg</t>
  </si>
  <si>
    <t>Interior &gt; Instrument Panel &gt; Storage Compartments &gt; Glove Box System &gt; Opening System &gt; Mechanism support &gt; Automated Process</t>
  </si>
  <si>
    <t>0000000569GQEU01 (AutoReverse)</t>
  </si>
  <si>
    <t>Interior &gt; Instrument Panel &gt; Storage Compartments &gt; Glove Box System &gt; Opening System &gt; Closing Stopper</t>
  </si>
  <si>
    <t>0.00050 kg</t>
  </si>
  <si>
    <t>0.0005263157894736842105263158 kg</t>
  </si>
  <si>
    <t>Interior &gt; Instrument Panel &gt; Storage Compartments &gt; Glove Box System &gt; Opening System &gt; Closing Stopper &gt; Automated Process</t>
  </si>
  <si>
    <t>ELASTOMER UNKNOWN</t>
  </si>
  <si>
    <t>00000002DR8AEU01 (AutoReverse)</t>
  </si>
  <si>
    <t>Interior &gt; Instrument Panel &gt; Storage Compartments &gt; Glove Box System &gt; Opening System &gt; Closing Stopper 2</t>
  </si>
  <si>
    <t>Interior &gt; Instrument Panel &gt; Storage Compartments &gt; Glove Box System &gt; Opening System &gt; Closing Stopper 2 &gt; Automated Process</t>
  </si>
  <si>
    <t>0000000AGGNDEU01 (AutoReverse)</t>
  </si>
  <si>
    <t>Interior &gt; Instrument Panel &gt; Storage Compartments &gt; Glove Box System &gt; Opening System &gt; Opening Stopper</t>
  </si>
  <si>
    <t>Interior &gt; Instrument Panel &gt; Storage Compartments &gt; Glove Box System &gt; Opening System &gt; Opening Stopper &gt; Automated Process</t>
  </si>
  <si>
    <t>00000006E6T1EU01 (AutoReverse)</t>
  </si>
  <si>
    <t>00000008EH3UEU01 (AutoReverse)</t>
  </si>
  <si>
    <t>Interior &gt; Instrument Panel &gt; Storage Compartments &gt; Glove Box System &gt; Box</t>
  </si>
  <si>
    <t>0.8526315789473684210526315789 kg</t>
  </si>
  <si>
    <t>Interior &gt; Instrument Panel &gt; Storage Compartments &gt; Glove Box System &gt; Box &gt; Automated Process</t>
  </si>
  <si>
    <t>00000006RK1LEU01 (AutoReverse)</t>
  </si>
  <si>
    <t>Interior &gt; Instrument Panel &gt; Storage Compartments &gt; Glove Box System &gt; Cover</t>
  </si>
  <si>
    <t>0.41900 kg</t>
  </si>
  <si>
    <t>0.4410526315789473684210526316 kg</t>
  </si>
  <si>
    <t>Interior &gt; Instrument Panel &gt; Storage Compartments &gt; Glove Box System &gt; Cover &gt; Automated Process</t>
  </si>
  <si>
    <t>000000010KQMEU01 (AutoReverse)</t>
  </si>
  <si>
    <t>Interior &gt; Instrument Panel &gt; Storage Compartments &gt; Glove Box System &gt; Glovebox Support</t>
  </si>
  <si>
    <t>0.77200 kg</t>
  </si>
  <si>
    <t>0.8126315789473684210526315789 kg</t>
  </si>
  <si>
    <t>Interior &gt; Instrument Panel &gt; Storage Compartments &gt; Glove Box System &gt; Glovebox Support &gt; Automated Process</t>
  </si>
  <si>
    <t>00000002Z7H9EU01 (AutoReverse)</t>
  </si>
  <si>
    <t>Interior &gt; Instrument Panel &gt; Storage Compartments &gt; Glove Box System &gt; 2nd Glovebox Support</t>
  </si>
  <si>
    <t>0.44900 kg</t>
  </si>
  <si>
    <t>0.4726315789473684210526315789 kg</t>
  </si>
  <si>
    <t>Interior &gt; Instrument Panel &gt; Storage Compartments &gt; Glove Box System &gt; 2nd Glovebox Support &gt; Automated Process</t>
  </si>
  <si>
    <t>00000007VPAOEU01 (AutoReverse)</t>
  </si>
  <si>
    <t>Interior &gt; Instrument Panel &gt; Storage Compartments &gt; Glove Box System &gt; Sound Insulation</t>
  </si>
  <si>
    <t>0.01900 kg</t>
  </si>
  <si>
    <t>0.02 kg</t>
  </si>
  <si>
    <t>Interior &gt; Instrument Panel &gt; Storage Compartments &gt; Glove Box System &gt; Sound Insulation &gt; Automated Process</t>
  </si>
  <si>
    <t>00000006UATREU01 (AutoReverse)</t>
  </si>
  <si>
    <t>Interior &gt; Instrument Panel &gt; Storage Compartments &gt; Glove Box System &gt; Horizontal Panel</t>
  </si>
  <si>
    <t>0.38300 kg</t>
  </si>
  <si>
    <t>0.4031578947368421052631578947 kg</t>
  </si>
  <si>
    <t>Interior &gt; Instrument Panel &gt; Storage Compartments &gt; Glove Box System &gt; Horizontal Panel &gt; Automated Process</t>
  </si>
  <si>
    <t>00000002H26TEU01 (AutoReverse)</t>
  </si>
  <si>
    <t>00000004I1VQEU01 (AutoReverse)</t>
  </si>
  <si>
    <t>00000007Z864EU01 (AutoReverse)</t>
  </si>
  <si>
    <t>Interior &gt; Instrument Panel &gt; Air Vent</t>
  </si>
  <si>
    <t>Interior &gt; Instrument Panel &gt; Air Vent &gt; Center Air Vent</t>
  </si>
  <si>
    <t>Interior &gt; Instrument Panel &gt; Air Vent &gt; Center Air Vent &gt; Air Vent Middle Single</t>
  </si>
  <si>
    <t>Interior &gt; Instrument Panel &gt; Air Vent &gt; Center Air Vent &gt; Air Vent Middle Single &gt; Automated Process [2]</t>
  </si>
  <si>
    <t>00000003X1L7EU01 (AutoReverse)</t>
  </si>
  <si>
    <t>Interior &gt; Instrument Panel &gt; Air Vent &gt; Center Air Vent &gt; Center Bezel</t>
  </si>
  <si>
    <t>Interior &gt; Instrument Panel &gt; Air Vent &gt; Center Air Vent &gt; Center Bezel &gt; Automated Process</t>
  </si>
  <si>
    <t>00000002GZI5EU01 (AutoReverse)</t>
  </si>
  <si>
    <t>000000076LMFEU01 (AutoReverse)</t>
  </si>
  <si>
    <t>Interior &gt; Instrument Panel &gt; Air Vent &gt; Right Air Vent</t>
  </si>
  <si>
    <t>Interior &gt; Instrument Panel &gt; Air Vent &gt; Right Air Vent &gt; Air Vent</t>
  </si>
  <si>
    <t>Interior &gt; Instrument Panel &gt; Air Vent &gt; Right Air Vent &gt; Air Vent &gt; Automated Process [2]</t>
  </si>
  <si>
    <t>PC-ABS;PLASTIC UNKNOWN</t>
  </si>
  <si>
    <t>00000009G2OQEU01 (AutoReverse)</t>
  </si>
  <si>
    <t>Interior &gt; Instrument Panel &gt; Air Vent &gt; Right Air Vent &gt; Bezel</t>
  </si>
  <si>
    <t>Interior &gt; Instrument Panel &gt; Air Vent &gt; Right Air Vent &gt; Bezel &gt; Automated Process</t>
  </si>
  <si>
    <t>00000000RD87EU01 (AutoReverse)</t>
  </si>
  <si>
    <t>00000005XNY8EU01 (AutoReverse)</t>
  </si>
  <si>
    <t>Interior &gt; Instrument Panel &gt; Air Vent &gt; Left Air Vent</t>
  </si>
  <si>
    <t>Interior &gt; Instrument Panel &gt; Air Vent &gt; Left Air Vent &gt; Air Vent</t>
  </si>
  <si>
    <t>Interior &gt; Instrument Panel &gt; Air Vent &gt; Left Air Vent &gt; Air Vent &gt; Automated Process [2]</t>
  </si>
  <si>
    <t>00000001HTR7EU01 (AutoReverse)</t>
  </si>
  <si>
    <t>Interior &gt; Instrument Panel &gt; Air Vent &gt; Left Air Vent &gt; Bezel</t>
  </si>
  <si>
    <t>Interior &gt; Instrument Panel &gt; Air Vent &gt; Left Air Vent &gt; Bezel &gt; Automated Process</t>
  </si>
  <si>
    <t>0.00146 kg</t>
  </si>
  <si>
    <t>Interior &gt; Instrument Panel &gt; Air Vent &gt; Left Air Vent &gt; Bezel &gt; Painting</t>
  </si>
  <si>
    <t>0.00116 kg</t>
  </si>
  <si>
    <t>0.00097 kg</t>
  </si>
  <si>
    <t>00000006GBKNEU01 (AutoReverse)</t>
  </si>
  <si>
    <t>00000000OXCIEU01 (AutoReverse)</t>
  </si>
  <si>
    <t>00000006JR7XEU01 (AutoReverse)</t>
  </si>
  <si>
    <t>Interior &gt; Instrument Panel &gt; Speakers System</t>
  </si>
  <si>
    <t>Interior &gt; Instrument Panel &gt; Speakers System &gt; Speaker Grille</t>
  </si>
  <si>
    <t>00000003DG09EU01 (AutoReverse)</t>
  </si>
  <si>
    <t>000000067MSDEU01 (AutoReverse)</t>
  </si>
  <si>
    <t>{_x000d_
  "productId": "000000AOONSGEU02",_x000d_
  "productCompleteName": "HanoSonic"_x000d_
}</t>
  </si>
  <si>
    <t>FERROUS METAL;ELECTRONIC COMPONENT;PC;PLASTIC UNKNOWN;MAGNET</t>
  </si>
  <si>
    <t>0000000ADN0UEU01 (AutoReverse)</t>
  </si>
  <si>
    <t>00000000R061EU01 (AutoReverse)</t>
  </si>
  <si>
    <t>Interior &gt; Instrument Panel &gt; Fuse Box Trap</t>
  </si>
  <si>
    <t>Interior &gt; Instrument Panel &gt; Fuse Box Trap &gt; Driver Side</t>
  </si>
  <si>
    <t>Interior &gt; Instrument Panel &gt; Fuse Box Trap &gt; Driver Side &gt; Automated Process</t>
  </si>
  <si>
    <t>0000000ACL6NEU01 (AutoReverse)</t>
  </si>
  <si>
    <t>Interior &gt; Instrument Panel &gt; Fuse Box Trap &gt; Fuse Box Trap Support</t>
  </si>
  <si>
    <t>0.06400 kg</t>
  </si>
  <si>
    <t>0.0673684210526315789473684211 kg</t>
  </si>
  <si>
    <t>Interior &gt; Instrument Panel &gt; Fuse Box Trap &gt; Fuse Box Trap Support &gt; Automated Process</t>
  </si>
  <si>
    <t>000000036JH1EU01 (AutoReverse)</t>
  </si>
  <si>
    <t>00000004VTDHEU01 (AutoReverse)</t>
  </si>
  <si>
    <t>Interior &gt; Instrument Panel &gt; Lighting System Under Dashboard</t>
  </si>
  <si>
    <t>00000009BYITEU01 (AutoReverse)</t>
  </si>
  <si>
    <t>00000000E83VEU01 (AutoReverse)</t>
  </si>
  <si>
    <t>Interior &gt; Instrument Panel &gt; Dashboard</t>
  </si>
  <si>
    <t>0.65000 kg</t>
  </si>
  <si>
    <t>0.7647058823529411764705882353 kg</t>
  </si>
  <si>
    <t>Interior &gt; Instrument Panel &gt; Dashboard &gt; Automated Process</t>
  </si>
  <si>
    <t>7.38900 kg</t>
  </si>
  <si>
    <t>7.7778947368421052631578947368 kg</t>
  </si>
  <si>
    <t>PVC;PLASTIC UNKNOWN</t>
  </si>
  <si>
    <t>0000000119CBEU01 (AutoReverse)</t>
  </si>
  <si>
    <t>Interior &gt; Instrument Panel &gt; IP System Guide</t>
  </si>
  <si>
    <t>0.00633 kg</t>
  </si>
  <si>
    <t>0.0066631578947368421052631579 kg</t>
  </si>
  <si>
    <t>Interior &gt; Instrument Panel &gt; IP System Guide &gt; Automated Process</t>
  </si>
  <si>
    <t>EPDM</t>
  </si>
  <si>
    <t>000000013XZGEU01 (AutoReverse)</t>
  </si>
  <si>
    <t>Interior &gt; Instrument Panel &gt; Diagnostic Plug Support</t>
  </si>
  <si>
    <t>Interior &gt; Instrument Panel &gt; Diagnostic Plug Support &gt; Automated Process</t>
  </si>
  <si>
    <t>00000000YE7CEU01 (AutoReverse)</t>
  </si>
  <si>
    <t>000000024I2BEU01 (AutoReverse)</t>
  </si>
  <si>
    <t>Interior &gt; Noise Insulation</t>
  </si>
  <si>
    <t>Interior &gt; Noise Insulation &gt; Interior Floor Insulation System</t>
  </si>
  <si>
    <t>Interior &gt; Noise Insulation &gt; Interior Floor Insulation System &gt; Center Console</t>
  </si>
  <si>
    <t>Interior &gt; Noise Insulation &gt; Interior Floor Insulation System &gt; Center Console &gt; Handling/Visual inspection/packaging</t>
  </si>
  <si>
    <t>Waterjet Cutting</t>
  </si>
  <si>
    <t>Interior &gt; Noise Insulation &gt; Interior Floor Insulation System &gt; Center Console &gt; Water jet cutting machine</t>
  </si>
  <si>
    <t>0.03400 kg</t>
  </si>
  <si>
    <t>0.0346938775510204081632653061 kg</t>
  </si>
  <si>
    <t>Interior &gt; Noise Insulation &gt; Interior Floor Insulation System &gt; Center Console &gt; Foaming</t>
  </si>
  <si>
    <t xml:space="preserve">Thermocompression press </t>
  </si>
  <si>
    <t>Interior &gt; Noise Insulation &gt; Interior Floor Insulation System &gt; Center Console &gt; Thermocompression</t>
  </si>
  <si>
    <t>0.03564 kg</t>
  </si>
  <si>
    <t>0.0410268216875791412455393116 kg</t>
  </si>
  <si>
    <t>Interior &gt; Noise Insulation &gt; Interior Floor Insulation System &gt; Center Console &gt; Die cutting</t>
  </si>
  <si>
    <t>Machine for die cut of NVH</t>
  </si>
  <si>
    <t>PUR;EPDM</t>
  </si>
  <si>
    <t>0000000962FXEU01 (AutoReverse)</t>
  </si>
  <si>
    <t>Interior &gt; Noise Insulation &gt; Interior Floor Insulation System &gt; Rear Insulation</t>
  </si>
  <si>
    <t>0.022 kg</t>
  </si>
  <si>
    <t>Interior &gt; Noise Insulation &gt; Interior Floor Insulation System &gt; Rear Insulation &gt; Automated Process</t>
  </si>
  <si>
    <t>00000007N7WYEU01 (AutoReverse)</t>
  </si>
  <si>
    <t>Interior &gt; Noise Insulation &gt; Interior Floor Insulation System &gt; Rear Seat Carpet Insulation</t>
  </si>
  <si>
    <t>0.21600 kg</t>
  </si>
  <si>
    <t>Interior &gt; Noise Insulation &gt; Interior Floor Insulation System &gt; Rear Seat Carpet Insulation &gt; Die cutting</t>
  </si>
  <si>
    <t>00000000RRZDEU01 (AutoReverse)</t>
  </si>
  <si>
    <t>Interior &gt; Noise Insulation &gt; Interior Floor Insulation System &gt; 2nd Cushion Insulation</t>
  </si>
  <si>
    <t>0.70700 kg</t>
  </si>
  <si>
    <t>0.7855555555555555555555555556 kg</t>
  </si>
  <si>
    <t>Interior &gt; Noise Insulation &gt; Interior Floor Insulation System &gt; 2nd Cushion Insulation &gt; Die Cutting &amp; Sealing</t>
  </si>
  <si>
    <t>heat press cutting machine</t>
  </si>
  <si>
    <t>00000003LIB6EU01 (AutoReverse)</t>
  </si>
  <si>
    <t>00000004HD5OEU01 (AutoReverse)</t>
  </si>
  <si>
    <t>Interior &gt; Noise Insulation &gt; Trunk Area Sound Insulation System</t>
  </si>
  <si>
    <t>Interior &gt; Noise Insulation &gt; Trunk Area Sound Insulation System &gt; On Left Wheel Arch</t>
  </si>
  <si>
    <t>0.2333333333333333333333333333 kg</t>
  </si>
  <si>
    <t>Interior &gt; Noise Insulation &gt; Trunk Area Sound Insulation System &gt; On Left Wheel Arch &gt; Die cutting</t>
  </si>
  <si>
    <t>00000008N8CLEU01 (AutoReverse)</t>
  </si>
  <si>
    <t>Interior &gt; Noise Insulation &gt; Trunk Area Sound Insulation System &gt; On Right Wheel Arch</t>
  </si>
  <si>
    <t>0.08300 kg</t>
  </si>
  <si>
    <t>0.0922222222222222222222222222 kg</t>
  </si>
  <si>
    <t>Interior &gt; Noise Insulation &gt; Trunk Area Sound Insulation System &gt; On Right Wheel Arch &gt; Die cutting</t>
  </si>
  <si>
    <t>00000000LWGOEU01 (AutoReverse)</t>
  </si>
  <si>
    <t>Interior &gt; Noise Insulation &gt; Trunk Area Sound Insulation System &gt; 2nd on Right Fender</t>
  </si>
  <si>
    <t>0.05600 kg</t>
  </si>
  <si>
    <t>0.0622222222222222222222222222 kg</t>
  </si>
  <si>
    <t>Interior &gt; Noise Insulation &gt; Trunk Area Sound Insulation System &gt; 2nd on Right Fender &gt; Die cutting</t>
  </si>
  <si>
    <t>000000037CRZEU01 (AutoReverse)</t>
  </si>
  <si>
    <t>Interior &gt; Noise Insulation &gt; Trunk Area Sound Insulation System &gt; Left and Right Insulation Same Block</t>
  </si>
  <si>
    <t>0.0155555555555555555555555556 kg</t>
  </si>
  <si>
    <t>Interior &gt; Noise Insulation &gt; Trunk Area Sound Insulation System &gt; Left and Right Insulation Same Block &gt; Die cutting</t>
  </si>
  <si>
    <t>{_x000d_
  "productId": "0000000W11XKCID0",_x000d_
  "productCompleteName": "ZIEGLER"_x000d_
}</t>
  </si>
  <si>
    <t>00000003KPQJEU01 (AutoReverse)</t>
  </si>
  <si>
    <t>00000009VSGSEU01 (AutoReverse)</t>
  </si>
  <si>
    <t>Interior &gt; Noise Insulation &gt; Sound Insulation on Inner Panels</t>
  </si>
  <si>
    <t>Interior &gt; Noise Insulation &gt; Sound Insulation on Inner Panels &gt; On A pillar Upper Panel</t>
  </si>
  <si>
    <t>0.0466666666666666666666666667 kg</t>
  </si>
  <si>
    <t>Interior &gt; Noise Insulation &gt; Sound Insulation on Inner Panels &gt; On A pillar Upper Panel &gt; Die cutting</t>
  </si>
  <si>
    <t>00000009FNWDEU01 (AutoReverse)</t>
  </si>
  <si>
    <t>Interior &gt; Noise Insulation &gt; Sound Insulation on Inner Panels &gt; On A Pillar Lower Panel</t>
  </si>
  <si>
    <t>0.0566666666666666666666666667 kg</t>
  </si>
  <si>
    <t>Interior &gt; Noise Insulation &gt; Sound Insulation on Inner Panels &gt; On A Pillar Lower Panel &gt; Die cutting</t>
  </si>
  <si>
    <t>00000007I13BEU01 (AutoReverse)</t>
  </si>
  <si>
    <t>Interior &gt; Noise Insulation &gt; Sound Insulation on Inner Panels &gt; On A Pillar Lower Panel Right if Different</t>
  </si>
  <si>
    <t>0.0644444444444444444444444444 kg</t>
  </si>
  <si>
    <t>Interior &gt; Noise Insulation &gt; Sound Insulation on Inner Panels &gt; On A Pillar Lower Panel Right if Different &gt; Die cutting</t>
  </si>
  <si>
    <t>00000001PNMEEU01 (AutoReverse)</t>
  </si>
  <si>
    <t>Interior &gt; Noise Insulation &gt; Sound Insulation on Inner Panels &gt; On B Pillar Lower Panel</t>
  </si>
  <si>
    <t>Interior &gt; Noise Insulation &gt; Sound Insulation on Inner Panels &gt; On B Pillar Lower Panel &gt; Die cutting</t>
  </si>
  <si>
    <t>000000069BMOEU01 (AutoReverse)</t>
  </si>
  <si>
    <t>Interior &gt; Noise Insulation &gt; Sound Insulation on Inner Panels &gt; On Lower C Pillar Panel</t>
  </si>
  <si>
    <t>0.20100 kg</t>
  </si>
  <si>
    <t>0.2233333333333333333333333333 kg</t>
  </si>
  <si>
    <t>Interior &gt; Noise Insulation &gt; Sound Insulation on Inner Panels &gt; On Lower C Pillar Panel &gt; Die cutting</t>
  </si>
  <si>
    <t>0000000AQQ3VEU01 (AutoReverse)</t>
  </si>
  <si>
    <t>Interior &gt; Noise Insulation &gt; Sound Insulation on Inner Panels &gt; Insulation on Rear Quarter Glass Panel</t>
  </si>
  <si>
    <t>0.04280 kg</t>
  </si>
  <si>
    <t>0.0475555555555555555555555556 kg</t>
  </si>
  <si>
    <t>Interior &gt; Noise Insulation &gt; Sound Insulation on Inner Panels &gt; Insulation on Rear Quarter Glass Panel &gt; Die cutting</t>
  </si>
  <si>
    <t>00000009KXRSEU01 (AutoReverse)</t>
  </si>
  <si>
    <t>Interior &gt; Noise Insulation &gt; Sound Insulation on Inner Panels &gt; 2nd Insulation on Rear Quarter Glass Panel</t>
  </si>
  <si>
    <t>0.01290 kg</t>
  </si>
  <si>
    <t>0.0143333333333333333333333333 kg</t>
  </si>
  <si>
    <t>Interior &gt; Noise Insulation &gt; Sound Insulation on Inner Panels &gt; 2nd Insulation on Rear Quarter Glass Panel &gt; Die cutting</t>
  </si>
  <si>
    <t>00000006F1ONEU01 (AutoReverse)</t>
  </si>
  <si>
    <t>Interior &gt; Noise Insulation &gt; Sound Insulation on Inner Panels &gt; 3rd Insulation on Rear Quarter Glass Panel</t>
  </si>
  <si>
    <t>Interior &gt; Noise Insulation &gt; Sound Insulation on Inner Panels &gt; 3rd Insulation on Rear Quarter Glass Panel &gt; Die cutting</t>
  </si>
  <si>
    <t>0000000EWILNCID0 (AutoReverse)</t>
  </si>
  <si>
    <t>Interior &gt; Noise Insulation &gt; Sound Insulation on Inner Panels &gt; On Side Upper Trunk Panel</t>
  </si>
  <si>
    <t>0.0244444444444444444444444444 kg</t>
  </si>
  <si>
    <t>Interior &gt; Noise Insulation &gt; Sound Insulation on Inner Panels &gt; On Side Upper Trunk Panel &gt; Die cutting</t>
  </si>
  <si>
    <t>000000ATAB8XEU02 (AutoReverse)</t>
  </si>
  <si>
    <t>Interior &gt; Noise Insulation &gt; Sound Insulation on Inner Panels &gt; On Side Lower Trunk Panel Insulation</t>
  </si>
  <si>
    <t>0.32000 kg</t>
  </si>
  <si>
    <t>0.3555555555555555555555555556 kg</t>
  </si>
  <si>
    <t>Interior &gt; Noise Insulation &gt; Sound Insulation on Inner Panels &gt; On Side Lower Trunk Panel Insulation &gt; Die cutting</t>
  </si>
  <si>
    <t>00000009MGLREU01 (AutoReverse)</t>
  </si>
  <si>
    <t>Interior &gt; Noise Insulation &gt; Sound Insulation on Inner Panels &gt; 2nd on Side Lower Trunk Panel Insulation</t>
  </si>
  <si>
    <t>Interior &gt; Noise Insulation &gt; Sound Insulation on Inner Panels &gt; 2nd on Side Lower Trunk Panel Insulation &gt; Die cutting</t>
  </si>
  <si>
    <t>00000001D11WEU01 (AutoReverse)</t>
  </si>
  <si>
    <t>000000019WJOEU01 (AutoReverse)</t>
  </si>
  <si>
    <t>Interior &gt; Noise Insulation &gt; Instrument Panel Insulation System</t>
  </si>
  <si>
    <t>Interior &gt; Noise Insulation &gt; Instrument Panel Insulation System &gt; Passenger Side</t>
  </si>
  <si>
    <t>Interior &gt; Noise Insulation &gt; Instrument Panel Insulation System &gt; Passenger Side &gt; Lower On Dashboard Body</t>
  </si>
  <si>
    <t>0.03 kg</t>
  </si>
  <si>
    <t>Interior &gt; Noise Insulation &gt; Instrument Panel Insulation System &gt; Passenger Side &gt; Lower On Dashboard Body &gt; Die Cutting &amp; Sealing</t>
  </si>
  <si>
    <t>00000004IP99EU01 (AutoReverse)</t>
  </si>
  <si>
    <t>00000007CLHVEU01 (AutoReverse)</t>
  </si>
  <si>
    <t>Interior &gt; Noise Insulation &gt; Instrument Panel Insulation System &gt; Center Side Identical</t>
  </si>
  <si>
    <t>Interior &gt; Noise Insulation &gt; Instrument Panel Insulation System &gt; Center Side Identical &gt; Die Cutting &amp; Sealing</t>
  </si>
  <si>
    <t>00000009XWWGEU01 (AutoReverse)</t>
  </si>
  <si>
    <t>000000090ETPEU01 (AutoReverse)</t>
  </si>
  <si>
    <t>Interior &gt; Noise Insulation &gt; Sound Insulation Engine Side Single Main</t>
  </si>
  <si>
    <t>Interior &gt; Noise Insulation &gt; Sound Insulation Engine Side Single Main &gt; Handling/Visual inspection/packaging</t>
  </si>
  <si>
    <t>Interior &gt; Noise Insulation &gt; Sound Insulation Engine Side Single Main &gt; Water jet cutting machine</t>
  </si>
  <si>
    <t>Interior &gt; Noise Insulation &gt; Sound Insulation Engine Side Single Main &gt; Thermocompression</t>
  </si>
  <si>
    <t>0.99700 kg</t>
  </si>
  <si>
    <t>1.1476919534937262576263382065 kg</t>
  </si>
  <si>
    <t>Interior &gt; Noise Insulation &gt; Sound Insulation Engine Side Single Main &gt; Die cutting</t>
  </si>
  <si>
    <t>{_x000d_
  "productId": "000000ABJRENEU02",_x000d_
  "productCompleteName": "HP Pelzer / Adler Pelzer Group"_x000d_
}</t>
  </si>
  <si>
    <t>PET;CV;PUR</t>
  </si>
  <si>
    <t>00000002KZ4BEU01 (AutoReverse)</t>
  </si>
  <si>
    <t>Interior &gt; Noise Insulation &gt; Sound Insulation Cabin Side</t>
  </si>
  <si>
    <t>Interior &gt; Noise Insulation &gt; Sound Insulation Cabin Side &gt; Handling/Visual inspection/packaging</t>
  </si>
  <si>
    <t>Interior &gt; Noise Insulation &gt; Sound Insulation Cabin Side &gt; Water jet cutting machine</t>
  </si>
  <si>
    <t>0.98000 kg</t>
  </si>
  <si>
    <t>Interior &gt; Noise Insulation &gt; Sound Insulation Cabin Side &gt; Foaming</t>
  </si>
  <si>
    <t>Interior &gt; Noise Insulation &gt; Sound Insulation Cabin Side &gt; Thermocompression</t>
  </si>
  <si>
    <t>1.16360 kg</t>
  </si>
  <si>
    <t>1.3394727754115344768044203983 kg</t>
  </si>
  <si>
    <t>Interior &gt; Noise Insulation &gt; Sound Insulation Cabin Side &gt; Die cutting</t>
  </si>
  <si>
    <t>EPDM;PUR</t>
  </si>
  <si>
    <t>00000002II6SEU01 (AutoReverse)</t>
  </si>
  <si>
    <t>Interior &gt; Noise Insulation &gt; Right Sound Insulation Cabin Side</t>
  </si>
  <si>
    <t>0.15600 kg</t>
  </si>
  <si>
    <t>0.1733333333333333333333333333 kg</t>
  </si>
  <si>
    <t>Interior &gt; Noise Insulation &gt; Right Sound Insulation Cabin Side &gt; Die cutting</t>
  </si>
  <si>
    <t>000000010LPDEU01 (AutoReverse)</t>
  </si>
  <si>
    <t>Interior &gt; Noise Insulation &gt; Tailgate Insulation</t>
  </si>
  <si>
    <t>0.0777777777777777777777777778 kg</t>
  </si>
  <si>
    <t>Interior &gt; Noise Insulation &gt; Tailgate Insulation &gt; Die cutting</t>
  </si>
  <si>
    <t>Thinsulate</t>
  </si>
  <si>
    <t>0000000673DIEU01 (AutoReverse)</t>
  </si>
  <si>
    <t>Interior &gt; Noise Insulation &gt; A Pillar Left Sound Insulation and Right if Similar</t>
  </si>
  <si>
    <t>0.0755555555555555555555555556 kg</t>
  </si>
  <si>
    <t>Interior &gt; Noise Insulation &gt; A Pillar Left Sound Insulation and Right if Similar &gt; Die cutting</t>
  </si>
  <si>
    <t>00000001UXUREU01 (AutoReverse)</t>
  </si>
  <si>
    <t>Interior &gt; Noise Insulation &gt; A Pillar Right Sound Insulation if Different</t>
  </si>
  <si>
    <t>Interior &gt; Noise Insulation &gt; A Pillar Right Sound Insulation if Different &gt; Die cutting</t>
  </si>
  <si>
    <t>00000006NWU9EU01 (AutoReverse)</t>
  </si>
  <si>
    <t>Interior &gt; Noise Insulation &gt; Fuel Access Cover Insulation</t>
  </si>
  <si>
    <t>0.17700 kg</t>
  </si>
  <si>
    <t>0.1966666666666666666666666667 kg</t>
  </si>
  <si>
    <t>Interior &gt; Noise Insulation &gt; Fuel Access Cover Insulation &gt; Die cutting</t>
  </si>
  <si>
    <t>00000005ACH5EU01 (AutoReverse)</t>
  </si>
  <si>
    <t>Interior &gt; Noise Insulation &gt; Rear Bumper Sound Insulation</t>
  </si>
  <si>
    <t>0.0311111111111111111111111111 kg</t>
  </si>
  <si>
    <t>Interior &gt; Noise Insulation &gt; Rear Bumper Sound Insulation &gt; Die Cutting &amp; Sealing</t>
  </si>
  <si>
    <t>PET;ADV</t>
  </si>
  <si>
    <t>00000002Y1JJEU01 (AutoReverse)</t>
  </si>
  <si>
    <t>Interior &gt; Noise Insulation &gt; Front Left Wheel Housing and Right if Similar</t>
  </si>
  <si>
    <t>0.01760 kg</t>
  </si>
  <si>
    <t>0.0195555555555555555555555556 kg</t>
  </si>
  <si>
    <t>Interior &gt; Noise Insulation &gt; Front Left Wheel Housing and Right if Similar &gt; Die Cutting &amp; Sealing</t>
  </si>
  <si>
    <t>00000003L7OFEU01 (AutoReverse)</t>
  </si>
  <si>
    <t>Interior &gt; Noise Insulation &gt; 2nd Insulation on Front Left Wheel Housing and right if identical</t>
  </si>
  <si>
    <t>Interior &gt; Noise Insulation &gt; 2nd Insulation on Front Left Wheel Housing and right if identical &gt; Die Cutting &amp; Sealing</t>
  </si>
  <si>
    <t>00000009I88REU01 (AutoReverse)</t>
  </si>
  <si>
    <t>Interior &gt; Noise Insulation &gt; Rear Left Wheel Housing and Right if Similar</t>
  </si>
  <si>
    <t>0.19000 kg</t>
  </si>
  <si>
    <t>0.2111111111111111111111111111 kg</t>
  </si>
  <si>
    <t>Interior &gt; Noise Insulation &gt; Rear Left Wheel Housing and Right if Similar &gt; Die cutting</t>
  </si>
  <si>
    <t>00000005RZOGEU01 (AutoReverse)</t>
  </si>
  <si>
    <t>PUR;LDPE</t>
  </si>
  <si>
    <t>00000002R0FUEU01 (AutoReverse)</t>
  </si>
  <si>
    <t>Interior &gt; Noise Insulation &gt; Insulation Under Body   on Aerodynamics Screens</t>
  </si>
  <si>
    <t>Interior &gt; Noise Insulation &gt; Insulation Under Body   on Aerodynamics Screens &gt; Handling/Visual inspection/packaging</t>
  </si>
  <si>
    <t>Interior &gt; Noise Insulation &gt; Insulation Under Body   on Aerodynamics Screens &gt; Water jet cutting machine</t>
  </si>
  <si>
    <t>Interior &gt; Noise Insulation &gt; Insulation Under Body   on Aerodynamics Screens &gt; Thermocompression</t>
  </si>
  <si>
    <t>0.2302290779325428801657649361 kg</t>
  </si>
  <si>
    <t>Interior &gt; Noise Insulation &gt; Insulation Under Body   on Aerodynamics Screens &gt; Die cutting</t>
  </si>
  <si>
    <t>PET;PUR</t>
  </si>
  <si>
    <t>00000006ZA0XEU01 (AutoReverse)</t>
  </si>
  <si>
    <t>Interior &gt; Noise Insulation &gt; 2nd Insulation Under Body   on Aerodynamics Screens</t>
  </si>
  <si>
    <t>Interior &gt; Noise Insulation &gt; 2nd Insulation Under Body   on Aerodynamics Screens &gt; Handling/Visual inspection/packaging</t>
  </si>
  <si>
    <t>Interior &gt; Noise Insulation &gt; 2nd Insulation Under Body   on Aerodynamics Screens &gt; Water jet cutting machine</t>
  </si>
  <si>
    <t>Interior &gt; Noise Insulation &gt; 2nd Insulation Under Body   on Aerodynamics Screens &gt; Thermocompression</t>
  </si>
  <si>
    <t>1.40000 kg</t>
  </si>
  <si>
    <t>1.6116035455278001611603545528 kg</t>
  </si>
  <si>
    <t>Interior &gt; Noise Insulation &gt; 2nd Insulation Under Body   on Aerodynamics Screens &gt; Die cutting</t>
  </si>
  <si>
    <t>000000062ENOEU01 (AutoReverse)</t>
  </si>
  <si>
    <t>Interior &gt; Noise Insulation &gt; 3rd Insulation Underbody</t>
  </si>
  <si>
    <t>Interior &gt; Noise Insulation &gt; 3rd Insulation Underbody &gt; Handling/Visual inspection/packaging</t>
  </si>
  <si>
    <t>Interior &gt; Noise Insulation &gt; 3rd Insulation Underbody &gt; Water jet cutting machine</t>
  </si>
  <si>
    <t>Interior &gt; Noise Insulation &gt; 3rd Insulation Underbody &gt; Thermocompression</t>
  </si>
  <si>
    <t>0.77000 kg</t>
  </si>
  <si>
    <t>0.886381950040290088638195004 kg</t>
  </si>
  <si>
    <t>Interior &gt; Noise Insulation &gt; 3rd Insulation Underbody &gt; Die cutting</t>
  </si>
  <si>
    <t>000000035EF8EU01 (AutoReverse)</t>
  </si>
  <si>
    <t>00000005HKA9EU01 (AutoReverse)</t>
  </si>
  <si>
    <t>Interior &gt; Center Console</t>
  </si>
  <si>
    <t>Interior &gt; Center Console &gt; Center Console</t>
  </si>
  <si>
    <t>Interior &gt; Center Console &gt; Center Console &gt; Console Main Part Single</t>
  </si>
  <si>
    <t>1.76200 kg</t>
  </si>
  <si>
    <t>1.8547368421052631578947368421 kg</t>
  </si>
  <si>
    <t>Interior &gt; Center Console &gt; Center Console &gt; Console Main Part Single &gt; Automated Process</t>
  </si>
  <si>
    <t>{_x000d_
  "productId": "0000000W10A6CID0",_x000d_
  "productCompleteName": "HBPO"_x000d_
}</t>
  </si>
  <si>
    <t>0000000ABF5EEU01 (AutoReverse)</t>
  </si>
  <si>
    <t>Interior &gt; Center Console &gt; Center Console &gt; Upper Trim</t>
  </si>
  <si>
    <t>0.60300 kg</t>
  </si>
  <si>
    <t>0.6347368421052631578947368421 kg</t>
  </si>
  <si>
    <t>Interior &gt; Center Console &gt; Center Console &gt; Upper Trim &gt; Automated Process</t>
  </si>
  <si>
    <t>0000000534NBEU01 (AutoReverse)</t>
  </si>
  <si>
    <t>Interior &gt; Center Console &gt; Center Console &gt; Trim Bezel</t>
  </si>
  <si>
    <t>Interior &gt; Center Console &gt; Center Console &gt; Trim Bezel &gt; Automated Process</t>
  </si>
  <si>
    <t>00000003PJRYEU01 (AutoReverse)</t>
  </si>
  <si>
    <t>00000000NEZYEU01 (AutoReverse)</t>
  </si>
  <si>
    <t>Interior &gt; Center Console &gt; Side Covers</t>
  </si>
  <si>
    <t>Interior &gt; Center Console &gt; Side Covers &gt; Left Side</t>
  </si>
  <si>
    <t>Interior &gt; Center Console &gt; Side Covers &gt; Left Side &gt; Central</t>
  </si>
  <si>
    <t>0.40000 kg</t>
  </si>
  <si>
    <t>0.4210526315789473684210526316 kg</t>
  </si>
  <si>
    <t>Interior &gt; Center Console &gt; Side Covers &gt; Left Side &gt; Central &gt; Automated Process</t>
  </si>
  <si>
    <t>000000093KQ6EU01 (AutoReverse)</t>
  </si>
  <si>
    <t>00000008NVTKEU01 (AutoReverse)</t>
  </si>
  <si>
    <t>Interior &gt; Center Console &gt; Side Covers &gt; Right Side</t>
  </si>
  <si>
    <t>Interior &gt; Center Console &gt; Side Covers &gt; Right Side &gt; Central</t>
  </si>
  <si>
    <t>0.40200 kg</t>
  </si>
  <si>
    <t>0.4231578947368421052631578947 kg</t>
  </si>
  <si>
    <t>Interior &gt; Center Console &gt; Side Covers &gt; Right Side &gt; Central &gt; Automated Process</t>
  </si>
  <si>
    <t>0000000AD3H8EU01 (AutoReverse)</t>
  </si>
  <si>
    <t>0000000AF4BBEU01 (AutoReverse)</t>
  </si>
  <si>
    <t>00000005B7EWEU01 (AutoReverse)</t>
  </si>
  <si>
    <t>Interior &gt; Center Console &gt; Mounting Bracket</t>
  </si>
  <si>
    <t>Interior &gt; Center Console &gt; Mounting Bracket &gt; Front Left Single and Right if Similar</t>
  </si>
  <si>
    <t>0.70600 kg</t>
  </si>
  <si>
    <t>0.706 kg</t>
  </si>
  <si>
    <t>Interior &gt; Center Console &gt; Mounting Bracket &gt; Front Left Single and Right if Similar &gt; Stamping</t>
  </si>
  <si>
    <t>Interior &gt; Center Console &gt; Mounting Bracket &gt; Front Left Single and Right if Similar &gt; Cleaning</t>
  </si>
  <si>
    <t>Interior &gt; Center Console &gt; Mounting Bracket &gt; Front Left Single and Right if Similar &gt; Packaging</t>
  </si>
  <si>
    <t>00000002IUKXEU01 (AutoReverse)</t>
  </si>
  <si>
    <t>Interior &gt; Center Console &gt; Mounting Bracket &gt; Rear Single Left</t>
  </si>
  <si>
    <t>0.28300 kg</t>
  </si>
  <si>
    <t>0.283 kg</t>
  </si>
  <si>
    <t>Interior &gt; Center Console &gt; Mounting Bracket &gt; Rear Single Left &gt; Stamping</t>
  </si>
  <si>
    <t>Interior &gt; Center Console &gt; Mounting Bracket &gt; Rear Single Left &gt; Cleaning</t>
  </si>
  <si>
    <t>Interior &gt; Center Console &gt; Mounting Bracket &gt; Rear Single Left &gt; Packaging</t>
  </si>
  <si>
    <t>00000006A386EU01 (AutoReverse)</t>
  </si>
  <si>
    <t>000000074L19EU01 (AutoReverse)</t>
  </si>
  <si>
    <t>Interior &gt; Center Console &gt; Instrumentation</t>
  </si>
  <si>
    <t>Interior &gt; Center Console &gt; Instrumentation &gt; Ignition Switch System</t>
  </si>
  <si>
    <t>Interior &gt; Center Console &gt; Instrumentation &gt; Ignition Switch System &gt; Vehicle Keys</t>
  </si>
  <si>
    <t>Interior &gt; Center Console &gt; Instrumentation &gt; Ignition Switch System &gt; Vehicle Keys &gt; Process [2]</t>
  </si>
  <si>
    <t>00000009DVLOEU01 (AutoReverse)</t>
  </si>
  <si>
    <t>00000006VSUSEU01 (AutoReverse)</t>
  </si>
  <si>
    <t>00000007YWSDEU01 (AutoReverse)</t>
  </si>
  <si>
    <t>Interior &gt; Center Console &gt; Center Storage</t>
  </si>
  <si>
    <t>Interior &gt; Center Console &gt; Center Storage &gt; Tray</t>
  </si>
  <si>
    <t>0.33700 kg</t>
  </si>
  <si>
    <t>0.3437400549984087997454079593 kg</t>
  </si>
  <si>
    <t>Interior &gt; Center Console &gt; Center Storage &gt; Tray &gt; Injection molding</t>
  </si>
  <si>
    <t>Opening: 1.38 s, Ejection: 0.45 s, Insert: 0.00 s, Closing: 3.06 s, Removal: 2.09 s, Cooling: 8.56 s, Injection: 2.40</t>
  </si>
  <si>
    <t>PP-EPR</t>
  </si>
  <si>
    <t>00000004WERBEU01 (AutoReverse)</t>
  </si>
  <si>
    <t>Interior &gt; Center Console &gt; Center Storage &gt; Support</t>
  </si>
  <si>
    <t>0.13100 kg</t>
  </si>
  <si>
    <t>0.1378947368421052631578947368 kg</t>
  </si>
  <si>
    <t>Interior &gt; Center Console &gt; Center Storage &gt; Support &gt; Automated Process</t>
  </si>
  <si>
    <t>000000084Z6TEU01 (AutoReverse)</t>
  </si>
  <si>
    <t>Interior &gt; Center Console &gt; Center Storage &gt; 2nd Support</t>
  </si>
  <si>
    <t>Interior &gt; Center Console &gt; Center Storage &gt; 2nd Support &gt; Automated Process</t>
  </si>
  <si>
    <t>00000003ONSBEU01 (AutoReverse)</t>
  </si>
  <si>
    <t>Interior &gt; Center Console &gt; Center Storage &gt; Cover</t>
  </si>
  <si>
    <t>0.13650 kg</t>
  </si>
  <si>
    <t>0.1436842105263157894736842105 kg</t>
  </si>
  <si>
    <t>Interior &gt; Center Console &gt; Center Storage &gt; Cover &gt; Automated Process</t>
  </si>
  <si>
    <t>PC-ABS;TPU</t>
  </si>
  <si>
    <t>00000002CWMXEU01 (AutoReverse)</t>
  </si>
  <si>
    <t>Interior &gt; Center Console &gt; Center Storage &gt; Tracks</t>
  </si>
  <si>
    <t>Interior &gt; Center Console &gt; Center Storage &gt; Tracks &gt; Automated Process</t>
  </si>
  <si>
    <t>00000005IFZ3EU01 (AutoReverse)</t>
  </si>
  <si>
    <t>Interior &gt; Center Console &gt; Center Storage &gt; 2nd Tracks if different</t>
  </si>
  <si>
    <t>0.1642105263157894736842105263 kg</t>
  </si>
  <si>
    <t>Interior &gt; Center Console &gt; Center Storage &gt; 2nd Tracks if different &gt; Automated Process</t>
  </si>
  <si>
    <t>000000AV8QBPEU02 (AutoReverse)</t>
  </si>
  <si>
    <t>Interior &gt; Center Console &gt; Center Storage &gt; Bottom of Compartment</t>
  </si>
  <si>
    <t>0.0873684210526315789473684211 kg</t>
  </si>
  <si>
    <t>Interior &gt; Center Console &gt; Center Storage &gt; Bottom of Compartment &gt; Automated Process</t>
  </si>
  <si>
    <t>TPE</t>
  </si>
  <si>
    <t>00000007QGCFEU01 (AutoReverse)</t>
  </si>
  <si>
    <t>000000039DIZEU01 (AutoReverse)</t>
  </si>
  <si>
    <t>00000000NBUVEU01 (AutoReverse)</t>
  </si>
  <si>
    <t>000000AODII2EU02 (AutoReverse)</t>
  </si>
  <si>
    <t>Interior &gt; Center Console &gt; Center Storage &gt; Cover Bezel</t>
  </si>
  <si>
    <t>Interior &gt; Center Console &gt; Center Storage &gt; Cover Bezel &gt; Automated Process</t>
  </si>
  <si>
    <t>00000000DJE3EU01 (AutoReverse)</t>
  </si>
  <si>
    <t>Interior &gt; Center Console &gt; Center Storage &gt; Partition</t>
  </si>
  <si>
    <t>Interior &gt; Center Console &gt; Center Storage &gt; Partition &gt; Automated Process</t>
  </si>
  <si>
    <t>A000000GLNUXEU02 (AutoReverse)</t>
  </si>
  <si>
    <t>Interior &gt; Center Console &gt; Center Storage &gt; Partition Bezel</t>
  </si>
  <si>
    <t>0.00750 kg</t>
  </si>
  <si>
    <t>0.0078947368421052631578947368 kg</t>
  </si>
  <si>
    <t>Interior &gt; Center Console &gt; Center Storage &gt; Partition Bezel &gt; Automated Process</t>
  </si>
  <si>
    <t>A000000GLNUREU02 (AutoReverse)</t>
  </si>
  <si>
    <t>Interior &gt; Center Console &gt; Center Storage &gt; Latch Anchor</t>
  </si>
  <si>
    <t>0.01000 kg</t>
  </si>
  <si>
    <t>0.0133333333333333333333333333 kg</t>
  </si>
  <si>
    <t>Interior &gt; Center Console &gt; Center Storage &gt; Latch Anchor &gt; Automated Process</t>
  </si>
  <si>
    <t>A000000GLNUYEU02 (AutoReverse)</t>
  </si>
  <si>
    <t>00000007HVUOEU01 (AutoReverse)</t>
  </si>
  <si>
    <t>Interior &gt; Center Console &gt; Air Vent System</t>
  </si>
  <si>
    <t>Interior &gt; Center Console &gt; Air Vent System &gt; Air Vent</t>
  </si>
  <si>
    <t>Interior &gt; Center Console &gt; Air Vent System &gt; Air Vent &gt; Automated Process [2]</t>
  </si>
  <si>
    <t>00000009PC3MEU01 (AutoReverse)</t>
  </si>
  <si>
    <t>Interior &gt; Center Console &gt; Air Vent System &gt; Air Vent Support</t>
  </si>
  <si>
    <t>0.0589473684210526315789473684 kg</t>
  </si>
  <si>
    <t>Interior &gt; Center Console &gt; Air Vent System &gt; Air Vent Support &gt; Automated Process</t>
  </si>
  <si>
    <t>00000007VTP0EU01 (AutoReverse)</t>
  </si>
  <si>
    <t>Interior &gt; Center Console &gt; Air Vent System &gt; Air Vent Trim</t>
  </si>
  <si>
    <t>0.0473684210526315789473684211 kg</t>
  </si>
  <si>
    <t>Interior &gt; Center Console &gt; Air Vent System &gt; Air Vent Trim &gt; Automated Process</t>
  </si>
  <si>
    <t>0.00101 kg</t>
  </si>
  <si>
    <t>Interior &gt; Center Console &gt; Air Vent System &gt; Air Vent Trim &gt; Painting</t>
  </si>
  <si>
    <t>0.00120 kg</t>
  </si>
  <si>
    <t>0.0012 kg</t>
  </si>
  <si>
    <t>0.00150 kg</t>
  </si>
  <si>
    <t>0.0015 kg</t>
  </si>
  <si>
    <t>0000000213OBEU01 (AutoReverse)</t>
  </si>
  <si>
    <t>A000002T46ASEU01 (AutoReverse)</t>
  </si>
  <si>
    <t>Interior &gt; Center Console &gt; Cup Holder</t>
  </si>
  <si>
    <t>Interior &gt; Center Console &gt; Cup Holder &gt; Front Cup Holder</t>
  </si>
  <si>
    <t>Interior &gt; Center Console &gt; Cup Holder &gt; Front Cup Holder &gt; Cup Holder</t>
  </si>
  <si>
    <t>0.0705263157894736842105263158 kg</t>
  </si>
  <si>
    <t>Interior &gt; Center Console &gt; Cup Holder &gt; Front Cup Holder &gt; Cup Holder &gt; Automated Process</t>
  </si>
  <si>
    <t>PC-ABS;EPR</t>
  </si>
  <si>
    <t>00000001NRXREU01 (AutoReverse)</t>
  </si>
  <si>
    <t>Interior &gt; Center Console &gt; Cup Holder &gt; Front Cup Holder &gt; Support</t>
  </si>
  <si>
    <t>0.07650 kg</t>
  </si>
  <si>
    <t>0.0805263157894736842105263158 kg</t>
  </si>
  <si>
    <t>Interior &gt; Center Console &gt; Cup Holder &gt; Front Cup Holder &gt; Support &gt; Automated Process</t>
  </si>
  <si>
    <t>PC-ABS;TPE-SEBS</t>
  </si>
  <si>
    <t>00000001HODIEU01 (AutoReverse)</t>
  </si>
  <si>
    <t>Interior &gt; Center Console &gt; Cup Holder &gt; Front Cup Holder &gt; 2nd Support</t>
  </si>
  <si>
    <t>0.30900 kg</t>
  </si>
  <si>
    <t>0.3252631578947368421052631579 kg</t>
  </si>
  <si>
    <t>Interior &gt; Center Console &gt; Cup Holder &gt; Front Cup Holder &gt; 2nd Support &gt; Automated Process</t>
  </si>
  <si>
    <t>0000000BSOPBCID0 (AutoReverse)</t>
  </si>
  <si>
    <t>Interior &gt; Center Console &gt; Cup Holder &gt; Front Cup Holder &gt; Mechanism</t>
  </si>
  <si>
    <t>Interior &gt; Center Console &gt; Cup Holder &gt; Front Cup Holder &gt; Mechanism &gt; Automated Process</t>
  </si>
  <si>
    <t>00000009K1J5EU01 (AutoReverse)</t>
  </si>
  <si>
    <t>Interior &gt; Center Console &gt; Cup Holder &gt; Front Cup Holder &gt; Bottom of Compartment</t>
  </si>
  <si>
    <t>0.07400 kg</t>
  </si>
  <si>
    <t>0.0778947368421052631578947368 kg</t>
  </si>
  <si>
    <t>Interior &gt; Center Console &gt; Cup Holder &gt; Front Cup Holder &gt; Bottom of Compartment &gt; Automated Process</t>
  </si>
  <si>
    <t>0000000AWG8HEU01 (AutoReverse)</t>
  </si>
  <si>
    <t>Interior &gt; Center Console &gt; Cup Holder &gt; Front Cup Holder &gt; Latch Anchor</t>
  </si>
  <si>
    <t>Interior &gt; Center Console &gt; Cup Holder &gt; Front Cup Holder &gt; Latch Anchor &gt; Automated Process</t>
  </si>
  <si>
    <t>000000AULCY0EU02 (AutoReverse)</t>
  </si>
  <si>
    <t>00000002J6EREU01 (AutoReverse)</t>
  </si>
  <si>
    <t>00000005YFPWEU01 (AutoReverse)</t>
  </si>
  <si>
    <t>Interior &gt; Center Console &gt; Phone System Support</t>
  </si>
  <si>
    <t>Interior &gt; Center Console &gt; Phone System Support &gt; Storage</t>
  </si>
  <si>
    <t>0.12300 kg</t>
  </si>
  <si>
    <t>0.1294736842105263157894736842 kg</t>
  </si>
  <si>
    <t>Interior &gt; Center Console &gt; Phone System Support &gt; Storage &gt; Automated Process</t>
  </si>
  <si>
    <t>00000000LXY5EU01 (AutoReverse)</t>
  </si>
  <si>
    <t>000000027DYIEU01 (AutoReverse)</t>
  </si>
  <si>
    <t>Interior &gt; Center Console &gt; Front Cover</t>
  </si>
  <si>
    <t>0.16400 kg</t>
  </si>
  <si>
    <t>0.1726315789473684210526315789 kg</t>
  </si>
  <si>
    <t>Interior &gt; Center Console &gt; Front Cover &gt; Automated Process</t>
  </si>
  <si>
    <t>0000000183JBEU01 (AutoReverse)</t>
  </si>
  <si>
    <t>Interior &gt; Center Console &gt; Rear Cover</t>
  </si>
  <si>
    <t>0.03000 kg</t>
  </si>
  <si>
    <t>0.0315789473684210526315789474 kg</t>
  </si>
  <si>
    <t>Interior &gt; Center Console &gt; Rear Cover &gt; Automated Process</t>
  </si>
  <si>
    <t>000000040Q2JEU01 (AutoReverse)</t>
  </si>
  <si>
    <t>Interior &gt; Center Console &gt; Card Holder</t>
  </si>
  <si>
    <t>Interior &gt; Center Console &gt; Card Holder &gt; Automated Process</t>
  </si>
  <si>
    <t>A000000GLNUQEU02 (AutoReverse)</t>
  </si>
  <si>
    <t>Interior &gt; Center Console &gt; Logo</t>
  </si>
  <si>
    <t>Interior &gt; Center Console &gt; Logo &gt; Automated Process</t>
  </si>
  <si>
    <t>A000000GLNUWEU02 (AutoReverse)</t>
  </si>
  <si>
    <t>000000026ERQEU01 (AutoReverse)</t>
  </si>
  <si>
    <t>Interior &gt; Trims Parts</t>
  </si>
  <si>
    <t>Interior &gt; Trims Parts &gt; Roof Elements</t>
  </si>
  <si>
    <t>Interior &gt; Trims Parts &gt; Roof Elements &gt; Sun Visors</t>
  </si>
  <si>
    <t>Interior &gt; Trims Parts &gt; Roof Elements &gt; Sun Visors &gt; Driver Side</t>
  </si>
  <si>
    <t>Interior &gt; Trims Parts &gt; Roof Elements &gt; Sun Visors &gt; Driver Side &gt; Automated Process</t>
  </si>
  <si>
    <t>ELECTRONIC COMPONENT;FERROUS METAL;POM;GLASS;PLASTIC UNKNOWN</t>
  </si>
  <si>
    <t>00000004PE1CEU01 (AutoReverse)</t>
  </si>
  <si>
    <t>Interior &gt; Trims Parts &gt; Roof Elements &gt; Sun Visors &gt; Passenger Side</t>
  </si>
  <si>
    <t>Interior &gt; Trims Parts &gt; Roof Elements &gt; Sun Visors &gt; Passenger Side &gt; Automated Process [2]</t>
  </si>
  <si>
    <t>00000005K3KCEU01 (AutoReverse)</t>
  </si>
  <si>
    <t>000000059HLCEU01 (AutoReverse)</t>
  </si>
  <si>
    <t>Interior &gt; Trims Parts &gt; Roof Elements &gt; Reading Light</t>
  </si>
  <si>
    <t>Interior &gt; Trims Parts &gt; Roof Elements &gt; Reading Light &gt; Front</t>
  </si>
  <si>
    <t>Interior &gt; Trims Parts &gt; Roof Elements &gt; Reading Light &gt; Front &gt; Process</t>
  </si>
  <si>
    <t>PLASTIC UNKNOWN;ELECTRONIC COMPONENT;FERROUS METAL</t>
  </si>
  <si>
    <t>000000010PFCEU01 (AutoReverse)</t>
  </si>
  <si>
    <t>{_x000d_
  "productId": "0000000W10EYCID0",_x000d_
  "productCompleteName": "Il Heung"_x000d_
}</t>
  </si>
  <si>
    <t>PC;ELECTRONIC COMPONENT;PA6;NON FERROUS METAL</t>
  </si>
  <si>
    <t>000000038TH2EU01 (AutoReverse)</t>
  </si>
  <si>
    <t>ABS-PC;ELECTRONIC COMPONENT;PLASTIC UNKNOWN</t>
  </si>
  <si>
    <t>00000004I69REU01 (AutoReverse)</t>
  </si>
  <si>
    <t>00000004QUTCEU01 (AutoReverse)</t>
  </si>
  <si>
    <t>ABS-PC</t>
  </si>
  <si>
    <t>00000003U4UHEU01 (AutoReverse)</t>
  </si>
  <si>
    <t>00000008DJK9EU01 (AutoReverse)</t>
  </si>
  <si>
    <t>Interior &gt; Trims Parts &gt; Roof Elements &gt; Storage System</t>
  </si>
  <si>
    <t>Interior &gt; Trims Parts &gt; Roof Elements &gt; Storage System &gt; Dummy Cover</t>
  </si>
  <si>
    <t>0.00450 kg</t>
  </si>
  <si>
    <t>0.0047368421052631578947368421 kg</t>
  </si>
  <si>
    <t>Interior &gt; Trims Parts &gt; Roof Elements &gt; Storage System &gt; Dummy Cover &gt; Automated Process</t>
  </si>
  <si>
    <t>00000005SGIQEU01 (AutoReverse)</t>
  </si>
  <si>
    <t>000000069GXWEU01 (AutoReverse)</t>
  </si>
  <si>
    <t>Interior &gt; Trims Parts &gt; Roof Elements &gt; Side Upper Handle</t>
  </si>
  <si>
    <t>Interior &gt; Trims Parts &gt; Roof Elements &gt; Side Upper Handle &gt; Front Handle Interface</t>
  </si>
  <si>
    <t>0.01200 kg</t>
  </si>
  <si>
    <t>0.0141138446230368524244644678 kg</t>
  </si>
  <si>
    <t>Interior &gt; Trims Parts &gt; Roof Elements &gt; Side Upper Handle &gt; Front Handle Interface &gt; Injection molding</t>
  </si>
  <si>
    <t>Opening: 0.67 s, Ejection: 0.07 s, Insert: 0.00 s, Closing: 1.67 s, Removal: 1.46 s, Cooling: 8.56 s, Injection: 1.32</t>
  </si>
  <si>
    <t>000000093TEOEU01 (AutoReverse)</t>
  </si>
  <si>
    <t>Interior &gt; Trims Parts &gt; Roof Elements &gt; Side Upper Handle &gt; Rear Handle Interface</t>
  </si>
  <si>
    <t>Interior &gt; Trims Parts &gt; Roof Elements &gt; Side Upper Handle &gt; Rear Handle Interface &gt; Injection molding</t>
  </si>
  <si>
    <t>000000066GCTEU01 (AutoReverse)</t>
  </si>
  <si>
    <t>Interior &gt; Trims Parts &gt; Roof Elements &gt; Side Upper Handle &gt; Rear</t>
  </si>
  <si>
    <t>Interior &gt; Trims Parts &gt; Roof Elements &gt; Side Upper Handle &gt; Rear &gt; Automated process</t>
  </si>
  <si>
    <t>Directional cost of grab handle with material and process portion.</t>
  </si>
  <si>
    <t>(2110-1420) Grab Handle directional costing template</t>
  </si>
  <si>
    <t>00000001RNCLEU01 (AutoReverse)</t>
  </si>
  <si>
    <t>Interior &gt; Trims Parts &gt; Roof Elements &gt; Side Upper Handle &gt; Front</t>
  </si>
  <si>
    <t>Interior &gt; Trims Parts &gt; Roof Elements &gt; Side Upper Handle &gt; Front &gt; Automated process</t>
  </si>
  <si>
    <t>(2110-1417) Grab Handle directional costing template</t>
  </si>
  <si>
    <t>00000002MOP5EU01 (AutoReverse)</t>
  </si>
  <si>
    <t>00000002T1X6EU01 (AutoReverse)</t>
  </si>
  <si>
    <t>Interior &gt; Trims Parts &gt; Roof Elements &gt; Hanger Support</t>
  </si>
  <si>
    <t>0.0052344373634139000484185456 kg</t>
  </si>
  <si>
    <t>Interior &gt; Trims Parts &gt; Roof Elements &gt; Hanger Support &gt; Injection molding</t>
  </si>
  <si>
    <t>Opening: 0.67 s, Ejection: 0.11 s, Insert: 0.00 s, Closing: 1.67 s, Removal: 1.49 s, Cooling: 17.33 s, Injection: 0.75</t>
  </si>
  <si>
    <t>PP;PE</t>
  </si>
  <si>
    <t>00000000UA7MEU01 (AutoReverse)</t>
  </si>
  <si>
    <t>00000008V6PAEU01 (AutoReverse)</t>
  </si>
  <si>
    <t>Interior &gt; Trims Parts &gt; Panels</t>
  </si>
  <si>
    <t>Interior &gt; Trims Parts &gt; Panels &gt; Left Side</t>
  </si>
  <si>
    <t>Interior &gt; Trims Parts &gt; Panels &gt; Left Side &gt; Door Step Inner Panel</t>
  </si>
  <si>
    <t>Interior &gt; Trims Parts &gt; Panels &gt; Left Side &gt; Door Step Inner Panel &gt; Front</t>
  </si>
  <si>
    <t>0.39800 kg</t>
  </si>
  <si>
    <t>0.4189473684210526315789473684 kg</t>
  </si>
  <si>
    <t>Interior &gt; Trims Parts &gt; Panels &gt; Left Side &gt; Door Step Inner Panel &gt; Front &gt; Automated Process</t>
  </si>
  <si>
    <t>00000007QOJ6EU01 (AutoReverse)</t>
  </si>
  <si>
    <t>00000001FWNYEU01 (AutoReverse)</t>
  </si>
  <si>
    <t>Interior &gt; Trims Parts &gt; Panels &gt; Left Side &gt; A Pillar Upper Panel</t>
  </si>
  <si>
    <t>0.33100 kg</t>
  </si>
  <si>
    <t>0.3484210526315789473684210526 kg</t>
  </si>
  <si>
    <t>Polypropylene with Glas Fiber</t>
  </si>
  <si>
    <t>Interior &gt; Trims Parts &gt; Panels &gt; Left Side &gt; A Pillar Upper Panel &gt; Automated Process</t>
  </si>
  <si>
    <t>2.06 eu/m2, unit m2 not kg. net include material loss</t>
  </si>
  <si>
    <t>Polyolefine Thermoplaste</t>
  </si>
  <si>
    <t>00000009HZAXEU01 (AutoReverse)</t>
  </si>
  <si>
    <t>Interior &gt; Trims Parts &gt; Panels &gt; Left Side &gt; A Pillar Central Panel</t>
  </si>
  <si>
    <t>0.05200 kg</t>
  </si>
  <si>
    <t>0.0547368421052631578947368421 kg</t>
  </si>
  <si>
    <t>Interior &gt; Trims Parts &gt; Panels &gt; Left Side &gt; A Pillar Central Panel &gt; Automated Process</t>
  </si>
  <si>
    <t>00000008EW6SEU01 (AutoReverse)</t>
  </si>
  <si>
    <t>Interior &gt; Trims Parts &gt; Panels &gt; Left Side &gt; A Pillar Lower Panel</t>
  </si>
  <si>
    <t>Interior &gt; Trims Parts &gt; Panels &gt; Left Side &gt; A Pillar Lower Panel &gt; Automated Process</t>
  </si>
  <si>
    <t>00000004GLVKEU01 (AutoReverse)</t>
  </si>
  <si>
    <t>Interior &gt; Trims Parts &gt; Panels &gt; Left Side &gt; B Pillar Upper Panel</t>
  </si>
  <si>
    <t>0.29500 kg</t>
  </si>
  <si>
    <t>0.3105263157894736842105263158 kg</t>
  </si>
  <si>
    <t xml:space="preserve"> with Talc Powder</t>
  </si>
  <si>
    <t>Interior &gt; Trims Parts &gt; Panels &gt; Left Side &gt; B Pillar Upper Panel &gt; Automated Process</t>
  </si>
  <si>
    <t>0.06900 kg</t>
  </si>
  <si>
    <t>0.069 kg</t>
  </si>
  <si>
    <t>000000084S9EEU01 (AutoReverse)</t>
  </si>
  <si>
    <t>Interior &gt; Trims Parts &gt; Panels &gt; Left Side &gt; B Pillar Lower Panel</t>
  </si>
  <si>
    <t>0.45600 kg</t>
  </si>
  <si>
    <t>0.48 kg</t>
  </si>
  <si>
    <t>Interior &gt; Trims Parts &gt; Panels &gt; Left Side &gt; B Pillar Lower Panel &gt; Automated Process</t>
  </si>
  <si>
    <t>00000000XE5UEU01 (AutoReverse)</t>
  </si>
  <si>
    <t>Interior &gt; Trims Parts &gt; Panels &gt; Left Side &gt; B Pillar Panel Support</t>
  </si>
  <si>
    <t>Interior &gt; Trims Parts &gt; Panels &gt; Left Side &gt; B Pillar Panel Support &gt; Automated Process</t>
  </si>
  <si>
    <t>0000000ALW4LEU01 (AutoReverse)</t>
  </si>
  <si>
    <t>Interior &gt; Trims Parts &gt; Panels &gt; Left Side &gt; C Pillar Lower Panel</t>
  </si>
  <si>
    <t>0.81400 kg</t>
  </si>
  <si>
    <t>0.8568421052631578947368421053 kg</t>
  </si>
  <si>
    <t>Interior &gt; Trims Parts &gt; Panels &gt; Left Side &gt; C Pillar Lower Panel &gt; Automated Process</t>
  </si>
  <si>
    <t>00000008TPC7EU01 (AutoReverse)</t>
  </si>
  <si>
    <t>Interior &gt; Trims Parts &gt; Panels &gt; Left Side &gt; Rear Quarter Panel</t>
  </si>
  <si>
    <t>0.55100 kg</t>
  </si>
  <si>
    <t>0.58 kg</t>
  </si>
  <si>
    <t>Polypropylene with Talc Powder</t>
  </si>
  <si>
    <t>Interior &gt; Trims Parts &gt; Panels &gt; Left Side &gt; Rear Quarter Panel &gt; Automated Process</t>
  </si>
  <si>
    <t>0.13 kg</t>
  </si>
  <si>
    <t>PP;PLASTIC UNKNOWN</t>
  </si>
  <si>
    <t>00000006Q1AQEU01 (AutoReverse)</t>
  </si>
  <si>
    <t>00000002M9EFEU01 (AutoReverse)</t>
  </si>
  <si>
    <t>Interior &gt; Trims Parts &gt; Panels &gt; Right Side</t>
  </si>
  <si>
    <t>Interior &gt; Trims Parts &gt; Panels &gt; Right Side &gt; Door Step Inner Panel</t>
  </si>
  <si>
    <t>Interior &gt; Trims Parts &gt; Panels &gt; Right Side &gt; Door Step Inner Panel &gt; Front</t>
  </si>
  <si>
    <t>0.39500 kg</t>
  </si>
  <si>
    <t>0.4157894736842105263157894737 kg</t>
  </si>
  <si>
    <t>Interior &gt; Trims Parts &gt; Panels &gt; Right Side &gt; Door Step Inner Panel &gt; Front &gt; Automated Process</t>
  </si>
  <si>
    <t>00000002UPAUEU01 (AutoReverse)</t>
  </si>
  <si>
    <t>00000002C6PUEU01 (AutoReverse)</t>
  </si>
  <si>
    <t>Interior &gt; Trims Parts &gt; Panels &gt; Right Side &gt; A Pillar Upper Panel</t>
  </si>
  <si>
    <t>Interior &gt; Trims Parts &gt; Panels &gt; Right Side &gt; A Pillar Upper Panel &gt; Automated Process</t>
  </si>
  <si>
    <t>00000001NC79EU01 (AutoReverse)</t>
  </si>
  <si>
    <t>Interior &gt; Trims Parts &gt; Panels &gt; Right Side &gt; A Pillar Central Panel</t>
  </si>
  <si>
    <t>Interior &gt; Trims Parts &gt; Panels &gt; Right Side &gt; A Pillar Central Panel &gt; Automated Process</t>
  </si>
  <si>
    <t>000000002WZJEU01 (AutoReverse)</t>
  </si>
  <si>
    <t>Interior &gt; Trims Parts &gt; Panels &gt; Right Side &gt; A Pillar Lower Panel</t>
  </si>
  <si>
    <t>Interior &gt; Trims Parts &gt; Panels &gt; Right Side &gt; A Pillar Lower Panel &gt; Automated Process</t>
  </si>
  <si>
    <t>00000009HE43EU01 (AutoReverse)</t>
  </si>
  <si>
    <t>Interior &gt; Trims Parts &gt; Panels &gt; Right Side &gt; B Pillar Upper Panel</t>
  </si>
  <si>
    <t>Interior &gt; Trims Parts &gt; Panels &gt; Right Side &gt; B Pillar Upper Panel &gt; Automated Process</t>
  </si>
  <si>
    <t>000000053MEUEU01 (AutoReverse)</t>
  </si>
  <si>
    <t>Interior &gt; Trims Parts &gt; Panels &gt; Right Side &gt; B Pillar Lower Panel</t>
  </si>
  <si>
    <t>0.4842105263157894736842105263 kg</t>
  </si>
  <si>
    <t>Interior &gt; Trims Parts &gt; Panels &gt; Right Side &gt; B Pillar Lower Panel &gt; Automated Process</t>
  </si>
  <si>
    <t>00000003RVRNEU01 (AutoReverse)</t>
  </si>
  <si>
    <t>Interior &gt; Trims Parts &gt; Panels &gt; Right Side &gt; B Pillar Support Panel</t>
  </si>
  <si>
    <t>Interior &gt; Trims Parts &gt; Panels &gt; Right Side &gt; B Pillar Support Panel &gt; Automated Process</t>
  </si>
  <si>
    <t>00000007LVK1EU01 (AutoReverse)</t>
  </si>
  <si>
    <t>Interior &gt; Trims Parts &gt; Panels &gt; Right Side &gt; C Pillar Lower Panel</t>
  </si>
  <si>
    <t>0.79600 kg</t>
  </si>
  <si>
    <t>0.8378947368421052631578947368 kg</t>
  </si>
  <si>
    <t>Interior &gt; Trims Parts &gt; Panels &gt; Right Side &gt; C Pillar Lower Panel &gt; Automated Process</t>
  </si>
  <si>
    <t>0000000AA6H1EU01 (AutoReverse)</t>
  </si>
  <si>
    <t>Interior &gt; Trims Parts &gt; Panels &gt; Right Side &gt; Rear Quarter Panel</t>
  </si>
  <si>
    <t>0.56000 kg</t>
  </si>
  <si>
    <t>0.5894736842105263157894736842 kg</t>
  </si>
  <si>
    <t>Interior &gt; Trims Parts &gt; Panels &gt; Right Side &gt; Rear Quarter Panel &gt; Automated Process</t>
  </si>
  <si>
    <t>00000000QAFBEU01 (AutoReverse)</t>
  </si>
  <si>
    <t>0000000A8C7UEU01 (AutoReverse)</t>
  </si>
  <si>
    <t>Interior &gt; Trims Parts &gt; Panels &gt; Trunk</t>
  </si>
  <si>
    <t>Interior &gt; Trims Parts &gt; Panels &gt; Trunk &gt; Left Side Compartments</t>
  </si>
  <si>
    <t>Interior &gt; Trims Parts &gt; Panels &gt; Trunk &gt; Left Side Compartments &gt; Lower</t>
  </si>
  <si>
    <t>0.28600 kg</t>
  </si>
  <si>
    <t>0.3010526315789473684210526316 kg</t>
  </si>
  <si>
    <t>Interior &gt; Trims Parts &gt; Panels &gt; Trunk &gt; Left Side Compartments &gt; Lower &gt; Automated Process</t>
  </si>
  <si>
    <t>Polypropylen</t>
  </si>
  <si>
    <t>0.286 kg</t>
  </si>
  <si>
    <t>PET-PE;PP;BW</t>
  </si>
  <si>
    <t>00000003M0OMEU01 (AutoReverse)</t>
  </si>
  <si>
    <t>Interior &gt; Trims Parts &gt; Panels &gt; Trunk &gt; Left Side Compartments &gt; Upper</t>
  </si>
  <si>
    <t>0.6673684210526315789473684211 kg</t>
  </si>
  <si>
    <t>Interior &gt; Trims Parts &gt; Panels &gt; Trunk &gt; Left Side Compartments &gt; Upper &gt; Automated Process</t>
  </si>
  <si>
    <t>00000008J4LDEU01 (AutoReverse)</t>
  </si>
  <si>
    <t>00000003M4OMEU01 (AutoReverse)</t>
  </si>
  <si>
    <t>Interior &gt; Trims Parts &gt; Panels &gt; Trunk &gt; Right Side Compartments</t>
  </si>
  <si>
    <t>Interior &gt; Trims Parts &gt; Panels &gt; Trunk &gt; Right Side Compartments &gt; Lower</t>
  </si>
  <si>
    <t>0.27900 kg</t>
  </si>
  <si>
    <t>0.2936842105263157894736842105 kg</t>
  </si>
  <si>
    <t>Interior &gt; Trims Parts &gt; Panels &gt; Trunk &gt; Right Side Compartments &gt; Lower &gt; Automated Process</t>
  </si>
  <si>
    <t>0.279 kg</t>
  </si>
  <si>
    <t>00000001R9TXEU01 (AutoReverse)</t>
  </si>
  <si>
    <t>Interior &gt; Trims Parts &gt; Panels &gt; Trunk &gt; Right Side Compartments &gt; Upper</t>
  </si>
  <si>
    <t>0.62500 kg</t>
  </si>
  <si>
    <t>0.6578947368421052631578947368 kg</t>
  </si>
  <si>
    <t>Interior &gt; Trims Parts &gt; Panels &gt; Trunk &gt; Right Side Compartments &gt; Upper &gt; Automated Process</t>
  </si>
  <si>
    <t>0000000AV9F3EU01 (AutoReverse)</t>
  </si>
  <si>
    <t>Interior &gt; Trims Parts &gt; Panels &gt; Trunk &gt; Right Side Compartments &gt; Access Panel</t>
  </si>
  <si>
    <t>Interior &gt; Trims Parts &gt; Panels &gt; Trunk &gt; Right Side Compartments &gt; Access Panel &gt; Automated Process</t>
  </si>
  <si>
    <t>000000032WUOEU01 (AutoReverse)</t>
  </si>
  <si>
    <t>00000003GG10EU01 (AutoReverse)</t>
  </si>
  <si>
    <t>Interior &gt; Trims Parts &gt; Panels &gt; Trunk &gt; Sill Panel</t>
  </si>
  <si>
    <t>0.88000 kg</t>
  </si>
  <si>
    <t>0.9263157894736842105263157895 kg</t>
  </si>
  <si>
    <t>Interior &gt; Trims Parts &gt; Panels &gt; Trunk &gt; Sill Panel &gt; Automated Process</t>
  </si>
  <si>
    <t>{_x000d_
  "productId": "0000000W11FMCID0",_x000d_
  "productCompleteName": "Simoldes Plasticos"_x000d_
}</t>
  </si>
  <si>
    <t>00000000GRPNEU01 (AutoReverse)</t>
  </si>
  <si>
    <t>00000006OY9AEU01 (AutoReverse)</t>
  </si>
  <si>
    <t>0000000ARFB9EU01 (AutoReverse)</t>
  </si>
  <si>
    <t>Interior &gt; Trims Parts &gt; Mirror System</t>
  </si>
  <si>
    <t>Interior &gt; Trims Parts &gt; Mirror System &gt; Rear View Mirror</t>
  </si>
  <si>
    <t>Interior &gt; Trims Parts &gt; Mirror System &gt; Rear View Mirror &gt; Process</t>
  </si>
  <si>
    <t>AL;PC;ELECTRONIC COMPONENT;GLASS</t>
  </si>
  <si>
    <t>00000007HRYPEU01 (AutoReverse)</t>
  </si>
  <si>
    <t>Interior &gt; Trims Parts &gt; Mirror System &gt; Trim</t>
  </si>
  <si>
    <t>Interior &gt; Trims Parts &gt; Mirror System &gt; Trim &gt; Automated Process</t>
  </si>
  <si>
    <t>PC-ASA</t>
  </si>
  <si>
    <t>00000005YYE4EU01 (AutoReverse)</t>
  </si>
  <si>
    <t>Interior &gt; Trims Parts &gt; Mirror System &gt; Stand Support</t>
  </si>
  <si>
    <t>0.009 kg</t>
  </si>
  <si>
    <t>Interior &gt; Trims Parts &gt; Mirror System &gt; Stand Support &gt; Automated Process</t>
  </si>
  <si>
    <t>000000028Z8LEU01 (AutoReverse)</t>
  </si>
  <si>
    <t>Interior &gt; Trims Parts &gt; Mirror System &gt; 2nd Trim</t>
  </si>
  <si>
    <t>Interior &gt; Trims Parts &gt; Mirror System &gt; 2nd Trim &gt; Automated Process</t>
  </si>
  <si>
    <t>{_x000d_
  "productId": "0000000W10ZGCID0",_x000d_
  "productCompleteName": "Nifco"_x000d_
}</t>
  </si>
  <si>
    <t>ASA-PC</t>
  </si>
  <si>
    <t>00000002B087EU01 (AutoReverse)</t>
  </si>
  <si>
    <t>00000002EIX9EU01 (AutoReverse)</t>
  </si>
  <si>
    <t>Interior &gt; Trims Parts &gt; Parcel Tray System</t>
  </si>
  <si>
    <t>Interior &gt; Trims Parts &gt; Parcel Tray System &gt; Parcel Tray</t>
  </si>
  <si>
    <t>Interior &gt; Trims Parts &gt; Parcel Tray System &gt; Parcel Tray &gt; Automated process</t>
  </si>
  <si>
    <t>Directional cost of floor mats with material and process portion.</t>
  </si>
  <si>
    <t>PET-PE;PP;LGF</t>
  </si>
  <si>
    <t>00000009H483EU01 (AutoReverse)</t>
  </si>
  <si>
    <t>00000004EJQSEU01 (AutoReverse)</t>
  </si>
  <si>
    <t>Interior &gt; Trims Parts &gt; Floor Carpeting</t>
  </si>
  <si>
    <t>Interior &gt; Trims Parts &gt; Floor Carpeting &gt; Interior</t>
  </si>
  <si>
    <t>Interior &gt; Trims Parts &gt; Floor Carpeting &gt; Interior &gt; Floor Mats</t>
  </si>
  <si>
    <t>Interior &gt; Trims Parts &gt; Floor Carpeting &gt; Interior &gt; Floor Mats &gt; Rear Right</t>
  </si>
  <si>
    <t>Interior &gt; Trims Parts &gt; Floor Carpeting &gt; Interior &gt; Floor Mats &gt; Rear Right &gt; Automated process</t>
  </si>
  <si>
    <t>(2110-705) Floor Mats directional costing template</t>
  </si>
  <si>
    <t>000000057UK6EU01 (AutoReverse)</t>
  </si>
  <si>
    <t>Interior &gt; Trims Parts &gt; Floor Carpeting &gt; Interior &gt; Floor Mats &gt; Rear Left</t>
  </si>
  <si>
    <t>Interior &gt; Trims Parts &gt; Floor Carpeting &gt; Interior &gt; Floor Mats &gt; Rear Left &gt; Automated process</t>
  </si>
  <si>
    <t>(2110-681) Floor Mats directional costing template</t>
  </si>
  <si>
    <t>0000000AQJ86EU01 (AutoReverse)</t>
  </si>
  <si>
    <t>Interior &gt; Trims Parts &gt; Floor Carpeting &gt; Interior &gt; Floor Mats &gt; Passenger</t>
  </si>
  <si>
    <t>Interior &gt; Trims Parts &gt; Floor Carpeting &gt; Interior &gt; Floor Mats &gt; Passenger &gt; Automated process</t>
  </si>
  <si>
    <t>(2110-691) Floor Mats directional costing template</t>
  </si>
  <si>
    <t>00000000VCT1EU01 (AutoReverse)</t>
  </si>
  <si>
    <t>Interior &gt; Trims Parts &gt; Floor Carpeting &gt; Interior &gt; Floor Mats &gt; Driver</t>
  </si>
  <si>
    <t>Interior &gt; Trims Parts &gt; Floor Carpeting &gt; Interior &gt; Floor Mats &gt; Driver &gt; Automated process</t>
  </si>
  <si>
    <t>(2110-666) Floor Mats directional costing template</t>
  </si>
  <si>
    <t>000000066JB8EU01 (AutoReverse)</t>
  </si>
  <si>
    <t>000000017WJDEU01 (AutoReverse)</t>
  </si>
  <si>
    <t>Interior &gt; Trims Parts &gt; Floor Carpeting &gt; Interior &gt; Floor Mat Anchors</t>
  </si>
  <si>
    <t>Interior &gt; Trims Parts &gt; Floor Carpeting &gt; Interior &gt; Floor Mat Anchors &gt; Automated Process</t>
  </si>
  <si>
    <t>0000000A9EJKEU01 (AutoReverse)</t>
  </si>
  <si>
    <t>Interior &gt; Trims Parts &gt; Floor Carpeting &gt; Interior &gt; Floor Carpeting Shim</t>
  </si>
  <si>
    <t>0.0023530186876744175102238662 kg</t>
  </si>
  <si>
    <t>Interior &gt; Trims Parts &gt; Floor Carpeting &gt; Interior &gt; Floor Carpeting Shim &gt; Injection molding</t>
  </si>
  <si>
    <t>Opening: 0.67 s, Ejection: 0.05 s, Insert: 0.00 s, Closing: 1.67 s, Removal: 1.44 s, Cooling: 17.33 s, Injection: 0.40</t>
  </si>
  <si>
    <t>000000046P4SEU01 (AutoReverse)</t>
  </si>
  <si>
    <t>Interior &gt; Trims Parts &gt; Floor Carpeting &gt; Interior &gt; Complete Carpet</t>
  </si>
  <si>
    <t>4.20000 kg</t>
  </si>
  <si>
    <t>4.6666666666666666666666666667 kg</t>
  </si>
  <si>
    <t>Interior &gt; Trims Parts &gt; Floor Carpeting &gt; Interior &gt; Complete Carpet &gt; Thermocompression</t>
  </si>
  <si>
    <t>Using heat and pressure to shape the carpet material into the desired form.</t>
  </si>
  <si>
    <t>Interior &gt; Trims Parts &gt; Floor Carpeting &gt; Interior &gt; Complete Carpet &gt; Waterjet cutting</t>
  </si>
  <si>
    <t>Precisely cutting the carpet to the required dimensions and patterns using a high-pressure water stream.</t>
  </si>
  <si>
    <t>0.1020408163265306122448979592 kg</t>
  </si>
  <si>
    <t>Interior &gt; Trims Parts &gt; Floor Carpeting &gt; Interior &gt; Complete Carpet &gt; Gluing</t>
  </si>
  <si>
    <t>Applying adhesive to securely bond recycled fabrics on the carpet, ensuring durability and stability.</t>
  </si>
  <si>
    <t>Interior &gt; Trims Parts &gt; Floor Carpeting &gt; Interior &gt; Complete Carpet &gt; Assembly</t>
  </si>
  <si>
    <t>Adding additional components, such as pads or fasteners, to the carpet.</t>
  </si>
  <si>
    <t>Interior &gt; Trims Parts &gt; Floor Carpeting &gt; Interior &gt; Complete Carpet &gt; Handling/Inspection</t>
  </si>
  <si>
    <t>The final step in the manufacturing process where the carpet is inspected.</t>
  </si>
  <si>
    <t>(2110-736) Carpet: Thermoforming and gluing costing template</t>
  </si>
  <si>
    <t>0000000AOE3SEU01 (AutoReverse)</t>
  </si>
  <si>
    <t>00000007QBCREU01 (AutoReverse)</t>
  </si>
  <si>
    <t>Interior &gt; Trims Parts &gt; Floor Carpeting &gt; Trunk</t>
  </si>
  <si>
    <t>Interior &gt; Trims Parts &gt; Floor Carpeting &gt; Trunk &gt; Removable Floor System</t>
  </si>
  <si>
    <t>Interior &gt; Trims Parts &gt; Floor Carpeting &gt; Trunk &gt; Removable Floor System &gt; Main Floor</t>
  </si>
  <si>
    <t>Interior &gt; Trims Parts &gt; Floor Carpeting &gt; Trunk &gt; Removable Floor System &gt; Main Floor &gt; Automated Process</t>
  </si>
  <si>
    <t>{_x000d_
  "productId": "A000000C1B9YEU02",_x000d_
  "productCompleteName": "Koller"_x000d_
}</t>
  </si>
  <si>
    <t>PET;SBR;GF;PAPER;PUR;PU;PLASTIC UNKNOWN</t>
  </si>
  <si>
    <t>00000007DU6MEU01 (AutoReverse)</t>
  </si>
  <si>
    <t>Interior &gt; Trims Parts &gt; Floor Carpeting &gt; Trunk &gt; Removable Floor System &gt; Support Panel and Right if Similar</t>
  </si>
  <si>
    <t>0.69400 kg</t>
  </si>
  <si>
    <t>0.7432738535750508457149833941 kg</t>
  </si>
  <si>
    <t>Interior &gt; Trims Parts &gt; Floor Carpeting &gt; Trunk &gt; Removable Floor System &gt; Support Panel and Right if Similar &gt; Injection molding</t>
  </si>
  <si>
    <t>Opening: 2.38 s, Ejection: 0.23 s, Insert: 0.00 s, Closing: 4.75 s, Removal: 2.48 s, Cooling: 8.56 s, Injection: 2.44</t>
  </si>
  <si>
    <t>00000001KE9IEU01 (AutoReverse)</t>
  </si>
  <si>
    <t>Interior &gt; Trims Parts &gt; Floor Carpeting &gt; Trunk &gt; Removable Floor System &gt; Support Panel Right</t>
  </si>
  <si>
    <t>0.68300 kg</t>
  </si>
  <si>
    <t>0.7314928558959073885062444643 kg</t>
  </si>
  <si>
    <t>Interior &gt; Trims Parts &gt; Floor Carpeting &gt; Trunk &gt; Removable Floor System &gt; Support Panel Right &gt; Injection molding</t>
  </si>
  <si>
    <t>00000003NDA4EU01 (AutoReverse)</t>
  </si>
  <si>
    <t>Interior &gt; Trims Parts &gt; Floor Carpeting &gt; Trunk &gt; Removable Floor System &gt; Reinforcement / Bracket Handle</t>
  </si>
  <si>
    <t>Interior &gt; Trims Parts &gt; Floor Carpeting &gt; Trunk &gt; Removable Floor System &gt; Reinforcement / Bracket Handle &gt; Handling/Visual Inspection/Packaging</t>
  </si>
  <si>
    <t>The final step involves inspecting the part for quality and packaging it for delivery.</t>
  </si>
  <si>
    <t>0.0352683924666713691189955562 kg</t>
  </si>
  <si>
    <t>Interior &gt; Trims Parts &gt; Floor Carpeting &gt; Trunk &gt; Removable Floor System &gt; Reinforcement / Bracket Handle &gt; Injection molding</t>
  </si>
  <si>
    <t>Opening: 0.92 s, Ejection: 0.05 s, Insert: 0.00 s, Closing: 2.30 s, Removal: 1.52 s, Cooling: 12.89 s, Injection: 1.84</t>
  </si>
  <si>
    <t>(2110-429) Generic injection molding template</t>
  </si>
  <si>
    <t>0000000A1PXYEU01 (AutoReverse)</t>
  </si>
  <si>
    <t>Interior &gt; Trims Parts &gt; Floor Carpeting &gt; Trunk &gt; Removable Floor System &gt; Handle</t>
  </si>
  <si>
    <t>Interior &gt; Trims Parts &gt; Floor Carpeting &gt; Trunk &gt; Removable Floor System &gt; Handle &gt; Handling/Visual Inspection/Packaging</t>
  </si>
  <si>
    <t>0.06300 kg</t>
  </si>
  <si>
    <t>0.0675803965360219604107600864 kg</t>
  </si>
  <si>
    <t>Interior &gt; Trims Parts &gt; Floor Carpeting &gt; Trunk &gt; Removable Floor System &gt; Handle &gt; Injection molding</t>
  </si>
  <si>
    <t>Opening: 0.77 s, Ejection: 0.06 s, Insert: 0.00 s, Closing: 1.93 s, Removal: 1.50 s, Cooling: 10.70 s, Injection: 2.10</t>
  </si>
  <si>
    <t>(2110-423) Generic injection molding template</t>
  </si>
  <si>
    <t>00000006ZL8WEU01 (AutoReverse)</t>
  </si>
  <si>
    <t>00000005ZIK8EU01 (AutoReverse)</t>
  </si>
  <si>
    <t>Interior &gt; Trims Parts &gt; Floor Carpeting &gt; Trunk &gt; Upper Layer</t>
  </si>
  <si>
    <t>Interior &gt; Trims Parts &gt; Floor Carpeting &gt; Trunk &gt; Upper Layer &gt; Automated Process</t>
  </si>
  <si>
    <t>PET;PU;LGF;PW</t>
  </si>
  <si>
    <t>00000005LX76EU01 (AutoReverse)</t>
  </si>
  <si>
    <t>00000009SQKTEU01 (AutoReverse)</t>
  </si>
  <si>
    <t>000000019UATEU01 (AutoReverse)</t>
  </si>
  <si>
    <t>Interior &gt; Trims Parts &gt; Speakers System</t>
  </si>
  <si>
    <t>Interior &gt; Trims Parts &gt; Speakers System &gt; Tweeter System</t>
  </si>
  <si>
    <t>ELECTRONIC COMPONENT;MAGNET;PC</t>
  </si>
  <si>
    <t>00000002E4GREU01 (AutoReverse)</t>
  </si>
  <si>
    <t>000000014ZT1EU01 (AutoReverse)</t>
  </si>
  <si>
    <t>0000000ANFESEU01 (AutoReverse)</t>
  </si>
  <si>
    <t>0000000983D2EU01 (AutoReverse)</t>
  </si>
  <si>
    <t>Interior &gt; Trims Parts &gt; Tie Bracket System</t>
  </si>
  <si>
    <t>Interior &gt; Trims Parts &gt; Tie Bracket System &gt; Tie Bracket</t>
  </si>
  <si>
    <t>0.0042215111321248554132437247 kg</t>
  </si>
  <si>
    <t>Interior &gt; Trims Parts &gt; Tie Bracket System &gt; Tie Bracket &gt; Injection molding</t>
  </si>
  <si>
    <t>Opening: 0.67 s, Ejection: 0.06 s, Insert: 0.00 s, Closing: 1.67 s, Removal: 1.45 s, Cooling: 15.21 s, Injection: 0.63</t>
  </si>
  <si>
    <t>00000000WWMZEU01 (AutoReverse)</t>
  </si>
  <si>
    <t>00000005P3JEEU01 (AutoReverse)</t>
  </si>
  <si>
    <t>Interior &gt; Trims Parts &gt; Interior Lighting System</t>
  </si>
  <si>
    <t>000000085UTAEU01 (AutoReverse)</t>
  </si>
  <si>
    <t>00000009OFR6EU01 (AutoReverse)</t>
  </si>
  <si>
    <t>Interior &gt; Trims Parts &gt; Floor and Insert System</t>
  </si>
  <si>
    <t>Interior &gt; Trims Parts &gt; Floor and Insert System &gt; Front Left Padding</t>
  </si>
  <si>
    <t>0.32500 kg</t>
  </si>
  <si>
    <t>0.3350515463917525773195876289 kg</t>
  </si>
  <si>
    <t>Interior &gt; Trims Parts &gt; Floor and Insert System &gt; Front Left Padding &gt; Press</t>
  </si>
  <si>
    <t>Interior &gt; Trims Parts &gt; Floor and Insert System &gt; Front Left Padding &gt; Steam facility</t>
  </si>
  <si>
    <t>00000005Z2X5EU01 (AutoReverse)</t>
  </si>
  <si>
    <t>Interior &gt; Trims Parts &gt; Floor and Insert System &gt; Front Right Padding</t>
  </si>
  <si>
    <t>0.23800 kg</t>
  </si>
  <si>
    <t>0.2453608247422680412371134021 kg</t>
  </si>
  <si>
    <t>Interior &gt; Trims Parts &gt; Floor and Insert System &gt; Front Right Padding &gt; Press</t>
  </si>
  <si>
    <t>Interior &gt; Trims Parts &gt; Floor and Insert System &gt; Front Right Padding &gt; Steam facility</t>
  </si>
  <si>
    <t>00000009E9XZEU01 (AutoReverse)</t>
  </si>
  <si>
    <t>00000002VE2XEU01 (AutoReverse)</t>
  </si>
  <si>
    <t>Interior &gt; Trims Parts &gt; Headliner Filler</t>
  </si>
  <si>
    <t>Interior &gt; Trims Parts &gt; Headliner Filler &gt; Headliner filler</t>
  </si>
  <si>
    <t>Interior &gt; Trims Parts &gt; Headliner Filler &gt; Headliner filler &gt; Automated process</t>
  </si>
  <si>
    <t>Directional cost of headliner filler with material and process portion.</t>
  </si>
  <si>
    <t>(2110-1309) Headliner Filler directional costing template</t>
  </si>
  <si>
    <t>00000006GWSPEU01 (AutoReverse)</t>
  </si>
  <si>
    <t>00000005FA0FEU01 (AutoReverse)</t>
  </si>
  <si>
    <t>Headliner assy</t>
  </si>
  <si>
    <t>00000006F7JTEU01 (AutoReverse)</t>
  </si>
  <si>
    <t>000000055V3ZEU01 (AutoReverse)</t>
  </si>
  <si>
    <t>Body</t>
  </si>
  <si>
    <t>Body &gt; Closures</t>
  </si>
  <si>
    <t>Body &gt; Closures &gt; Driver Door</t>
  </si>
  <si>
    <t>Body &gt; Closures &gt; Driver Door &gt; Driver Door</t>
  </si>
  <si>
    <t xml:space="preserve">Body &gt; Closures &gt; Driver Door &gt; Driver Door &gt; Housing Assy </t>
  </si>
  <si>
    <t>Body &gt; Closures &gt; Driver Door &gt; Driver Door &gt; Housing Assy  &gt; Housing</t>
  </si>
  <si>
    <t>Body &gt; Closures &gt; Driver Door &gt; Driver Door &gt; Housing Assy  &gt; Housing &gt; Part 01 single/front</t>
  </si>
  <si>
    <t>5.64000 kg</t>
  </si>
  <si>
    <t>10.254545454545454545454545455 kg</t>
  </si>
  <si>
    <t>Body &gt; Closures &gt; Driver Door &gt; Driver Door &gt; Housing Assy  &gt; Housing &gt; Part 01 single/front &gt; Manufacturing Process</t>
  </si>
  <si>
    <t>Closure - [Mechanical Prod] [Internal]</t>
  </si>
  <si>
    <t>Body &gt; Closures &gt; Driver Door &gt; Driver Door &gt; Housing Assy  &gt; Reinforcements</t>
  </si>
  <si>
    <t>Body &gt; Closures &gt; Driver Door &gt; Driver Door &gt; Housing Assy  &gt; Reinforcements &gt; Part 02</t>
  </si>
  <si>
    <t>0.45000 kg</t>
  </si>
  <si>
    <t>0.5294117647058823529411764706 kg</t>
  </si>
  <si>
    <t>Body &gt; Closures &gt; Driver Door &gt; Driver Door &gt; Housing Assy  &gt; Reinforcements &gt; Part 02 &gt; Manufacturing Process</t>
  </si>
  <si>
    <t>Closure - [Mechanical Prod] [Purchased]</t>
  </si>
  <si>
    <t>Body &gt; Closures &gt; Driver Door &gt; Driver Door &gt; Housing Assy  &gt; Reinforcements &gt; Part 01 single/main</t>
  </si>
  <si>
    <t>0.9625 kg</t>
  </si>
  <si>
    <t>Body &gt; Closures &gt; Driver Door &gt; Driver Door &gt; Housing Assy  &gt; Reinforcements &gt; Part 01 single/main &gt; Manufacturing Process</t>
  </si>
  <si>
    <t>Body &gt; Closures &gt; Driver Door &gt; Driver Door &gt; Housing Assy  &gt; Fixing parts</t>
  </si>
  <si>
    <t>Body &gt; Closures &gt; Driver Door &gt; Driver Door &gt; Housing Assy  &gt; Fixing parts &gt; Front</t>
  </si>
  <si>
    <t>Body &gt; Closures &gt; Driver Door &gt; Driver Door &gt; Housing Assy  &gt; Fixing parts &gt; Front &gt; Part 03</t>
  </si>
  <si>
    <t>0.8666666666666666666666666667 kg</t>
  </si>
  <si>
    <t>Body &gt; Closures &gt; Driver Door &gt; Driver Door &gt; Housing Assy  &gt; Fixing parts &gt; Front &gt; Part 03 &gt; Manufacturing Process</t>
  </si>
  <si>
    <t>Body &gt; Closures &gt; Driver Door &gt; Driver Door &gt; Housing Assy  &gt; Fixing parts &gt; Front &gt; Part 02</t>
  </si>
  <si>
    <t>0.9285714285714285714285714286 kg</t>
  </si>
  <si>
    <t>Body &gt; Closures &gt; Driver Door &gt; Driver Door &gt; Housing Assy  &gt; Fixing parts &gt; Front &gt; Part 02 &gt; Manufacturing Process</t>
  </si>
  <si>
    <t>Body &gt; Closures &gt; Driver Door &gt; Driver Door &gt; Housing Assy  &gt; Fixing parts &gt; Front &gt; Part 01 single/main</t>
  </si>
  <si>
    <t>0.0705882352941176470588235294 kg</t>
  </si>
  <si>
    <t>Body &gt; Closures &gt; Driver Door &gt; Driver Door &gt; Housing Assy  &gt; Fixing parts &gt; Front &gt; Part 01 single/main &gt; Manufacturing Process</t>
  </si>
  <si>
    <t>Body &gt; Closures &gt; Driver Door &gt; Driver Door &gt; Anti-intrusion beams</t>
  </si>
  <si>
    <t>Body &gt; Closures &gt; Driver Door &gt; Driver Door &gt; Anti-intrusion beams &gt; Beam 01</t>
  </si>
  <si>
    <t>Body &gt; Closures &gt; Driver Door &gt; Driver Door &gt; Anti-intrusion beams &gt; Beam 01 &gt; Beam</t>
  </si>
  <si>
    <t>Body &gt; Closures &gt; Driver Door &gt; Driver Door &gt; Anti-intrusion beams &gt; Beam 01 &gt; Beam &gt; Part 01 single/main</t>
  </si>
  <si>
    <t>1.36000 kg</t>
  </si>
  <si>
    <t>2.72 kg</t>
  </si>
  <si>
    <t>Body &gt; Closures &gt; Driver Door &gt; Driver Door &gt; Anti-intrusion beams &gt; Beam 01 &gt; Beam &gt; Part 01 single/main &gt; Manufacturing Process</t>
  </si>
  <si>
    <t>Body &gt; Closures &gt; Driver Door &gt; Driver Door &gt; Window frame assy</t>
  </si>
  <si>
    <t>Body &gt; Closures &gt; Driver Door &gt; Driver Door &gt; Window frame assy &gt; Reinforcements</t>
  </si>
  <si>
    <t>Body &gt; Closures &gt; Driver Door &gt; Driver Door &gt; Window frame assy &gt; Reinforcements &gt; Part 01 single/main</t>
  </si>
  <si>
    <t>Body &gt; Closures &gt; Driver Door &gt; Driver Door &gt; Window frame assy &gt; Reinforcements &gt; Part 01 single/main &gt; Manufacturing Process</t>
  </si>
  <si>
    <t>Body &gt; Closures &gt; Driver Door &gt; Driver Door &gt; Window frame assy &gt; Glass slides</t>
  </si>
  <si>
    <t>Body &gt; Closures &gt; Driver Door &gt; Driver Door &gt; Window frame assy &gt; Glass slides &gt; Front</t>
  </si>
  <si>
    <t>Body &gt; Closures &gt; Driver Door &gt; Driver Door &gt; Window frame assy &gt; Glass slides &gt; Front &gt; Slide</t>
  </si>
  <si>
    <t>Body &gt; Closures &gt; Driver Door &gt; Driver Door &gt; Window frame assy &gt; Glass slides &gt; Front &gt; Slide &gt; Part 01 single/main</t>
  </si>
  <si>
    <t>0.2533333333333333333333333333 kg</t>
  </si>
  <si>
    <t>Body &gt; Closures &gt; Driver Door &gt; Driver Door &gt; Window frame assy &gt; Glass slides &gt; Front &gt; Slide &gt; Part 01 single/main &gt; Manufacturing Process</t>
  </si>
  <si>
    <t>Body &gt; Closures &gt; Driver Door &gt; Driver Door &gt; Window frame assy &gt; Frame</t>
  </si>
  <si>
    <t>Body &gt; Closures &gt; Driver Door &gt; Driver Door &gt; Window frame assy &gt; Frame &gt; Part 01 single/front</t>
  </si>
  <si>
    <t>Body &gt; Closures &gt; Driver Door &gt; Driver Door &gt; Window frame assy &gt; Frame &gt; Part 01 single/front &gt; Manufacturing Process</t>
  </si>
  <si>
    <t xml:space="preserve">Body &gt; Closures &gt; Driver Door &gt; Driver Door &gt; Top roll assy </t>
  </si>
  <si>
    <t>Body &gt; Closures &gt; Driver Door &gt; Driver Door &gt; Top roll assy  &gt; Cross member 01 (outer)</t>
  </si>
  <si>
    <t>Body &gt; Closures &gt; Driver Door &gt; Driver Door &gt; Top roll assy  &gt; Cross member 01 (outer) &gt; Cross member</t>
  </si>
  <si>
    <t>Body &gt; Closures &gt; Driver Door &gt; Driver Door &gt; Top roll assy  &gt; Cross member 01 (outer) &gt; Cross member &gt; Part 01 single/main</t>
  </si>
  <si>
    <t>0.94000 kg</t>
  </si>
  <si>
    <t>1.2533333333333333333333333333 kg</t>
  </si>
  <si>
    <t>Body &gt; Closures &gt; Driver Door &gt; Driver Door &gt; Top roll assy  &gt; Cross member 01 (outer) &gt; Cross member &gt; Part 01 single/main &gt; Manufacturing Process</t>
  </si>
  <si>
    <t>Body &gt; Closures &gt; Driver Door &gt; Driver Door &gt; Top roll assy  &gt; Cross member 01 (outer) &gt; Cross member &gt; Part 02</t>
  </si>
  <si>
    <t>0.29000 kg</t>
  </si>
  <si>
    <t>0.3625 kg</t>
  </si>
  <si>
    <t>Body &gt; Closures &gt; Driver Door &gt; Driver Door &gt; Top roll assy  &gt; Cross member 01 (outer) &gt; Cross member &gt; Part 02 &gt; Manufacturing Process</t>
  </si>
  <si>
    <t>Body &gt; Closures &gt; Driver Door &gt; Driver Door &gt; Top roll assy  &gt; Cross member 01 (outer) &gt; Fixing parts</t>
  </si>
  <si>
    <t>Body &gt; Closures &gt; Driver Door &gt; Driver Door &gt; Top roll assy  &gt; Cross member 01 (outer) &gt; Fixing parts &gt; Part 01 single/main</t>
  </si>
  <si>
    <t>0.425 kg</t>
  </si>
  <si>
    <t>Body &gt; Closures &gt; Driver Door &gt; Driver Door &gt; Top roll assy  &gt; Cross member 01 (outer) &gt; Fixing parts &gt; Part 01 single/main &gt; Manufacturing Process</t>
  </si>
  <si>
    <t>Body &gt; Closures &gt; Driver Door &gt; Driver Door &gt; Top roll assy  &gt; Cross member 02 (inner)</t>
  </si>
  <si>
    <t>Body &gt; Closures &gt; Driver Door &gt; Driver Door &gt; Top roll assy  &gt; Cross member 02 (inner) &gt; Cross member</t>
  </si>
  <si>
    <t>Body &gt; Closures &gt; Driver Door &gt; Driver Door &gt; Top roll assy  &gt; Cross member 02 (inner) &gt; Cross member &gt; Part 01 single/main</t>
  </si>
  <si>
    <t>2.13000 kg</t>
  </si>
  <si>
    <t>3.0428571428571428571428571429 kg</t>
  </si>
  <si>
    <t>Body &gt; Closures &gt; Driver Door &gt; Driver Door &gt; Top roll assy  &gt; Cross member 02 (inner) &gt; Cross member &gt; Part 01 single/main &gt; Manufacturing Process</t>
  </si>
  <si>
    <t>Body &gt; Closures &gt; Driver Door &gt; Driver Door &gt; Outer panel</t>
  </si>
  <si>
    <t>Body &gt; Closures &gt; Driver Door &gt; Driver Door &gt; Outer panel &gt; Panel</t>
  </si>
  <si>
    <t>Body &gt; Closures &gt; Driver Door &gt; Driver Door &gt; Outer panel &gt; Panel &gt; Part 01 single/main</t>
  </si>
  <si>
    <t>4.64000 kg</t>
  </si>
  <si>
    <t>5.4588235294117647058823529412 kg</t>
  </si>
  <si>
    <t>Body &gt; Closures &gt; Driver Door &gt; Driver Door &gt; Outer panel &gt; Panel &gt; Part 01 single/main &gt; Manufacturing Process</t>
  </si>
  <si>
    <t>Body &gt; Closures &gt; Driver Door &gt; Driver Door &gt; Assembly</t>
  </si>
  <si>
    <t>Closure - [Assembly] [Internal]</t>
  </si>
  <si>
    <t>0000000AUNZ1EU01 (AutoReverse)</t>
  </si>
  <si>
    <t>Body &gt; Closures &gt; Driver Door &gt; Door Panel</t>
  </si>
  <si>
    <t>Body &gt; Closures &gt; Driver Door &gt; Door Panel &gt; Door handle</t>
  </si>
  <si>
    <t>Body &gt; Closures &gt; Driver Door &gt; Door Panel &gt; Door handle &gt; Handle Support</t>
  </si>
  <si>
    <t>0.23600 kg</t>
  </si>
  <si>
    <t>0.2484210526315789473684210526 kg</t>
  </si>
  <si>
    <t>Body &gt; Closures &gt; Driver Door &gt; Door Panel &gt; Door handle &gt; Handle Support &gt; Automated Process</t>
  </si>
  <si>
    <t>00000003PN5QEU01 (AutoReverse)</t>
  </si>
  <si>
    <t>Body &gt; Closures &gt; Driver Door &gt; Door Panel &gt; Door handle &gt; 2nd Handle Support</t>
  </si>
  <si>
    <t>0.01700 kg</t>
  </si>
  <si>
    <t>0.0178947368421052631578947368 kg</t>
  </si>
  <si>
    <t>Body &gt; Closures &gt; Driver Door &gt; Door Panel &gt; Door handle &gt; 2nd Handle Support &gt; Automated Process</t>
  </si>
  <si>
    <t>{_x000d_
  "productId": "0000000W0ZFYCID0",_x000d_
  "productCompleteName": "Antolin"_x000d_
}</t>
  </si>
  <si>
    <t>000000002S15EU01 (AutoReverse)</t>
  </si>
  <si>
    <t>00000004OROAEU01 (AutoReverse)</t>
  </si>
  <si>
    <t>Body &gt; Closures &gt; Driver Door &gt; Door Panel &gt; Panel carrier</t>
  </si>
  <si>
    <t>1.34100 kg</t>
  </si>
  <si>
    <t>1.4115789473684210526315789474 kg</t>
  </si>
  <si>
    <t>Body &gt; Closures &gt; Driver Door &gt; Door Panel &gt; Panel carrier &gt; Automated Process</t>
  </si>
  <si>
    <t>00000000ORNLEU01 (AutoReverse)</t>
  </si>
  <si>
    <t>Body &gt; Closures &gt; Driver Door &gt; Door Panel &gt; Armrest</t>
  </si>
  <si>
    <t>0.27950 kg</t>
  </si>
  <si>
    <t>0.2942105263157894736842105263 kg</t>
  </si>
  <si>
    <t>Body &gt; Closures &gt; Driver Door &gt; Door Panel &gt; Armrest &gt; Automated Process</t>
  </si>
  <si>
    <t>PVC;PP</t>
  </si>
  <si>
    <t>00000001XOBSEU01 (AutoReverse)</t>
  </si>
  <si>
    <t>Body &gt; Closures &gt; Driver Door &gt; Door Panel &gt; Upper Band</t>
  </si>
  <si>
    <t>0.25650 kg</t>
  </si>
  <si>
    <t>0.27 kg</t>
  </si>
  <si>
    <t>Body &gt; Closures &gt; Driver Door &gt; Door Panel &gt; Upper Band &gt; Automated Process</t>
  </si>
  <si>
    <t>ABS;PVC</t>
  </si>
  <si>
    <t>000000081SFFEU01 (AutoReverse)</t>
  </si>
  <si>
    <t>Body &gt; Closures &gt; Driver Door &gt; Door Panel &gt; Door Map Pocket Bottom</t>
  </si>
  <si>
    <t>0.56600 kg</t>
  </si>
  <si>
    <t>0.5957894736842105263157894737 kg</t>
  </si>
  <si>
    <t>Body &gt; Closures &gt; Driver Door &gt; Door Panel &gt; Door Map Pocket Bottom &gt; Automated Process</t>
  </si>
  <si>
    <t>00000007ZVYIEU01 (AutoReverse)</t>
  </si>
  <si>
    <t>Body &gt; Closures &gt; Driver Door &gt; Door Panel &gt; Locking Indicator Trim</t>
  </si>
  <si>
    <t>Body &gt; Closures &gt; Driver Door &gt; Door Panel &gt; Locking Indicator Trim &gt; Automated Process</t>
  </si>
  <si>
    <t>00000007VQJIEU01 (AutoReverse)</t>
  </si>
  <si>
    <t>00000002Q5OSEU01 (AutoReverse)</t>
  </si>
  <si>
    <t>Body &gt; Closures &gt; Driver Door &gt; Door Mechanism</t>
  </si>
  <si>
    <t>Body &gt; Closures &gt; Driver Door &gt; Door Mechanism &gt; Interior Side</t>
  </si>
  <si>
    <t>Body &gt; Closures &gt; Driver Door &gt; Door Mechanism &gt; Interior Side &gt; Fastners</t>
  </si>
  <si>
    <t>Body &gt; Closures &gt; Driver Door &gt; Door Mechanism &gt; Interior Side &gt; Opening Control</t>
  </si>
  <si>
    <t>Body &gt; Closures &gt; Driver Door &gt; Door Mechanism &gt; Interior Side &gt; Opening Control &gt; Injection molding</t>
  </si>
  <si>
    <t>Automated process considered for less weightage &lt;50 grams</t>
  </si>
  <si>
    <t>00000005VU0TEU01 (AutoReverse)</t>
  </si>
  <si>
    <t>Body &gt; Closures &gt; Driver Door &gt; Door Mechanism &gt; Interior Side &gt; Opening Control Support</t>
  </si>
  <si>
    <t>0.09300 kg</t>
  </si>
  <si>
    <t>0.0948600151776024284163885466 kg</t>
  </si>
  <si>
    <t>Body &gt; Closures &gt; Driver Door &gt; Door Mechanism &gt; Interior Side &gt; Opening Control Support &gt; Injection molding</t>
  </si>
  <si>
    <t>Body &gt; Closures &gt; Driver Door &gt; Door Mechanism &gt; Interior Side &gt; Opening Control Support &gt; Handling/Visual Inspection/Packaging</t>
  </si>
  <si>
    <t>00000007UZ91EU01 (AutoReverse)</t>
  </si>
  <si>
    <t>00000006CF8IEU01 (AutoReverse)</t>
  </si>
  <si>
    <t>Body &gt; Closures &gt; Driver Door &gt; Door Mechanism &gt; Exterior Side</t>
  </si>
  <si>
    <t>Body &gt; Closures &gt; Driver Door &gt; Door Mechanism &gt; Exterior Side &gt; Fastners</t>
  </si>
  <si>
    <t>Body &gt; Closures &gt; Driver Door &gt; Door Mechanism &gt; Exterior Side &gt; Opening Control</t>
  </si>
  <si>
    <t>0.0734400117504018800643008103 kg</t>
  </si>
  <si>
    <t>Body &gt; Closures &gt; Driver Door &gt; Door Mechanism &gt; Exterior Side &gt; Opening Control &gt; Injection molding</t>
  </si>
  <si>
    <t>Body &gt; Closures &gt; Driver Door &gt; Door Mechanism &gt; Exterior Side &gt; Opening Control &gt; Handling/Visual Inspection/Packaging</t>
  </si>
  <si>
    <t>PA6;TPE</t>
  </si>
  <si>
    <t>00000001A71LEU01 (AutoReverse)</t>
  </si>
  <si>
    <t>Body &gt; Closures &gt; Driver Door &gt; Door Mechanism &gt; Exterior Side &gt; Opening Control Support</t>
  </si>
  <si>
    <t>0.21300 kg</t>
  </si>
  <si>
    <t>0.2172600347616055618568898971 kg</t>
  </si>
  <si>
    <t>Body &gt; Closures &gt; Driver Door &gt; Door Mechanism &gt; Exterior Side &gt; Opening Control Support &gt; Injection molding</t>
  </si>
  <si>
    <t>Body &gt; Closures &gt; Driver Door &gt; Door Mechanism &gt; Exterior Side &gt; Opening Control Support &gt; Handling/Visual Inspection/Packaging</t>
  </si>
  <si>
    <t>PBT;NON FERROUS METAL</t>
  </si>
  <si>
    <t>00000005XZAYEU01 (AutoReverse)</t>
  </si>
  <si>
    <t>Body &gt; Closures &gt; Driver Door &gt; Door Mechanism &gt; Exterior Side &gt; 2nd Opening Control Support</t>
  </si>
  <si>
    <t>0.07900 kg</t>
  </si>
  <si>
    <t>0.0805800128928020628483300557 kg</t>
  </si>
  <si>
    <t>Body &gt; Closures &gt; Driver Door &gt; Door Mechanism &gt; Exterior Side &gt; 2nd Opening Control Support &gt; Injection molding</t>
  </si>
  <si>
    <t>Body &gt; Closures &gt; Driver Door &gt; Door Mechanism &gt; Exterior Side &gt; 2nd Opening Control Support &gt; Handling/Visual Inspection/Packaging</t>
  </si>
  <si>
    <t>0000008EJ940CID0 (AutoReverse)</t>
  </si>
  <si>
    <t>Body &gt; Closures &gt; Driver Door &gt; Door Mechanism &gt; Exterior Side &gt; Bezel</t>
  </si>
  <si>
    <t>0.02000 kg</t>
  </si>
  <si>
    <t>0.0210526315789473684210526316 kg</t>
  </si>
  <si>
    <t>Body &gt; Closures &gt; Driver Door &gt; Door Mechanism &gt; Exterior Side &gt; Bezel &gt; Injection molding</t>
  </si>
  <si>
    <t>00000006BHS9EU01 (AutoReverse)</t>
  </si>
  <si>
    <t>PMMA;ELECTRONIC COMPONENT</t>
  </si>
  <si>
    <t>00000009ZP1SEU01 (AutoReverse)</t>
  </si>
  <si>
    <t>00000002TO4PEU01 (AutoReverse)</t>
  </si>
  <si>
    <t>Body &gt; Closures &gt; Driver Door &gt; Door Mechanism &gt; Exterior Side &gt; Seal</t>
  </si>
  <si>
    <t>0.00250 kg</t>
  </si>
  <si>
    <t>0.0026315789473684210526315789 kg</t>
  </si>
  <si>
    <t>Body &gt; Closures &gt; Driver Door &gt; Door Mechanism &gt; Exterior Side &gt; Seal &gt; Injection molding</t>
  </si>
  <si>
    <t>TPE;PP</t>
  </si>
  <si>
    <t>000000AF2NK2EU02 (AutoReverse)</t>
  </si>
  <si>
    <t>Body &gt; Closures &gt; Driver Door &gt; Door Mechanism &gt; Exterior Side &gt; Assembly</t>
  </si>
  <si>
    <t>00000005Y2XWEU01 (AutoReverse)</t>
  </si>
  <si>
    <t>Body &gt; Closures &gt; Driver Door &gt; Door Mechanism &gt; Fastners</t>
  </si>
  <si>
    <t>Body &gt; Closures &gt; Driver Door &gt; Door Mechanism &gt; Door Latch</t>
  </si>
  <si>
    <t>Body &gt; Closures &gt; Driver Door &gt; Door Mechanism &gt; Door Latch &gt; Process</t>
  </si>
  <si>
    <t>{_x000d_
  "productId": "0000000W10K4CID0",_x000d_
  "productCompleteName": "Kiekert"_x000d_
}</t>
  </si>
  <si>
    <t>Closure - [Assembly] [Purchased]</t>
  </si>
  <si>
    <t>PBT;TPE;TPC-ET;FERROUS METAL;ELECTRONIC COMPONENT</t>
  </si>
  <si>
    <t>00000007GQUIEU01 (AutoReverse)</t>
  </si>
  <si>
    <t>Body &gt; Closures &gt; Driver Door &gt; Door Mechanism &gt; Door Striker</t>
  </si>
  <si>
    <t>0.1428571428571428571428571429 kg</t>
  </si>
  <si>
    <t xml:space="preserve">Body &gt; Closures &gt; Driver Door &gt; Door Mechanism &gt; Door Striker &gt; Stamping </t>
  </si>
  <si>
    <t>Referred from Lucid Gravity</t>
  </si>
  <si>
    <t>Wire Bending</t>
  </si>
  <si>
    <t>Body &gt; Closures &gt; Driver Door &gt; Door Mechanism &gt; Door Striker &gt; Wire Bending</t>
  </si>
  <si>
    <t>Body &gt; Closures &gt; Driver Door &gt; Door Mechanism &gt; Door Striker &gt; Press fit</t>
  </si>
  <si>
    <t>00000002S028EU01 (AutoReverse)</t>
  </si>
  <si>
    <t>Body &gt; Closures &gt; Driver Door &gt; Door Mechanism &gt; Lock Cylinder</t>
  </si>
  <si>
    <t>0.16500 kg</t>
  </si>
  <si>
    <t>0.1833333333333333333333333333 kg</t>
  </si>
  <si>
    <t>Body &gt; Closures &gt; Driver Door &gt; Door Mechanism &gt; Lock Cylinder &gt; Casting</t>
  </si>
  <si>
    <t>ZP5;FERROUS METAL</t>
  </si>
  <si>
    <t>000000012NCLEU01 (AutoReverse)</t>
  </si>
  <si>
    <t>Body &gt; Closures &gt; Driver Door &gt; Door Mechanism &gt; Lock Cylinder Support</t>
  </si>
  <si>
    <t xml:space="preserve">Body &gt; Closures &gt; Driver Door &gt; Door Mechanism &gt; Lock Cylinder Support &gt; Stamping </t>
  </si>
  <si>
    <t>00000005IB6YEU01 (AutoReverse)</t>
  </si>
  <si>
    <t>Body &gt; Closures &gt; Driver Door &gt; Door Mechanism &gt; Lock Cylinder Trim Cover</t>
  </si>
  <si>
    <t>0.0091800014688002350080376013 kg</t>
  </si>
  <si>
    <t>Body &gt; Closures &gt; Driver Door &gt; Door Mechanism &gt; Lock Cylinder Trim Cover &gt; Injection molding</t>
  </si>
  <si>
    <t>Body &gt; Closures &gt; Driver Door &gt; Door Mechanism &gt; Lock Cylinder Trim Cover &gt; Handling/Visual Inspection/Packaging</t>
  </si>
  <si>
    <t>00000005TMEWEU01  (AutoReverse)</t>
  </si>
  <si>
    <t>Body &gt; Closures &gt; Driver Door &gt; Door Mechanism &gt; Lock Cylinder Mechanism</t>
  </si>
  <si>
    <t xml:space="preserve">Body &gt; Closures &gt; Driver Door &gt; Door Mechanism &gt; Lock Cylinder Mechanism &gt; Stamping </t>
  </si>
  <si>
    <t>0000000A75APEU01 (AutoReverse)</t>
  </si>
  <si>
    <t>00000003X4JVEU01 (AutoReverse)</t>
  </si>
  <si>
    <t>Body &gt; Closures &gt; Driver Door &gt; Window System</t>
  </si>
  <si>
    <t>Body &gt; Closures &gt; Driver Door &gt; Window System &gt; Window</t>
  </si>
  <si>
    <t>Body &gt; Closures &gt; Driver Door &gt; Window System &gt; Window &gt; Automated Process</t>
  </si>
  <si>
    <t>Automated Process</t>
  </si>
  <si>
    <t>00000001QWD1EU01 (AutoReverse)</t>
  </si>
  <si>
    <t>Body &gt; Closures &gt; Driver Door &gt; Window System &gt; Front Quarter Window</t>
  </si>
  <si>
    <t>0.08925 kg</t>
  </si>
  <si>
    <t>0.0939473684210526315789473684 kg</t>
  </si>
  <si>
    <t>Body &gt; Closures &gt; Driver Door &gt; Window System &gt; Front Quarter Window &gt; Automated Process</t>
  </si>
  <si>
    <t>{_x000d_
  "productId": "0000000W11AICID0",_x000d_
  "productCompleteName": "Saint-Gobain"_x000d_
}</t>
  </si>
  <si>
    <t>TPS-SEBS;PA6;PA66;GLASS</t>
  </si>
  <si>
    <t>00000002Y82ZEU01 (AutoReverse)</t>
  </si>
  <si>
    <t>A2MAC1 reference price (Rivian R1S)</t>
  </si>
  <si>
    <t>PP;PLASTIC UNKNOWN;FERROUS METAL</t>
  </si>
  <si>
    <t>00000009QZG8EU01 (AutoReverse)</t>
  </si>
  <si>
    <t>PP;ELECTRONIC COMPONENT;FERROUS METAL;ELASTOMER UNKNOWN</t>
  </si>
  <si>
    <t>00000007SIUGEU01 (AutoReverse)</t>
  </si>
  <si>
    <t>Body &gt; Closures &gt; Driver Door &gt; Window System &gt; Assembly</t>
  </si>
  <si>
    <t>00000000NMJAEU01 (AutoReverse)</t>
  </si>
  <si>
    <t>Body &gt; Closures &gt; Driver Door &gt; Sealing System</t>
  </si>
  <si>
    <t>Body &gt; Closures &gt; Driver Door &gt; Sealing System &gt; Door Weatherstripping</t>
  </si>
  <si>
    <t>Body &gt; Closures &gt; Driver Door &gt; Sealing System &gt; Door Weatherstripping &gt; On Body</t>
  </si>
  <si>
    <t>1.16400 kg</t>
  </si>
  <si>
    <t>1.2252631578947368421052631579 kg</t>
  </si>
  <si>
    <t>Ethylen-Propylen-Dien-Kautschuk</t>
  </si>
  <si>
    <t>Body &gt; Closures &gt; Driver Door &gt; Sealing System &gt; Door Weatherstripping &gt; On Body &gt; Seal Extrusion (Multi Layer)</t>
  </si>
  <si>
    <t>0.29100 kg</t>
  </si>
  <si>
    <t>0.3063157894736842105263157895 kg</t>
  </si>
  <si>
    <t>Length approximately 1400mm
Extrusion time base on 100mm/sec feed (single or multi layer)</t>
  </si>
  <si>
    <t>Body &gt; Closures &gt; Driver Door &gt; Sealing System &gt; Door Weatherstripping &gt; On Body &gt; End Glueing/Vulcanizing, Check and Pack</t>
  </si>
  <si>
    <t>EPDM;STEEL</t>
  </si>
  <si>
    <t>00000004V45UEU01 (AutoReverse)</t>
  </si>
  <si>
    <t>Body &gt; Closures &gt; Driver Door &gt; Sealing System &gt; Door Weatherstripping &gt; On Door</t>
  </si>
  <si>
    <t>0.30825 kg</t>
  </si>
  <si>
    <t>0.3244736842105263157894736842 kg</t>
  </si>
  <si>
    <t>Body &gt; Closures &gt; Driver Door &gt; Sealing System &gt; Door Weatherstripping &gt; On Door &gt; Seal Extrusion (Multi Layer)</t>
  </si>
  <si>
    <t>0.10275 kg</t>
  </si>
  <si>
    <t>0.1081578947368421052631578947 kg</t>
  </si>
  <si>
    <t>Body &gt; Closures &gt; Driver Door &gt; Sealing System &gt; Door Weatherstripping &gt; On Door &gt; End Glueing/Vulcanizing, Check and Pack</t>
  </si>
  <si>
    <t>00000002UZVTEU01 (AutoReverse)</t>
  </si>
  <si>
    <t>000000096IVMEU01 (AutoReverse)</t>
  </si>
  <si>
    <t>Body &gt; Closures &gt; Driver Door &gt; Sealing System &gt; Interior Weatherstrip</t>
  </si>
  <si>
    <t>0.17500 kg</t>
  </si>
  <si>
    <t>0.1842105263157894736842105263 kg</t>
  </si>
  <si>
    <t>Body &gt; Closures &gt; Driver Door &gt; Sealing System &gt; Interior Weatherstrip &gt; Seal Extrusion</t>
  </si>
  <si>
    <t xml:space="preserve">
Extrusion time base on 100mm/sec feed (single or multi layer)</t>
  </si>
  <si>
    <t>TPV;PP-EPDM;PP;PES</t>
  </si>
  <si>
    <t>00000008UDPWEU01 (AutoReverse)</t>
  </si>
  <si>
    <t>Body &gt; Closures &gt; Driver Door &gt; Sealing System &gt; Exterior Weatherstrip</t>
  </si>
  <si>
    <t>0.2105263157894736842105263158 kg</t>
  </si>
  <si>
    <t>Body &gt; Closures &gt; Driver Door &gt; Sealing System &gt; Exterior Weatherstrip &gt; Seal Extrusion</t>
  </si>
  <si>
    <t>0.073 kg</t>
  </si>
  <si>
    <t>{_x000d_
  "productId": "0000000W10DACID0",_x000d_
  "productCompleteName": "Hutchinson"_x000d_
}</t>
  </si>
  <si>
    <t>EPDM;AL;PES</t>
  </si>
  <si>
    <t>0000000A2XUKEU01 (AutoReverse)</t>
  </si>
  <si>
    <t>Body &gt; Closures &gt; Driver Door &gt; Sealing System &gt; Glass Run Channel Seal</t>
  </si>
  <si>
    <t>Body &gt; Closures &gt; Driver Door &gt; Sealing System &gt; Glass Run Channel Seal &gt; Seal Extrusion</t>
  </si>
  <si>
    <t>0.28100 kg</t>
  </si>
  <si>
    <t>0.281 kg</t>
  </si>
  <si>
    <t>EPDM;AL</t>
  </si>
  <si>
    <t>0000000AEC7DEU01 (AutoReverse)</t>
  </si>
  <si>
    <t>000000044UU3EU01 (AutoReverse)</t>
  </si>
  <si>
    <t>Body &gt; Closures &gt; Driver Door &gt; Hinges</t>
  </si>
  <si>
    <t>Body &gt; Closures &gt; Driver Door &gt; Hinges &gt; Upper</t>
  </si>
  <si>
    <t>Body &gt; Closures &gt; Driver Door &gt; Hinges &gt; Upper &gt; On Body</t>
  </si>
  <si>
    <t>Body &gt; Closures &gt; Driver Door &gt; Hinges &gt; Upper &gt; On Body &gt; Part 01 single/main</t>
  </si>
  <si>
    <t>0.2625 kg</t>
  </si>
  <si>
    <t>Body &gt; Closures &gt; Driver Door &gt; Hinges &gt; Upper &gt; On Body &gt; Part 01 single/main &gt; Manufacturing Process</t>
  </si>
  <si>
    <t>00000001RHKFEU01 (AutoReverse)</t>
  </si>
  <si>
    <t>Body &gt; Closures &gt; Driver Door &gt; Hinges &gt; Upper &gt; On Door</t>
  </si>
  <si>
    <t>Body &gt; Closures &gt; Driver Door &gt; Hinges &gt; Upper &gt; On Door &gt; Part 01 single/main</t>
  </si>
  <si>
    <t>0.1625 kg</t>
  </si>
  <si>
    <t>Body &gt; Closures &gt; Driver Door &gt; Hinges &gt; Upper &gt; On Door &gt; Part 01 single/main &gt; Manufacturing Process</t>
  </si>
  <si>
    <t>00000004BCMEEU01 (AutoReverse)</t>
  </si>
  <si>
    <t>Body &gt; Closures &gt; Driver Door &gt; Hinges &gt; Upper &gt; Fastners</t>
  </si>
  <si>
    <t>0000000AWQCNEU01 (AutoReverse)</t>
  </si>
  <si>
    <t>Body &gt; Closures &gt; Driver Door &gt; Hinges &gt; Lower</t>
  </si>
  <si>
    <t>Body &gt; Closures &gt; Driver Door &gt; Hinges &gt; Lower &gt; On Body</t>
  </si>
  <si>
    <t>Body &gt; Closures &gt; Driver Door &gt; Hinges &gt; Lower &gt; On Body &gt; Part 01 single/main</t>
  </si>
  <si>
    <t>Body &gt; Closures &gt; Driver Door &gt; Hinges &gt; Lower &gt; On Body &gt; Part 01 single/main &gt; Manufacturing Process</t>
  </si>
  <si>
    <t>00000000RKM8EU01 (AutoReverse)</t>
  </si>
  <si>
    <t>Body &gt; Closures &gt; Driver Door &gt; Hinges &gt; Lower &gt; On Door</t>
  </si>
  <si>
    <t>Body &gt; Closures &gt; Driver Door &gt; Hinges &gt; Lower &gt; On Door &gt; Part 01 single/main</t>
  </si>
  <si>
    <t>0.1375 kg</t>
  </si>
  <si>
    <t>Body &gt; Closures &gt; Driver Door &gt; Hinges &gt; Lower &gt; On Door &gt; Part 01 single/main &gt; Manufacturing Process</t>
  </si>
  <si>
    <t>00000003TM6LEU01 (AutoReverse)</t>
  </si>
  <si>
    <t>Body &gt; Closures &gt; Driver Door &gt; Hinges &gt; Lower &gt; Fastners</t>
  </si>
  <si>
    <t>00000004CI8DEU01 (AutoReverse)</t>
  </si>
  <si>
    <t>Body &gt; Closures &gt; Driver Door &gt; Hinges &gt; Fastners</t>
  </si>
  <si>
    <t>PA;FERROUS METAL</t>
  </si>
  <si>
    <t>00000007OU6PEU01 (AutoReverse)</t>
  </si>
  <si>
    <t>00000006TUFAEU01 (AutoReverse)</t>
  </si>
  <si>
    <t>Body &gt; Closures &gt; Driver Door &gt; Power System</t>
  </si>
  <si>
    <t>Body &gt; Closures &gt; Driver Door &gt; Power System &gt; Door ECU</t>
  </si>
  <si>
    <t>Body &gt; Closures &gt; Driver Door &gt; Power System &gt; Door ECU &gt; Process</t>
  </si>
  <si>
    <t>00000009FNGJEU01 (AutoReverse)</t>
  </si>
  <si>
    <t>Body &gt; Closures &gt; Driver Door &gt; Power System &gt; Ambiant Light</t>
  </si>
  <si>
    <t>00000004N258EU01 (AutoReverse)</t>
  </si>
  <si>
    <t>000000059R1PEU01 (AutoReverse)</t>
  </si>
  <si>
    <t>000000006K6CEU01 (AutoReverse)</t>
  </si>
  <si>
    <t>00000004GWNZEU01 (AutoReverse)</t>
  </si>
  <si>
    <t>00000000KKSBEU01 (AutoReverse)</t>
  </si>
  <si>
    <t>Body &gt; Closures &gt; Driver Door &gt; Power System &gt; Fastners</t>
  </si>
  <si>
    <t>00000003WI0DEU01 (AutoReverse)</t>
  </si>
  <si>
    <t>0000000264MSEU01 (AutoReverse)</t>
  </si>
  <si>
    <t>000000003U3LEU01 (AutoReverse)</t>
  </si>
  <si>
    <t>{_x000d_
  "productId": "000000AP7ZW1EU02",_x000d_
  "productCompleteName": "TE Connectivity"_x000d_
}</t>
  </si>
  <si>
    <t>PBT;TPS-SEBS;PP</t>
  </si>
  <si>
    <t>000000009FILEU01 (AutoReverse)</t>
  </si>
  <si>
    <t>A000000A72A6EU02 (AutoReverse)</t>
  </si>
  <si>
    <t>PPN;ELECTRONIC COMPONENT</t>
  </si>
  <si>
    <t>00000000F5X3EU01 (AutoReverse)</t>
  </si>
  <si>
    <t>00000001K2YFEU01 (AutoReverse)</t>
  </si>
  <si>
    <t>Body &gt; Closures &gt; Driver Door &gt; Molding System</t>
  </si>
  <si>
    <t>Body &gt; Closures &gt; Driver Door &gt; Molding System &gt; Fastners</t>
  </si>
  <si>
    <t>Body &gt; Closures &gt; Driver Door &gt; Molding System &gt; Side Protection Molding</t>
  </si>
  <si>
    <t>0.66200 kg</t>
  </si>
  <si>
    <t>0.6752401080384172861467657835 kg</t>
  </si>
  <si>
    <t>Body &gt; Closures &gt; Driver Door &gt; Molding System &gt; Side Protection Molding &gt; Injection molding</t>
  </si>
  <si>
    <t>Body &gt; Closures &gt; Driver Door &gt; Molding System &gt; Side Protection Molding &gt; Handling/Visual Inspection/Packaging</t>
  </si>
  <si>
    <t>00000000WEA6EU01 (AutoReverse)</t>
  </si>
  <si>
    <t>Body &gt; Closures &gt; Driver Door &gt; Molding System &gt; B Pillar Accent</t>
  </si>
  <si>
    <t>0.18900 kg</t>
  </si>
  <si>
    <t>0.192780030844804935168789627 kg</t>
  </si>
  <si>
    <t>Body &gt; Closures &gt; Driver Door &gt; Molding System &gt; B Pillar Accent &gt; Injection molding</t>
  </si>
  <si>
    <t>Body &gt; Closures &gt; Driver Door &gt; Molding System &gt; B Pillar Accent &gt; Handling/Visual Inspection/Packaging</t>
  </si>
  <si>
    <t>00000004UIHDEU01 (AutoReverse)</t>
  </si>
  <si>
    <t>Body &gt; Closures &gt; Driver Door &gt; Molding System &gt; Outer Upper Trim</t>
  </si>
  <si>
    <t>Body &gt; Closures &gt; Driver Door &gt; Molding System &gt; Outer Upper Trim &gt; Injection molding</t>
  </si>
  <si>
    <t>00000001I8YFEU01 (AutoReverse)</t>
  </si>
  <si>
    <t>Body &gt; Closures &gt; Driver Door &gt; Molding System &gt; Exterior Front Trim</t>
  </si>
  <si>
    <t>0.0126315789473684210526315789 kg</t>
  </si>
  <si>
    <t>Body &gt; Closures &gt; Driver Door &gt; Molding System &gt; Exterior Front Trim &gt; Injection molding</t>
  </si>
  <si>
    <t>00000002FQXSEU01 (AutoReverse)</t>
  </si>
  <si>
    <t>000000016BRHEU01 (AutoReverse)</t>
  </si>
  <si>
    <t>Body &gt; Closures &gt; Driver Door &gt; Rear View Mirror System</t>
  </si>
  <si>
    <t>Body &gt; Closures &gt; Driver Door &gt; Rear View Mirror System &gt; Outside Rear View Mirror</t>
  </si>
  <si>
    <t>Body &gt; Closures &gt; Driver Door &gt; Rear View Mirror System &gt; Outside Rear View Mirror &gt; Fastners</t>
  </si>
  <si>
    <t>{_x000d_
  "productId": "0000000W102SCID0",_x000d_
  "productCompleteName": "Fico / Ficosa"_x000d_
}</t>
  </si>
  <si>
    <t>ABS;GLASS;ELECTRONIC COMPONENT</t>
  </si>
  <si>
    <t>000000083OLDEU01 (AutoReverse)</t>
  </si>
  <si>
    <t>Body &gt; Closures &gt; Driver Door &gt; Rear View Mirror System &gt; Outside Rear View Mirror &gt; Frame</t>
  </si>
  <si>
    <t>0.39700 kg</t>
  </si>
  <si>
    <t>0.397 kg</t>
  </si>
  <si>
    <t>Body &gt; Closures &gt; Driver Door &gt; Rear View Mirror System &gt; Outside Rear View Mirror &gt; Frame &gt; Furnace heating</t>
  </si>
  <si>
    <t>Body &gt; Closures &gt; Driver Door &gt; Rear View Mirror System &gt; Outside Rear View Mirror &gt; Frame &gt; Transport with laddle</t>
  </si>
  <si>
    <t>Body &gt; Closures &gt; Driver Door &gt; Rear View Mirror System &gt; Outside Rear View Mirror &gt; Frame &gt; Pressing (Cold Chamber)</t>
  </si>
  <si>
    <t>Machining Center, 1 spindles, 500x420x380mm³,DECKEL MAHO DMU 50 eVolution</t>
  </si>
  <si>
    <t>Body &gt; Closures &gt; Driver Door &gt; Rear View Mirror System &gt; Outside Rear View Mirror &gt; Frame &gt; Machining [ Drilling &amp; Threading ]</t>
  </si>
  <si>
    <t>Body &gt; Closures &gt; Driver Door &gt; Rear View Mirror System &gt; Outside Rear View Mirror &gt; Frame &gt; Trimming</t>
  </si>
  <si>
    <t>Manual deburring and die cast cleaning</t>
  </si>
  <si>
    <t xml:space="preserve">Body &gt; Closures &gt; Driver Door &gt; Rear View Mirror System &gt; Outside Rear View Mirror &gt; Frame &gt; Deburing </t>
  </si>
  <si>
    <t xml:space="preserve">Body &gt; Closures &gt; Driver Door &gt; Rear View Mirror System &gt; Outside Rear View Mirror &gt; Frame &gt; Inspection </t>
  </si>
  <si>
    <t>Body &gt; Closures &gt; Driver Door &gt; Rear View Mirror System &gt; Outside Rear View Mirror &gt; Frame &gt; Handling/Packiging</t>
  </si>
  <si>
    <t>AL</t>
  </si>
  <si>
    <t>00000009UQF3EU01 (AutoReverse)</t>
  </si>
  <si>
    <t>{_x000d_
  "productId": "0000000W10T4CID0",_x000d_
  "productCompleteName": "MCI (Mirror Controls international)"_x000d_
}</t>
  </si>
  <si>
    <t>PBT;PC-ASA;ABS;PP;MF;ELECTRONIC COMPONENT</t>
  </si>
  <si>
    <t>0000000ADJDCEU01 (AutoReverse)</t>
  </si>
  <si>
    <t>Body &gt; Closures &gt; Driver Door &gt; Rear View Mirror System &gt; Outside Rear View Mirror &gt; Mirror Attaching Plate Support</t>
  </si>
  <si>
    <t>0.2254200360672057707529233205 kg</t>
  </si>
  <si>
    <t>Body &gt; Closures &gt; Driver Door &gt; Rear View Mirror System &gt; Outside Rear View Mirror &gt; Mirror Attaching Plate Support &gt; Injection molding</t>
  </si>
  <si>
    <t>Body &gt; Closures &gt; Driver Door &gt; Rear View Mirror System &gt; Outside Rear View Mirror &gt; Mirror Attaching Plate Support &gt; Handling/Visual Inspection/Packaging</t>
  </si>
  <si>
    <t>000000030388EU01 (AutoReverse)</t>
  </si>
  <si>
    <t>00000007OSHQEU01 (AutoReverse)</t>
  </si>
  <si>
    <t>00000007813YEU01 (AutoReverse)</t>
  </si>
  <si>
    <t>Body &gt; Closures &gt; Driver Door &gt; Rear View Mirror System &gt; Outside Rear View Mirror &gt; Front Shell</t>
  </si>
  <si>
    <t>0.1438200230112036817925890868 kg</t>
  </si>
  <si>
    <t>Body &gt; Closures &gt; Driver Door &gt; Rear View Mirror System &gt; Outside Rear View Mirror &gt; Front Shell &gt; Injection molding</t>
  </si>
  <si>
    <t>Body &gt; Closures &gt; Driver Door &gt; Rear View Mirror System &gt; Outside Rear View Mirror &gt; Front Shell &gt; Handling/Visual Inspection/Packaging</t>
  </si>
  <si>
    <t>ASA</t>
  </si>
  <si>
    <t>0000000ADY10EU01 (AutoReverse)</t>
  </si>
  <si>
    <t>Body &gt; Closures &gt; Driver Door &gt; Rear View Mirror System &gt; Outside Rear View Mirror &gt; Lower Shell</t>
  </si>
  <si>
    <t>0.1020000163200026112004177921 kg</t>
  </si>
  <si>
    <t>Body &gt; Closures &gt; Driver Door &gt; Rear View Mirror System &gt; Outside Rear View Mirror &gt; Lower Shell &gt; Injection molding</t>
  </si>
  <si>
    <t>Opening: 1.01 s, Ejection: 0.16 s, Insert: 0.00 s, Closing: 2.53 s, Removal: 1.64 s, Cooling: 2.27 s, Injection: 2.21</t>
  </si>
  <si>
    <t>Body &gt; Closures &gt; Driver Door &gt; Rear View Mirror System &gt; Outside Rear View Mirror &gt; Lower Shell &gt; Handling/Visual Inspection/Packaging</t>
  </si>
  <si>
    <t>00000003ZR07EU01 (AutoReverse)</t>
  </si>
  <si>
    <t>Body &gt; Closures &gt; Driver Door &gt; Rear View Mirror System &gt; Outside Rear View Mirror &gt; Support Cover</t>
  </si>
  <si>
    <t>0.09700 kg</t>
  </si>
  <si>
    <t>0.0989400158304025328644052583 kg</t>
  </si>
  <si>
    <t>Body &gt; Closures &gt; Driver Door &gt; Rear View Mirror System &gt; Outside Rear View Mirror &gt; Support Cover &gt; Injection molding</t>
  </si>
  <si>
    <t>Body &gt; Closures &gt; Driver Door &gt; Rear View Mirror System &gt; Outside Rear View Mirror &gt; Support Cover &gt; Handling/Visual Inspection/Packaging</t>
  </si>
  <si>
    <t>00000000VOZXEU01 (AutoReverse)</t>
  </si>
  <si>
    <t>Body &gt; Closures &gt; Driver Door &gt; Rear View Mirror System &gt; Outside Rear View Mirror &gt; Support Seal</t>
  </si>
  <si>
    <t>Body &gt; Closures &gt; Driver Door &gt; Rear View Mirror System &gt; Outside Rear View Mirror &gt; Support Seal &gt; Injection molding</t>
  </si>
  <si>
    <t>PP;TPE</t>
  </si>
  <si>
    <t>00000006PT5REU01 (AutoReverse)</t>
  </si>
  <si>
    <t>Body &gt; Closures &gt; Driver Door &gt; Rear View Mirror System &gt; Outside Rear View Mirror &gt; Seal Cover</t>
  </si>
  <si>
    <t>Body &gt; Closures &gt; Driver Door &gt; Rear View Mirror System &gt; Outside Rear View Mirror &gt; Seal Cover &gt; Injection molding</t>
  </si>
  <si>
    <t>00000004N1CJEU01 (AutoReverse)</t>
  </si>
  <si>
    <t>ABS;PMMA;ELECTRONIC COMPONENT</t>
  </si>
  <si>
    <t>00000004LQ3BEU01 (AutoReverse)</t>
  </si>
  <si>
    <t>{_x000d_
  "productId": "A00000012EV2EU02",_x000d_
  "productCompleteName": "Skoda"_x000d_
}</t>
  </si>
  <si>
    <t>PC;PMMA</t>
  </si>
  <si>
    <t>00000008XAUCEU01 (AutoReverse)</t>
  </si>
  <si>
    <t>POM;FERROUS METAL;NON FERROUS METAL;ELECTRONIC COMPONENT</t>
  </si>
  <si>
    <t>0000000799FOEU01 (AutoReverse)</t>
  </si>
  <si>
    <t>Body &gt; Closures &gt; Driver Door &gt; Rear View Mirror System &gt; Outside Rear View Mirror &gt; Folding Motor Support</t>
  </si>
  <si>
    <t>0.029 kg</t>
  </si>
  <si>
    <t>Body &gt; Closures &gt; Driver Door &gt; Rear View Mirror System &gt; Outside Rear View Mirror &gt; Folding Motor Support &gt; Furnace heating</t>
  </si>
  <si>
    <t>Body &gt; Closures &gt; Driver Door &gt; Rear View Mirror System &gt; Outside Rear View Mirror &gt; Folding Motor Support &gt; Transport with laddle</t>
  </si>
  <si>
    <t>Body &gt; Closures &gt; Driver Door &gt; Rear View Mirror System &gt; Outside Rear View Mirror &gt; Folding Motor Support &gt; Pressing (Cold Chamber)</t>
  </si>
  <si>
    <t>00000003CUKOEU01 (AutoReverse)</t>
  </si>
  <si>
    <t>ABS;PC;PMMA;ELECTRONIC COMPONENT</t>
  </si>
  <si>
    <t>00000002YTDSEU01 (AutoReverse)</t>
  </si>
  <si>
    <t>Body &gt; Closures &gt; Driver Door &gt; Rear View Mirror System &gt; Outside Rear View Mirror &gt; Shell</t>
  </si>
  <si>
    <t>0.180540028886404621824739492 kg</t>
  </si>
  <si>
    <t>Body &gt; Closures &gt; Driver Door &gt; Rear View Mirror System &gt; Outside Rear View Mirror &gt; Shell &gt; Injection molding</t>
  </si>
  <si>
    <t>Body &gt; Closures &gt; Driver Door &gt; Rear View Mirror System &gt; Outside Rear View Mirror &gt; Shell &gt; Handling and Packaging</t>
  </si>
  <si>
    <t>0.01859 kg</t>
  </si>
  <si>
    <t>0.0206555555555555555555555556 kg</t>
  </si>
  <si>
    <t>Body &gt; Closures &gt; Driver Door &gt; Rear View Mirror System &gt; Outside Rear View Mirror &gt; Shell &gt; Painting</t>
  </si>
  <si>
    <t>0.01505 kg</t>
  </si>
  <si>
    <t>0.0167222222222222222222222222 kg</t>
  </si>
  <si>
    <t>Painting of the plastic shell</t>
  </si>
  <si>
    <t>Outside mirror shell</t>
  </si>
  <si>
    <t>00000000WXB6EU01 (AutoReverse)</t>
  </si>
  <si>
    <t>Manual Workplace with Transportation Equipment &amp; Traceability</t>
  </si>
  <si>
    <t>Body &gt; Closures &gt; Driver Door &gt; Rear View Mirror System &gt; Outside Rear View Mirror &gt; Rear View Mirror Final Assembly</t>
  </si>
  <si>
    <t>000000014ZVHEU01 (AutoReverse)</t>
  </si>
  <si>
    <t>000000068DYAEU01 (AutoReverse)</t>
  </si>
  <si>
    <t>Body &gt; Closures &gt; Driver Door &gt; Power Controls</t>
  </si>
  <si>
    <t>Body &gt; Closures &gt; Driver Door &gt; Power Controls &gt; Fastners</t>
  </si>
  <si>
    <t>PC;PBT;ELECTRONIC COMPONENT</t>
  </si>
  <si>
    <t>00000009HAJCEU01 (AutoReverse)</t>
  </si>
  <si>
    <t>Body &gt; Closures &gt; Driver Door &gt; Power Controls &gt; Electric Windows Lift Control Support</t>
  </si>
  <si>
    <t>0.18100 kg</t>
  </si>
  <si>
    <t>0.1846200295392047262727562036 kg</t>
  </si>
  <si>
    <t>Body &gt; Closures &gt; Driver Door &gt; Power Controls &gt; Electric Windows Lift Control Support &gt; Injection molding</t>
  </si>
  <si>
    <t>Body &gt; Closures &gt; Driver Door &gt; Power Controls &gt; Electric Windows Lift Control Support &gt; Handling/Visual Inspection/Packaging</t>
  </si>
  <si>
    <t>00000005BTM4EU01 (AutoReverse)</t>
  </si>
  <si>
    <t>00000002FILJEU01 (AutoReverse)</t>
  </si>
  <si>
    <t>00000005PAYVEU01 (AutoReverse)</t>
  </si>
  <si>
    <t>00000000CE9REU01 (AutoReverse)</t>
  </si>
  <si>
    <t>Body &gt; Closures &gt; Driver Door &gt; Speaker System</t>
  </si>
  <si>
    <t>PC;ELECTRONIC COMPONENT;MAGNET</t>
  </si>
  <si>
    <t>0000000494NXEU01 (AutoReverse)</t>
  </si>
  <si>
    <t>000000061N5EEU01 (AutoReverse)</t>
  </si>
  <si>
    <t>Body &gt; Closures &gt; Driver Door &gt; Fastners</t>
  </si>
  <si>
    <t>00000002CN3PEU01 (AutoReverse)</t>
  </si>
  <si>
    <t>0000000ABCA9EU01 (AutoReverse)</t>
  </si>
  <si>
    <t>Body &gt; Closures &gt; Rear Door Left</t>
  </si>
  <si>
    <t>Body &gt; Closures &gt; Rear Door Left &gt; Rear Door Left</t>
  </si>
  <si>
    <t xml:space="preserve">Body &gt; Closures &gt; Rear Door Left &gt; Rear Door Left &gt; Housing Assy </t>
  </si>
  <si>
    <t>Body &gt; Closures &gt; Rear Door Left &gt; Rear Door Left &gt; Housing Assy  &gt; Housing</t>
  </si>
  <si>
    <t>Body &gt; Closures &gt; Rear Door Left &gt; Rear Door Left &gt; Housing Assy  &gt; Housing &gt; Part 01 single/front</t>
  </si>
  <si>
    <t>5.10000 kg</t>
  </si>
  <si>
    <t>9.272727272727272727272727273 kg</t>
  </si>
  <si>
    <t>Body &gt; Closures &gt; Rear Door Left &gt; Rear Door Left &gt; Housing Assy  &gt; Housing &gt; Part 01 single/front &gt; Manufacturing Process</t>
  </si>
  <si>
    <t>Body &gt; Closures &gt; Rear Door Left &gt; Rear Door Left &gt; Housing Assy  &gt; Reinforcements</t>
  </si>
  <si>
    <t>Body &gt; Closures &gt; Rear Door Left &gt; Rear Door Left &gt; Housing Assy  &gt; Reinforcements &gt; Part 01 single/main</t>
  </si>
  <si>
    <t>0.67000 kg</t>
  </si>
  <si>
    <t>0.8375 kg</t>
  </si>
  <si>
    <t>Body &gt; Closures &gt; Rear Door Left &gt; Rear Door Left &gt; Housing Assy  &gt; Reinforcements &gt; Part 01 single/main &gt; Manufacturing Process</t>
  </si>
  <si>
    <t>Body &gt; Closures &gt; Rear Door Left &gt; Rear Door Left &gt; Housing Assy  &gt; Reinforcements &gt; Part 02</t>
  </si>
  <si>
    <t>0.5375 kg</t>
  </si>
  <si>
    <t>Body &gt; Closures &gt; Rear Door Left &gt; Rear Door Left &gt; Housing Assy  &gt; Reinforcements &gt; Part 02 &gt; Manufacturing Process</t>
  </si>
  <si>
    <t>Body &gt; Closures &gt; Rear Door Left &gt; Rear Door Left &gt; Housing Assy  &gt; Fixing parts</t>
  </si>
  <si>
    <t>Body &gt; Closures &gt; Rear Door Left &gt; Rear Door Left &gt; Housing Assy  &gt; Fixing parts &gt; Front</t>
  </si>
  <si>
    <t>Body &gt; Closures &gt; Rear Door Left &gt; Rear Door Left &gt; Housing Assy  &gt; Fixing parts &gt; Front &gt; Part 01 single/main</t>
  </si>
  <si>
    <t>Body &gt; Closures &gt; Rear Door Left &gt; Rear Door Left &gt; Housing Assy  &gt; Fixing parts &gt; Front &gt; Part 01 single/main &gt; Manufacturing Process</t>
  </si>
  <si>
    <t>Body &gt; Closures &gt; Rear Door Left &gt; Rear Door Left &gt; Housing Assy  &gt; Fixing parts &gt; Front &gt; Part 02</t>
  </si>
  <si>
    <t>0.96000 kg</t>
  </si>
  <si>
    <t>1.2 kg</t>
  </si>
  <si>
    <t>Body &gt; Closures &gt; Rear Door Left &gt; Rear Door Left &gt; Housing Assy  &gt; Fixing parts &gt; Front &gt; Part 02 &gt; Manufacturing Process</t>
  </si>
  <si>
    <t>Body &gt; Closures &gt; Rear Door Left &gt; Rear Door Left &gt; Anti-intrusion beams</t>
  </si>
  <si>
    <t>Body &gt; Closures &gt; Rear Door Left &gt; Rear Door Left &gt; Anti-intrusion beams &gt; Beam 01</t>
  </si>
  <si>
    <t>Body &gt; Closures &gt; Rear Door Left &gt; Rear Door Left &gt; Anti-intrusion beams &gt; Beam 01 &gt; Beam</t>
  </si>
  <si>
    <t>Body &gt; Closures &gt; Rear Door Left &gt; Rear Door Left &gt; Anti-intrusion beams &gt; Beam 01 &gt; Beam &gt; Part 01 single/main</t>
  </si>
  <si>
    <t>0.91000 kg</t>
  </si>
  <si>
    <t>1.1375 kg</t>
  </si>
  <si>
    <t>Body &gt; Closures &gt; Rear Door Left &gt; Rear Door Left &gt; Anti-intrusion beams &gt; Beam 01 &gt; Beam &gt; Part 01 single/main &gt; Manufacturing Process</t>
  </si>
  <si>
    <t>Body &gt; Closures &gt; Rear Door Left &gt; Rear Door Left &gt; Window frame assy</t>
  </si>
  <si>
    <t>Body &gt; Closures &gt; Rear Door Left &gt; Rear Door Left &gt; Window frame assy &gt; Frame</t>
  </si>
  <si>
    <t>Body &gt; Closures &gt; Rear Door Left &gt; Rear Door Left &gt; Window frame assy &gt; Frame &gt; Part 01 single/front</t>
  </si>
  <si>
    <t>1.41000 kg</t>
  </si>
  <si>
    <t>1.7625 kg</t>
  </si>
  <si>
    <t>Body &gt; Closures &gt; Rear Door Left &gt; Rear Door Left &gt; Window frame assy &gt; Frame &gt; Part 01 single/front &gt; Manufacturing Process</t>
  </si>
  <si>
    <t xml:space="preserve">Body &gt; Closures &gt; Rear Door Left &gt; Rear Door Left &gt; Top roll assy </t>
  </si>
  <si>
    <t>Body &gt; Closures &gt; Rear Door Left &gt; Rear Door Left &gt; Top roll assy  &gt; Cross member 01 (outer)</t>
  </si>
  <si>
    <t>Body &gt; Closures &gt; Rear Door Left &gt; Rear Door Left &gt; Top roll assy  &gt; Cross member 01 (outer) &gt; Cross member</t>
  </si>
  <si>
    <t>Body &gt; Closures &gt; Rear Door Left &gt; Rear Door Left &gt; Top roll assy  &gt; Cross member 01 (outer) &gt; Cross member &gt; Part 01 single/main</t>
  </si>
  <si>
    <t>1.05000 kg</t>
  </si>
  <si>
    <t>1.4 kg</t>
  </si>
  <si>
    <t>Body &gt; Closures &gt; Rear Door Left &gt; Rear Door Left &gt; Top roll assy  &gt; Cross member 01 (outer) &gt; Cross member &gt; Part 01 single/main &gt; Manufacturing Process</t>
  </si>
  <si>
    <t>Body &gt; Closures &gt; Rear Door Left &gt; Rear Door Left &gt; Outer panel</t>
  </si>
  <si>
    <t>Body &gt; Closures &gt; Rear Door Left &gt; Rear Door Left &gt; Outer panel &gt; Panel</t>
  </si>
  <si>
    <t>Body &gt; Closures &gt; Rear Door Left &gt; Rear Door Left &gt; Outer panel &gt; Panel &gt; Part 01 single/main</t>
  </si>
  <si>
    <t>4.14000 kg</t>
  </si>
  <si>
    <t>5.52 kg</t>
  </si>
  <si>
    <t>Body &gt; Closures &gt; Rear Door Left &gt; Rear Door Left &gt; Outer panel &gt; Panel &gt; Part 01 single/main &gt; Manufacturing Process</t>
  </si>
  <si>
    <t>Body &gt; Closures &gt; Rear Door Left &gt; Rear Door Left &gt; Outer panel &gt; Reinforcements</t>
  </si>
  <si>
    <t>Body &gt; Closures &gt; Rear Door Left &gt; Rear Door Left &gt; Outer panel &gt; Reinforcements &gt; Reinforcement</t>
  </si>
  <si>
    <t>Body &gt; Closures &gt; Rear Door Left &gt; Rear Door Left &gt; Outer panel &gt; Reinforcements &gt; Reinforcement &gt; Part 01 single/main</t>
  </si>
  <si>
    <t>0.41000 kg</t>
  </si>
  <si>
    <t>0.4823529411764705882352941176 kg</t>
  </si>
  <si>
    <t>Body &gt; Closures &gt; Rear Door Left &gt; Rear Door Left &gt; Outer panel &gt; Reinforcements &gt; Reinforcement &gt; Part 01 single/main &gt; Manufacturing Process</t>
  </si>
  <si>
    <t>Body &gt; Closures &gt; Rear Door Left &gt; Rear Door Left &gt; Assembly</t>
  </si>
  <si>
    <t>{_x000d_
  "productId": "0000000W10NICID0",_x000d_
  "productCompleteName": "KYO"_x000d_
}</t>
  </si>
  <si>
    <t>00000000XTPGEU01 (AutoReverse)</t>
  </si>
  <si>
    <t>Body &gt; Closures &gt; Rear Door Left &gt; Door Panel</t>
  </si>
  <si>
    <t>Body &gt; Closures &gt; Rear Door Left &gt; Door Panel &gt; Inner Door Handle</t>
  </si>
  <si>
    <t>00000004W3PFEU01 (AutoReverse)</t>
  </si>
  <si>
    <t>0000000474VJEU01 (AutoReverse)</t>
  </si>
  <si>
    <t>Body &gt; Closures &gt; Rear Door Left &gt; Door Panel &gt; Panel Carrier</t>
  </si>
  <si>
    <t>1.20600 kg</t>
  </si>
  <si>
    <t>1.2694736842105263157894736842 kg</t>
  </si>
  <si>
    <t>Body &gt; Closures &gt; Rear Door Left &gt; Door Panel &gt; Panel Carrier &gt; Automated Process</t>
  </si>
  <si>
    <t>00000006D696EU01 (AutoReverse)</t>
  </si>
  <si>
    <t>Body &gt; Closures &gt; Rear Door Left &gt; Door Panel &gt; Insert</t>
  </si>
  <si>
    <t>0.26900 kg</t>
  </si>
  <si>
    <t>0.2831578947368421052631578947 kg</t>
  </si>
  <si>
    <t>Body &gt; Closures &gt; Rear Door Left &gt; Door Panel &gt; Insert &gt; Automated Process</t>
  </si>
  <si>
    <t>PP;PVC</t>
  </si>
  <si>
    <t>0000000AQPEZEU01 (AutoReverse)</t>
  </si>
  <si>
    <t>0000000AY9Y5EU01 (AutoReverse)</t>
  </si>
  <si>
    <t>Body &gt; Closures &gt; Rear Door Left &gt; Door Panel &gt; Upper Band</t>
  </si>
  <si>
    <t>0.36500 kg</t>
  </si>
  <si>
    <t>0.3842105263157894736842105263 kg</t>
  </si>
  <si>
    <t>Body &gt; Closures &gt; Rear Door Left &gt; Door Panel &gt; Upper Band &gt; Automated Process</t>
  </si>
  <si>
    <t>000000090YMBEU01 (AutoReverse)</t>
  </si>
  <si>
    <t>Body &gt; Closures &gt; Rear Door Left &gt; Door Panel &gt; Door Map Pocket Bottom</t>
  </si>
  <si>
    <t>0.31100 kg</t>
  </si>
  <si>
    <t>0.3273684210526315789473684211 kg</t>
  </si>
  <si>
    <t>Body &gt; Closures &gt; Rear Door Left &gt; Door Panel &gt; Door Map Pocket Bottom &gt; Automated Process</t>
  </si>
  <si>
    <t>00000007B9OSEU01 (AutoReverse)</t>
  </si>
  <si>
    <t>000000092MGGEU01 (AutoReverse)</t>
  </si>
  <si>
    <t>Body &gt; Closures &gt; Rear Door Left &gt; Door Mechanism</t>
  </si>
  <si>
    <t>Body &gt; Closures &gt; Rear Door Left &gt; Door Mechanism &gt; Interior Side</t>
  </si>
  <si>
    <t>Body &gt; Closures &gt; Rear Door Left &gt; Door Mechanism &gt; Interior Side &gt; Fastners</t>
  </si>
  <si>
    <t>Body &gt; Closures &gt; Rear Door Left &gt; Door Mechanism &gt; Interior Side &gt; Opening Control</t>
  </si>
  <si>
    <t>Body &gt; Closures &gt; Rear Door Left &gt; Door Mechanism &gt; Interior Side &gt; Opening Control &gt; Injection molding</t>
  </si>
  <si>
    <t>0000000A7D0BEU01 (AutoReverse)</t>
  </si>
  <si>
    <t>Body &gt; Closures &gt; Rear Door Left &gt; Door Mechanism &gt; Interior Side &gt; Opening Control Support</t>
  </si>
  <si>
    <t>Body &gt; Closures &gt; Rear Door Left &gt; Door Mechanism &gt; Interior Side &gt; Opening Control Support &gt; Injection molding</t>
  </si>
  <si>
    <t>Body &gt; Closures &gt; Rear Door Left &gt; Door Mechanism &gt; Interior Side &gt; Opening Control Support &gt; Handling/Visual Inspection/Packaging</t>
  </si>
  <si>
    <t>000000084COCEU01 (AutoReverse)</t>
  </si>
  <si>
    <t>00000006XOTJEU01 (AutoReverse)</t>
  </si>
  <si>
    <t>Body &gt; Closures &gt; Rear Door Left &gt; Door Mechanism &gt; Exterior side</t>
  </si>
  <si>
    <t>Body &gt; Closures &gt; Rear Door Left &gt; Door Mechanism &gt; Exterior side &gt; Fastners</t>
  </si>
  <si>
    <t>Body &gt; Closures &gt; Rear Door Left &gt; Door Mechanism &gt; Exterior side &gt; Opening Control</t>
  </si>
  <si>
    <t>Body &gt; Closures &gt; Rear Door Left &gt; Door Mechanism &gt; Exterior side &gt; Opening Control &gt; Injection molding</t>
  </si>
  <si>
    <t>Body &gt; Closures &gt; Rear Door Left &gt; Door Mechanism &gt; Exterior side &gt; Opening Control &gt; Handling/Visual Inspection/Packaging</t>
  </si>
  <si>
    <t>000000018JAAEU01 (AutoReverse)</t>
  </si>
  <si>
    <t>Body &gt; Closures &gt; Rear Door Left &gt; Door Mechanism &gt; Exterior side &gt; Opening Control Support</t>
  </si>
  <si>
    <t>Body &gt; Closures &gt; Rear Door Left &gt; Door Mechanism &gt; Exterior side &gt; Opening Control Support &gt; Injection molding</t>
  </si>
  <si>
    <t>Body &gt; Closures &gt; Rear Door Left &gt; Door Mechanism &gt; Exterior side &gt; Opening Control Support &gt; Handling/Visual Inspection/Packaging</t>
  </si>
  <si>
    <t>ZP5;PBT</t>
  </si>
  <si>
    <t>0000000A6ZN9EU01 (AutoReverse)</t>
  </si>
  <si>
    <t>Body &gt; Closures &gt; Rear Door Left &gt; Door Mechanism &gt; Exterior side &gt; 2nd Opening Control Support</t>
  </si>
  <si>
    <t>Body &gt; Closures &gt; Rear Door Left &gt; Door Mechanism &gt; Exterior side &gt; 2nd Opening Control Support &gt; Injection molding</t>
  </si>
  <si>
    <t>Body &gt; Closures &gt; Rear Door Left &gt; Door Mechanism &gt; Exterior side &gt; 2nd Opening Control Support &gt; Handling/Visual Inspection/Packaging</t>
  </si>
  <si>
    <t>0000008EJ93YCID0 (AutoReverse)</t>
  </si>
  <si>
    <t>Body &gt; Closures &gt; Rear Door Left &gt; Door Mechanism &gt; Exterior side &gt; Bezel</t>
  </si>
  <si>
    <t>Body &gt; Closures &gt; Rear Door Left &gt; Door Mechanism &gt; Exterior side &gt; Bezel &gt; Injection molding</t>
  </si>
  <si>
    <t>000000001744EU01 (AutoReverse)</t>
  </si>
  <si>
    <t>Body &gt; Closures &gt; Rear Door Left &gt; Door Mechanism &gt; Exterior side &gt; Lock Cylinder Dummy Trim</t>
  </si>
  <si>
    <t>Body &gt; Closures &gt; Rear Door Left &gt; Door Mechanism &gt; Exterior side &gt; Lock Cylinder Dummy Trim &gt; Injection molding</t>
  </si>
  <si>
    <t>PPH</t>
  </si>
  <si>
    <t>00000004UVOCEU01 (AutoReverse)</t>
  </si>
  <si>
    <t>00000003O2RWEU01 (AutoReverse)</t>
  </si>
  <si>
    <t>00000001K17JEU01 (AutoReverse)</t>
  </si>
  <si>
    <t>Body &gt; Closures &gt; Rear Door Left &gt; Door Mechanism &gt; Exterior side &gt; Assembly</t>
  </si>
  <si>
    <t>00000009XZACEU01 (AutoReverse)</t>
  </si>
  <si>
    <t>Body &gt; Closures &gt; Rear Door Left &gt; Door Mechanism &gt; Fastners</t>
  </si>
  <si>
    <t>Body &gt; Closures &gt; Rear Door Left &gt; Door Mechanism &gt; Door Latch</t>
  </si>
  <si>
    <t>Body &gt; Closures &gt; Rear Door Left &gt; Door Mechanism &gt; Door Latch &gt; Process</t>
  </si>
  <si>
    <t>000000069BWHEU01 (AutoReverse)</t>
  </si>
  <si>
    <t>Body &gt; Closures &gt; Rear Door Left &gt; Door Mechanism &gt; Door Striker</t>
  </si>
  <si>
    <t xml:space="preserve">Body &gt; Closures &gt; Rear Door Left &gt; Door Mechanism &gt; Door Striker &gt; Stamping </t>
  </si>
  <si>
    <t>Body &gt; Closures &gt; Rear Door Left &gt; Door Mechanism &gt; Door Striker &gt; Wire Bending</t>
  </si>
  <si>
    <t>Body &gt; Closures &gt; Rear Door Left &gt; Door Mechanism &gt; Door Striker &gt; Press fit</t>
  </si>
  <si>
    <t>00000000YH4BEU01 (AutoReverse)</t>
  </si>
  <si>
    <t>000000087EH1EU01 (AutoReverse)</t>
  </si>
  <si>
    <t>Body &gt; Closures &gt; Rear Door Left &gt; Window System</t>
  </si>
  <si>
    <t>Body &gt; Closures &gt; Rear Door Left &gt; Window System &gt; Window</t>
  </si>
  <si>
    <t>Body &gt; Closures &gt; Rear Door Left &gt; Window System &gt; Window &gt; Window</t>
  </si>
  <si>
    <t>Body &gt; Closures &gt; Rear Door Left &gt; Window System &gt; Window &gt; Window &gt; Automated Process</t>
  </si>
  <si>
    <t>00000006XOVVEU01 (AutoReverse)</t>
  </si>
  <si>
    <t>Body &gt; Closures &gt; Rear Door Left &gt; Window System &gt; Fastners</t>
  </si>
  <si>
    <t>Body &gt; Closures &gt; Rear Door Left &gt; Window System &gt; Rear Quarter Window</t>
  </si>
  <si>
    <t>0.19900 kg</t>
  </si>
  <si>
    <t>0.2094736842105263157894736842 kg</t>
  </si>
  <si>
    <t>Body &gt; Closures &gt; Rear Door Left &gt; Window System &gt; Rear Quarter Window &gt; Automated Process</t>
  </si>
  <si>
    <t>TPS-SEBS;PA6;PP;GLASS;FERROUS METAL</t>
  </si>
  <si>
    <t>00000001VA2JEU01 (AutoReverse)</t>
  </si>
  <si>
    <t>PP;POM;FERROUS METAL;PLASTIC UNKNOWN</t>
  </si>
  <si>
    <t>0000000289VPEU01 (AutoReverse)</t>
  </si>
  <si>
    <t>PP;FERROUS METAL;ELECTRIC MOTOR;ELASTOMER UNKNOWN</t>
  </si>
  <si>
    <t>000000048075EU01 (AutoReverse)</t>
  </si>
  <si>
    <t>Body &gt; Closures &gt; Rear Door Left &gt; Window System &gt; Assembly</t>
  </si>
  <si>
    <t>0000000589UUEU01 (AutoReverse)</t>
  </si>
  <si>
    <t>Body &gt; Closures &gt; Rear Door Left &gt; Sealing System</t>
  </si>
  <si>
    <t>Body &gt; Closures &gt; Rear Door Left &gt; Sealing System &gt; Door Weather Stripping</t>
  </si>
  <si>
    <t>Body &gt; Closures &gt; Rear Door Left &gt; Sealing System &gt; Door Weather Stripping &gt; On Body</t>
  </si>
  <si>
    <t>1.06160 kg</t>
  </si>
  <si>
    <t>1.1174736842105263157894736842 kg</t>
  </si>
  <si>
    <t>Body &gt; Closures &gt; Rear Door Left &gt; Sealing System &gt; Door Weather Stripping &gt; On Body &gt; Seal Extrusion (Multi Layer)</t>
  </si>
  <si>
    <t>0.26540 kg</t>
  </si>
  <si>
    <t>0.2793684210526315789473684211 kg</t>
  </si>
  <si>
    <t>Body &gt; Closures &gt; Rear Door Left &gt; Sealing System &gt; Door Weather Stripping &gt; On Body &gt; End Glueing/Vulcanizing, Check and Pack</t>
  </si>
  <si>
    <t>00000007WT8TEU01 (AutoReverse)</t>
  </si>
  <si>
    <t>Body &gt; Closures &gt; Rear Door Left &gt; Sealing System &gt; Door Weather Stripping &gt; On Door</t>
  </si>
  <si>
    <t>0.30880 kg</t>
  </si>
  <si>
    <t>0.3250526315789473684210526316 kg</t>
  </si>
  <si>
    <t>Body &gt; Closures &gt; Rear Door Left &gt; Sealing System &gt; Door Weather Stripping &gt; On Door &gt; Seal Extrusion (Multi Layer)</t>
  </si>
  <si>
    <t>0.07720 kg</t>
  </si>
  <si>
    <t>0.0812631578947368421052631579 kg</t>
  </si>
  <si>
    <t>Body &gt; Closures &gt; Rear Door Left &gt; Sealing System &gt; Door Weather Stripping &gt; On Door &gt; End Glueing/Vulcanizing, Check and Pack</t>
  </si>
  <si>
    <t>000000009B24EU01 (AutoReverse)</t>
  </si>
  <si>
    <t>00000000J02KEU01 (AutoReverse)</t>
  </si>
  <si>
    <t>Body &gt; Closures &gt; Rear Door Left &gt; Sealing System &gt; Window Weather Stripping</t>
  </si>
  <si>
    <t>Body &gt; Closures &gt; Rear Door Left &gt; Sealing System &gt; Window Weather Stripping &gt; Seal Extrusion</t>
  </si>
  <si>
    <t>0.129 kg</t>
  </si>
  <si>
    <t>00000000BE22EU01 (AutoReverse)</t>
  </si>
  <si>
    <t>Body &gt; Closures &gt; Rear Door Left &gt; Sealing System &gt; Interior Weatherstrip</t>
  </si>
  <si>
    <t>Body &gt; Closures &gt; Rear Door Left &gt; Sealing System &gt; Interior Weatherstrip &gt; Seal Extrusion</t>
  </si>
  <si>
    <t>0000000AJBVIEU01 (AutoReverse)</t>
  </si>
  <si>
    <t>Body &gt; Closures &gt; Rear Door Left &gt; Sealing System &gt; Exterior Weatherstrip</t>
  </si>
  <si>
    <t>Body &gt; Closures &gt; Rear Door Left &gt; Sealing System &gt; Exterior Weatherstrip &gt; Seal Extrusion</t>
  </si>
  <si>
    <t>00000003QACYEU01 (AutoReverse)</t>
  </si>
  <si>
    <t>000000090PQ0EU01 (AutoReverse)</t>
  </si>
  <si>
    <t>Body &gt; Closures &gt; Rear Door Left &gt; Hinges</t>
  </si>
  <si>
    <t>Body &gt; Closures &gt; Rear Door Left &gt; Hinges &gt; Upper</t>
  </si>
  <si>
    <t>Body &gt; Closures &gt; Rear Door Left &gt; Hinges &gt; Upper &gt; On Body</t>
  </si>
  <si>
    <t>Body &gt; Closures &gt; Rear Door Left &gt; Hinges &gt; Upper &gt; On Body &gt; Part 01 single/main</t>
  </si>
  <si>
    <t>0.19700 kg</t>
  </si>
  <si>
    <t>0.24625 kg</t>
  </si>
  <si>
    <t>Body &gt; Closures &gt; Rear Door Left &gt; Hinges &gt; Upper &gt; On Body &gt; Part 01 single/main &gt; Manufacturing Process</t>
  </si>
  <si>
    <t>0000000ADJXXEU01 (AutoReverse)</t>
  </si>
  <si>
    <t>Body &gt; Closures &gt; Rear Door Left &gt; Hinges &gt; Upper &gt; On Door</t>
  </si>
  <si>
    <t>Body &gt; Closures &gt; Rear Door Left &gt; Hinges &gt; Upper &gt; On Door &gt; Part 01 single/main</t>
  </si>
  <si>
    <t>0.12000 kg</t>
  </si>
  <si>
    <t>Body &gt; Closures &gt; Rear Door Left &gt; Hinges &gt; Upper &gt; On Door &gt; Part 01 single/main &gt; Manufacturing Process</t>
  </si>
  <si>
    <t>00000003YZG3EU01 (AutoReverse)</t>
  </si>
  <si>
    <t>Body &gt; Closures &gt; Rear Door Left &gt; Hinges &gt; Upper &gt; Fastners</t>
  </si>
  <si>
    <t>0000000759AZEU01 (AutoReverse)</t>
  </si>
  <si>
    <t>Body &gt; Closures &gt; Rear Door Left &gt; Hinges &gt; Lower</t>
  </si>
  <si>
    <t>Body &gt; Closures &gt; Rear Door Left &gt; Hinges &gt; Lower &gt; On Body</t>
  </si>
  <si>
    <t>Body &gt; Closures &gt; Rear Door Left &gt; Hinges &gt; Lower &gt; On Body &gt; Part 01 single/main</t>
  </si>
  <si>
    <t>Body &gt; Closures &gt; Rear Door Left &gt; Hinges &gt; Lower &gt; On Body &gt; Part 01 single/main &gt; Manufacturing Process</t>
  </si>
  <si>
    <t>000000013K4IEU01 (AutoReverse)</t>
  </si>
  <si>
    <t>Body &gt; Closures &gt; Rear Door Left &gt; Hinges &gt; Lower &gt; On Door</t>
  </si>
  <si>
    <t>Body &gt; Closures &gt; Rear Door Left &gt; Hinges &gt; Lower &gt; On Door &gt; Part 01 single/main</t>
  </si>
  <si>
    <t>0.125 kg</t>
  </si>
  <si>
    <t>Body &gt; Closures &gt; Rear Door Left &gt; Hinges &gt; Lower &gt; On Door &gt; Part 01 single/main &gt; Manufacturing Process</t>
  </si>
  <si>
    <t>00000001S62KEU01 (AutoReverse)</t>
  </si>
  <si>
    <t>Body &gt; Closures &gt; Rear Door Left &gt; Hinges &gt; Lower &gt; Fastners</t>
  </si>
  <si>
    <t>000000032QD9EU01 (AutoReverse)</t>
  </si>
  <si>
    <t>Body &gt; Closures &gt; Rear Door Left &gt; Hinges &gt; Fastners</t>
  </si>
  <si>
    <t>PA;PA66;FERROUS METAL</t>
  </si>
  <si>
    <t>00000002VOXZEU01 (AutoReverse)</t>
  </si>
  <si>
    <t>0000000011EYEU01 (AutoReverse)</t>
  </si>
  <si>
    <t>Body &gt; Closures &gt; Rear Door Left &gt; Power System</t>
  </si>
  <si>
    <t>Body &gt; Closures &gt; Rear Door Left &gt; Power System &gt; Door ECU</t>
  </si>
  <si>
    <t>Body &gt; Closures &gt; Rear Door Left &gt; Power System &gt; Door ECU &gt; Process</t>
  </si>
  <si>
    <t>00000003HD0TEU01 (AutoReverse)</t>
  </si>
  <si>
    <t>Body &gt; Closures &gt; Rear Door Left &gt; Power System &gt; Fastners</t>
  </si>
  <si>
    <t>00000007B7EGEU01 (AutoReverse)</t>
  </si>
  <si>
    <t>000000014M9FEU01  (AutoReverse)</t>
  </si>
  <si>
    <t>000000A8W2OYEU02 (AutoReverse)</t>
  </si>
  <si>
    <t>PBT;EPDM;PA66</t>
  </si>
  <si>
    <t>00000004LR7FEU01 (AutoReverse)</t>
  </si>
  <si>
    <t>{_x000d_
  "productId": "0000000W1006CID0",_x000d_
  "productCompleteName": "ETG"_x000d_
}</t>
  </si>
  <si>
    <t>A000000A72ACEU02 (AutoReverse)</t>
  </si>
  <si>
    <t>00000009G0YIEU01 (AutoReverse)</t>
  </si>
  <si>
    <t>Body &gt; Closures &gt; Rear Door Left &gt; Molding System</t>
  </si>
  <si>
    <t>Body &gt; Closures &gt; Rear Door Left &gt; Molding System &gt; Fastners</t>
  </si>
  <si>
    <t>Body &gt; Closures &gt; Rear Door Left &gt; Molding System &gt; Door Molding</t>
  </si>
  <si>
    <t>0.45500 kg</t>
  </si>
  <si>
    <t>0.4641000742560118809619009539 kg</t>
  </si>
  <si>
    <t>Body &gt; Closures &gt; Rear Door Left &gt; Molding System &gt; Door Molding &gt; Injection molding</t>
  </si>
  <si>
    <t>Body &gt; Closures &gt; Rear Door Left &gt; Molding System &gt; Door Molding &gt; Handling/Visual Inspection/Packaging</t>
  </si>
  <si>
    <t>{_x000d_
  "productId": "0000000W10KGCID0",_x000d_
  "productCompleteName": "KKF"_x000d_
}</t>
  </si>
  <si>
    <t>00000004W0S4EU01 (AutoReverse)</t>
  </si>
  <si>
    <t>Body &gt; Closures &gt; Rear Door Left &gt; Molding System &gt; Upper Frame Front Exterior Trim</t>
  </si>
  <si>
    <t>0.19200 kg</t>
  </si>
  <si>
    <t>0.1958400313344050135048021608 kg</t>
  </si>
  <si>
    <t>Body &gt; Closures &gt; Rear Door Left &gt; Molding System &gt; Upper Frame Front Exterior Trim &gt; Injection molding</t>
  </si>
  <si>
    <t>Body &gt; Closures &gt; Rear Door Left &gt; Molding System &gt; Upper Frame Front Exterior Trim &gt; Handling/Visual Inspection/Packaging</t>
  </si>
  <si>
    <t>0000000AK281EU01 (AutoReverse)</t>
  </si>
  <si>
    <t>000000066VY0EU01 (AutoReverse)</t>
  </si>
  <si>
    <t>Body &gt; Closures &gt; Rear Door Left &gt; Power Controls</t>
  </si>
  <si>
    <t>00000008JR2MEU01 (AutoReverse)</t>
  </si>
  <si>
    <t>000000042UCREU01 (AutoReverse)</t>
  </si>
  <si>
    <t>Body &gt; Closures &gt; Rear Door Left &gt; Speaker System</t>
  </si>
  <si>
    <t>PC;PET;PUR;CARDBOARD;ELECTRONIC COMPONENT;FERROUS METAL;MAGNET</t>
  </si>
  <si>
    <t>00000004PUD9EU01 (AutoReverse)</t>
  </si>
  <si>
    <t>00000007IKN3EU01 (AutoReverse)</t>
  </si>
  <si>
    <t>Body &gt; Closures &gt; Rear Door Left &gt; Fastners</t>
  </si>
  <si>
    <t>EPDM;PP;TPV;ELASTOMER UNKNOWN</t>
  </si>
  <si>
    <t>00000006SDVMEU01 (AutoReverse)</t>
  </si>
  <si>
    <t>00000005MQFKEU01 (AutoReverse)</t>
  </si>
  <si>
    <t>Body &gt; Closures &gt; Hood</t>
  </si>
  <si>
    <t>Body &gt; Closures &gt; Hood &gt; Hinges System</t>
  </si>
  <si>
    <t>Body &gt; Closures &gt; Hood &gt; Hinges System &gt; Hinges</t>
  </si>
  <si>
    <t>Body &gt; Closures &gt; Hood &gt; Hinges System &gt; Hinges &gt; On BIW</t>
  </si>
  <si>
    <t>Body &gt; Closures &gt; Hood &gt; Hinges System &gt; Hinges &gt; On BIW &gt; Part 01 single/main</t>
  </si>
  <si>
    <t>0.3866666666666666666666666667 kg</t>
  </si>
  <si>
    <t>Body &gt; Closures &gt; Hood &gt; Hinges System &gt; Hinges &gt; On BIW &gt; Part 01 single/main &gt; Manufacturing Process</t>
  </si>
  <si>
    <t>Body &gt; Closures &gt; Hood &gt; Hinges System &gt; Hinges &gt; On hood</t>
  </si>
  <si>
    <t>Body &gt; Closures &gt; Hood &gt; Hinges System &gt; Hinges &gt; On hood &gt; Part 01 single/main</t>
  </si>
  <si>
    <t>0.44000 kg</t>
  </si>
  <si>
    <t>0.55 kg</t>
  </si>
  <si>
    <t>Body &gt; Closures &gt; Hood &gt; Hinges System &gt; Hinges &gt; On hood &gt; Part 01 single/main &gt; Manufacturing Process</t>
  </si>
  <si>
    <t>Body &gt; Closures &gt; Hood &gt; Hinges System &gt; Hinges &gt; On Joint</t>
  </si>
  <si>
    <t>Body &gt; Closures &gt; Hood &gt; Hinges System &gt; Hinges &gt; On Joint &gt; Part 01 single/main</t>
  </si>
  <si>
    <t>0.1411764705882352941176470588 kg</t>
  </si>
  <si>
    <t>Body &gt; Closures &gt; Hood &gt; Hinges System &gt; Hinges &gt; On Joint &gt; Part 01 single/main &gt; Manufacturing Process</t>
  </si>
  <si>
    <t>Body &gt; Closures &gt; Hood &gt; Hinges System &gt; Hinges &gt; On Joint &gt; Part 02</t>
  </si>
  <si>
    <t>Body &gt; Closures &gt; Hood &gt; Hinges System &gt; Hinges &gt; On Joint &gt; Part 02 &gt; Manufacturing Process</t>
  </si>
  <si>
    <t>0000000AAMXIEU01 (AutoReverse)</t>
  </si>
  <si>
    <t>Body &gt; Closures &gt; Hood &gt; Hinges System &gt; Fastners</t>
  </si>
  <si>
    <t>00000004KP24EU01 (AutoReverse)</t>
  </si>
  <si>
    <t>Body &gt; Closures &gt; Hood &gt; Hood Opening Closing Mechanism</t>
  </si>
  <si>
    <t>sensor 0.35 + harness 1.54</t>
  </si>
  <si>
    <t>00000003Q97QEU01 (AutoReverse)</t>
  </si>
  <si>
    <t>Body &gt; Closures &gt; Hood &gt; Hood Opening Closing Mechanism &gt; Fastners</t>
  </si>
  <si>
    <t>A2MAC1 reference price (BMW X7)</t>
  </si>
  <si>
    <t>00000002BPHWEU01 (AutoReverse)</t>
  </si>
  <si>
    <t>Body &gt; Closures &gt; Hood &gt; Hood Opening Closing Mechanism &gt; Hood Latch Support</t>
  </si>
  <si>
    <t>0.0413333333333333333333333333 kg</t>
  </si>
  <si>
    <t xml:space="preserve">Body &gt; Closures &gt; Hood &gt; Hood Opening Closing Mechanism &gt; Hood Latch Support &gt; Stamping </t>
  </si>
  <si>
    <t>00000001EAI8EU01 (AutoReverse)</t>
  </si>
  <si>
    <t>Body &gt; Closures &gt; Hood &gt; Hood Opening Closing Mechanism &gt; Inner Latch Handle</t>
  </si>
  <si>
    <t>0.0622200099552015928322548532 kg</t>
  </si>
  <si>
    <t>Body &gt; Closures &gt; Hood &gt; Hood Opening Closing Mechanism &gt; Inner Latch Handle &gt; Injection molding</t>
  </si>
  <si>
    <t>Body &gt; Closures &gt; Hood &gt; Hood Opening Closing Mechanism &gt; Inner Latch Handle &gt; Handling/Visual Inspection/Packaging</t>
  </si>
  <si>
    <t>000000022X32EU01 (AutoReverse)</t>
  </si>
  <si>
    <t>Body &gt; Closures &gt; Hood &gt; Hood Opening Closing Mechanism &gt; Inner handle support</t>
  </si>
  <si>
    <t>0.0275400044064007050241128039 kg</t>
  </si>
  <si>
    <t>Body &gt; Closures &gt; Hood &gt; Hood Opening Closing Mechanism &gt; Inner handle support &gt; Injection molding</t>
  </si>
  <si>
    <t>Body &gt; Closures &gt; Hood &gt; Hood Opening Closing Mechanism &gt; Inner handle support &gt; Handling/Visual Inspection/Packaging</t>
  </si>
  <si>
    <t>00000006B712EU01 (AutoReverse)</t>
  </si>
  <si>
    <t>Body &gt; Closures &gt; Hood &gt; Hood Opening Closing Mechanism &gt; Cable</t>
  </si>
  <si>
    <t>0.03833 kg</t>
  </si>
  <si>
    <t>0.0403473684210526315789473684 kg</t>
  </si>
  <si>
    <t>Body &gt; Closures &gt; Hood &gt; Hood Opening Closing Mechanism &gt; Cable &gt; Automated Process</t>
  </si>
  <si>
    <t>TPC-ET;ELASTOMER UNKNOWN;FERROUS METAL</t>
  </si>
  <si>
    <t>00000005GI8PEU01 (AutoReverse)</t>
  </si>
  <si>
    <t>Body &gt; Closures &gt; Hood &gt; Hood Opening Closing Mechanism &gt; Cable On Front End Module</t>
  </si>
  <si>
    <t>0.02367 kg</t>
  </si>
  <si>
    <t>0.0249157894736842105263157895 kg</t>
  </si>
  <si>
    <t>Body &gt; Closures &gt; Hood &gt; Hood Opening Closing Mechanism &gt; Cable On Front End Module &gt; Automated Process</t>
  </si>
  <si>
    <t>TPC-ET;POM;FERROUS METAL</t>
  </si>
  <si>
    <t>0000000110L6EU01 (AutoReverse)</t>
  </si>
  <si>
    <t>Body &gt; Closures &gt; Hood &gt; Hood Opening Closing Mechanism &gt; Safety Hook Control</t>
  </si>
  <si>
    <t>0.0714000114240018278402924544 kg</t>
  </si>
  <si>
    <t>Body &gt; Closures &gt; Hood &gt; Hood Opening Closing Mechanism &gt; Safety Hook Control &gt; Injection molding</t>
  </si>
  <si>
    <t>Body &gt; Closures &gt; Hood &gt; Hood Opening Closing Mechanism &gt; Safety Hook Control &gt; Handling/Visual Inspection/Packaging</t>
  </si>
  <si>
    <t>PBT;FERROUS METAL</t>
  </si>
  <si>
    <t>00000005GTW3EU01 (AutoReverse)</t>
  </si>
  <si>
    <t>Body &gt; Closures &gt; Hood &gt; Hood Opening Closing Mechanism &gt; Safety Hook Control Support</t>
  </si>
  <si>
    <t>0.0906666666666666666666666667 kg</t>
  </si>
  <si>
    <t xml:space="preserve">Body &gt; Closures &gt; Hood &gt; Hood Opening Closing Mechanism &gt; Safety Hook Control Support &gt; Stamping </t>
  </si>
  <si>
    <t>000000095KFUEU01 (AutoReverse)</t>
  </si>
  <si>
    <t>Body &gt; Closures &gt; Hood &gt; Hood Opening Closing Mechanism &gt; Reverse Duct Hole Cover</t>
  </si>
  <si>
    <t>Body &gt; Closures &gt; Hood &gt; Hood Opening Closing Mechanism &gt; Reverse Duct Hole Cover &gt; Injection molding</t>
  </si>
  <si>
    <t>00000009UIZ3EU01 (AutoReverse)</t>
  </si>
  <si>
    <t>00000008SHJSEU01 (AutoReverse)</t>
  </si>
  <si>
    <t>Body &gt; Closures &gt; Hood &gt; Sealing</t>
  </si>
  <si>
    <t>Body &gt; Closures &gt; Hood &gt; Sealing &gt; Seal Hood Scuttle Grill</t>
  </si>
  <si>
    <t>0.65900 kg</t>
  </si>
  <si>
    <t>0.6936842105263157894736842105 kg</t>
  </si>
  <si>
    <t>Body &gt; Closures &gt; Hood &gt; Sealing &gt; Seal Hood Scuttle Grill &gt; Seal Extrusion</t>
  </si>
  <si>
    <t>0.21225 kg</t>
  </si>
  <si>
    <t>0.2234210526315789473684210526 kg</t>
  </si>
  <si>
    <t>Extrusion time base on 100mm/sec feed (single or multi layer)</t>
  </si>
  <si>
    <t>00000007VL8BEU01 (AutoReverse)</t>
  </si>
  <si>
    <t>00000006C12IEU01 (AutoReverse)</t>
  </si>
  <si>
    <t>Body &gt; Closures &gt; Hood &gt; Stoppers</t>
  </si>
  <si>
    <t>Body &gt; Closures &gt; Hood &gt; Stoppers &gt; Fastners</t>
  </si>
  <si>
    <t>Body &gt; Closures &gt; Hood &gt; Stoppers &gt; Fixed Stoppers on Body</t>
  </si>
  <si>
    <t>Body &gt; Closures &gt; Hood &gt; Stoppers &gt; Fixed Stoppers on Body &gt; Injection molding</t>
  </si>
  <si>
    <t>00000007JEL2EU01 (AutoReverse)</t>
  </si>
  <si>
    <t>Body &gt; Closures &gt; Hood &gt; Stoppers &gt; 2nd Fixed Stopper on Body</t>
  </si>
  <si>
    <t>Body &gt; Closures &gt; Hood &gt; Stoppers &gt; 2nd Fixed Stopper on Body &gt; Injection molding</t>
  </si>
  <si>
    <t>000000096MJTEU01 (AutoReverse)</t>
  </si>
  <si>
    <t>Body &gt; Closures &gt; Hood &gt; Stoppers &gt; 3rd Fixed Stopper on Body</t>
  </si>
  <si>
    <t>Body &gt; Closures &gt; Hood &gt; Stoppers &gt; 3rd Fixed Stopper on Body &gt; Injection molding</t>
  </si>
  <si>
    <t>A0000004Q8MNEU02 (AutoReverse)</t>
  </si>
  <si>
    <t>Body &gt; Closures &gt; Hood &gt; Stoppers &gt; Adjustable Stopper on Hood</t>
  </si>
  <si>
    <t>Body &gt; Closures &gt; Hood &gt; Stoppers &gt; Adjustable Stopper on Hood &gt; Injection molding</t>
  </si>
  <si>
    <t>00000002BBCNEU01 (AutoReverse)</t>
  </si>
  <si>
    <t>Body &gt; Closures &gt; Hood &gt; Stoppers &gt; Support on Body</t>
  </si>
  <si>
    <t>0.0842105263157894736842105263 kg</t>
  </si>
  <si>
    <t>Body &gt; Closures &gt; Hood &gt; Stoppers &gt; Support on Body &gt; Injection molding</t>
  </si>
  <si>
    <t>{_x000d_
  "productId": "0000000W0ZLUCID0",_x000d_
  "productCompleteName": "Borscheid-Wenig (BDW)"_x000d_
}</t>
  </si>
  <si>
    <t>00000001PP6XEU01 (AutoReverse)</t>
  </si>
  <si>
    <t>Body &gt; Closures &gt; Hood &gt; Stoppers &gt; 2nd Support on Body</t>
  </si>
  <si>
    <t>Body &gt; Closures &gt; Hood &gt; Stoppers &gt; 2nd Support on Body &gt; Injection molding</t>
  </si>
  <si>
    <t>00000000P0B7EU01 (AutoReverse)</t>
  </si>
  <si>
    <t>00000002EVWGEU01 (AutoReverse)</t>
  </si>
  <si>
    <t>Body &gt; Closures &gt; Hood &gt; Hood Check Fixing</t>
  </si>
  <si>
    <t>Body &gt; Closures &gt; Hood &gt; Hood Check Fixing &gt; On Body</t>
  </si>
  <si>
    <t>Polyoxymethylen oder Polyacetal</t>
  </si>
  <si>
    <t>Body &gt; Closures &gt; Hood &gt; Hood Check Fixing &gt; On Body &gt; Injection molding</t>
  </si>
  <si>
    <t>000000097KHFEU01 (AutoReverse)</t>
  </si>
  <si>
    <t>00000008121HEU01 (AutoReverse)</t>
  </si>
  <si>
    <t>Body &gt; Closures &gt; Hood &gt; Hood</t>
  </si>
  <si>
    <t>Body &gt; Closures &gt; Hood &gt; Hood &gt; Lining assy</t>
  </si>
  <si>
    <t>Body &gt; Closures &gt; Hood &gt; Hood &gt; Lining assy &gt; Lining</t>
  </si>
  <si>
    <t>Body &gt; Closures &gt; Hood &gt; Hood &gt; Lining assy &gt; Lining &gt; Part 01 single/main</t>
  </si>
  <si>
    <t>4.28000 kg</t>
  </si>
  <si>
    <t>5.7066666666666666666666666667 kg</t>
  </si>
  <si>
    <t>Body &gt; Closures &gt; Hood &gt; Hood &gt; Lining assy &gt; Lining &gt; Part 01 single/main &gt; Manufacturing Process</t>
  </si>
  <si>
    <t>Body &gt; Closures &gt; Hood &gt; Hood &gt; Lining assy &gt; Fixing parts</t>
  </si>
  <si>
    <t>Body &gt; Closures &gt; Hood &gt; Hood &gt; Lining assy &gt; Fixing parts &gt; Part 01 main/single</t>
  </si>
  <si>
    <t>0.66000 kg</t>
  </si>
  <si>
    <t>0.7764705882352941176470588235 kg</t>
  </si>
  <si>
    <t>Body &gt; Closures &gt; Hood &gt; Hood &gt; Lining assy &gt; Fixing parts &gt; Part 01 main/single &gt; Manufacturing Process</t>
  </si>
  <si>
    <t>Body &gt; Closures &gt; Hood &gt; Hood &gt; Lining assy &gt; Fixing parts &gt; Part 02</t>
  </si>
  <si>
    <t>0.18000 kg</t>
  </si>
  <si>
    <t>0.2117647058823529411764705882 kg</t>
  </si>
  <si>
    <t>Body &gt; Closures &gt; Hood &gt; Hood &gt; Lining assy &gt; Fixing parts &gt; Part 02 &gt; Manufacturing Process</t>
  </si>
  <si>
    <t>Body &gt; Closures &gt; Hood &gt; Hood &gt; Lining assy &gt; Fixing parts &gt; Part 03</t>
  </si>
  <si>
    <t>0.35000 kg</t>
  </si>
  <si>
    <t>0.4375 kg</t>
  </si>
  <si>
    <t>Body &gt; Closures &gt; Hood &gt; Hood &gt; Lining assy &gt; Fixing parts &gt; Part 03 &gt; Manufacturing Process</t>
  </si>
  <si>
    <t>Body &gt; Closures &gt; Hood &gt; Hood &gt; Outer panel</t>
  </si>
  <si>
    <t>Body &gt; Closures &gt; Hood &gt; Hood &gt; Outer panel &gt; Part 01 main/single</t>
  </si>
  <si>
    <t>3.06000 kg</t>
  </si>
  <si>
    <t>4.08 kg</t>
  </si>
  <si>
    <t>Body &gt; Closures &gt; Hood &gt; Hood &gt; Outer panel &gt; Part 01 main/single &gt; Manufacturing Process</t>
  </si>
  <si>
    <t>Body &gt; Closures &gt; Hood &gt; Hood &gt; Assembly</t>
  </si>
  <si>
    <t>00000003QO3FEU01 (AutoReverse)</t>
  </si>
  <si>
    <t>Body &gt; Closures &gt; Hood &gt; Fastners</t>
  </si>
  <si>
    <t>Price referred for this part from Tata Nexon Project</t>
  </si>
  <si>
    <t>00000009DYMDEU01 (AutoReverse)</t>
  </si>
  <si>
    <t>TPC-EE;ELASTOMER UNKNOWN</t>
  </si>
  <si>
    <t>00000000WJG8EU01 (AutoReverse)</t>
  </si>
  <si>
    <t>00000000JUFREU01 (AutoReverse)</t>
  </si>
  <si>
    <t>Body &gt; Closures &gt; Tailgate</t>
  </si>
  <si>
    <t>Body &gt; Closures &gt; Tailgate &gt; Tailgate Frame</t>
  </si>
  <si>
    <t>Body &gt; Closures &gt; Tailgate &gt; Tailgate Frame &gt; Lining assy</t>
  </si>
  <si>
    <t>Body &gt; Closures &gt; Tailgate &gt; Tailgate Frame &gt; Lining assy &gt; Lining</t>
  </si>
  <si>
    <t>Body &gt; Closures &gt; Tailgate &gt; Tailgate Frame &gt; Lining assy &gt; Lining &gt; Part 01 single/upper</t>
  </si>
  <si>
    <t>4.10700 kg</t>
  </si>
  <si>
    <t>4.5633333333333333333333333333 kg</t>
  </si>
  <si>
    <t>Body &gt; Closures &gt; Tailgate &gt; Tailgate Frame &gt; Lining assy &gt; Lining &gt; Part 01 single/upper &gt; Manufacturing Process</t>
  </si>
  <si>
    <t>Body &gt; Closures &gt; Tailgate &gt; Tailgate Frame &gt; Lining assy &gt; Reinforcements</t>
  </si>
  <si>
    <t>Body &gt; Closures &gt; Tailgate &gt; Tailgate Frame &gt; Lining assy &gt; Reinforcements &gt; Part 01 main/single</t>
  </si>
  <si>
    <t>1.15000 kg</t>
  </si>
  <si>
    <t>1.2105263157894736842105263158 kg</t>
  </si>
  <si>
    <t>Body &gt; Closures &gt; Tailgate &gt; Tailgate Frame &gt; Lining assy &gt; Reinforcements &gt; Part 01 main/single &gt; Manufacturing Process</t>
  </si>
  <si>
    <t>Body &gt; Closures &gt; Tailgate &gt; Tailgate Frame &gt; Outer Assy panel</t>
  </si>
  <si>
    <t>Body &gt; Closures &gt; Tailgate &gt; Tailgate Frame &gt; Outer Assy panel &gt; Outer panel</t>
  </si>
  <si>
    <t>Body &gt; Closures &gt; Tailgate &gt; Tailgate Frame &gt; Outer Assy panel &gt; Outer panel &gt; Part 01 single/upper</t>
  </si>
  <si>
    <t>1.10900 kg</t>
  </si>
  <si>
    <t>1.1673684210526315789473684211 kg</t>
  </si>
  <si>
    <t>Filled Polypropylen</t>
  </si>
  <si>
    <t>Body &gt; Closures &gt; Tailgate &gt; Tailgate Frame &gt; Outer Assy panel &gt; Outer panel &gt; Part 01 single/upper &gt; Manufacturing Process</t>
  </si>
  <si>
    <t>Body &gt; Closures &gt; Tailgate &gt; Tailgate Frame &gt; Outer Assy panel &gt; Outer panel &gt; Part 02 lower</t>
  </si>
  <si>
    <t>1.05300 kg</t>
  </si>
  <si>
    <t>1.1084210526315789473684210526 kg</t>
  </si>
  <si>
    <t>Body &gt; Closures &gt; Tailgate &gt; Tailgate Frame &gt; Outer Assy panel &gt; Outer panel &gt; Part 02 lower &gt; Manufacturing Process</t>
  </si>
  <si>
    <t>Body &gt; Closures &gt; Tailgate &gt; Tailgate Frame &gt; Outer Assy panel &gt; Fixing parts</t>
  </si>
  <si>
    <t>Body &gt; Closures &gt; Tailgate &gt; Tailgate Frame &gt; Outer Assy panel &gt; Fixing parts &gt; Part 01 main/single</t>
  </si>
  <si>
    <t>0.5666666666666666666666666667 kg</t>
  </si>
  <si>
    <t>Body &gt; Closures &gt; Tailgate &gt; Tailgate Frame &gt; Outer Assy panel &gt; Fixing parts &gt; Part 01 main/single &gt; Manufacturing Process</t>
  </si>
  <si>
    <t>Body &gt; Closures &gt; Tailgate &gt; Tailgate Frame &gt; Assembly</t>
  </si>
  <si>
    <t>00000005UI2IEU01 (AutoReverse)</t>
  </si>
  <si>
    <t>Body &gt; Closures &gt; Tailgate &gt; Inner Panel</t>
  </si>
  <si>
    <t>Body &gt; Closures &gt; Tailgate &gt; Inner Panel &gt; Access Traps System</t>
  </si>
  <si>
    <t>Body &gt; Closures &gt; Tailgate &gt; Inner Panel &gt; Access Traps System &gt; Left Access Trap</t>
  </si>
  <si>
    <t>0.0326400052224008355841336935 kg</t>
  </si>
  <si>
    <t>Body &gt; Closures &gt; Tailgate &gt; Inner Panel &gt; Access Traps System &gt; Left Access Trap &gt; Injection molding</t>
  </si>
  <si>
    <t>Body &gt; Closures &gt; Tailgate &gt; Inner Panel &gt; Access Traps System &gt; Left Access Trap &gt; Handling/Visual Inspection/Packaging</t>
  </si>
  <si>
    <t>0000000492CAEU01 (AutoReverse)</t>
  </si>
  <si>
    <t>Body &gt; Closures &gt; Tailgate &gt; Inner Panel &gt; Access Traps System &gt; Right Access Trap</t>
  </si>
  <si>
    <t>Body &gt; Closures &gt; Tailgate &gt; Inner Panel &gt; Access Traps System &gt; Right Access Trap &gt; Injection molding</t>
  </si>
  <si>
    <t>Body &gt; Closures &gt; Tailgate &gt; Inner Panel &gt; Access Traps System &gt; Right Access Trap &gt; Handling/Visual Inspection/Packaging</t>
  </si>
  <si>
    <t>000000029275EU01 (AutoReverse)</t>
  </si>
  <si>
    <t>000000035UT2EU01 (AutoReverse)</t>
  </si>
  <si>
    <t>Body &gt; Closures &gt; Tailgate &gt; Inner Panel &gt; Fastners</t>
  </si>
  <si>
    <t>Body &gt; Closures &gt; Tailgate &gt; Inner Panel &gt; Lower Main Panel</t>
  </si>
  <si>
    <t>2.09500 kg</t>
  </si>
  <si>
    <t>2.1369003419040547046487527438 kg</t>
  </si>
  <si>
    <t>Body &gt; Closures &gt; Tailgate &gt; Inner Panel &gt; Lower Main Panel &gt; Injection molding</t>
  </si>
  <si>
    <t>Body &gt; Closures &gt; Tailgate &gt; Inner Panel &gt; Lower Main Panel &gt; Handling/Visual Inspection/Packaging</t>
  </si>
  <si>
    <t>00000001665DEU01 (AutoReverse)</t>
  </si>
  <si>
    <t>Body &gt; Closures &gt; Tailgate &gt; Inner Panel &gt; Upper Panel</t>
  </si>
  <si>
    <t>0.79700 kg</t>
  </si>
  <si>
    <t>0.8535868318433941268513570103 kg</t>
  </si>
  <si>
    <t>Body &gt; Closures &gt; Tailgate &gt; Inner Panel &gt; Upper Panel &gt; Injection molding</t>
  </si>
  <si>
    <t>Body &gt; Closures &gt; Tailgate &gt; Inner Panel &gt; Upper Panel &gt; Handling/Visual Inspection/Packaging</t>
  </si>
  <si>
    <t>00000002X0MBEU01 (AutoReverse)</t>
  </si>
  <si>
    <t>Body &gt; Closures &gt; Tailgate &gt; Inner Panel &gt; Left Side</t>
  </si>
  <si>
    <t>0.44200 kg</t>
  </si>
  <si>
    <t>0.4508400721344115415058466409 kg</t>
  </si>
  <si>
    <t>Body &gt; Closures &gt; Tailgate &gt; Inner Panel &gt; Left Side &gt; Injection molding</t>
  </si>
  <si>
    <t>Body &gt; Closures &gt; Tailgate &gt; Inner Panel &gt; Left Side &gt; Handling/Visual Inspection/Packaging</t>
  </si>
  <si>
    <t>000000053UXREU01 (AutoReverse)</t>
  </si>
  <si>
    <t>Body &gt; Closures &gt; Tailgate &gt; Inner Panel &gt; Right Side</t>
  </si>
  <si>
    <t>Body &gt; Closures &gt; Tailgate &gt; Inner Panel &gt; Right Side &gt; Injection molding</t>
  </si>
  <si>
    <t>Body &gt; Closures &gt; Tailgate &gt; Inner Panel &gt; Right Side &gt; Handling/Visual Inspection/Packaging</t>
  </si>
  <si>
    <t>00000008VR11EU01 (AutoReverse)</t>
  </si>
  <si>
    <t>00000001YOYEEU01 (AutoReverse)</t>
  </si>
  <si>
    <t>Body &gt; Closures &gt; Tailgate &gt; Hinges</t>
  </si>
  <si>
    <t>Body &gt; Closures &gt; Tailgate &gt; Hinges &gt; On BIW</t>
  </si>
  <si>
    <t>Body &gt; Closures &gt; Tailgate &gt; Hinges &gt; On BIW &gt; Part 01 single/main</t>
  </si>
  <si>
    <t>0.09000 kg</t>
  </si>
  <si>
    <t>0.1125 kg</t>
  </si>
  <si>
    <t>Body &gt; Closures &gt; Tailgate &gt; Hinges &gt; On BIW &gt; Part 01 single/main &gt; Manufacturing Process</t>
  </si>
  <si>
    <t>Body &gt; Closures &gt; Tailgate &gt; Hinges &gt; On trunk / tailgate</t>
  </si>
  <si>
    <t>Body &gt; Closures &gt; Tailgate &gt; Hinges &gt; On trunk / tailgate &gt; Part 01 single/main</t>
  </si>
  <si>
    <t>0.075 kg</t>
  </si>
  <si>
    <t>Body &gt; Closures &gt; Tailgate &gt; Hinges &gt; On trunk / tailgate &gt; Part 01 single/main &gt; Manufacturing Process</t>
  </si>
  <si>
    <t>Body &gt; Closures &gt; Tailgate &gt; Hinges &gt; Fastners</t>
  </si>
  <si>
    <t>0000000674H9EU01 (AutoReverse)</t>
  </si>
  <si>
    <t>Body &gt; Closures &gt; Tailgate &gt; Weather Stripping</t>
  </si>
  <si>
    <t>Body &gt; Closures &gt; Tailgate &gt; Weather Stripping &gt; Fastners</t>
  </si>
  <si>
    <t>Body &gt; Closures &gt; Tailgate &gt; Weather Stripping &gt; On Body</t>
  </si>
  <si>
    <t>0.95600 kg</t>
  </si>
  <si>
    <t>1.0063157894736842105263157895 kg</t>
  </si>
  <si>
    <t>Body &gt; Closures &gt; Tailgate &gt; Weather Stripping &gt; On Body &gt; Seal Extrusion (Multi Layer)</t>
  </si>
  <si>
    <t>Body &gt; Closures &gt; Tailgate &gt; Weather Stripping &gt; On Body &gt; End Glueing/Vulcanizing, Check and Pack</t>
  </si>
  <si>
    <t>00000002YIENEU01 (AutoReverse)</t>
  </si>
  <si>
    <t>Body &gt; Closures &gt; Tailgate &gt; Weather Stripping &gt; Upper on Tailgate</t>
  </si>
  <si>
    <t>0.0936842105263157894736842105 kg</t>
  </si>
  <si>
    <t>Body &gt; Closures &gt; Tailgate &gt; Weather Stripping &gt; Upper on Tailgate &gt; Seal Extrusion (Multi Layer)</t>
  </si>
  <si>
    <t>{_x000d_
  "productId": "0000000W11IKCID0",_x000d_
  "productCompleteName": "STANDARD PROFIL"_x000d_
}</t>
  </si>
  <si>
    <t>00000005WTMXEU01 (AutoReverse)</t>
  </si>
  <si>
    <t>Body &gt; Closures &gt; Tailgate &gt; Weather Stripping &gt; Side on Tailgate</t>
  </si>
  <si>
    <t>Body &gt; Closures &gt; Tailgate &gt; Weather Stripping &gt; Side on Tailgate &gt; Seal Extrusion (Multi Layer)</t>
  </si>
  <si>
    <t>00000006U393EU01 (AutoReverse)</t>
  </si>
  <si>
    <t>00000008RN3KEU01 (AutoReverse)</t>
  </si>
  <si>
    <t>Body &gt; Closures &gt; Tailgate &gt; Electric System</t>
  </si>
  <si>
    <t>Body &gt; Closures &gt; Tailgate &gt; Electric System &gt; Fastners</t>
  </si>
  <si>
    <t>00000000XM90EU01 (AutoReverse)</t>
  </si>
  <si>
    <t>000000044D1QEU01 (AutoReverse)</t>
  </si>
  <si>
    <t>Body &gt; Closures &gt; Tailgate &gt; Electric System &gt; Plugs Support</t>
  </si>
  <si>
    <t>0.0153000024480003916800626688 kg</t>
  </si>
  <si>
    <t>Body &gt; Closures &gt; Tailgate &gt; Electric System &gt; Plugs Support &gt; Injection molding</t>
  </si>
  <si>
    <t>Body &gt; Closures &gt; Tailgate &gt; Electric System &gt; Plugs Support &gt; Handling/Visual Inspection/Packaging</t>
  </si>
  <si>
    <t>0000000AV4OPEU01 (AutoReverse)</t>
  </si>
  <si>
    <t>00000009MY02EU01 (AutoReverse)</t>
  </si>
  <si>
    <t>Body &gt; Closures &gt; Tailgate &gt; Door Mechanism</t>
  </si>
  <si>
    <t>Body &gt; Closures &gt; Tailgate &gt; Door Mechanism &gt; Exterior Handle</t>
  </si>
  <si>
    <t>Body &gt; Closures &gt; Tailgate &gt; Door Mechanism &gt; Exterior Handle &gt; Fastners</t>
  </si>
  <si>
    <t>0000000ARZVCEU01 (AutoReverse)</t>
  </si>
  <si>
    <t>Body &gt; Closures &gt; Tailgate &gt; Door Mechanism &gt; Exterior Handle &gt; Control Support</t>
  </si>
  <si>
    <t>0.26000 kg</t>
  </si>
  <si>
    <t>0.2736842105263157894736842105 kg</t>
  </si>
  <si>
    <t>Body &gt; Closures &gt; Tailgate &gt; Door Mechanism &gt; Exterior Handle &gt; Control Support &gt; Injection molding</t>
  </si>
  <si>
    <t>PP;TPS-SEBS</t>
  </si>
  <si>
    <t>0000000ADOA8EU01 (AutoReverse)</t>
  </si>
  <si>
    <t>000000022CXDEU01 (AutoReverse)</t>
  </si>
  <si>
    <t>Body &gt; Closures &gt; Tailgate &gt; Door Mechanism &gt; Lock System</t>
  </si>
  <si>
    <t>Body &gt; Closures &gt; Tailgate &gt; Door Mechanism &gt; Lock System &gt; Fastners</t>
  </si>
  <si>
    <t>ELECTRONIC COMPONENT;PP;FERROUS METAL;PLASTIC UNKNOWN</t>
  </si>
  <si>
    <t>000000004HVHEU01 (AutoReverse)</t>
  </si>
  <si>
    <t>Body &gt; Closures &gt; Tailgate &gt; Door Mechanism &gt; Lock System &gt; Lock Trim</t>
  </si>
  <si>
    <t>Body &gt; Closures &gt; Tailgate &gt; Door Mechanism &gt; Lock System &gt; Lock Trim &gt; Injection molding</t>
  </si>
  <si>
    <t>PP-EPDM;PE</t>
  </si>
  <si>
    <t>00000007IQP6EU01 (AutoReverse)</t>
  </si>
  <si>
    <t>000000015F35EU01 (AutoReverse)</t>
  </si>
  <si>
    <t>Body &gt; Closures &gt; Tailgate &gt; Door Mechanism &gt; Tailgate Striker</t>
  </si>
  <si>
    <t>Body &gt; Closures &gt; Tailgate &gt; Door Mechanism &gt; Tailgate Striker &gt; Fastners</t>
  </si>
  <si>
    <t>Body &gt; Closures &gt; Tailgate &gt; Door Mechanism &gt; Tailgate Striker &gt; Striker</t>
  </si>
  <si>
    <t>0.19300 kg</t>
  </si>
  <si>
    <t>0.2031578947368421052631578947 kg</t>
  </si>
  <si>
    <t>Body &gt; Closures &gt; Tailgate &gt; Door Mechanism &gt; Tailgate Striker &gt; Striker &gt; Injection molding</t>
  </si>
  <si>
    <t>FERROUS METAL;ELASTOMER UNKNOWN</t>
  </si>
  <si>
    <t>0000000A1KC0EU01 (AutoReverse)</t>
  </si>
  <si>
    <t>00000007TNO2EU01 (AutoReverse)</t>
  </si>
  <si>
    <t>Body &gt; Closures &gt; Tailgate &gt; Door Mechanism &gt; Inner Handle</t>
  </si>
  <si>
    <t>Body &gt; Closures &gt; Tailgate &gt; Door Mechanism &gt; Inner Handle &gt; Fastners</t>
  </si>
  <si>
    <t>Body &gt; Closures &gt; Tailgate &gt; Door Mechanism &gt; Inner Handle &gt; Handle</t>
  </si>
  <si>
    <t>0.09800 kg</t>
  </si>
  <si>
    <t>0.0999600159936025589764094362 kg</t>
  </si>
  <si>
    <t>Body &gt; Closures &gt; Tailgate &gt; Door Mechanism &gt; Inner Handle &gt; Handle &gt; Injection molding</t>
  </si>
  <si>
    <t>Body &gt; Closures &gt; Tailgate &gt; Door Mechanism &gt; Inner Handle &gt; Handle &gt; Handling/Visual Inspection/Packaging</t>
  </si>
  <si>
    <t>00000005ESRNEU01 (AutoReverse)</t>
  </si>
  <si>
    <t>00000008M8S3EU01 (AutoReverse)</t>
  </si>
  <si>
    <t>Body &gt; Closures &gt; Tailgate &gt; Door Mechanism &gt; Electric Opening System</t>
  </si>
  <si>
    <t>00000007MYIUEU01 (AutoReverse)</t>
  </si>
  <si>
    <t>00000005S1F1EU01 (AutoReverse)</t>
  </si>
  <si>
    <t>Body &gt; Closures &gt; Tailgate &gt; Door Mechanism &gt; Fastners</t>
  </si>
  <si>
    <t>ELECTRIC MOTOR;AL;PBT;POM</t>
  </si>
  <si>
    <t>00000000Z795EU01 (AutoReverse)</t>
  </si>
  <si>
    <t>00000008F8FQEU01 (AutoReverse)</t>
  </si>
  <si>
    <t>Body &gt; Closures &gt; Tailgate &gt; Strut System</t>
  </si>
  <si>
    <t>Body &gt; Closures &gt; Tailgate &gt; Strut System &gt; Fastners</t>
  </si>
  <si>
    <t>Referred from Lucid Gravity's Strut System</t>
  </si>
  <si>
    <t>{_x000d_
  "productId": "0000000W0ZY0CID0",_x000d_
  "productCompleteName": "Edscha"_x000d_
}</t>
  </si>
  <si>
    <t>PA6;EPDM;PA66;PA6I;ELECTRONIC COMPONENT</t>
  </si>
  <si>
    <t>00000004JJIIEU01 (AutoReverse)</t>
  </si>
  <si>
    <t>Body &gt; Closures &gt; Tailgate &gt; Strut System &gt; Fasteners on Body</t>
  </si>
  <si>
    <t>0.34900 kg</t>
  </si>
  <si>
    <t>0.4653333333333333333333333333 kg</t>
  </si>
  <si>
    <t xml:space="preserve">Body &gt; Closures &gt; Tailgate &gt; Strut System &gt; Fasteners on Body &gt; Stamping </t>
  </si>
  <si>
    <t>000000086VS1EU01 (AutoReverse)</t>
  </si>
  <si>
    <t>Cost referred from Forseven Project (Rivian R1S)</t>
  </si>
  <si>
    <t>00000005VWZXEU01 (AutoReverse)</t>
  </si>
  <si>
    <t>000000009ZH8EU01 (AutoReverse)</t>
  </si>
  <si>
    <t>Body &gt; Closures &gt; Tailgate &gt; Stoppers</t>
  </si>
  <si>
    <t>Body &gt; Closures &gt; Tailgate &gt; Stoppers &gt; Fastners</t>
  </si>
  <si>
    <t>Body &gt; Closures &gt; Tailgate &gt; Stoppers &gt; Stoppers on Body</t>
  </si>
  <si>
    <t>Body &gt; Closures &gt; Tailgate &gt; Stoppers &gt; Stoppers on Body &gt; Injection molding</t>
  </si>
  <si>
    <t>00000008WUZ6EU01 (AutoReverse)</t>
  </si>
  <si>
    <t>Body &gt; Closures &gt; Tailgate &gt; Stoppers &gt; Adjustable Stoppers on Body</t>
  </si>
  <si>
    <t>0.00875 kg</t>
  </si>
  <si>
    <t>0.0092105263157894736842105263 kg</t>
  </si>
  <si>
    <t>Body &gt; Closures &gt; Tailgate &gt; Stoppers &gt; Adjustable Stoppers on Body &gt; Injection molding</t>
  </si>
  <si>
    <t>POM;TPE</t>
  </si>
  <si>
    <t>000000012LXUEU01 (AutoReverse)</t>
  </si>
  <si>
    <t>Body &gt; Closures &gt; Tailgate &gt; Stoppers &gt; Stopper on Tailgate</t>
  </si>
  <si>
    <t>0.01550 kg</t>
  </si>
  <si>
    <t>0.0163157894736842105263157895 kg</t>
  </si>
  <si>
    <t>Body &gt; Closures &gt; Tailgate &gt; Stoppers &gt; Stopper on Tailgate &gt; Injection molding</t>
  </si>
  <si>
    <t>00000000AJACEU01 (AutoReverse)</t>
  </si>
  <si>
    <t>Body &gt; Closures &gt; Tailgate &gt; Stoppers &gt; Adjustable Stopper on Tailgate</t>
  </si>
  <si>
    <t>0.00550 kg</t>
  </si>
  <si>
    <t>0.0057894736842105263157894737 kg</t>
  </si>
  <si>
    <t>Body &gt; Closures &gt; Tailgate &gt; Stoppers &gt; Adjustable Stopper on Tailgate &gt; Automated Process</t>
  </si>
  <si>
    <t>00000006ZXF4EU01 (AutoReverse)</t>
  </si>
  <si>
    <t>Body &gt; Closures &gt; Tailgate &gt; Stoppers &gt; Support on Tailgate</t>
  </si>
  <si>
    <t>0.00183 kg</t>
  </si>
  <si>
    <t>0.0019263157894736842105263158 kg</t>
  </si>
  <si>
    <t>Body &gt; Closures &gt; Tailgate &gt; Stoppers &gt; Support on Tailgate &gt; Injection molding</t>
  </si>
  <si>
    <t>{_x000d_
  "productId": "000000AQTUGLEU02",_x000d_
  "productCompleteName": "PASS (PWO)"_x000d_
}</t>
  </si>
  <si>
    <t>PP;TPO;EPDM-PP</t>
  </si>
  <si>
    <t>00000009EFXMEU01 (AutoReverse)</t>
  </si>
  <si>
    <t>00000006TVD2EU01 (AutoReverse)</t>
  </si>
  <si>
    <t>Body &gt; Closures &gt; Tailgate &gt; Guide System</t>
  </si>
  <si>
    <t>Body &gt; Closures &gt; Tailgate &gt; Guide System &gt; Fastners</t>
  </si>
  <si>
    <t>Body &gt; Closures &gt; Tailgate &gt; Guide System &gt; Guide on Tailgate</t>
  </si>
  <si>
    <t>0.00950 kg</t>
  </si>
  <si>
    <t>0.01 kg</t>
  </si>
  <si>
    <t>Polystyrol</t>
  </si>
  <si>
    <t>Body &gt; Closures &gt; Tailgate &gt; Guide System &gt; Guide on Tailgate &gt; Injection molding</t>
  </si>
  <si>
    <t>Thermoplastisches Polyurethan</t>
  </si>
  <si>
    <t>E(PS-PE);Pb;TPU-ARES</t>
  </si>
  <si>
    <t>00000005MJI1EU01 (AutoReverse)</t>
  </si>
  <si>
    <t>00000006N2SSEU01 (AutoReverse)</t>
  </si>
  <si>
    <t>Body &gt; Closures &gt; Tailgate &gt; Spoiler System</t>
  </si>
  <si>
    <t>Body &gt; Closures &gt; Tailgate &gt; Spoiler System &gt; Fastners</t>
  </si>
  <si>
    <t>Body &gt; Closures &gt; Tailgate &gt; Spoiler System &gt; Spoiler</t>
  </si>
  <si>
    <t>0.6630001060800169728027156484 kg</t>
  </si>
  <si>
    <t>Body &gt; Closures &gt; Tailgate &gt; Spoiler System &gt; Spoiler &gt; Injection molding</t>
  </si>
  <si>
    <t>Body &gt; Closures &gt; Tailgate &gt; Spoiler System &gt; Spoiler &gt; Handling/Visual Inspection/Packaging</t>
  </si>
  <si>
    <t>Body &gt; Closures &gt; Tailgate &gt; Spoiler System &gt; Spoiler &gt; Painting</t>
  </si>
  <si>
    <t>TPZ-(ACM-EE);ASA</t>
  </si>
  <si>
    <t>0000000132TSEU01 (AutoReverse)</t>
  </si>
  <si>
    <t>Body &gt; Closures &gt; Tailgate &gt; Spoiler System &gt; Spoiler Support</t>
  </si>
  <si>
    <t>Body &gt; Closures &gt; Tailgate &gt; Spoiler System &gt; Spoiler Support &gt; Injection molding</t>
  </si>
  <si>
    <t>Body &gt; Closures &gt; Tailgate &gt; Spoiler System &gt; Spoiler Support &gt; Handling/Visual Inspection/Packaging</t>
  </si>
  <si>
    <t>000000067I5OEU01 (AutoReverse)</t>
  </si>
  <si>
    <t>00000002MHPJEU01 (AutoReverse)</t>
  </si>
  <si>
    <t>Body &gt; Closures &gt; Tailgate &gt; Side Trim</t>
  </si>
  <si>
    <t>0.2815200450432072069131531061 kg</t>
  </si>
  <si>
    <t>Body &gt; Closures &gt; Tailgate &gt; Side Trim &gt; Injection molding</t>
  </si>
  <si>
    <t>Body &gt; Closures &gt; Tailgate &gt; Side Trim &gt; Handling/Visual Inspection/Packaging</t>
  </si>
  <si>
    <t>PMMA;TPS-SBS;ASA</t>
  </si>
  <si>
    <t>00000004O8MOEU01 (AutoReverse)</t>
  </si>
  <si>
    <t>Body &gt; Closures &gt; Tailgate &gt; Glass</t>
  </si>
  <si>
    <t>Body &gt; Closures &gt; Tailgate &gt; Glass &gt; Automated Process</t>
  </si>
  <si>
    <t>ELECTRONIC COMPONENT;GLASS</t>
  </si>
  <si>
    <t>000000083CQ6EU01 (AutoReverse)</t>
  </si>
  <si>
    <t>Body &gt; Closures &gt; Tailgate &gt; Logo</t>
  </si>
  <si>
    <t>Body &gt; Closures &gt; Tailgate &gt; Logo &gt; Injection molding</t>
  </si>
  <si>
    <t>Body &gt; Closures &gt; Tailgate &gt; Logo &gt; Handling/Visual Inspection/Packaging</t>
  </si>
  <si>
    <t>Body &gt; Closures &gt; Tailgate &gt; Logo &gt; Chroming line - Small Parts</t>
  </si>
  <si>
    <t>Body &gt; Closures &gt; Tailgate &gt; Logo &gt; Chroming line - Load and Unload parts to and from jig</t>
  </si>
  <si>
    <t>{_x000d_
  "productId": "0000000W11R6CID0",_x000d_
  "productCompleteName": "Ulbrichts"_x000d_
}</t>
  </si>
  <si>
    <t>0000000AVLYFEU01 (AutoReverse)</t>
  </si>
  <si>
    <t>000000005ADPEU01 (AutoReverse)</t>
  </si>
  <si>
    <t>00000009L4QNEU01 (AutoReverse)</t>
  </si>
  <si>
    <t>Body &gt; Closures &gt; Assy Charge Port</t>
  </si>
  <si>
    <t>Body &gt; Closures &gt; Assy Charge Port &gt; Fastners</t>
  </si>
  <si>
    <t>Body &gt; Closures &gt; Assy Charge Port &gt; Charging Inlet Support</t>
  </si>
  <si>
    <t>0.29400 kg</t>
  </si>
  <si>
    <t>0.2998800479808076769292283087 kg</t>
  </si>
  <si>
    <t>Body &gt; Closures &gt; Assy Charge Port &gt; Charging Inlet Support &gt; Injection molding</t>
  </si>
  <si>
    <t>Opening: 1.38 s, Ejection: 0.13 s, Insert: 3.00 s, Closing: 3.06 s, Removal: 1.84 s, Cooling: 8.99 s, Injection: 2.39</t>
  </si>
  <si>
    <t>Body &gt; Closures &gt; Assy Charge Port &gt; Charging Inlet Support &gt; Handling/Visual Inspection/Packaging</t>
  </si>
  <si>
    <t>{_x000d_
  "productId": "0000000W11FGCID0",_x000d_
  "productCompleteName": "Siliko"_x000d_
}</t>
  </si>
  <si>
    <t>ePTR Standard</t>
  </si>
  <si>
    <t>PP;TPE-SEBS</t>
  </si>
  <si>
    <t>Body &gt; Closures &gt; Assy Charge Port &gt; Lid</t>
  </si>
  <si>
    <t>0.20200 kg</t>
  </si>
  <si>
    <t>0.20604003296640527462484394 kg</t>
  </si>
  <si>
    <t>Body &gt; Closures &gt; Assy Charge Port &gt; Lid &gt; Injection molding</t>
  </si>
  <si>
    <t>Opening: 1.12 s, Ejection: 0.15 s, Insert: 0.00 s, Closing: 2.50 s, Removal: 1.70 s, Cooling: 14.47 s, Injection: 2.34</t>
  </si>
  <si>
    <t>Body &gt; Closures &gt; Assy Charge Port &gt; Lid &gt; Handling/Visual Inspection/Packaging</t>
  </si>
  <si>
    <t>Body &gt; Closures &gt; Assy Charge Port &gt; Lid Striker</t>
  </si>
  <si>
    <t>0.21800 kg</t>
  </si>
  <si>
    <t>0.2223600355776056924169107867 kg</t>
  </si>
  <si>
    <t>Body &gt; Closures &gt; Assy Charge Port &gt; Lid Striker &gt; Injection molding</t>
  </si>
  <si>
    <t>Opening: 1.38 s, Ejection: 0.18 s, Insert: 0.00 s, Closing: 3.06 s, Removal: 1.88 s, Cooling: 12.33 s, Injection: 2.35</t>
  </si>
  <si>
    <t>Body &gt; Closures &gt; Assy Charge Port &gt; Lid Striker &gt; Handling/Visual Inspection/Packaging</t>
  </si>
  <si>
    <t>EPDM-PP;PP</t>
  </si>
  <si>
    <t>Body &gt; Closures &gt; Assy Charge Port &gt; Lid Trim</t>
  </si>
  <si>
    <t>0.18500 kg</t>
  </si>
  <si>
    <t>0.1887000301920048307207729153 kg</t>
  </si>
  <si>
    <t>Body &gt; Closures &gt; Assy Charge Port &gt; Lid Trim &gt; Injection molding</t>
  </si>
  <si>
    <t>Opening: 1.50 s, Ejection: 0.04 s, Insert: 0.00 s, Closing: 3.33 s, Removal: 1.84 s, Cooling: 28.76 s, Injection: 2.33</t>
  </si>
  <si>
    <t>0.0204081632653061224489795918 kg</t>
  </si>
  <si>
    <t>Body &gt; Closures &gt; Assy Charge Port &gt; Lid Trim &gt; Painting</t>
  </si>
  <si>
    <t>0.0105263157894736842105263158 kg</t>
  </si>
  <si>
    <t>0.0102040816326530612244897959 kg</t>
  </si>
  <si>
    <t>Body &gt; Closures &gt; Assy Charge Port &gt; Lid Trim &gt; Handling/Visual Inspection/Packaging</t>
  </si>
  <si>
    <t>PC-PBT</t>
  </si>
  <si>
    <t>PMMA;PC;ELECTRONIC COMPONENT</t>
  </si>
  <si>
    <t>Body &gt; Closures &gt; Assy Charge Port &gt; Charging Plug Protection</t>
  </si>
  <si>
    <t>0.04600 kg</t>
  </si>
  <si>
    <t>0.0469200075072012011521921844 kg</t>
  </si>
  <si>
    <t>Body &gt; Closures &gt; Assy Charge Port &gt; Charging Plug Protection &gt; Injection molding</t>
  </si>
  <si>
    <t>Opening: 0.77 s, Ejection: 0.12 s, Insert: 0.00 s, Closing: 1.93 s, Removal: 1.54 s, Cooling: 6.19 s, Injection: 1.96</t>
  </si>
  <si>
    <t>Body &gt; Closures &gt; Assy Charge Port &gt; Charging Plug Protection &gt; Handling/Visual Inspection/Packaging</t>
  </si>
  <si>
    <t>Body &gt; Closures &gt; Assy Charge Port &gt; Assembly</t>
  </si>
  <si>
    <t>Body &gt; Closures &gt; Front Passenger Door</t>
  </si>
  <si>
    <t>Body &gt; Closures &gt; Front Passenger Door &gt; Front Passenger Door</t>
  </si>
  <si>
    <t xml:space="preserve">Body &gt; Closures &gt; Front Passenger Door &gt; Front Passenger Door &gt; Housing Assy </t>
  </si>
  <si>
    <t>Body &gt; Closures &gt; Front Passenger Door &gt; Front Passenger Door &gt; Housing Assy  &gt; Housing</t>
  </si>
  <si>
    <t>Body &gt; Closures &gt; Front Passenger Door &gt; Front Passenger Door &gt; Housing Assy  &gt; Housing &gt; Part 01 single/front</t>
  </si>
  <si>
    <t>Body &gt; Closures &gt; Front Passenger Door &gt; Front Passenger Door &gt; Housing Assy  &gt; Housing &gt; Part 01 single/front &gt; Manufacturing Process</t>
  </si>
  <si>
    <t>Body &gt; Closures &gt; Front Passenger Door &gt; Front Passenger Door &gt; Housing Assy  &gt; Reinforcements</t>
  </si>
  <si>
    <t>Body &gt; Closures &gt; Front Passenger Door &gt; Front Passenger Door &gt; Housing Assy  &gt; Reinforcements &gt; Part 02</t>
  </si>
  <si>
    <t>Body &gt; Closures &gt; Front Passenger Door &gt; Front Passenger Door &gt; Housing Assy  &gt; Reinforcements &gt; Part 02 &gt; Manufacturing Process</t>
  </si>
  <si>
    <t>Body &gt; Closures &gt; Front Passenger Door &gt; Front Passenger Door &gt; Housing Assy  &gt; Reinforcements &gt; Part 01 single/main</t>
  </si>
  <si>
    <t>Body &gt; Closures &gt; Front Passenger Door &gt; Front Passenger Door &gt; Housing Assy  &gt; Reinforcements &gt; Part 01 single/main &gt; Manufacturing Process</t>
  </si>
  <si>
    <t>Body &gt; Closures &gt; Front Passenger Door &gt; Front Passenger Door &gt; Housing Assy  &gt; Fixing parts</t>
  </si>
  <si>
    <t>Body &gt; Closures &gt; Front Passenger Door &gt; Front Passenger Door &gt; Housing Assy  &gt; Fixing parts &gt; Front</t>
  </si>
  <si>
    <t>Body &gt; Closures &gt; Front Passenger Door &gt; Front Passenger Door &gt; Housing Assy  &gt; Fixing parts &gt; Front &gt; Part 03</t>
  </si>
  <si>
    <t>Body &gt; Closures &gt; Front Passenger Door &gt; Front Passenger Door &gt; Housing Assy  &gt; Fixing parts &gt; Front &gt; Part 03 &gt; Manufacturing Process</t>
  </si>
  <si>
    <t>Body &gt; Closures &gt; Front Passenger Door &gt; Front Passenger Door &gt; Housing Assy  &gt; Fixing parts &gt; Front &gt; Part 02</t>
  </si>
  <si>
    <t>Body &gt; Closures &gt; Front Passenger Door &gt; Front Passenger Door &gt; Housing Assy  &gt; Fixing parts &gt; Front &gt; Part 02 &gt; Manufacturing Process</t>
  </si>
  <si>
    <t>Body &gt; Closures &gt; Front Passenger Door &gt; Front Passenger Door &gt; Housing Assy  &gt; Fixing parts &gt; Front &gt; Part 01 single/main</t>
  </si>
  <si>
    <t>Body &gt; Closures &gt; Front Passenger Door &gt; Front Passenger Door &gt; Housing Assy  &gt; Fixing parts &gt; Front &gt; Part 01 single/main &gt; Manufacturing Process</t>
  </si>
  <si>
    <t>Body &gt; Closures &gt; Front Passenger Door &gt; Front Passenger Door &gt; Anti-intrusion beams</t>
  </si>
  <si>
    <t>Body &gt; Closures &gt; Front Passenger Door &gt; Front Passenger Door &gt; Anti-intrusion beams &gt; Beam 01</t>
  </si>
  <si>
    <t>Body &gt; Closures &gt; Front Passenger Door &gt; Front Passenger Door &gt; Anti-intrusion beams &gt; Beam 01 &gt; Beam</t>
  </si>
  <si>
    <t>Body &gt; Closures &gt; Front Passenger Door &gt; Front Passenger Door &gt; Anti-intrusion beams &gt; Beam 01 &gt; Beam &gt; Part 01 single/main</t>
  </si>
  <si>
    <t>Body &gt; Closures &gt; Front Passenger Door &gt; Front Passenger Door &gt; Anti-intrusion beams &gt; Beam 01 &gt; Beam &gt; Part 01 single/main &gt; Manufacturing Process</t>
  </si>
  <si>
    <t>Body &gt; Closures &gt; Front Passenger Door &gt; Front Passenger Door &gt; Window frame assy</t>
  </si>
  <si>
    <t>Body &gt; Closures &gt; Front Passenger Door &gt; Front Passenger Door &gt; Window frame assy &gt; Reinforcements</t>
  </si>
  <si>
    <t>Body &gt; Closures &gt; Front Passenger Door &gt; Front Passenger Door &gt; Window frame assy &gt; Reinforcements &gt; Part 01 single/main</t>
  </si>
  <si>
    <t>Body &gt; Closures &gt; Front Passenger Door &gt; Front Passenger Door &gt; Window frame assy &gt; Reinforcements &gt; Part 01 single/main &gt; Manufacturing Process</t>
  </si>
  <si>
    <t>Body &gt; Closures &gt; Front Passenger Door &gt; Front Passenger Door &gt; Window frame assy &gt; Glass slides</t>
  </si>
  <si>
    <t>Body &gt; Closures &gt; Front Passenger Door &gt; Front Passenger Door &gt; Window frame assy &gt; Glass slides &gt; Front</t>
  </si>
  <si>
    <t>Body &gt; Closures &gt; Front Passenger Door &gt; Front Passenger Door &gt; Window frame assy &gt; Glass slides &gt; Front &gt; Slide</t>
  </si>
  <si>
    <t>Body &gt; Closures &gt; Front Passenger Door &gt; Front Passenger Door &gt; Window frame assy &gt; Glass slides &gt; Front &gt; Slide &gt; Part 01 single/main</t>
  </si>
  <si>
    <t>Body &gt; Closures &gt; Front Passenger Door &gt; Front Passenger Door &gt; Window frame assy &gt; Glass slides &gt; Front &gt; Slide &gt; Part 01 single/main &gt; Manufacturing Process</t>
  </si>
  <si>
    <t>Body &gt; Closures &gt; Front Passenger Door &gt; Front Passenger Door &gt; Window frame assy &gt; Frame</t>
  </si>
  <si>
    <t>Body &gt; Closures &gt; Front Passenger Door &gt; Front Passenger Door &gt; Window frame assy &gt; Frame &gt; Part 01 single/front</t>
  </si>
  <si>
    <t>Body &gt; Closures &gt; Front Passenger Door &gt; Front Passenger Door &gt; Window frame assy &gt; Frame &gt; Part 01 single/front &gt; Manufacturing Process</t>
  </si>
  <si>
    <t xml:space="preserve">Body &gt; Closures &gt; Front Passenger Door &gt; Front Passenger Door &gt; Top roll assy </t>
  </si>
  <si>
    <t>Body &gt; Closures &gt; Front Passenger Door &gt; Front Passenger Door &gt; Top roll assy  &gt; Cross member 01 (outer)</t>
  </si>
  <si>
    <t>Body &gt; Closures &gt; Front Passenger Door &gt; Front Passenger Door &gt; Top roll assy  &gt; Cross member 01 (outer) &gt; Cross member</t>
  </si>
  <si>
    <t>Body &gt; Closures &gt; Front Passenger Door &gt; Front Passenger Door &gt; Top roll assy  &gt; Cross member 01 (outer) &gt; Cross member &gt; Part 01 single/main</t>
  </si>
  <si>
    <t>Body &gt; Closures &gt; Front Passenger Door &gt; Front Passenger Door &gt; Top roll assy  &gt; Cross member 01 (outer) &gt; Cross member &gt; Part 01 single/main &gt; Manufacturing Process</t>
  </si>
  <si>
    <t>Body &gt; Closures &gt; Front Passenger Door &gt; Front Passenger Door &gt; Top roll assy  &gt; Cross member 01 (outer) &gt; Cross member &gt; Part 02</t>
  </si>
  <si>
    <t>Body &gt; Closures &gt; Front Passenger Door &gt; Front Passenger Door &gt; Top roll assy  &gt; Cross member 01 (outer) &gt; Cross member &gt; Part 02 &gt; Manufacturing Process</t>
  </si>
  <si>
    <t>Body &gt; Closures &gt; Front Passenger Door &gt; Front Passenger Door &gt; Top roll assy  &gt; Cross member 01 (outer) &gt; Fixing parts</t>
  </si>
  <si>
    <t>Body &gt; Closures &gt; Front Passenger Door &gt; Front Passenger Door &gt; Top roll assy  &gt; Cross member 01 (outer) &gt; Fixing parts &gt; Part 01 single/main</t>
  </si>
  <si>
    <t>Body &gt; Closures &gt; Front Passenger Door &gt; Front Passenger Door &gt; Top roll assy  &gt; Cross member 01 (outer) &gt; Fixing parts &gt; Part 01 single/main &gt; Manufacturing Process</t>
  </si>
  <si>
    <t>Body &gt; Closures &gt; Front Passenger Door &gt; Front Passenger Door &gt; Top roll assy  &gt; Cross member 02 (inner)</t>
  </si>
  <si>
    <t>Body &gt; Closures &gt; Front Passenger Door &gt; Front Passenger Door &gt; Top roll assy  &gt; Cross member 02 (inner) &gt; Cross member</t>
  </si>
  <si>
    <t>Body &gt; Closures &gt; Front Passenger Door &gt; Front Passenger Door &gt; Top roll assy  &gt; Cross member 02 (inner) &gt; Cross member &gt; Part 01 single/main</t>
  </si>
  <si>
    <t>Body &gt; Closures &gt; Front Passenger Door &gt; Front Passenger Door &gt; Top roll assy  &gt; Cross member 02 (inner) &gt; Cross member &gt; Part 01 single/main &gt; Manufacturing Process</t>
  </si>
  <si>
    <t>Body &gt; Closures &gt; Front Passenger Door &gt; Front Passenger Door &gt; Outer panel</t>
  </si>
  <si>
    <t>Body &gt; Closures &gt; Front Passenger Door &gt; Front Passenger Door &gt; Outer panel &gt; Panel</t>
  </si>
  <si>
    <t>Body &gt; Closures &gt; Front Passenger Door &gt; Front Passenger Door &gt; Outer panel &gt; Panel &gt; Part 01 single/main</t>
  </si>
  <si>
    <t>Body &gt; Closures &gt; Front Passenger Door &gt; Front Passenger Door &gt; Outer panel &gt; Panel &gt; Part 01 single/main &gt; Manufacturing Process</t>
  </si>
  <si>
    <t>Body &gt; Closures &gt; Front Passenger Door &gt; Front Passenger Door &gt; Assembly</t>
  </si>
  <si>
    <t>00000005V38UEU01 (AutoReverse)</t>
  </si>
  <si>
    <t>Body &gt; Closures &gt; Front Passenger Door &gt; Door Panel</t>
  </si>
  <si>
    <t>Body &gt; Closures &gt; Front Passenger Door &gt; Door Panel &gt; Door handle</t>
  </si>
  <si>
    <t>Body &gt; Closures &gt; Front Passenger Door &gt; Door Panel &gt; Door handle &gt; Handle Support</t>
  </si>
  <si>
    <t>Body &gt; Closures &gt; Front Passenger Door &gt; Door Panel &gt; Door handle &gt; Handle Support &gt; Automated Process</t>
  </si>
  <si>
    <t>Body &gt; Closures &gt; Front Passenger Door &gt; Door Panel &gt; Door handle &gt; 2nd Handle Support</t>
  </si>
  <si>
    <t>Body &gt; Closures &gt; Front Passenger Door &gt; Door Panel &gt; Door handle &gt; 2nd Handle Support &gt; Automated Process</t>
  </si>
  <si>
    <t>Body &gt; Closures &gt; Front Passenger Door &gt; Door Panel &gt; Panel carrier</t>
  </si>
  <si>
    <t>Body &gt; Closures &gt; Front Passenger Door &gt; Door Panel &gt; Panel carrier &gt; Automated Process</t>
  </si>
  <si>
    <t>No Overhead INT</t>
  </si>
  <si>
    <t>Body &gt; Closures &gt; Front Passenger Door &gt; Door Panel &gt; Armrest</t>
  </si>
  <si>
    <t>Body &gt; Closures &gt; Front Passenger Door &gt; Door Panel &gt; Armrest &gt; Automated Process</t>
  </si>
  <si>
    <t>Body &gt; Closures &gt; Front Passenger Door &gt; Door Panel &gt; Upper Band</t>
  </si>
  <si>
    <t>Body &gt; Closures &gt; Front Passenger Door &gt; Door Panel &gt; Upper Band &gt; Automated Process</t>
  </si>
  <si>
    <t>Body &gt; Closures &gt; Front Passenger Door &gt; Door Panel &gt; Door Map Pocket Bottom</t>
  </si>
  <si>
    <t>Body &gt; Closures &gt; Front Passenger Door &gt; Door Panel &gt; Door Map Pocket Bottom &gt; Automated Process</t>
  </si>
  <si>
    <t>Body &gt; Closures &gt; Front Passenger Door &gt; Door Panel &gt; Locking Indicator Trim</t>
  </si>
  <si>
    <t>Body &gt; Closures &gt; Front Passenger Door &gt; Door Panel &gt; Locking Indicator Trim &gt; Automated Process</t>
  </si>
  <si>
    <t>00000006LKRWEU01 (AutoReverse)</t>
  </si>
  <si>
    <t>Body &gt; Closures &gt; Front Passenger Door &gt; Door Mechanism</t>
  </si>
  <si>
    <t>Body &gt; Closures &gt; Front Passenger Door &gt; Door Mechanism &gt; Interior Side</t>
  </si>
  <si>
    <t>Body &gt; Closures &gt; Front Passenger Door &gt; Door Mechanism &gt; Interior Side &gt; Fastners</t>
  </si>
  <si>
    <t>Body &gt; Closures &gt; Front Passenger Door &gt; Door Mechanism &gt; Interior Side &gt; Opening Control</t>
  </si>
  <si>
    <t>Body &gt; Closures &gt; Front Passenger Door &gt; Door Mechanism &gt; Interior Side &gt; Opening Control &gt; Injection molding</t>
  </si>
  <si>
    <t>Body &gt; Closures &gt; Front Passenger Door &gt; Door Mechanism &gt; Interior Side &gt; Opening Control Support</t>
  </si>
  <si>
    <t>Body &gt; Closures &gt; Front Passenger Door &gt; Door Mechanism &gt; Interior Side &gt; Opening Control Support &gt; Injection molding</t>
  </si>
  <si>
    <t>Body &gt; Closures &gt; Front Passenger Door &gt; Door Mechanism &gt; Interior Side &gt; Opening Control Support &gt; Handling/Visual Inspection/Packaging</t>
  </si>
  <si>
    <t>Body &gt; Closures &gt; Front Passenger Door &gt; Door Mechanism &gt; Exterior Side</t>
  </si>
  <si>
    <t>Body &gt; Closures &gt; Front Passenger Door &gt; Door Mechanism &gt; Exterior Side &gt; Fastners</t>
  </si>
  <si>
    <t>Body &gt; Closures &gt; Front Passenger Door &gt; Door Mechanism &gt; Exterior Side &gt; Opening Control</t>
  </si>
  <si>
    <t>Body &gt; Closures &gt; Front Passenger Door &gt; Door Mechanism &gt; Exterior Side &gt; Opening Control &gt; Injection molding</t>
  </si>
  <si>
    <t>Body &gt; Closures &gt; Front Passenger Door &gt; Door Mechanism &gt; Exterior Side &gt; Opening Control &gt; Handling/Visual Inspection/Packaging</t>
  </si>
  <si>
    <t>Body &gt; Closures &gt; Front Passenger Door &gt; Door Mechanism &gt; Exterior Side &gt; Opening Control Support</t>
  </si>
  <si>
    <t>Body &gt; Closures &gt; Front Passenger Door &gt; Door Mechanism &gt; Exterior Side &gt; Opening Control Support &gt; Injection molding</t>
  </si>
  <si>
    <t>Body &gt; Closures &gt; Front Passenger Door &gt; Door Mechanism &gt; Exterior Side &gt; Opening Control Support &gt; Handling/Visual Inspection/Packaging</t>
  </si>
  <si>
    <t>Body &gt; Closures &gt; Front Passenger Door &gt; Door Mechanism &gt; Exterior Side &gt; 2nd Opening Control Support</t>
  </si>
  <si>
    <t>Body &gt; Closures &gt; Front Passenger Door &gt; Door Mechanism &gt; Exterior Side &gt; 2nd Opening Control Support &gt; Injection molding</t>
  </si>
  <si>
    <t>Body &gt; Closures &gt; Front Passenger Door &gt; Door Mechanism &gt; Exterior Side &gt; 2nd Opening Control Support &gt; Handling/Visual Inspection/Packaging</t>
  </si>
  <si>
    <t>Body &gt; Closures &gt; Front Passenger Door &gt; Door Mechanism &gt; Exterior Side &gt; Bezel</t>
  </si>
  <si>
    <t>Body &gt; Closures &gt; Front Passenger Door &gt; Door Mechanism &gt; Exterior Side &gt; Bezel &gt; Injection molding</t>
  </si>
  <si>
    <t>Body &gt; Closures &gt; Front Passenger Door &gt; Door Mechanism &gt; Exterior Side &gt; Seal</t>
  </si>
  <si>
    <t>Body &gt; Closures &gt; Front Passenger Door &gt; Door Mechanism &gt; Exterior Side &gt; Seal &gt; Injection molding</t>
  </si>
  <si>
    <t>Body &gt; Closures &gt; Front Passenger Door &gt; Door Mechanism &gt; Exterior Side &gt; Assembly</t>
  </si>
  <si>
    <t>Body &gt; Closures &gt; Front Passenger Door &gt; Door Mechanism &gt; Fastners</t>
  </si>
  <si>
    <t>Body &gt; Closures &gt; Front Passenger Door &gt; Door Mechanism &gt; Door Latch</t>
  </si>
  <si>
    <t>Body &gt; Closures &gt; Front Passenger Door &gt; Door Mechanism &gt; Door Latch &gt; Process</t>
  </si>
  <si>
    <t>Body &gt; Closures &gt; Front Passenger Door &gt; Door Mechanism &gt; Door Striker</t>
  </si>
  <si>
    <t xml:space="preserve">Body &gt; Closures &gt; Front Passenger Door &gt; Door Mechanism &gt; Door Striker &gt; Stamping </t>
  </si>
  <si>
    <t>Body &gt; Closures &gt; Front Passenger Door &gt; Door Mechanism &gt; Door Striker &gt; Wire Bending</t>
  </si>
  <si>
    <t>Body &gt; Closures &gt; Front Passenger Door &gt; Door Mechanism &gt; Door Striker &gt; Press fit</t>
  </si>
  <si>
    <t>Body &gt; Closures &gt; Front Passenger Door &gt; Door Mechanism &gt; Lock Cylinder</t>
  </si>
  <si>
    <t>Body &gt; Closures &gt; Front Passenger Door &gt; Door Mechanism &gt; Lock Cylinder &gt; Casting</t>
  </si>
  <si>
    <t>Body &gt; Closures &gt; Front Passenger Door &gt; Door Mechanism &gt; Lock Cylinder Support</t>
  </si>
  <si>
    <t xml:space="preserve">Body &gt; Closures &gt; Front Passenger Door &gt; Door Mechanism &gt; Lock Cylinder Support &gt; Stamping </t>
  </si>
  <si>
    <t>Body &gt; Closures &gt; Front Passenger Door &gt; Door Mechanism &gt; Lock Cylinder Trim Cover</t>
  </si>
  <si>
    <t>Body &gt; Closures &gt; Front Passenger Door &gt; Door Mechanism &gt; Lock Cylinder Trim Cover &gt; Injection molding</t>
  </si>
  <si>
    <t>Body &gt; Closures &gt; Front Passenger Door &gt; Door Mechanism &gt; Lock Cylinder Trim Cover &gt; Handling/Visual Inspection/Packaging</t>
  </si>
  <si>
    <t>Body &gt; Closures &gt; Front Passenger Door &gt; Door Mechanism &gt; Lock Cylinder Mechanism</t>
  </si>
  <si>
    <t xml:space="preserve">Body &gt; Closures &gt; Front Passenger Door &gt; Door Mechanism &gt; Lock Cylinder Mechanism &gt; Stamping </t>
  </si>
  <si>
    <t>00000004ARATEU01 (AutoReverse)</t>
  </si>
  <si>
    <t>Body &gt; Closures &gt; Front Passenger Door &gt; Window System</t>
  </si>
  <si>
    <t>Body &gt; Closures &gt; Front Passenger Door &gt; Window System &gt; Window</t>
  </si>
  <si>
    <t>Body &gt; Closures &gt; Front Passenger Door &gt; Window System &gt; Window &gt; Injection molding</t>
  </si>
  <si>
    <t>Exterior - [Mechanical Prod] [Purchased]</t>
  </si>
  <si>
    <t>Body &gt; Closures &gt; Front Passenger Door &gt; Window System &gt; Front Quarter Window</t>
  </si>
  <si>
    <t>Body &gt; Closures &gt; Front Passenger Door &gt; Window System &gt; Front Quarter Window &gt; Automated Process</t>
  </si>
  <si>
    <t>Body &gt; Closures &gt; Front Passenger Door &gt; Window System &gt; Assembly</t>
  </si>
  <si>
    <t>Body &gt; Closures &gt; Front Passenger Door &gt; Sealing System</t>
  </si>
  <si>
    <t>Body &gt; Closures &gt; Front Passenger Door &gt; Sealing System &gt; Door Weatherstripping</t>
  </si>
  <si>
    <t>Body &gt; Closures &gt; Front Passenger Door &gt; Sealing System &gt; Door Weatherstripping &gt; On Body</t>
  </si>
  <si>
    <t>Body &gt; Closures &gt; Front Passenger Door &gt; Sealing System &gt; Door Weatherstripping &gt; On Body &gt; Seal Extrusion (Multi Layer)</t>
  </si>
  <si>
    <t>Body &gt; Closures &gt; Front Passenger Door &gt; Sealing System &gt; Door Weatherstripping &gt; On Body &gt; End Glueing/Vulcanizing, Check and Pack</t>
  </si>
  <si>
    <t>Body &gt; Closures &gt; Front Passenger Door &gt; Sealing System &gt; Door Weatherstripping &gt; On Door</t>
  </si>
  <si>
    <t>Body &gt; Closures &gt; Front Passenger Door &gt; Sealing System &gt; Door Weatherstripping &gt; On Door &gt; Seal Extrusion (Multi Layer)</t>
  </si>
  <si>
    <t>Body &gt; Closures &gt; Front Passenger Door &gt; Sealing System &gt; Door Weatherstripping &gt; On Door &gt; End Glueing/Vulcanizing, Check and Pack</t>
  </si>
  <si>
    <t>Body &gt; Closures &gt; Front Passenger Door &gt; Sealing System &gt; Interior Weatherstrip</t>
  </si>
  <si>
    <t>Body &gt; Closures &gt; Front Passenger Door &gt; Sealing System &gt; Interior Weatherstrip &gt; Seal Extrusion</t>
  </si>
  <si>
    <t>Body &gt; Closures &gt; Front Passenger Door &gt; Sealing System &gt; Exterior Weatherstrip</t>
  </si>
  <si>
    <t>Body &gt; Closures &gt; Front Passenger Door &gt; Sealing System &gt; Exterior Weatherstrip &gt; Seal Extrusion</t>
  </si>
  <si>
    <t>Body &gt; Closures &gt; Front Passenger Door &gt; Sealing System &gt; Glass Run Channel Seal</t>
  </si>
  <si>
    <t>Body &gt; Closures &gt; Front Passenger Door &gt; Sealing System &gt; Glass Run Channel Seal &gt; Seal Extrusion</t>
  </si>
  <si>
    <t>00000005A56XEU01 (AutoReverse)</t>
  </si>
  <si>
    <t>Body &gt; Closures &gt; Front Passenger Door &gt; Hinges</t>
  </si>
  <si>
    <t>Body &gt; Closures &gt; Front Passenger Door &gt; Hinges &gt; Upper</t>
  </si>
  <si>
    <t>Body &gt; Closures &gt; Front Passenger Door &gt; Hinges &gt; Upper &gt; On Body</t>
  </si>
  <si>
    <t>Body &gt; Closures &gt; Front Passenger Door &gt; Hinges &gt; Upper &gt; On Body &gt; Part 01 single/main</t>
  </si>
  <si>
    <t>Body &gt; Closures &gt; Front Passenger Door &gt; Hinges &gt; Upper &gt; On Body &gt; Part 01 single/main &gt; Manufacturing Process</t>
  </si>
  <si>
    <t>Body &gt; Closures &gt; Front Passenger Door &gt; Hinges &gt; Upper &gt; On Door</t>
  </si>
  <si>
    <t>Body &gt; Closures &gt; Front Passenger Door &gt; Hinges &gt; Upper &gt; On Door &gt; Part 01 single/main</t>
  </si>
  <si>
    <t>Body &gt; Closures &gt; Front Passenger Door &gt; Hinges &gt; Upper &gt; On Door &gt; Part 01 single/main &gt; Manufacturing Process</t>
  </si>
  <si>
    <t>Body &gt; Closures &gt; Front Passenger Door &gt; Hinges &gt; Upper &gt; Fastners</t>
  </si>
  <si>
    <t>Body &gt; Closures &gt; Front Passenger Door &gt; Hinges &gt; Lower</t>
  </si>
  <si>
    <t>Body &gt; Closures &gt; Front Passenger Door &gt; Hinges &gt; Lower &gt; On Body</t>
  </si>
  <si>
    <t>Body &gt; Closures &gt; Front Passenger Door &gt; Hinges &gt; Lower &gt; On Body &gt; Part 01 single/main</t>
  </si>
  <si>
    <t>Body &gt; Closures &gt; Front Passenger Door &gt; Hinges &gt; Lower &gt; On Body &gt; Part 01 single/main &gt; Manufacturing Process</t>
  </si>
  <si>
    <t>Body &gt; Closures &gt; Front Passenger Door &gt; Hinges &gt; Lower &gt; On Door</t>
  </si>
  <si>
    <t>Body &gt; Closures &gt; Front Passenger Door &gt; Hinges &gt; Lower &gt; On Door &gt; Part 01 single/main</t>
  </si>
  <si>
    <t>Body &gt; Closures &gt; Front Passenger Door &gt; Hinges &gt; Lower &gt; On Door &gt; Part 01 single/main &gt; Manufacturing Process</t>
  </si>
  <si>
    <t>Body &gt; Closures &gt; Front Passenger Door &gt; Hinges &gt; Lower &gt; Fastners</t>
  </si>
  <si>
    <t>Body &gt; Closures &gt; Front Passenger Door &gt; Hinges &gt; Fastners</t>
  </si>
  <si>
    <t>0000000580DNEU01 (AutoReverse)</t>
  </si>
  <si>
    <t>Body &gt; Closures &gt; Front Passenger Door &gt; Power System</t>
  </si>
  <si>
    <t>Body &gt; Closures &gt; Front Passenger Door &gt; Power System &gt; Door ECU</t>
  </si>
  <si>
    <t>Body &gt; Closures &gt; Front Passenger Door &gt; Power System &gt; Door ECU &gt; Process</t>
  </si>
  <si>
    <t>Body &gt; Closures &gt; Front Passenger Door &gt; Power System &gt; Ambiant Light</t>
  </si>
  <si>
    <t>Body &gt; Closures &gt; Front Passenger Door &gt; Power System &gt; Fastners</t>
  </si>
  <si>
    <t>Body &gt; Closures &gt; Front Passenger Door &gt; Molding System</t>
  </si>
  <si>
    <t>Body &gt; Closures &gt; Front Passenger Door &gt; Molding System &gt; Fastners</t>
  </si>
  <si>
    <t>Body &gt; Closures &gt; Front Passenger Door &gt; Molding System &gt; Side Protection Molding</t>
  </si>
  <si>
    <t>Body &gt; Closures &gt; Front Passenger Door &gt; Molding System &gt; Side Protection Molding &gt; Injection molding</t>
  </si>
  <si>
    <t>Body &gt; Closures &gt; Front Passenger Door &gt; Molding System &gt; Side Protection Molding &gt; Handling/Visual Inspection/Packaging</t>
  </si>
  <si>
    <t>Body &gt; Closures &gt; Front Passenger Door &gt; Molding System &gt; B Pillar Accent</t>
  </si>
  <si>
    <t>Body &gt; Closures &gt; Front Passenger Door &gt; Molding System &gt; B Pillar Accent &gt; Injection molding</t>
  </si>
  <si>
    <t>Body &gt; Closures &gt; Front Passenger Door &gt; Molding System &gt; B Pillar Accent &gt; Handling/Visual Inspection/Packaging</t>
  </si>
  <si>
    <t>Body &gt; Closures &gt; Front Passenger Door &gt; Molding System &gt; Outer Upper Trim</t>
  </si>
  <si>
    <t>Body &gt; Closures &gt; Front Passenger Door &gt; Molding System &gt; Outer Upper Trim &gt; Injection molding</t>
  </si>
  <si>
    <t>Body &gt; Closures &gt; Front Passenger Door &gt; Molding System &gt; Exterior Front Trim</t>
  </si>
  <si>
    <t>Body &gt; Closures &gt; Front Passenger Door &gt; Molding System &gt; Exterior Front Trim &gt; Injection molding</t>
  </si>
  <si>
    <t>Body &gt; Closures &gt; Front Passenger Door &gt; Rear View Mirror System</t>
  </si>
  <si>
    <t>Body &gt; Closures &gt; Front Passenger Door &gt; Rear View Mirror System &gt; Outside Rear View Mirror</t>
  </si>
  <si>
    <t>Body &gt; Closures &gt; Front Passenger Door &gt; Rear View Mirror System &gt; Outside Rear View Mirror &gt; Fastners</t>
  </si>
  <si>
    <t>Body &gt; Closures &gt; Front Passenger Door &gt; Rear View Mirror System &gt; Outside Rear View Mirror &gt; Frame</t>
  </si>
  <si>
    <t>Body &gt; Closures &gt; Front Passenger Door &gt; Rear View Mirror System &gt; Outside Rear View Mirror &gt; Frame &gt; Furnace heating</t>
  </si>
  <si>
    <t>Body &gt; Closures &gt; Front Passenger Door &gt; Rear View Mirror System &gt; Outside Rear View Mirror &gt; Frame &gt; Transport with laddle</t>
  </si>
  <si>
    <t>Body &gt; Closures &gt; Front Passenger Door &gt; Rear View Mirror System &gt; Outside Rear View Mirror &gt; Frame &gt; Pressing (Cold Chamber)</t>
  </si>
  <si>
    <t>Body &gt; Closures &gt; Front Passenger Door &gt; Rear View Mirror System &gt; Outside Rear View Mirror &gt; Frame &gt; Machining [ Drilling &amp; Threading ]</t>
  </si>
  <si>
    <t>Body &gt; Closures &gt; Front Passenger Door &gt; Rear View Mirror System &gt; Outside Rear View Mirror &gt; Frame &gt; Trimming</t>
  </si>
  <si>
    <t xml:space="preserve">Body &gt; Closures &gt; Front Passenger Door &gt; Rear View Mirror System &gt; Outside Rear View Mirror &gt; Frame &gt; Deburing </t>
  </si>
  <si>
    <t xml:space="preserve">Body &gt; Closures &gt; Front Passenger Door &gt; Rear View Mirror System &gt; Outside Rear View Mirror &gt; Frame &gt; Inspection </t>
  </si>
  <si>
    <t>Body &gt; Closures &gt; Front Passenger Door &gt; Rear View Mirror System &gt; Outside Rear View Mirror &gt; Frame &gt; Handling/Packiging</t>
  </si>
  <si>
    <t>Body &gt; Closures &gt; Front Passenger Door &gt; Rear View Mirror System &gt; Outside Rear View Mirror &gt; Mirror Attaching Plate Support</t>
  </si>
  <si>
    <t>Body &gt; Closures &gt; Front Passenger Door &gt; Rear View Mirror System &gt; Outside Rear View Mirror &gt; Mirror Attaching Plate Support &gt; Injection molding</t>
  </si>
  <si>
    <t>Body &gt; Closures &gt; Front Passenger Door &gt; Rear View Mirror System &gt; Outside Rear View Mirror &gt; Mirror Attaching Plate Support &gt; Handling/Visual Inspection/Packaging</t>
  </si>
  <si>
    <t>Body &gt; Closures &gt; Front Passenger Door &gt; Rear View Mirror System &gt; Outside Rear View Mirror &gt; Front Shell</t>
  </si>
  <si>
    <t>Body &gt; Closures &gt; Front Passenger Door &gt; Rear View Mirror System &gt; Outside Rear View Mirror &gt; Front Shell &gt; Injection molding</t>
  </si>
  <si>
    <t>Body &gt; Closures &gt; Front Passenger Door &gt; Rear View Mirror System &gt; Outside Rear View Mirror &gt; Front Shell &gt; Handling/Visual Inspection/Packaging</t>
  </si>
  <si>
    <t>Body &gt; Closures &gt; Front Passenger Door &gt; Rear View Mirror System &gt; Outside Rear View Mirror &gt; Lower Shell</t>
  </si>
  <si>
    <t>Body &gt; Closures &gt; Front Passenger Door &gt; Rear View Mirror System &gt; Outside Rear View Mirror &gt; Lower Shell &gt; Injection molding</t>
  </si>
  <si>
    <t>Body &gt; Closures &gt; Front Passenger Door &gt; Rear View Mirror System &gt; Outside Rear View Mirror &gt; Lower Shell &gt; Handling/Visual Inspection/Packaging</t>
  </si>
  <si>
    <t>Body &gt; Closures &gt; Front Passenger Door &gt; Rear View Mirror System &gt; Outside Rear View Mirror &gt; Support Cover</t>
  </si>
  <si>
    <t>Body &gt; Closures &gt; Front Passenger Door &gt; Rear View Mirror System &gt; Outside Rear View Mirror &gt; Support Cover &gt; Injection molding</t>
  </si>
  <si>
    <t>Body &gt; Closures &gt; Front Passenger Door &gt; Rear View Mirror System &gt; Outside Rear View Mirror &gt; Support Cover &gt; Handling/Visual Inspection/Packaging</t>
  </si>
  <si>
    <t>Body &gt; Closures &gt; Front Passenger Door &gt; Rear View Mirror System &gt; Outside Rear View Mirror &gt; Support Seal</t>
  </si>
  <si>
    <t>Body &gt; Closures &gt; Front Passenger Door &gt; Rear View Mirror System &gt; Outside Rear View Mirror &gt; Support Seal &gt; Injection molding</t>
  </si>
  <si>
    <t>Body &gt; Closures &gt; Front Passenger Door &gt; Rear View Mirror System &gt; Outside Rear View Mirror &gt; Seal Cover</t>
  </si>
  <si>
    <t>Body &gt; Closures &gt; Front Passenger Door &gt; Rear View Mirror System &gt; Outside Rear View Mirror &gt; Seal Cover &gt; Injection molding</t>
  </si>
  <si>
    <t>Body &gt; Closures &gt; Front Passenger Door &gt; Rear View Mirror System &gt; Outside Rear View Mirror &gt; Folding Motor Support</t>
  </si>
  <si>
    <t>Body &gt; Closures &gt; Front Passenger Door &gt; Rear View Mirror System &gt; Outside Rear View Mirror &gt; Folding Motor Support &gt; Furnace heating</t>
  </si>
  <si>
    <t>Body &gt; Closures &gt; Front Passenger Door &gt; Rear View Mirror System &gt; Outside Rear View Mirror &gt; Folding Motor Support &gt; Transport with laddle</t>
  </si>
  <si>
    <t>Body &gt; Closures &gt; Front Passenger Door &gt; Rear View Mirror System &gt; Outside Rear View Mirror &gt; Folding Motor Support &gt; Pressing (Cold Chamber)</t>
  </si>
  <si>
    <t>Body &gt; Closures &gt; Front Passenger Door &gt; Rear View Mirror System &gt; Outside Rear View Mirror &gt; Shell</t>
  </si>
  <si>
    <t>Body &gt; Closures &gt; Front Passenger Door &gt; Rear View Mirror System &gt; Outside Rear View Mirror &gt; Shell &gt; Injection molding</t>
  </si>
  <si>
    <t>Body &gt; Closures &gt; Front Passenger Door &gt; Rear View Mirror System &gt; Outside Rear View Mirror &gt; Shell &gt; Handling and Packaging</t>
  </si>
  <si>
    <t>Body &gt; Closures &gt; Front Passenger Door &gt; Rear View Mirror System &gt; Outside Rear View Mirror &gt; Shell &gt; Painting</t>
  </si>
  <si>
    <t>Body &gt; Closures &gt; Front Passenger Door &gt; Rear View Mirror System &gt; Outside Rear View Mirror &gt; Rear View Mirror Final Assembly</t>
  </si>
  <si>
    <t>Body &gt; Closures &gt; Front Passenger Door &gt; Power Controls</t>
  </si>
  <si>
    <t>Body &gt; Closures &gt; Front Passenger Door &gt; Power Controls &gt; Fastners</t>
  </si>
  <si>
    <t>Body &gt; Closures &gt; Front Passenger Door &gt; Power Controls &gt; Electric Windows Lift Control Support</t>
  </si>
  <si>
    <t>Body &gt; Closures &gt; Front Passenger Door &gt; Power Controls &gt; Electric Windows Lift Control Support &gt; Injection molding</t>
  </si>
  <si>
    <t>Body &gt; Closures &gt; Front Passenger Door &gt; Power Controls &gt; Electric Windows Lift Control Support &gt; Handling/Visual Inspection/Packaging</t>
  </si>
  <si>
    <t>Body &gt; Closures &gt; Front Passenger Door &gt; Speaker System</t>
  </si>
  <si>
    <t>Body &gt; Closures &gt; Front Passenger Door &gt; Fastners</t>
  </si>
  <si>
    <t>00000006YT01EU01 (AutoReverse)</t>
  </si>
  <si>
    <t>Body &gt; Closures &gt; Rear Door Right</t>
  </si>
  <si>
    <t>Body &gt; Closures &gt; Rear Door Right &gt; Rear Door Right</t>
  </si>
  <si>
    <t xml:space="preserve">Body &gt; Closures &gt; Rear Door Right &gt; Rear Door Right &gt; Housing Assy </t>
  </si>
  <si>
    <t>Body &gt; Closures &gt; Rear Door Right &gt; Rear Door Right &gt; Housing Assy  &gt; Housing</t>
  </si>
  <si>
    <t>Body &gt; Closures &gt; Rear Door Right &gt; Rear Door Right &gt; Housing Assy  &gt; Housing &gt; Part 01 single/front</t>
  </si>
  <si>
    <t>Body &gt; Closures &gt; Rear Door Right &gt; Rear Door Right &gt; Housing Assy  &gt; Housing &gt; Part 01 single/front &gt; Manufacturing Process</t>
  </si>
  <si>
    <t>Body &gt; Closures &gt; Rear Door Right &gt; Rear Door Right &gt; Housing Assy  &gt; Reinforcements</t>
  </si>
  <si>
    <t>Body &gt; Closures &gt; Rear Door Right &gt; Rear Door Right &gt; Housing Assy  &gt; Reinforcements &gt; Part 01 single/main</t>
  </si>
  <si>
    <t>Body &gt; Closures &gt; Rear Door Right &gt; Rear Door Right &gt; Housing Assy  &gt; Reinforcements &gt; Part 01 single/main &gt; Manufacturing Process</t>
  </si>
  <si>
    <t>Body &gt; Closures &gt; Rear Door Right &gt; Rear Door Right &gt; Housing Assy  &gt; Reinforcements &gt; Part 02</t>
  </si>
  <si>
    <t>Body &gt; Closures &gt; Rear Door Right &gt; Rear Door Right &gt; Housing Assy  &gt; Reinforcements &gt; Part 02 &gt; Manufacturing Process</t>
  </si>
  <si>
    <t>Body &gt; Closures &gt; Rear Door Right &gt; Rear Door Right &gt; Housing Assy  &gt; Fixing parts</t>
  </si>
  <si>
    <t>Body &gt; Closures &gt; Rear Door Right &gt; Rear Door Right &gt; Housing Assy  &gt; Fixing parts &gt; Front</t>
  </si>
  <si>
    <t>Body &gt; Closures &gt; Rear Door Right &gt; Rear Door Right &gt; Housing Assy  &gt; Fixing parts &gt; Front &gt; Part 01 single/main</t>
  </si>
  <si>
    <t>Body &gt; Closures &gt; Rear Door Right &gt; Rear Door Right &gt; Housing Assy  &gt; Fixing parts &gt; Front &gt; Part 01 single/main &gt; Manufacturing Process</t>
  </si>
  <si>
    <t>Body &gt; Closures &gt; Rear Door Right &gt; Rear Door Right &gt; Housing Assy  &gt; Fixing parts &gt; Front &gt; Part 02</t>
  </si>
  <si>
    <t>Body &gt; Closures &gt; Rear Door Right &gt; Rear Door Right &gt; Housing Assy  &gt; Fixing parts &gt; Front &gt; Part 02 &gt; Manufacturing Process</t>
  </si>
  <si>
    <t>Body &gt; Closures &gt; Rear Door Right &gt; Rear Door Right &gt; Anti-intrusion beams</t>
  </si>
  <si>
    <t>Body &gt; Closures &gt; Rear Door Right &gt; Rear Door Right &gt; Anti-intrusion beams &gt; Beam 01</t>
  </si>
  <si>
    <t>Body &gt; Closures &gt; Rear Door Right &gt; Rear Door Right &gt; Anti-intrusion beams &gt; Beam 01 &gt; Beam</t>
  </si>
  <si>
    <t>Body &gt; Closures &gt; Rear Door Right &gt; Rear Door Right &gt; Anti-intrusion beams &gt; Beam 01 &gt; Beam &gt; Part 01 single/main</t>
  </si>
  <si>
    <t>Body &gt; Closures &gt; Rear Door Right &gt; Rear Door Right &gt; Anti-intrusion beams &gt; Beam 01 &gt; Beam &gt; Part 01 single/main &gt; Manufacturing Process</t>
  </si>
  <si>
    <t>Body &gt; Closures &gt; Rear Door Right &gt; Rear Door Right &gt; Window frame assy</t>
  </si>
  <si>
    <t>Body &gt; Closures &gt; Rear Door Right &gt; Rear Door Right &gt; Window frame assy &gt; Frame</t>
  </si>
  <si>
    <t>Body &gt; Closures &gt; Rear Door Right &gt; Rear Door Right &gt; Window frame assy &gt; Frame &gt; Part 01 single/front</t>
  </si>
  <si>
    <t>Body &gt; Closures &gt; Rear Door Right &gt; Rear Door Right &gt; Window frame assy &gt; Frame &gt; Part 01 single/front &gt; Manufacturing Process</t>
  </si>
  <si>
    <t xml:space="preserve">Body &gt; Closures &gt; Rear Door Right &gt; Rear Door Right &gt; Top roll assy </t>
  </si>
  <si>
    <t>Body &gt; Closures &gt; Rear Door Right &gt; Rear Door Right &gt; Top roll assy  &gt; Cross member 01 (outer)</t>
  </si>
  <si>
    <t>Body &gt; Closures &gt; Rear Door Right &gt; Rear Door Right &gt; Top roll assy  &gt; Cross member 01 (outer) &gt; Cross member</t>
  </si>
  <si>
    <t>Body &gt; Closures &gt; Rear Door Right &gt; Rear Door Right &gt; Top roll assy  &gt; Cross member 01 (outer) &gt; Cross member &gt; Part 01 single/main</t>
  </si>
  <si>
    <t>Body &gt; Closures &gt; Rear Door Right &gt; Rear Door Right &gt; Top roll assy  &gt; Cross member 01 (outer) &gt; Cross member &gt; Part 01 single/main &gt; Manufacturing Process</t>
  </si>
  <si>
    <t>Body &gt; Closures &gt; Rear Door Right &gt; Rear Door Right &gt; Outer panel</t>
  </si>
  <si>
    <t>Body &gt; Closures &gt; Rear Door Right &gt; Rear Door Right &gt; Outer panel &gt; Panel</t>
  </si>
  <si>
    <t>Body &gt; Closures &gt; Rear Door Right &gt; Rear Door Right &gt; Outer panel &gt; Panel &gt; Part 01 single/main</t>
  </si>
  <si>
    <t>Body &gt; Closures &gt; Rear Door Right &gt; Rear Door Right &gt; Outer panel &gt; Panel &gt; Part 01 single/main &gt; Manufacturing Process</t>
  </si>
  <si>
    <t>Body &gt; Closures &gt; Rear Door Right &gt; Rear Door Right &gt; Outer panel &gt; Reinforcements</t>
  </si>
  <si>
    <t>Body &gt; Closures &gt; Rear Door Right &gt; Rear Door Right &gt; Outer panel &gt; Reinforcements &gt; Reinforcement</t>
  </si>
  <si>
    <t>Body &gt; Closures &gt; Rear Door Right &gt; Rear Door Right &gt; Outer panel &gt; Reinforcements &gt; Reinforcement &gt; Part 01 single/main</t>
  </si>
  <si>
    <t>Body &gt; Closures &gt; Rear Door Right &gt; Rear Door Right &gt; Outer panel &gt; Reinforcements &gt; Reinforcement &gt; Part 01 single/main &gt; Manufacturing Process</t>
  </si>
  <si>
    <t>Body &gt; Closures &gt; Rear Door Right &gt; Rear Door Right &gt; Assembly</t>
  </si>
  <si>
    <t>00000001GR3LEU01 (AutoReverse)</t>
  </si>
  <si>
    <t>Body &gt; Closures &gt; Rear Door Right &gt; Door Panel</t>
  </si>
  <si>
    <t>Body &gt; Closures &gt; Rear Door Right &gt; Door Panel &gt; Inner Door Handle</t>
  </si>
  <si>
    <t>Body &gt; Closures &gt; Rear Door Right &gt; Door Panel &gt; Panel Carrier</t>
  </si>
  <si>
    <t>Body &gt; Closures &gt; Rear Door Right &gt; Door Panel &gt; Panel Carrier &gt; Automated Process</t>
  </si>
  <si>
    <t>Body &gt; Closures &gt; Rear Door Right &gt; Door Panel &gt; Insert</t>
  </si>
  <si>
    <t>Body &gt; Closures &gt; Rear Door Right &gt; Door Panel &gt; Insert &gt; Automated Process</t>
  </si>
  <si>
    <t>Body &gt; Closures &gt; Rear Door Right &gt; Door Panel &gt; Upper Band</t>
  </si>
  <si>
    <t>Body &gt; Closures &gt; Rear Door Right &gt; Door Panel &gt; Upper Band &gt; Automated Process</t>
  </si>
  <si>
    <t>Body &gt; Closures &gt; Rear Door Right &gt; Door Panel &gt; Door Map Pocket Bottom</t>
  </si>
  <si>
    <t>Body &gt; Closures &gt; Rear Door Right &gt; Door Panel &gt; Door Map Pocket Bottom &gt; Automated Process</t>
  </si>
  <si>
    <t>Body &gt; Closures &gt; Rear Door Right &gt; Door Mechanism</t>
  </si>
  <si>
    <t>Body &gt; Closures &gt; Rear Door Right &gt; Door Mechanism &gt; Interior Side</t>
  </si>
  <si>
    <t>Body &gt; Closures &gt; Rear Door Right &gt; Door Mechanism &gt; Interior Side &gt; Fastners</t>
  </si>
  <si>
    <t>Body &gt; Closures &gt; Rear Door Right &gt; Door Mechanism &gt; Interior Side &gt; Opening Control</t>
  </si>
  <si>
    <t>Body &gt; Closures &gt; Rear Door Right &gt; Door Mechanism &gt; Interior Side &gt; Opening Control &gt; Injection molding</t>
  </si>
  <si>
    <t>Body &gt; Closures &gt; Rear Door Right &gt; Door Mechanism &gt; Interior Side &gt; Opening Control Support</t>
  </si>
  <si>
    <t>Body &gt; Closures &gt; Rear Door Right &gt; Door Mechanism &gt; Interior Side &gt; Opening Control Support &gt; Injection molding</t>
  </si>
  <si>
    <t>Body &gt; Closures &gt; Rear Door Right &gt; Door Mechanism &gt; Interior Side &gt; Opening Control Support &gt; Handling/Visual Inspection/Packaging</t>
  </si>
  <si>
    <t>Body &gt; Closures &gt; Rear Door Right &gt; Door Mechanism &gt; Exterior side</t>
  </si>
  <si>
    <t>Body &gt; Closures &gt; Rear Door Right &gt; Door Mechanism &gt; Exterior side &gt; Fastners</t>
  </si>
  <si>
    <t>Body &gt; Closures &gt; Rear Door Right &gt; Door Mechanism &gt; Exterior side &gt; Opening Control</t>
  </si>
  <si>
    <t>Body &gt; Closures &gt; Rear Door Right &gt; Door Mechanism &gt; Exterior side &gt; Opening Control &gt; Injection molding</t>
  </si>
  <si>
    <t>Body &gt; Closures &gt; Rear Door Right &gt; Door Mechanism &gt; Exterior side &gt; Opening Control &gt; Handling/Visual Inspection/Packaging</t>
  </si>
  <si>
    <t>Body &gt; Closures &gt; Rear Door Right &gt; Door Mechanism &gt; Exterior side &gt; Opening Control Support</t>
  </si>
  <si>
    <t>Body &gt; Closures &gt; Rear Door Right &gt; Door Mechanism &gt; Exterior side &gt; Opening Control Support &gt; Injection molding</t>
  </si>
  <si>
    <t>Body &gt; Closures &gt; Rear Door Right &gt; Door Mechanism &gt; Exterior side &gt; Opening Control Support &gt; Handling/Visual Inspection/Packaging</t>
  </si>
  <si>
    <t>Body &gt; Closures &gt; Rear Door Right &gt; Door Mechanism &gt; Exterior side &gt; 2nd Opening Control Support</t>
  </si>
  <si>
    <t>Body &gt; Closures &gt; Rear Door Right &gt; Door Mechanism &gt; Exterior side &gt; 2nd Opening Control Support &gt; Injection molding</t>
  </si>
  <si>
    <t>Body &gt; Closures &gt; Rear Door Right &gt; Door Mechanism &gt; Exterior side &gt; 2nd Opening Control Support &gt; Handling/Visual Inspection/Packaging</t>
  </si>
  <si>
    <t>Body &gt; Closures &gt; Rear Door Right &gt; Door Mechanism &gt; Exterior side &gt; Bezel</t>
  </si>
  <si>
    <t>Body &gt; Closures &gt; Rear Door Right &gt; Door Mechanism &gt; Exterior side &gt; Bezel &gt; Injection molding</t>
  </si>
  <si>
    <t>Body &gt; Closures &gt; Rear Door Right &gt; Door Mechanism &gt; Exterior side &gt; Lock Cylinder Dummy Trim</t>
  </si>
  <si>
    <t>Body &gt; Closures &gt; Rear Door Right &gt; Door Mechanism &gt; Exterior side &gt; Lock Cylinder Dummy Trim &gt; Injection molding</t>
  </si>
  <si>
    <t>Body &gt; Closures &gt; Rear Door Right &gt; Door Mechanism &gt; Exterior side &gt; Assembly</t>
  </si>
  <si>
    <t>Body &gt; Closures &gt; Rear Door Right &gt; Door Mechanism &gt; Fastners</t>
  </si>
  <si>
    <t>Body &gt; Closures &gt; Rear Door Right &gt; Door Mechanism &gt; Door Latch</t>
  </si>
  <si>
    <t>Body &gt; Closures &gt; Rear Door Right &gt; Door Mechanism &gt; Door Latch &gt; Process</t>
  </si>
  <si>
    <t>Body &gt; Closures &gt; Rear Door Right &gt; Door Mechanism &gt; Door Striker</t>
  </si>
  <si>
    <t xml:space="preserve">Body &gt; Closures &gt; Rear Door Right &gt; Door Mechanism &gt; Door Striker &gt; Stamping </t>
  </si>
  <si>
    <t>Body &gt; Closures &gt; Rear Door Right &gt; Door Mechanism &gt; Door Striker &gt; Wire Bending</t>
  </si>
  <si>
    <t>Body &gt; Closures &gt; Rear Door Right &gt; Door Mechanism &gt; Door Striker &gt; Press fit</t>
  </si>
  <si>
    <t>00000005BA6PEU01 (AutoReverse)</t>
  </si>
  <si>
    <t>Body &gt; Closures &gt; Rear Door Right &gt; Window System</t>
  </si>
  <si>
    <t>Body &gt; Closures &gt; Rear Door Right &gt; Window System &gt; Window</t>
  </si>
  <si>
    <t>Body &gt; Closures &gt; Rear Door Right &gt; Window System &gt; Window &gt; Window</t>
  </si>
  <si>
    <t>Body &gt; Closures &gt; Rear Door Right &gt; Window System &gt; Window &gt; Window &gt; Automated Process</t>
  </si>
  <si>
    <t>Body &gt; Closures &gt; Rear Door Right &gt; Window System &gt; Fastners</t>
  </si>
  <si>
    <t>Body &gt; Closures &gt; Rear Door Right &gt; Window System &gt; Rear Quarter Window</t>
  </si>
  <si>
    <t>Body &gt; Closures &gt; Rear Door Right &gt; Window System &gt; Rear Quarter Window &gt; Automated Process</t>
  </si>
  <si>
    <t>Body &gt; Closures &gt; Rear Door Right &gt; Window System &gt; Assembly</t>
  </si>
  <si>
    <t>Body &gt; Closures &gt; Rear Door Right &gt; Sealing System</t>
  </si>
  <si>
    <t>Body &gt; Closures &gt; Rear Door Right &gt; Sealing System &gt; Door Weather Stripping</t>
  </si>
  <si>
    <t>Body &gt; Closures &gt; Rear Door Right &gt; Sealing System &gt; Door Weather Stripping &gt; On Body</t>
  </si>
  <si>
    <t>Body &gt; Closures &gt; Rear Door Right &gt; Sealing System &gt; Door Weather Stripping &gt; On Body &gt; Seal Extrusion (Multi Layer)</t>
  </si>
  <si>
    <t>Body &gt; Closures &gt; Rear Door Right &gt; Sealing System &gt; Door Weather Stripping &gt; On Body &gt; End Glueing/Vulcanizing, Check and Pack</t>
  </si>
  <si>
    <t>Body &gt; Closures &gt; Rear Door Right &gt; Sealing System &gt; Door Weather Stripping &gt; On Door</t>
  </si>
  <si>
    <t>Body &gt; Closures &gt; Rear Door Right &gt; Sealing System &gt; Door Weather Stripping &gt; On Door &gt; Seal Extrusion (Multi Layer)</t>
  </si>
  <si>
    <t>Body &gt; Closures &gt; Rear Door Right &gt; Sealing System &gt; Door Weather Stripping &gt; On Door &gt; End Glueing/Vulcanizing, Check and Pack</t>
  </si>
  <si>
    <t>Body &gt; Closures &gt; Rear Door Right &gt; Sealing System &gt; Window Weather Stripping</t>
  </si>
  <si>
    <t>Body &gt; Closures &gt; Rear Door Right &gt; Sealing System &gt; Window Weather Stripping &gt; Seal Extrusion</t>
  </si>
  <si>
    <t>Body &gt; Closures &gt; Rear Door Right &gt; Sealing System &gt; Interior Weatherstrip</t>
  </si>
  <si>
    <t>Body &gt; Closures &gt; Rear Door Right &gt; Sealing System &gt; Interior Weatherstrip &gt; Seal Extrusion</t>
  </si>
  <si>
    <t>Body &gt; Closures &gt; Rear Door Right &gt; Sealing System &gt; Exterior Weatherstrip</t>
  </si>
  <si>
    <t>Body &gt; Closures &gt; Rear Door Right &gt; Sealing System &gt; Exterior Weatherstrip &gt; Seal Extrusion</t>
  </si>
  <si>
    <t>00000006WSHGEU01 (AutoReverse)</t>
  </si>
  <si>
    <t>Body &gt; Closures &gt; Rear Door Right &gt; Hinges</t>
  </si>
  <si>
    <t>Body &gt; Closures &gt; Rear Door Right &gt; Hinges &gt; Upper</t>
  </si>
  <si>
    <t>Body &gt; Closures &gt; Rear Door Right &gt; Hinges &gt; Upper &gt; On Body</t>
  </si>
  <si>
    <t>Body &gt; Closures &gt; Rear Door Right &gt; Hinges &gt; Upper &gt; On Body &gt; Part 01 single/main</t>
  </si>
  <si>
    <t>Body &gt; Closures &gt; Rear Door Right &gt; Hinges &gt; Upper &gt; On Body &gt; Part 01 single/main &gt; Manufacturing Process</t>
  </si>
  <si>
    <t>Body &gt; Closures &gt; Rear Door Right &gt; Hinges &gt; Upper &gt; On Door</t>
  </si>
  <si>
    <t>Body &gt; Closures &gt; Rear Door Right &gt; Hinges &gt; Upper &gt; On Door &gt; Part 01 single/main</t>
  </si>
  <si>
    <t>Body &gt; Closures &gt; Rear Door Right &gt; Hinges &gt; Upper &gt; On Door &gt; Part 01 single/main &gt; Manufacturing Process</t>
  </si>
  <si>
    <t>Body &gt; Closures &gt; Rear Door Right &gt; Hinges &gt; Upper &gt; Fastners</t>
  </si>
  <si>
    <t>Body &gt; Closures &gt; Rear Door Right &gt; Hinges &gt; Lower</t>
  </si>
  <si>
    <t>Body &gt; Closures &gt; Rear Door Right &gt; Hinges &gt; Lower &gt; On Body</t>
  </si>
  <si>
    <t>Body &gt; Closures &gt; Rear Door Right &gt; Hinges &gt; Lower &gt; On Body &gt; Part 01 single/main</t>
  </si>
  <si>
    <t>Body &gt; Closures &gt; Rear Door Right &gt; Hinges &gt; Lower &gt; On Body &gt; Part 01 single/main &gt; Manufacturing Process</t>
  </si>
  <si>
    <t>Body &gt; Closures &gt; Rear Door Right &gt; Hinges &gt; Lower &gt; On Door</t>
  </si>
  <si>
    <t>Body &gt; Closures &gt; Rear Door Right &gt; Hinges &gt; Lower &gt; On Door &gt; Part 01 single/main</t>
  </si>
  <si>
    <t>Body &gt; Closures &gt; Rear Door Right &gt; Hinges &gt; Lower &gt; On Door &gt; Part 01 single/main &gt; Manufacturing Process</t>
  </si>
  <si>
    <t>Body &gt; Closures &gt; Rear Door Right &gt; Hinges &gt; Lower &gt; Fastners</t>
  </si>
  <si>
    <t>Body &gt; Closures &gt; Rear Door Right &gt; Hinges &gt; Fastners</t>
  </si>
  <si>
    <t>00000009ZP1LEU01 (AutoReverse)</t>
  </si>
  <si>
    <t>Body &gt; Closures &gt; Rear Door Right &gt; Power System</t>
  </si>
  <si>
    <t>Body &gt; Closures &gt; Rear Door Right &gt; Power System &gt; Door ECU</t>
  </si>
  <si>
    <t>Body &gt; Closures &gt; Rear Door Right &gt; Power System &gt; Door ECU &gt; Process</t>
  </si>
  <si>
    <t>Body &gt; Closures &gt; Rear Door Right &gt; Power System &gt; Fastners</t>
  </si>
  <si>
    <t>Body &gt; Closures &gt; Rear Door Right &gt; Molding System</t>
  </si>
  <si>
    <t>Body &gt; Closures &gt; Rear Door Right &gt; Molding System &gt; Fastners</t>
  </si>
  <si>
    <t>Body &gt; Closures &gt; Rear Door Right &gt; Molding System &gt; Door Molding</t>
  </si>
  <si>
    <t>Body &gt; Closures &gt; Rear Door Right &gt; Molding System &gt; Door Molding &gt; Injection molding</t>
  </si>
  <si>
    <t>Body &gt; Closures &gt; Rear Door Right &gt; Molding System &gt; Door Molding &gt; Handling/Visual Inspection/Packaging</t>
  </si>
  <si>
    <t>Body &gt; Closures &gt; Rear Door Right &gt; Molding System &gt; Upper Frame Front Exterior Trim</t>
  </si>
  <si>
    <t>Body &gt; Closures &gt; Rear Door Right &gt; Molding System &gt; Upper Frame Front Exterior Trim &gt; Injection molding</t>
  </si>
  <si>
    <t>Body &gt; Closures &gt; Rear Door Right &gt; Molding System &gt; Upper Frame Front Exterior Trim &gt; Handling/Visual Inspection/Packaging</t>
  </si>
  <si>
    <t>Body &gt; Closures &gt; Rear Door Right &gt; Power Controls</t>
  </si>
  <si>
    <t>Body &gt; Closures &gt; Rear Door Right &gt; Speaker System</t>
  </si>
  <si>
    <t>Body &gt; Closures &gt; Rear Door Right &gt; Fastners</t>
  </si>
  <si>
    <t>000000049TIDEU01 (AutoReverse)</t>
  </si>
  <si>
    <t>00000000Q5SVEU01 (AutoReverse)</t>
  </si>
  <si>
    <t>Body &gt; Frame</t>
  </si>
  <si>
    <t>Body &gt; Frame &gt; Frontend Cooling</t>
  </si>
  <si>
    <t>Body &gt; Frame &gt; Frontend Cooling &gt; Upper Cross Member</t>
  </si>
  <si>
    <t>Body &gt; Frame &gt; Frontend Cooling &gt; Upper Cross Member &gt; Upper Cross Member</t>
  </si>
  <si>
    <t>2.39000 kg</t>
  </si>
  <si>
    <t>2.4378003900480624076899852304 kg</t>
  </si>
  <si>
    <t>Body &gt; Frame &gt; Frontend Cooling &gt; Upper Cross Member &gt; Upper Cross Member &gt; Injection molding</t>
  </si>
  <si>
    <t>Opening: 2.75 s, Ejection: 0.35 s, Insert: 0.00 s, Closing: 5.00 s, Removal: 2.78 s, Cooling: 11.32 s, Injection: 2.47</t>
  </si>
  <si>
    <t>00000005AEIBEU01 (AutoReverse)</t>
  </si>
  <si>
    <t>Body &gt; Frame &gt; Frontend Cooling &gt; Reinforcement</t>
  </si>
  <si>
    <t>1.48900 kg</t>
  </si>
  <si>
    <t>1.9853333333333333333333333333 kg</t>
  </si>
  <si>
    <t>Body &gt; Frame &gt; Frontend Cooling &gt; Reinforcement &gt; Stamping</t>
  </si>
  <si>
    <t>00000004AP3LEU01 (AutoReverse)</t>
  </si>
  <si>
    <t>Body &gt; Frame &gt; Frontend Cooling &gt; 2nd Reinforcement</t>
  </si>
  <si>
    <t>1.04100 kg</t>
  </si>
  <si>
    <t>1.041 kg</t>
  </si>
  <si>
    <t>Body &gt; Frame &gt; Frontend Cooling &gt; 2nd Reinforcement &gt; Stamping</t>
  </si>
  <si>
    <t>0000000AQ1OPEU01 (AutoReverse)</t>
  </si>
  <si>
    <t>Body &gt; Frame &gt; Frontend Cooling &gt; 3rd Reinforcement</t>
  </si>
  <si>
    <t>0.79200 kg</t>
  </si>
  <si>
    <t>0.792 kg</t>
  </si>
  <si>
    <t>Body &gt; Frame &gt; Frontend Cooling &gt; 3rd Reinforcement &gt; Stamping</t>
  </si>
  <si>
    <t>000000046KBKEU01 (AutoReverse)</t>
  </si>
  <si>
    <t>Body &gt; Frame &gt; Frontend Cooling &gt; Lower Supports</t>
  </si>
  <si>
    <t>0.31900 kg</t>
  </si>
  <si>
    <t>0.3253800520608083297293327567 kg</t>
  </si>
  <si>
    <t>Body &gt; Frame &gt; Frontend Cooling &gt; Lower Supports &gt; Injection molding</t>
  </si>
  <si>
    <t>Opening: 0.92 s, Ejection: 0.29 s, Insert: 0.00 s, Closing: 2.30 s, Removal: 1.72 s, Cooling: 16.72 s, Injection: 2.39</t>
  </si>
  <si>
    <t>NON FERROUS METAL;PA6</t>
  </si>
  <si>
    <t>00000003VXT0EU01 (AutoReverse)</t>
  </si>
  <si>
    <t>00000006A3WAEU01 (AutoReverse)</t>
  </si>
  <si>
    <t>Body &gt; Frame &gt; Aerodynamic Shield</t>
  </si>
  <si>
    <t>Body &gt; Frame &gt; Aerodynamic Shield &gt; Shield Under Front Bumper System</t>
  </si>
  <si>
    <t>Body &gt; Frame &gt; Aerodynamic Shield &gt; Shield Under Front Bumper System &gt; Main Shield</t>
  </si>
  <si>
    <t>1.36300 kg</t>
  </si>
  <si>
    <t>1.4347368421052631578947368421 kg</t>
  </si>
  <si>
    <t>Body &gt; Frame &gt; Aerodynamic Shield &gt; Shield Under Front Bumper System &gt; Main Shield &gt; Automated Process</t>
  </si>
  <si>
    <t>PP-E/P</t>
  </si>
  <si>
    <t>00000002C1N5EU01 (AutoReverse)</t>
  </si>
  <si>
    <t>Body &gt; Frame &gt; Aerodynamic Shield &gt; Shield Under Front Bumper System &gt; Left Shield</t>
  </si>
  <si>
    <t>0.27200 kg</t>
  </si>
  <si>
    <t>0.2863157894736842105263157895 kg</t>
  </si>
  <si>
    <t>Body &gt; Frame &gt; Aerodynamic Shield &gt; Shield Under Front Bumper System &gt; Left Shield &gt; Automated Process</t>
  </si>
  <si>
    <t>PP-EPDM</t>
  </si>
  <si>
    <t>000000014LK9EU01 (AutoReverse)</t>
  </si>
  <si>
    <t>Body &gt; Frame &gt; Aerodynamic Shield &gt; Shield Under Front Bumper System &gt; Right Shield</t>
  </si>
  <si>
    <t>0.27100 kg</t>
  </si>
  <si>
    <t>0.2852631578947368421052631579 kg</t>
  </si>
  <si>
    <t>Body &gt; Frame &gt; Aerodynamic Shield &gt; Shield Under Front Bumper System &gt; Right Shield &gt; Automated Process</t>
  </si>
  <si>
    <t>00000000R1RDEU01 (AutoReverse)</t>
  </si>
  <si>
    <t>00000009P9AIEU01 (AutoReverse)</t>
  </si>
  <si>
    <t>Body &gt; Frame &gt; Aerodynamic Shield &gt; Shield Under Engine K-Frame System</t>
  </si>
  <si>
    <t>Body &gt; Frame &gt; Aerodynamic Shield &gt; Shield Under Engine K-Frame System &gt; Shield Under Engine</t>
  </si>
  <si>
    <t>1.78200 kg</t>
  </si>
  <si>
    <t>1.8757894736842105263157894737 kg</t>
  </si>
  <si>
    <t>Body &gt; Frame &gt; Aerodynamic Shield &gt; Shield Under Engine K-Frame System &gt; Shield Under Engine &gt; Automated Process</t>
  </si>
  <si>
    <t>00000008S869EU01 (AutoReverse)</t>
  </si>
  <si>
    <t>000000068UKDEU01 (AutoReverse)</t>
  </si>
  <si>
    <t>Body &gt; Frame &gt; Aerodynamic Shield &gt; Under the Rear Axle</t>
  </si>
  <si>
    <t>1.59300 kg</t>
  </si>
  <si>
    <t>1.6768421052631578947368421053 kg</t>
  </si>
  <si>
    <t>Body &gt; Frame &gt; Aerodynamic Shield &gt; Under the Rear Axle &gt; Automated Process</t>
  </si>
  <si>
    <t>PP;PUR;PET</t>
  </si>
  <si>
    <t>00000000T423EU01 (AutoReverse)</t>
  </si>
  <si>
    <t>Body &gt; Frame &gt; Aerodynamic Shield &gt; Screen Between Body and Rear Bumper</t>
  </si>
  <si>
    <t>1.27700 kg</t>
  </si>
  <si>
    <t>1.3442105263157894736842105263 kg</t>
  </si>
  <si>
    <t>Body &gt; Frame &gt; Aerodynamic Shield &gt; Screen Between Body and Rear Bumper &gt; Automated Process</t>
  </si>
  <si>
    <t>000000076QQHEU01 (AutoReverse)</t>
  </si>
  <si>
    <t>Body &gt; Frame &gt; Aerodynamic Shield &gt; Support</t>
  </si>
  <si>
    <t>2.56900 kg</t>
  </si>
  <si>
    <t>4.1090850927703134996801023672 kg</t>
  </si>
  <si>
    <t>Body &gt; Frame &gt; Aerodynamic Shield &gt; Support &gt; Stamping</t>
  </si>
  <si>
    <t>00000009W45IEU01 (AutoReverse)</t>
  </si>
  <si>
    <t>000000051AMNEU01 (AutoReverse)</t>
  </si>
  <si>
    <t>Body &gt; Frame &gt; Windshields Windows</t>
  </si>
  <si>
    <t>Body &gt; Frame &gt; Windshields Windows &gt; Side Windows Quarter Glass</t>
  </si>
  <si>
    <t>Body &gt; Frame &gt; Windshields Windows &gt; Side Windows Quarter Glass &gt; Front</t>
  </si>
  <si>
    <t>Body &gt; Frame &gt; Windshields Windows &gt; Side Windows Quarter Glass &gt; Front &gt; Front Bezel</t>
  </si>
  <si>
    <t>0.02050 kg</t>
  </si>
  <si>
    <t>0.0215789473684210526315789474 kg</t>
  </si>
  <si>
    <t>Body &gt; Frame &gt; Windshields Windows &gt; Side Windows Quarter Glass &gt; Front &gt; Front Bezel &gt; Automated Process</t>
  </si>
  <si>
    <t>ASA;TPS-SEBS</t>
  </si>
  <si>
    <t>00000004RWTEEU01 (AutoReverse)</t>
  </si>
  <si>
    <t>000000037X5AEU01 (AutoReverse)</t>
  </si>
  <si>
    <t>Body &gt; Frame &gt; Windshields Windows &gt; Side Windows Quarter Glass &gt; Rear</t>
  </si>
  <si>
    <t>Body &gt; Frame &gt; Windshields Windows &gt; Side Windows Quarter Glass &gt; Rear &gt; Window</t>
  </si>
  <si>
    <t>Body &gt; Frame &gt; Windshields Windows &gt; Side Windows Quarter Glass &gt; Rear &gt; Window &gt; Automated Process</t>
  </si>
  <si>
    <t>TPS;SEBS-PP;GLASS</t>
  </si>
  <si>
    <t>00000008ZZVZEU01 (AutoReverse)</t>
  </si>
  <si>
    <t>00000009O0NWEU01 (AutoReverse)</t>
  </si>
  <si>
    <t>0000000722AMEU01 (AutoReverse)</t>
  </si>
  <si>
    <t>Body &gt; Frame &gt; Windshields Windows &gt; Windshield System</t>
  </si>
  <si>
    <t>Body &gt; Frame &gt; Windshields Windows &gt; Windshield System &gt; Seal</t>
  </si>
  <si>
    <t>Body &gt; Frame &gt; Windshields Windows &gt; Windshield System &gt; Seal &gt; Lower seal</t>
  </si>
  <si>
    <t>Body &gt; Frame &gt; Windshields Windows &gt; Windshield System &gt; Seal &gt; Lower seal &gt; Automated Process</t>
  </si>
  <si>
    <t>0.0355555555555555555555555556 kg</t>
  </si>
  <si>
    <t>{_x000d_
  "productId": "0000000W0ZYUCID0",_x000d_
  "productCompleteName": "Elkamet"_x000d_
}</t>
  </si>
  <si>
    <t>E/P;TPV-(EPDM-PP);AL</t>
  </si>
  <si>
    <t>00000008ZA98EU01 (AutoReverse)</t>
  </si>
  <si>
    <t>Body &gt; Frame &gt; Windshields Windows &gt; Windshield System &gt; Seal &gt; Upper seal</t>
  </si>
  <si>
    <t>Body &gt; Frame &gt; Windshields Windows &gt; Windshield System &gt; Seal &gt; Upper seal &gt; Automated Process</t>
  </si>
  <si>
    <t>0000000AADF9EU01 (AutoReverse)</t>
  </si>
  <si>
    <t>0000000632WWEU01 (AutoReverse)</t>
  </si>
  <si>
    <t>Body &gt; Frame &gt; Windshields Windows &gt; Windshield System &gt; Windshield</t>
  </si>
  <si>
    <t>Body &gt; Frame &gt; Windshields Windows &gt; Windshield System &gt; Windshield &gt; Glas Panel</t>
  </si>
  <si>
    <t>Body &gt; Frame &gt; Windshields Windows &gt; Windshield System &gt; Windshield &gt; Glas Panel &gt; Automated Process</t>
  </si>
  <si>
    <t>Exterior - [Mechanical Prod] [Internal]</t>
  </si>
  <si>
    <t>0,75EURO for 1m; 5m used</t>
  </si>
  <si>
    <t>Body &gt; Frame &gt; Windshields Windows &gt; Windshield System &gt; Windshield &gt; Commodity: Mirror Support CPL</t>
  </si>
  <si>
    <t>0.3009000481440077030412324866 kg</t>
  </si>
  <si>
    <t>Body &gt; Frame &gt; Windshields Windows &gt; Windshield System &gt; Windshield &gt; Commodity: Mirror Support CPL &gt; Injection molding</t>
  </si>
  <si>
    <t>Insert: 0.00 s, Closing: 3.33 s, Injection: 2.39 s, Cooling: 19.26 s, Opening: 1.50 s, Ejection: 0.03 s, Removal: 2.00 s. Default reject ratio based on industry average: 2%</t>
  </si>
  <si>
    <t>Exterior - [Assembly] [Purchased]</t>
  </si>
  <si>
    <t>00000003ICWNEU01 (AutoReverse)</t>
  </si>
  <si>
    <t>Body &gt; Frame &gt; Windshields Windows &gt; Windshield System &gt; Windshield Trim</t>
  </si>
  <si>
    <t>0.05925 kg</t>
  </si>
  <si>
    <t>0.0623684210526315789473684211 kg</t>
  </si>
  <si>
    <t>Body &gt; Frame &gt; Windshields Windows &gt; Windshield System &gt; Windshield Trim &gt; Automated Process</t>
  </si>
  <si>
    <t>00000006X0AUEU01 (AutoReverse)</t>
  </si>
  <si>
    <t>Body &gt; Frame &gt; Windshields Windows &gt; Windshield System &gt; Windshield Trim Support</t>
  </si>
  <si>
    <t>Body &gt; Frame &gt; Windshields Windows &gt; Windshield System &gt; Windshield Trim Support &gt; Automated Process</t>
  </si>
  <si>
    <t>00000003OHY8EU01 (AutoReverse)</t>
  </si>
  <si>
    <t>00000008JC0CEU01 (AutoReverse)</t>
  </si>
  <si>
    <t>Body &gt; Frame &gt; Windshields Windows &gt; Panoramic Roof</t>
  </si>
  <si>
    <t>Body &gt; Frame &gt; Windshields Windows &gt; Panoramic Roof &gt; Complete Panoramic Roof</t>
  </si>
  <si>
    <t>Body &gt; Frame &gt; Windshields Windows &gt; Panoramic Roof &gt; Complete Panoramic Roof &gt; Automated Process</t>
  </si>
  <si>
    <t>{_x000d_
  "productId": "0000000W1148CID0",_x000d_
  "productCompleteName": "Pilkington"_x000d_
}</t>
  </si>
  <si>
    <t>PU;GLASS;PLASTIC UNKNOWN</t>
  </si>
  <si>
    <t>00000004NKIIEU01 (AutoReverse)</t>
  </si>
  <si>
    <t>00000009Q1HTEU01 (AutoReverse)</t>
  </si>
  <si>
    <t>00000008CRKJEU01 (AutoReverse)</t>
  </si>
  <si>
    <t>Body &gt; Frame &gt; Scuttle Grille System</t>
  </si>
  <si>
    <t>Body &gt; Frame &gt; Scuttle Grille System &gt; Covering Cowl Air Inlet Central Single</t>
  </si>
  <si>
    <t>0.67700 kg</t>
  </si>
  <si>
    <t>0.7126315789473684210526315789 kg</t>
  </si>
  <si>
    <t>Body &gt; Frame &gt; Scuttle Grille System &gt; Covering Cowl Air Inlet Central Single &gt; Automated Process</t>
  </si>
  <si>
    <t>{_x000d_
  "productId": "0000000W10B0CID0",_x000d_
  "productCompleteName": "HEYCO"_x000d_
}</t>
  </si>
  <si>
    <t>000000028XBZEU01 (AutoReverse)</t>
  </si>
  <si>
    <t>Body &gt; Frame &gt; Scuttle Grille System &gt; Windshield Weather Strip Trim</t>
  </si>
  <si>
    <t>0.0726315789473684210526315789 kg</t>
  </si>
  <si>
    <t>Body &gt; Frame &gt; Scuttle Grille System &gt; Windshield Weather Strip Trim &gt; Automated Process</t>
  </si>
  <si>
    <t>000000077WNLEU01 (AutoReverse)</t>
  </si>
  <si>
    <t>Body &gt; Frame &gt; Scuttle Grille System &gt; Scuttle Grille Reinforcement</t>
  </si>
  <si>
    <t>0.10200 kg</t>
  </si>
  <si>
    <t>0.1073684210526315789473684211 kg</t>
  </si>
  <si>
    <t>Body &gt; Frame &gt; Scuttle Grille System &gt; Scuttle Grille Reinforcement &gt; Automated Process</t>
  </si>
  <si>
    <t>0000007MYSBBCID0 (AutoReverse)</t>
  </si>
  <si>
    <t>00000000O9USEU01 (AutoReverse)</t>
  </si>
  <si>
    <t>Body &gt; Frame &gt; Water Box   Draining System</t>
  </si>
  <si>
    <t>Body &gt; Frame &gt; Water Box   Draining System &gt; Water Drainage Ducts</t>
  </si>
  <si>
    <t>Body &gt; Frame &gt; Water Box   Draining System &gt; Water Drainage Ducts &gt; Draining Flap on Floor</t>
  </si>
  <si>
    <t>Body &gt; Frame &gt; Water Box   Draining System &gt; Water Drainage Ducts &gt; Draining Flap on Floor &gt; Automated Process</t>
  </si>
  <si>
    <t>000000057OPHEU01 (AutoReverse)</t>
  </si>
  <si>
    <t>Body &gt; Frame &gt; Water Box   Draining System &gt; Water Drainage Ducts &gt; 2nd Middle</t>
  </si>
  <si>
    <t>Body &gt; Frame &gt; Water Box   Draining System &gt; Water Drainage Ducts &gt; 2nd Middle &gt; Automated Process</t>
  </si>
  <si>
    <t>00000003RVO3EU01 (AutoReverse)</t>
  </si>
  <si>
    <t>000000026OKGEU01 (AutoReverse)</t>
  </si>
  <si>
    <t>Body &gt; Frame &gt; Water Box   Draining System &gt; Bulkhead</t>
  </si>
  <si>
    <t>0.76200 kg</t>
  </si>
  <si>
    <t>1.1205882352941176470588235294 kg</t>
  </si>
  <si>
    <t>Body &gt; Frame &gt; Water Box   Draining System &gt; Bulkhead &gt; Stamping</t>
  </si>
  <si>
    <t>00000003URWZEU01 (AutoReverse)</t>
  </si>
  <si>
    <t>Body &gt; Frame &gt; Water Box   Draining System &gt; Weather Stripping Panel Body</t>
  </si>
  <si>
    <t>0.0947368421052631578947368421 kg</t>
  </si>
  <si>
    <t>Body &gt; Frame &gt; Water Box   Draining System &gt; Weather Stripping Panel Body &gt; Seal Extrusion (Multi Layer)</t>
  </si>
  <si>
    <t>FERROUS METAL;EPDM</t>
  </si>
  <si>
    <t>00000008I45QEU01 (AutoReverse)</t>
  </si>
  <si>
    <t>00000008C4UBEU01 (AutoReverse)</t>
  </si>
  <si>
    <t>Body &gt; Frame &gt; Rocker Panel Cover</t>
  </si>
  <si>
    <t>Body &gt; Frame &gt; Rocker Panel Cover &gt; Cover</t>
  </si>
  <si>
    <t>0.88450 kg</t>
  </si>
  <si>
    <t>0.9310526315789473684210526316 kg</t>
  </si>
  <si>
    <t>Body &gt; Frame &gt; Rocker Panel Cover &gt; Cover &gt; Automated Process</t>
  </si>
  <si>
    <t>00000004I7CVEU01 (AutoReverse)</t>
  </si>
  <si>
    <t>00000007YYS5EU01 (AutoReverse)</t>
  </si>
  <si>
    <t>Body &gt; Frame &gt; Pillar Trim</t>
  </si>
  <si>
    <t>Body &gt; Frame &gt; Pillar Trim &gt; A Pillar Trims 1</t>
  </si>
  <si>
    <t>Body &gt; Frame &gt; Pillar Trim &gt; A Pillar Trims 1 &gt; Automated Process</t>
  </si>
  <si>
    <t>000000008ETXEU01 (AutoReverse)</t>
  </si>
  <si>
    <t>Body &gt; Frame &gt; Pillar Trim &gt; C Left Pillar Trims</t>
  </si>
  <si>
    <t>0.32800 kg</t>
  </si>
  <si>
    <t>0.3452631578947368421052631579 kg</t>
  </si>
  <si>
    <t>Body &gt; Frame &gt; Pillar Trim &gt; C Left Pillar Trims &gt; Automated Process</t>
  </si>
  <si>
    <t>00000007B7DGEU01 (AutoReverse)</t>
  </si>
  <si>
    <t>Body &gt; Frame &gt; Pillar Trim &gt; Left C Pillar Trims Support</t>
  </si>
  <si>
    <t>0.05220 kg</t>
  </si>
  <si>
    <t>0.0549473684210526315789473684 kg</t>
  </si>
  <si>
    <t>Body &gt; Frame &gt; Pillar Trim &gt; Left C Pillar Trims Support &gt; Automated Process</t>
  </si>
  <si>
    <t>PC;ABS;PP;TPV-(EPDM-PP);ASA</t>
  </si>
  <si>
    <t>00000005IGIPEU01 (AutoReverse)</t>
  </si>
  <si>
    <t>00000004G84YEU01 (AutoReverse)</t>
  </si>
  <si>
    <t>Body &gt; Frame &gt; Roof Trim</t>
  </si>
  <si>
    <t>Body &gt; Frame &gt; Roof Trim &gt; Roof Trim Side</t>
  </si>
  <si>
    <t>0.33650 kg</t>
  </si>
  <si>
    <t>0.3568103592703890876470451013 kg</t>
  </si>
  <si>
    <t>Body &gt; Frame &gt; Roof Trim &gt; Roof Trim Side &gt; Aluminum extrusion</t>
  </si>
  <si>
    <t>0.07500 kg</t>
  </si>
  <si>
    <t>Polyvinylchlorid (Weich-PVC)</t>
  </si>
  <si>
    <t>PVC-P;AL</t>
  </si>
  <si>
    <t>00000004HKLEEU01 (AutoReverse)</t>
  </si>
  <si>
    <t>00000009KR65EU01 (AutoReverse)</t>
  </si>
  <si>
    <t>Body &gt; Frame &gt; Decompression System</t>
  </si>
  <si>
    <t>Body &gt; Frame &gt; Decompression System &gt; Decompression Air Vent</t>
  </si>
  <si>
    <t>0.11300 kg</t>
  </si>
  <si>
    <t>0.1210229761584736967806817342 kg</t>
  </si>
  <si>
    <t>Body &gt; Frame &gt; Decompression System &gt; Decompression Air Vent &gt; Injection molding</t>
  </si>
  <si>
    <t>Opening: 1.01 s, Ejection: 0.08 s, Insert: 0.00 s, Closing: 2.53 s, Removal: 1.58 s, Cooling: 4.82 s, Injection: 2.13</t>
  </si>
  <si>
    <t>Packaging</t>
  </si>
  <si>
    <t>Body &gt; Frame &gt; Decompression System &gt; Decompression Air Vent &gt; Handling/Visual Inspection/Packing</t>
  </si>
  <si>
    <t>{_x000d_
  "productId": "A0000002EQZ1EU02",_x000d_
  "productCompleteName": "X Peng"_x000d_
}</t>
  </si>
  <si>
    <t>PP;TPE;EPDM</t>
  </si>
  <si>
    <t>000000051PZPEU01 (AutoReverse)</t>
  </si>
  <si>
    <t>Body &gt; Frame &gt; Hole Plugs</t>
  </si>
  <si>
    <t>00000004JFLAEU01 (AutoReverse)</t>
  </si>
  <si>
    <t>TEEE;PA6</t>
  </si>
  <si>
    <t>0000000446I8EU01 (AutoReverse)</t>
  </si>
  <si>
    <t>TPC-ET;ELASTOMER UNKNOWN</t>
  </si>
  <si>
    <t>00000004YWNQEU01 (AutoReverse)</t>
  </si>
  <si>
    <t>000000065SGNEU01 (AutoReverse)</t>
  </si>
  <si>
    <t>TEEE;TPC-EE;ELASTOMER UNKNOWN;TPC-ET</t>
  </si>
  <si>
    <t>00000007HNNZEU01 (AutoReverse)</t>
  </si>
  <si>
    <t>PA6;TEEE;TPC-EE;EVA;PLASTIC UNKNOWN</t>
  </si>
  <si>
    <t>00000003ZDGXEU01 (AutoReverse)</t>
  </si>
  <si>
    <t>TPC-EE;PP;TPS;ELASTOMER UNKNOWN</t>
  </si>
  <si>
    <t>00000001OESVEU01 (AutoReverse)</t>
  </si>
  <si>
    <t>EPDM-PP;ELASTOMER UNKNOWN</t>
  </si>
  <si>
    <t>00000002D7DIEU01 (AutoReverse)</t>
  </si>
  <si>
    <t>00000009G6BEEU01 (AutoReverse)</t>
  </si>
  <si>
    <t>0000000405BPEU01 (AutoReverse)</t>
  </si>
  <si>
    <t>000000036ZM4EU01 (AutoReverse)</t>
  </si>
  <si>
    <t>Body &gt; Frame &gt; Roof Member</t>
  </si>
  <si>
    <t>Body &gt; Frame &gt; Roof Member &gt; Cross Member</t>
  </si>
  <si>
    <t>1.13000 kg</t>
  </si>
  <si>
    <t>1.6854175584713113592668881077 kg</t>
  </si>
  <si>
    <t>Body &gt; Frame &gt; Roof Member &gt; Cross Member &gt; Blanking</t>
  </si>
  <si>
    <t>Body &gt; Frame &gt; Roof Member &gt; Cross Member &gt; Stamping</t>
  </si>
  <si>
    <t>FERROUS METAL;ELASTOMER UNKNOWN;PLASTIC UNKNOWN</t>
  </si>
  <si>
    <t>0000000790X4EU01 (AutoReverse)</t>
  </si>
  <si>
    <t>00000007XSG5EU01 (AutoReverse)</t>
  </si>
  <si>
    <t>Body &gt; Frame &gt; Sliding Roof System</t>
  </si>
  <si>
    <t>Body &gt; Frame &gt; Sliding Roof System &gt; Front</t>
  </si>
  <si>
    <t>Body &gt; Frame &gt; Sliding Roof System &gt; Front &gt; Sun Roof</t>
  </si>
  <si>
    <t>1.02075 kg</t>
  </si>
  <si>
    <t>1.0744736842105263157894736842 kg</t>
  </si>
  <si>
    <t>Body &gt; Frame &gt; Sliding Roof System &gt; Front &gt; Sun Roof &gt; Automated Process</t>
  </si>
  <si>
    <t>PLASTIC UNKNOWN;ELASTOMER UNKNOWN;FERROUS METAL;ELECTRONIC COMPONENT</t>
  </si>
  <si>
    <t>00000003G823EU01 (AutoReverse)</t>
  </si>
  <si>
    <t>00000007NQA1EU01 (AutoReverse)</t>
  </si>
  <si>
    <t>Body &gt; Frame &gt; Sliding Roof System &gt; Sliding Roof Water Outlet System</t>
  </si>
  <si>
    <t>Body &gt; Frame &gt; Sliding Roof System &gt; Sliding Roof Water Outlet System &gt; Rear</t>
  </si>
  <si>
    <t>0.11850 kg</t>
  </si>
  <si>
    <t>0.1247368421052631578947368421 kg</t>
  </si>
  <si>
    <t>Body &gt; Frame &gt; Sliding Roof System &gt; Sliding Roof Water Outlet System &gt; Rear &gt; Automated Process</t>
  </si>
  <si>
    <t>PVC</t>
  </si>
  <si>
    <t>00000006PSBHEU01 (AutoReverse)</t>
  </si>
  <si>
    <t>Body &gt; Frame &gt; Sliding Roof System &gt; Sliding Roof Water Outlet System &gt; Water Drainage Outlet</t>
  </si>
  <si>
    <t>0.00075 kg</t>
  </si>
  <si>
    <t>0.0007894736842105263157894737 kg</t>
  </si>
  <si>
    <t>Body &gt; Frame &gt; Sliding Roof System &gt; Sliding Roof Water Outlet System &gt; Water Drainage Outlet &gt; Automated Process</t>
  </si>
  <si>
    <t>00000011UK58CID0 (AutoReverse)</t>
  </si>
  <si>
    <t>00000008IL1LEU01 (AutoReverse)</t>
  </si>
  <si>
    <t>00000001Y79IEU01 (AutoReverse)</t>
  </si>
  <si>
    <t>Body &gt; Frame &gt; Engine Compartment Protection System</t>
  </si>
  <si>
    <t>Body &gt; Frame &gt; Engine Compartment Protection System &gt; Left</t>
  </si>
  <si>
    <t>0.1968600314976050396168063387 kg</t>
  </si>
  <si>
    <t>Body &gt; Frame &gt; Engine Compartment Protection System &gt; Left &gt; Injection molding</t>
  </si>
  <si>
    <t>Opening: 1.38 s, Ejection: 0.17 s, Insert: 0.00 s, Closing: 3.06 s, Removal: 1.87 s, Cooling: 15.40 s, Injection: 2.34</t>
  </si>
  <si>
    <t>0000000520L3EU01 (AutoReverse)</t>
  </si>
  <si>
    <t>Body &gt; Frame &gt; Engine Compartment Protection System &gt; 2nd Left</t>
  </si>
  <si>
    <t>0.24100 kg</t>
  </si>
  <si>
    <t>0.2536842105263157894736842105 kg</t>
  </si>
  <si>
    <t>Polyamid 6, 15% Glasfibre</t>
  </si>
  <si>
    <t>Body &gt; Frame &gt; Engine Compartment Protection System &gt; 2nd Left &gt; Injection molding</t>
  </si>
  <si>
    <t>00000006OXG9EU01 (AutoReverse)</t>
  </si>
  <si>
    <t>0000000042OUEU01 (AutoReverse)</t>
  </si>
  <si>
    <t>Body &gt; Frame &gt; Body In White (With Paint)</t>
  </si>
  <si>
    <t>Body &gt; Frame &gt; Body In White (With Paint) &gt; Upper body</t>
  </si>
  <si>
    <t>Body &gt; Frame &gt; Body In White (With Paint) &gt; Upper body &gt; Roof assy</t>
  </si>
  <si>
    <t>Body &gt; Frame &gt; Body In White (With Paint) &gt; Upper body &gt; Roof assy &gt; Cross members</t>
  </si>
  <si>
    <t>Body &gt; Frame &gt; Body In White (With Paint) &gt; Upper body &gt; Roof assy &gt; Cross members &gt; Front cross member assy</t>
  </si>
  <si>
    <t>Body &gt; Frame &gt; Body In White (With Paint) &gt; Upper body &gt; Roof assy &gt; Cross members &gt; Front cross member assy &gt; Cross member</t>
  </si>
  <si>
    <t>Body &gt; Frame &gt; Body In White (With Paint) &gt; Upper body &gt; Roof assy &gt; Cross members &gt; Front cross member assy &gt; Cross member &gt; Part 01 single/main</t>
  </si>
  <si>
    <t>1.18000 kg</t>
  </si>
  <si>
    <t>1.3111111111111111111111111111 kg</t>
  </si>
  <si>
    <t>Body &gt; Frame &gt; Body In White (With Paint) &gt; Upper body &gt; Roof assy &gt; Cross members &gt; Front cross member assy &gt; Cross member &gt; Part 01 single/main &gt; MANUFACTURING  PROCESS</t>
  </si>
  <si>
    <t>Directional Costing</t>
  </si>
  <si>
    <t>BIW - [Mechanical Prod] [Purchased]</t>
  </si>
  <si>
    <t>Body &gt; Frame &gt; Body In White (With Paint) &gt; Upper body &gt; Roof assy &gt; Cross members &gt; Front cross member assy &gt; Cross member &gt; Part 02</t>
  </si>
  <si>
    <t>1.12000 kg</t>
  </si>
  <si>
    <t>1.2444444444444444444444444444 kg</t>
  </si>
  <si>
    <t>Body &gt; Frame &gt; Body In White (With Paint) &gt; Upper body &gt; Roof assy &gt; Cross members &gt; Front cross member assy &gt; Cross member &gt; Part 02 &gt; MANUFACTURING  PROCESS</t>
  </si>
  <si>
    <t>Body &gt; Frame &gt; Body In White (With Paint) &gt; Upper body &gt; Roof assy &gt; Cross members &gt; Front cross member assy &gt; Gussets</t>
  </si>
  <si>
    <t>Body &gt; Frame &gt; Body In White (With Paint) &gt; Upper body &gt; Roof assy &gt; Cross members &gt; Front cross member assy &gt; Gussets &gt; Part 01 single/main</t>
  </si>
  <si>
    <t>Body &gt; Frame &gt; Body In White (With Paint) &gt; Upper body &gt; Roof assy &gt; Cross members &gt; Front cross member assy &gt; Gussets &gt; Part 01 single/main &gt; MANUFACTURING  PROCESS</t>
  </si>
  <si>
    <t>Body &gt; Frame &gt; Body In White (With Paint) &gt; Upper body &gt; Roof assy &gt; Cross members &gt; Rear cross member assy</t>
  </si>
  <si>
    <t>Body &gt; Frame &gt; Body In White (With Paint) &gt; Upper body &gt; Roof assy &gt; Cross members &gt; Rear cross member assy &gt; Cross member</t>
  </si>
  <si>
    <t>Body &gt; Frame &gt; Body In White (With Paint) &gt; Upper body &gt; Roof assy &gt; Cross members &gt; Rear cross member assy &gt; Cross member &gt; Part 01 single/main</t>
  </si>
  <si>
    <t>1.58000 kg</t>
  </si>
  <si>
    <t>1.975 kg</t>
  </si>
  <si>
    <t>Body &gt; Frame &gt; Body In White (With Paint) &gt; Upper body &gt; Roof assy &gt; Cross members &gt; Rear cross member assy &gt; Cross member &gt; Part 01 single/main &gt; MANUFACTURING  PROCESS</t>
  </si>
  <si>
    <t>Body &gt; Frame &gt; Body In White (With Paint) &gt; Upper body &gt; Roof assy &gt; Cross members &gt; Intermediate cross members</t>
  </si>
  <si>
    <t>Body &gt; Frame &gt; Body In White (With Paint) &gt; Upper body &gt; Roof assy &gt; Cross members &gt; Intermediate cross members &gt; Cross member 01 front</t>
  </si>
  <si>
    <t>Body &gt; Frame &gt; Body In White (With Paint) &gt; Upper body &gt; Roof assy &gt; Cross members &gt; Intermediate cross members &gt; Cross member 01 front &gt; Cross member</t>
  </si>
  <si>
    <t>Body &gt; Frame &gt; Body In White (With Paint) &gt; Upper body &gt; Roof assy &gt; Cross members &gt; Intermediate cross members &gt; Cross member 01 front &gt; Cross member &gt; Part 01 single/main</t>
  </si>
  <si>
    <t>0.7333333333333333333333333333 kg</t>
  </si>
  <si>
    <t>Body &gt; Frame &gt; Body In White (With Paint) &gt; Upper body &gt; Roof assy &gt; Cross members &gt; Intermediate cross members &gt; Cross member 01 front &gt; Cross member &gt; Part 01 single/main &gt; MANUFACTURING  PROCESS</t>
  </si>
  <si>
    <t>Body &gt; Frame &gt; Body In White (With Paint) &gt; Upper body &gt; Roof assy &gt; Roof panel assy</t>
  </si>
  <si>
    <t>Body &gt; Frame &gt; Body In White (With Paint) &gt; Upper body &gt; Roof assy &gt; Roof panel assy &gt; Exterior skin</t>
  </si>
  <si>
    <t>Body &gt; Frame &gt; Body In White (With Paint) &gt; Upper body &gt; Roof assy &gt; Roof panel assy &gt; Exterior skin &gt; Part 01 main/front</t>
  </si>
  <si>
    <t>4.50000 kg</t>
  </si>
  <si>
    <t>5.625 kg</t>
  </si>
  <si>
    <t>Body &gt; Frame &gt; Body In White (With Paint) &gt; Upper body &gt; Roof assy &gt; Roof panel assy &gt; Exterior skin &gt; Part 01 main/front &gt; MANUFACTURING  PROCESS</t>
  </si>
  <si>
    <t>BIW - [Mechanical Prod] [Internal]</t>
  </si>
  <si>
    <t>Body &gt; Frame &gt; Body In White (With Paint) &gt; Upper body &gt; Roof assy &gt; Roof panel assy &gt; Frame assy</t>
  </si>
  <si>
    <t>Body &gt; Frame &gt; Body In White (With Paint) &gt; Upper body &gt; Roof assy &gt; Roof panel assy &gt; Frame assy &gt; Frame</t>
  </si>
  <si>
    <t>Body &gt; Frame &gt; Body In White (With Paint) &gt; Upper body &gt; Roof assy &gt; Roof panel assy &gt; Frame assy &gt; Frame &gt; Part 01 single/main</t>
  </si>
  <si>
    <t>1.1428571428571428571428571429 kg</t>
  </si>
  <si>
    <t>Body &gt; Frame &gt; Body In White (With Paint) &gt; Upper body &gt; Roof assy &gt; Roof panel assy &gt; Frame assy &gt; Frame &gt; Part 01 single/main &gt; MANUFACTURING  PROCESS</t>
  </si>
  <si>
    <t>Body &gt; Frame &gt; Body In White (With Paint) &gt; Upper body &gt; Cowl assy</t>
  </si>
  <si>
    <t>Body &gt; Frame &gt; Body In White (With Paint) &gt; Upper body &gt; Cowl assy &gt; Cowl member</t>
  </si>
  <si>
    <t>Body &gt; Frame &gt; Body In White (With Paint) &gt; Upper body &gt; Cowl assy &gt; Cowl member &gt; Member</t>
  </si>
  <si>
    <t>Body &gt; Frame &gt; Body In White (With Paint) &gt; Upper body &gt; Cowl assy &gt; Cowl member &gt; Member &gt; Part 01 single/main</t>
  </si>
  <si>
    <t>2.18000 kg</t>
  </si>
  <si>
    <t>2.9066666666666666666666666667 kg</t>
  </si>
  <si>
    <t>Body &gt; Frame &gt; Body In White (With Paint) &gt; Upper body &gt; Cowl assy &gt; Cowl member &gt; Member &gt; Part 01 single/main &gt; MANUFACTURING  PROCESS</t>
  </si>
  <si>
    <t>Body &gt; Frame &gt; Body In White (With Paint) &gt; Upper body &gt; Cowl assy &gt; Cowl member &gt; Reinforcements</t>
  </si>
  <si>
    <t>Body &gt; Frame &gt; Body In White (With Paint) &gt; Upper body &gt; Cowl assy &gt; Cowl member &gt; Reinforcements &gt; Part 01 single/main</t>
  </si>
  <si>
    <t>0.5230769230769230769230769231 kg</t>
  </si>
  <si>
    <t>Body &gt; Frame &gt; Body In White (With Paint) &gt; Upper body &gt; Cowl assy &gt; Cowl member &gt; Reinforcements &gt; Part 01 single/main &gt; MANUFACTURING  PROCESS</t>
  </si>
  <si>
    <t>Body &gt; Frame &gt; Body In White (With Paint) &gt; Upper body &gt; Cowl assy &gt; Cowl member &gt; Reinforcements &gt; Part 02</t>
  </si>
  <si>
    <t>0.23000 kg</t>
  </si>
  <si>
    <t>0.3285714285714285714285714286 kg</t>
  </si>
  <si>
    <t>Body &gt; Frame &gt; Body In White (With Paint) &gt; Upper body &gt; Cowl assy &gt; Cowl member &gt; Reinforcements &gt; Part 02 &gt; MANUFACTURING  PROCESS</t>
  </si>
  <si>
    <t>Body &gt; Frame &gt; Body In White (With Paint) &gt; Upper body &gt; Cowl assy &gt; Cowl member &gt; Fixing parts</t>
  </si>
  <si>
    <t>Body &gt; Frame &gt; Body In White (With Paint) &gt; Upper body &gt; Cowl assy &gt; Cowl member &gt; Fixing parts &gt; Part 01 single/main</t>
  </si>
  <si>
    <t>0.2 kg</t>
  </si>
  <si>
    <t>Body &gt; Frame &gt; Body In White (With Paint) &gt; Upper body &gt; Cowl assy &gt; Cowl member &gt; Fixing parts &gt; Part 01 single/main &gt; MANUFACTURING  PROCESS</t>
  </si>
  <si>
    <t>Body &gt; Frame &gt; Body In White (With Paint) &gt; Upper body &gt; Cowl assy &gt; Cowl member &gt; Fixing parts &gt; Part 02</t>
  </si>
  <si>
    <t>0.0714285714285714285714285714 kg</t>
  </si>
  <si>
    <t>Body &gt; Frame &gt; Body In White (With Paint) &gt; Upper body &gt; Cowl assy &gt; Cowl member &gt; Fixing parts &gt; Part 02 &gt; MANUFACTURING  PROCESS</t>
  </si>
  <si>
    <t>Body &gt; Frame &gt; Body In White (With Paint) &gt; Upper body &gt; Cowl assy &gt; Cowl member &gt; Fixing parts &gt; Part 03</t>
  </si>
  <si>
    <t>Body &gt; Frame &gt; Body In White (With Paint) &gt; Upper body &gt; Cowl assy &gt; Cowl member &gt; Fixing parts &gt; Part 03 &gt; MANUFACTURING  PROCESS</t>
  </si>
  <si>
    <t>Body &gt; Frame &gt; Body In White (With Paint) &gt; Upper body &gt; Cowl assy &gt; Cowl member &gt; Fixing parts &gt; Part 04</t>
  </si>
  <si>
    <t>0.0666666666666666666666666667 kg</t>
  </si>
  <si>
    <t>Body &gt; Frame &gt; Body In White (With Paint) &gt; Upper body &gt; Cowl assy &gt; Cowl member &gt; Fixing parts &gt; Part 04 &gt; MANUFACTURING  PROCESS</t>
  </si>
  <si>
    <t>Body &gt; Frame &gt; Body In White (With Paint) &gt; Upper body &gt; Cowl assy &gt; Cowl panel</t>
  </si>
  <si>
    <t>Body &gt; Frame &gt; Body In White (With Paint) &gt; Upper body &gt; Cowl assy &gt; Cowl panel &gt; Panel</t>
  </si>
  <si>
    <t>Body &gt; Frame &gt; Body In White (With Paint) &gt; Upper body &gt; Cowl assy &gt; Cowl panel &gt; Panel &gt; Part 01 single/main</t>
  </si>
  <si>
    <t>2.94000 kg</t>
  </si>
  <si>
    <t>4.9 kg</t>
  </si>
  <si>
    <t>Body &gt; Frame &gt; Body In White (With Paint) &gt; Upper body &gt; Cowl assy &gt; Cowl panel &gt; Panel &gt; Part 01 single/main &gt; MANUFACTURING  PROCESS</t>
  </si>
  <si>
    <t>Body &gt; Frame &gt; Body In White (With Paint) &gt; Upper body &gt; Cowl assy &gt; Cowl panel &gt; Reinforcements</t>
  </si>
  <si>
    <t>Body &gt; Frame &gt; Body In White (With Paint) &gt; Upper body &gt; Cowl assy &gt; Cowl panel &gt; Reinforcements &gt; Part 01 single/main</t>
  </si>
  <si>
    <t>0.93000 kg</t>
  </si>
  <si>
    <t>1.55 kg</t>
  </si>
  <si>
    <t>Body &gt; Frame &gt; Body In White (With Paint) &gt; Upper body &gt; Cowl assy &gt; Cowl panel &gt; Reinforcements &gt; Part 01 single/main &gt; MANUFACTURING  PROCESS</t>
  </si>
  <si>
    <t>Body &gt; Frame &gt; Body In White (With Paint) &gt; Upper body &gt; Cowl assy &gt; Cowl panel &gt; Fixing parts</t>
  </si>
  <si>
    <t>Body &gt; Frame &gt; Body In White (With Paint) &gt; Upper body &gt; Cowl assy &gt; Cowl panel &gt; Fixing parts &gt; Part 01 single/main</t>
  </si>
  <si>
    <t>0.0615384615384615384615384615 kg</t>
  </si>
  <si>
    <t>Body &gt; Frame &gt; Body In White (With Paint) &gt; Upper body &gt; Cowl assy &gt; Cowl panel &gt; Fixing parts &gt; Part 01 single/main &gt; MANUFACTURING  PROCESS</t>
  </si>
  <si>
    <t>Body &gt; Frame &gt; Body In White (With Paint) &gt; Upper body &gt; Cowl assy &gt; Cowl panel &gt; Fixing parts &gt; Part 02</t>
  </si>
  <si>
    <t>0.0307692307692307692307692308 kg</t>
  </si>
  <si>
    <t>Body &gt; Frame &gt; Body In White (With Paint) &gt; Upper body &gt; Cowl assy &gt; Cowl panel &gt; Fixing parts &gt; Part 02 &gt; MANUFACTURING  PROCESS</t>
  </si>
  <si>
    <t>Body &gt; Frame &gt; Body In White (With Paint) &gt; Upper body &gt; Cowl assy &gt; Other cross members</t>
  </si>
  <si>
    <t>Body &gt; Frame &gt; Body In White (With Paint) &gt; Upper body &gt; Cowl assy &gt; Other cross members &gt; Cross member 01 main upper</t>
  </si>
  <si>
    <t>Body &gt; Frame &gt; Body In White (With Paint) &gt; Upper body &gt; Cowl assy &gt; Other cross members &gt; Cross member 01 main upper &gt; Member</t>
  </si>
  <si>
    <t>Body &gt; Frame &gt; Body In White (With Paint) &gt; Upper body &gt; Cowl assy &gt; Other cross members &gt; Cross member 01 main upper &gt; Member &gt; Part 01 single/main</t>
  </si>
  <si>
    <t>0.60000 kg</t>
  </si>
  <si>
    <t>0.75 kg</t>
  </si>
  <si>
    <t>Body &gt; Frame &gt; Body In White (With Paint) &gt; Upper body &gt; Cowl assy &gt; Other cross members &gt; Cross member 01 main upper &gt; Member &gt; Part 01 single/main &gt; MANUFACTURING  PROCESS</t>
  </si>
  <si>
    <t>Body &gt; Frame &gt; Body In White (With Paint) &gt; Upper body &gt; Cowl assy &gt; Other cross members &gt; Cross member 01 main upper &gt; Gussets</t>
  </si>
  <si>
    <t>Body &gt; Frame &gt; Body In White (With Paint) &gt; Upper body &gt; Cowl assy &gt; Other cross members &gt; Cross member 01 main upper &gt; Gussets &gt; Part 01 single/main</t>
  </si>
  <si>
    <t>0.54000 kg</t>
  </si>
  <si>
    <t>0.9642857142857142857142857143 kg</t>
  </si>
  <si>
    <t>Body &gt; Frame &gt; Body In White (With Paint) &gt; Upper body &gt; Cowl assy &gt; Other cross members &gt; Cross member 01 main upper &gt; Gussets &gt; Part 01 single/main &gt; MANUFACTURING  PROCESS</t>
  </si>
  <si>
    <t>Body &gt; Frame &gt; Body In White (With Paint) &gt; Upper body &gt; Rear panel assy</t>
  </si>
  <si>
    <t>Body &gt; Frame &gt; Body In White (With Paint) &gt; Upper body &gt; Rear panel assy &gt; Outer panel</t>
  </si>
  <si>
    <t>Body &gt; Frame &gt; Body In White (With Paint) &gt; Upper body &gt; Rear panel assy &gt; Outer panel &gt; Part 01 single/main</t>
  </si>
  <si>
    <t>1.50000 kg</t>
  </si>
  <si>
    <t>2.1428571428571428571428571429 kg</t>
  </si>
  <si>
    <t>Body &gt; Frame &gt; Body In White (With Paint) &gt; Upper body &gt; Rear panel assy &gt; Outer panel &gt; Part 01 single/main &gt; MANUFACTURING  PROCESS</t>
  </si>
  <si>
    <t>Body &gt; Frame &gt; Body In White (With Paint) &gt; Upper body &gt; Rear panel assy &gt; Inner panel</t>
  </si>
  <si>
    <t>Body &gt; Frame &gt; Body In White (With Paint) &gt; Upper body &gt; Rear panel assy &gt; Inner panel &gt; Part 01 single/main</t>
  </si>
  <si>
    <t>3.70000 kg</t>
  </si>
  <si>
    <t>5.6923076923076923076923076923 kg</t>
  </si>
  <si>
    <t>Body &gt; Frame &gt; Body In White (With Paint) &gt; Upper body &gt; Rear panel assy &gt; Inner panel &gt; Part 01 single/main &gt; MANUFACTURING  PROCESS</t>
  </si>
  <si>
    <t>Body &gt; Frame &gt; Body In White (With Paint) &gt; Upper body &gt; Rear panel assy &gt; Reinforcements</t>
  </si>
  <si>
    <t>Body &gt; Frame &gt; Body In White (With Paint) &gt; Upper body &gt; Rear panel assy &gt; Reinforcements &gt; Part 01 single/main</t>
  </si>
  <si>
    <t>Body &gt; Frame &gt; Body In White (With Paint) &gt; Upper body &gt; Rear panel assy &gt; Reinforcements &gt; Part 01 single/main &gt; MANUFACTURING  PROCESS</t>
  </si>
  <si>
    <t>Body &gt; Frame &gt; Body In White (With Paint) &gt; Upper body &gt; Rear panel assy &gt; Reinforcements &gt; Part 02</t>
  </si>
  <si>
    <t>0.0333333333333333333333333333 kg</t>
  </si>
  <si>
    <t>Body &gt; Frame &gt; Body In White (With Paint) &gt; Upper body &gt; Rear panel assy &gt; Reinforcements &gt; Part 02 &gt; MANUFACTURING  PROCESS</t>
  </si>
  <si>
    <t>Body &gt; Frame &gt; Body In White (With Paint) &gt; Upper body &gt; Rear panel assy &gt; Spacers</t>
  </si>
  <si>
    <t>Body &gt; Frame &gt; Body In White (With Paint) &gt; Upper body &gt; Rear panel assy &gt; Spacers &gt; Part 01 single/main</t>
  </si>
  <si>
    <t>0.0923076923076923076923076923 kg</t>
  </si>
  <si>
    <t>Body &gt; Frame &gt; Body In White (With Paint) &gt; Upper body &gt; Rear panel assy &gt; Spacers &gt; Part 01 single/main &gt; MANUFACTURING  PROCESS</t>
  </si>
  <si>
    <t>Body &gt; Frame &gt; Body In White (With Paint) &gt; Upper body &gt; Rear panel assy &gt; Fixing parts</t>
  </si>
  <si>
    <t>Body &gt; Frame &gt; Body In White (With Paint) &gt; Upper body &gt; Rear panel assy &gt; Fixing parts &gt; Part 01 single/main</t>
  </si>
  <si>
    <t>0.0857142857142857142857142857 kg</t>
  </si>
  <si>
    <t>Body &gt; Frame &gt; Body In White (With Paint) &gt; Upper body &gt; Rear panel assy &gt; Fixing parts &gt; Part 01 single/main &gt; MANUFACTURING  PROCESS</t>
  </si>
  <si>
    <t>Body &gt; Frame &gt; Body In White (With Paint) &gt; Upper body &gt; Rear panel assy &gt; Fixing parts &gt; Part 02</t>
  </si>
  <si>
    <t>0.0222222222222222222222222222 kg</t>
  </si>
  <si>
    <t>Body &gt; Frame &gt; Body In White (With Paint) &gt; Upper body &gt; Rear panel assy &gt; Fixing parts &gt; Part 02 &gt; MANUFACTURING  PROCESS</t>
  </si>
  <si>
    <t>Body &gt; Frame &gt; Body In White (With Paint) &gt; Upper body &gt; Rear panel assy &gt; Fixing parts &gt; Part 03</t>
  </si>
  <si>
    <t>Body &gt; Frame &gt; Body In White (With Paint) &gt; Upper body &gt; Rear panel assy &gt; Fixing parts &gt; Part 03 &gt; MANUFACTURING  PROCESS</t>
  </si>
  <si>
    <t>Body &gt; Frame &gt; Body In White (With Paint) &gt; Upper body &gt; Rear panel assy &gt; Fixing parts &gt; Part 04</t>
  </si>
  <si>
    <t>Body &gt; Frame &gt; Body In White (With Paint) &gt; Upper body &gt; Rear panel assy &gt; Fixing parts &gt; Part 04 &gt; MANUFACTURING  PROCESS</t>
  </si>
  <si>
    <t>Body &gt; Frame &gt; Body In White (With Paint) &gt; Upper body &gt; Body side assy</t>
  </si>
  <si>
    <t>Body &gt; Frame &gt; Body In White (With Paint) &gt; Upper body &gt; Body side assy &gt; Outer skin assy</t>
  </si>
  <si>
    <t>Body &gt; Frame &gt; Body In White (With Paint) &gt; Upper body &gt; Body side assy &gt; Outer skin assy &gt; Outer skin</t>
  </si>
  <si>
    <t>Body &gt; Frame &gt; Body In White (With Paint) &gt; Upper body &gt; Body side assy &gt; Outer skin assy &gt; Outer skin &gt; Part 01 single/main/front</t>
  </si>
  <si>
    <t>14.57000 kg</t>
  </si>
  <si>
    <t>41.628571428571428571428571429 kg</t>
  </si>
  <si>
    <t>Body &gt; Frame &gt; Body In White (With Paint) &gt; Upper body &gt; Body side assy &gt; Outer skin assy &gt; Outer skin &gt; Part 01 single/main/front &gt; MANUFACTURING  PROCESS</t>
  </si>
  <si>
    <t>Body &gt; Frame &gt; Body In White (With Paint) &gt; Upper body &gt; Body side assy &gt; Outer skin assy &gt; Outer skin &gt; Part 02</t>
  </si>
  <si>
    <t>0.2166666666666666666666666667 kg</t>
  </si>
  <si>
    <t>Body &gt; Frame &gt; Body In White (With Paint) &gt; Upper body &gt; Body side assy &gt; Outer skin assy &gt; Outer skin &gt; Part 02 &gt; MANUFACTURING  PROCESS</t>
  </si>
  <si>
    <t>Body &gt; Frame &gt; Body In White (With Paint) &gt; Upper body &gt; Body side assy &gt; Outer skin assy &gt; Outer skin &gt;  Part 03</t>
  </si>
  <si>
    <t>Body &gt; Frame &gt; Body In White (With Paint) &gt; Upper body &gt; Body side assy &gt; Outer skin assy &gt; Outer skin &gt;  Part 03 &gt; MANUFACTURING  PROCESS</t>
  </si>
  <si>
    <t>Body &gt; Frame &gt; Body In White (With Paint) &gt; Upper body &gt; Body side assy &gt; Outer skin assy &gt; Outer skin &gt;  Part 04</t>
  </si>
  <si>
    <t>1.10000 kg</t>
  </si>
  <si>
    <t>1.8333333333333333333333333333 kg</t>
  </si>
  <si>
    <t>Body &gt; Frame &gt; Body In White (With Paint) &gt; Upper body &gt; Body side assy &gt; Outer skin assy &gt; Outer skin &gt;  Part 04 &gt; MANUFACTURING  PROCESS</t>
  </si>
  <si>
    <t>Body &gt; Frame &gt; Body In White (With Paint) &gt; Upper body &gt; Body side assy &gt; Outer skin assy &gt; Outer skin &gt; Part 05</t>
  </si>
  <si>
    <t>0.1666666666666666666666666667 kg</t>
  </si>
  <si>
    <t>Body &gt; Frame &gt; Body In White (With Paint) &gt; Upper body &gt; Body side assy &gt; Outer skin assy &gt; Outer skin &gt; Part 05 &gt; MANUFACTURING  PROCESS</t>
  </si>
  <si>
    <t>Body &gt; Frame &gt; Body In White (With Paint) &gt; Upper body &gt; Body side assy &gt; Outer skin assy &gt; Rear gutter area</t>
  </si>
  <si>
    <t>Body &gt; Frame &gt; Body In White (With Paint) &gt; Upper body &gt; Body side assy &gt; Outer skin assy &gt; Rear gutter area &gt;  Part 01 single/main/upper</t>
  </si>
  <si>
    <t>0.57000 kg</t>
  </si>
  <si>
    <t>0.8142857142857142857142857143 kg</t>
  </si>
  <si>
    <t>Body &gt; Frame &gt; Body In White (With Paint) &gt; Upper body &gt; Body side assy &gt; Outer skin assy &gt; Rear gutter area &gt;  Part 01 single/main/upper &gt; MANUFACTURING  PROCESS</t>
  </si>
  <si>
    <t>Body &gt; Frame &gt; Body In White (With Paint) &gt; Upper body &gt; Body side assy &gt; Outer skin assy &gt; Reinforcements</t>
  </si>
  <si>
    <t>Body &gt; Frame &gt; Body In White (With Paint) &gt; Upper body &gt; Body side assy &gt; Outer skin assy &gt; Reinforcements &gt;  Part 01 single/main</t>
  </si>
  <si>
    <t>Body &gt; Frame &gt; Body In White (With Paint) &gt; Upper body &gt; Body side assy &gt; Outer skin assy &gt; Reinforcements &gt;  Part 01 single/main &gt; MANUFACTURING  PROCESS</t>
  </si>
  <si>
    <t>Body &gt; Frame &gt; Body In White (With Paint) &gt; Upper body &gt; Body side assy &gt; Outer skin assy &gt; Reinforcements &gt; Part 02</t>
  </si>
  <si>
    <t>0.3538461538461538461538461538 kg</t>
  </si>
  <si>
    <t>Body &gt; Frame &gt; Body In White (With Paint) &gt; Upper body &gt; Body side assy &gt; Outer skin assy &gt; Reinforcements &gt; Part 02 &gt; MANUFACTURING  PROCESS</t>
  </si>
  <si>
    <t>Body &gt; Frame &gt; Body In White (With Paint) &gt; Upper body &gt; Body side assy &gt; Outer skin assy &gt; Reinforcements &gt;  Part 03</t>
  </si>
  <si>
    <t>Body &gt; Frame &gt; Body In White (With Paint) &gt; Upper body &gt; Body side assy &gt; Outer skin assy &gt; Reinforcements &gt;  Part 03 &gt; MANUFACTURING  PROCESS</t>
  </si>
  <si>
    <t>Body &gt; Frame &gt; Body In White (With Paint) &gt; Upper body &gt; Body side assy &gt; Outer skin assy &gt; Reinforcements &gt; Part 04</t>
  </si>
  <si>
    <t>0.1888888888888888888888888889 kg</t>
  </si>
  <si>
    <t>Body &gt; Frame &gt; Body In White (With Paint) &gt; Upper body &gt; Body side assy &gt; Outer skin assy &gt; Reinforcements &gt; Part 04 &gt; MANUFACTURING  PROCESS</t>
  </si>
  <si>
    <t>Body &gt; Frame &gt; Body In White (With Paint) &gt; Upper body &gt; Body side assy &gt; Outer skin assy &gt; Fixing parts</t>
  </si>
  <si>
    <t>Body &gt; Frame &gt; Body In White (With Paint) &gt; Upper body &gt; Body side assy &gt; Outer skin assy &gt; Fixing parts &gt; Part 01 single/main</t>
  </si>
  <si>
    <t>0.0909090909090909090909090909 kg</t>
  </si>
  <si>
    <t>Body &gt; Frame &gt; Body In White (With Paint) &gt; Upper body &gt; Body side assy &gt; Outer skin assy &gt; Fixing parts &gt; Part 01 single/main &gt; MANUFACTURING  PROCESS</t>
  </si>
  <si>
    <t>Body &gt; Frame &gt; Body In White (With Paint) &gt; Upper body &gt; Body side assy &gt; Outer skin assy &gt; Fixing parts &gt; Part 02</t>
  </si>
  <si>
    <t>Body &gt; Frame &gt; Body In White (With Paint) &gt; Upper body &gt; Body side assy &gt; Outer skin assy &gt; Fixing parts &gt; Part 02 &gt; MANUFACTURING  PROCESS</t>
  </si>
  <si>
    <t>Body &gt; Frame &gt; Body In White (With Paint) &gt; Upper body &gt; Body side assy &gt; Outer skin assy &gt; Fixing parts &gt;  Part 03</t>
  </si>
  <si>
    <t>0.0352941176470588235294117647 kg</t>
  </si>
  <si>
    <t>Body &gt; Frame &gt; Body In White (With Paint) &gt; Upper body &gt; Body side assy &gt; Outer skin assy &gt; Fixing parts &gt;  Part 03 &gt; MANUFACTURING  PROCESS</t>
  </si>
  <si>
    <t>Body &gt; Frame &gt; Body In White (With Paint) &gt; Upper body &gt; Body side assy &gt; Outer skin assy &gt; Fixing parts &gt; Part 04</t>
  </si>
  <si>
    <t>Body &gt; Frame &gt; Body In White (With Paint) &gt; Upper body &gt; Body side assy &gt; Outer skin assy &gt; Fixing parts &gt; Part 04 &gt; MANUFACTURING  PROCESS</t>
  </si>
  <si>
    <t>Body &gt; Frame &gt; Body In White (With Paint) &gt; Upper body &gt; Body side assy &gt; Outer skin assy &gt; Fixing parts &gt;  Part 05</t>
  </si>
  <si>
    <t>0.1846153846153846153846153846 kg</t>
  </si>
  <si>
    <t>Body &gt; Frame &gt; Body In White (With Paint) &gt; Upper body &gt; Body side assy &gt; Outer skin assy &gt; Fixing parts &gt;  Part 05 &gt; MANUFACTURING  PROCESS</t>
  </si>
  <si>
    <t>Body &gt; Frame &gt; Body In White (With Paint) &gt; Upper body &gt; Body side assy &gt; Outer skin assy &gt; Fixing parts &gt; Part 06</t>
  </si>
  <si>
    <t>0.0428571428571428571428571429 kg</t>
  </si>
  <si>
    <t>Body &gt; Frame &gt; Body In White (With Paint) &gt; Upper body &gt; Body side assy &gt; Outer skin assy &gt; Fixing parts &gt; Part 06 &gt; MANUFACTURING  PROCESS</t>
  </si>
  <si>
    <t>Body &gt; Frame &gt; Body In White (With Paint) &gt; Upper body &gt; Body side assy &gt; Roof bow assy</t>
  </si>
  <si>
    <t>Body &gt; Frame &gt; Body In White (With Paint) &gt; Upper body &gt; Body side assy &gt; Roof bow assy &gt; Frame</t>
  </si>
  <si>
    <t>Body &gt; Frame &gt; Body In White (With Paint) &gt; Upper body &gt; Body side assy &gt; Roof bow assy &gt; Frame &gt;  Part 01 single/main/front</t>
  </si>
  <si>
    <t>5.06000 kg</t>
  </si>
  <si>
    <t>12.65 kg</t>
  </si>
  <si>
    <t>Body &gt; Frame &gt; Body In White (With Paint) &gt; Upper body &gt; Body side assy &gt; Roof bow assy &gt; Frame &gt;  Part 01 single/main/front &gt; MANUFACTURING  PROCESS</t>
  </si>
  <si>
    <t>Body &gt; Frame &gt; Body In White (With Paint) &gt; Upper body &gt; Body side assy &gt; Roof bow assy &gt; Frame &gt;  Part 02</t>
  </si>
  <si>
    <t>1.04000 kg</t>
  </si>
  <si>
    <t>1.3866666666666666666666666667 kg</t>
  </si>
  <si>
    <t>Body &gt; Frame &gt; Body In White (With Paint) &gt; Upper body &gt; Body side assy &gt; Roof bow assy &gt; Frame &gt;  Part 02 &gt; MANUFACTURING  PROCESS</t>
  </si>
  <si>
    <t>Body &gt; Frame &gt; Body In White (With Paint) &gt; Upper body &gt; Body side assy &gt; Roof bow assy &gt; Inner skin</t>
  </si>
  <si>
    <t>Body &gt; Frame &gt; Body In White (With Paint) &gt; Upper body &gt; Body side assy &gt; Roof bow assy &gt; Inner skin &gt; Part 01 single/main/front</t>
  </si>
  <si>
    <t>2.48000 kg</t>
  </si>
  <si>
    <t>4.1333333333333333333333333333 kg</t>
  </si>
  <si>
    <t>Body &gt; Frame &gt; Body In White (With Paint) &gt; Upper body &gt; Body side assy &gt; Roof bow assy &gt; Inner skin &gt; Part 01 single/main/front &gt; MANUFACTURING  PROCESS</t>
  </si>
  <si>
    <t>Body &gt; Frame &gt; Body In White (With Paint) &gt; Upper body &gt; Body side assy &gt; Roof bow assy &gt; Reinforcements</t>
  </si>
  <si>
    <t>Body &gt; Frame &gt; Body In White (With Paint) &gt; Upper body &gt; Body side assy &gt; Roof bow assy &gt; Reinforcements &gt; Part 01 single/main</t>
  </si>
  <si>
    <t>0.79000 kg</t>
  </si>
  <si>
    <t>1.1285714285714285714285714286 kg</t>
  </si>
  <si>
    <t>Body &gt; Frame &gt; Body In White (With Paint) &gt; Upper body &gt; Body side assy &gt; Roof bow assy &gt; Reinforcements &gt; Part 01 single/main &gt; MANUFACTURING  PROCESS</t>
  </si>
  <si>
    <t>Body &gt; Frame &gt; Body In White (With Paint) &gt; Upper body &gt; Body side assy &gt; Roof bow assy &gt; Fixing parts</t>
  </si>
  <si>
    <t>Body &gt; Frame &gt; Body In White (With Paint) &gt; Upper body &gt; Body side assy &gt; Roof bow assy &gt; Fixing parts &gt; Part 01 single/main</t>
  </si>
  <si>
    <t>0.0875 kg</t>
  </si>
  <si>
    <t>Body &gt; Frame &gt; Body In White (With Paint) &gt; Upper body &gt; Body side assy &gt; Roof bow assy &gt; Fixing parts &gt; Part 01 single/main &gt; MANUFACTURING  PROCESS</t>
  </si>
  <si>
    <t>Body &gt; Frame &gt; Body In White (With Paint) &gt; Upper body &gt; Body side assy &gt; Roof bow assy &gt; Fixing parts &gt; Part 02</t>
  </si>
  <si>
    <t>Body &gt; Frame &gt; Body In White (With Paint) &gt; Upper body &gt; Body side assy &gt; Roof bow assy &gt; Fixing parts &gt; Part 02 &gt; MANUFACTURING  PROCESS</t>
  </si>
  <si>
    <t>Body &gt; Frame &gt; Body In White (With Paint) &gt; Upper body &gt; Body side assy &gt; Roof bow assy &gt; Fixing parts &gt; Part 03</t>
  </si>
  <si>
    <t>Body &gt; Frame &gt; Body In White (With Paint) &gt; Upper body &gt; Body side assy &gt; Roof bow assy &gt; Fixing parts &gt; Part 03 &gt; MANUFACTURING  PROCESS</t>
  </si>
  <si>
    <t>Body &gt; Frame &gt; Body In White (With Paint) &gt; Upper body &gt; Body side assy &gt; A pillar outer frame</t>
  </si>
  <si>
    <t>Body &gt; Frame &gt; Body In White (With Paint) &gt; Upper body &gt; Body side assy &gt; A pillar outer frame &gt; Frame</t>
  </si>
  <si>
    <t>Body &gt; Frame &gt; Body In White (With Paint) &gt; Upper body &gt; Body side assy &gt; A pillar outer frame &gt; Frame &gt; Part 01 single/main/upper</t>
  </si>
  <si>
    <t>3.04000 kg</t>
  </si>
  <si>
    <t>4.6769230769230769230769230769 kg</t>
  </si>
  <si>
    <t>Body &gt; Frame &gt; Body In White (With Paint) &gt; Upper body &gt; Body side assy &gt; A pillar outer frame &gt; Frame &gt; Part 01 single/main/upper &gt; MANUFACTURING  PROCESS</t>
  </si>
  <si>
    <t>Body &gt; Frame &gt; Body In White (With Paint) &gt; Upper body &gt; Body side assy &gt; A pillar outer frame &gt; Spacers</t>
  </si>
  <si>
    <t>Body &gt; Frame &gt; Body In White (With Paint) &gt; Upper body &gt; Body side assy &gt; A pillar outer frame &gt; Spacers &gt; Part 01 single/main</t>
  </si>
  <si>
    <t>0.9 kg</t>
  </si>
  <si>
    <t>Body &gt; Frame &gt; Body In White (With Paint) &gt; Upper body &gt; Body side assy &gt; A pillar outer frame &gt; Spacers &gt; Part 01 single/main &gt; MANUFACTURING  PROCESS</t>
  </si>
  <si>
    <t>Body &gt; Frame &gt; Body In White (With Paint) &gt; Upper body &gt; Body side assy &gt; A pillar outer frame &gt; Fixing parts</t>
  </si>
  <si>
    <t>Body &gt; Frame &gt; Body In White (With Paint) &gt; Upper body &gt; Body side assy &gt; A pillar outer frame &gt; Fixing parts &gt;  Part 01 single/main</t>
  </si>
  <si>
    <t>Body &gt; Frame &gt; Body In White (With Paint) &gt; Upper body &gt; Body side assy &gt; A pillar outer frame &gt; Fixing parts &gt;  Part 01 single/main &gt; MANUFACTURING  PROCESS</t>
  </si>
  <si>
    <t>Body &gt; Frame &gt; Body In White (With Paint) &gt; Upper body &gt; Body side assy &gt; A pillar outer frame &gt; Fixing parts &gt; Part 02</t>
  </si>
  <si>
    <t>0.61000 kg</t>
  </si>
  <si>
    <t>0.8714285714285714285714285714 kg</t>
  </si>
  <si>
    <t>Body &gt; Frame &gt; Body In White (With Paint) &gt; Upper body &gt; Body side assy &gt; A pillar outer frame &gt; Fixing parts &gt; Part 02 &gt; MANUFACTURING  PROCESS</t>
  </si>
  <si>
    <t>Body &gt; Frame &gt; Body In White (With Paint) &gt; Upper body &gt; Body side assy &gt; A pillar outer frame &gt; Fixing parts &gt; Part 03</t>
  </si>
  <si>
    <t>0.6857142857142857142857142857 kg</t>
  </si>
  <si>
    <t>Body &gt; Frame &gt; Body In White (With Paint) &gt; Upper body &gt; Body side assy &gt; A pillar outer frame &gt; Fixing parts &gt; Part 03 &gt; MANUFACTURING  PROCESS</t>
  </si>
  <si>
    <t>Body &gt; Frame &gt; Body In White (With Paint) &gt; Upper body &gt; Body side assy &gt; B pillar assy</t>
  </si>
  <si>
    <t>Body &gt; Frame &gt; Body In White (With Paint) &gt; Upper body &gt; Body side assy &gt; B pillar assy &gt; Frame</t>
  </si>
  <si>
    <t>Body &gt; Frame &gt; Body In White (With Paint) &gt; Upper body &gt; Body side assy &gt; B pillar assy &gt; Frame &gt; Part 01 single/main/upper</t>
  </si>
  <si>
    <t>6.05000 kg</t>
  </si>
  <si>
    <t>8.642857142857142857142857143 kg</t>
  </si>
  <si>
    <t>Body &gt; Frame &gt; Body In White (With Paint) &gt; Upper body &gt; Body side assy &gt; B pillar assy &gt; Frame &gt; Part 01 single/main/upper &gt; MANUFACTURING  PROCESS</t>
  </si>
  <si>
    <t>Body &gt; Frame &gt; Body In White (With Paint) &gt; Upper body &gt; Body side assy &gt; B pillar assy &gt; Inner skin</t>
  </si>
  <si>
    <t>Body &gt; Frame &gt; Body In White (With Paint) &gt; Upper body &gt; Body side assy &gt; B pillar assy &gt; Inner skin &gt; Part 01 single/main/front</t>
  </si>
  <si>
    <t>1.52000 kg</t>
  </si>
  <si>
    <t>2.5333333333333333333333333333 kg</t>
  </si>
  <si>
    <t>Body &gt; Frame &gt; Body In White (With Paint) &gt; Upper body &gt; Body side assy &gt; B pillar assy &gt; Inner skin &gt; Part 01 single/main/front &gt; MANUFACTURING  PROCESS</t>
  </si>
  <si>
    <t>Body &gt; Frame &gt; Body In White (With Paint) &gt; Upper body &gt; Body side assy &gt; B pillar assy &gt; Inner skin &gt; Part 02</t>
  </si>
  <si>
    <t>0.8333333333333333333333333333 kg</t>
  </si>
  <si>
    <t>Body &gt; Frame &gt; Body In White (With Paint) &gt; Upper body &gt; Body side assy &gt; B pillar assy &gt; Inner skin &gt; Part 02 &gt; MANUFACTURING  PROCESS</t>
  </si>
  <si>
    <t>Body &gt; Frame &gt; Body In White (With Paint) &gt; Upper body &gt; Body side assy &gt; B pillar assy &gt; Reinforcements</t>
  </si>
  <si>
    <t>Body &gt; Frame &gt; Body In White (With Paint) &gt; Upper body &gt; Body side assy &gt; B pillar assy &gt; Reinforcements &gt; Part 01 single/main</t>
  </si>
  <si>
    <t>0.31000 kg</t>
  </si>
  <si>
    <t>0.4133333333333333333333333333 kg</t>
  </si>
  <si>
    <t>Body &gt; Frame &gt; Body In White (With Paint) &gt; Upper body &gt; Body side assy &gt; B pillar assy &gt; Reinforcements &gt; Part 01 single/main &gt; MANUFACTURING  PROCESS</t>
  </si>
  <si>
    <t>Body &gt; Frame &gt; Body In White (With Paint) &gt; Upper body &gt; Body side assy &gt; B pillar assy &gt; Fixing parts</t>
  </si>
  <si>
    <t>Body &gt; Frame &gt; Body In White (With Paint) &gt; Upper body &gt; Body side assy &gt; B pillar assy &gt; Fixing parts &gt;  Part 01 single/main</t>
  </si>
  <si>
    <t>Body &gt; Frame &gt; Body In White (With Paint) &gt; Upper body &gt; Body side assy &gt; B pillar assy &gt; Fixing parts &gt;  Part 01 single/main &gt; MANUFACTURING  PROCESS</t>
  </si>
  <si>
    <t>Body &gt; Frame &gt; Body In White (With Paint) &gt; Upper body &gt; Body side assy &gt; B pillar assy &gt; Fixing parts &gt; Part 02</t>
  </si>
  <si>
    <t>Body &gt; Frame &gt; Body In White (With Paint) &gt; Upper body &gt; Body side assy &gt; B pillar assy &gt; Fixing parts &gt; Part 02 &gt; MANUFACTURING  PROCESS</t>
  </si>
  <si>
    <t>Body &gt; Frame &gt; Body In White (With Paint) &gt; Upper body &gt; Body side assy &gt; B pillar assy &gt; Fixing parts &gt; Part 03</t>
  </si>
  <si>
    <t>0.37000 kg</t>
  </si>
  <si>
    <t>0.4625 kg</t>
  </si>
  <si>
    <t>Body &gt; Frame &gt; Body In White (With Paint) &gt; Upper body &gt; Body side assy &gt; B pillar assy &gt; Fixing parts &gt; Part 03 &gt; MANUFACTURING  PROCESS</t>
  </si>
  <si>
    <t>Body &gt; Frame &gt; Body In White (With Paint) &gt; Upper body &gt; Body side assy &gt; B pillar assy &gt; Fixing parts &gt; Part 04</t>
  </si>
  <si>
    <t>0.25 kg</t>
  </si>
  <si>
    <t>Body &gt; Frame &gt; Body In White (With Paint) &gt; Upper body &gt; Body side assy &gt; B pillar assy &gt; Fixing parts &gt; Part 04 &gt; MANUFACTURING  PROCESS</t>
  </si>
  <si>
    <t>Body &gt; Frame &gt; Body In White (With Paint) &gt; Upper body &gt; Body side assy &gt; B pillar assy &gt; Fixing parts &gt; Part 05</t>
  </si>
  <si>
    <t>Body &gt; Frame &gt; Body In White (With Paint) &gt; Upper body &gt; Body side assy &gt; B pillar assy &gt; Fixing parts &gt; Part 05 &gt; MANUFACTURING  PROCESS</t>
  </si>
  <si>
    <t>Body &gt; Frame &gt; Body In White (With Paint) &gt; Upper body &gt; Body side assy &gt; C&amp;D pillar assy</t>
  </si>
  <si>
    <t>Body &gt; Frame &gt; Body In White (With Paint) &gt; Upper body &gt; Body side assy &gt; C&amp;D pillar assy &gt; Outer wheel shroud assy</t>
  </si>
  <si>
    <t>Body &gt; Frame &gt; Body In White (With Paint) &gt; Upper body &gt; Body side assy &gt; C&amp;D pillar assy &gt; Outer wheel shroud assy &gt; Part 01 single/main/upper</t>
  </si>
  <si>
    <t>2.09000 kg</t>
  </si>
  <si>
    <t>3.4833333333333333333333333333 kg</t>
  </si>
  <si>
    <t>Body &gt; Frame &gt; Body In White (With Paint) &gt; Upper body &gt; Body side assy &gt; C&amp;D pillar assy &gt; Outer wheel shroud assy &gt; Part 01 single/main/upper &gt; MANUFACTURING  PROCESS</t>
  </si>
  <si>
    <t>Body &gt; Frame &gt; Body In White (With Paint) &gt; Upper body &gt; Body side assy &gt; C&amp;D pillar assy &gt; Outer wheel shroud assy &gt; Part 02</t>
  </si>
  <si>
    <t>0.1384615384615384615384615385 kg</t>
  </si>
  <si>
    <t>Body &gt; Frame &gt; Body In White (With Paint) &gt; Upper body &gt; Body side assy &gt; C&amp;D pillar assy &gt; Outer wheel shroud assy &gt; Part 02 &gt; MANUFACTURING  PROCESS</t>
  </si>
  <si>
    <t>Body &gt; Frame &gt; Body In White (With Paint) &gt; Upper body &gt; Body side assy &gt; C&amp;D pillar assy &gt; Frame</t>
  </si>
  <si>
    <t>Body &gt; Frame &gt; Body In White (With Paint) &gt; Upper body &gt; Body side assy &gt; C&amp;D pillar assy &gt; Frame &gt; Part 01 single/main/upper</t>
  </si>
  <si>
    <t>0.83000 kg</t>
  </si>
  <si>
    <t>1.1857142857142857142857142857 kg</t>
  </si>
  <si>
    <t>Body &gt; Frame &gt; Body In White (With Paint) &gt; Upper body &gt; Body side assy &gt; C&amp;D pillar assy &gt; Frame &gt; Part 01 single/main/upper &gt; MANUFACTURING  PROCESS</t>
  </si>
  <si>
    <t>Body &gt; Frame &gt; Body In White (With Paint) &gt; Upper body &gt; Body side assy &gt; C&amp;D pillar assy &gt; Frame &gt; Part 03</t>
  </si>
  <si>
    <t>1.67000 kg</t>
  </si>
  <si>
    <t>2.7833333333333333333333333333 kg</t>
  </si>
  <si>
    <t>Body &gt; Frame &gt; Body In White (With Paint) &gt; Upper body &gt; Body side assy &gt; C&amp;D pillar assy &gt; Frame &gt; Part 03 &gt; MANUFACTURING  PROCESS</t>
  </si>
  <si>
    <t>Body &gt; Frame &gt; Body In White (With Paint) &gt; Upper body &gt; Body side assy &gt; C&amp;D pillar assy &gt; Inner skin</t>
  </si>
  <si>
    <t>Body &gt; Frame &gt; Body In White (With Paint) &gt; Upper body &gt; Body side assy &gt; C&amp;D pillar assy &gt; Inner skin &gt; Part 01 single/main/upper</t>
  </si>
  <si>
    <t>1.82000 kg</t>
  </si>
  <si>
    <t>3.3090909090909090909090909091 kg</t>
  </si>
  <si>
    <t>Body &gt; Frame &gt; Body In White (With Paint) &gt; Upper body &gt; Body side assy &gt; C&amp;D pillar assy &gt; Inner skin &gt; Part 01 single/main/upper &gt; MANUFACTURING  PROCESS</t>
  </si>
  <si>
    <t>Body &gt; Frame &gt; Body In White (With Paint) &gt; Upper body &gt; Body side assy &gt; C&amp;D pillar assy &gt; Inner skin &gt; Part 02</t>
  </si>
  <si>
    <t>0.82000 kg</t>
  </si>
  <si>
    <t>1.3666666666666666666666666667 kg</t>
  </si>
  <si>
    <t>Body &gt; Frame &gt; Body In White (With Paint) &gt; Upper body &gt; Body side assy &gt; C&amp;D pillar assy &gt; Inner skin &gt; Part 02 &gt; MANUFACTURING  PROCESS</t>
  </si>
  <si>
    <t>Body &gt; Frame &gt; Body In White (With Paint) &gt; Upper body &gt; Body side assy &gt; C&amp;D pillar assy &gt; Inner skin &gt;  Part 03</t>
  </si>
  <si>
    <t>0.58000 kg</t>
  </si>
  <si>
    <t>1.0545454545454545454545454545 kg</t>
  </si>
  <si>
    <t>Body &gt; Frame &gt; Body In White (With Paint) &gt; Upper body &gt; Body side assy &gt; C&amp;D pillar assy &gt; Inner skin &gt;  Part 03 &gt; MANUFACTURING  PROCESS</t>
  </si>
  <si>
    <t>Body &gt; Frame &gt; Body In White (With Paint) &gt; Upper body &gt; Body side assy &gt; C&amp;D pillar assy &gt; Inner skin &gt; Part 04</t>
  </si>
  <si>
    <t>0.4769230769230769230769230769 kg</t>
  </si>
  <si>
    <t>Body &gt; Frame &gt; Body In White (With Paint) &gt; Upper body &gt; Body side assy &gt; C&amp;D pillar assy &gt; Inner skin &gt; Part 04 &gt; MANUFACTURING  PROCESS</t>
  </si>
  <si>
    <t>Body &gt; Frame &gt; Body In White (With Paint) &gt; Upper body &gt; Body side assy &gt; C&amp;D pillar assy &gt; Reinforcements</t>
  </si>
  <si>
    <t>Body &gt; Frame &gt; Body In White (With Paint) &gt; Upper body &gt; Body side assy &gt; C&amp;D pillar assy &gt; Reinforcements &gt; Part 01 single/main</t>
  </si>
  <si>
    <t>0.4833333333333333333333333333 kg</t>
  </si>
  <si>
    <t>Body &gt; Frame &gt; Body In White (With Paint) &gt; Upper body &gt; Body side assy &gt; C&amp;D pillar assy &gt; Reinforcements &gt; Part 01 single/main &gt; MANUFACTURING  PROCESS</t>
  </si>
  <si>
    <t>Body &gt; Frame &gt; Body In White (With Paint) &gt; Upper body &gt; Body side assy &gt; C&amp;D pillar assy &gt; Spacers</t>
  </si>
  <si>
    <t>Body &gt; Frame &gt; Body In White (With Paint) &gt; Upper body &gt; Body side assy &gt; C&amp;D pillar assy &gt; Spacers &gt; Part 01 single/main</t>
  </si>
  <si>
    <t>0.1466666666666666666666666667 kg</t>
  </si>
  <si>
    <t>Body &gt; Frame &gt; Body In White (With Paint) &gt; Upper body &gt; Body side assy &gt; C&amp;D pillar assy &gt; Spacers &gt; Part 01 single/main &gt; MANUFACTURING  PROCESS</t>
  </si>
  <si>
    <t>Body &gt; Frame &gt; Body In White (With Paint) &gt; Upper body &gt; Body side assy &gt; C&amp;D pillar assy &gt; Fixing parts</t>
  </si>
  <si>
    <t>Body &gt; Frame &gt; Body In White (With Paint) &gt; Upper body &gt; Body side assy &gt; C&amp;D pillar assy &gt; Fixing parts &gt; Part 01 single/main</t>
  </si>
  <si>
    <t>0.76 kg</t>
  </si>
  <si>
    <t>Body &gt; Frame &gt; Body In White (With Paint) &gt; Upper body &gt; Body side assy &gt; C&amp;D pillar assy &gt; Fixing parts &gt; Part 01 single/main &gt; MANUFACTURING  PROCESS</t>
  </si>
  <si>
    <t>Body &gt; Frame &gt; Body In White (With Paint) &gt; Upper body &gt; Body side assy &gt; C&amp;D pillar assy &gt; Fixing parts &gt; Part 02</t>
  </si>
  <si>
    <t>0.0461538461538461538461538462 kg</t>
  </si>
  <si>
    <t>Body &gt; Frame &gt; Body In White (With Paint) &gt; Upper body &gt; Body side assy &gt; C&amp;D pillar assy &gt; Fixing parts &gt; Part 02 &gt; MANUFACTURING  PROCESS</t>
  </si>
  <si>
    <t>Body &gt; Frame &gt; Body In White (With Paint) &gt; Upper body &gt; Body side assy &gt; Outer shotgun assy</t>
  </si>
  <si>
    <t>Body &gt; Frame &gt; Body In White (With Paint) &gt; Upper body &gt; Body side assy &gt; Outer shotgun assy &gt; Frame</t>
  </si>
  <si>
    <t>Body &gt; Frame &gt; Body In White (With Paint) &gt; Upper body &gt; Body side assy &gt; Outer shotgun assy &gt; Frame &gt; Part 01 single/main/front</t>
  </si>
  <si>
    <t>1.57000 kg</t>
  </si>
  <si>
    <t>2.2428571428571428571428571429 kg</t>
  </si>
  <si>
    <t>Body &gt; Frame &gt; Body In White (With Paint) &gt; Upper body &gt; Body side assy &gt; Outer shotgun assy &gt; Frame &gt; Part 01 single/main/front &gt; MANUFACTURING  PROCESS</t>
  </si>
  <si>
    <t>Body &gt; Frame &gt; Body In White (With Paint) &gt; Upper body &gt; Body side assy &gt; Outer shotgun assy &gt; Fixing parts</t>
  </si>
  <si>
    <t>Body &gt; Frame &gt; Body In White (With Paint) &gt; Upper body &gt; Body side assy &gt; Outer shotgun assy &gt; Fixing parts &gt; Part 01 single/main</t>
  </si>
  <si>
    <t>0.6307692307692307692307692308 kg</t>
  </si>
  <si>
    <t>Body &gt; Frame &gt; Body In White (With Paint) &gt; Upper body &gt; Body side assy &gt; Outer shotgun assy &gt; Fixing parts &gt; Part 01 single/main &gt; MANUFACTURING  PROCESS</t>
  </si>
  <si>
    <t>Body &gt; Frame &gt; Body In White (With Paint) &gt; Upper body &gt; Body side assy &gt; Outer shotgun assy &gt; Fixing parts &gt; Part 02</t>
  </si>
  <si>
    <t>Body &gt; Frame &gt; Body In White (With Paint) &gt; Upper body &gt; Body side assy &gt; Outer shotgun assy &gt; Fixing parts &gt; Part 02 &gt; MANUFACTURING  PROCESS</t>
  </si>
  <si>
    <t>Body &gt; Frame &gt; Body In White (With Paint) &gt; Upper body &gt; Body side assy &gt; Rocker outer frame</t>
  </si>
  <si>
    <t>Body &gt; Frame &gt; Body In White (With Paint) &gt; Upper body &gt; Body side assy &gt; Rocker outer frame &gt; Frame</t>
  </si>
  <si>
    <t>Body &gt; Frame &gt; Body In White (With Paint) &gt; Upper body &gt; Body side assy &gt; Rocker outer frame &gt; Frame &gt; Part 01 single/main</t>
  </si>
  <si>
    <t>8.44000 kg</t>
  </si>
  <si>
    <t>10.55 kg</t>
  </si>
  <si>
    <t>Body &gt; Frame &gt; Body In White (With Paint) &gt; Upper body &gt; Body side assy &gt; Rocker outer frame &gt; Frame &gt; Part 01 single/main &gt; MANUFACTURING  PROCESS</t>
  </si>
  <si>
    <t>Body &gt; Frame &gt; Body In White (With Paint) &gt; Upper body &gt; Body side assy &gt; Rocker outer frame &gt; Frame &gt; Part 03 rear</t>
  </si>
  <si>
    <t>0.6769230769230769230769230769 kg</t>
  </si>
  <si>
    <t>Body &gt; Frame &gt; Body In White (With Paint) &gt; Upper body &gt; Body side assy &gt; Rocker outer frame &gt; Frame &gt; Part 03 rear &gt; MANUFACTURING  PROCESS</t>
  </si>
  <si>
    <t>Body &gt; Frame &gt; Body In White (With Paint) &gt; Upper body &gt; Body side assy &gt; Rocker outer frame &gt; Fixing parts</t>
  </si>
  <si>
    <t>Body &gt; Frame &gt; Body In White (With Paint) &gt; Upper body &gt; Body side assy &gt; Rocker outer frame &gt; Fixing parts &gt; Part 01 single/main</t>
  </si>
  <si>
    <t>0.28000 kg</t>
  </si>
  <si>
    <t>0.9333333333333333333333333333 kg</t>
  </si>
  <si>
    <t>Body &gt; Frame &gt; Body In White (With Paint) &gt; Upper body &gt; Body side assy &gt; Rocker outer frame &gt; Fixing parts &gt; Part 01 single/main &gt; MANUFACTURING  PROCESS</t>
  </si>
  <si>
    <t>Body &gt; Frame &gt; Body In White (With Paint) &gt; Upper body &gt; Body side assy &gt; Rocker outer frame &gt; Fixing parts &gt; Part 02</t>
  </si>
  <si>
    <t>Body &gt; Frame &gt; Body In White (With Paint) &gt; Upper body &gt; Body side assy &gt; Rocker outer frame &gt; Fixing parts &gt; Part 02 &gt; MANUFACTURING  PROCESS</t>
  </si>
  <si>
    <t>Body &gt; Frame &gt; Body In White (With Paint) &gt; Underbody</t>
  </si>
  <si>
    <t>Body &gt; Frame &gt; Body In White (With Paint) &gt; Underbody &gt; Front unit</t>
  </si>
  <si>
    <t>Body &gt; Frame &gt; Body In White (With Paint) &gt; Underbody &gt; Front unit &gt; Front wheel shroud assy</t>
  </si>
  <si>
    <t>Body &gt; Frame &gt; Body In White (With Paint) &gt; Underbody &gt; Front unit &gt; Front wheel shroud assy &gt; Inner shotgun assy</t>
  </si>
  <si>
    <t>Body &gt; Frame &gt; Body In White (With Paint) &gt; Underbody &gt; Front unit &gt; Front wheel shroud assy &gt; Inner shotgun assy &gt; Frame</t>
  </si>
  <si>
    <t>Body &gt; Frame &gt; Body In White (With Paint) &gt; Underbody &gt; Front unit &gt; Front wheel shroud assy &gt; Inner shotgun assy &gt; Frame &gt; Part 01 single/main/upper</t>
  </si>
  <si>
    <t>0.51000 kg</t>
  </si>
  <si>
    <t>0.85 kg</t>
  </si>
  <si>
    <t>Body &gt; Frame &gt; Body In White (With Paint) &gt; Underbody &gt; Front unit &gt; Front wheel shroud assy &gt; Inner shotgun assy &gt; Frame &gt; Part 01 single/main/upper &gt; MANUFACTURING  PROCESS</t>
  </si>
  <si>
    <t>Body &gt; Frame &gt; Body In White (With Paint) &gt; Underbody &gt; Front unit &gt; Front wheel shroud assy &gt; Shock absorber bowl assy</t>
  </si>
  <si>
    <t>Body &gt; Frame &gt; Body In White (With Paint) &gt; Underbody &gt; Front unit &gt; Front wheel shroud assy &gt; Shock absorber bowl assy &gt; Bowl</t>
  </si>
  <si>
    <t>Body &gt; Frame &gt; Body In White (With Paint) &gt; Underbody &gt; Front unit &gt; Front wheel shroud assy &gt; Shock absorber bowl assy &gt; Bowl &gt; Part 01 single/main</t>
  </si>
  <si>
    <t>1.93000 kg</t>
  </si>
  <si>
    <t>2.7571428571428571428571428571 kg</t>
  </si>
  <si>
    <t>Body &gt; Frame &gt; Body In White (With Paint) &gt; Underbody &gt; Front unit &gt; Front wheel shroud assy &gt; Shock absorber bowl assy &gt; Bowl &gt; Part 01 single/main &gt; MANUFACTURING  PROCESS</t>
  </si>
  <si>
    <t>Body &gt; Frame &gt; Body In White (With Paint) &gt; Underbody &gt; Front unit &gt; Front wheel shroud assy &gt; Wheel shroud assy</t>
  </si>
  <si>
    <t>Body &gt; Frame &gt; Body In White (With Paint) &gt; Underbody &gt; Front unit &gt; Front wheel shroud assy &gt; Wheel shroud assy &gt; Frame</t>
  </si>
  <si>
    <t>Body &gt; Frame &gt; Body In White (With Paint) &gt; Underbody &gt; Front unit &gt; Front wheel shroud assy &gt; Wheel shroud assy &gt; Frame &gt; Part 01 single/main/upper</t>
  </si>
  <si>
    <t>2.87000 kg</t>
  </si>
  <si>
    <t>4.1 kg</t>
  </si>
  <si>
    <t>Body &gt; Frame &gt; Body In White (With Paint) &gt; Underbody &gt; Front unit &gt; Front wheel shroud assy &gt; Wheel shroud assy &gt; Frame &gt; Part 01 single/main/upper &gt; MANUFACTURING  PROCESS</t>
  </si>
  <si>
    <t>Body &gt; Frame &gt; Body In White (With Paint) &gt; Underbody &gt; Front unit &gt; Front wheel shroud assy &gt; Wheel shroud assy &gt; Reinforcements</t>
  </si>
  <si>
    <t>Body &gt; Frame &gt; Body In White (With Paint) &gt; Underbody &gt; Front unit &gt; Front wheel shroud assy &gt; Wheel shroud assy &gt; Reinforcements &gt; Part 01 single/main</t>
  </si>
  <si>
    <t>1.6923076923076923076923076923 kg</t>
  </si>
  <si>
    <t>Body &gt; Frame &gt; Body In White (With Paint) &gt; Underbody &gt; Front unit &gt; Front wheel shroud assy &gt; Wheel shroud assy &gt; Reinforcements &gt; Part 01 single/main &gt; MANUFACTURING  PROCESS</t>
  </si>
  <si>
    <t>Body &gt; Frame &gt; Body In White (With Paint) &gt; Underbody &gt; Front unit &gt; Front wheel shroud assy &gt; Wheel shroud assy &gt; Reinforcements &gt; Part 02</t>
  </si>
  <si>
    <t>0.76000 kg</t>
  </si>
  <si>
    <t>0.95 kg</t>
  </si>
  <si>
    <t>Body &gt; Frame &gt; Body In White (With Paint) &gt; Underbody &gt; Front unit &gt; Front wheel shroud assy &gt; Wheel shroud assy &gt; Reinforcements &gt; Part 02 &gt; MANUFACTURING  PROCESS</t>
  </si>
  <si>
    <t>Body &gt; Frame &gt; Body In White (With Paint) &gt; Underbody &gt; Front unit &gt; Front wheel shroud assy &gt; Wheel shroud assy &gt; Fixing parts</t>
  </si>
  <si>
    <t>Body &gt; Frame &gt; Body In White (With Paint) &gt; Underbody &gt; Front unit &gt; Front wheel shroud assy &gt; Wheel shroud assy &gt; Fixing parts &gt;  Part 01 single/main</t>
  </si>
  <si>
    <t>0.4 kg</t>
  </si>
  <si>
    <t>Body &gt; Frame &gt; Body In White (With Paint) &gt; Underbody &gt; Front unit &gt; Front wheel shroud assy &gt; Wheel shroud assy &gt; Fixing parts &gt;  Part 01 single/main &gt; MANUFACTURING  PROCESS</t>
  </si>
  <si>
    <t>Body &gt; Frame &gt; Body In White (With Paint) &gt; Underbody &gt; Front unit &gt; Front side member assy</t>
  </si>
  <si>
    <t>Body &gt; Frame &gt; Body In White (With Paint) &gt; Underbody &gt; Front unit &gt; Front side member assy &gt; Frame</t>
  </si>
  <si>
    <t>Body &gt; Frame &gt; Body In White (With Paint) &gt; Underbody &gt; Front unit &gt; Front side member assy &gt; Frame &gt; Part 01 main/single/front</t>
  </si>
  <si>
    <t>1.96000 kg</t>
  </si>
  <si>
    <t>2.45 kg</t>
  </si>
  <si>
    <t>Body &gt; Frame &gt; Body In White (With Paint) &gt; Underbody &gt; Front unit &gt; Front side member assy &gt; Frame &gt; Part 01 main/single/front &gt; MANUFACTURING  PROCESS</t>
  </si>
  <si>
    <t>Body &gt; Frame &gt; Body In White (With Paint) &gt; Underbody &gt; Front unit &gt; Front side member assy &gt; Frame &gt; Part 02</t>
  </si>
  <si>
    <t>2.04000 kg</t>
  </si>
  <si>
    <t>2.9142857142857142857142857143 kg</t>
  </si>
  <si>
    <t>Body &gt; Frame &gt; Body In White (With Paint) &gt; Underbody &gt; Front unit &gt; Front side member assy &gt; Frame &gt; Part 02 &gt; MANUFACTURING  PROCESS</t>
  </si>
  <si>
    <t>Body &gt; Frame &gt; Body In White (With Paint) &gt; Underbody &gt; Front unit &gt; Front side member assy &gt; Frame &gt; Part 03</t>
  </si>
  <si>
    <t>4.9333333333333333333333333333 kg</t>
  </si>
  <si>
    <t>Body &gt; Frame &gt; Body In White (With Paint) &gt; Underbody &gt; Front unit &gt; Front side member assy &gt; Frame &gt; Part 03 &gt; MANUFACTURING  PROCESS</t>
  </si>
  <si>
    <t>Body &gt; Frame &gt; Body In White (With Paint) &gt; Underbody &gt; Front unit &gt; Front side member assy &gt; Frame &gt;  Part 04</t>
  </si>
  <si>
    <t>1.30000 kg</t>
  </si>
  <si>
    <t>1.625 kg</t>
  </si>
  <si>
    <t>Body &gt; Frame &gt; Body In White (With Paint) &gt; Underbody &gt; Front unit &gt; Front side member assy &gt; Frame &gt;  Part 04 &gt; MANUFACTURING  PROCESS</t>
  </si>
  <si>
    <t>Body &gt; Frame &gt; Body In White (With Paint) &gt; Underbody &gt; Front unit &gt; Front side member assy &gt; Frame &gt; Part 06</t>
  </si>
  <si>
    <t>1.1692307692307692307692307692 kg</t>
  </si>
  <si>
    <t>Body &gt; Frame &gt; Body In White (With Paint) &gt; Underbody &gt; Front unit &gt; Front side member assy &gt; Frame &gt; Part 06 &gt; MANUFACTURING  PROCESS</t>
  </si>
  <si>
    <t>Body &gt; Frame &gt; Body In White (With Paint) &gt; Underbody &gt; Front unit &gt; Front side member assy &gt; Frame &gt; Part 07</t>
  </si>
  <si>
    <t>3.02000 kg</t>
  </si>
  <si>
    <t>5.4909090909090909090909090909 kg</t>
  </si>
  <si>
    <t>Body &gt; Frame &gt; Body In White (With Paint) &gt; Underbody &gt; Front unit &gt; Front side member assy &gt; Frame &gt; Part 07 &gt; MANUFACTURING  PROCESS</t>
  </si>
  <si>
    <t>Body &gt; Frame &gt; Body In White (With Paint) &gt; Underbody &gt; Front unit &gt; Front side member assy &gt; Reinforcements</t>
  </si>
  <si>
    <t>Body &gt; Frame &gt; Body In White (With Paint) &gt; Underbody &gt; Front unit &gt; Front side member assy &gt; Reinforcements &gt; Part 01 single/main</t>
  </si>
  <si>
    <t>3.0333333333333333333333333333 kg</t>
  </si>
  <si>
    <t>Body &gt; Frame &gt; Body In White (With Paint) &gt; Underbody &gt; Front unit &gt; Front side member assy &gt; Reinforcements &gt; Part 01 single/main &gt; MANUFACTURING  PROCESS</t>
  </si>
  <si>
    <t>Body &gt; Frame &gt; Body In White (With Paint) &gt; Underbody &gt; Front unit &gt; Front side member assy &gt; Reinforcements &gt; Part 02</t>
  </si>
  <si>
    <t>Body &gt; Frame &gt; Body In White (With Paint) &gt; Underbody &gt; Front unit &gt; Front side member assy &gt; Reinforcements &gt; Part 02 &gt; MANUFACTURING  PROCESS</t>
  </si>
  <si>
    <t>Body &gt; Frame &gt; Body In White (With Paint) &gt; Underbody &gt; Front unit &gt; Front side member assy &gt; Reinforcements &gt; Part 03</t>
  </si>
  <si>
    <t>1.0833333333333333333333333333 kg</t>
  </si>
  <si>
    <t>Body &gt; Frame &gt; Body In White (With Paint) &gt; Underbody &gt; Front unit &gt; Front side member assy &gt; Reinforcements &gt; Part 03 &gt; MANUFACTURING  PROCESS</t>
  </si>
  <si>
    <t>Body &gt; Frame &gt; Body In White (With Paint) &gt; Underbody &gt; Front unit &gt; Front side member assy &gt; Reinforcements &gt;  Part 04</t>
  </si>
  <si>
    <t>1.75 kg</t>
  </si>
  <si>
    <t>Body &gt; Frame &gt; Body In White (With Paint) &gt; Underbody &gt; Front unit &gt; Front side member assy &gt; Reinforcements &gt;  Part 04 &gt; MANUFACTURING  PROCESS</t>
  </si>
  <si>
    <t>Body &gt; Frame &gt; Body In White (With Paint) &gt; Underbody &gt; Front unit &gt; Front side member assy &gt; Spacers</t>
  </si>
  <si>
    <t>Body &gt; Frame &gt; Body In White (With Paint) &gt; Underbody &gt; Front unit &gt; Front side member assy &gt; Spacers &gt; Part 01 single/main</t>
  </si>
  <si>
    <t>1.6857142857142857142857142857 kg</t>
  </si>
  <si>
    <t>Body &gt; Frame &gt; Body In White (With Paint) &gt; Underbody &gt; Front unit &gt; Front side member assy &gt; Spacers &gt; Part 01 single/main &gt; MANUFACTURING  PROCESS</t>
  </si>
  <si>
    <t>Body &gt; Frame &gt; Body In White (With Paint) &gt; Underbody &gt; Front unit &gt; Front side member assy &gt; Spacers &gt;  Part 02</t>
  </si>
  <si>
    <t>1.2333333333333333333333333333 kg</t>
  </si>
  <si>
    <t>Body &gt; Frame &gt; Body In White (With Paint) &gt; Underbody &gt; Front unit &gt; Front side member assy &gt; Spacers &gt;  Part 02 &gt; MANUFACTURING  PROCESS</t>
  </si>
  <si>
    <t>Body &gt; Frame &gt; Body In White (With Paint) &gt; Underbody &gt; Front unit &gt; Front side member assy &gt; Spacers &gt; Part 03</t>
  </si>
  <si>
    <t>0.3846153846153846153846153846 kg</t>
  </si>
  <si>
    <t>Body &gt; Frame &gt; Body In White (With Paint) &gt; Underbody &gt; Front unit &gt; Front side member assy &gt; Spacers &gt; Part 03 &gt; MANUFACTURING  PROCESS</t>
  </si>
  <si>
    <t>Body &gt; Frame &gt; Body In White (With Paint) &gt; Underbody &gt; Front unit &gt; Front side member assy &gt; Front end support 01</t>
  </si>
  <si>
    <t>Body &gt; Frame &gt; Body In White (With Paint) &gt; Underbody &gt; Front unit &gt; Front side member assy &gt; Front end support 01 &gt; Part 01 single/main</t>
  </si>
  <si>
    <t>0.68000 kg</t>
  </si>
  <si>
    <t>1.36 kg</t>
  </si>
  <si>
    <t>Body &gt; Frame &gt; Body In White (With Paint) &gt; Underbody &gt; Front unit &gt; Front side member assy &gt; Front end support 01 &gt; Part 01 single/main &gt; MANUFACTURING  PROCESS</t>
  </si>
  <si>
    <t>Body &gt; Frame &gt; Body In White (With Paint) &gt; Underbody &gt; Front unit &gt; Front side member assy &gt; Other fixing parts</t>
  </si>
  <si>
    <t>Body &gt; Frame &gt; Body In White (With Paint) &gt; Underbody &gt; Front unit &gt; Front side member assy &gt; Other fixing parts &gt; Part 01 single/main</t>
  </si>
  <si>
    <t>Body &gt; Frame &gt; Body In White (With Paint) &gt; Underbody &gt; Front unit &gt; Front side member assy &gt; Other fixing parts &gt; Part 01 single/main &gt; MANUFACTURING  PROCESS</t>
  </si>
  <si>
    <t>Body &gt; Frame &gt; Body In White (With Paint) &gt; Underbody &gt; Front unit &gt; Front side member assy &gt; Other fixing parts &gt; Part 02</t>
  </si>
  <si>
    <t>Body &gt; Frame &gt; Body In White (With Paint) &gt; Underbody &gt; Front unit &gt; Front side member assy &gt; Other fixing parts &gt; Part 02 &gt; MANUFACTURING  PROCESS</t>
  </si>
  <si>
    <t>Body &gt; Frame &gt; Body In White (With Paint) &gt; Underbody &gt; Front unit &gt; Front side member assy &gt; Other fixing parts &gt; Part 03</t>
  </si>
  <si>
    <t>Body &gt; Frame &gt; Body In White (With Paint) &gt; Underbody &gt; Front unit &gt; Front side member assy &gt; Other fixing parts &gt; Part 03 &gt; MANUFACTURING  PROCESS</t>
  </si>
  <si>
    <t>Body &gt; Frame &gt; Body In White (With Paint) &gt; Underbody &gt; Front unit &gt; Front side member assy &gt; Other fixing parts &gt; Part 04</t>
  </si>
  <si>
    <t>0.5272727272727272727272727273 kg</t>
  </si>
  <si>
    <t>Body &gt; Frame &gt; Body In White (With Paint) &gt; Underbody &gt; Front unit &gt; Front side member assy &gt; Other fixing parts &gt; Part 04 &gt; MANUFACTURING  PROCESS</t>
  </si>
  <si>
    <t>Body &gt; Frame &gt; Body In White (With Paint) &gt; Underbody &gt; Front unit &gt; Front side member assy &gt; Other fixing parts &gt; Part 05</t>
  </si>
  <si>
    <t>1.4666666666666666666666666667 kg</t>
  </si>
  <si>
    <t>Body &gt; Frame &gt; Body In White (With Paint) &gt; Underbody &gt; Front unit &gt; Front side member assy &gt; Other fixing parts &gt; Part 05 &gt; MANUFACTURING  PROCESS</t>
  </si>
  <si>
    <t>Body &gt; Frame &gt; Body In White (With Paint) &gt; Underbody &gt; Front unit &gt; Front side member assy &gt; Other fixing parts &gt; Part 06</t>
  </si>
  <si>
    <t>Body &gt; Frame &gt; Body In White (With Paint) &gt; Underbody &gt; Front unit &gt; Front side member assy &gt; Other fixing parts &gt; Part 06 &gt; MANUFACTURING  PROCESS</t>
  </si>
  <si>
    <t>Body &gt; Frame &gt; Body In White (With Paint) &gt; Underbody &gt; Front unit &gt; Front side member assy &gt; Other fixing parts &gt; Part 07</t>
  </si>
  <si>
    <t>Body &gt; Frame &gt; Body In White (With Paint) &gt; Underbody &gt; Front unit &gt; Front side member assy &gt; Other fixing parts &gt; Part 07 &gt; MANUFACTURING  PROCESS</t>
  </si>
  <si>
    <t>Body &gt; Frame &gt; Body In White (With Paint) &gt; Underbody &gt; Front unit &gt; Dash panel assy</t>
  </si>
  <si>
    <t>Body &gt; Frame &gt; Body In White (With Paint) &gt; Underbody &gt; Front unit &gt; Dash panel assy &gt; Dash panel</t>
  </si>
  <si>
    <t>Body &gt; Frame &gt; Body In White (With Paint) &gt; Underbody &gt; Front unit &gt; Dash panel assy &gt; Dash panel &gt; Part 01 single/main/upper</t>
  </si>
  <si>
    <t>2.68000 kg</t>
  </si>
  <si>
    <t>4.8727272727272727272727272727 kg</t>
  </si>
  <si>
    <t>Body &gt; Frame &gt; Body In White (With Paint) &gt; Underbody &gt; Front unit &gt; Dash panel assy &gt; Dash panel &gt; Part 01 single/main/upper &gt; MANUFACTURING  PROCESS</t>
  </si>
  <si>
    <t>Body &gt; Frame &gt; Body In White (With Paint) &gt; Underbody &gt; Front unit &gt; Dash panel assy &gt; Cross member assy</t>
  </si>
  <si>
    <t>Body &gt; Frame &gt; Body In White (With Paint) &gt; Underbody &gt; Front unit &gt; Dash panel assy &gt; Cross member assy &gt; Cross member</t>
  </si>
  <si>
    <t>Body &gt; Frame &gt; Body In White (With Paint) &gt; Underbody &gt; Front unit &gt; Dash panel assy &gt; Cross member assy &gt; Cross member &gt;  Part 01 single/main</t>
  </si>
  <si>
    <t>1.25 kg</t>
  </si>
  <si>
    <t>Body &gt; Frame &gt; Body In White (With Paint) &gt; Underbody &gt; Front unit &gt; Dash panel assy &gt; Cross member assy &gt; Cross member &gt;  Part 01 single/main &gt; MANUFACTURING  PROCESS</t>
  </si>
  <si>
    <t>Body &gt; Frame &gt; Body In White (With Paint) &gt; Underbody &gt; Front unit &gt; Dash panel assy &gt; Cross member assy &gt; Gussets</t>
  </si>
  <si>
    <t>Body &gt; Frame &gt; Body In White (With Paint) &gt; Underbody &gt; Front unit &gt; Dash panel assy &gt; Cross member assy &gt; Gussets &gt; Part 01 single/main</t>
  </si>
  <si>
    <t>Body &gt; Frame &gt; Body In White (With Paint) &gt; Underbody &gt; Front unit &gt; Dash panel assy &gt; Cross member assy &gt; Gussets &gt; Part 01 single/main &gt; MANUFACTURING  PROCESS</t>
  </si>
  <si>
    <t>Body &gt; Frame &gt; Body In White (With Paint) &gt; Underbody &gt; Front unit &gt; A pillar inner skin</t>
  </si>
  <si>
    <t>Body &gt; Frame &gt; Body In White (With Paint) &gt; Underbody &gt; Front unit &gt; A pillar inner skin &gt; Inner skin</t>
  </si>
  <si>
    <t>Body &gt; Frame &gt; Body In White (With Paint) &gt; Underbody &gt; Front unit &gt; A pillar inner skin &gt; Inner skin &gt; Part 01 single/main/front</t>
  </si>
  <si>
    <t>3.55 kg</t>
  </si>
  <si>
    <t>Body &gt; Frame &gt; Body In White (With Paint) &gt; Underbody &gt; Front unit &gt; A pillar inner skin &gt; Inner skin &gt; Part 01 single/main/front &gt; MANUFACTURING  PROCESS</t>
  </si>
  <si>
    <t>Body &gt; Frame &gt; Body In White (With Paint) &gt; Underbody &gt; Front unit &gt; A pillar inner skin &gt; Inner skin &gt;  Part 02</t>
  </si>
  <si>
    <t>1.20000 kg</t>
  </si>
  <si>
    <t>1.8461538461538461538461538462 kg</t>
  </si>
  <si>
    <t>Body &gt; Frame &gt; Body In White (With Paint) &gt; Underbody &gt; Front unit &gt; A pillar inner skin &gt; Inner skin &gt;  Part 02 &gt; MANUFACTURING  PROCESS</t>
  </si>
  <si>
    <t>Body &gt; Frame &gt; Body In White (With Paint) &gt; Underbody &gt; Front unit &gt; A pillar inner skin &gt; Fixing parts</t>
  </si>
  <si>
    <t>Body &gt; Frame &gt; Body In White (With Paint) &gt; Underbody &gt; Front unit &gt; A pillar inner skin &gt; Fixing parts &gt; Part 01 single/main</t>
  </si>
  <si>
    <t>1.3 kg</t>
  </si>
  <si>
    <t>Body &gt; Frame &gt; Body In White (With Paint) &gt; Underbody &gt; Front unit &gt; A pillar inner skin &gt; Fixing parts &gt; Part 01 single/main &gt; MANUFACTURING  PROCESS</t>
  </si>
  <si>
    <t>Body &gt; Frame &gt; Body In White (With Paint) &gt; Underbody &gt; Central unit</t>
  </si>
  <si>
    <t>Body &gt; Frame &gt; Body In White (With Paint) &gt; Underbody &gt; Central unit &gt; Floor panel</t>
  </si>
  <si>
    <t>Body &gt; Frame &gt; Body In White (With Paint) &gt; Underbody &gt; Central unit &gt; Floor panel &gt; Panel</t>
  </si>
  <si>
    <t>Body &gt; Frame &gt; Body In White (With Paint) &gt; Underbody &gt; Central unit &gt; Floor panel &gt; Panel &gt; Part 01 single/main/front</t>
  </si>
  <si>
    <t>11.44000 kg</t>
  </si>
  <si>
    <t>15.253333333333333333333333333 kg</t>
  </si>
  <si>
    <t>Body &gt; Frame &gt; Body In White (With Paint) &gt; Underbody &gt; Central unit &gt; Floor panel &gt; Panel &gt; Part 01 single/main/front &gt; MANUFACTURING  PROCESS</t>
  </si>
  <si>
    <t>Body &gt; Frame &gt; Body In White (With Paint) &gt; Underbody &gt; Central unit &gt; Floor panel &gt; Panel &gt;  Part 02</t>
  </si>
  <si>
    <t>3.68000 kg</t>
  </si>
  <si>
    <t>5.6615384615384615384615384615 kg</t>
  </si>
  <si>
    <t>Body &gt; Frame &gt; Body In White (With Paint) &gt; Underbody &gt; Central unit &gt; Floor panel &gt; Panel &gt;  Part 02 &gt; MANUFACTURING  PROCESS</t>
  </si>
  <si>
    <t>Body &gt; Frame &gt; Body In White (With Paint) &gt; Underbody &gt; Central unit &gt; Floor panel &gt; Panel &gt;  Part 03</t>
  </si>
  <si>
    <t>5.58000 kg</t>
  </si>
  <si>
    <t>8.584615384615384615384615385 kg</t>
  </si>
  <si>
    <t>Body &gt; Frame &gt; Body In White (With Paint) &gt; Underbody &gt; Central unit &gt; Floor panel &gt; Panel &gt;  Part 03 &gt; MANUFACTURING  PROCESS</t>
  </si>
  <si>
    <t>Body &gt; Frame &gt; Body In White (With Paint) &gt; Underbody &gt; Central unit &gt; Floor panel &gt; Reinforcements</t>
  </si>
  <si>
    <t>Body &gt; Frame &gt; Body In White (With Paint) &gt; Underbody &gt; Central unit &gt; Floor panel &gt; Reinforcements &gt; Part 01 single/main</t>
  </si>
  <si>
    <t>Body &gt; Frame &gt; Body In White (With Paint) &gt; Underbody &gt; Central unit &gt; Floor panel &gt; Reinforcements &gt; Part 01 single/main &gt; MANUFACTURING  PROCESS</t>
  </si>
  <si>
    <t>Body &gt; Frame &gt; Body In White (With Paint) &gt; Underbody &gt; Central unit &gt; Floor panel &gt; Fixing parts</t>
  </si>
  <si>
    <t>Body &gt; Frame &gt; Body In White (With Paint) &gt; Underbody &gt; Central unit &gt; Floor panel &gt; Fixing parts &gt;  Part 01 single/main</t>
  </si>
  <si>
    <t>0.0533333333333333333333333333 kg</t>
  </si>
  <si>
    <t>Body &gt; Frame &gt; Body In White (With Paint) &gt; Underbody &gt; Central unit &gt; Floor panel &gt; Fixing parts &gt;  Part 01 single/main &gt; MANUFACTURING  PROCESS</t>
  </si>
  <si>
    <t>Body &gt; Frame &gt; Body In White (With Paint) &gt; Underbody &gt; Central unit &gt; Tunnel assy</t>
  </si>
  <si>
    <t>Body &gt; Frame &gt; Body In White (With Paint) &gt; Underbody &gt; Central unit &gt; Tunnel assy &gt; Frame</t>
  </si>
  <si>
    <t>Body &gt; Frame &gt; Body In White (With Paint) &gt; Underbody &gt; Central unit &gt; Tunnel assy &gt; Frame &gt;  Part 01 single/main</t>
  </si>
  <si>
    <t>3.86000 kg</t>
  </si>
  <si>
    <t>5.1466666666666666666666666667 kg</t>
  </si>
  <si>
    <t>Body &gt; Frame &gt; Body In White (With Paint) &gt; Underbody &gt; Central unit &gt; Tunnel assy &gt; Frame &gt;  Part 01 single/main &gt; MANUFACTURING  PROCESS</t>
  </si>
  <si>
    <t>Body &gt; Frame &gt; Body In White (With Paint) &gt; Underbody &gt; Central unit &gt; Tunnel assy &gt; Reinforcements</t>
  </si>
  <si>
    <t>Body &gt; Frame &gt; Body In White (With Paint) &gt; Underbody &gt; Central unit &gt; Tunnel assy &gt; Reinforcements &gt; Part 01 single/main</t>
  </si>
  <si>
    <t>1.45000 kg</t>
  </si>
  <si>
    <t>2.0714285714285714285714285714 kg</t>
  </si>
  <si>
    <t>Body &gt; Frame &gt; Body In White (With Paint) &gt; Underbody &gt; Central unit &gt; Tunnel assy &gt; Reinforcements &gt; Part 01 single/main &gt; MANUFACTURING  PROCESS</t>
  </si>
  <si>
    <t>Body &gt; Frame &gt; Body In White (With Paint) &gt; Underbody &gt; Central unit &gt; Tunnel assy &gt; Fixing parts</t>
  </si>
  <si>
    <t>Body &gt; Frame &gt; Body In White (With Paint) &gt; Underbody &gt; Central unit &gt; Tunnel assy &gt; Fixing parts &gt; Part 01 single/main</t>
  </si>
  <si>
    <t>Body &gt; Frame &gt; Body In White (With Paint) &gt; Underbody &gt; Central unit &gt; Tunnel assy &gt; Fixing parts &gt; Part 01 single/main &gt; MANUFACTURING  PROCESS</t>
  </si>
  <si>
    <t>Body &gt; Frame &gt; Body In White (With Paint) &gt; Underbody &gt; Central unit &gt; Tunnel assy &gt; Fixing parts &gt; Part 02</t>
  </si>
  <si>
    <t>1.12 kg</t>
  </si>
  <si>
    <t>Body &gt; Frame &gt; Body In White (With Paint) &gt; Underbody &gt; Central unit &gt; Tunnel assy &gt; Fixing parts &gt; Part 02 &gt; MANUFACTURING  PROCESS</t>
  </si>
  <si>
    <t>Body &gt; Frame &gt; Body In White (With Paint) &gt; Underbody &gt; Central unit &gt; Tunnel assy &gt; Fixing parts &gt;  Part 03</t>
  </si>
  <si>
    <t>0.3090909090909090909090909091 kg</t>
  </si>
  <si>
    <t>Body &gt; Frame &gt; Body In White (With Paint) &gt; Underbody &gt; Central unit &gt; Tunnel assy &gt; Fixing parts &gt;  Part 03 &gt; MANUFACTURING  PROCESS</t>
  </si>
  <si>
    <t>Body &gt; Frame &gt; Body In White (With Paint) &gt; Underbody &gt; Central unit &gt; Front cross member</t>
  </si>
  <si>
    <t>Body &gt; Frame &gt; Body In White (With Paint) &gt; Underbody &gt; Central unit &gt; Front cross member &gt; Cross member</t>
  </si>
  <si>
    <t>Body &gt; Frame &gt; Body In White (With Paint) &gt; Underbody &gt; Central unit &gt; Front cross member &gt; Cross member &gt; Part 01 single/main</t>
  </si>
  <si>
    <t>5.70000 kg</t>
  </si>
  <si>
    <t>6.3333333333333333333333333333 kg</t>
  </si>
  <si>
    <t>Body &gt; Frame &gt; Body In White (With Paint) &gt; Underbody &gt; Central unit &gt; Front cross member &gt; Cross member &gt; Part 01 single/main &gt; MANUFACTURING  PROCESS</t>
  </si>
  <si>
    <t>Body &gt; Frame &gt; Body In White (With Paint) &gt; Underbody &gt; Central unit &gt; Front cross member &gt; Seat front left attachment</t>
  </si>
  <si>
    <t>Body &gt; Frame &gt; Body In White (With Paint) &gt; Underbody &gt; Central unit &gt; Front cross member &gt; Seat front left attachment &gt; Part 01 single/main</t>
  </si>
  <si>
    <t>Body &gt; Frame &gt; Body In White (With Paint) &gt; Underbody &gt; Central unit &gt; Front cross member &gt; Seat front left attachment &gt; Part 01 single/main &gt; MANUFACTURING  PROCESS</t>
  </si>
  <si>
    <t>Body &gt; Frame &gt; Body In White (With Paint) &gt; Underbody &gt; Central unit &gt; Front cross member &gt; Seat front left attachment &gt;  Part 02</t>
  </si>
  <si>
    <t>Body &gt; Frame &gt; Body In White (With Paint) &gt; Underbody &gt; Central unit &gt; Front cross member &gt; Seat front left attachment &gt;  Part 02 &gt; MANUFACTURING  PROCESS</t>
  </si>
  <si>
    <t>Body &gt; Frame &gt; Body In White (With Paint) &gt; Underbody &gt; Central unit &gt; Front cross member &gt; Seat front right attachment</t>
  </si>
  <si>
    <t>Body &gt; Frame &gt; Body In White (With Paint) &gt; Underbody &gt; Central unit &gt; Front cross member &gt; Seat front right attachment &gt; Part 01 single/main</t>
  </si>
  <si>
    <t>0.2769230769230769230769230769 kg</t>
  </si>
  <si>
    <t>Body &gt; Frame &gt; Body In White (With Paint) &gt; Underbody &gt; Central unit &gt; Front cross member &gt; Seat front right attachment &gt; Part 01 single/main &gt; MANUFACTURING  PROCESS</t>
  </si>
  <si>
    <t>Body &gt; Frame &gt; Body In White (With Paint) &gt; Underbody &gt; Central unit &gt; Front cross member &gt; Seat front right attachment &gt; Part 02</t>
  </si>
  <si>
    <t>Body &gt; Frame &gt; Body In White (With Paint) &gt; Underbody &gt; Central unit &gt; Front cross member &gt; Seat front right attachment &gt; Part 02 &gt; MANUFACTURING  PROCESS</t>
  </si>
  <si>
    <t>Body &gt; Frame &gt; Body In White (With Paint) &gt; Underbody &gt; Central unit &gt; Front cross member &gt; Other fixing parts</t>
  </si>
  <si>
    <t>Body &gt; Frame &gt; Body In White (With Paint) &gt; Underbody &gt; Central unit &gt; Front cross member &gt; Other fixing parts &gt; Part 01 single/main</t>
  </si>
  <si>
    <t>0.3692307692307692307692307692 kg</t>
  </si>
  <si>
    <t>Body &gt; Frame &gt; Body In White (With Paint) &gt; Underbody &gt; Central unit &gt; Front cross member &gt; Other fixing parts &gt; Part 01 single/main &gt; MANUFACTURING  PROCESS</t>
  </si>
  <si>
    <t>Body &gt; Frame &gt; Body In White (With Paint) &gt; Underbody &gt; Central unit &gt; Rear cross member</t>
  </si>
  <si>
    <t>Body &gt; Frame &gt; Body In White (With Paint) &gt; Underbody &gt; Central unit &gt; Rear cross member &gt; Cross member</t>
  </si>
  <si>
    <t>Body &gt; Frame &gt; Body In White (With Paint) &gt; Underbody &gt; Central unit &gt; Rear cross member &gt; Cross member &gt; Part 01 single/main</t>
  </si>
  <si>
    <t>4.78000 kg</t>
  </si>
  <si>
    <t>5.3111111111111111111111111111 kg</t>
  </si>
  <si>
    <t>Body &gt; Frame &gt; Body In White (With Paint) &gt; Underbody &gt; Central unit &gt; Rear cross member &gt; Cross member &gt; Part 01 single/main &gt; MANUFACTURING  PROCESS</t>
  </si>
  <si>
    <t>Body &gt; Frame &gt; Body In White (With Paint) &gt; Underbody &gt; Central unit &gt; Rear cross member &gt; Seat rear left attachment</t>
  </si>
  <si>
    <t>Body &gt; Frame &gt; Body In White (With Paint) &gt; Underbody &gt; Central unit &gt; Rear cross member &gt; Seat rear left attachment &gt; Part 01 single/main</t>
  </si>
  <si>
    <t>0.49000 kg</t>
  </si>
  <si>
    <t>0.8166666666666666666666666667 kg</t>
  </si>
  <si>
    <t>Body &gt; Frame &gt; Body In White (With Paint) &gt; Underbody &gt; Central unit &gt; Rear cross member &gt; Seat rear left attachment &gt; Part 01 single/main &gt; MANUFACTURING  PROCESS</t>
  </si>
  <si>
    <t>Body &gt; Frame &gt; Body In White (With Paint) &gt; Underbody &gt; Central unit &gt; Rear cross member &gt; Seat rear left attachment &gt; Part 02</t>
  </si>
  <si>
    <t>0.0833333333333333333333333333 kg</t>
  </si>
  <si>
    <t>Body &gt; Frame &gt; Body In White (With Paint) &gt; Underbody &gt; Central unit &gt; Rear cross member &gt; Seat rear left attachment &gt; Part 02 &gt; MANUFACTURING  PROCESS</t>
  </si>
  <si>
    <t>Body &gt; Frame &gt; Body In White (With Paint) &gt; Underbody &gt; Central unit &gt; Rear cross member &gt; Seat rear right attachment</t>
  </si>
  <si>
    <t>Body &gt; Frame &gt; Body In White (With Paint) &gt; Underbody &gt; Central unit &gt; Rear cross member &gt; Seat rear right attachment &gt; Part 01 single/main</t>
  </si>
  <si>
    <t>0.53000 kg</t>
  </si>
  <si>
    <t>1.325 kg</t>
  </si>
  <si>
    <t>Body &gt; Frame &gt; Body In White (With Paint) &gt; Underbody &gt; Central unit &gt; Rear cross member &gt; Seat rear right attachment &gt; Part 01 single/main &gt; MANUFACTURING  PROCESS</t>
  </si>
  <si>
    <t>Body &gt; Frame &gt; Body In White (With Paint) &gt; Underbody &gt; Central unit &gt; Rear cross member &gt; Seat rear right attachment &gt; Part 02</t>
  </si>
  <si>
    <t>2.2 kg</t>
  </si>
  <si>
    <t>Body &gt; Frame &gt; Body In White (With Paint) &gt; Underbody &gt; Central unit &gt; Rear cross member &gt; Seat rear right attachment &gt; Part 02 &gt; MANUFACTURING  PROCESS</t>
  </si>
  <si>
    <t>Body &gt; Frame &gt; Body In White (With Paint) &gt; Underbody &gt; Central unit &gt; Rear cross member &gt; Other fixing parts</t>
  </si>
  <si>
    <t>Body &gt; Frame &gt; Body In White (With Paint) &gt; Underbody &gt; Central unit &gt; Rear cross member &gt; Other fixing parts &gt;  Part 01 single/main</t>
  </si>
  <si>
    <t>Body &gt; Frame &gt; Body In White (With Paint) &gt; Underbody &gt; Central unit &gt; Rear cross member &gt; Other fixing parts &gt;  Part 01 single/main &gt; MANUFACTURING  PROCESS</t>
  </si>
  <si>
    <t>Body &gt; Frame &gt; Body In White (With Paint) &gt; Underbody &gt; Central unit &gt; Rear cross member &gt; Other fixing parts &gt;  Part 02</t>
  </si>
  <si>
    <t>Body &gt; Frame &gt; Body In White (With Paint) &gt; Underbody &gt; Central unit &gt; Rear cross member &gt; Other fixing parts &gt;  Part 02 &gt; MANUFACTURING  PROCESS</t>
  </si>
  <si>
    <t>Body &gt; Frame &gt; Body In White (With Paint) &gt; Underbody &gt; Central unit &gt; Rear cross member &gt; Other fixing parts &gt; Part 03</t>
  </si>
  <si>
    <t>0.96 kg</t>
  </si>
  <si>
    <t>Body &gt; Frame &gt; Body In White (With Paint) &gt; Underbody &gt; Central unit &gt; Rear cross member &gt; Other fixing parts &gt; Part 03 &gt; MANUFACTURING  PROCESS</t>
  </si>
  <si>
    <t>Body &gt; Frame &gt; Body In White (With Paint) &gt; Underbody &gt; Central unit &gt; Rocker inner frame</t>
  </si>
  <si>
    <t>Body &gt; Frame &gt; Body In White (With Paint) &gt; Underbody &gt; Central unit &gt; Rocker inner frame &gt; Frame</t>
  </si>
  <si>
    <t>Body &gt; Frame &gt; Body In White (With Paint) &gt; Underbody &gt; Central unit &gt; Rocker inner frame &gt; Frame &gt; Part 01 single/main</t>
  </si>
  <si>
    <t>5.49000 kg</t>
  </si>
  <si>
    <t>6.2386363636363636363636363636 kg</t>
  </si>
  <si>
    <t>Body &gt; Frame &gt; Body In White (With Paint) &gt; Underbody &gt; Central unit &gt; Rocker inner frame &gt; Frame &gt; Part 01 single/main &gt; MANUFACTURING  PROCESS</t>
  </si>
  <si>
    <t>Body &gt; Frame &gt; Body In White (With Paint) &gt; Underbody &gt; Central unit &gt; Rocker inner frame &gt; Frame &gt;  Part 02</t>
  </si>
  <si>
    <t>2.17000 kg</t>
  </si>
  <si>
    <t>3.1 kg</t>
  </si>
  <si>
    <t>Body &gt; Frame &gt; Body In White (With Paint) &gt; Underbody &gt; Central unit &gt; Rocker inner frame &gt; Frame &gt;  Part 02 &gt; MANUFACTURING  PROCESS</t>
  </si>
  <si>
    <t>Body &gt; Frame &gt; Body In White (With Paint) &gt; Underbody &gt; Central unit &gt; Rocker inner frame &gt; Frame &gt; Part 03</t>
  </si>
  <si>
    <t>3.36000 kg</t>
  </si>
  <si>
    <t>5.1692307692307692307692307692 kg</t>
  </si>
  <si>
    <t>Body &gt; Frame &gt; Body In White (With Paint) &gt; Underbody &gt; Central unit &gt; Rocker inner frame &gt; Frame &gt; Part 03 &gt; MANUFACTURING  PROCESS</t>
  </si>
  <si>
    <t>Body &gt; Frame &gt; Body In White (With Paint) &gt; Underbody &gt; Central unit &gt; Rocker inner frame &gt; Reinforcements</t>
  </si>
  <si>
    <t>Body &gt; Frame &gt; Body In White (With Paint) &gt; Underbody &gt; Central unit &gt; Rocker inner frame &gt; Reinforcements &gt; Part 01 single/main</t>
  </si>
  <si>
    <t>1.26000 kg</t>
  </si>
  <si>
    <t>2.2909090909090909090909090909 kg</t>
  </si>
  <si>
    <t>Body &gt; Frame &gt; Body In White (With Paint) &gt; Underbody &gt; Central unit &gt; Rocker inner frame &gt; Reinforcements &gt; Part 01 single/main &gt; MANUFACTURING  PROCESS</t>
  </si>
  <si>
    <t>Body &gt; Frame &gt; Body In White (With Paint) &gt; Underbody &gt; Central unit &gt; Rocker inner frame &gt; Reinforcements &gt; Part 02</t>
  </si>
  <si>
    <t>0.56 kg</t>
  </si>
  <si>
    <t>Body &gt; Frame &gt; Body In White (With Paint) &gt; Underbody &gt; Central unit &gt; Rocker inner frame &gt; Reinforcements &gt; Part 02 &gt; MANUFACTURING  PROCESS</t>
  </si>
  <si>
    <t>Body &gt; Frame &gt; Body In White (With Paint) &gt; Underbody &gt; Central unit &gt; Rocker inner frame &gt; Reinforcements &gt; Part 03</t>
  </si>
  <si>
    <t>16.75000 kg</t>
  </si>
  <si>
    <t>20.9375 kg</t>
  </si>
  <si>
    <t>Body &gt; Frame &gt; Body In White (With Paint) &gt; Underbody &gt; Central unit &gt; Rocker inner frame &gt; Reinforcements &gt; Part 03 &gt; MANUFACTURING  PROCESS</t>
  </si>
  <si>
    <t>Body &gt; Frame &gt; Body In White (With Paint) &gt; Underbody &gt; Central unit &gt; Rocker inner frame &gt; Reinforcements &gt; Part 04</t>
  </si>
  <si>
    <t>Body &gt; Frame &gt; Body In White (With Paint) &gt; Underbody &gt; Central unit &gt; Rocker inner frame &gt; Reinforcements &gt; Part 04 &gt; MANUFACTURING  PROCESS</t>
  </si>
  <si>
    <t>Body &gt; Frame &gt; Body In White (With Paint) &gt; Underbody &gt; Central unit &gt; Rocker inner frame &gt; Fixing parts</t>
  </si>
  <si>
    <t>Body &gt; Frame &gt; Body In White (With Paint) &gt; Underbody &gt; Central unit &gt; Rocker inner frame &gt; Fixing parts &gt; Part 01 single/main</t>
  </si>
  <si>
    <t>Body &gt; Frame &gt; Body In White (With Paint) &gt; Underbody &gt; Central unit &gt; Rocker inner frame &gt; Fixing parts &gt; Part 01 single/main &gt; MANUFACTURING  PROCESS</t>
  </si>
  <si>
    <t>Body &gt; Frame &gt; Body In White (With Paint) &gt; Underbody &gt; Central unit &gt; Rocker inner frame &gt; Fixing parts &gt; Part 02</t>
  </si>
  <si>
    <t>0.1692307692307692307692307692 kg</t>
  </si>
  <si>
    <t>Body &gt; Frame &gt; Body In White (With Paint) &gt; Underbody &gt; Central unit &gt; Rocker inner frame &gt; Fixing parts &gt; Part 02 &gt; MANUFACTURING  PROCESS</t>
  </si>
  <si>
    <t>Body &gt; Frame &gt; Body In White (With Paint) &gt; Underbody &gt; Central unit &gt; Rocker inner frame &gt; Fixing parts &gt;  Part 03</t>
  </si>
  <si>
    <t>Body &gt; Frame &gt; Body In White (With Paint) &gt; Underbody &gt; Central unit &gt; Rocker inner frame &gt; Fixing parts &gt;  Part 03 &gt; MANUFACTURING  PROCESS</t>
  </si>
  <si>
    <t>Body &gt; Frame &gt; Body In White (With Paint) &gt; Underbody &gt; Central unit &gt; Rocker inner frame &gt; Fixing parts &gt; Part 04</t>
  </si>
  <si>
    <t>0.05 kg</t>
  </si>
  <si>
    <t>Body &gt; Frame &gt; Body In White (With Paint) &gt; Underbody &gt; Central unit &gt; Rocker inner frame &gt; Fixing parts &gt; Part 04 &gt; MANUFACTURING  PROCESS</t>
  </si>
  <si>
    <t>Body &gt; Frame &gt; Body In White (With Paint) &gt; Underbody &gt; Central unit &gt; Rocker inner frame &gt; Fixing parts &gt;  Part 05</t>
  </si>
  <si>
    <t>Body &gt; Frame &gt; Body In White (With Paint) &gt; Underbody &gt; Central unit &gt; Rocker inner frame &gt; Fixing parts &gt;  Part 05 &gt; MANUFACTURING  PROCESS</t>
  </si>
  <si>
    <t>Body &gt; Frame &gt; Body In White (With Paint) &gt; Underbody &gt; Central unit &gt; Rocker inner frame &gt; Brackets</t>
  </si>
  <si>
    <t>Body &gt; Frame &gt; Body In White (With Paint) &gt; Underbody &gt; Central unit &gt; Rocker inner frame &gt; Brackets &gt; Part 01 single/main</t>
  </si>
  <si>
    <t>0.4857142857142857142857142857 kg</t>
  </si>
  <si>
    <t>Body &gt; Frame &gt; Body In White (With Paint) &gt; Underbody &gt; Central unit &gt; Rocker inner frame &gt; Brackets &gt; Part 01 single/main &gt; MANUFACTURING  PROCESS</t>
  </si>
  <si>
    <t>Body &gt; Frame &gt; Body In White (With Paint) &gt; Underbody &gt; Central unit &gt; Rocker inner frame &gt; Brackets &gt; Part 02</t>
  </si>
  <si>
    <t>0.4111111111111111111111111111 kg</t>
  </si>
  <si>
    <t>Body &gt; Frame &gt; Body In White (With Paint) &gt; Underbody &gt; Central unit &gt; Rocker inner frame &gt; Brackets &gt; Part 02 &gt; MANUFACTURING  PROCESS</t>
  </si>
  <si>
    <t>Body &gt; Frame &gt; Body In White (With Paint) &gt; Underbody &gt; Central unit &gt; Rocker inner frame &gt; Brackets &gt; Part 03</t>
  </si>
  <si>
    <t>0.1333333333333333333333333333 kg</t>
  </si>
  <si>
    <t>Body &gt; Frame &gt; Body In White (With Paint) &gt; Underbody &gt; Central unit &gt; Rocker inner frame &gt; Brackets &gt; Part 03 &gt; MANUFACTURING  PROCESS</t>
  </si>
  <si>
    <t>Body &gt; Frame &gt; Body In White (With Paint) &gt; Underbody &gt; Rear unit</t>
  </si>
  <si>
    <t>Body &gt; Frame &gt; Body In White (With Paint) &gt; Underbody &gt; Rear unit &gt; Inner wheel shroud assy</t>
  </si>
  <si>
    <t>Body &gt; Frame &gt; Body In White (With Paint) &gt; Underbody &gt; Rear unit &gt; Inner wheel shroud assy &gt; Frame</t>
  </si>
  <si>
    <t>Body &gt; Frame &gt; Body In White (With Paint) &gt; Underbody &gt; Rear unit &gt; Inner wheel shroud assy &gt; Frame &gt; Part 01 single/main</t>
  </si>
  <si>
    <t>2.25000 kg</t>
  </si>
  <si>
    <t>3.75 kg</t>
  </si>
  <si>
    <t>Body &gt; Frame &gt; Body In White (With Paint) &gt; Underbody &gt; Rear unit &gt; Inner wheel shroud assy &gt; Frame &gt; Part 01 single/main &gt; MANUFACTURING  PROCESS</t>
  </si>
  <si>
    <t>Body &gt; Frame &gt; Body In White (With Paint) &gt; Underbody &gt; Rear unit &gt; Inner wheel shroud assy &gt; Frame &gt; Part 02</t>
  </si>
  <si>
    <t>2.6125 kg</t>
  </si>
  <si>
    <t>Body &gt; Frame &gt; Body In White (With Paint) &gt; Underbody &gt; Rear unit &gt; Inner wheel shroud assy &gt; Frame &gt; Part 02 &gt; MANUFACTURING  PROCESS</t>
  </si>
  <si>
    <t>Body &gt; Frame &gt; Body In White (With Paint) &gt; Underbody &gt; Rear unit &gt; Inner wheel shroud assy &gt; Reinforcements</t>
  </si>
  <si>
    <t>Body &gt; Frame &gt; Body In White (With Paint) &gt; Underbody &gt; Rear unit &gt; Inner wheel shroud assy &gt; Reinforcements &gt;  Part 01 single/main</t>
  </si>
  <si>
    <t>0.85000 kg</t>
  </si>
  <si>
    <t>1.3076923076923076923076923077 kg</t>
  </si>
  <si>
    <t>Body &gt; Frame &gt; Body In White (With Paint) &gt; Underbody &gt; Rear unit &gt; Inner wheel shroud assy &gt; Reinforcements &gt;  Part 01 single/main &gt; MANUFACTURING  PROCESS</t>
  </si>
  <si>
    <t>Body &gt; Frame &gt; Body In White (With Paint) &gt; Underbody &gt; Rear unit &gt; Inner wheel shroud assy &gt; Reinforcements &gt; Part 02</t>
  </si>
  <si>
    <t>1.80000 kg</t>
  </si>
  <si>
    <t>2.5714285714285714285714285714 kg</t>
  </si>
  <si>
    <t>Body &gt; Frame &gt; Body In White (With Paint) &gt; Underbody &gt; Rear unit &gt; Inner wheel shroud assy &gt; Reinforcements &gt; Part 02 &gt; MANUFACTURING  PROCESS</t>
  </si>
  <si>
    <t>Body &gt; Frame &gt; Body In White (With Paint) &gt; Underbody &gt; Rear unit &gt; Inner wheel shroud assy &gt; Fixing parts</t>
  </si>
  <si>
    <t>Body &gt; Frame &gt; Body In White (With Paint) &gt; Underbody &gt; Rear unit &gt; Inner wheel shroud assy &gt; Fixing parts &gt;  Part 01 single/main</t>
  </si>
  <si>
    <t>0.3166666666666666666666666667 kg</t>
  </si>
  <si>
    <t>Body &gt; Frame &gt; Body In White (With Paint) &gt; Underbody &gt; Rear unit &gt; Inner wheel shroud assy &gt; Fixing parts &gt;  Part 01 single/main &gt; MANUFACTURING  PROCESS</t>
  </si>
  <si>
    <t>Body &gt; Frame &gt; Body In White (With Paint) &gt; Underbody &gt; Rear unit &gt; Inner wheel shroud assy &gt; Fixing parts &gt;  Part 02</t>
  </si>
  <si>
    <t>Body &gt; Frame &gt; Body In White (With Paint) &gt; Underbody &gt; Rear unit &gt; Inner wheel shroud assy &gt; Fixing parts &gt;  Part 02 &gt; MANUFACTURING  PROCESS</t>
  </si>
  <si>
    <t>Body &gt; Frame &gt; Body In White (With Paint) &gt; Underbody &gt; Rear unit &gt; Inner wheel shroud assy &gt; Fixing parts &gt;  Part 03</t>
  </si>
  <si>
    <t>0.0727272727272727272727272727 kg</t>
  </si>
  <si>
    <t>Body &gt; Frame &gt; Body In White (With Paint) &gt; Underbody &gt; Rear unit &gt; Inner wheel shroud assy &gt; Fixing parts &gt;  Part 03 &gt; MANUFACTURING  PROCESS</t>
  </si>
  <si>
    <t>Body &gt; Frame &gt; Body In White (With Paint) &gt; Underbody &gt; Rear unit &gt; Inner wheel shroud assy &gt; Fixing parts &gt;  Part 04</t>
  </si>
  <si>
    <t>Body &gt; Frame &gt; Body In White (With Paint) &gt; Underbody &gt; Rear unit &gt; Inner wheel shroud assy &gt; Fixing parts &gt;  Part 04 &gt; MANUFACTURING  PROCESS</t>
  </si>
  <si>
    <t>Body &gt; Frame &gt; Body In White (With Paint) &gt; Underbody &gt; Rear unit &gt; Inner wheel shroud assy &gt; Fixing parts &gt; Part 05</t>
  </si>
  <si>
    <t>Body &gt; Frame &gt; Body In White (With Paint) &gt; Underbody &gt; Rear unit &gt; Inner wheel shroud assy &gt; Fixing parts &gt; Part 05 &gt; MANUFACTURING  PROCESS</t>
  </si>
  <si>
    <t>Body &gt; Frame &gt; Body In White (With Paint) &gt; Underbody &gt; Rear unit &gt; Inner wheel shroud assy &gt; Fixing parts &gt; Part 06</t>
  </si>
  <si>
    <t>0.0571428571428571428571428571 kg</t>
  </si>
  <si>
    <t>Body &gt; Frame &gt; Body In White (With Paint) &gt; Underbody &gt; Rear unit &gt; Inner wheel shroud assy &gt; Fixing parts &gt; Part 06 &gt; MANUFACTURING  PROCESS</t>
  </si>
  <si>
    <t>Body &gt; Frame &gt; Body In White (With Paint) &gt; Underbody &gt; Rear unit &gt; Inner wheel shroud assy &gt; Fixing parts &gt;  Part 07</t>
  </si>
  <si>
    <t>Body &gt; Frame &gt; Body In White (With Paint) &gt; Underbody &gt; Rear unit &gt; Inner wheel shroud assy &gt; Fixing parts &gt;  Part 07 &gt; MANUFACTURING  PROCESS</t>
  </si>
  <si>
    <t>Body &gt; Frame &gt; Body In White (With Paint) &gt; Underbody &gt; Rear unit &gt; Inner wheel shroud assy &gt; Fixing parts &gt;  Part 08</t>
  </si>
  <si>
    <t>Body &gt; Frame &gt; Body In White (With Paint) &gt; Underbody &gt; Rear unit &gt; Inner wheel shroud assy &gt; Fixing parts &gt;  Part 08 &gt; MANUFACTURING  PROCESS</t>
  </si>
  <si>
    <t>Body &gt; Frame &gt; Body In White (With Paint) &gt; Underbody &gt; Rear unit &gt; Inner wheel shroud assy &gt; Fixing parts &gt;  Part 09</t>
  </si>
  <si>
    <t>2.0142857142857142857142857143 kg</t>
  </si>
  <si>
    <t>Body &gt; Frame &gt; Body In White (With Paint) &gt; Underbody &gt; Rear unit &gt; Inner wheel shroud assy &gt; Fixing parts &gt;  Part 09 &gt; MANUFACTURING  PROCESS</t>
  </si>
  <si>
    <t>Body &gt; Frame &gt; Body In White (With Paint) &gt; Underbody &gt; Rear unit &gt; Inner wheel shroud assy &gt; Fixing parts &gt;  Part 10</t>
  </si>
  <si>
    <t>Body &gt; Frame &gt; Body In White (With Paint) &gt; Underbody &gt; Rear unit &gt; Inner wheel shroud assy &gt; Fixing parts &gt;  Part 10 &gt; MANUFACTURING  PROCESS</t>
  </si>
  <si>
    <t>Body &gt; Frame &gt; Body In White (With Paint) &gt; Underbody &gt; Rear unit &gt; Inner wheel shroud assy &gt; Fixing parts &gt;  Part 11</t>
  </si>
  <si>
    <t>0.3076923076923076923076923077 kg</t>
  </si>
  <si>
    <t>Body &gt; Frame &gt; Body In White (With Paint) &gt; Underbody &gt; Rear unit &gt; Inner wheel shroud assy &gt; Fixing parts &gt;  Part 11 &gt; MANUFACTURING  PROCESS</t>
  </si>
  <si>
    <t>Body &gt; Frame &gt; Body In White (With Paint) &gt; Underbody &gt; Rear unit &gt; Inner wheel shroud assy &gt; Fixing parts &gt; Part 12</t>
  </si>
  <si>
    <t>Body &gt; Frame &gt; Body In White (With Paint) &gt; Underbody &gt; Rear unit &gt; Inner wheel shroud assy &gt; Fixing parts &gt; Part 12 &gt; MANUFACTURING  PROCESS</t>
  </si>
  <si>
    <t>Body &gt; Frame &gt; Body In White (With Paint) &gt; Underbody &gt; Rear unit &gt; Rear floor assy</t>
  </si>
  <si>
    <t>Body &gt; Frame &gt; Body In White (With Paint) &gt; Underbody &gt; Rear unit &gt; Rear floor assy &gt; Heel board</t>
  </si>
  <si>
    <t>Body &gt; Frame &gt; Body In White (With Paint) &gt; Underbody &gt; Rear unit &gt; Rear floor assy &gt; Heel board &gt; Frame</t>
  </si>
  <si>
    <t>Body &gt; Frame &gt; Body In White (With Paint) &gt; Underbody &gt; Rear unit &gt; Rear floor assy &gt; Heel board &gt; Frame &gt; Part 01 single/main</t>
  </si>
  <si>
    <t>3.22000 kg</t>
  </si>
  <si>
    <t>4.6 kg</t>
  </si>
  <si>
    <t>Body &gt; Frame &gt; Body In White (With Paint) &gt; Underbody &gt; Rear unit &gt; Rear floor assy &gt; Heel board &gt; Frame &gt; Part 01 single/main &gt; MANUFACTURING  PROCESS</t>
  </si>
  <si>
    <t>Body &gt; Frame &gt; Body In White (With Paint) &gt; Underbody &gt; Rear unit &gt; Rear floor assy &gt; Heel board &gt; Reinforcements</t>
  </si>
  <si>
    <t>Body &gt; Frame &gt; Body In White (With Paint) &gt; Underbody &gt; Rear unit &gt; Rear floor assy &gt; Heel board &gt; Reinforcements &gt; Part 01 single/main</t>
  </si>
  <si>
    <t>Body &gt; Frame &gt; Body In White (With Paint) &gt; Underbody &gt; Rear unit &gt; Rear floor assy &gt; Heel board &gt; Reinforcements &gt; Part 01 single/main &gt; MANUFACTURING  PROCESS</t>
  </si>
  <si>
    <t>Body &gt; Frame &gt; Body In White (With Paint) &gt; Underbody &gt; Rear unit &gt; Rear floor assy &gt; Heel board &gt; Reinforcements &gt; Part 02</t>
  </si>
  <si>
    <t>Body &gt; Frame &gt; Body In White (With Paint) &gt; Underbody &gt; Rear unit &gt; Rear floor assy &gt; Heel board &gt; Reinforcements &gt; Part 02 &gt; MANUFACTURING  PROCESS</t>
  </si>
  <si>
    <t>Body &gt; Frame &gt; Body In White (With Paint) &gt; Underbody &gt; Rear unit &gt; Rear floor assy &gt; Rear floor panel</t>
  </si>
  <si>
    <t>Body &gt; Frame &gt; Body In White (With Paint) &gt; Underbody &gt; Rear unit &gt; Rear floor assy &gt; Rear floor panel &gt; Panel</t>
  </si>
  <si>
    <t>Body &gt; Frame &gt; Body In White (With Paint) &gt; Underbody &gt; Rear unit &gt; Rear floor assy &gt; Rear floor panel &gt; Panel &gt; Part 01 single/main</t>
  </si>
  <si>
    <t>5.50000 kg</t>
  </si>
  <si>
    <t>7.3333333333333333333333333333 kg</t>
  </si>
  <si>
    <t>Body &gt; Frame &gt; Body In White (With Paint) &gt; Underbody &gt; Rear unit &gt; Rear floor assy &gt; Rear floor panel &gt; Panel &gt; Part 01 single/main &gt; MANUFACTURING  PROCESS</t>
  </si>
  <si>
    <t>Body &gt; Frame &gt; Body In White (With Paint) &gt; Underbody &gt; Rear unit &gt; Rear floor assy &gt; Rear floor panel &gt; Panel &gt; Part 02</t>
  </si>
  <si>
    <t>0.89000 kg</t>
  </si>
  <si>
    <t>1.3692307692307692307692307692 kg</t>
  </si>
  <si>
    <t>Body &gt; Frame &gt; Body In White (With Paint) &gt; Underbody &gt; Rear unit &gt; Rear floor assy &gt; Rear floor panel &gt; Panel &gt; Part 02 &gt; MANUFACTURING  PROCESS</t>
  </si>
  <si>
    <t>Body &gt; Frame &gt; Body In White (With Paint) &gt; Underbody &gt; Rear unit &gt; Rear floor assy &gt; Rear floor panel &gt; Panel &gt; Part 03</t>
  </si>
  <si>
    <t>4.06000 kg</t>
  </si>
  <si>
    <t>5.075 kg</t>
  </si>
  <si>
    <t>Body &gt; Frame &gt; Body In White (With Paint) &gt; Underbody &gt; Rear unit &gt; Rear floor assy &gt; Rear floor panel &gt; Panel &gt; Part 03 &gt; MANUFACTURING  PROCESS</t>
  </si>
  <si>
    <t>Body &gt; Frame &gt; Body In White (With Paint) &gt; Underbody &gt; Rear unit &gt; Rear floor assy &gt; Rear floor panel &gt; Reinforcements</t>
  </si>
  <si>
    <t>Body &gt; Frame &gt; Body In White (With Paint) &gt; Underbody &gt; Rear unit &gt; Rear floor assy &gt; Rear floor panel &gt; Reinforcements &gt;  Part 01 single/main</t>
  </si>
  <si>
    <t>0.2615384615384615384615384615 kg</t>
  </si>
  <si>
    <t>Body &gt; Frame &gt; Body In White (With Paint) &gt; Underbody &gt; Rear unit &gt; Rear floor assy &gt; Rear floor panel &gt; Reinforcements &gt;  Part 01 single/main &gt; MANUFACTURING  PROCESS</t>
  </si>
  <si>
    <t>Body &gt; Frame &gt; Body In White (With Paint) &gt; Underbody &gt; Rear unit &gt; Rear side member assy</t>
  </si>
  <si>
    <t>Body &gt; Frame &gt; Body In White (With Paint) &gt; Underbody &gt; Rear unit &gt; Rear side member assy &gt; Frame</t>
  </si>
  <si>
    <t>Body &gt; Frame &gt; Body In White (With Paint) &gt; Underbody &gt; Rear unit &gt; Rear side member assy &gt; Frame &gt; Part 01 single/main</t>
  </si>
  <si>
    <t>3.94000 kg</t>
  </si>
  <si>
    <t>6.0615384615384615384615384615 kg</t>
  </si>
  <si>
    <t>Body &gt; Frame &gt; Body In White (With Paint) &gt; Underbody &gt; Rear unit &gt; Rear side member assy &gt; Frame &gt; Part 01 single/main &gt; MANUFACTURING  PROCESS</t>
  </si>
  <si>
    <t>Body &gt; Frame &gt; Body In White (With Paint) &gt; Underbody &gt; Rear unit &gt; Rear side member assy &gt; Frame &gt; Part 03</t>
  </si>
  <si>
    <t>3.71000 kg</t>
  </si>
  <si>
    <t>5.7076923076923076923076923077 kg</t>
  </si>
  <si>
    <t>Body &gt; Frame &gt; Body In White (With Paint) &gt; Underbody &gt; Rear unit &gt; Rear side member assy &gt; Frame &gt; Part 03 &gt; MANUFACTURING  PROCESS</t>
  </si>
  <si>
    <t>Body &gt; Frame &gt; Body In White (With Paint) &gt; Underbody &gt; Rear unit &gt; Rear side member assy &gt; Frame &gt; Part 04</t>
  </si>
  <si>
    <t>0.73000 kg</t>
  </si>
  <si>
    <t>1.0428571428571428571428571429 kg</t>
  </si>
  <si>
    <t>Body &gt; Frame &gt; Body In White (With Paint) &gt; Underbody &gt; Rear unit &gt; Rear side member assy &gt; Frame &gt; Part 04 &gt; MANUFACTURING  PROCESS</t>
  </si>
  <si>
    <t>Body &gt; Frame &gt; Body In White (With Paint) &gt; Underbody &gt; Rear unit &gt; Rear side member assy &gt; Frame &gt;  Part 05</t>
  </si>
  <si>
    <t>2.00000 kg</t>
  </si>
  <si>
    <t>2.2222222222222222222222222222 kg</t>
  </si>
  <si>
    <t>Body &gt; Frame &gt; Body In White (With Paint) &gt; Underbody &gt; Rear unit &gt; Rear side member assy &gt; Frame &gt;  Part 05 &gt; MANUFACTURING  PROCESS</t>
  </si>
  <si>
    <t>Body &gt; Frame &gt; Body In White (With Paint) &gt; Underbody &gt; Rear unit &gt; Rear side member assy &gt; Reinforcements</t>
  </si>
  <si>
    <t>Body &gt; Frame &gt; Body In White (With Paint) &gt; Underbody &gt; Rear unit &gt; Rear side member assy &gt; Reinforcements &gt; Part 01 single/main</t>
  </si>
  <si>
    <t>1.1076923076923076923076923077 kg</t>
  </si>
  <si>
    <t>Body &gt; Frame &gt; Body In White (With Paint) &gt; Underbody &gt; Rear unit &gt; Rear side member assy &gt; Reinforcements &gt; Part 01 single/main &gt; MANUFACTURING  PROCESS</t>
  </si>
  <si>
    <t>Body &gt; Frame &gt; Body In White (With Paint) &gt; Underbody &gt; Rear unit &gt; Rear side member assy &gt; Reinforcements &gt;  Part 02</t>
  </si>
  <si>
    <t>1.5076923076923076923076923077 kg</t>
  </si>
  <si>
    <t>Body &gt; Frame &gt; Body In White (With Paint) &gt; Underbody &gt; Rear unit &gt; Rear side member assy &gt; Reinforcements &gt;  Part 02 &gt; MANUFACTURING  PROCESS</t>
  </si>
  <si>
    <t>Body &gt; Frame &gt; Body In White (With Paint) &gt; Underbody &gt; Rear unit &gt; Rear side member assy &gt; Reinforcements &gt; Part 03</t>
  </si>
  <si>
    <t>Body &gt; Frame &gt; Body In White (With Paint) &gt; Underbody &gt; Rear unit &gt; Rear side member assy &gt; Reinforcements &gt; Part 03 &gt; MANUFACTURING  PROCESS</t>
  </si>
  <si>
    <t>Body &gt; Frame &gt; Body In White (With Paint) &gt; Underbody &gt; Rear unit &gt; Rear side member assy &gt; Reinforcements &gt;  Part 04</t>
  </si>
  <si>
    <t>0.62000 kg</t>
  </si>
  <si>
    <t>0.9538461538461538461538461538 kg</t>
  </si>
  <si>
    <t>Body &gt; Frame &gt; Body In White (With Paint) &gt; Underbody &gt; Rear unit &gt; Rear side member assy &gt; Reinforcements &gt;  Part 04 &gt; MANUFACTURING  PROCESS</t>
  </si>
  <si>
    <t>Body &gt; Frame &gt; Body In White (With Paint) &gt; Underbody &gt; Rear unit &gt; Rear side member assy &gt; Reinforcements &gt;  Part 05</t>
  </si>
  <si>
    <t>0.1166666666666666666666666667 kg</t>
  </si>
  <si>
    <t>Body &gt; Frame &gt; Body In White (With Paint) &gt; Underbody &gt; Rear unit &gt; Rear side member assy &gt; Reinforcements &gt;  Part 05 &gt; MANUFACTURING  PROCESS</t>
  </si>
  <si>
    <t>Body &gt; Frame &gt; Body In White (With Paint) &gt; Underbody &gt; Rear unit &gt; Rear side member assy &gt; Reinforcements &gt;  Part 06</t>
  </si>
  <si>
    <t>1.0285714285714285714285714286 kg</t>
  </si>
  <si>
    <t>Body &gt; Frame &gt; Body In White (With Paint) &gt; Underbody &gt; Rear unit &gt; Rear side member assy &gt; Reinforcements &gt;  Part 06 &gt; MANUFACTURING  PROCESS</t>
  </si>
  <si>
    <t>Body &gt; Frame &gt; Body In White (With Paint) &gt; Underbody &gt; Rear unit &gt; Rear side member assy &gt; Reinforcements &gt;  Part 07</t>
  </si>
  <si>
    <t>0.5833333333333333333333333333 kg</t>
  </si>
  <si>
    <t>Body &gt; Frame &gt; Body In White (With Paint) &gt; Underbody &gt; Rear unit &gt; Rear side member assy &gt; Reinforcements &gt;  Part 07 &gt; MANUFACTURING  PROCESS</t>
  </si>
  <si>
    <t>Body &gt; Frame &gt; Body In White (With Paint) &gt; Underbody &gt; Rear unit &gt; Rear side member assy &gt; Spacers</t>
  </si>
  <si>
    <t>Body &gt; Frame &gt; Body In White (With Paint) &gt; Underbody &gt; Rear unit &gt; Rear side member assy &gt; Spacers &gt; Part 01 single/main</t>
  </si>
  <si>
    <t>Body &gt; Frame &gt; Body In White (With Paint) &gt; Underbody &gt; Rear unit &gt; Rear side member assy &gt; Spacers &gt; Part 01 single/main &gt; MANUFACTURING  PROCESS</t>
  </si>
  <si>
    <t>Body &gt; Frame &gt; Body In White (With Paint) &gt; Underbody &gt; Rear unit &gt; Rear side member assy &gt; Spacers &gt; Part 02</t>
  </si>
  <si>
    <t>0.2461538461538461538461538462 kg</t>
  </si>
  <si>
    <t>Body &gt; Frame &gt; Body In White (With Paint) &gt; Underbody &gt; Rear unit &gt; Rear side member assy &gt; Spacers &gt; Part 02 &gt; MANUFACTURING  PROCESS</t>
  </si>
  <si>
    <t>Body &gt; Frame &gt; Body In White (With Paint) &gt; Underbody &gt; Rear unit &gt; Rear side member assy &gt; Closures</t>
  </si>
  <si>
    <t>Body &gt; Frame &gt; Body In White (With Paint) &gt; Underbody &gt; Rear unit &gt; Rear side member assy &gt; Closures &gt; Part 01 single/main</t>
  </si>
  <si>
    <t>0.7272727272727272727272727273 kg</t>
  </si>
  <si>
    <t>Body &gt; Frame &gt; Body In White (With Paint) &gt; Underbody &gt; Rear unit &gt; Rear side member assy &gt; Closures &gt; Part 01 single/main &gt; MANUFACTURING  PROCESS</t>
  </si>
  <si>
    <t>Body &gt; Frame &gt; Body In White (With Paint) &gt; Underbody &gt; Rear unit &gt; Rear side member assy &gt; Closures &gt;  Part 02</t>
  </si>
  <si>
    <t>1.32000 kg</t>
  </si>
  <si>
    <t>1.76 kg</t>
  </si>
  <si>
    <t>Body &gt; Frame &gt; Body In White (With Paint) &gt; Underbody &gt; Rear unit &gt; Rear side member assy &gt; Closures &gt;  Part 02 &gt; MANUFACTURING  PROCESS</t>
  </si>
  <si>
    <t>Body &gt; Frame &gt; Body In White (With Paint) &gt; Underbody &gt; Rear unit &gt; Rear side member assy &gt; Closures &gt; Part 03</t>
  </si>
  <si>
    <t>0.2125 kg</t>
  </si>
  <si>
    <t>Body &gt; Frame &gt; Body In White (With Paint) &gt; Underbody &gt; Rear unit &gt; Rear side member assy &gt; Closures &gt; Part 03 &gt; MANUFACTURING  PROCESS</t>
  </si>
  <si>
    <t>Body &gt; Frame &gt; Body In White (With Paint) &gt; Underbody &gt; Rear unit &gt; Rear side member assy &gt; Fixing parts</t>
  </si>
  <si>
    <t>Body &gt; Frame &gt; Body In White (With Paint) &gt; Underbody &gt; Rear unit &gt; Rear side member assy &gt; Fixing parts &gt;  Part 01 single/main</t>
  </si>
  <si>
    <t>0.4310344827586206896551724138 kg</t>
  </si>
  <si>
    <t>Body &gt; Frame &gt; Body In White (With Paint) &gt; Underbody &gt; Rear unit &gt; Rear side member assy &gt; Fixing parts &gt;  Part 01 single/main &gt; MANUFACTURING  PROCESS</t>
  </si>
  <si>
    <t>Body &gt; Frame &gt; Body In White (With Paint) &gt; Underbody &gt; Rear unit &gt; Rear side member assy &gt; Fixing parts &gt;  Part 03</t>
  </si>
  <si>
    <t>0.5142857142857142857142857143 kg</t>
  </si>
  <si>
    <t>Body &gt; Frame &gt; Body In White (With Paint) &gt; Underbody &gt; Rear unit &gt; Rear side member assy &gt; Fixing parts &gt;  Part 03 &gt; MANUFACTURING  PROCESS</t>
  </si>
  <si>
    <t>Body &gt; Frame &gt; Body In White (With Paint) &gt; Underbody &gt; Rear unit &gt; Rear side member assy &gt; Fixing parts &gt;  Part 04</t>
  </si>
  <si>
    <t>0.69000 kg</t>
  </si>
  <si>
    <t>0.7666666666666666666666666667 kg</t>
  </si>
  <si>
    <t>Body &gt; Frame &gt; Body In White (With Paint) &gt; Underbody &gt; Rear unit &gt; Rear side member assy &gt; Fixing parts &gt;  Part 04 &gt; MANUFACTURING  PROCESS</t>
  </si>
  <si>
    <t>Body &gt; Frame &gt; Body In White (With Paint) &gt; Underbody &gt; Rear unit &gt; Rear side member assy &gt; Fixing parts &gt;  Part 05</t>
  </si>
  <si>
    <t>1.65000 kg</t>
  </si>
  <si>
    <t>2.5384615384615384615384615385 kg</t>
  </si>
  <si>
    <t>Body &gt; Frame &gt; Body In White (With Paint) &gt; Underbody &gt; Rear unit &gt; Rear side member assy &gt; Fixing parts &gt;  Part 05 &gt; MANUFACTURING  PROCESS</t>
  </si>
  <si>
    <t>Body &gt; Frame &gt; Body In White (With Paint) &gt; Underbody &gt; Rear unit &gt; Rear side member assy &gt; Fixing parts &gt; Part 06</t>
  </si>
  <si>
    <t>0.6714285714285714285714285714 kg</t>
  </si>
  <si>
    <t>Body &gt; Frame &gt; Body In White (With Paint) &gt; Underbody &gt; Rear unit &gt; Rear side member assy &gt; Fixing parts &gt; Part 06 &gt; MANUFACTURING  PROCESS</t>
  </si>
  <si>
    <t>Body &gt; Frame &gt; Body In White (With Paint) &gt; Underbody &gt; Rear unit &gt; Rear side member assy &gt; Fixing parts &gt;  Part 07</t>
  </si>
  <si>
    <t>Body &gt; Frame &gt; Body In White (With Paint) &gt; Underbody &gt; Rear unit &gt; Rear side member assy &gt; Fixing parts &gt;  Part 07 &gt; MANUFACTURING  PROCESS</t>
  </si>
  <si>
    <t>Body &gt; Frame &gt; Body In White (With Paint) &gt; Underbody &gt; Rear unit &gt; Rear side member assy &gt; Fixing parts &gt; Part 08</t>
  </si>
  <si>
    <t>Body &gt; Frame &gt; Body In White (With Paint) &gt; Underbody &gt; Rear unit &gt; Rear side member assy &gt; Fixing parts &gt; Part 08 &gt; MANUFACTURING  PROCESS</t>
  </si>
  <si>
    <t>Body &gt; Frame &gt; Body In White (With Paint) &gt; Underbody &gt; Rear unit &gt; Seat floor reinforcements</t>
  </si>
  <si>
    <t>Body &gt; Frame &gt; Body In White (With Paint) &gt; Underbody &gt; Rear unit &gt; Seat floor reinforcements &gt; Cross member 01 single main front</t>
  </si>
  <si>
    <t>Body &gt; Frame &gt; Body In White (With Paint) &gt; Underbody &gt; Rear unit &gt; Seat floor reinforcements &gt; Cross member 01 single main front &gt; Cross member</t>
  </si>
  <si>
    <t>Body &gt; Frame &gt; Body In White (With Paint) &gt; Underbody &gt; Rear unit &gt; Seat floor reinforcements &gt; Cross member 01 single main front &gt; Cross member &gt;  Part 01 single/main</t>
  </si>
  <si>
    <t>2.28000 kg</t>
  </si>
  <si>
    <t>2.85 kg</t>
  </si>
  <si>
    <t>Body &gt; Frame &gt; Body In White (With Paint) &gt; Underbody &gt; Rear unit &gt; Seat floor reinforcements &gt; Cross member 01 single main front &gt; Cross member &gt;  Part 01 single/main &gt; MANUFACTURING  PROCESS</t>
  </si>
  <si>
    <t>Body &gt; Frame &gt; Body In White (With Paint) &gt; Underbody &gt; Rear unit &gt; Seat floor reinforcements &gt; Cross member 01 single main front &gt; Fixing parts</t>
  </si>
  <si>
    <t>Body &gt; Frame &gt; Body In White (With Paint) &gt; Underbody &gt; Rear unit &gt; Seat floor reinforcements &gt; Cross member 01 single main front &gt; Fixing parts &gt;  Part 01 single/main</t>
  </si>
  <si>
    <t>Body &gt; Frame &gt; Body In White (With Paint) &gt; Underbody &gt; Rear unit &gt; Seat floor reinforcements &gt; Cross member 01 single main front &gt; Fixing parts &gt;  Part 01 single/main &gt; MANUFACTURING  PROCESS</t>
  </si>
  <si>
    <t>Body &gt; Frame &gt; Body In White (With Paint) &gt; Underbody &gt; Rear unit &gt; Seat floor reinforcements &gt; Cross member 01 single main front &gt; Fixing parts &gt;  Part 02</t>
  </si>
  <si>
    <t>Body &gt; Frame &gt; Body In White (With Paint) &gt; Underbody &gt; Rear unit &gt; Seat floor reinforcements &gt; Cross member 01 single main front &gt; Fixing parts &gt;  Part 02 &gt; MANUFACTURING  PROCESS</t>
  </si>
  <si>
    <t>Body &gt; Frame &gt; Body In White (With Paint) &gt; Underbody &gt; Rear unit &gt; Seat floor reinforcements &gt; Cross member 01 single main front &gt; Fixing parts &gt;  Part 03</t>
  </si>
  <si>
    <t>Body &gt; Frame &gt; Body In White (With Paint) &gt; Underbody &gt; Rear unit &gt; Seat floor reinforcements &gt; Cross member 01 single main front &gt; Fixing parts &gt;  Part 03 &gt; MANUFACTURING  PROCESS</t>
  </si>
  <si>
    <t>Body &gt; Frame &gt; Body In White (With Paint) &gt; Underbody &gt; Rear unit &gt; Seat floor reinforcements &gt; Cross member 01 single main front &gt; Fixing parts &gt; Part 04</t>
  </si>
  <si>
    <t>Body &gt; Frame &gt; Body In White (With Paint) &gt; Underbody &gt; Rear unit &gt; Seat floor reinforcements &gt; Cross member 01 single main front &gt; Fixing parts &gt; Part 04 &gt; MANUFACTURING  PROCESS</t>
  </si>
  <si>
    <t>Body &gt; Frame &gt; Body In White (With Paint) &gt; Underbody &gt; Rear unit &gt; Load floor reinforcements</t>
  </si>
  <si>
    <t>Body &gt; Frame &gt; Body In White (With Paint) &gt; Underbody &gt; Rear unit &gt; Load floor reinforcements &gt; Cross member 01 single main front</t>
  </si>
  <si>
    <t>Body &gt; Frame &gt; Body In White (With Paint) &gt; Underbody &gt; Rear unit &gt; Load floor reinforcements &gt; Cross member 01 single main front &gt; Cross member</t>
  </si>
  <si>
    <t>Body &gt; Frame &gt; Body In White (With Paint) &gt; Underbody &gt; Rear unit &gt; Load floor reinforcements &gt; Cross member 01 single main front &gt; Cross member &gt; Part 01 single/main</t>
  </si>
  <si>
    <t>2.22000 kg</t>
  </si>
  <si>
    <t>2.775 kg</t>
  </si>
  <si>
    <t>Body &gt; Frame &gt; Body In White (With Paint) &gt; Underbody &gt; Rear unit &gt; Load floor reinforcements &gt; Cross member 01 single main front &gt; Cross member &gt; Part 01 single/main &gt; MANUFACTURING  PROCESS</t>
  </si>
  <si>
    <t>Body &gt; Frame &gt; Body In White (With Paint) &gt; Underbody &gt; Rear unit &gt; Load floor reinforcements &gt; Cross member 01 single main front &gt; Gussets</t>
  </si>
  <si>
    <t>Body &gt; Frame &gt; Body In White (With Paint) &gt; Underbody &gt; Rear unit &gt; Load floor reinforcements &gt; Cross member 01 single main front &gt; Gussets &gt; Part 01 single/main</t>
  </si>
  <si>
    <t>2.03000 kg</t>
  </si>
  <si>
    <t>3.3833333333333333333333333333 kg</t>
  </si>
  <si>
    <t>Body &gt; Frame &gt; Body In White (With Paint) &gt; Underbody &gt; Rear unit &gt; Load floor reinforcements &gt; Cross member 01 single main front &gt; Gussets &gt; Part 01 single/main &gt; MANUFACTURING  PROCESS</t>
  </si>
  <si>
    <t>Body &gt; Frame &gt; Body In White (With Paint) &gt; Underbody &gt; Rear unit &gt; Load floor reinforcements &gt; Cross member 01 single main front &gt; Spacers</t>
  </si>
  <si>
    <t>Body &gt; Frame &gt; Body In White (With Paint) &gt; Underbody &gt; Rear unit &gt; Load floor reinforcements &gt; Cross member 01 single main front &gt; Spacers &gt; Part 01 single/main</t>
  </si>
  <si>
    <t>0.5866666666666666666666666667 kg</t>
  </si>
  <si>
    <t>Body &gt; Frame &gt; Body In White (With Paint) &gt; Underbody &gt; Rear unit &gt; Load floor reinforcements &gt; Cross member 01 single main front &gt; Spacers &gt; Part 01 single/main &gt; MANUFACTURING  PROCESS</t>
  </si>
  <si>
    <t>Body &gt; Frame &gt; Body In White (With Paint) &gt; Underbody &gt; Rear unit &gt; Load floor reinforcements &gt; Cross member 01 single main front &gt; Spacers &gt;  Part 02</t>
  </si>
  <si>
    <t>Body &gt; Frame &gt; Body In White (With Paint) &gt; Underbody &gt; Rear unit &gt; Load floor reinforcements &gt; Cross member 01 single main front &gt; Spacers &gt;  Part 02 &gt; MANUFACTURING  PROCESS</t>
  </si>
  <si>
    <t>Body &gt; Frame &gt; Body In White (With Paint) &gt; Underbody &gt; Rear unit &gt; Load floor reinforcements &gt; Cross member 02</t>
  </si>
  <si>
    <t>Body &gt; Frame &gt; Body In White (With Paint) &gt; Underbody &gt; Rear unit &gt; Load floor reinforcements &gt; Cross member 02 &gt; Cross member</t>
  </si>
  <si>
    <t>Body &gt; Frame &gt; Body In White (With Paint) &gt; Underbody &gt; Rear unit &gt; Load floor reinforcements &gt; Cross member 02 &gt; Cross member &gt; Part 01 single/main</t>
  </si>
  <si>
    <t>2.42000 kg</t>
  </si>
  <si>
    <t>2.6888888888888888888888888889 kg</t>
  </si>
  <si>
    <t>Body &gt; Frame &gt; Body In White (With Paint) &gt; Underbody &gt; Rear unit &gt; Load floor reinforcements &gt; Cross member 02 &gt; Cross member &gt; Part 01 single/main &gt; MANUFACTURING  PROCESS</t>
  </si>
  <si>
    <t>Body &gt; Frame &gt; Body In White (With Paint) &gt; Underbody &gt; Rear unit &gt; Load floor reinforcements &gt; Cross member 02 &gt; Gussets</t>
  </si>
  <si>
    <t>Body &gt; Frame &gt; Body In White (With Paint) &gt; Underbody &gt; Rear unit &gt; Load floor reinforcements &gt; Cross member 02 &gt; Gussets &gt; Part 01 single/main</t>
  </si>
  <si>
    <t>0.2444444444444444444444444444 kg</t>
  </si>
  <si>
    <t>Body &gt; Frame &gt; Body In White (With Paint) &gt; Underbody &gt; Rear unit &gt; Load floor reinforcements &gt; Cross member 02 &gt; Gussets &gt; Part 01 single/main &gt; MANUFACTURING  PROCESS</t>
  </si>
  <si>
    <t>Body &gt; Frame &gt; Body In White (With Paint) &gt; Underbody &gt; Rear unit &gt; Load floor reinforcements &gt; Cross member 02 &gt; Fixing parts</t>
  </si>
  <si>
    <t>Body &gt; Frame &gt; Body In White (With Paint) &gt; Underbody &gt; Rear unit &gt; Load floor reinforcements &gt; Cross member 02 &gt; Fixing parts &gt;  Part 01 single/main</t>
  </si>
  <si>
    <t>0.86000 kg</t>
  </si>
  <si>
    <t>1.2285714285714285714285714286 kg</t>
  </si>
  <si>
    <t>Body &gt; Frame &gt; Body In White (With Paint) &gt; Underbody &gt; Rear unit &gt; Load floor reinforcements &gt; Cross member 02 &gt; Fixing parts &gt;  Part 01 single/main &gt; MANUFACTURING  PROCESS</t>
  </si>
  <si>
    <t>Body &gt; Frame &gt; Body In White (With Paint) &gt; Underbody &gt; Rear unit &gt; Load floor reinforcements &gt; Cross member 02 &gt; Fixing parts &gt;  Part 02</t>
  </si>
  <si>
    <t>0.3666666666666666666666666667 kg</t>
  </si>
  <si>
    <t>Body &gt; Frame &gt; Body In White (With Paint) &gt; Underbody &gt; Rear unit &gt; Load floor reinforcements &gt; Cross member 02 &gt; Fixing parts &gt;  Part 02 &gt; MANUFACTURING  PROCESS</t>
  </si>
  <si>
    <t>Body &gt; Frame &gt; Body In White (With Paint) &gt; Underbody &gt; Rear unit &gt; Load floor reinforcements &gt; Cross member 02 &gt; Fixing parts &gt;  Part 03</t>
  </si>
  <si>
    <t>Body &gt; Frame &gt; Body In White (With Paint) &gt; Underbody &gt; Rear unit &gt; Load floor reinforcements &gt; Cross member 02 &gt; Fixing parts &gt;  Part 03 &gt; MANUFACTURING  PROCESS</t>
  </si>
  <si>
    <t>Body &gt; Frame &gt; Body In White (With Paint) &gt; Underbody &gt; Rear unit &gt; Load floor reinforcements &gt; Cross member 02 &gt; Fixing parts &gt;  Part 04</t>
  </si>
  <si>
    <t>Body &gt; Frame &gt; Body In White (With Paint) &gt; Underbody &gt; Rear unit &gt; Load floor reinforcements &gt; Cross member 02 &gt; Fixing parts &gt;  Part 04 &gt; MANUFACTURING  PROCESS</t>
  </si>
  <si>
    <t>Body &gt; Frame &gt; Body In White (With Paint) &gt; Underbody &gt; Rear unit &gt; Load floor reinforcements &gt; Cross member 02 &gt; Fixing parts &gt; Part 05</t>
  </si>
  <si>
    <t>Body &gt; Frame &gt; Body In White (With Paint) &gt; Underbody &gt; Rear unit &gt; Load floor reinforcements &gt; Cross member 02 &gt; Fixing parts &gt; Part 05 &gt; MANUFACTURING  PROCESS</t>
  </si>
  <si>
    <t>Body &gt; Frame &gt; Body In White (With Paint) &gt; Underbody &gt; Rear unit &gt; Load floor reinforcements &gt; Cross member 03</t>
  </si>
  <si>
    <t>Body &gt; Frame &gt; Body In White (With Paint) &gt; Underbody &gt; Rear unit &gt; Load floor reinforcements &gt; Cross member 03 &gt; Cross member</t>
  </si>
  <si>
    <t>Body &gt; Frame &gt; Body In White (With Paint) &gt; Underbody &gt; Rear unit &gt; Load floor reinforcements &gt; Cross member 03 &gt; Cross member &gt;  Part 01 single/main</t>
  </si>
  <si>
    <t>1.06000 kg</t>
  </si>
  <si>
    <t>1.2470588235294117647058823529 kg</t>
  </si>
  <si>
    <t>Body &gt; Frame &gt; Body In White (With Paint) &gt; Underbody &gt; Rear unit &gt; Load floor reinforcements &gt; Cross member 03 &gt; Cross member &gt;  Part 01 single/main &gt; MANUFACTURING  PROCESS</t>
  </si>
  <si>
    <t>Body &gt; Frame &gt; Body In White (With Paint) &gt; Underbody &gt; Rear unit &gt; Load floor reinforcements &gt; Cross member 03 &gt; Gussets</t>
  </si>
  <si>
    <t>Body &gt; Frame &gt; Body In White (With Paint) &gt; Underbody &gt; Rear unit &gt; Load floor reinforcements &gt; Cross member 03 &gt; Gussets &gt;  Part 01 single/main</t>
  </si>
  <si>
    <t>Body &gt; Frame &gt; Body In White (With Paint) &gt; Underbody &gt; Rear unit &gt; Load floor reinforcements &gt; Cross member 03 &gt; Gussets &gt;  Part 01 single/main &gt; MANUFACTURING  PROCESS</t>
  </si>
  <si>
    <t>Details consumable summary</t>
  </si>
  <si>
    <t>Consumable</t>
  </si>
  <si>
    <t>Body &gt; Frame &gt; Body In White (With Paint) &gt; Assembly</t>
  </si>
  <si>
    <t>2023</t>
  </si>
  <si>
    <t>incl. all equipment 139 HQ 2 Shifts</t>
  </si>
  <si>
    <t xml:space="preserve">Body Paint Process		 70,56 € 		
Body Paint Material		 42,77 € 
</t>
  </si>
  <si>
    <t>BIW - [Assembly] [Internal]</t>
  </si>
  <si>
    <t>Body &gt; Frame &gt; Trunk Side Bezels</t>
  </si>
  <si>
    <t>0.038760006201600992256158761 kg</t>
  </si>
  <si>
    <t>Body &gt; Frame &gt; Trunk Side Bezels &gt; Injection molding</t>
  </si>
  <si>
    <t>Opening: 0.92 s, Ejection: 0.20 s, Insert: 0.00 s, Closing: 2.30 s, Removal: 1.65 s, Cooling: 20.13 s, Injection: 1.88</t>
  </si>
  <si>
    <t>{_x000d_
  "productId": "0000000W111WCID0",_x000d_
  "productCompleteName": "Olsa"_x000d_
}</t>
  </si>
  <si>
    <t>000000025KO8EU01 (AutoReverse)</t>
  </si>
  <si>
    <t>Body &gt; Frame &gt; 2nd Trunk Side Bezels</t>
  </si>
  <si>
    <t>Body &gt; Frame &gt; 2nd Trunk Side Bezels &gt; Injection molding</t>
  </si>
  <si>
    <t>000000044NGEEU01 (AutoReverse)</t>
  </si>
  <si>
    <t>0000000AO6DDEU01 (AutoReverse)</t>
  </si>
  <si>
    <t>Body &gt; Fenders</t>
  </si>
  <si>
    <t>Body &gt; Fenders &gt; Front Fenders</t>
  </si>
  <si>
    <t>Body &gt; Fenders &gt; Front Fenders &gt; Fender</t>
  </si>
  <si>
    <t>Body &gt; Fenders &gt; Front Fenders &gt; Fender &gt; Panel</t>
  </si>
  <si>
    <t>Body &gt; Fenders &gt; Front Fenders &gt; Fender &gt; Panel &gt; Bolt-on parts&gt;Bolt-on panels&gt;Fender&gt;Panel&gt;Part 01 single/main/front</t>
  </si>
  <si>
    <t>3.2142857142857142857142857143 kg</t>
  </si>
  <si>
    <t>Body &gt; Fenders &gt; Front Fenders &gt; Fender &gt; Panel &gt; Bolt-on parts&gt;Bolt-on panels&gt;Fender&gt;Panel&gt;Part 01 single/main/front &gt; Manufacturing Process</t>
  </si>
  <si>
    <t>Body &gt; Fenders &gt; Front Fenders &gt; Fender &gt; Brackets</t>
  </si>
  <si>
    <t>Body &gt; Fenders &gt; Front Fenders &gt; Fender &gt; Brackets &gt; Bolt-on parts&gt;Bolt-on panels&gt;Fender&gt;Brackets&gt;Part 01 single/main</t>
  </si>
  <si>
    <t>0.1294117647058823529411764706 kg</t>
  </si>
  <si>
    <t>Body &gt; Fenders &gt; Front Fenders &gt; Fender &gt; Brackets &gt; Bolt-on parts&gt;Bolt-on panels&gt;Fender&gt;Brackets&gt;Part 01 single/main &gt; Manufacturing Process</t>
  </si>
  <si>
    <t>Body &gt; Fenders &gt; Front Fenders &gt; Fender &gt; Brackets &gt; Bolt-on parts&gt;Bolt-on panels&gt;Fender&gt;Brackets&gt;Part 02</t>
  </si>
  <si>
    <t>Body &gt; Fenders &gt; Front Fenders &gt; Fender &gt; Brackets &gt; Bolt-on parts&gt;Bolt-on panels&gt;Fender&gt;Brackets&gt;Part 02 &gt; Manufacturing Process</t>
  </si>
  <si>
    <t>Body &gt; Fenders &gt; Front Fenders &gt; Fender &gt; Brackets &gt; Bolt-on parts&gt;Bolt-on panels&gt;Fender&gt;Brackets&gt;Part 03</t>
  </si>
  <si>
    <t>Body &gt; Fenders &gt; Front Fenders &gt; Fender &gt; Brackets &gt; Bolt-on parts&gt;Bolt-on panels&gt;Fender&gt;Brackets&gt;Part 03 &gt; Manufacturing Process</t>
  </si>
  <si>
    <t>Body &gt; Fenders &gt; Front Fenders &gt; Fender &gt; Brackets &gt; Bolt-on parts&gt;Bolt-on panels&gt;Fender&gt;Brackets&gt;Part 04</t>
  </si>
  <si>
    <t>0.0470588235294117647058823529 kg</t>
  </si>
  <si>
    <t>Body &gt; Fenders &gt; Front Fenders &gt; Fender &gt; Brackets &gt; Bolt-on parts&gt;Bolt-on panels&gt;Fender&gt;Brackets&gt;Part 04 &gt; Manufacturing Process</t>
  </si>
  <si>
    <t>Body &gt; Fenders &gt; Front Fenders &gt; Fender &gt; Brackets &gt; Bolt-on parts&gt;Bolt-on panels&gt;Fender&gt;Brackets&gt;Part 05</t>
  </si>
  <si>
    <t>Body &gt; Fenders &gt; Front Fenders &gt; Fender &gt; Brackets &gt; Bolt-on parts&gt;Bolt-on panels&gt;Fender&gt;Brackets&gt;Part 05 &gt; Manufacturing Process</t>
  </si>
  <si>
    <t>Exterior - [Assembly] [Internal]</t>
  </si>
  <si>
    <t>00000000T43TEU01 (AutoReverse)</t>
  </si>
  <si>
    <t>Body &gt; Fenders &gt; Front Fenders &gt; Fastners</t>
  </si>
  <si>
    <t>Body &gt; Fenders &gt; Front Fenders &gt; Front Fastener</t>
  </si>
  <si>
    <t>0.26700 kg</t>
  </si>
  <si>
    <t>0.267 kg</t>
  </si>
  <si>
    <t>Body &gt; Fenders &gt; Front Fenders &gt; Front Fastener &gt; Stamping</t>
  </si>
  <si>
    <t>Body &gt; Fenders &gt; Front Fenders &gt; Front Fastener &gt; Cleaning</t>
  </si>
  <si>
    <t>Body &gt; Fenders &gt; Front Fenders &gt; Front Fastener &gt; Packaging</t>
  </si>
  <si>
    <t>{_x000d_
  "productId": "0000002UT0BMCID0",_x000d_
  "productCompleteName": "Volaplast"_x000d_
}</t>
  </si>
  <si>
    <t>00000001TCCHEU01 (AutoReverse)</t>
  </si>
  <si>
    <t>PE</t>
  </si>
  <si>
    <t>000000060VIKEU01 (AutoReverse)</t>
  </si>
  <si>
    <t>Body &gt; Fenders &gt; Front Fenders &gt; Fender Extension</t>
  </si>
  <si>
    <t>0.40850 kg</t>
  </si>
  <si>
    <t>0.4166700666672106667537066806 kg</t>
  </si>
  <si>
    <t>Body &gt; Fenders &gt; Front Fenders &gt; Fender Extension &gt; Injection molding</t>
  </si>
  <si>
    <t>Opening: 2.75 s, Ejection: 0.20 s, Insert: 0.00 s, Closing: 5.00 s, Removal: 2.66 s, Cooling: 20.57 s, Injection: 2.41</t>
  </si>
  <si>
    <t>Body &gt; Fenders &gt; Front Fenders &gt; Fender Extension &gt; Handling/Visual Inspection/Packaging</t>
  </si>
  <si>
    <t>0000000736UYEU01 (AutoReverse)</t>
  </si>
  <si>
    <t>Body &gt; Fenders &gt; Front Fenders &gt; Upper Support</t>
  </si>
  <si>
    <t>0.5457117476374566653656710224 kg</t>
  </si>
  <si>
    <t>Body &gt; Fenders &gt; Front Fenders &gt; Upper Support &gt; Stamping</t>
  </si>
  <si>
    <t>Body &gt; Fenders &gt; Front Fenders &gt; Upper Support &gt; Cleaning</t>
  </si>
  <si>
    <t>Body &gt; Fenders &gt; Front Fenders &gt; Upper Support &gt; Packaging</t>
  </si>
  <si>
    <t>00000003PRHQEU01 (AutoReverse)</t>
  </si>
  <si>
    <t>Body &gt; Fenders &gt; Front Fenders &gt; Rear Fastener</t>
  </si>
  <si>
    <t>0.0862151817868308429866069662 kg</t>
  </si>
  <si>
    <t>Body &gt; Fenders &gt; Front Fenders &gt; Rear Fastener &gt; Stamping</t>
  </si>
  <si>
    <t>Body &gt; Fenders &gt; Front Fenders &gt; Rear Fastener &gt; Cleaning</t>
  </si>
  <si>
    <t>Body &gt; Fenders &gt; Front Fenders &gt; Rear Fastener &gt; Packaging</t>
  </si>
  <si>
    <t>00000009424YEU01 (AutoReverse)</t>
  </si>
  <si>
    <t>Body &gt; Fenders &gt; Front Fenders &gt; Rear Covers</t>
  </si>
  <si>
    <t>0.20600 kg</t>
  </si>
  <si>
    <t>0.2101200336192053790728606517 kg</t>
  </si>
  <si>
    <t>Body &gt; Fenders &gt; Front Fenders &gt; Rear Covers &gt; Injection molding</t>
  </si>
  <si>
    <t>Opening: 2.38 s, Ejection: 0.35 s, Insert: 0.00 s, Closing: 4.75 s, Removal: 2.58 s, Cooling: 16.78 s, Injection: 2.35</t>
  </si>
  <si>
    <t>Body &gt; Fenders &gt; Front Fenders &gt; Rear Covers &gt; Handling and Packaging</t>
  </si>
  <si>
    <t>0000000AOUN1EU01 (AutoReverse)</t>
  </si>
  <si>
    <t>0000000722MYEU01 (AutoReverse)</t>
  </si>
  <si>
    <t>Body &gt; Fenders &gt; Rear fenders</t>
  </si>
  <si>
    <t>Body &gt; Fenders &gt; Rear fenders &gt; Fastners</t>
  </si>
  <si>
    <t>Body &gt; Fenders &gt; Rear fenders &gt; Fender Extensions</t>
  </si>
  <si>
    <t>0.46050 kg</t>
  </si>
  <si>
    <t>0.4697100751536120245779239325 kg</t>
  </si>
  <si>
    <t>Body &gt; Fenders &gt; Rear fenders &gt; Fender Extensions &gt; Injection molding</t>
  </si>
  <si>
    <t>Body &gt; Fenders &gt; Rear fenders &gt; Fender Extensions &gt; Handling/Visual Inspection/Packaging</t>
  </si>
  <si>
    <t>00000008D9TPEU01 (AutoReverse)</t>
  </si>
  <si>
    <t>00000006572WEU01 (AutoReverse)</t>
  </si>
  <si>
    <t>00000008BS7WEU01 (AutoReverse)</t>
  </si>
  <si>
    <t>Body &gt; Bumpers</t>
  </si>
  <si>
    <t>Body &gt; Bumpers &gt; Front Bumper</t>
  </si>
  <si>
    <t>Body &gt; Bumpers &gt; Front Bumper &gt; Bumper</t>
  </si>
  <si>
    <t>Body &gt; Bumpers &gt; Front Bumper &gt; Bumper &gt; Grilles</t>
  </si>
  <si>
    <t>Body &gt; Bumpers &gt; Front Bumper &gt; Bumper &gt; Grilles &gt; Lower Central</t>
  </si>
  <si>
    <t>1.00900 kg</t>
  </si>
  <si>
    <t>1.0621052631578947368421052632 kg</t>
  </si>
  <si>
    <t>Body &gt; Bumpers &gt; Front Bumper &gt; Bumper &gt; Grilles &gt; Lower Central &gt; Automated Process</t>
  </si>
  <si>
    <t>000000022JTMEU01 (AutoReverse)</t>
  </si>
  <si>
    <t>000000035L1TEU01 (AutoReverse)</t>
  </si>
  <si>
    <t>Body &gt; Bumpers &gt; Front Bumper &gt; Bumper &gt; Bezel System</t>
  </si>
  <si>
    <t>Body &gt; Bumpers &gt; Front Bumper &gt; Bumper &gt; Bezel System &gt; Trim Bezel Lower Central</t>
  </si>
  <si>
    <t>0.53900 kg</t>
  </si>
  <si>
    <t>0.5673684210526315789473684211 kg</t>
  </si>
  <si>
    <t>Body &gt; Bumpers &gt; Front Bumper &gt; Bumper &gt; Bezel System &gt; Trim Bezel Lower Central &gt; Automated Process</t>
  </si>
  <si>
    <t>0000000491TBEU01 (AutoReverse)</t>
  </si>
  <si>
    <t>Body &gt; Bumpers &gt; Front Bumper &gt; Bumper &gt; Bezel System &gt; Trim Bezel Side</t>
  </si>
  <si>
    <t>Body &gt; Bumpers &gt; Front Bumper &gt; Bumper &gt; Bezel System &gt; Trim Bezel Side &gt; Automated Process</t>
  </si>
  <si>
    <t>00000002B5XBEU01 (AutoReverse)</t>
  </si>
  <si>
    <t>Body &gt; Bumpers &gt; Front Bumper &gt; Bumper &gt; Bezel System &gt; Trim Logo</t>
  </si>
  <si>
    <t>Body &gt; Bumpers &gt; Front Bumper &gt; Bumper &gt; Bezel System &gt; Trim Logo &gt; Automated Process</t>
  </si>
  <si>
    <t>{_x000d_
  "productId": "0000000W1070CID0",_x000d_
  "productCompleteName": "Gerhardi"_x000d_
}</t>
  </si>
  <si>
    <t>00000004DJU9EU01 (AutoReverse)</t>
  </si>
  <si>
    <t>Body &gt; Bumpers &gt; Front Bumper &gt; Bumper &gt; Bezel System &gt; Side Bezels Covers</t>
  </si>
  <si>
    <t>0.23400 kg</t>
  </si>
  <si>
    <t>0.2463157894736842105263157895 kg</t>
  </si>
  <si>
    <t>Body &gt; Bumpers &gt; Front Bumper &gt; Bumper &gt; Bezel System &gt; Side Bezels Covers &gt; Automated Process</t>
  </si>
  <si>
    <t>00000005YJIWEU01 (AutoReverse)</t>
  </si>
  <si>
    <t>Body &gt; Bumpers &gt; Front Bumper &gt; Bumper &gt; Bezel System &gt; 2nd Lower Trim</t>
  </si>
  <si>
    <t>0.76600 kg</t>
  </si>
  <si>
    <t>0.8063157894736842105263157895 kg</t>
  </si>
  <si>
    <t>Body &gt; Bumpers &gt; Front Bumper &gt; Bumper &gt; Bezel System &gt; 2nd Lower Trim &gt; Automated Process</t>
  </si>
  <si>
    <t>0000000AMI05EU01 (AutoReverse)</t>
  </si>
  <si>
    <t>0000000A37ZUEU01 (AutoReverse)</t>
  </si>
  <si>
    <t>Body &gt; Bumpers &gt; Front Bumper &gt; Bumper &gt; Mounting Bracket</t>
  </si>
  <si>
    <t>Body &gt; Bumpers &gt; Front Bumper &gt; Bumper &gt; Mounting Bracket &gt; Lateral</t>
  </si>
  <si>
    <t>0.02150 kg</t>
  </si>
  <si>
    <t>0.0226315789473684210526315789 kg</t>
  </si>
  <si>
    <t>Body &gt; Bumpers &gt; Front Bumper &gt; Bumper &gt; Mounting Bracket &gt; Lateral &gt; Automated Process</t>
  </si>
  <si>
    <t>0000000A79ULEU01 (AutoReverse)</t>
  </si>
  <si>
    <t>00000008C9MQEU01 (AutoReverse)</t>
  </si>
  <si>
    <t>Body &gt; Bumpers &gt; Front Bumper &gt; Bumper &gt; Air Guide</t>
  </si>
  <si>
    <t>Body &gt; Bumpers &gt; Front Bumper &gt; Bumper &gt; Air Guide &gt; Left and Right if Similar</t>
  </si>
  <si>
    <t>0.11550 kg</t>
  </si>
  <si>
    <t>0.1215789473684210526315789474 kg</t>
  </si>
  <si>
    <t>Body &gt; Bumpers &gt; Front Bumper &gt; Bumper &gt; Air Guide &gt; Left and Right if Similar &gt; Automated Process</t>
  </si>
  <si>
    <t>00000000XR5GEU01 (AutoReverse)</t>
  </si>
  <si>
    <t>00000000XET8EU01 (AutoReverse)</t>
  </si>
  <si>
    <t>Body &gt; Bumpers &gt; Front Bumper &gt; Bumper &gt; Frame</t>
  </si>
  <si>
    <t>Body &gt; Bumpers &gt; Front Bumper &gt; Bumper &gt; Frame &gt; Central Stiffener</t>
  </si>
  <si>
    <t>1.69500 kg</t>
  </si>
  <si>
    <t>1.7842105263157894736842105263 kg</t>
  </si>
  <si>
    <t>Body &gt; Bumpers &gt; Front Bumper &gt; Bumper &gt; Frame &gt; Central Stiffener &gt; Automated Process</t>
  </si>
  <si>
    <t>00000006GWG4EU01 (AutoReverse)</t>
  </si>
  <si>
    <t>00000006K8XMEU01 (AutoReverse)</t>
  </si>
  <si>
    <t>Body &gt; Bumpers &gt; Front Bumper &gt; Bumper &gt; Bumper</t>
  </si>
  <si>
    <t>3.81300 kg</t>
  </si>
  <si>
    <t>3.813 kg</t>
  </si>
  <si>
    <t>Body &gt; Bumpers &gt; Front Bumper &gt; Bumper &gt; Bumper &gt; Automated Process</t>
  </si>
  <si>
    <t>PP/E</t>
  </si>
  <si>
    <t>00000006B7DREU01 (AutoReverse)</t>
  </si>
  <si>
    <t>Body &gt; Bumpers &gt; Front Bumper &gt; Bumper &gt; Bumper Reinforcement</t>
  </si>
  <si>
    <t>0.36650 kg</t>
  </si>
  <si>
    <t>0.3857894736842105263157894737 kg</t>
  </si>
  <si>
    <t>Body &gt; Bumpers &gt; Front Bumper &gt; Bumper &gt; Bumper Reinforcement &gt; Automated Process</t>
  </si>
  <si>
    <t>000000063LO2EU01 (AutoReverse)</t>
  </si>
  <si>
    <t>Body &gt; Bumpers &gt; Front Bumper &gt; Bumper &gt; Towing Hook Fastener Cover</t>
  </si>
  <si>
    <t>Body &gt; Bumpers &gt; Front Bumper &gt; Bumper &gt; Towing Hook Fastener Cover &gt; Automated Process</t>
  </si>
  <si>
    <t>000000062EHOEU01 (AutoReverse)</t>
  </si>
  <si>
    <t>Body &gt; Bumpers &gt; Front Bumper &gt; Bumper &gt; Front Bumper Harness</t>
  </si>
  <si>
    <t>Body &gt; Bumpers &gt; Front Bumper &gt; Bumper &gt; Front Bumper Harness &gt; Process</t>
  </si>
  <si>
    <t>00000002XCFJEU01 (AutoReverse)</t>
  </si>
  <si>
    <t>Body &gt; Bumpers &gt; Front Bumper &gt; Bumper &gt; Emblem</t>
  </si>
  <si>
    <t>0.33600 kg</t>
  </si>
  <si>
    <t>0.336 kg</t>
  </si>
  <si>
    <t>Body &gt; Bumpers &gt; Front Bumper &gt; Bumper &gt; Emblem &gt; Automated Process</t>
  </si>
  <si>
    <t>00000003QS4IEU01 (AutoReverse)</t>
  </si>
  <si>
    <t>Body &gt; Bumpers &gt; Front Bumper &gt; Bumper &gt; Bumper Hood Seal</t>
  </si>
  <si>
    <t>0.17900 kg</t>
  </si>
  <si>
    <t>0.1884210526315789473684210526 kg</t>
  </si>
  <si>
    <t>Body &gt; Bumpers &gt; Front Bumper &gt; Bumper &gt; Bumper Hood Seal &gt; Automated Process</t>
  </si>
  <si>
    <t>000000030UP2EU01 (AutoReverse)</t>
  </si>
  <si>
    <t>00000004I0QDEU01 (AutoReverse)</t>
  </si>
  <si>
    <t>Body &gt; Bumpers &gt; Front Bumper &gt; Wheel Arch Liner</t>
  </si>
  <si>
    <t>Body &gt; Bumpers &gt; Front Bumper &gt; Wheel Arch Liner &gt; Left</t>
  </si>
  <si>
    <t>Body &gt; Bumpers &gt; Front Bumper &gt; Wheel Arch Liner &gt; Left &gt; Wheel Arch Liner</t>
  </si>
  <si>
    <t>0.79750 kg</t>
  </si>
  <si>
    <t>0.8394736842105263157894736842 kg</t>
  </si>
  <si>
    <t>Body &gt; Bumpers &gt; Front Bumper &gt; Wheel Arch Liner &gt; Left &gt; Wheel Arch Liner &gt; Automated Process</t>
  </si>
  <si>
    <t>PP-PE-EPDM;PP-PE</t>
  </si>
  <si>
    <t>0000000489IQEU01 (AutoReverse)</t>
  </si>
  <si>
    <t>0000000ABFEVEU01 (AutoReverse)</t>
  </si>
  <si>
    <t>Body &gt; Bumpers &gt; Front Bumper &gt; Wheel Arch Liner &gt; Right</t>
  </si>
  <si>
    <t>Body &gt; Bumpers &gt; Front Bumper &gt; Wheel Arch Liner &gt; Right &gt; Wheel Arch Liner</t>
  </si>
  <si>
    <t>Body &gt; Bumpers &gt; Front Bumper &gt; Wheel Arch Liner &gt; Right &gt; Wheel Arch Liner &gt; Automated Process</t>
  </si>
  <si>
    <t>00000001I94LEU01 (AutoReverse)</t>
  </si>
  <si>
    <t>00000004DGIIEU01 (AutoReverse)</t>
  </si>
  <si>
    <t>00000001C7UGEU01 (AutoReverse)</t>
  </si>
  <si>
    <t>Body &gt; Bumpers &gt; Front Bumper &gt; Energy Absorbers System</t>
  </si>
  <si>
    <t>Body &gt; Bumpers &gt; Front Bumper &gt; Energy Absorbers System &gt; Upper Energy Absorber</t>
  </si>
  <si>
    <t>0.22700 kg</t>
  </si>
  <si>
    <t>0.2340206185567010309278350515 kg</t>
  </si>
  <si>
    <t>Body &gt; Bumpers &gt; Front Bumper &gt; Energy Absorbers System &gt; Upper Energy Absorber &gt; Press</t>
  </si>
  <si>
    <t>Body &gt; Bumpers &gt; Front Bumper &gt; Energy Absorbers System &gt; Upper Energy Absorber &gt; Steam facility</t>
  </si>
  <si>
    <t>PP;PA</t>
  </si>
  <si>
    <t>00000004PRMYEU01 (AutoReverse)</t>
  </si>
  <si>
    <t>00000008A5SMEU01 (AutoReverse)</t>
  </si>
  <si>
    <t>Body &gt; Bumpers &gt; Front Bumper &gt; Upper Cross Member System</t>
  </si>
  <si>
    <t>Body &gt; Bumpers &gt; Front Bumper &gt; Upper Cross Member System &gt; Upper Cross Member</t>
  </si>
  <si>
    <t>19.72300 kg</t>
  </si>
  <si>
    <t>19.723 kg</t>
  </si>
  <si>
    <t>Body &gt; Bumpers &gt; Front Bumper &gt; Upper Cross Member System &gt; Upper Cross Member &gt; Process</t>
  </si>
  <si>
    <t>00000001PP73EU01 (AutoReverse)</t>
  </si>
  <si>
    <t>00000000G0I9EU01 (AutoReverse)</t>
  </si>
  <si>
    <t>Body &gt; Bumpers &gt; Front Bumper &gt; Support</t>
  </si>
  <si>
    <t>Body &gt; Bumpers &gt; Front Bumper &gt; Support &gt; Fasteners on Fender</t>
  </si>
  <si>
    <t>Body &gt; Bumpers &gt; Front Bumper &gt; Support &gt; Fasteners on Fender &gt; Automated Process</t>
  </si>
  <si>
    <t>00000005X31AEU01 (AutoReverse)</t>
  </si>
  <si>
    <t>Body &gt; Bumpers &gt; Front Bumper &gt; Support &gt; 2nd Fasteners on Fender</t>
  </si>
  <si>
    <t>Body &gt; Bumpers &gt; Front Bumper &gt; Support &gt; 2nd Fasteners on Fender &gt; Automated Process</t>
  </si>
  <si>
    <t>00000004KV13EU01 (AutoReverse)</t>
  </si>
  <si>
    <t>00000003U2PZEU01 (AutoReverse)</t>
  </si>
  <si>
    <t>00000004G2J8EU01 (AutoReverse)</t>
  </si>
  <si>
    <t>Body &gt; Bumpers &gt; Rear bumper</t>
  </si>
  <si>
    <t>Body &gt; Bumpers &gt; Rear bumper &gt; Bumper</t>
  </si>
  <si>
    <t>Body &gt; Bumpers &gt; Rear bumper &gt; Bumper &gt; Bumper Upper Trim</t>
  </si>
  <si>
    <t>Body &gt; Bumpers &gt; Rear bumper &gt; Bumper &gt; Bumper Upper Trim &gt; Central Trim Bezel</t>
  </si>
  <si>
    <t>0.45300 kg</t>
  </si>
  <si>
    <t>0.4768421052631578947368421053 kg</t>
  </si>
  <si>
    <t>Body &gt; Bumpers &gt; Rear bumper &gt; Bumper &gt; Bumper Upper Trim &gt; Central Trim Bezel &gt; Automated Process</t>
  </si>
  <si>
    <t>00000000CGSXEU01 (AutoReverse)</t>
  </si>
  <si>
    <t>00000004PCJ6EU01 (AutoReverse)</t>
  </si>
  <si>
    <t>Body &gt; Bumpers &gt; Rear bumper &gt; Bumper &gt; Bumper Lower Trim</t>
  </si>
  <si>
    <t>Body &gt; Bumpers &gt; Rear bumper &gt; Bumper &gt; Bumper Lower Trim &gt; Central Single</t>
  </si>
  <si>
    <t>1.5926315789473684210526315789 kg</t>
  </si>
  <si>
    <t>Body &gt; Bumpers &gt; Rear bumper &gt; Bumper &gt; Bumper Lower Trim &gt; Central Single &gt; Automated Process</t>
  </si>
  <si>
    <t>00000007FU4UEU01 (AutoReverse)</t>
  </si>
  <si>
    <t>00000000DUH5EU01 (AutoReverse)</t>
  </si>
  <si>
    <t>Body &gt; Bumpers &gt; Rear bumper &gt; Bumper &gt; Bumper</t>
  </si>
  <si>
    <t>2.91700 kg</t>
  </si>
  <si>
    <t>2.9753404760544761687161869946 kg</t>
  </si>
  <si>
    <t>Body &gt; Bumpers &gt; Rear bumper &gt; Bumper &gt; Bumper &gt; Injection molding</t>
  </si>
  <si>
    <t>Opening: 6.24 s, Ejection: 0.94 s, Insert: 0.00 s, Closing: 10.40 s, Removal: 5.35 s, Cooling: 19.26 s, Injection: 2.47</t>
  </si>
  <si>
    <t>00000004TF2SEU01 (AutoReverse)</t>
  </si>
  <si>
    <t>Body &gt; Bumpers &gt; Rear bumper &gt; Bumper &gt; Lateral Left Bumper</t>
  </si>
  <si>
    <t>0.82100 kg</t>
  </si>
  <si>
    <t>0.8642105263157894736842105263 kg</t>
  </si>
  <si>
    <t>Body &gt; Bumpers &gt; Rear bumper &gt; Bumper &gt; Lateral Left Bumper &gt; Automated Process</t>
  </si>
  <si>
    <t>00000002D1B0EU01 (AutoReverse)</t>
  </si>
  <si>
    <t>Body &gt; Bumpers &gt; Rear bumper &gt; Bumper &gt; Lateral Right Bumper</t>
  </si>
  <si>
    <t>0.82600 kg</t>
  </si>
  <si>
    <t>0.8694736842105263157894736842 kg</t>
  </si>
  <si>
    <t>Body &gt; Bumpers &gt; Rear bumper &gt; Bumper &gt; Lateral Right Bumper &gt; Automated Process</t>
  </si>
  <si>
    <t>00000009T06YEU01 (AutoReverse)</t>
  </si>
  <si>
    <t>Body &gt; Bumpers &gt; Rear bumper &gt; Bumper &gt; Tow Ring Access Trap</t>
  </si>
  <si>
    <t>Body &gt; Bumpers &gt; Rear bumper &gt; Bumper &gt; Tow Ring Access Trap &gt; Automated Process</t>
  </si>
  <si>
    <t>00000003HV9BEU01 (AutoReverse)</t>
  </si>
  <si>
    <t>Body &gt; Bumpers &gt; Rear bumper &gt; Bumper &gt; 2nd Tow Ring Access Trap Part</t>
  </si>
  <si>
    <t>Body &gt; Bumpers &gt; Rear bumper &gt; Bumper &gt; 2nd Tow Ring Access Trap Part &gt; Automated Process</t>
  </si>
  <si>
    <t>A000000C4TPLEU02 (AutoReverse)</t>
  </si>
  <si>
    <t>0000000986U1EU01 (AutoReverse)</t>
  </si>
  <si>
    <t>00000003153UEU01 (AutoReverse)</t>
  </si>
  <si>
    <t>Body &gt; Bumpers &gt; Rear bumper &gt; Bumper Bracket on Body</t>
  </si>
  <si>
    <t>Body &gt; Bumpers &gt; Rear bumper &gt; Bumper Bracket on Body &gt; Left Side Fastener</t>
  </si>
  <si>
    <t>0.2273684210526315789473684211 kg</t>
  </si>
  <si>
    <t>Body &gt; Bumpers &gt; Rear bumper &gt; Bumper Bracket on Body &gt; Left Side Fastener &gt; Automated Process</t>
  </si>
  <si>
    <t>00000008LRZREU01 (AutoReverse)</t>
  </si>
  <si>
    <t>Body &gt; Bumpers &gt; Rear bumper &gt; Bumper Bracket on Body &gt; Right Side Fastener</t>
  </si>
  <si>
    <t>0.21100 kg</t>
  </si>
  <si>
    <t>0.2221052631578947368421052632 kg</t>
  </si>
  <si>
    <t>Body &gt; Bumpers &gt; Rear bumper &gt; Bumper Bracket on Body &gt; Right Side Fastener &gt; Automated Process</t>
  </si>
  <si>
    <t>0000000A3NYCEU01 (AutoReverse)</t>
  </si>
  <si>
    <t>Body &gt; Bumpers &gt; Rear bumper &gt; Bumper Bracket on Body &gt; Left Mounting Bracket Under Lighting</t>
  </si>
  <si>
    <t>0.15300 kg</t>
  </si>
  <si>
    <t>0.1610526315789473684210526316 kg</t>
  </si>
  <si>
    <t>Body &gt; Bumpers &gt; Rear bumper &gt; Bumper Bracket on Body &gt; Left Mounting Bracket Under Lighting &gt; Automated Process</t>
  </si>
  <si>
    <t>00000006JWMOEU01 (AutoReverse)</t>
  </si>
  <si>
    <t>Body &gt; Bumpers &gt; Rear bumper &gt; Bumper Bracket on Body &gt; Right Mounting Bracket Under Lighting</t>
  </si>
  <si>
    <t>0.15200 kg</t>
  </si>
  <si>
    <t>Body &gt; Bumpers &gt; Rear bumper &gt; Bumper Bracket on Body &gt; Right Mounting Bracket Under Lighting &gt; Automated Process</t>
  </si>
  <si>
    <t>000000090UU4EU01 (AutoReverse)</t>
  </si>
  <si>
    <t>000000099YMJEU01 (AutoReverse)</t>
  </si>
  <si>
    <t>Body &gt; Bumpers &gt; Rear bumper &gt; Wheel Arch Liner</t>
  </si>
  <si>
    <t>Body &gt; Bumpers &gt; Rear bumper &gt; Wheel Arch Liner &gt; Left Side</t>
  </si>
  <si>
    <t>Body &gt; Bumpers &gt; Rear bumper &gt; Wheel Arch Liner &gt; Left Side &gt; Wheel Arch Liner</t>
  </si>
  <si>
    <t>Body &gt; Bumpers &gt; Rear bumper &gt; Wheel Arch Liner &gt; Left Side &gt; Wheel Arch Liner &gt; Automated Process</t>
  </si>
  <si>
    <t>PET-PP</t>
  </si>
  <si>
    <t>000000012AI9EU01 (AutoReverse)</t>
  </si>
  <si>
    <t>00000001LBKDEU01 (AutoReverse)</t>
  </si>
  <si>
    <t>Body &gt; Bumpers &gt; Rear bumper &gt; Wheel Arch Liner &gt; Right Side</t>
  </si>
  <si>
    <t>Body &gt; Bumpers &gt; Rear bumper &gt; Wheel Arch Liner &gt; Right Side &gt; Wheel Arch Liner</t>
  </si>
  <si>
    <t>Body &gt; Bumpers &gt; Rear bumper &gt; Wheel Arch Liner &gt; Right Side &gt; Wheel Arch Liner &gt; Automated Process</t>
  </si>
  <si>
    <t>00000000WPBTEU01 (AutoReverse)</t>
  </si>
  <si>
    <t>00000009BKWUEU01 (AutoReverse)</t>
  </si>
  <si>
    <t>Body &gt; Bumpers &gt; Rear bumper &gt; Wheel Arch Liner &gt; Air Guide</t>
  </si>
  <si>
    <t>0.11600 kg</t>
  </si>
  <si>
    <t>0.1221052631578947368421052632 kg</t>
  </si>
  <si>
    <t>Body &gt; Bumpers &gt; Rear bumper &gt; Wheel Arch Liner &gt; Air Guide &gt; Automated Process</t>
  </si>
  <si>
    <t>00000003I1O8EU01 (AutoReverse)</t>
  </si>
  <si>
    <t>0000000AVAV5EU01 (AutoReverse)</t>
  </si>
  <si>
    <t>Body &gt; Bumpers &gt; Rear bumper &gt; Rear Cross Member</t>
  </si>
  <si>
    <t>19.92000 kg</t>
  </si>
  <si>
    <t>19.92 kg</t>
  </si>
  <si>
    <t>Body &gt; Bumpers &gt; Rear bumper &gt; Rear Cross Member &gt; Process</t>
  </si>
  <si>
    <t>{_x000d_
  "productId": "A000000G8QAPEU02",_x000d_
  "productCompleteName": "ACPS Automotive"_x000d_
}</t>
  </si>
  <si>
    <t>00000008XBNLEU01 (AutoReverse)</t>
  </si>
  <si>
    <t>00000008DCBLEU01 (AutoReverse)</t>
  </si>
  <si>
    <t>00000002YJJBEU01 (AutoReverse)</t>
  </si>
  <si>
    <t>Body &gt; Exterior Lighting</t>
  </si>
  <si>
    <t>Body &gt; Exterior Lighting &gt; Headlamp System</t>
  </si>
  <si>
    <t>Body &gt; Exterior Lighting &gt; Headlamp System &gt; Headlamp</t>
  </si>
  <si>
    <t>Body &gt; Exterior Lighting &gt; Headlamp System &gt; Headlamp &gt; Process</t>
  </si>
  <si>
    <t>{_x000d_
  "productId": "0000000W11RUCID0",_x000d_
  "productCompleteName": "Varroc"_x000d_
}</t>
  </si>
  <si>
    <t>00000002O0QKEU01 (AutoReverse)</t>
  </si>
  <si>
    <t>0000000367YUEU01 (AutoReverse)</t>
  </si>
  <si>
    <t>Body &gt; Exterior Lighting &gt; Headlamp System &gt; Headlight Support</t>
  </si>
  <si>
    <t>Body &gt; Exterior Lighting &gt; Headlamp System &gt; Headlight Support &gt; Left and Right if Similar</t>
  </si>
  <si>
    <t>Body &gt; Exterior Lighting &gt; Headlamp System &gt; Headlight Support &gt; Left and Right if Similar &gt; Automated Process</t>
  </si>
  <si>
    <t>00000003WY9UEU01 (AutoReverse)</t>
  </si>
  <si>
    <t>Body &gt; Exterior Lighting &gt; Headlamp System &gt; Headlamp ECU</t>
  </si>
  <si>
    <t>Body &gt; Exterior Lighting &gt; Headlamp System &gt; Headlamp ECU &gt; Headlight ECU</t>
  </si>
  <si>
    <t>Body &gt; Exterior Lighting &gt; Headlamp System &gt; Headlamp ECU &gt; Headlight ECU &gt; Process</t>
  </si>
  <si>
    <t>{_x000d_
  "productId": "0000000W10JECID0",_x000d_
  "productCompleteName": "Keboda"_x000d_
}</t>
  </si>
  <si>
    <t>ELECTRONIC COMPONENT;PBT;NON FERROUS METAL;FERROUS METAL</t>
  </si>
  <si>
    <t>00000004GB4KEU01 (AutoReverse)</t>
  </si>
  <si>
    <t>00000004P4HEEU01 (AutoReverse)</t>
  </si>
  <si>
    <t>00000005LXNEEU01 (AutoReverse)</t>
  </si>
  <si>
    <t>0000000AQ9ZVEU01 (AutoReverse)</t>
  </si>
  <si>
    <t>Body &gt; Exterior Lighting &gt; Rear Lamp System</t>
  </si>
  <si>
    <t>Body &gt; Exterior Lighting &gt; Rear Lamp System &gt; Rear Lamp on Body</t>
  </si>
  <si>
    <t>Body &gt; Exterior Lighting &gt; Rear Lamp System &gt; Rear Lamp on Body &gt; Process</t>
  </si>
  <si>
    <t>ABS;PMMA;PC</t>
  </si>
  <si>
    <t>00000003SYUCEU01 (AutoReverse)</t>
  </si>
  <si>
    <t>Body &gt; Exterior Lighting &gt; Rear Lamp System &gt; Rear Lamp on Trunk Lid   Tailgate Left</t>
  </si>
  <si>
    <t>Body &gt; Exterior Lighting &gt; Rear Lamp System &gt; Rear Lamp on Trunk Lid   Tailgate Left &gt; Process</t>
  </si>
  <si>
    <t>ABS;PMMA;PC;ELECTRONIC COMPONENT</t>
  </si>
  <si>
    <t>00000007CZL5EU01 (AutoReverse)</t>
  </si>
  <si>
    <t>000000053BPKEU01 (AutoReverse)</t>
  </si>
  <si>
    <t>Body &gt; Exterior Lighting &gt; Third Stop Lamp System</t>
  </si>
  <si>
    <t>Body &gt; Exterior Lighting &gt; Third Stop Lamp System &gt; Third Stop Lamp</t>
  </si>
  <si>
    <t>Body &gt; Exterior Lighting &gt; Third Stop Lamp System &gt; Third Stop Lamp &gt; Process</t>
  </si>
  <si>
    <t>{_x000d_
  "productId": "0000000W1022CID0",_x000d_
  "productCompleteName": "FEKA Automotive"_x000d_
}</t>
  </si>
  <si>
    <t>PMMA;PC;ABS;ELECTRONIC COMPONENT</t>
  </si>
  <si>
    <t>00000008UE43EU01 (AutoReverse)</t>
  </si>
  <si>
    <t>0000000221UDEU01 (AutoReverse)</t>
  </si>
  <si>
    <t>000000026Q30EU01 (AutoReverse)</t>
  </si>
  <si>
    <t>Body &gt; Exterior Lighting &gt; License Plate Light System</t>
  </si>
  <si>
    <t>ELECTRONIC COMPONENT;ASA;TPS-SEBS;PMMA</t>
  </si>
  <si>
    <t>00000005FYLKEU01 (AutoReverse)</t>
  </si>
  <si>
    <t>000000070PW5EU01 (AutoReverse)</t>
  </si>
  <si>
    <t>Body &gt; Exterior Lighting &gt; Daytime Running Lamp System</t>
  </si>
  <si>
    <t>Body &gt; Exterior Lighting &gt; Daytime Running Lamp System &gt; Daytime Running Lamp</t>
  </si>
  <si>
    <t>Body &gt; Exterior Lighting &gt; Daytime Running Lamp System &gt; Daytime Running Lamp &gt; Process</t>
  </si>
  <si>
    <t>000000043DOXEU01 (AutoReverse)</t>
  </si>
  <si>
    <t>000000AFC8P0EU02 (AutoReverse)</t>
  </si>
  <si>
    <t>Body &gt; Exterior Lighting &gt; Dynamic Adjustment Bar</t>
  </si>
  <si>
    <t>Body &gt; Exterior Lighting &gt; Dynamic Adjustment Bar &gt; Dynamic Adjustment on Front Axle</t>
  </si>
  <si>
    <t>000000089NQKEU01 (AutoReverse)</t>
  </si>
  <si>
    <t>NON FERROUS METAL;PLASTIC UNKNOWN</t>
  </si>
  <si>
    <t>0000000AG94KEU01 (AutoReverse)</t>
  </si>
  <si>
    <t>00000006RN2WEU01 (AutoReverse)</t>
  </si>
  <si>
    <t>00000007LEB4EU01 (AutoReverse)</t>
  </si>
  <si>
    <t>00000005LGFREU01 (AutoReverse)</t>
  </si>
  <si>
    <t>Body &gt; Exterior Lighting &gt; Dynamic Adjustment Bar &gt; Dynamic Adjustment on Rear Axle</t>
  </si>
  <si>
    <t>00000000ADQVEU01 (AutoReverse)</t>
  </si>
  <si>
    <t>TPU</t>
  </si>
  <si>
    <t>00000008T7T2EU01 (AutoReverse)</t>
  </si>
  <si>
    <t>00000003B4MMEU01 (AutoReverse)</t>
  </si>
  <si>
    <t>00000005TM76EU01 (AutoReverse)</t>
  </si>
  <si>
    <t>00000006SUHDEU01 (AutoReverse)</t>
  </si>
  <si>
    <t>000000079Z6MEU01 (AutoReverse)</t>
  </si>
  <si>
    <t>PC-ABS;PMMA</t>
  </si>
  <si>
    <t>00000000FGM8EU01 (AutoReverse)</t>
  </si>
  <si>
    <t>PMMA;PC-ABS</t>
  </si>
  <si>
    <t>00000000YXP7EU01 (AutoReverse)</t>
  </si>
  <si>
    <t>00000009D4DWEU01 (AutoReverse)</t>
  </si>
  <si>
    <t>Body &gt; Windshield Wiper</t>
  </si>
  <si>
    <t>Body &gt; Windshield Wiper &gt; Front</t>
  </si>
  <si>
    <t>Body &gt; Windshield Wiper &gt; Front &gt; Wiper Blades</t>
  </si>
  <si>
    <t>A2MAC1 reference price (BYD Song)</t>
  </si>
  <si>
    <t>PBT-PET;PP;POM;ELASTOMER UNKNOWN;FERROUS METAL</t>
  </si>
  <si>
    <t>00000005RP1DEU01 (AutoReverse)</t>
  </si>
  <si>
    <t>00000001LNZ2EU01 (AutoReverse)</t>
  </si>
  <si>
    <t>000000091GGEEU01 (AutoReverse)</t>
  </si>
  <si>
    <t>Body &gt; Windshield Wiper &gt; Front &gt; Wiper Arm</t>
  </si>
  <si>
    <t>Body &gt; Windshield Wiper &gt; Front &gt; Wiper Arm &gt; Fastners</t>
  </si>
  <si>
    <t>Body &gt; Windshield Wiper &gt; Front &gt; Wiper Arm &gt; Driver Side</t>
  </si>
  <si>
    <t>0.45700 kg</t>
  </si>
  <si>
    <t>0.6093333333333333333333333333 kg</t>
  </si>
  <si>
    <t>Body &gt; Windshield Wiper &gt; Front &gt; Wiper Arm &gt; Driver Side &gt; Stamping</t>
  </si>
  <si>
    <t>FERROUS METAL;NON FERROUS METAL</t>
  </si>
  <si>
    <t>00000005OD6NEU01 (AutoReverse)</t>
  </si>
  <si>
    <t>Body &gt; Windshield Wiper &gt; Front &gt; Wiper Arm &gt; Passenger Side</t>
  </si>
  <si>
    <t>0.59300 kg</t>
  </si>
  <si>
    <t>0.7906666666666666666666666667 kg</t>
  </si>
  <si>
    <t>Body &gt; Windshield Wiper &gt; Front &gt; Wiper Arm &gt; Passenger Side &gt; Stamping</t>
  </si>
  <si>
    <t>000000061G13EU01 (AutoReverse)</t>
  </si>
  <si>
    <t>00000005CE4REU01 (AutoReverse)</t>
  </si>
  <si>
    <t>Body &gt; Windshield Wiper &gt; Front &gt; Fastners</t>
  </si>
  <si>
    <t>Body &gt; Windshield Wiper &gt; Front &gt; Wiper Motor</t>
  </si>
  <si>
    <t>Body &gt; Windshield Wiper &gt; Front &gt; Wiper Motor &gt; Process</t>
  </si>
  <si>
    <t>FERROUS METAL;NON FERROUS METAL;PBT-ASA;ELECTRIC MOTOR</t>
  </si>
  <si>
    <t>00000002NCNYEU01 (AutoReverse)</t>
  </si>
  <si>
    <t>0000000AJE3JEU01 (AutoReverse)</t>
  </si>
  <si>
    <t>Body &gt; Windshield Wiper &gt; Front &gt; Wiper Linkage Support</t>
  </si>
  <si>
    <t>0.16800 kg</t>
  </si>
  <si>
    <t>0.224 kg</t>
  </si>
  <si>
    <t>Body &gt; Windshield Wiper &gt; Front &gt; Wiper Linkage Support &gt; Stamping</t>
  </si>
  <si>
    <t>00000001B2X8EU01 (AutoReverse)</t>
  </si>
  <si>
    <t>Body &gt; Windshield Wiper &gt; Front &gt; Wiper Motor Support</t>
  </si>
  <si>
    <t>0.13200 kg</t>
  </si>
  <si>
    <t>0.176 kg</t>
  </si>
  <si>
    <t>Body &gt; Windshield Wiper &gt; Front &gt; Wiper Motor Support &gt; Stamping</t>
  </si>
  <si>
    <t>000000032ZV4EU01 (AutoReverse)</t>
  </si>
  <si>
    <t>0000000361D6EU01 (AutoReverse)</t>
  </si>
  <si>
    <t>Body &gt; Windshield Wiper &gt; Rear</t>
  </si>
  <si>
    <t>Body &gt; Windshield Wiper &gt; Rear &gt; Wiper System</t>
  </si>
  <si>
    <t>Body &gt; Windshield Wiper &gt; Rear &gt; Wiper System &gt; Fastners</t>
  </si>
  <si>
    <t>Body &gt; Windshield Wiper &gt; Rear &gt; Wiper System &gt; Wiper Blade</t>
  </si>
  <si>
    <t>Body &gt; Windshield Wiper &gt; Rear &gt; Wiper System &gt; Wiper Blade &gt; Seal Extrusion</t>
  </si>
  <si>
    <t>ELASTOMER UNKNOWN;POM;NON FERROUS METAL</t>
  </si>
  <si>
    <t>00000004S2X0EU01 (AutoReverse)</t>
  </si>
  <si>
    <t>Body &gt; Windshield Wiper &gt; Rear &gt; Wiper System &gt; Wiper Arm</t>
  </si>
  <si>
    <t>0.0907800145248023239683718349 kg</t>
  </si>
  <si>
    <t>Body &gt; Windshield Wiper &gt; Rear &gt; Wiper System &gt; Wiper Arm &gt; Injection molding</t>
  </si>
  <si>
    <t>Opening: 0.77 s, Ejection: 0.07 s, Insert: 0.00 s, Closing: 1.93 s, Removal: 1.51 s, Cooling: 4.49 s, Injection: 2.19</t>
  </si>
  <si>
    <t>Body &gt; Windshield Wiper &gt; Rear &gt; Wiper System &gt; Wiper Arm &gt; Handling/Visual Inspection/Packaging</t>
  </si>
  <si>
    <t>00000001P6EIEU01 (AutoReverse)</t>
  </si>
  <si>
    <t>Body &gt; Windshield Wiper &gt; Rear &gt; Wiper System &gt; Wiper Arm Cover</t>
  </si>
  <si>
    <t>0.012240001958400313344050135 kg</t>
  </si>
  <si>
    <t>Body &gt; Windshield Wiper &gt; Rear &gt; Wiper System &gt; Wiper Arm Cover &gt; Injection molding</t>
  </si>
  <si>
    <t>Opening: 0.67 s, Ejection: 0.08 s, Insert: 0.00 s, Closing: 1.67 s, Removal: 1.46 s, Cooling: 4.49 s, Injection: 1.23</t>
  </si>
  <si>
    <t>Body &gt; Windshield Wiper &gt; Rear &gt; Wiper System &gt; Wiper Arm Cover &gt; Handling/Visual Inspection/Packaging</t>
  </si>
  <si>
    <t>00000005J78BEU01 (AutoReverse)</t>
  </si>
  <si>
    <t>00000000QMFREU01 (AutoReverse)</t>
  </si>
  <si>
    <t>Body &gt; Windshield Wiper &gt; Rear &gt; Window Washer System</t>
  </si>
  <si>
    <t>Body &gt; Windshield Wiper &gt; Rear &gt; Window Washer System &gt; Rear Washer Jet</t>
  </si>
  <si>
    <t>Body &gt; Windshield Wiper &gt; Rear &gt; Window Washer System &gt; Rear Washer Jet &gt; Overmolding</t>
  </si>
  <si>
    <t>0.003 kg</t>
  </si>
  <si>
    <t>Polycarbonat</t>
  </si>
  <si>
    <t>PLASTIC UNKNOWN;NON FERROUS METAL</t>
  </si>
  <si>
    <t>00000009XPHCEU01 (AutoReverse)</t>
  </si>
  <si>
    <t>00000002S120EU01 (AutoReverse)</t>
  </si>
  <si>
    <t>Body &gt; Windshield Wiper &gt; Rear &gt; Fastners</t>
  </si>
  <si>
    <t>Body &gt; Windshield Wiper &gt; Rear &gt; Wiper Motor</t>
  </si>
  <si>
    <t>Body &gt; Windshield Wiper &gt; Rear &gt; Wiper Motor &gt; Process</t>
  </si>
  <si>
    <t>ELECTRIC MOTOR;AL;PBT-PET</t>
  </si>
  <si>
    <t>00000009EVI9EU01 (AutoReverse)</t>
  </si>
  <si>
    <t>Body &gt; Windshield Wiper &gt; Rear &gt; Mechanism Cover</t>
  </si>
  <si>
    <t>Body &gt; Windshield Wiper &gt; Rear &gt; Mechanism Cover &gt; Injection molding</t>
  </si>
  <si>
    <t>00000008JKE1EU01 (AutoReverse)</t>
  </si>
  <si>
    <t>000000014P78EU01 (AutoReverse)</t>
  </si>
  <si>
    <t>Body &gt; Windshield Wiper &gt; Washer</t>
  </si>
  <si>
    <t>Body &gt; Windshield Wiper &gt; Washer &gt; Tank</t>
  </si>
  <si>
    <t>0.17800 kg</t>
  </si>
  <si>
    <t>0.1873684210526315789473684211 kg</t>
  </si>
  <si>
    <t>Body &gt; Windshield Wiper &gt; Washer &gt; Tank &gt; Automated Process</t>
  </si>
  <si>
    <t>PP-PE;FERROUS METAL</t>
  </si>
  <si>
    <t>00000006F6M5EU01 (AutoReverse)</t>
  </si>
  <si>
    <t>Body &gt; Windshield Wiper &gt; Washer &gt; Filler Pipe</t>
  </si>
  <si>
    <t>Body &gt; Windshield Wiper &gt; Washer &gt; Filler Pipe &gt; Automated Process</t>
  </si>
  <si>
    <t>00000006WTPEEU01 (AutoReverse)</t>
  </si>
  <si>
    <t>Body &gt; Windshield Wiper &gt; Washer &gt; Filling Tank</t>
  </si>
  <si>
    <t>0.0494736842105263157894736842 kg</t>
  </si>
  <si>
    <t>Body &gt; Windshield Wiper &gt; Washer &gt; Filling Tank &gt; Automated Process</t>
  </si>
  <si>
    <t>00000008Y9QAEU01 (AutoReverse)</t>
  </si>
  <si>
    <t>Body &gt; Windshield Wiper &gt; Washer &gt; Tank Fill Neck Filter</t>
  </si>
  <si>
    <t>0.0084210526315789473684210526 kg</t>
  </si>
  <si>
    <t>Body &gt; Windshield Wiper &gt; Washer &gt; Tank Fill Neck Filter &gt; Automated Process</t>
  </si>
  <si>
    <t>00000002PLC2EU01 (AutoReverse)</t>
  </si>
  <si>
    <t>Body &gt; Windshield Wiper &gt; Washer &gt; Windshield Washer Pump</t>
  </si>
  <si>
    <t>0.03267 kg</t>
  </si>
  <si>
    <t>0.0343894736842105263157894737 kg</t>
  </si>
  <si>
    <t>Body &gt; Windshield Wiper &gt; Washer &gt; Windshield Washer Pump &gt; Automated Process</t>
  </si>
  <si>
    <t>{_x000d_
  "productId": "0000000W0ZP2CID0",_x000d_
  "productCompleteName": "Cebi"_x000d_
}</t>
  </si>
  <si>
    <t>POM;PA;ELECTRONIC COMPONENT</t>
  </si>
  <si>
    <t>00000002DGOHEU01 (AutoReverse)</t>
  </si>
  <si>
    <t>Body &gt; Windshield Wiper &gt; Washer &gt; Windshield Washer Jets</t>
  </si>
  <si>
    <t>Body &gt; Windshield Wiper &gt; Washer &gt; Windshield Washer Jets &gt; Automated Process</t>
  </si>
  <si>
    <t>000000092CVSEU01 (AutoReverse)</t>
  </si>
  <si>
    <t>Body &gt; Windshield Wiper &gt; Washer &gt; Tank Cap</t>
  </si>
  <si>
    <t>Body &gt; Windshield Wiper &gt; Washer &gt; Tank Cap &gt; Automated Process</t>
  </si>
  <si>
    <t>00000005WOCSEU01 (AutoReverse)</t>
  </si>
  <si>
    <t>Body &gt; Windshield Wiper &gt; Washer &gt; Windscreen Washer Jets Trim</t>
  </si>
  <si>
    <t>Body &gt; Windshield Wiper &gt; Washer &gt; Windscreen Washer Jets Trim &gt; Automated Process</t>
  </si>
  <si>
    <t>00000003D6IUEU01 (AutoReverse)</t>
  </si>
  <si>
    <t>00000003CLGSEU01 (AutoReverse)</t>
  </si>
  <si>
    <t>00000007FRKJEU01 (AutoReverse)</t>
  </si>
  <si>
    <t>00000004QH72EU01 (AutoReverse)</t>
  </si>
  <si>
    <t>Details project summary</t>
  </si>
  <si>
    <t>CS Library - Full Vehicle DC - Volkswagen ID.4 AWD Pro S 2021 (2110-4) - Reference</t>
  </si>
  <si>
    <t>FV - V 2.0 - CH Material / Directional Costing</t>
  </si>
  <si>
    <t>Status</t>
  </si>
  <si>
    <t>Active</t>
  </si>
  <si>
    <t>Team members</t>
  </si>
  <si>
    <t>Version</t>
  </si>
  <si>
    <t>Year</t>
  </si>
  <si>
    <t>BSaas Product Id</t>
  </si>
  <si>
    <t>A000000CSIMQEU02</t>
  </si>
  <si>
    <t>Active Scenario</t>
  </si>
  <si>
    <t>China 2025, 200k - EURO</t>
  </si>
  <si>
    <t>Entity Status</t>
  </si>
  <si>
    <t>Cost Summary</t>
  </si>
  <si>
    <t>Material margin (€)</t>
  </si>
  <si>
    <t>PCB part CO2 (kgCO2e)</t>
  </si>
  <si>
    <t>Value</t>
  </si>
  <si>
    <t>Ratio</t>
  </si>
  <si>
    <t>EE - Mechanics [3]</t>
  </si>
  <si>
    <t>EE - Mechanics [4]</t>
  </si>
  <si>
    <t>EE - Mechanics [5]</t>
  </si>
  <si>
    <t>Electronics [3]</t>
  </si>
  <si>
    <t>Electronics [4]</t>
  </si>
  <si>
    <t>Electronics [5]</t>
  </si>
  <si>
    <t>From currency</t>
  </si>
  <si>
    <t>To currency</t>
  </si>
  <si>
    <t>Source date</t>
  </si>
  <si>
    <t>Creation date</t>
  </si>
  <si>
    <t>USD (a2mac1 default)</t>
  </si>
  <si>
    <t>USD</t>
  </si>
  <si>
    <t>EUR</t>
  </si>
  <si>
    <t>01/09/2024</t>
  </si>
  <si>
    <t>08/13/2025</t>
  </si>
  <si>
    <t>Cost of electrical energy (€/kwh)</t>
  </si>
  <si>
    <t>Cost of gas (€/m³)</t>
  </si>
  <si>
    <t>Cost of oil (€/m³)</t>
  </si>
  <si>
    <t>Insurance rate (%)</t>
  </si>
  <si>
    <t>Interest rate (%)</t>
  </si>
  <si>
    <t>Working days/year</t>
  </si>
  <si>
    <t>Labor cost increase/year (%)</t>
  </si>
  <si>
    <t>CO₂ equivalent electrical energy (kgCO2eq/kwh)</t>
  </si>
  <si>
    <t>CO₂ equivalent of gas (kgCO2eq/m³)</t>
  </si>
  <si>
    <t>CO₂ equivalent of oil (kgCO2eq/m³)</t>
  </si>
  <si>
    <t>Cost of air (€/m³)</t>
  </si>
  <si>
    <t>Cost of engineer (€/h)</t>
  </si>
  <si>
    <t>Cost of facility rental production (€/m²/month)</t>
  </si>
  <si>
    <t>Cost of fresh water (€/m³)</t>
  </si>
  <si>
    <t>Cost of lowskilled labor (€/h)</t>
  </si>
  <si>
    <t>Cost of skilled labor (€/h)</t>
  </si>
  <si>
    <t>Cost of technician (€/h)</t>
  </si>
  <si>
    <t>Cost of unskilled labor (€/h)</t>
  </si>
  <si>
    <t>Material CO₂ scaling</t>
  </si>
  <si>
    <t>Material price scaling</t>
  </si>
  <si>
    <t>Technical gas cost (€/m³)</t>
  </si>
  <si>
    <t>Currency</t>
  </si>
  <si>
    <t>Base volume</t>
  </si>
  <si>
    <t>Number of lots mechanical</t>
  </si>
  <si>
    <t>Number of lots production</t>
  </si>
  <si>
    <t>Hours per shift</t>
  </si>
  <si>
    <t>Number of shifts</t>
  </si>
  <si>
    <t>Mechanical country</t>
  </si>
  <si>
    <t>Production country</t>
  </si>
  <si>
    <t>As is scenario</t>
  </si>
  <si>
    <t>Scale material based on country</t>
  </si>
  <si>
    <t>China 2024, 200k - US Dollar</t>
  </si>
  <si>
    <t>Overhead group</t>
  </si>
  <si>
    <t>Components overhead (%)</t>
  </si>
  <si>
    <t>Consumable overhead (%)</t>
  </si>
  <si>
    <t>Manufacturing overhead (%)</t>
  </si>
  <si>
    <t>Material overhead (%)</t>
  </si>
  <si>
    <t>General overhead (%)</t>
  </si>
  <si>
    <t>Transport overhead (%)</t>
  </si>
  <si>
    <t>Packaging overhead (%)</t>
  </si>
  <si>
    <t>Production margin (%)</t>
  </si>
  <si>
    <t>Material margin (%)</t>
  </si>
  <si>
    <t>Material scrap rate (%)</t>
  </si>
  <si>
    <t>Overhead type</t>
  </si>
  <si>
    <t>Standard overheads</t>
  </si>
  <si>
    <t>Mechanical</t>
  </si>
  <si>
    <t>No Overhead</t>
  </si>
  <si>
    <t>Custom</t>
  </si>
  <si>
    <t>EE Standard</t>
  </si>
  <si>
    <t>Exterior Standard</t>
  </si>
  <si>
    <t>Lens Module</t>
  </si>
  <si>
    <t>In-house production (assy)</t>
  </si>
  <si>
    <t xml:space="preserve">Battery [Cells: Pack level]  </t>
  </si>
  <si>
    <t>Battery [Battery Excluding Cells]</t>
  </si>
  <si>
    <t>Battery [BMS Overhead Settings]</t>
  </si>
  <si>
    <t>No MOH</t>
  </si>
  <si>
    <t>Battery [Cells: Module level]</t>
  </si>
  <si>
    <t>Battery [Relay Box Overhead Settings]</t>
  </si>
  <si>
    <t>Battery [Final Assembly]</t>
  </si>
  <si>
    <t>Battery [Module Mechanics Overhead Settings]</t>
  </si>
  <si>
    <t>BIW - [Assembly] [Purchased]</t>
  </si>
  <si>
    <t>In-house production (mech)</t>
  </si>
  <si>
    <t>HV Battery</t>
  </si>
  <si>
    <t>PCBA Assembly</t>
  </si>
  <si>
    <t>Connectors</t>
  </si>
  <si>
    <t>Modules (SiP, Modem)</t>
  </si>
  <si>
    <t>Display Panel</t>
  </si>
  <si>
    <t>Inductor</t>
  </si>
  <si>
    <t>Power Module</t>
  </si>
  <si>
    <t>DC-Link Capacitor</t>
  </si>
  <si>
    <t>Battery [Final Assembly] [Purchased]</t>
  </si>
  <si>
    <t>Battery [Cells: Cell to Pack level] [Purchased]</t>
  </si>
  <si>
    <t>Battery [Cells: Pack level] [Purchased]</t>
  </si>
  <si>
    <t>Battery [Battery Excluding Cells] [Purchased]</t>
  </si>
  <si>
    <t>Battery [Cells: Cell to Pack level] [Internal]</t>
  </si>
  <si>
    <t>Battery [Cells: Module level] [Internal]</t>
  </si>
  <si>
    <t>Battery [Cells: Cell Manufacturing] [Internal]</t>
  </si>
  <si>
    <t>Battery [Module Mechanics Overhead Settings] [Internal]</t>
  </si>
  <si>
    <t>Battery [BMS Overhead Settings] [Internal]</t>
  </si>
  <si>
    <t>Battery [Relay Box Overhead Settings] [Internal]</t>
  </si>
  <si>
    <t>Battery [Assembly] [Internal]</t>
  </si>
  <si>
    <t>Battery [Mechanical Prod] [Internal]</t>
  </si>
  <si>
    <t>Battery [Cells: Cell Manufacturing] [Purchased]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</si>
</sst>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8B"/>
      <name val="Arial"/>
      <family val="2"/>
    </font>
    <font>
      <b/>
      <sz val="12"/>
      <color rgb="FF00008B"/>
      <name val="Arial"/>
      <family val="2"/>
    </font>
    <font>
      <u val="single"/>
      <sz val="10"/>
      <color rgb="FF0000FF"/>
      <name val="Arial"/>
      <family val="2"/>
    </font>
    <font>
      <b/>
      <sz val="13"/>
      <color rgb="FF00008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n">
        <color rgb="FF00008B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5" fillId="0" borderId="1" xfId="0" applyNumberFormat="1" applyFont="1" applyFill="1" applyBorder="1" applyAlignment="1" applyProtection="1">
      <alignment horizontal="center" vertical="center"/>
      <protection/>
    </xf>
    <xf numFmtId="0" fontId="4" fillId="0" borderId="0" xfId="0" applyFont="1"/>
    <xf numFmtId="0" fontId="3" fillId="0" borderId="1" xfId="0" applyNumberFormat="1" applyFont="1" applyFill="1" applyBorder="1" applyAlignment="1" applyProtection="1">
      <alignment horizontal="center" vertical="center"/>
      <protection/>
    </xf>
    <xf numFmtId="0" fontId="2" fillId="0" borderId="1" xfId="0" applyNumberFormat="1" applyFont="1" applyFill="1" applyBorder="1" applyAlignment="1" applyProtection="1">
      <alignment horizontal="center" vertical="center"/>
      <protection/>
    </xf>
    <xf numFmtId="0" fontId="1" fillId="0" borderId="1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calcChain" Target="calcChain.xml" /><Relationship Id="rId14" Type="http://schemas.openxmlformats.org/officeDocument/2006/relationships/worksheet" Target="worksheets/sheet12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9" Type="http://schemas.openxmlformats.org/officeDocument/2006/relationships/worksheet" Target="worksheets/sheet7.xml" /><Relationship Id="rId4" Type="http://schemas.openxmlformats.org/officeDocument/2006/relationships/worksheet" Target="worksheets/sheet2.xml" /><Relationship Id="rId12" Type="http://schemas.openxmlformats.org/officeDocument/2006/relationships/worksheet" Target="worksheets/sheet10.xml" /><Relationship Id="rId15" Type="http://schemas.openxmlformats.org/officeDocument/2006/relationships/worksheet" Target="worksheets/sheet13.xml" /><Relationship Id="rId6" Type="http://schemas.openxmlformats.org/officeDocument/2006/relationships/worksheet" Target="worksheets/sheet4.xml" /><Relationship Id="rId13" Type="http://schemas.openxmlformats.org/officeDocument/2006/relationships/worksheet" Target="worksheets/sheet11.xml" /><Relationship Id="rId17" Type="http://schemas.openxmlformats.org/officeDocument/2006/relationships/sharedStrings" Target="sharedStrings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16" Type="http://schemas.openxmlformats.org/officeDocument/2006/relationships/worksheet" Target="worksheets/sheet14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766240-3e45-4fe8-9355-cb487af19fc6}">
  <dimension ref="A1:K14"/>
  <sheetViews>
    <sheetView tabSelected="1" workbookViewId="0" topLeftCell="A1"/>
  </sheetViews>
  <sheetFormatPr defaultRowHeight="12.75"/>
  <cols>
    <col min="1" max="1" width="15.7142857142857" customWidth="1"/>
    <col min="2" max="2" width="25.7142857142857" customWidth="1"/>
    <col min="5" max="6" width="28.7142857142857" customWidth="1"/>
    <col min="7" max="7" width="15.7142857142857" customWidth="1"/>
    <col min="9" max="9" width="20.7142857142857" customWidth="1"/>
    <col min="10" max="10" width="35.7142857142857" customWidth="1"/>
    <col min="11" max="11" width="15.7142857142857" customWidth="1"/>
  </cols>
  <sheetData>
    <row r="1" spans="1:11" ht="12.75">
      <c r="A1" s="1" t="s">
        <v>7659</v>
      </c>
      <c r="B1" s="1"/>
      <c r="E1" s="1" t="s">
        <v>7672</v>
      </c>
      <c r="F1" s="1"/>
      <c r="G1" s="1"/>
      <c r="I1" s="1" t="s">
        <v>38</v>
      </c>
      <c r="J1" s="1"/>
      <c r="K1" s="1"/>
    </row>
    <row r="2" spans="1:11" ht="12.75">
      <c r="A2" s="4" t="s">
        <v>4</v>
      </c>
      <c r="B2" s="5" t="s">
        <v>7660</v>
      </c>
      <c r="E2" s="3" t="s">
        <v>24</v>
      </c>
      <c r="F2" s="4" t="s">
        <v>18</v>
      </c>
      <c r="G2" s="5">
        <v>22126.87419428604</v>
      </c>
      <c r="I2" s="3" t="s">
        <v>24</v>
      </c>
      <c r="J2" s="4" t="s">
        <v>39</v>
      </c>
      <c r="K2" s="5">
        <v>0</v>
      </c>
    </row>
    <row r="3" spans="1:11" ht="12.75">
      <c r="A3" s="4" t="s">
        <v>16</v>
      </c>
      <c r="B3" s="5" t="s">
        <v>7661</v>
      </c>
      <c r="E3" s="3"/>
      <c r="F3" s="4" t="s">
        <v>21</v>
      </c>
      <c r="G3" s="5">
        <v>0</v>
      </c>
      <c r="I3" s="3"/>
      <c r="J3" s="4" t="s">
        <v>40</v>
      </c>
      <c r="K3" s="5">
        <v>0</v>
      </c>
    </row>
    <row r="4" spans="1:11" ht="12.75">
      <c r="A4" s="4" t="s">
        <v>7662</v>
      </c>
      <c r="B4" s="5" t="s">
        <v>7663</v>
      </c>
      <c r="E4" s="3"/>
      <c r="F4" s="4" t="s">
        <v>22</v>
      </c>
      <c r="G4" s="5">
        <v>0</v>
      </c>
      <c r="I4" s="3"/>
      <c r="J4" s="4" t="s">
        <v>41</v>
      </c>
      <c r="K4" s="5">
        <v>0</v>
      </c>
    </row>
    <row r="5" spans="1:11" ht="12.75">
      <c r="A5" s="4" t="s">
        <v>7664</v>
      </c>
      <c r="B5" s="5"/>
      <c r="E5" s="3"/>
      <c r="F5" s="4" t="s">
        <v>23</v>
      </c>
      <c r="G5" s="5">
        <v>22126.87419428604</v>
      </c>
      <c r="I5" s="3"/>
      <c r="J5" s="4" t="s">
        <v>85</v>
      </c>
      <c r="K5" s="5">
        <v>0</v>
      </c>
    </row>
    <row r="6" spans="1:11" ht="12.75">
      <c r="A6" s="4" t="s">
        <v>7665</v>
      </c>
      <c r="B6" s="5">
        <v>0</v>
      </c>
      <c r="E6" s="3" t="s">
        <v>27</v>
      </c>
      <c r="F6" s="4" t="s">
        <v>25</v>
      </c>
      <c r="G6" s="5">
        <v>0</v>
      </c>
      <c r="I6" s="3"/>
      <c r="J6" s="4" t="s">
        <v>7674</v>
      </c>
      <c r="K6" s="5">
        <v>0</v>
      </c>
    </row>
    <row r="7" spans="1:11" ht="12.75">
      <c r="A7" s="4" t="s">
        <v>7666</v>
      </c>
      <c r="B7" s="5">
        <v>2024</v>
      </c>
      <c r="E7" s="3"/>
      <c r="F7" s="4" t="s">
        <v>26</v>
      </c>
      <c r="G7" s="5">
        <v>0</v>
      </c>
      <c r="I7" s="3" t="s">
        <v>27</v>
      </c>
      <c r="J7" s="4" t="s">
        <v>42</v>
      </c>
      <c r="K7" s="5">
        <v>0</v>
      </c>
    </row>
    <row r="8" spans="1:11" ht="12.75">
      <c r="A8" s="4" t="s">
        <v>7667</v>
      </c>
      <c r="B8" s="5" t="s">
        <v>7668</v>
      </c>
      <c r="E8" s="3" t="s">
        <v>28</v>
      </c>
      <c r="F8" s="4" t="s">
        <v>29</v>
      </c>
      <c r="G8" s="5">
        <v>22126.87419428604</v>
      </c>
      <c r="I8" s="3" t="s">
        <v>36</v>
      </c>
      <c r="J8" s="4" t="s">
        <v>43</v>
      </c>
      <c r="K8" s="5">
        <v>0</v>
      </c>
    </row>
    <row r="9" spans="1:7" ht="12.75">
      <c r="A9" s="4" t="s">
        <v>7669</v>
      </c>
      <c r="B9" s="5" t="s">
        <v>7670</v>
      </c>
      <c r="E9" s="3" t="s">
        <v>35</v>
      </c>
      <c r="F9" s="4" t="s">
        <v>7673</v>
      </c>
      <c r="G9" s="5">
        <v>0</v>
      </c>
    </row>
    <row r="10" spans="1:7" ht="12.75">
      <c r="A10" s="4" t="s">
        <v>7671</v>
      </c>
      <c r="B10" s="5" t="s">
        <v>79</v>
      </c>
      <c r="E10" s="3"/>
      <c r="F10" s="4" t="s">
        <v>31</v>
      </c>
      <c r="G10" s="5">
        <v>0</v>
      </c>
    </row>
    <row r="11" spans="5:7" ht="12.75">
      <c r="E11" s="3"/>
      <c r="F11" s="4" t="s">
        <v>32</v>
      </c>
      <c r="G11" s="5">
        <v>0</v>
      </c>
    </row>
    <row r="12" spans="5:7" ht="12.75">
      <c r="E12" s="3"/>
      <c r="F12" s="4" t="s">
        <v>33</v>
      </c>
      <c r="G12" s="5">
        <v>0</v>
      </c>
    </row>
    <row r="13" spans="5:7" ht="12.75">
      <c r="E13" s="3"/>
      <c r="F13" s="4" t="s">
        <v>34</v>
      </c>
      <c r="G13" s="5">
        <v>0</v>
      </c>
    </row>
    <row r="14" spans="5:7" ht="12.75">
      <c r="E14" s="3" t="s">
        <v>36</v>
      </c>
      <c r="F14" s="4" t="s">
        <v>37</v>
      </c>
      <c r="G14" s="5">
        <v>22126.87419428604</v>
      </c>
    </row>
  </sheetData>
  <mergeCells count="7">
    <mergeCell ref="A1:B1"/>
    <mergeCell ref="E1:G1"/>
    <mergeCell ref="E2:E5"/>
    <mergeCell ref="E6:E7"/>
    <mergeCell ref="E9:E13"/>
    <mergeCell ref="I1:K1"/>
    <mergeCell ref="I2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6ff362e-322b-4ec5-8264-7f82b1047bbc}">
  <dimension ref="A1:F7352"/>
  <sheetViews>
    <sheetView workbookViewId="0" topLeftCell="A1"/>
  </sheetViews>
  <sheetFormatPr defaultRowHeight="12.75"/>
  <sheetData>
    <row r="1" spans="1: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 ht="12.75">
      <c r="A2">
        <v>8191</v>
      </c>
      <c r="B2">
        <v>8191</v>
      </c>
      <c r="C2" t="s">
        <v>6</v>
      </c>
      <c r="D2" t="s">
        <v>7</v>
      </c>
      <c r="E2" s="2" t="str">
        <f>HYPERLINK("https://ibp.a2mac1.com/costing(costing:projects/details/8191)","CS Library - Full Vehicle DC - Volkswagen ID.4 AWD Pro S 2021 (2110-4) - Reference")</f>
        <v>CS Library - Full Vehicle DC - Volkswagen ID.4 AWD Pro S 2021 (2110-4) - Reference</v>
      </c>
    </row>
    <row r="3" spans="1:6" ht="12.75">
      <c r="A3">
        <v>5380823</v>
      </c>
      <c r="B3">
        <v>8191</v>
      </c>
      <c r="C3" t="s">
        <v>8</v>
      </c>
      <c r="D3" t="s">
        <v>6</v>
      </c>
      <c r="E3" s="2" t="str">
        <f>HYPERLINK("https://ibp.a2mac1.com/costing(costing:projects/details/8191/assembly/5380823)","Cooling System - Water")</f>
        <v>Cooling System - Water</v>
      </c>
      <c r="F3" t="s">
        <v>9</v>
      </c>
    </row>
    <row r="4" spans="1:6" ht="12.75">
      <c r="A4">
        <v>5380824</v>
      </c>
      <c r="B4">
        <v>5380823</v>
      </c>
      <c r="C4" t="s">
        <v>8</v>
      </c>
      <c r="D4" t="s">
        <v>8</v>
      </c>
      <c r="E4" s="2" t="str">
        <f>HYPERLINK("https://ibp.a2mac1.com/costing(costing:projects/details/8191/assembly/5380824)"," Cooling System")</f>
        <v xml:space="preserve"> Cooling System</v>
      </c>
      <c r="F4" t="s">
        <v>10</v>
      </c>
    </row>
    <row r="5" spans="1:6" ht="12.75">
      <c r="A5">
        <v>5380825</v>
      </c>
      <c r="B5">
        <v>5380824</v>
      </c>
      <c r="C5" t="s">
        <v>8</v>
      </c>
      <c r="D5" t="s">
        <v>8</v>
      </c>
      <c r="E5" s="2" t="str">
        <f>HYPERLINK("https://ibp.a2mac1.com/costing(costing:projects/details/8191/assembly/5380825)"," Radiator Support")</f>
        <v xml:space="preserve"> Radiator Support</v>
      </c>
      <c r="F5" t="s">
        <v>11</v>
      </c>
    </row>
    <row r="6" spans="1:6" ht="12.75">
      <c r="A6">
        <v>5380827</v>
      </c>
      <c r="B6">
        <v>5380825</v>
      </c>
      <c r="C6" t="s">
        <v>12</v>
      </c>
      <c r="D6" t="s">
        <v>8</v>
      </c>
      <c r="E6" s="2" t="str">
        <f>HYPERLINK("https://ibp.a2mac1.com/costing(costing:projects/details/8191/part/5380827)"," Upper Left and Right if Similar/or Single")</f>
        <v xml:space="preserve"> Upper Left and Right if Similar/or Single</v>
      </c>
      <c r="F6" t="s">
        <v>13</v>
      </c>
    </row>
    <row r="7" spans="1:6" ht="12.75">
      <c r="A7">
        <v>5380828</v>
      </c>
      <c r="B7">
        <v>5380825</v>
      </c>
      <c r="C7" t="s">
        <v>12</v>
      </c>
      <c r="D7" t="s">
        <v>8</v>
      </c>
      <c r="E7" s="2" t="str">
        <f>HYPERLINK("https://ibp.a2mac1.com/costing(costing:projects/details/8191/part/5380828)"," Left and Right if Similar")</f>
        <v xml:space="preserve"> Left and Right if Similar</v>
      </c>
      <c r="F7" t="s">
        <v>13</v>
      </c>
    </row>
    <row r="8" spans="1:6" ht="12.75">
      <c r="A8">
        <v>5380826</v>
      </c>
      <c r="B8">
        <v>8191</v>
      </c>
      <c r="C8" t="s">
        <v>8</v>
      </c>
      <c r="D8" t="s">
        <v>6</v>
      </c>
      <c r="E8" s="2" t="str">
        <f>HYPERLINK("https://ibp.a2mac1.com/costing(costing:projects/details/8191/assembly/5380826)"," Noise Insulation System ")</f>
        <v xml:space="preserve"> Noise Insulation System </v>
      </c>
      <c r="F8" t="s">
        <v>9</v>
      </c>
    </row>
    <row r="9" spans="1:6" ht="12.75">
      <c r="A9">
        <v>5380829</v>
      </c>
      <c r="B9">
        <v>5380826</v>
      </c>
      <c r="C9" t="s">
        <v>8</v>
      </c>
      <c r="D9" t="s">
        <v>8</v>
      </c>
      <c r="E9" s="2" t="str">
        <f>HYPERLINK("https://ibp.a2mac1.com/costing(costing:projects/details/8191/assembly/5380829)"," On Front e-motor ")</f>
        <v xml:space="preserve"> On Front e-motor </v>
      </c>
      <c r="F9" t="s">
        <v>97</v>
      </c>
    </row>
    <row r="10" spans="1:6" ht="12.75">
      <c r="A10">
        <v>5380831</v>
      </c>
      <c r="B10">
        <v>5380829</v>
      </c>
      <c r="C10" t="s">
        <v>12</v>
      </c>
      <c r="D10" t="s">
        <v>8</v>
      </c>
      <c r="E10" s="2" t="str">
        <f>HYPERLINK("https://ibp.a2mac1.com/costing(costing:projects/details/8191/part/5380831)","Main Sound Insulation")</f>
        <v>Main Sound Insulation</v>
      </c>
      <c r="F10" t="s">
        <v>98</v>
      </c>
    </row>
    <row r="11" spans="1:6" ht="12.75">
      <c r="A11">
        <v>6969755</v>
      </c>
      <c r="B11">
        <v>5380831</v>
      </c>
      <c r="C11" t="s">
        <v>99</v>
      </c>
      <c r="D11" t="s">
        <v>12</v>
      </c>
      <c r="E11" s="2" t="str">
        <f>HYPERLINK("https://ibp.a2mac1.com/costing(costing:projects/details/8191/process/6969755)","Process")</f>
        <v>Process</v>
      </c>
      <c r="F11" t="s">
        <v>100</v>
      </c>
    </row>
    <row r="12" spans="1:6" ht="12.75">
      <c r="A12">
        <v>5314948</v>
      </c>
      <c r="B12">
        <v>6969755</v>
      </c>
      <c r="C12" t="s">
        <v>24</v>
      </c>
      <c r="D12" t="s">
        <v>99</v>
      </c>
      <c r="E12" s="2" t="str">
        <f>HYPERLINK("https://ibp.a2mac1.com/costing(costing:projects/details/8191/material/5314948)","PUR")</f>
        <v>PUR</v>
      </c>
      <c r="F12" t="s">
        <v>142</v>
      </c>
    </row>
    <row r="13" spans="1:6" ht="12.75">
      <c r="A13">
        <v>6941965</v>
      </c>
      <c r="B13">
        <v>6969755</v>
      </c>
      <c r="C13" t="s">
        <v>189</v>
      </c>
      <c r="D13" t="s">
        <v>99</v>
      </c>
      <c r="E13" s="2" t="str">
        <f>HYPERLINK("https://ibp.a2mac1.com/costing(costing:projects/details/8191/equipment/6941965)","Machine")</f>
        <v>Machine</v>
      </c>
      <c r="F13" t="s">
        <v>142</v>
      </c>
    </row>
    <row r="14" spans="1:6" ht="12.75">
      <c r="A14">
        <v>5380830</v>
      </c>
      <c r="B14">
        <v>5380826</v>
      </c>
      <c r="C14" t="s">
        <v>8</v>
      </c>
      <c r="D14" t="s">
        <v>8</v>
      </c>
      <c r="E14" s="2" t="str">
        <f>HYPERLINK("https://ibp.a2mac1.com/costing(costing:projects/details/8191/assembly/5380830)","On Rear e-Motor")</f>
        <v>On Rear e-Motor</v>
      </c>
      <c r="F14" t="s">
        <v>97</v>
      </c>
    </row>
    <row r="15" spans="1:6" ht="12.75">
      <c r="A15">
        <v>5380832</v>
      </c>
      <c r="B15">
        <v>5380830</v>
      </c>
      <c r="C15" t="s">
        <v>12</v>
      </c>
      <c r="D15" t="s">
        <v>8</v>
      </c>
      <c r="E15" s="2" t="str">
        <f>HYPERLINK("https://ibp.a2mac1.com/costing(costing:projects/details/8191/part/5380832)","Insulation")</f>
        <v>Insulation</v>
      </c>
      <c r="F15" t="s">
        <v>203</v>
      </c>
    </row>
    <row r="16" spans="1:6" ht="12.75">
      <c r="A16">
        <v>5380833</v>
      </c>
      <c r="B16">
        <v>8191</v>
      </c>
      <c r="C16" t="s">
        <v>8</v>
      </c>
      <c r="D16" t="s">
        <v>6</v>
      </c>
      <c r="E16" s="2" t="str">
        <f>HYPERLINK("https://ibp.a2mac1.com/costing(costing:projects/details/8191/assembly/5380833)","Pedals System")</f>
        <v>Pedals System</v>
      </c>
      <c r="F16" t="s">
        <v>9</v>
      </c>
    </row>
    <row r="17" spans="1:6" ht="12.75">
      <c r="A17">
        <v>5380834</v>
      </c>
      <c r="B17">
        <v>5380833</v>
      </c>
      <c r="C17" t="s">
        <v>8</v>
      </c>
      <c r="D17" t="s">
        <v>8</v>
      </c>
      <c r="E17" s="2" t="str">
        <f>HYPERLINK("https://ibp.a2mac1.com/costing(costing:projects/details/8191/assembly/5380834)","Brake Pedal Box")</f>
        <v>Brake Pedal Box</v>
      </c>
      <c r="F17" t="s">
        <v>210</v>
      </c>
    </row>
    <row r="18" spans="1:6" ht="12.75">
      <c r="A18">
        <v>5380836</v>
      </c>
      <c r="B18">
        <v>5380834</v>
      </c>
      <c r="C18" t="s">
        <v>12</v>
      </c>
      <c r="D18" t="s">
        <v>8</v>
      </c>
      <c r="E18" s="2" t="str">
        <f>HYPERLINK("https://ibp.a2mac1.com/costing(costing:projects/details/8191/part/5380836)","Pedals Support")</f>
        <v>Pedals Support</v>
      </c>
      <c r="F18" t="s">
        <v>211</v>
      </c>
    </row>
    <row r="19" spans="1:6" ht="12.75">
      <c r="A19">
        <v>5380837</v>
      </c>
      <c r="B19">
        <v>5380834</v>
      </c>
      <c r="C19" t="s">
        <v>12</v>
      </c>
      <c r="D19" t="s">
        <v>8</v>
      </c>
      <c r="E19" s="2" t="str">
        <f>HYPERLINK("https://ibp.a2mac1.com/costing(costing:projects/details/8191/part/5380837)","Brake Pedal")</f>
        <v>Brake Pedal</v>
      </c>
      <c r="F19" t="s">
        <v>211</v>
      </c>
    </row>
    <row r="20" spans="1:6" ht="12.75">
      <c r="A20">
        <v>5380838</v>
      </c>
      <c r="B20">
        <v>5380834</v>
      </c>
      <c r="C20" t="s">
        <v>12</v>
      </c>
      <c r="D20" t="s">
        <v>8</v>
      </c>
      <c r="E20" s="2" t="str">
        <f>HYPERLINK("https://ibp.a2mac1.com/costing(costing:projects/details/8191/part/5380838)","Commodities - Other")</f>
        <v>Commodities - Other</v>
      </c>
      <c r="F20" t="s">
        <v>211</v>
      </c>
    </row>
    <row r="21" spans="1:6" ht="12.75">
      <c r="A21">
        <v>6969811</v>
      </c>
      <c r="B21">
        <v>5380834</v>
      </c>
      <c r="C21" t="s">
        <v>99</v>
      </c>
      <c r="D21" t="s">
        <v>8</v>
      </c>
      <c r="E21" s="2" t="str">
        <f>HYPERLINK("https://ibp.a2mac1.com/costing(costing:projects/details/8191/process/6969811)","Pedal Box Assembly")</f>
        <v>Pedal Box Assembly</v>
      </c>
      <c r="F21" t="s">
        <v>211</v>
      </c>
    </row>
    <row r="22" spans="1:6" ht="12.75">
      <c r="A22">
        <v>5380835</v>
      </c>
      <c r="B22">
        <v>5380833</v>
      </c>
      <c r="C22" t="s">
        <v>8</v>
      </c>
      <c r="D22" t="s">
        <v>8</v>
      </c>
      <c r="E22" s="2" t="str">
        <f>HYPERLINK("https://ibp.a2mac1.com/costing(costing:projects/details/8191/assembly/5380835)","Accelerator Pedal")</f>
        <v>Accelerator Pedal</v>
      </c>
      <c r="F22" t="s">
        <v>210</v>
      </c>
    </row>
    <row r="23" spans="1:6" ht="12.75">
      <c r="A23">
        <v>5380839</v>
      </c>
      <c r="B23">
        <v>5380835</v>
      </c>
      <c r="C23" t="s">
        <v>12</v>
      </c>
      <c r="D23" t="s">
        <v>8</v>
      </c>
      <c r="E23" s="2" t="str">
        <f>HYPERLINK("https://ibp.a2mac1.com/costing(costing:projects/details/8191/part/5380839)","Accelerator Pedal")</f>
        <v>Accelerator Pedal</v>
      </c>
      <c r="F23" t="s">
        <v>221</v>
      </c>
    </row>
    <row r="24" spans="1:6" ht="12.75">
      <c r="A24">
        <v>5380840</v>
      </c>
      <c r="B24">
        <v>8191</v>
      </c>
      <c r="C24" t="s">
        <v>8</v>
      </c>
      <c r="D24" t="s">
        <v>6</v>
      </c>
      <c r="E24" s="2" t="str">
        <f>HYPERLINK("https://ibp.a2mac1.com/costing(costing:projects/details/8191/assembly/5380840)","Air Conditioning System ")</f>
        <v xml:space="preserve">Air Conditioning System </v>
      </c>
      <c r="F24" t="s">
        <v>9</v>
      </c>
    </row>
    <row r="25" spans="1:6" ht="12.75">
      <c r="A25">
        <v>5380848</v>
      </c>
      <c r="B25">
        <v>5380840</v>
      </c>
      <c r="C25" t="s">
        <v>8</v>
      </c>
      <c r="D25" t="s">
        <v>8</v>
      </c>
      <c r="E25" s="2" t="str">
        <f>HYPERLINK("https://ibp.a2mac1.com/costing(costing:projects/details/8191/assembly/5380848)"," AC Line")</f>
        <v xml:space="preserve"> AC Line</v>
      </c>
      <c r="F25" t="s">
        <v>226</v>
      </c>
    </row>
    <row r="26" spans="1:6" ht="12.75">
      <c r="A26">
        <v>5380851</v>
      </c>
      <c r="B26">
        <v>5380848</v>
      </c>
      <c r="C26" t="s">
        <v>8</v>
      </c>
      <c r="D26" t="s">
        <v>8</v>
      </c>
      <c r="E26" s="2" t="str">
        <f>HYPERLINK("https://ibp.a2mac1.com/costing(costing:projects/details/8191/assembly/5380851)"," High Pressure AC Lines")</f>
        <v xml:space="preserve"> High Pressure AC Lines</v>
      </c>
      <c r="F26" t="s">
        <v>227</v>
      </c>
    </row>
    <row r="27" spans="1:6" ht="12.75">
      <c r="A27">
        <v>5380858</v>
      </c>
      <c r="B27">
        <v>5380851</v>
      </c>
      <c r="C27" t="s">
        <v>12</v>
      </c>
      <c r="D27" t="s">
        <v>8</v>
      </c>
      <c r="E27" s="2" t="str">
        <f>HYPERLINK("https://ibp.a2mac1.com/costing(costing:projects/details/8191/part/5380858)"," Condenser - Valve Line")</f>
        <v xml:space="preserve"> Condenser - Valve Line</v>
      </c>
      <c r="F27" t="s">
        <v>228</v>
      </c>
    </row>
    <row r="28" spans="1:6" ht="12.75">
      <c r="A28">
        <v>5380859</v>
      </c>
      <c r="B28">
        <v>5380851</v>
      </c>
      <c r="C28" t="s">
        <v>12</v>
      </c>
      <c r="D28" t="s">
        <v>8</v>
      </c>
      <c r="E28" s="2" t="str">
        <f>HYPERLINK("https://ibp.a2mac1.com/costing(costing:projects/details/8191/part/5380859)"," Valve - Evaporator Line")</f>
        <v xml:space="preserve"> Valve - Evaporator Line</v>
      </c>
      <c r="F28" t="s">
        <v>228</v>
      </c>
    </row>
    <row r="29" spans="1:6" ht="12.75">
      <c r="A29">
        <v>5380860</v>
      </c>
      <c r="B29">
        <v>5380851</v>
      </c>
      <c r="C29" t="s">
        <v>12</v>
      </c>
      <c r="D29" t="s">
        <v>8</v>
      </c>
      <c r="E29" s="2" t="str">
        <f>HYPERLINK("https://ibp.a2mac1.com/costing(costing:projects/details/8191/part/5380860)"," Valve Coupling Line")</f>
        <v xml:space="preserve"> Valve Coupling Line</v>
      </c>
      <c r="F29" t="s">
        <v>228</v>
      </c>
    </row>
    <row r="30" spans="1:6" ht="12.75">
      <c r="A30">
        <v>5380852</v>
      </c>
      <c r="B30">
        <v>5380848</v>
      </c>
      <c r="C30" t="s">
        <v>8</v>
      </c>
      <c r="D30" t="s">
        <v>8</v>
      </c>
      <c r="E30" s="2" t="str">
        <f>HYPERLINK("https://ibp.a2mac1.com/costing(costing:projects/details/8191/assembly/5380852)"," Low Pressure AC Lines")</f>
        <v xml:space="preserve"> Low Pressure AC Lines</v>
      </c>
      <c r="F30" t="s">
        <v>227</v>
      </c>
    </row>
    <row r="31" spans="1:6" ht="12.75">
      <c r="A31">
        <v>5380861</v>
      </c>
      <c r="B31">
        <v>5380852</v>
      </c>
      <c r="C31" t="s">
        <v>12</v>
      </c>
      <c r="D31" t="s">
        <v>8</v>
      </c>
      <c r="E31" s="2" t="str">
        <f>HYPERLINK("https://ibp.a2mac1.com/costing(costing:projects/details/8191/part/5380861)"," Evaporator - Compressor Line")</f>
        <v xml:space="preserve"> Evaporator - Compressor Line</v>
      </c>
      <c r="F31" t="s">
        <v>237</v>
      </c>
    </row>
    <row r="32" spans="1:6" ht="12.75">
      <c r="A32">
        <v>5380862</v>
      </c>
      <c r="B32">
        <v>5380852</v>
      </c>
      <c r="C32" t="s">
        <v>12</v>
      </c>
      <c r="D32" t="s">
        <v>8</v>
      </c>
      <c r="E32" s="2" t="str">
        <f>HYPERLINK("https://ibp.a2mac1.com/costing(costing:projects/details/8191/part/5380862)"," Compressor - Receiver Line")</f>
        <v xml:space="preserve"> Compressor - Receiver Line</v>
      </c>
      <c r="F32" t="s">
        <v>237</v>
      </c>
    </row>
    <row r="33" spans="1:6" ht="12.75">
      <c r="A33">
        <v>5380863</v>
      </c>
      <c r="B33">
        <v>5380852</v>
      </c>
      <c r="C33" t="s">
        <v>12</v>
      </c>
      <c r="D33" t="s">
        <v>8</v>
      </c>
      <c r="E33" s="2" t="str">
        <f>HYPERLINK("https://ibp.a2mac1.com/costing(costing:projects/details/8191/part/5380863)"," Compressor - Exchanger Line")</f>
        <v xml:space="preserve"> Compressor - Exchanger Line</v>
      </c>
      <c r="F33" t="s">
        <v>237</v>
      </c>
    </row>
    <row r="34" spans="1:6" ht="12.75">
      <c r="A34">
        <v>5380849</v>
      </c>
      <c r="B34">
        <v>5380840</v>
      </c>
      <c r="C34" t="s">
        <v>8</v>
      </c>
      <c r="D34" t="s">
        <v>8</v>
      </c>
      <c r="E34" s="2" t="str">
        <f>HYPERLINK("https://ibp.a2mac1.com/costing(costing:projects/details/8191/assembly/5380849)"," Valve System")</f>
        <v xml:space="preserve"> Valve System</v>
      </c>
      <c r="F34" t="s">
        <v>226</v>
      </c>
    </row>
    <row r="35" spans="1:6" ht="12.75">
      <c r="A35">
        <v>5380853</v>
      </c>
      <c r="B35">
        <v>5380849</v>
      </c>
      <c r="C35" t="s">
        <v>12</v>
      </c>
      <c r="D35" t="s">
        <v>8</v>
      </c>
      <c r="E35" s="2" t="str">
        <f>HYPERLINK("https://ibp.a2mac1.com/costing(costing:projects/details/8191/part/5380853)"," Valve Actuator 1")</f>
        <v xml:space="preserve"> Valve Actuator 1</v>
      </c>
      <c r="F35" t="s">
        <v>248</v>
      </c>
    </row>
    <row r="36" spans="1:6" ht="12.75">
      <c r="A36">
        <v>5380854</v>
      </c>
      <c r="B36">
        <v>5380849</v>
      </c>
      <c r="C36" t="s">
        <v>12</v>
      </c>
      <c r="D36" t="s">
        <v>8</v>
      </c>
      <c r="E36" s="2" t="str">
        <f>HYPERLINK("https://ibp.a2mac1.com/costing(costing:projects/details/8191/part/5380854)"," Valve Actuator Support")</f>
        <v xml:space="preserve"> Valve Actuator Support</v>
      </c>
      <c r="F36" t="s">
        <v>248</v>
      </c>
    </row>
    <row r="37" spans="1:6" ht="12.75">
      <c r="A37">
        <v>5380855</v>
      </c>
      <c r="B37">
        <v>5380849</v>
      </c>
      <c r="C37" t="s">
        <v>12</v>
      </c>
      <c r="D37" t="s">
        <v>8</v>
      </c>
      <c r="E37" s="2" t="str">
        <f>HYPERLINK("https://ibp.a2mac1.com/costing(costing:projects/details/8191/part/5380855)"," Valve 1")</f>
        <v xml:space="preserve"> Valve 1</v>
      </c>
      <c r="F37" t="s">
        <v>248</v>
      </c>
    </row>
    <row r="38" spans="1:6" ht="12.75">
      <c r="A38">
        <v>5380850</v>
      </c>
      <c r="B38">
        <v>5380840</v>
      </c>
      <c r="C38" t="s">
        <v>8</v>
      </c>
      <c r="D38" t="s">
        <v>8</v>
      </c>
      <c r="E38" s="2" t="str">
        <f>HYPERLINK("https://ibp.a2mac1.com/costing(costing:projects/details/8191/assembly/5380850)"," Valve System")</f>
        <v xml:space="preserve"> Valve System</v>
      </c>
      <c r="F38" t="s">
        <v>226</v>
      </c>
    </row>
    <row r="39" spans="1:6" ht="12.75">
      <c r="A39">
        <v>5380856</v>
      </c>
      <c r="B39">
        <v>5380850</v>
      </c>
      <c r="C39" t="s">
        <v>12</v>
      </c>
      <c r="D39" t="s">
        <v>8</v>
      </c>
      <c r="E39" s="2" t="str">
        <f>HYPERLINK("https://ibp.a2mac1.com/costing(costing:projects/details/8191/part/5380856)"," Valve 1")</f>
        <v xml:space="preserve"> Valve 1</v>
      </c>
      <c r="F39" t="s">
        <v>248</v>
      </c>
    </row>
    <row r="40" spans="1:6" ht="12.75">
      <c r="A40">
        <v>5380857</v>
      </c>
      <c r="B40">
        <v>5380850</v>
      </c>
      <c r="C40" t="s">
        <v>12</v>
      </c>
      <c r="D40" t="s">
        <v>8</v>
      </c>
      <c r="E40" s="2" t="str">
        <f>HYPERLINK("https://ibp.a2mac1.com/costing(costing:projects/details/8191/part/5380857)"," Actuator 1")</f>
        <v xml:space="preserve"> Actuator 1</v>
      </c>
      <c r="F40" t="s">
        <v>248</v>
      </c>
    </row>
    <row r="41" spans="1:6" ht="12.75">
      <c r="A41">
        <v>5380841</v>
      </c>
      <c r="B41">
        <v>5380840</v>
      </c>
      <c r="C41" t="s">
        <v>12</v>
      </c>
      <c r="D41" t="s">
        <v>8</v>
      </c>
      <c r="E41" s="2" t="str">
        <f>HYPERLINK("https://ibp.a2mac1.com/costing(costing:projects/details/8191/part/5380841)"," Pressure Sensor")</f>
        <v xml:space="preserve"> Pressure Sensor</v>
      </c>
      <c r="F41" t="s">
        <v>226</v>
      </c>
    </row>
    <row r="42" spans="1:6" ht="12.75">
      <c r="A42">
        <v>5380842</v>
      </c>
      <c r="B42">
        <v>5380840</v>
      </c>
      <c r="C42" t="s">
        <v>12</v>
      </c>
      <c r="D42" t="s">
        <v>8</v>
      </c>
      <c r="E42" s="2" t="str">
        <f>HYPERLINK("https://ibp.a2mac1.com/costing(costing:projects/details/8191/part/5380842)"," Low Pressure Sensor")</f>
        <v xml:space="preserve"> Low Pressure Sensor</v>
      </c>
      <c r="F42" t="s">
        <v>226</v>
      </c>
    </row>
    <row r="43" spans="1:6" ht="12.75">
      <c r="A43">
        <v>5380843</v>
      </c>
      <c r="B43">
        <v>5380840</v>
      </c>
      <c r="C43" t="s">
        <v>12</v>
      </c>
      <c r="D43" t="s">
        <v>8</v>
      </c>
      <c r="E43" s="2" t="str">
        <f>HYPERLINK("https://ibp.a2mac1.com/costing(costing:projects/details/8191/part/5380843)"," Compressor")</f>
        <v xml:space="preserve"> Compressor</v>
      </c>
      <c r="F43" t="s">
        <v>226</v>
      </c>
    </row>
    <row r="44" spans="1:6" ht="12.75">
      <c r="A44">
        <v>5380844</v>
      </c>
      <c r="B44">
        <v>5380840</v>
      </c>
      <c r="C44" t="s">
        <v>12</v>
      </c>
      <c r="D44" t="s">
        <v>8</v>
      </c>
      <c r="E44" s="2" t="str">
        <f>HYPERLINK("https://ibp.a2mac1.com/costing(costing:projects/details/8191/part/5380844)"," Compressor Support")</f>
        <v xml:space="preserve"> Compressor Support</v>
      </c>
      <c r="F44" t="s">
        <v>226</v>
      </c>
    </row>
    <row r="45" spans="1:6" ht="12.75">
      <c r="A45">
        <v>5380845</v>
      </c>
      <c r="B45">
        <v>5380840</v>
      </c>
      <c r="C45" t="s">
        <v>12</v>
      </c>
      <c r="D45" t="s">
        <v>8</v>
      </c>
      <c r="E45" s="2" t="str">
        <f>HYPERLINK("https://ibp.a2mac1.com/costing(costing:projects/details/8191/part/5380845)"," Compressor Support 2")</f>
        <v xml:space="preserve"> Compressor Support 2</v>
      </c>
      <c r="F45" t="s">
        <v>226</v>
      </c>
    </row>
    <row r="46" spans="1:6" ht="12.75">
      <c r="A46">
        <v>5380846</v>
      </c>
      <c r="B46">
        <v>5380840</v>
      </c>
      <c r="C46" t="s">
        <v>12</v>
      </c>
      <c r="D46" t="s">
        <v>8</v>
      </c>
      <c r="E46" s="2" t="str">
        <f>HYPERLINK("https://ibp.a2mac1.com/costing(costing:projects/details/8191/part/5380846)"," Condenser")</f>
        <v xml:space="preserve"> Condenser</v>
      </c>
      <c r="F46" t="s">
        <v>226</v>
      </c>
    </row>
    <row r="47" spans="1:6" ht="12.75">
      <c r="A47">
        <v>6969812</v>
      </c>
      <c r="B47">
        <v>5380846</v>
      </c>
      <c r="C47" t="s">
        <v>99</v>
      </c>
      <c r="D47" t="s">
        <v>12</v>
      </c>
      <c r="E47" s="2" t="str">
        <f>HYPERLINK("https://ibp.a2mac1.com/costing(costing:projects/details/8191/process/6969812)","Process")</f>
        <v>Process</v>
      </c>
      <c r="F47" t="s">
        <v>273</v>
      </c>
    </row>
    <row r="48" spans="1:6" ht="12.75">
      <c r="A48">
        <v>5315016</v>
      </c>
      <c r="B48">
        <v>6969812</v>
      </c>
      <c r="C48" t="s">
        <v>24</v>
      </c>
      <c r="D48" t="s">
        <v>99</v>
      </c>
      <c r="E48" s="2" t="str">
        <f>HYPERLINK("https://ibp.a2mac1.com/costing(costing:projects/details/8191/material/5315016)","Aluminum sheet with brazing layer (default)")</f>
        <v>Aluminum sheet with brazing layer (default)</v>
      </c>
      <c r="F48" t="s">
        <v>276</v>
      </c>
    </row>
    <row r="49" spans="1:6" ht="12.75">
      <c r="A49">
        <v>6942118</v>
      </c>
      <c r="B49">
        <v>6969812</v>
      </c>
      <c r="C49" t="s">
        <v>189</v>
      </c>
      <c r="D49" t="s">
        <v>99</v>
      </c>
      <c r="E49" s="2" t="str">
        <f>HYPERLINK("https://ibp.a2mac1.com/costing(costing:projects/details/8191/equipment/6942118)","Machine")</f>
        <v>Machine</v>
      </c>
      <c r="F49" t="s">
        <v>276</v>
      </c>
    </row>
    <row r="50" spans="1:6" ht="12.75">
      <c r="A50">
        <v>5380847</v>
      </c>
      <c r="B50">
        <v>5380840</v>
      </c>
      <c r="C50" t="s">
        <v>12</v>
      </c>
      <c r="D50" t="s">
        <v>8</v>
      </c>
      <c r="E50" s="2" t="str">
        <f>HYPERLINK("https://ibp.a2mac1.com/costing(costing:projects/details/8191/part/5380847)"," Condenser Protection")</f>
        <v xml:space="preserve"> Condenser Protection</v>
      </c>
      <c r="F50" t="s">
        <v>226</v>
      </c>
    </row>
    <row r="51" spans="1:6" ht="12.75">
      <c r="A51">
        <v>6969813</v>
      </c>
      <c r="B51">
        <v>5380847</v>
      </c>
      <c r="C51" t="s">
        <v>99</v>
      </c>
      <c r="D51" t="s">
        <v>12</v>
      </c>
      <c r="E51" s="2" t="str">
        <f>HYPERLINK("https://ibp.a2mac1.com/costing(costing:projects/details/8191/process/6969813)","Process")</f>
        <v>Process</v>
      </c>
      <c r="F51" t="s">
        <v>279</v>
      </c>
    </row>
    <row r="52" spans="1:6" ht="12.75">
      <c r="A52">
        <v>5315017</v>
      </c>
      <c r="B52">
        <v>6969813</v>
      </c>
      <c r="C52" t="s">
        <v>24</v>
      </c>
      <c r="D52" t="s">
        <v>99</v>
      </c>
      <c r="E52" s="2" t="str">
        <f>HYPERLINK("https://ibp.a2mac1.com/costing(costing:projects/details/8191/material/5315017)","PA6-GF30")</f>
        <v>PA6-GF30</v>
      </c>
      <c r="F52" t="s">
        <v>282</v>
      </c>
    </row>
    <row r="53" spans="1:6" ht="12.75">
      <c r="A53">
        <v>6942119</v>
      </c>
      <c r="B53">
        <v>6969813</v>
      </c>
      <c r="C53" t="s">
        <v>189</v>
      </c>
      <c r="D53" t="s">
        <v>99</v>
      </c>
      <c r="E53" s="2" t="str">
        <f>HYPERLINK("https://ibp.a2mac1.com/costing(costing:projects/details/8191/equipment/6942119)","Machine")</f>
        <v>Machine</v>
      </c>
      <c r="F53" t="s">
        <v>282</v>
      </c>
    </row>
    <row r="54" spans="1:6" ht="12.75">
      <c r="A54">
        <v>5380884</v>
      </c>
      <c r="B54">
        <v>8191</v>
      </c>
      <c r="C54" t="s">
        <v>8</v>
      </c>
      <c r="D54" t="s">
        <v>6</v>
      </c>
      <c r="E54" s="2" t="str">
        <f>HYPERLINK("https://ibp.a2mac1.com/costing(costing:projects/details/8191/assembly/5380884)","Brakes Mechanism")</f>
        <v>Brakes Mechanism</v>
      </c>
      <c r="F54" t="s">
        <v>9</v>
      </c>
    </row>
    <row r="55" spans="1:6" ht="12.75">
      <c r="A55">
        <v>5380885</v>
      </c>
      <c r="B55">
        <v>5380884</v>
      </c>
      <c r="C55" t="s">
        <v>8</v>
      </c>
      <c r="D55" t="s">
        <v>8</v>
      </c>
      <c r="E55" s="2" t="str">
        <f>HYPERLINK("https://ibp.a2mac1.com/costing(costing:projects/details/8191/assembly/5380885)","Master Cylinder")</f>
        <v>Master Cylinder</v>
      </c>
      <c r="F55" t="s">
        <v>287</v>
      </c>
    </row>
    <row r="56" spans="1:6" ht="12.75">
      <c r="A56">
        <v>5380892</v>
      </c>
      <c r="B56">
        <v>5380885</v>
      </c>
      <c r="C56" t="s">
        <v>8</v>
      </c>
      <c r="D56" t="s">
        <v>8</v>
      </c>
      <c r="E56" s="2" t="str">
        <f>HYPERLINK("https://ibp.a2mac1.com/costing(costing:projects/details/8191/assembly/5380892)","Brake Fluid Reservoir System")</f>
        <v>Brake Fluid Reservoir System</v>
      </c>
      <c r="F56" t="s">
        <v>288</v>
      </c>
    </row>
    <row r="57" spans="1:6" ht="12.75">
      <c r="A57">
        <v>5380919</v>
      </c>
      <c r="B57">
        <v>5380892</v>
      </c>
      <c r="C57" t="s">
        <v>12</v>
      </c>
      <c r="D57" t="s">
        <v>8</v>
      </c>
      <c r="E57" s="2" t="str">
        <f>HYPERLINK("https://ibp.a2mac1.com/costing(costing:projects/details/8191/part/5380919)","Tank")</f>
        <v>Tank</v>
      </c>
      <c r="F57" t="s">
        <v>289</v>
      </c>
    </row>
    <row r="58" spans="1:6" ht="12.75">
      <c r="A58">
        <v>5380920</v>
      </c>
      <c r="B58">
        <v>5380892</v>
      </c>
      <c r="C58" t="s">
        <v>12</v>
      </c>
      <c r="D58" t="s">
        <v>8</v>
      </c>
      <c r="E58" s="2" t="str">
        <f>HYPERLINK("https://ibp.a2mac1.com/costing(costing:projects/details/8191/part/5380920)","Tank filter")</f>
        <v>Tank filter</v>
      </c>
      <c r="F58" t="s">
        <v>289</v>
      </c>
    </row>
    <row r="59" spans="1:6" ht="12.75">
      <c r="A59">
        <v>5380921</v>
      </c>
      <c r="B59">
        <v>5380892</v>
      </c>
      <c r="C59" t="s">
        <v>12</v>
      </c>
      <c r="D59" t="s">
        <v>8</v>
      </c>
      <c r="E59" s="2" t="str">
        <f>HYPERLINK("https://ibp.a2mac1.com/costing(costing:projects/details/8191/part/5380921)","Cap")</f>
        <v>Cap</v>
      </c>
      <c r="F59" t="s">
        <v>289</v>
      </c>
    </row>
    <row r="60" spans="1:6" ht="12.75">
      <c r="A60">
        <v>5380893</v>
      </c>
      <c r="B60">
        <v>5380885</v>
      </c>
      <c r="C60" t="s">
        <v>8</v>
      </c>
      <c r="D60" t="s">
        <v>8</v>
      </c>
      <c r="E60" s="2" t="str">
        <f>HYPERLINK("https://ibp.a2mac1.com/costing(costing:projects/details/8191/assembly/5380893)","Electric Brake Booster System")</f>
        <v>Electric Brake Booster System</v>
      </c>
      <c r="F60" t="s">
        <v>288</v>
      </c>
    </row>
    <row r="61" spans="1:6" ht="12.75">
      <c r="A61">
        <v>5380922</v>
      </c>
      <c r="B61">
        <v>5380893</v>
      </c>
      <c r="C61" t="s">
        <v>12</v>
      </c>
      <c r="D61" t="s">
        <v>8</v>
      </c>
      <c r="E61" s="2" t="str">
        <f>HYPERLINK("https://ibp.a2mac1.com/costing(costing:projects/details/8191/part/5380922)","Electric Brake Booster")</f>
        <v>Electric Brake Booster</v>
      </c>
      <c r="F61" t="s">
        <v>294</v>
      </c>
    </row>
    <row r="62" spans="1:6" ht="12.75">
      <c r="A62">
        <v>6969939</v>
      </c>
      <c r="B62">
        <v>5380922</v>
      </c>
      <c r="C62" t="s">
        <v>99</v>
      </c>
      <c r="D62" t="s">
        <v>12</v>
      </c>
      <c r="E62" s="2" t="str">
        <f>HYPERLINK("https://ibp.a2mac1.com/costing(costing:projects/details/8191/process/6969939)","Process")</f>
        <v>Process</v>
      </c>
      <c r="F62" t="s">
        <v>295</v>
      </c>
    </row>
    <row r="63" spans="1:6" ht="12.75">
      <c r="A63">
        <v>5315229</v>
      </c>
      <c r="B63">
        <v>6969939</v>
      </c>
      <c r="C63" t="s">
        <v>24</v>
      </c>
      <c r="D63" t="s">
        <v>99</v>
      </c>
      <c r="E63" s="2" t="str">
        <f>HYPERLINK("https://ibp.a2mac1.com/costing(costing:projects/details/8191/material/5315229)","Material")</f>
        <v>Material</v>
      </c>
      <c r="F63" t="s">
        <v>298</v>
      </c>
    </row>
    <row r="64" spans="1:6" ht="12.75">
      <c r="A64">
        <v>6942380</v>
      </c>
      <c r="B64">
        <v>6969939</v>
      </c>
      <c r="C64" t="s">
        <v>189</v>
      </c>
      <c r="D64" t="s">
        <v>99</v>
      </c>
      <c r="E64" s="2" t="str">
        <f>HYPERLINK("https://ibp.a2mac1.com/costing(costing:projects/details/8191/equipment/6942380)","General production process (0.5-10€)")</f>
        <v>General production process (0.5-10€)</v>
      </c>
      <c r="F64" t="s">
        <v>298</v>
      </c>
    </row>
    <row r="65" spans="1:6" ht="12.75">
      <c r="A65">
        <v>5380890</v>
      </c>
      <c r="B65">
        <v>5380885</v>
      </c>
      <c r="C65" t="s">
        <v>12</v>
      </c>
      <c r="D65" t="s">
        <v>8</v>
      </c>
      <c r="E65" s="2" t="str">
        <f>HYPERLINK("https://ibp.a2mac1.com/costing(costing:projects/details/8191/part/5380890)","Master Cylinder")</f>
        <v>Master Cylinder</v>
      </c>
      <c r="F65" t="s">
        <v>288</v>
      </c>
    </row>
    <row r="66" spans="1:6" ht="12.75">
      <c r="A66">
        <v>5380891</v>
      </c>
      <c r="B66">
        <v>5380885</v>
      </c>
      <c r="C66" t="s">
        <v>12</v>
      </c>
      <c r="D66" t="s">
        <v>8</v>
      </c>
      <c r="E66" s="2" t="str">
        <f>HYPERLINK("https://ibp.a2mac1.com/costing(costing:projects/details/8191/part/5380891)","Fluid Level Sensor")</f>
        <v>Fluid Level Sensor</v>
      </c>
      <c r="F66" t="s">
        <v>288</v>
      </c>
    </row>
    <row r="67" spans="1:6" ht="12.75">
      <c r="A67">
        <v>5380886</v>
      </c>
      <c r="B67">
        <v>5380884</v>
      </c>
      <c r="C67" t="s">
        <v>8</v>
      </c>
      <c r="D67" t="s">
        <v>8</v>
      </c>
      <c r="E67" s="2" t="str">
        <f>HYPERLINK("https://ibp.a2mac1.com/costing(costing:projects/details/8191/assembly/5380886)","ABS System")</f>
        <v>ABS System</v>
      </c>
      <c r="F67" t="s">
        <v>287</v>
      </c>
    </row>
    <row r="68" spans="1:6" ht="12.75">
      <c r="A68">
        <v>5380894</v>
      </c>
      <c r="B68">
        <v>5380886</v>
      </c>
      <c r="C68" t="s">
        <v>12</v>
      </c>
      <c r="D68" t="s">
        <v>8</v>
      </c>
      <c r="E68" s="2" t="str">
        <f>HYPERLINK("https://ibp.a2mac1.com/costing(costing:projects/details/8191/part/5380894)","ABS Pump")</f>
        <v>ABS Pump</v>
      </c>
      <c r="F68" t="s">
        <v>304</v>
      </c>
    </row>
    <row r="69" spans="1:6" ht="12.75">
      <c r="A69">
        <v>6969935</v>
      </c>
      <c r="B69">
        <v>5380894</v>
      </c>
      <c r="C69" t="s">
        <v>99</v>
      </c>
      <c r="D69" t="s">
        <v>12</v>
      </c>
      <c r="E69" s="2" t="str">
        <f>HYPERLINK("https://ibp.a2mac1.com/costing(costing:projects/details/8191/process/6969935)","Process")</f>
        <v>Process</v>
      </c>
      <c r="F69" t="s">
        <v>305</v>
      </c>
    </row>
    <row r="70" spans="1:6" ht="12.75">
      <c r="A70">
        <v>5315204</v>
      </c>
      <c r="B70">
        <v>6969935</v>
      </c>
      <c r="C70" t="s">
        <v>24</v>
      </c>
      <c r="D70" t="s">
        <v>99</v>
      </c>
      <c r="E70" s="2" t="str">
        <f>HYPERLINK("https://ibp.a2mac1.com/costing(costing:projects/details/8191/material/5315204)","Material")</f>
        <v>Material</v>
      </c>
      <c r="F70" t="s">
        <v>306</v>
      </c>
    </row>
    <row r="71" spans="1:6" ht="12.75">
      <c r="A71">
        <v>6942370</v>
      </c>
      <c r="B71">
        <v>6969935</v>
      </c>
      <c r="C71" t="s">
        <v>189</v>
      </c>
      <c r="D71" t="s">
        <v>99</v>
      </c>
      <c r="E71" s="2" t="str">
        <f>HYPERLINK("https://ibp.a2mac1.com/costing(costing:projects/details/8191/equipment/6942370)","General production process (0.5-10€)")</f>
        <v>General production process (0.5-10€)</v>
      </c>
      <c r="F71" t="s">
        <v>306</v>
      </c>
    </row>
    <row r="72" spans="1:6" ht="12.75">
      <c r="A72">
        <v>5380895</v>
      </c>
      <c r="B72">
        <v>5380886</v>
      </c>
      <c r="C72" t="s">
        <v>12</v>
      </c>
      <c r="D72" t="s">
        <v>8</v>
      </c>
      <c r="E72" s="2" t="str">
        <f>HYPERLINK("https://ibp.a2mac1.com/costing(costing:projects/details/8191/part/5380895)","Fasteners Support")</f>
        <v>Fasteners Support</v>
      </c>
      <c r="F72" t="s">
        <v>304</v>
      </c>
    </row>
    <row r="73" spans="1:6" ht="12.75">
      <c r="A73">
        <v>5380896</v>
      </c>
      <c r="B73">
        <v>5380886</v>
      </c>
      <c r="C73" t="s">
        <v>12</v>
      </c>
      <c r="D73" t="s">
        <v>8</v>
      </c>
      <c r="E73" s="2" t="str">
        <f>HYPERLINK("https://ibp.a2mac1.com/costing(costing:projects/details/8191/part/5380896)","Support Fastener on Body")</f>
        <v>Support Fastener on Body</v>
      </c>
      <c r="F73" t="s">
        <v>304</v>
      </c>
    </row>
    <row r="74" spans="1:6" ht="12.75">
      <c r="A74">
        <v>5380887</v>
      </c>
      <c r="B74">
        <v>5380884</v>
      </c>
      <c r="C74" t="s">
        <v>8</v>
      </c>
      <c r="D74" t="s">
        <v>8</v>
      </c>
      <c r="E74" s="2" t="str">
        <f>HYPERLINK("https://ibp.a2mac1.com/costing(costing:projects/details/8191/assembly/5380887)","Brake Line System")</f>
        <v>Brake Line System</v>
      </c>
      <c r="F74" t="s">
        <v>287</v>
      </c>
    </row>
    <row r="75" spans="1:6" ht="12.75">
      <c r="A75">
        <v>5380897</v>
      </c>
      <c r="B75">
        <v>5380887</v>
      </c>
      <c r="C75" t="s">
        <v>12</v>
      </c>
      <c r="D75" t="s">
        <v>8</v>
      </c>
      <c r="E75" s="2" t="str">
        <f>HYPERLINK("https://ibp.a2mac1.com/costing(costing:projects/details/8191/part/5380897)","Front Left Wheel Pipe")</f>
        <v>Front Left Wheel Pipe</v>
      </c>
      <c r="F75" t="s">
        <v>311</v>
      </c>
    </row>
    <row r="76" spans="1:6" ht="12.75">
      <c r="A76">
        <v>5380898</v>
      </c>
      <c r="B76">
        <v>5380887</v>
      </c>
      <c r="C76" t="s">
        <v>12</v>
      </c>
      <c r="D76" t="s">
        <v>8</v>
      </c>
      <c r="E76" s="2" t="str">
        <f>HYPERLINK("https://ibp.a2mac1.com/costing(costing:projects/details/8191/part/5380898)","Front Right Wheel Pipe")</f>
        <v>Front Right Wheel Pipe</v>
      </c>
      <c r="F76" t="s">
        <v>311</v>
      </c>
    </row>
    <row r="77" spans="1:6" ht="12.75">
      <c r="A77">
        <v>5380899</v>
      </c>
      <c r="B77">
        <v>5380887</v>
      </c>
      <c r="C77" t="s">
        <v>12</v>
      </c>
      <c r="D77" t="s">
        <v>8</v>
      </c>
      <c r="E77" s="2" t="str">
        <f>HYPERLINK("https://ibp.a2mac1.com/costing(costing:projects/details/8191/part/5380899)","Rear left wheel pipe")</f>
        <v>Rear left wheel pipe</v>
      </c>
      <c r="F77" t="s">
        <v>311</v>
      </c>
    </row>
    <row r="78" spans="1:6" ht="12.75">
      <c r="A78">
        <v>5380900</v>
      </c>
      <c r="B78">
        <v>5380887</v>
      </c>
      <c r="C78" t="s">
        <v>12</v>
      </c>
      <c r="D78" t="s">
        <v>8</v>
      </c>
      <c r="E78" s="2" t="str">
        <f>HYPERLINK("https://ibp.a2mac1.com/costing(costing:projects/details/8191/part/5380900)","Rear Right Wheel Pipe")</f>
        <v>Rear Right Wheel Pipe</v>
      </c>
      <c r="F78" t="s">
        <v>311</v>
      </c>
    </row>
    <row r="79" spans="1:6" ht="12.75">
      <c r="A79">
        <v>5380901</v>
      </c>
      <c r="B79">
        <v>5380887</v>
      </c>
      <c r="C79" t="s">
        <v>12</v>
      </c>
      <c r="D79" t="s">
        <v>8</v>
      </c>
      <c r="E79" s="2" t="str">
        <f>HYPERLINK("https://ibp.a2mac1.com/costing(costing:projects/details/8191/part/5380901)","Master Cylinder - ABS Unit Pipe 1")</f>
        <v>Master Cylinder - ABS Unit Pipe 1</v>
      </c>
      <c r="F79" t="s">
        <v>311</v>
      </c>
    </row>
    <row r="80" spans="1:6" ht="12.75">
      <c r="A80">
        <v>5380902</v>
      </c>
      <c r="B80">
        <v>5380887</v>
      </c>
      <c r="C80" t="s">
        <v>12</v>
      </c>
      <c r="D80" t="s">
        <v>8</v>
      </c>
      <c r="E80" s="2" t="str">
        <f>HYPERLINK("https://ibp.a2mac1.com/costing(costing:projects/details/8191/part/5380902)","Master Cylinder - ABS Unit Pipe 2")</f>
        <v>Master Cylinder - ABS Unit Pipe 2</v>
      </c>
      <c r="F80" t="s">
        <v>311</v>
      </c>
    </row>
    <row r="81" spans="1:6" ht="12.75">
      <c r="A81">
        <v>5380903</v>
      </c>
      <c r="B81">
        <v>5380887</v>
      </c>
      <c r="C81" t="s">
        <v>12</v>
      </c>
      <c r="D81" t="s">
        <v>8</v>
      </c>
      <c r="E81" s="2" t="str">
        <f>HYPERLINK("https://ibp.a2mac1.com/costing(costing:projects/details/8191/part/5380903)","Rear Right Wheel Connection - ABS Pump Pipe")</f>
        <v>Rear Right Wheel Connection - ABS Pump Pipe</v>
      </c>
      <c r="F81" t="s">
        <v>311</v>
      </c>
    </row>
    <row r="82" spans="1:6" ht="12.75">
      <c r="A82">
        <v>5380904</v>
      </c>
      <c r="B82">
        <v>5380887</v>
      </c>
      <c r="C82" t="s">
        <v>12</v>
      </c>
      <c r="D82" t="s">
        <v>8</v>
      </c>
      <c r="E82" s="2" t="str">
        <f>HYPERLINK("https://ibp.a2mac1.com/costing(costing:projects/details/8191/part/5380904)","Rear Left Wheel Connection - ABS Pump Pipe")</f>
        <v>Rear Left Wheel Connection - ABS Pump Pipe</v>
      </c>
      <c r="F82" t="s">
        <v>311</v>
      </c>
    </row>
    <row r="83" spans="1:6" ht="12.75">
      <c r="A83">
        <v>5380905</v>
      </c>
      <c r="B83">
        <v>5380887</v>
      </c>
      <c r="C83" t="s">
        <v>12</v>
      </c>
      <c r="D83" t="s">
        <v>8</v>
      </c>
      <c r="E83" s="2" t="str">
        <f>HYPERLINK("https://ibp.a2mac1.com/costing(costing:projects/details/8191/part/5380905)","Rear Left Wheel Connection 1 - Connection 2")</f>
        <v>Rear Left Wheel Connection 1 - Connection 2</v>
      </c>
      <c r="F83" t="s">
        <v>311</v>
      </c>
    </row>
    <row r="84" spans="1:6" ht="12.75">
      <c r="A84">
        <v>5380906</v>
      </c>
      <c r="B84">
        <v>5380887</v>
      </c>
      <c r="C84" t="s">
        <v>12</v>
      </c>
      <c r="D84" t="s">
        <v>8</v>
      </c>
      <c r="E84" s="2" t="str">
        <f>HYPERLINK("https://ibp.a2mac1.com/costing(costing:projects/details/8191/part/5380906)","Rear Right Wheel Connection 1 - Connection 2")</f>
        <v>Rear Right Wheel Connection 1 - Connection 2</v>
      </c>
      <c r="F84" t="s">
        <v>311</v>
      </c>
    </row>
    <row r="85" spans="1:6" ht="12.75">
      <c r="A85">
        <v>5380888</v>
      </c>
      <c r="B85">
        <v>5380884</v>
      </c>
      <c r="C85" t="s">
        <v>8</v>
      </c>
      <c r="D85" t="s">
        <v>8</v>
      </c>
      <c r="E85" s="2" t="str">
        <f>HYPERLINK("https://ibp.a2mac1.com/costing(costing:projects/details/8191/assembly/5380888)","Front Brakes")</f>
        <v>Front Brakes</v>
      </c>
      <c r="F85" t="s">
        <v>287</v>
      </c>
    </row>
    <row r="86" spans="1:6" ht="12.75">
      <c r="A86">
        <v>5380911</v>
      </c>
      <c r="B86">
        <v>5380888</v>
      </c>
      <c r="C86" t="s">
        <v>8</v>
      </c>
      <c r="D86" t="s">
        <v>8</v>
      </c>
      <c r="E86" s="2" t="str">
        <f>HYPERLINK("https://ibp.a2mac1.com/costing(costing:projects/details/8191/assembly/5380911)","Brake Caliper L")</f>
        <v>Brake Caliper L</v>
      </c>
      <c r="F86" t="s">
        <v>323</v>
      </c>
    </row>
    <row r="87" spans="1:6" ht="12.75">
      <c r="A87">
        <v>5380925</v>
      </c>
      <c r="B87">
        <v>5380911</v>
      </c>
      <c r="C87" t="s">
        <v>8</v>
      </c>
      <c r="D87" t="s">
        <v>8</v>
      </c>
      <c r="E87" s="2" t="str">
        <f>HYPERLINK("https://ibp.a2mac1.com/costing(costing:projects/details/8191/assembly/5380925)","Brake Pads")</f>
        <v>Brake Pads</v>
      </c>
      <c r="F87" t="s">
        <v>324</v>
      </c>
    </row>
    <row r="88" spans="1:6" ht="12.75">
      <c r="A88">
        <v>5380952</v>
      </c>
      <c r="B88">
        <v>5380925</v>
      </c>
      <c r="C88" t="s">
        <v>12</v>
      </c>
      <c r="D88" t="s">
        <v>8</v>
      </c>
      <c r="E88" s="2" t="str">
        <f>HYPERLINK("https://ibp.a2mac1.com/costing(costing:projects/details/8191/part/5380952)","Interior")</f>
        <v>Interior</v>
      </c>
      <c r="F88" t="s">
        <v>325</v>
      </c>
    </row>
    <row r="89" spans="1:6" ht="12.75">
      <c r="A89">
        <v>5380953</v>
      </c>
      <c r="B89">
        <v>5380925</v>
      </c>
      <c r="C89" t="s">
        <v>12</v>
      </c>
      <c r="D89" t="s">
        <v>8</v>
      </c>
      <c r="E89" s="2" t="str">
        <f>HYPERLINK("https://ibp.a2mac1.com/costing(costing:projects/details/8191/part/5380953)","Exterior")</f>
        <v>Exterior</v>
      </c>
      <c r="F89" t="s">
        <v>325</v>
      </c>
    </row>
    <row r="90" spans="1:6" ht="12.75">
      <c r="A90">
        <v>5380923</v>
      </c>
      <c r="B90">
        <v>5380911</v>
      </c>
      <c r="C90" t="s">
        <v>12</v>
      </c>
      <c r="D90" t="s">
        <v>8</v>
      </c>
      <c r="E90" s="2" t="str">
        <f>HYPERLINK("https://ibp.a2mac1.com/costing(costing:projects/details/8191/part/5380923)","Caliper Body")</f>
        <v>Caliper Body</v>
      </c>
      <c r="F90" t="s">
        <v>324</v>
      </c>
    </row>
    <row r="91" spans="1:6" ht="12.75">
      <c r="A91">
        <v>6969940</v>
      </c>
      <c r="B91">
        <v>5380923</v>
      </c>
      <c r="C91" t="s">
        <v>99</v>
      </c>
      <c r="D91" t="s">
        <v>12</v>
      </c>
      <c r="E91" s="2" t="str">
        <f>HYPERLINK("https://ibp.a2mac1.com/costing(costing:projects/details/8191/process/6969940)","Process")</f>
        <v>Process</v>
      </c>
      <c r="F91" t="s">
        <v>329</v>
      </c>
    </row>
    <row r="92" spans="1:6" ht="12.75">
      <c r="A92">
        <v>5315230</v>
      </c>
      <c r="B92">
        <v>6969940</v>
      </c>
      <c r="C92" t="s">
        <v>24</v>
      </c>
      <c r="D92" t="s">
        <v>99</v>
      </c>
      <c r="E92" s="2" t="str">
        <f>HYPERLINK("https://ibp.a2mac1.com/costing(costing:projects/details/8191/material/5315230)","Material")</f>
        <v>Material</v>
      </c>
      <c r="F92" t="s">
        <v>330</v>
      </c>
    </row>
    <row r="93" spans="1:6" ht="12.75">
      <c r="A93">
        <v>6942381</v>
      </c>
      <c r="B93">
        <v>6969940</v>
      </c>
      <c r="C93" t="s">
        <v>189</v>
      </c>
      <c r="D93" t="s">
        <v>99</v>
      </c>
      <c r="E93" s="2" t="str">
        <f>HYPERLINK("https://ibp.a2mac1.com/costing(costing:projects/details/8191/equipment/6942381)","General production process (0.5-10€)")</f>
        <v>General production process (0.5-10€)</v>
      </c>
      <c r="F93" t="s">
        <v>330</v>
      </c>
    </row>
    <row r="94" spans="1:6" ht="12.75">
      <c r="A94">
        <v>5380924</v>
      </c>
      <c r="B94">
        <v>5380911</v>
      </c>
      <c r="C94" t="s">
        <v>12</v>
      </c>
      <c r="D94" t="s">
        <v>8</v>
      </c>
      <c r="E94" s="2" t="str">
        <f>HYPERLINK("https://ibp.a2mac1.com/costing(costing:projects/details/8191/part/5380924)","Caliper Frame")</f>
        <v>Caliper Frame</v>
      </c>
      <c r="F94" t="s">
        <v>324</v>
      </c>
    </row>
    <row r="95" spans="1:6" ht="12.75">
      <c r="A95">
        <v>6969941</v>
      </c>
      <c r="B95">
        <v>5380924</v>
      </c>
      <c r="C95" t="s">
        <v>99</v>
      </c>
      <c r="D95" t="s">
        <v>12</v>
      </c>
      <c r="E95" s="2" t="str">
        <f>HYPERLINK("https://ibp.a2mac1.com/costing(costing:projects/details/8191/process/6969941)","Process")</f>
        <v>Process</v>
      </c>
      <c r="F95" t="s">
        <v>332</v>
      </c>
    </row>
    <row r="96" spans="1:6" ht="12.75">
      <c r="A96">
        <v>5315231</v>
      </c>
      <c r="B96">
        <v>6969941</v>
      </c>
      <c r="C96" t="s">
        <v>24</v>
      </c>
      <c r="D96" t="s">
        <v>99</v>
      </c>
      <c r="E96" s="2" t="str">
        <f>HYPERLINK("https://ibp.a2mac1.com/costing(costing:projects/details/8191/material/5315231)","Material")</f>
        <v>Material</v>
      </c>
      <c r="F96" t="s">
        <v>333</v>
      </c>
    </row>
    <row r="97" spans="1:6" ht="12.75">
      <c r="A97">
        <v>6942382</v>
      </c>
      <c r="B97">
        <v>6969941</v>
      </c>
      <c r="C97" t="s">
        <v>189</v>
      </c>
      <c r="D97" t="s">
        <v>99</v>
      </c>
      <c r="E97" s="2" t="str">
        <f>HYPERLINK("https://ibp.a2mac1.com/costing(costing:projects/details/8191/equipment/6942382)","General production process (0.5-10€)")</f>
        <v>General production process (0.5-10€)</v>
      </c>
      <c r="F97" t="s">
        <v>333</v>
      </c>
    </row>
    <row r="98" spans="1:6" ht="12.75">
      <c r="A98">
        <v>6969937</v>
      </c>
      <c r="B98">
        <v>5380911</v>
      </c>
      <c r="C98" t="s">
        <v>99</v>
      </c>
      <c r="D98" t="s">
        <v>8</v>
      </c>
      <c r="E98" s="2" t="str">
        <f>HYPERLINK("https://ibp.a2mac1.com/costing(costing:projects/details/8191/process/6969937)","Caliper Assy")</f>
        <v>Caliper Assy</v>
      </c>
      <c r="F98" t="s">
        <v>324</v>
      </c>
    </row>
    <row r="99" spans="1:6" ht="12.75">
      <c r="A99">
        <v>5380912</v>
      </c>
      <c r="B99">
        <v>5380888</v>
      </c>
      <c r="C99" t="s">
        <v>8</v>
      </c>
      <c r="D99" t="s">
        <v>8</v>
      </c>
      <c r="E99" s="2" t="str">
        <f>HYPERLINK("https://ibp.a2mac1.com/costing(costing:projects/details/8191/assembly/5380912)","Hose Support")</f>
        <v>Hose Support</v>
      </c>
      <c r="F99" t="s">
        <v>323</v>
      </c>
    </row>
    <row r="100" spans="1:6" ht="12.75">
      <c r="A100">
        <v>5380926</v>
      </c>
      <c r="B100">
        <v>5380912</v>
      </c>
      <c r="C100" t="s">
        <v>12</v>
      </c>
      <c r="D100" t="s">
        <v>8</v>
      </c>
      <c r="E100" s="2" t="str">
        <f>HYPERLINK("https://ibp.a2mac1.com/costing(costing:projects/details/8191/part/5380926)","On Axle")</f>
        <v>On Axle</v>
      </c>
      <c r="F100" t="s">
        <v>336</v>
      </c>
    </row>
    <row r="101" spans="1:6" ht="12.75">
      <c r="A101">
        <v>5380927</v>
      </c>
      <c r="B101">
        <v>5380912</v>
      </c>
      <c r="C101" t="s">
        <v>12</v>
      </c>
      <c r="D101" t="s">
        <v>8</v>
      </c>
      <c r="E101" s="2" t="str">
        <f>HYPERLINK("https://ibp.a2mac1.com/costing(costing:projects/details/8191/part/5380927)","2nd On Axle")</f>
        <v>2nd On Axle</v>
      </c>
      <c r="F101" t="s">
        <v>336</v>
      </c>
    </row>
    <row r="102" spans="1:6" ht="12.75">
      <c r="A102">
        <v>5380913</v>
      </c>
      <c r="B102">
        <v>5380888</v>
      </c>
      <c r="C102" t="s">
        <v>8</v>
      </c>
      <c r="D102" t="s">
        <v>8</v>
      </c>
      <c r="E102" s="2" t="str">
        <f>HYPERLINK("https://ibp.a2mac1.com/costing(costing:projects/details/8191/assembly/5380913)","Brake Caliper R]")</f>
        <v>Brake Caliper R]</v>
      </c>
      <c r="F102" t="s">
        <v>323</v>
      </c>
    </row>
    <row r="103" spans="1:6" ht="12.75">
      <c r="A103">
        <v>5380930</v>
      </c>
      <c r="B103">
        <v>5380913</v>
      </c>
      <c r="C103" t="s">
        <v>8</v>
      </c>
      <c r="D103" t="s">
        <v>8</v>
      </c>
      <c r="E103" s="2" t="str">
        <f>HYPERLINK("https://ibp.a2mac1.com/costing(costing:projects/details/8191/assembly/5380930)","Brake Pads")</f>
        <v>Brake Pads</v>
      </c>
      <c r="F103" t="s">
        <v>340</v>
      </c>
    </row>
    <row r="104" spans="1:6" ht="12.75">
      <c r="A104">
        <v>5380954</v>
      </c>
      <c r="B104">
        <v>5380930</v>
      </c>
      <c r="C104" t="s">
        <v>12</v>
      </c>
      <c r="D104" t="s">
        <v>8</v>
      </c>
      <c r="E104" s="2" t="str">
        <f>HYPERLINK("https://ibp.a2mac1.com/costing(costing:projects/details/8191/part/5380954)","Interior")</f>
        <v>Interior</v>
      </c>
      <c r="F104" t="s">
        <v>341</v>
      </c>
    </row>
    <row r="105" spans="1:6" ht="12.75">
      <c r="A105">
        <v>5380955</v>
      </c>
      <c r="B105">
        <v>5380930</v>
      </c>
      <c r="C105" t="s">
        <v>12</v>
      </c>
      <c r="D105" t="s">
        <v>8</v>
      </c>
      <c r="E105" s="2" t="str">
        <f>HYPERLINK("https://ibp.a2mac1.com/costing(costing:projects/details/8191/part/5380955)","Exterior")</f>
        <v>Exterior</v>
      </c>
      <c r="F105" t="s">
        <v>341</v>
      </c>
    </row>
    <row r="106" spans="1:6" ht="12.75">
      <c r="A106">
        <v>5380928</v>
      </c>
      <c r="B106">
        <v>5380913</v>
      </c>
      <c r="C106" t="s">
        <v>12</v>
      </c>
      <c r="D106" t="s">
        <v>8</v>
      </c>
      <c r="E106" s="2" t="str">
        <f>HYPERLINK("https://ibp.a2mac1.com/costing(costing:projects/details/8191/part/5380928)","Caliper Body")</f>
        <v>Caliper Body</v>
      </c>
      <c r="F106" t="s">
        <v>340</v>
      </c>
    </row>
    <row r="107" spans="1:6" ht="12.75">
      <c r="A107">
        <v>6969942</v>
      </c>
      <c r="B107">
        <v>5380928</v>
      </c>
      <c r="C107" t="s">
        <v>99</v>
      </c>
      <c r="D107" t="s">
        <v>12</v>
      </c>
      <c r="E107" s="2" t="str">
        <f>HYPERLINK("https://ibp.a2mac1.com/costing(costing:projects/details/8191/process/6969942)","Process")</f>
        <v>Process</v>
      </c>
      <c r="F107" t="s">
        <v>343</v>
      </c>
    </row>
    <row r="108" spans="1:6" ht="12.75">
      <c r="A108">
        <v>5315232</v>
      </c>
      <c r="B108">
        <v>6969942</v>
      </c>
      <c r="C108" t="s">
        <v>24</v>
      </c>
      <c r="D108" t="s">
        <v>99</v>
      </c>
      <c r="E108" s="2" t="str">
        <f>HYPERLINK("https://ibp.a2mac1.com/costing(costing:projects/details/8191/material/5315232)","Material")</f>
        <v>Material</v>
      </c>
      <c r="F108" t="s">
        <v>344</v>
      </c>
    </row>
    <row r="109" spans="1:6" ht="12.75">
      <c r="A109">
        <v>6942383</v>
      </c>
      <c r="B109">
        <v>6969942</v>
      </c>
      <c r="C109" t="s">
        <v>189</v>
      </c>
      <c r="D109" t="s">
        <v>99</v>
      </c>
      <c r="E109" s="2" t="str">
        <f>HYPERLINK("https://ibp.a2mac1.com/costing(costing:projects/details/8191/equipment/6942383)","General production process (0.5-10€)")</f>
        <v>General production process (0.5-10€)</v>
      </c>
      <c r="F109" t="s">
        <v>344</v>
      </c>
    </row>
    <row r="110" spans="1:6" ht="12.75">
      <c r="A110">
        <v>5380929</v>
      </c>
      <c r="B110">
        <v>5380913</v>
      </c>
      <c r="C110" t="s">
        <v>12</v>
      </c>
      <c r="D110" t="s">
        <v>8</v>
      </c>
      <c r="E110" s="2" t="str">
        <f>HYPERLINK("https://ibp.a2mac1.com/costing(costing:projects/details/8191/part/5380929)","Caliper Frame")</f>
        <v>Caliper Frame</v>
      </c>
      <c r="F110" t="s">
        <v>340</v>
      </c>
    </row>
    <row r="111" spans="1:6" ht="12.75">
      <c r="A111">
        <v>6969943</v>
      </c>
      <c r="B111">
        <v>5380929</v>
      </c>
      <c r="C111" t="s">
        <v>99</v>
      </c>
      <c r="D111" t="s">
        <v>12</v>
      </c>
      <c r="E111" s="2" t="str">
        <f>HYPERLINK("https://ibp.a2mac1.com/costing(costing:projects/details/8191/process/6969943)","Process")</f>
        <v>Process</v>
      </c>
      <c r="F111" t="s">
        <v>345</v>
      </c>
    </row>
    <row r="112" spans="1:6" ht="12.75">
      <c r="A112">
        <v>5315233</v>
      </c>
      <c r="B112">
        <v>6969943</v>
      </c>
      <c r="C112" t="s">
        <v>24</v>
      </c>
      <c r="D112" t="s">
        <v>99</v>
      </c>
      <c r="E112" s="2" t="str">
        <f>HYPERLINK("https://ibp.a2mac1.com/costing(costing:projects/details/8191/material/5315233)","Material")</f>
        <v>Material</v>
      </c>
      <c r="F112" t="s">
        <v>346</v>
      </c>
    </row>
    <row r="113" spans="1:6" ht="12.75">
      <c r="A113">
        <v>6942384</v>
      </c>
      <c r="B113">
        <v>6969943</v>
      </c>
      <c r="C113" t="s">
        <v>189</v>
      </c>
      <c r="D113" t="s">
        <v>99</v>
      </c>
      <c r="E113" s="2" t="str">
        <f>HYPERLINK("https://ibp.a2mac1.com/costing(costing:projects/details/8191/equipment/6942384)","General production process (0.5-10€)")</f>
        <v>General production process (0.5-10€)</v>
      </c>
      <c r="F113" t="s">
        <v>346</v>
      </c>
    </row>
    <row r="114" spans="1:6" ht="12.75">
      <c r="A114">
        <v>6969938</v>
      </c>
      <c r="B114">
        <v>5380913</v>
      </c>
      <c r="C114" t="s">
        <v>99</v>
      </c>
      <c r="D114" t="s">
        <v>8</v>
      </c>
      <c r="E114" s="2" t="str">
        <f>HYPERLINK("https://ibp.a2mac1.com/costing(costing:projects/details/8191/process/6969938)","Caliper Assy")</f>
        <v>Caliper Assy</v>
      </c>
      <c r="F114" t="s">
        <v>340</v>
      </c>
    </row>
    <row r="115" spans="1:6" ht="12.75">
      <c r="A115">
        <v>5380907</v>
      </c>
      <c r="B115">
        <v>5380888</v>
      </c>
      <c r="C115" t="s">
        <v>12</v>
      </c>
      <c r="D115" t="s">
        <v>8</v>
      </c>
      <c r="E115" s="2" t="str">
        <f>HYPERLINK("https://ibp.a2mac1.com/costing(costing:projects/details/8191/part/5380907)","Disc")</f>
        <v>Disc</v>
      </c>
      <c r="F115" t="s">
        <v>323</v>
      </c>
    </row>
    <row r="116" spans="1:6" ht="12.75">
      <c r="A116">
        <v>6969936</v>
      </c>
      <c r="B116">
        <v>5380907</v>
      </c>
      <c r="C116" t="s">
        <v>99</v>
      </c>
      <c r="D116" t="s">
        <v>12</v>
      </c>
      <c r="E116" s="2" t="str">
        <f>HYPERLINK("https://ibp.a2mac1.com/costing(costing:projects/details/8191/process/6969936)","Process")</f>
        <v>Process</v>
      </c>
      <c r="F116" t="s">
        <v>348</v>
      </c>
    </row>
    <row r="117" spans="1:6" ht="12.75">
      <c r="A117">
        <v>5315205</v>
      </c>
      <c r="B117">
        <v>6969936</v>
      </c>
      <c r="C117" t="s">
        <v>24</v>
      </c>
      <c r="D117" t="s">
        <v>99</v>
      </c>
      <c r="E117" s="2" t="str">
        <f>HYPERLINK("https://ibp.a2mac1.com/costing(costing:projects/details/8191/material/5315205)","Material")</f>
        <v>Material</v>
      </c>
      <c r="F117" t="s">
        <v>349</v>
      </c>
    </row>
    <row r="118" spans="1:6" ht="12.75">
      <c r="A118">
        <v>6942371</v>
      </c>
      <c r="B118">
        <v>6969936</v>
      </c>
      <c r="C118" t="s">
        <v>189</v>
      </c>
      <c r="D118" t="s">
        <v>99</v>
      </c>
      <c r="E118" s="2" t="str">
        <f>HYPERLINK("https://ibp.a2mac1.com/costing(costing:projects/details/8191/equipment/6942371)","General production process (&gt;10€)")</f>
        <v>General production process (&gt;10€)</v>
      </c>
      <c r="F118" t="s">
        <v>349</v>
      </c>
    </row>
    <row r="119" spans="1:6" ht="12.75">
      <c r="A119">
        <v>5380908</v>
      </c>
      <c r="B119">
        <v>5380888</v>
      </c>
      <c r="C119" t="s">
        <v>12</v>
      </c>
      <c r="D119" t="s">
        <v>8</v>
      </c>
      <c r="E119" s="2" t="str">
        <f>HYPERLINK("https://ibp.a2mac1.com/costing(costing:projects/details/8191/part/5380908)","Backing Plate")</f>
        <v>Backing Plate</v>
      </c>
      <c r="F119" t="s">
        <v>323</v>
      </c>
    </row>
    <row r="120" spans="1:6" ht="12.75">
      <c r="A120">
        <v>5380909</v>
      </c>
      <c r="B120">
        <v>5380888</v>
      </c>
      <c r="C120" t="s">
        <v>12</v>
      </c>
      <c r="D120" t="s">
        <v>8</v>
      </c>
      <c r="E120" s="2" t="str">
        <f>HYPERLINK("https://ibp.a2mac1.com/costing(costing:projects/details/8191/part/5380909)","Hose")</f>
        <v>Hose</v>
      </c>
      <c r="F120" t="s">
        <v>323</v>
      </c>
    </row>
    <row r="121" spans="1:6" ht="12.75">
      <c r="A121">
        <v>5380910</v>
      </c>
      <c r="B121">
        <v>5380888</v>
      </c>
      <c r="C121" t="s">
        <v>12</v>
      </c>
      <c r="D121" t="s">
        <v>8</v>
      </c>
      <c r="E121" s="2" t="str">
        <f>HYPERLINK("https://ibp.a2mac1.com/costing(costing:projects/details/8191/part/5380910)","ABS Sensor")</f>
        <v>ABS Sensor</v>
      </c>
      <c r="F121" t="s">
        <v>323</v>
      </c>
    </row>
    <row r="122" spans="1:6" ht="12.75">
      <c r="A122">
        <v>5380889</v>
      </c>
      <c r="B122">
        <v>5380884</v>
      </c>
      <c r="C122" t="s">
        <v>8</v>
      </c>
      <c r="D122" t="s">
        <v>8</v>
      </c>
      <c r="E122" s="2" t="str">
        <f>HYPERLINK("https://ibp.a2mac1.com/costing(costing:projects/details/8191/assembly/5380889)","Rear Brakes")</f>
        <v>Rear Brakes</v>
      </c>
      <c r="F122" t="s">
        <v>287</v>
      </c>
    </row>
    <row r="123" spans="1:6" ht="12.75">
      <c r="A123">
        <v>5380917</v>
      </c>
      <c r="B123">
        <v>5380889</v>
      </c>
      <c r="C123" t="s">
        <v>8</v>
      </c>
      <c r="D123" t="s">
        <v>8</v>
      </c>
      <c r="E123" s="2" t="str">
        <f>HYPERLINK("https://ibp.a2mac1.com/costing(costing:projects/details/8191/assembly/5380917)","Drums system")</f>
        <v>Drums system</v>
      </c>
      <c r="F123" t="s">
        <v>355</v>
      </c>
    </row>
    <row r="124" spans="1:6" ht="12.75">
      <c r="A124">
        <v>5380935</v>
      </c>
      <c r="B124">
        <v>5380917</v>
      </c>
      <c r="C124" t="s">
        <v>8</v>
      </c>
      <c r="D124" t="s">
        <v>8</v>
      </c>
      <c r="E124" s="2" t="str">
        <f>HYPERLINK("https://ibp.a2mac1.com/costing(costing:projects/details/8191/assembly/5380935)","Shoe Assy")</f>
        <v>Shoe Assy</v>
      </c>
      <c r="F124" t="s">
        <v>356</v>
      </c>
    </row>
    <row r="125" spans="1:6" ht="12.75">
      <c r="A125">
        <v>5380956</v>
      </c>
      <c r="B125">
        <v>5380935</v>
      </c>
      <c r="C125" t="s">
        <v>12</v>
      </c>
      <c r="D125" t="s">
        <v>8</v>
      </c>
      <c r="E125" s="2" t="str">
        <f>HYPERLINK("https://ibp.a2mac1.com/costing(costing:projects/details/8191/part/5380956)","Shoes")</f>
        <v>Shoes</v>
      </c>
      <c r="F125" t="s">
        <v>357</v>
      </c>
    </row>
    <row r="126" spans="1:6" ht="12.75">
      <c r="A126">
        <v>6969999</v>
      </c>
      <c r="B126">
        <v>5380956</v>
      </c>
      <c r="C126" t="s">
        <v>99</v>
      </c>
      <c r="D126" t="s">
        <v>12</v>
      </c>
      <c r="E126" s="2" t="str">
        <f>HYPERLINK("https://ibp.a2mac1.com/costing(costing:projects/details/8191/process/6969999)","Process")</f>
        <v>Process</v>
      </c>
      <c r="F126" t="s">
        <v>358</v>
      </c>
    </row>
    <row r="127" spans="1:6" ht="12.75">
      <c r="A127">
        <v>5315236</v>
      </c>
      <c r="B127">
        <v>6969999</v>
      </c>
      <c r="C127" t="s">
        <v>24</v>
      </c>
      <c r="D127" t="s">
        <v>99</v>
      </c>
      <c r="E127" s="2" t="str">
        <f>HYPERLINK("https://ibp.a2mac1.com/costing(costing:projects/details/8191/material/5315236)","Material")</f>
        <v>Material</v>
      </c>
      <c r="F127" t="s">
        <v>359</v>
      </c>
    </row>
    <row r="128" spans="1:6" ht="12.75">
      <c r="A128">
        <v>6942386</v>
      </c>
      <c r="B128">
        <v>6969999</v>
      </c>
      <c r="C128" t="s">
        <v>189</v>
      </c>
      <c r="D128" t="s">
        <v>99</v>
      </c>
      <c r="E128" s="2" t="str">
        <f>HYPERLINK("https://ibp.a2mac1.com/costing(costing:projects/details/8191/equipment/6942386)","General production process (0.5-10€)")</f>
        <v>General production process (0.5-10€)</v>
      </c>
      <c r="F128" t="s">
        <v>359</v>
      </c>
    </row>
    <row r="129" spans="1:6" ht="12.75">
      <c r="A129">
        <v>5380957</v>
      </c>
      <c r="B129">
        <v>5380935</v>
      </c>
      <c r="C129" t="s">
        <v>12</v>
      </c>
      <c r="D129" t="s">
        <v>8</v>
      </c>
      <c r="E129" s="2" t="str">
        <f>HYPERLINK("https://ibp.a2mac1.com/costing(costing:projects/details/8191/part/5380957)","Wheel Cylinder")</f>
        <v>Wheel Cylinder</v>
      </c>
      <c r="F129" t="s">
        <v>357</v>
      </c>
    </row>
    <row r="130" spans="1:6" ht="12.75">
      <c r="A130">
        <v>6969945</v>
      </c>
      <c r="B130">
        <v>5380935</v>
      </c>
      <c r="C130" t="s">
        <v>99</v>
      </c>
      <c r="D130" t="s">
        <v>8</v>
      </c>
      <c r="E130" s="2" t="str">
        <f>HYPERLINK("https://ibp.a2mac1.com/costing(costing:projects/details/8191/process/6969945)","Shoe Assy")</f>
        <v>Shoe Assy</v>
      </c>
      <c r="F130" t="s">
        <v>357</v>
      </c>
    </row>
    <row r="131" spans="1:6" ht="12.75">
      <c r="A131">
        <v>5380931</v>
      </c>
      <c r="B131">
        <v>5380917</v>
      </c>
      <c r="C131" t="s">
        <v>12</v>
      </c>
      <c r="D131" t="s">
        <v>8</v>
      </c>
      <c r="E131" s="2" t="str">
        <f>HYPERLINK("https://ibp.a2mac1.com/costing(costing:projects/details/8191/part/5380931)","Drum")</f>
        <v>Drum</v>
      </c>
      <c r="F131" t="s">
        <v>356</v>
      </c>
    </row>
    <row r="132" spans="1:6" ht="12.75">
      <c r="A132">
        <v>6969944</v>
      </c>
      <c r="B132">
        <v>5380931</v>
      </c>
      <c r="C132" t="s">
        <v>99</v>
      </c>
      <c r="D132" t="s">
        <v>12</v>
      </c>
      <c r="E132" s="2" t="str">
        <f>HYPERLINK("https://ibp.a2mac1.com/costing(costing:projects/details/8191/process/6969944)","Process")</f>
        <v>Process</v>
      </c>
      <c r="F132" t="s">
        <v>362</v>
      </c>
    </row>
    <row r="133" spans="1:6" ht="12.75">
      <c r="A133">
        <v>5315234</v>
      </c>
      <c r="B133">
        <v>6969944</v>
      </c>
      <c r="C133" t="s">
        <v>24</v>
      </c>
      <c r="D133" t="s">
        <v>99</v>
      </c>
      <c r="E133" s="2" t="str">
        <f>HYPERLINK("https://ibp.a2mac1.com/costing(costing:projects/details/8191/material/5315234)","Material")</f>
        <v>Material</v>
      </c>
      <c r="F133" t="s">
        <v>363</v>
      </c>
    </row>
    <row r="134" spans="1:6" ht="12.75">
      <c r="A134">
        <v>6942385</v>
      </c>
      <c r="B134">
        <v>6969944</v>
      </c>
      <c r="C134" t="s">
        <v>189</v>
      </c>
      <c r="D134" t="s">
        <v>99</v>
      </c>
      <c r="E134" s="2" t="str">
        <f>HYPERLINK("https://ibp.a2mac1.com/costing(costing:projects/details/8191/equipment/6942385)","General production process (0.5-10€)")</f>
        <v>General production process (0.5-10€)</v>
      </c>
      <c r="F134" t="s">
        <v>363</v>
      </c>
    </row>
    <row r="135" spans="1:6" ht="12.75">
      <c r="A135">
        <v>5380932</v>
      </c>
      <c r="B135">
        <v>5380917</v>
      </c>
      <c r="C135" t="s">
        <v>12</v>
      </c>
      <c r="D135" t="s">
        <v>8</v>
      </c>
      <c r="E135" s="2" t="str">
        <f>HYPERLINK("https://ibp.a2mac1.com/costing(costing:projects/details/8191/part/5380932)","Backing Plate")</f>
        <v>Backing Plate</v>
      </c>
      <c r="F135" t="s">
        <v>356</v>
      </c>
    </row>
    <row r="136" spans="1:6" ht="12.75">
      <c r="A136">
        <v>5380933</v>
      </c>
      <c r="B136">
        <v>5380917</v>
      </c>
      <c r="C136" t="s">
        <v>12</v>
      </c>
      <c r="D136" t="s">
        <v>8</v>
      </c>
      <c r="E136" s="2" t="str">
        <f>HYPERLINK("https://ibp.a2mac1.com/costing(costing:projects/details/8191/part/5380933)","Actuator for park brake")</f>
        <v>Actuator for park brake</v>
      </c>
      <c r="F136" t="s">
        <v>356</v>
      </c>
    </row>
    <row r="137" spans="1:6" ht="12.75">
      <c r="A137">
        <v>5380934</v>
      </c>
      <c r="B137">
        <v>5380917</v>
      </c>
      <c r="C137" t="s">
        <v>12</v>
      </c>
      <c r="D137" t="s">
        <v>8</v>
      </c>
      <c r="E137" s="2" t="str">
        <f>HYPERLINK("https://ibp.a2mac1.com/costing(costing:projects/details/8191/part/5380934)","Actuator for park brake support")</f>
        <v>Actuator for park brake support</v>
      </c>
      <c r="F137" t="s">
        <v>356</v>
      </c>
    </row>
    <row r="138" spans="1:6" ht="12.75">
      <c r="A138">
        <v>5380918</v>
      </c>
      <c r="B138">
        <v>5380889</v>
      </c>
      <c r="C138" t="s">
        <v>8</v>
      </c>
      <c r="D138" t="s">
        <v>8</v>
      </c>
      <c r="E138" s="2" t="str">
        <f>HYPERLINK("https://ibp.a2mac1.com/costing(costing:projects/details/8191/assembly/5380918)","ABS Wiring Supports")</f>
        <v>ABS Wiring Supports</v>
      </c>
      <c r="F138" t="s">
        <v>355</v>
      </c>
    </row>
    <row r="139" spans="1:6" ht="12.75">
      <c r="A139">
        <v>5380936</v>
      </c>
      <c r="B139">
        <v>5380918</v>
      </c>
      <c r="C139" t="s">
        <v>12</v>
      </c>
      <c r="D139" t="s">
        <v>8</v>
      </c>
      <c r="E139" s="2" t="str">
        <f>HYPERLINK("https://ibp.a2mac1.com/costing(costing:projects/details/8191/part/5380936)","ABS Wiring Support on Axle")</f>
        <v>ABS Wiring Support on Axle</v>
      </c>
      <c r="F139" t="s">
        <v>369</v>
      </c>
    </row>
    <row r="140" spans="1:6" ht="12.75">
      <c r="A140">
        <v>5380937</v>
      </c>
      <c r="B140">
        <v>5380918</v>
      </c>
      <c r="C140" t="s">
        <v>12</v>
      </c>
      <c r="D140" t="s">
        <v>8</v>
      </c>
      <c r="E140" s="2" t="str">
        <f>HYPERLINK("https://ibp.a2mac1.com/costing(costing:projects/details/8191/part/5380937)","2nd ABS Wiring Support on Axle")</f>
        <v>2nd ABS Wiring Support on Axle</v>
      </c>
      <c r="F140" t="s">
        <v>369</v>
      </c>
    </row>
    <row r="141" spans="1:6" ht="12.75">
      <c r="A141">
        <v>5380914</v>
      </c>
      <c r="B141">
        <v>5380889</v>
      </c>
      <c r="C141" t="s">
        <v>12</v>
      </c>
      <c r="D141" t="s">
        <v>8</v>
      </c>
      <c r="E141" s="2" t="str">
        <f>HYPERLINK("https://ibp.a2mac1.com/costing(costing:projects/details/8191/part/5380914)","Abs Sensor")</f>
        <v>Abs Sensor</v>
      </c>
      <c r="F141" t="s">
        <v>355</v>
      </c>
    </row>
    <row r="142" spans="1:6" ht="12.75">
      <c r="A142">
        <v>5380915</v>
      </c>
      <c r="B142">
        <v>5380889</v>
      </c>
      <c r="C142" t="s">
        <v>12</v>
      </c>
      <c r="D142" t="s">
        <v>8</v>
      </c>
      <c r="E142" s="2" t="str">
        <f>HYPERLINK("https://ibp.a2mac1.com/costing(costing:projects/details/8191/part/5380915)","Left Hoses")</f>
        <v>Left Hoses</v>
      </c>
      <c r="F142" t="s">
        <v>355</v>
      </c>
    </row>
    <row r="143" spans="1:6" ht="12.75">
      <c r="A143">
        <v>5380916</v>
      </c>
      <c r="B143">
        <v>5380889</v>
      </c>
      <c r="C143" t="s">
        <v>12</v>
      </c>
      <c r="D143" t="s">
        <v>8</v>
      </c>
      <c r="E143" s="2" t="str">
        <f>HYPERLINK("https://ibp.a2mac1.com/costing(costing:projects/details/8191/part/5380916)","Hose Support")</f>
        <v>Hose Support</v>
      </c>
      <c r="F143" t="s">
        <v>355</v>
      </c>
    </row>
    <row r="144" spans="1:6" ht="12.75">
      <c r="A144">
        <v>5380997</v>
      </c>
      <c r="B144">
        <v>8191</v>
      </c>
      <c r="C144" t="s">
        <v>8</v>
      </c>
      <c r="D144" t="s">
        <v>6</v>
      </c>
      <c r="E144" s="2" t="str">
        <f>HYPERLINK("https://ibp.a2mac1.com/costing(costing:projects/details/8191/assembly/5380997)","Suspension")</f>
        <v>Suspension</v>
      </c>
      <c r="F144" t="s">
        <v>9</v>
      </c>
    </row>
    <row r="145" spans="1:6" ht="12.75">
      <c r="A145">
        <v>5380998</v>
      </c>
      <c r="B145">
        <v>5380997</v>
      </c>
      <c r="C145" t="s">
        <v>8</v>
      </c>
      <c r="D145" t="s">
        <v>8</v>
      </c>
      <c r="E145" s="2" t="str">
        <f>HYPERLINK("https://ibp.a2mac1.com/costing(costing:projects/details/8191/assembly/5380998)","Shocks absorbers")</f>
        <v>Shocks absorbers</v>
      </c>
      <c r="F145" t="s">
        <v>378</v>
      </c>
    </row>
    <row r="146" spans="1:6" ht="12.75">
      <c r="A146">
        <v>5381004</v>
      </c>
      <c r="B146">
        <v>5380998</v>
      </c>
      <c r="C146" t="s">
        <v>8</v>
      </c>
      <c r="D146" t="s">
        <v>8</v>
      </c>
      <c r="E146" s="2" t="str">
        <f>HYPERLINK("https://ibp.a2mac1.com/costing(costing:projects/details/8191/assembly/5381004)","Front")</f>
        <v>Front</v>
      </c>
      <c r="F146" t="s">
        <v>379</v>
      </c>
    </row>
    <row r="147" spans="1:6" ht="12.75">
      <c r="A147">
        <v>5381059</v>
      </c>
      <c r="B147">
        <v>5381004</v>
      </c>
      <c r="C147" t="s">
        <v>12</v>
      </c>
      <c r="D147" t="s">
        <v>8</v>
      </c>
      <c r="E147" s="2" t="str">
        <f>HYPERLINK("https://ibp.a2mac1.com/costing(costing:projects/details/8191/part/5381059)","Shock Absorber")</f>
        <v>Shock Absorber</v>
      </c>
      <c r="F147" t="s">
        <v>380</v>
      </c>
    </row>
    <row r="148" spans="1:6" ht="12.75">
      <c r="A148">
        <v>6970060</v>
      </c>
      <c r="B148">
        <v>5381059</v>
      </c>
      <c r="C148" t="s">
        <v>99</v>
      </c>
      <c r="D148" t="s">
        <v>12</v>
      </c>
      <c r="E148" s="2" t="str">
        <f>HYPERLINK("https://ibp.a2mac1.com/costing(costing:projects/details/8191/process/6970060)","Process")</f>
        <v>Process</v>
      </c>
      <c r="F148" t="s">
        <v>381</v>
      </c>
    </row>
    <row r="149" spans="1:6" ht="12.75">
      <c r="A149">
        <v>5315259</v>
      </c>
      <c r="B149">
        <v>6970060</v>
      </c>
      <c r="C149" t="s">
        <v>24</v>
      </c>
      <c r="D149" t="s">
        <v>99</v>
      </c>
      <c r="E149" s="2" t="str">
        <f>HYPERLINK("https://ibp.a2mac1.com/costing(costing:projects/details/8191/material/5315259)","Material")</f>
        <v>Material</v>
      </c>
      <c r="F149" t="s">
        <v>382</v>
      </c>
    </row>
    <row r="150" spans="1:6" ht="12.75">
      <c r="A150">
        <v>6942480</v>
      </c>
      <c r="B150">
        <v>6970060</v>
      </c>
      <c r="C150" t="s">
        <v>189</v>
      </c>
      <c r="D150" t="s">
        <v>99</v>
      </c>
      <c r="E150" s="2" t="str">
        <f>HYPERLINK("https://ibp.a2mac1.com/costing(costing:projects/details/8191/equipment/6942480)","General production process (&gt;10€)")</f>
        <v>General production process (&gt;10€)</v>
      </c>
      <c r="F150" t="s">
        <v>382</v>
      </c>
    </row>
    <row r="151" spans="1:6" ht="12.75">
      <c r="A151">
        <v>5381060</v>
      </c>
      <c r="B151">
        <v>5381004</v>
      </c>
      <c r="C151" t="s">
        <v>12</v>
      </c>
      <c r="D151" t="s">
        <v>8</v>
      </c>
      <c r="E151" s="2" t="str">
        <f>HYPERLINK("https://ibp.a2mac1.com/costing(costing:projects/details/8191/part/5381060)","Coil Spring")</f>
        <v>Coil Spring</v>
      </c>
      <c r="F151" t="s">
        <v>380</v>
      </c>
    </row>
    <row r="152" spans="1:6" ht="12.75">
      <c r="A152">
        <v>5381061</v>
      </c>
      <c r="B152">
        <v>5381004</v>
      </c>
      <c r="C152" t="s">
        <v>12</v>
      </c>
      <c r="D152" t="s">
        <v>8</v>
      </c>
      <c r="E152" s="2" t="str">
        <f>HYPERLINK("https://ibp.a2mac1.com/costing(costing:projects/details/8191/part/5381061)","Tower cover")</f>
        <v>Tower cover</v>
      </c>
      <c r="F152" t="s">
        <v>380</v>
      </c>
    </row>
    <row r="153" spans="1:6" ht="12.75">
      <c r="A153">
        <v>5381062</v>
      </c>
      <c r="B153">
        <v>5381004</v>
      </c>
      <c r="C153" t="s">
        <v>12</v>
      </c>
      <c r="D153" t="s">
        <v>8</v>
      </c>
      <c r="E153" s="2" t="str">
        <f>HYPERLINK("https://ibp.a2mac1.com/costing(costing:projects/details/8191/part/5381062)","Strut mount housing")</f>
        <v>Strut mount housing</v>
      </c>
      <c r="F153" t="s">
        <v>380</v>
      </c>
    </row>
    <row r="154" spans="1:6" ht="12.75">
      <c r="A154">
        <v>5381063</v>
      </c>
      <c r="B154">
        <v>5381004</v>
      </c>
      <c r="C154" t="s">
        <v>12</v>
      </c>
      <c r="D154" t="s">
        <v>8</v>
      </c>
      <c r="E154" s="2" t="str">
        <f>HYPERLINK("https://ibp.a2mac1.com/costing(costing:projects/details/8191/part/5381063)","Axial bearing")</f>
        <v>Axial bearing</v>
      </c>
      <c r="F154" t="s">
        <v>380</v>
      </c>
    </row>
    <row r="155" spans="1:6" ht="12.75">
      <c r="A155">
        <v>5381064</v>
      </c>
      <c r="B155">
        <v>5381004</v>
      </c>
      <c r="C155" t="s">
        <v>12</v>
      </c>
      <c r="D155" t="s">
        <v>8</v>
      </c>
      <c r="E155" s="2" t="str">
        <f>HYPERLINK("https://ibp.a2mac1.com/costing(costing:projects/details/8191/part/5381064)","Strut stopper")</f>
        <v>Strut stopper</v>
      </c>
      <c r="F155" t="s">
        <v>380</v>
      </c>
    </row>
    <row r="156" spans="1:6" ht="12.75">
      <c r="A156">
        <v>5381065</v>
      </c>
      <c r="B156">
        <v>5381004</v>
      </c>
      <c r="C156" t="s">
        <v>12</v>
      </c>
      <c r="D156" t="s">
        <v>8</v>
      </c>
      <c r="E156" s="2" t="str">
        <f>HYPERLINK("https://ibp.a2mac1.com/costing(costing:projects/details/8191/part/5381065)","Dust cover bellows")</f>
        <v>Dust cover bellows</v>
      </c>
      <c r="F156" t="s">
        <v>380</v>
      </c>
    </row>
    <row r="157" spans="1:6" ht="12.75">
      <c r="A157">
        <v>5381066</v>
      </c>
      <c r="B157">
        <v>5381004</v>
      </c>
      <c r="C157" t="s">
        <v>12</v>
      </c>
      <c r="D157" t="s">
        <v>8</v>
      </c>
      <c r="E157" s="2" t="str">
        <f>HYPERLINK("https://ibp.a2mac1.com/costing(costing:projects/details/8191/part/5381066)","Dust cover cap")</f>
        <v>Dust cover cap</v>
      </c>
      <c r="F157" t="s">
        <v>380</v>
      </c>
    </row>
    <row r="158" spans="1:6" ht="12.75">
      <c r="A158">
        <v>5381067</v>
      </c>
      <c r="B158">
        <v>5381004</v>
      </c>
      <c r="C158" t="s">
        <v>12</v>
      </c>
      <c r="D158" t="s">
        <v>8</v>
      </c>
      <c r="E158" s="2" t="str">
        <f>HYPERLINK("https://ibp.a2mac1.com/costing(costing:projects/details/8191/part/5381067)","Coil Spring Insulator Lower")</f>
        <v>Coil Spring Insulator Lower</v>
      </c>
      <c r="F158" t="s">
        <v>380</v>
      </c>
    </row>
    <row r="159" spans="1:6" ht="12.75">
      <c r="A159">
        <v>5381068</v>
      </c>
      <c r="B159">
        <v>5381004</v>
      </c>
      <c r="C159" t="s">
        <v>12</v>
      </c>
      <c r="D159" t="s">
        <v>8</v>
      </c>
      <c r="E159" s="2" t="str">
        <f>HYPERLINK("https://ibp.a2mac1.com/costing(costing:projects/details/8191/part/5381068)","Coil Spring Insulator Upper/Tower Interface")</f>
        <v>Coil Spring Insulator Upper/Tower Interface</v>
      </c>
      <c r="F159" t="s">
        <v>380</v>
      </c>
    </row>
    <row r="160" spans="1:6" ht="12.75">
      <c r="A160">
        <v>5381069</v>
      </c>
      <c r="B160">
        <v>5381004</v>
      </c>
      <c r="C160" t="s">
        <v>12</v>
      </c>
      <c r="D160" t="s">
        <v>8</v>
      </c>
      <c r="E160" s="2" t="str">
        <f>HYPERLINK("https://ibp.a2mac1.com/costing(costing:projects/details/8191/part/5381069)","Strut Stopper Support")</f>
        <v>Strut Stopper Support</v>
      </c>
      <c r="F160" t="s">
        <v>380</v>
      </c>
    </row>
    <row r="161" spans="1:6" ht="12.75">
      <c r="A161">
        <v>6970053</v>
      </c>
      <c r="B161">
        <v>5381004</v>
      </c>
      <c r="C161" t="s">
        <v>99</v>
      </c>
      <c r="D161" t="s">
        <v>8</v>
      </c>
      <c r="E161" s="2" t="str">
        <f>HYPERLINK("https://ibp.a2mac1.com/costing(costing:projects/details/8191/process/6970053)","Process")</f>
        <v>Process</v>
      </c>
      <c r="F161" t="s">
        <v>380</v>
      </c>
    </row>
    <row r="162" spans="1:6" ht="12.75">
      <c r="A162">
        <v>6942425</v>
      </c>
      <c r="B162">
        <v>6970053</v>
      </c>
      <c r="C162" t="s">
        <v>189</v>
      </c>
      <c r="D162" t="s">
        <v>99</v>
      </c>
      <c r="E162" s="2" t="str">
        <f>HYPERLINK("https://ibp.a2mac1.com/costing(costing:projects/details/8191/equipment/6942425)","General production process (0.5-10€)")</f>
        <v>General production process (0.5-10€)</v>
      </c>
      <c r="F162" t="s">
        <v>395</v>
      </c>
    </row>
    <row r="163" spans="1:6" ht="12.75">
      <c r="A163">
        <v>5381005</v>
      </c>
      <c r="B163">
        <v>5380998</v>
      </c>
      <c r="C163" t="s">
        <v>8</v>
      </c>
      <c r="D163" t="s">
        <v>8</v>
      </c>
      <c r="E163" s="2" t="str">
        <f>HYPERLINK("https://ibp.a2mac1.com/costing(costing:projects/details/8191/assembly/5381005)","Rear")</f>
        <v>Rear</v>
      </c>
      <c r="F163" t="s">
        <v>379</v>
      </c>
    </row>
    <row r="164" spans="1:6" ht="12.75">
      <c r="A164">
        <v>5381070</v>
      </c>
      <c r="B164">
        <v>5381005</v>
      </c>
      <c r="C164" t="s">
        <v>12</v>
      </c>
      <c r="D164" t="s">
        <v>8</v>
      </c>
      <c r="E164" s="2" t="str">
        <f>HYPERLINK("https://ibp.a2mac1.com/costing(costing:projects/details/8191/part/5381070)","Shock Absorber")</f>
        <v>Shock Absorber</v>
      </c>
      <c r="F164" t="s">
        <v>397</v>
      </c>
    </row>
    <row r="165" spans="1:6" ht="12.75">
      <c r="A165">
        <v>6970061</v>
      </c>
      <c r="B165">
        <v>5381070</v>
      </c>
      <c r="C165" t="s">
        <v>99</v>
      </c>
      <c r="D165" t="s">
        <v>12</v>
      </c>
      <c r="E165" s="2" t="str">
        <f>HYPERLINK("https://ibp.a2mac1.com/costing(costing:projects/details/8191/process/6970061)","Process")</f>
        <v>Process</v>
      </c>
      <c r="F165" t="s">
        <v>398</v>
      </c>
    </row>
    <row r="166" spans="1:6" ht="12.75">
      <c r="A166">
        <v>5315260</v>
      </c>
      <c r="B166">
        <v>6970061</v>
      </c>
      <c r="C166" t="s">
        <v>24</v>
      </c>
      <c r="D166" t="s">
        <v>99</v>
      </c>
      <c r="E166" s="2" t="str">
        <f>HYPERLINK("https://ibp.a2mac1.com/costing(costing:projects/details/8191/material/5315260)","Material")</f>
        <v>Material</v>
      </c>
      <c r="F166" t="s">
        <v>399</v>
      </c>
    </row>
    <row r="167" spans="1:6" ht="12.75">
      <c r="A167">
        <v>6942481</v>
      </c>
      <c r="B167">
        <v>6970061</v>
      </c>
      <c r="C167" t="s">
        <v>189</v>
      </c>
      <c r="D167" t="s">
        <v>99</v>
      </c>
      <c r="E167" s="2" t="str">
        <f>HYPERLINK("https://ibp.a2mac1.com/costing(costing:projects/details/8191/equipment/6942481)","General production process (&gt;10€)")</f>
        <v>General production process (&gt;10€)</v>
      </c>
      <c r="F167" t="s">
        <v>399</v>
      </c>
    </row>
    <row r="168" spans="1:6" ht="12.75">
      <c r="A168">
        <v>5381071</v>
      </c>
      <c r="B168">
        <v>5381005</v>
      </c>
      <c r="C168" t="s">
        <v>12</v>
      </c>
      <c r="D168" t="s">
        <v>8</v>
      </c>
      <c r="E168" s="2" t="str">
        <f>HYPERLINK("https://ibp.a2mac1.com/costing(costing:projects/details/8191/part/5381071)","Dust Cover Shock Absorber")</f>
        <v>Dust Cover Shock Absorber</v>
      </c>
      <c r="F168" t="s">
        <v>397</v>
      </c>
    </row>
    <row r="169" spans="1:6" ht="12.75">
      <c r="A169">
        <v>5381072</v>
      </c>
      <c r="B169">
        <v>5381005</v>
      </c>
      <c r="C169" t="s">
        <v>12</v>
      </c>
      <c r="D169" t="s">
        <v>8</v>
      </c>
      <c r="E169" s="2" t="str">
        <f>HYPERLINK("https://ibp.a2mac1.com/costing(costing:projects/details/8191/part/5381072)","Dust Cover")</f>
        <v>Dust Cover</v>
      </c>
      <c r="F169" t="s">
        <v>397</v>
      </c>
    </row>
    <row r="170" spans="1:6" ht="12.75">
      <c r="A170">
        <v>5381073</v>
      </c>
      <c r="B170">
        <v>5381005</v>
      </c>
      <c r="C170" t="s">
        <v>12</v>
      </c>
      <c r="D170" t="s">
        <v>8</v>
      </c>
      <c r="E170" s="2" t="str">
        <f>HYPERLINK("https://ibp.a2mac1.com/costing(costing:projects/details/8191/part/5381073)","Strut Stopper")</f>
        <v>Strut Stopper</v>
      </c>
      <c r="F170" t="s">
        <v>397</v>
      </c>
    </row>
    <row r="171" spans="1:6" ht="12.75">
      <c r="A171">
        <v>5381074</v>
      </c>
      <c r="B171">
        <v>5381005</v>
      </c>
      <c r="C171" t="s">
        <v>12</v>
      </c>
      <c r="D171" t="s">
        <v>8</v>
      </c>
      <c r="E171" s="2" t="str">
        <f>HYPERLINK("https://ibp.a2mac1.com/costing(costing:projects/details/8191/part/5381074)","Stopper Protection")</f>
        <v>Stopper Protection</v>
      </c>
      <c r="F171" t="s">
        <v>397</v>
      </c>
    </row>
    <row r="172" spans="1:6" ht="12.75">
      <c r="A172">
        <v>5381075</v>
      </c>
      <c r="B172">
        <v>5381005</v>
      </c>
      <c r="C172" t="s">
        <v>12</v>
      </c>
      <c r="D172" t="s">
        <v>8</v>
      </c>
      <c r="E172" s="2" t="str">
        <f>HYPERLINK("https://ibp.a2mac1.com/costing(costing:projects/details/8191/part/5381075)","Upper Fastener")</f>
        <v>Upper Fastener</v>
      </c>
      <c r="F172" t="s">
        <v>397</v>
      </c>
    </row>
    <row r="173" spans="1:6" ht="12.75">
      <c r="A173">
        <v>5381076</v>
      </c>
      <c r="B173">
        <v>5381005</v>
      </c>
      <c r="C173" t="s">
        <v>12</v>
      </c>
      <c r="D173" t="s">
        <v>8</v>
      </c>
      <c r="E173" s="2" t="str">
        <f>HYPERLINK("https://ibp.a2mac1.com/costing(costing:projects/details/8191/part/5381076)","Tower Cover")</f>
        <v>Tower Cover</v>
      </c>
      <c r="F173" t="s">
        <v>397</v>
      </c>
    </row>
    <row r="174" spans="1:6" ht="12.75">
      <c r="A174">
        <v>6970054</v>
      </c>
      <c r="B174">
        <v>5381005</v>
      </c>
      <c r="C174" t="s">
        <v>99</v>
      </c>
      <c r="D174" t="s">
        <v>8</v>
      </c>
      <c r="E174" s="2" t="str">
        <f>HYPERLINK("https://ibp.a2mac1.com/costing(costing:projects/details/8191/process/6970054)","Process")</f>
        <v>Process</v>
      </c>
      <c r="F174" t="s">
        <v>397</v>
      </c>
    </row>
    <row r="175" spans="1:6" ht="12.75">
      <c r="A175">
        <v>6942426</v>
      </c>
      <c r="B175">
        <v>6970054</v>
      </c>
      <c r="C175" t="s">
        <v>189</v>
      </c>
      <c r="D175" t="s">
        <v>99</v>
      </c>
      <c r="E175" s="2" t="str">
        <f>HYPERLINK("https://ibp.a2mac1.com/costing(costing:projects/details/8191/equipment/6942426)","General production process (0.5-10€)")</f>
        <v>General production process (0.5-10€)</v>
      </c>
      <c r="F175" t="s">
        <v>407</v>
      </c>
    </row>
    <row r="176" spans="1:6" ht="12.75">
      <c r="A176">
        <v>5381001</v>
      </c>
      <c r="B176">
        <v>5380998</v>
      </c>
      <c r="C176" t="s">
        <v>12</v>
      </c>
      <c r="D176" t="s">
        <v>8</v>
      </c>
      <c r="E176" s="2" t="str">
        <f>HYPERLINK("https://ibp.a2mac1.com/costing(costing:projects/details/8191/part/5381001)","Coil Spring")</f>
        <v>Coil Spring</v>
      </c>
      <c r="F176" t="s">
        <v>379</v>
      </c>
    </row>
    <row r="177" spans="1:6" ht="12.75">
      <c r="A177">
        <v>5381002</v>
      </c>
      <c r="B177">
        <v>5380998</v>
      </c>
      <c r="C177" t="s">
        <v>12</v>
      </c>
      <c r="D177" t="s">
        <v>8</v>
      </c>
      <c r="E177" s="2" t="str">
        <f>HYPERLINK("https://ibp.a2mac1.com/costing(costing:projects/details/8191/part/5381002)","Upper Coil Spring Tower")</f>
        <v>Upper Coil Spring Tower</v>
      </c>
      <c r="F177" t="s">
        <v>379</v>
      </c>
    </row>
    <row r="178" spans="1:6" ht="12.75">
      <c r="A178">
        <v>5381003</v>
      </c>
      <c r="B178">
        <v>5380998</v>
      </c>
      <c r="C178" t="s">
        <v>12</v>
      </c>
      <c r="D178" t="s">
        <v>8</v>
      </c>
      <c r="E178" s="2" t="str">
        <f>HYPERLINK("https://ibp.a2mac1.com/costing(costing:projects/details/8191/part/5381003)","Lower Coil Spring Tower")</f>
        <v>Lower Coil Spring Tower</v>
      </c>
      <c r="F178" t="s">
        <v>379</v>
      </c>
    </row>
    <row r="179" spans="1:6" ht="12.75">
      <c r="A179">
        <v>5380999</v>
      </c>
      <c r="B179">
        <v>5380997</v>
      </c>
      <c r="C179" t="s">
        <v>8</v>
      </c>
      <c r="D179" t="s">
        <v>8</v>
      </c>
      <c r="E179" s="2" t="str">
        <f>HYPERLINK("https://ibp.a2mac1.com/costing(costing:projects/details/8191/assembly/5380999)","Axles")</f>
        <v>Axles</v>
      </c>
      <c r="F179" t="s">
        <v>378</v>
      </c>
    </row>
    <row r="180" spans="1:6" ht="12.75">
      <c r="A180">
        <v>5381006</v>
      </c>
      <c r="B180">
        <v>5380999</v>
      </c>
      <c r="C180" t="s">
        <v>8</v>
      </c>
      <c r="D180" t="s">
        <v>8</v>
      </c>
      <c r="E180" s="2" t="str">
        <f>HYPERLINK("https://ibp.a2mac1.com/costing(costing:projects/details/8191/assembly/5381006)","Front Axle")</f>
        <v>Front Axle</v>
      </c>
      <c r="F180" t="s">
        <v>410</v>
      </c>
    </row>
    <row r="181" spans="1:6" ht="12.75">
      <c r="A181">
        <v>5381079</v>
      </c>
      <c r="B181">
        <v>5381006</v>
      </c>
      <c r="C181" t="s">
        <v>8</v>
      </c>
      <c r="D181" t="s">
        <v>8</v>
      </c>
      <c r="E181" s="2" t="str">
        <f>HYPERLINK("https://ibp.a2mac1.com/costing(costing:projects/details/8191/assembly/5381079)","K-Frame Reinforcement System")</f>
        <v>K-Frame Reinforcement System</v>
      </c>
      <c r="F181" t="s">
        <v>411</v>
      </c>
    </row>
    <row r="182" spans="1:6" ht="12.75">
      <c r="A182">
        <v>5381094</v>
      </c>
      <c r="B182">
        <v>5381079</v>
      </c>
      <c r="C182" t="s">
        <v>12</v>
      </c>
      <c r="D182" t="s">
        <v>8</v>
      </c>
      <c r="E182" s="2" t="str">
        <f>HYPERLINK("https://ibp.a2mac1.com/costing(costing:projects/details/8191/part/5381094)","Rear Reinforcement")</f>
        <v>Rear Reinforcement</v>
      </c>
      <c r="F182" t="s">
        <v>412</v>
      </c>
    </row>
    <row r="183" spans="1:6" ht="12.75">
      <c r="A183">
        <v>5381095</v>
      </c>
      <c r="B183">
        <v>5381079</v>
      </c>
      <c r="C183" t="s">
        <v>12</v>
      </c>
      <c r="D183" t="s">
        <v>8</v>
      </c>
      <c r="E183" s="2" t="str">
        <f>HYPERLINK("https://ibp.a2mac1.com/costing(costing:projects/details/8191/part/5381095)","Front Reinforcement")</f>
        <v>Front Reinforcement</v>
      </c>
      <c r="F183" t="s">
        <v>412</v>
      </c>
    </row>
    <row r="184" spans="1:6" ht="12.75">
      <c r="A184">
        <v>5381080</v>
      </c>
      <c r="B184">
        <v>5381006</v>
      </c>
      <c r="C184" t="s">
        <v>8</v>
      </c>
      <c r="D184" t="s">
        <v>8</v>
      </c>
      <c r="E184" s="2" t="str">
        <f>HYPERLINK("https://ibp.a2mac1.com/costing(costing:projects/details/8191/assembly/5381080)","Arm Suspension System")</f>
        <v>Arm Suspension System</v>
      </c>
      <c r="F184" t="s">
        <v>411</v>
      </c>
    </row>
    <row r="185" spans="1:6" ht="12.75">
      <c r="A185">
        <v>5381096</v>
      </c>
      <c r="B185">
        <v>5381080</v>
      </c>
      <c r="C185" t="s">
        <v>12</v>
      </c>
      <c r="D185" t="s">
        <v>8</v>
      </c>
      <c r="E185" s="2" t="str">
        <f>HYPERLINK("https://ibp.a2mac1.com/costing(costing:projects/details/8191/part/5381096)","Left Lower Triangle")</f>
        <v>Left Lower Triangle</v>
      </c>
      <c r="F185" t="s">
        <v>416</v>
      </c>
    </row>
    <row r="186" spans="1:6" ht="12.75">
      <c r="A186">
        <v>6970068</v>
      </c>
      <c r="B186">
        <v>5381096</v>
      </c>
      <c r="C186" t="s">
        <v>99</v>
      </c>
      <c r="D186" t="s">
        <v>12</v>
      </c>
      <c r="E186" s="2" t="str">
        <f>HYPERLINK("https://ibp.a2mac1.com/costing(costing:projects/details/8191/process/6970068)","Process")</f>
        <v>Process</v>
      </c>
      <c r="F186" t="s">
        <v>417</v>
      </c>
    </row>
    <row r="187" spans="1:6" ht="12.75">
      <c r="A187">
        <v>5315265</v>
      </c>
      <c r="B187">
        <v>6970068</v>
      </c>
      <c r="C187" t="s">
        <v>24</v>
      </c>
      <c r="D187" t="s">
        <v>99</v>
      </c>
      <c r="E187" s="2" t="str">
        <f>HYPERLINK("https://ibp.a2mac1.com/costing(costing:projects/details/8191/material/5315265)","Material")</f>
        <v>Material</v>
      </c>
      <c r="F187" t="s">
        <v>418</v>
      </c>
    </row>
    <row r="188" spans="1:6" ht="12.75">
      <c r="A188">
        <v>6942514</v>
      </c>
      <c r="B188">
        <v>6970068</v>
      </c>
      <c r="C188" t="s">
        <v>189</v>
      </c>
      <c r="D188" t="s">
        <v>99</v>
      </c>
      <c r="E188" s="2" t="str">
        <f>HYPERLINK("https://ibp.a2mac1.com/costing(costing:projects/details/8191/equipment/6942514)","General production process (0.5-10€)")</f>
        <v>General production process (0.5-10€)</v>
      </c>
      <c r="F188" t="s">
        <v>418</v>
      </c>
    </row>
    <row r="189" spans="1:6" ht="12.75">
      <c r="A189">
        <v>5381081</v>
      </c>
      <c r="B189">
        <v>5381006</v>
      </c>
      <c r="C189" t="s">
        <v>8</v>
      </c>
      <c r="D189" t="s">
        <v>8</v>
      </c>
      <c r="E189" s="2" t="str">
        <f>HYPERLINK("https://ibp.a2mac1.com/costing(costing:projects/details/8191/assembly/5381081)","Stabilizer Bar System")</f>
        <v>Stabilizer Bar System</v>
      </c>
      <c r="F189" t="s">
        <v>411</v>
      </c>
    </row>
    <row r="190" spans="1:6" ht="12.75">
      <c r="A190">
        <v>5381097</v>
      </c>
      <c r="B190">
        <v>5381081</v>
      </c>
      <c r="C190" t="s">
        <v>12</v>
      </c>
      <c r="D190" t="s">
        <v>8</v>
      </c>
      <c r="E190" s="2" t="str">
        <f>HYPERLINK("https://ibp.a2mac1.com/costing(costing:projects/details/8191/part/5381097)","Stabilizer Bar, Rubber Mounts and Brackets")</f>
        <v>Stabilizer Bar, Rubber Mounts and Brackets</v>
      </c>
      <c r="F190" t="s">
        <v>421</v>
      </c>
    </row>
    <row r="191" spans="1:6" ht="12.75">
      <c r="A191">
        <v>6970069</v>
      </c>
      <c r="B191">
        <v>5381097</v>
      </c>
      <c r="C191" t="s">
        <v>99</v>
      </c>
      <c r="D191" t="s">
        <v>12</v>
      </c>
      <c r="E191" s="2" t="str">
        <f>HYPERLINK("https://ibp.a2mac1.com/costing(costing:projects/details/8191/process/6970069)","Process")</f>
        <v>Process</v>
      </c>
      <c r="F191" t="s">
        <v>422</v>
      </c>
    </row>
    <row r="192" spans="1:6" ht="12.75">
      <c r="A192">
        <v>5315266</v>
      </c>
      <c r="B192">
        <v>6970069</v>
      </c>
      <c r="C192" t="s">
        <v>24</v>
      </c>
      <c r="D192" t="s">
        <v>99</v>
      </c>
      <c r="E192" s="2" t="str">
        <f>HYPERLINK("https://ibp.a2mac1.com/costing(costing:projects/details/8191/material/5315266)","Material")</f>
        <v>Material</v>
      </c>
      <c r="F192" t="s">
        <v>423</v>
      </c>
    </row>
    <row r="193" spans="1:6" ht="12.75">
      <c r="A193">
        <v>6942515</v>
      </c>
      <c r="B193">
        <v>6970069</v>
      </c>
      <c r="C193" t="s">
        <v>189</v>
      </c>
      <c r="D193" t="s">
        <v>99</v>
      </c>
      <c r="E193" s="2" t="str">
        <f>HYPERLINK("https://ibp.a2mac1.com/costing(costing:projects/details/8191/equipment/6942515)","General production process (0.5-10€)")</f>
        <v>General production process (0.5-10€)</v>
      </c>
      <c r="F193" t="s">
        <v>423</v>
      </c>
    </row>
    <row r="194" spans="1:6" ht="12.75">
      <c r="A194">
        <v>5381098</v>
      </c>
      <c r="B194">
        <v>5381081</v>
      </c>
      <c r="C194" t="s">
        <v>12</v>
      </c>
      <c r="D194" t="s">
        <v>8</v>
      </c>
      <c r="E194" s="2" t="str">
        <f>HYPERLINK("https://ibp.a2mac1.com/costing(costing:projects/details/8191/part/5381098)","Stabilizer Link")</f>
        <v>Stabilizer Link</v>
      </c>
      <c r="F194" t="s">
        <v>421</v>
      </c>
    </row>
    <row r="195" spans="1:6" ht="12.75">
      <c r="A195">
        <v>5381082</v>
      </c>
      <c r="B195">
        <v>5381006</v>
      </c>
      <c r="C195" t="s">
        <v>8</v>
      </c>
      <c r="D195" t="s">
        <v>8</v>
      </c>
      <c r="E195" s="2" t="str">
        <f>HYPERLINK("https://ibp.a2mac1.com/costing(costing:projects/details/8191/assembly/5381082)","Steering Knuckle")</f>
        <v>Steering Knuckle</v>
      </c>
      <c r="F195" t="s">
        <v>411</v>
      </c>
    </row>
    <row r="196" spans="1:6" ht="12.75">
      <c r="A196">
        <v>5381099</v>
      </c>
      <c r="B196">
        <v>5381082</v>
      </c>
      <c r="C196" t="s">
        <v>12</v>
      </c>
      <c r="D196" t="s">
        <v>8</v>
      </c>
      <c r="E196" s="2" t="str">
        <f>HYPERLINK("https://ibp.a2mac1.com/costing(costing:projects/details/8191/part/5381099)","Steering Knuckle")</f>
        <v>Steering Knuckle</v>
      </c>
      <c r="F196" t="s">
        <v>427</v>
      </c>
    </row>
    <row r="197" spans="1:6" ht="12.75">
      <c r="A197">
        <v>6970070</v>
      </c>
      <c r="B197">
        <v>5381099</v>
      </c>
      <c r="C197" t="s">
        <v>99</v>
      </c>
      <c r="D197" t="s">
        <v>12</v>
      </c>
      <c r="E197" s="2" t="str">
        <f>HYPERLINK("https://ibp.a2mac1.com/costing(costing:projects/details/8191/process/6970070)","Process")</f>
        <v>Process</v>
      </c>
      <c r="F197" t="s">
        <v>428</v>
      </c>
    </row>
    <row r="198" spans="1:6" ht="12.75">
      <c r="A198">
        <v>5315267</v>
      </c>
      <c r="B198">
        <v>6970070</v>
      </c>
      <c r="C198" t="s">
        <v>24</v>
      </c>
      <c r="D198" t="s">
        <v>99</v>
      </c>
      <c r="E198" s="2" t="str">
        <f>HYPERLINK("https://ibp.a2mac1.com/costing(costing:projects/details/8191/material/5315267)","Material")</f>
        <v>Material</v>
      </c>
      <c r="F198" t="s">
        <v>429</v>
      </c>
    </row>
    <row r="199" spans="1:6" ht="12.75">
      <c r="A199">
        <v>6942516</v>
      </c>
      <c r="B199">
        <v>6970070</v>
      </c>
      <c r="C199" t="s">
        <v>189</v>
      </c>
      <c r="D199" t="s">
        <v>99</v>
      </c>
      <c r="E199" s="2" t="str">
        <f>HYPERLINK("https://ibp.a2mac1.com/costing(costing:projects/details/8191/equipment/6942516)","General production process (&gt;10€)")</f>
        <v>General production process (&gt;10€)</v>
      </c>
      <c r="F199" t="s">
        <v>429</v>
      </c>
    </row>
    <row r="200" spans="1:6" ht="12.75">
      <c r="A200">
        <v>5381100</v>
      </c>
      <c r="B200">
        <v>5381082</v>
      </c>
      <c r="C200" t="s">
        <v>12</v>
      </c>
      <c r="D200" t="s">
        <v>8</v>
      </c>
      <c r="E200" s="2" t="str">
        <f>HYPERLINK("https://ibp.a2mac1.com/costing(costing:projects/details/8191/part/5381100)","Hub and Bearing")</f>
        <v>Hub and Bearing</v>
      </c>
      <c r="F200" t="s">
        <v>427</v>
      </c>
    </row>
    <row r="201" spans="1:6" ht="12.75">
      <c r="A201">
        <v>6970071</v>
      </c>
      <c r="B201">
        <v>5381100</v>
      </c>
      <c r="C201" t="s">
        <v>99</v>
      </c>
      <c r="D201" t="s">
        <v>12</v>
      </c>
      <c r="E201" s="2" t="str">
        <f>HYPERLINK("https://ibp.a2mac1.com/costing(costing:projects/details/8191/process/6970071)","Process")</f>
        <v>Process</v>
      </c>
      <c r="F201" t="s">
        <v>431</v>
      </c>
    </row>
    <row r="202" spans="1:6" ht="12.75">
      <c r="A202">
        <v>5315268</v>
      </c>
      <c r="B202">
        <v>6970071</v>
      </c>
      <c r="C202" t="s">
        <v>24</v>
      </c>
      <c r="D202" t="s">
        <v>99</v>
      </c>
      <c r="E202" s="2" t="str">
        <f>HYPERLINK("https://ibp.a2mac1.com/costing(costing:projects/details/8191/material/5315268)","Material")</f>
        <v>Material</v>
      </c>
      <c r="F202" t="s">
        <v>432</v>
      </c>
    </row>
    <row r="203" spans="1:6" ht="12.75">
      <c r="A203">
        <v>6942517</v>
      </c>
      <c r="B203">
        <v>6970071</v>
      </c>
      <c r="C203" t="s">
        <v>189</v>
      </c>
      <c r="D203" t="s">
        <v>99</v>
      </c>
      <c r="E203" s="2" t="str">
        <f>HYPERLINK("https://ibp.a2mac1.com/costing(costing:projects/details/8191/equipment/6942517)","General production process (&gt;10€)")</f>
        <v>General production process (&gt;10€)</v>
      </c>
      <c r="F203" t="s">
        <v>432</v>
      </c>
    </row>
    <row r="204" spans="1:6" ht="12.75">
      <c r="A204">
        <v>5381083</v>
      </c>
      <c r="B204">
        <v>5381006</v>
      </c>
      <c r="C204" t="s">
        <v>8</v>
      </c>
      <c r="D204" t="s">
        <v>8</v>
      </c>
      <c r="E204" s="2" t="str">
        <f>HYPERLINK("https://ibp.a2mac1.com/costing(costing:projects/details/8191/assembly/5381083)","K-Frame")</f>
        <v>K-Frame</v>
      </c>
      <c r="F204" t="s">
        <v>411</v>
      </c>
    </row>
    <row r="205" spans="1:6" ht="12.75">
      <c r="A205">
        <v>5381101</v>
      </c>
      <c r="B205">
        <v>5381083</v>
      </c>
      <c r="C205" t="s">
        <v>12</v>
      </c>
      <c r="D205" t="s">
        <v>8</v>
      </c>
      <c r="E205" s="2" t="str">
        <f>HYPERLINK("https://ibp.a2mac1.com/costing(costing:projects/details/8191/part/5381101)","K-Frame Parts")</f>
        <v>K-Frame Parts</v>
      </c>
      <c r="F205" t="s">
        <v>435</v>
      </c>
    </row>
    <row r="206" spans="1:6" ht="12.75">
      <c r="A206">
        <v>6970072</v>
      </c>
      <c r="B206">
        <v>5381101</v>
      </c>
      <c r="C206" t="s">
        <v>99</v>
      </c>
      <c r="D206" t="s">
        <v>12</v>
      </c>
      <c r="E206" s="2" t="str">
        <f>HYPERLINK("https://ibp.a2mac1.com/costing(costing:projects/details/8191/process/6970072)","Process")</f>
        <v>Process</v>
      </c>
      <c r="F206" t="s">
        <v>436</v>
      </c>
    </row>
    <row r="207" spans="1:6" ht="12.75">
      <c r="A207">
        <v>5315269</v>
      </c>
      <c r="B207">
        <v>6970072</v>
      </c>
      <c r="C207" t="s">
        <v>24</v>
      </c>
      <c r="D207" t="s">
        <v>99</v>
      </c>
      <c r="E207" s="2" t="str">
        <f>HYPERLINK("https://ibp.a2mac1.com/costing(costing:projects/details/8191/material/5315269)","Material")</f>
        <v>Material</v>
      </c>
      <c r="F207" t="s">
        <v>437</v>
      </c>
    </row>
    <row r="208" spans="1:6" ht="12.75">
      <c r="A208">
        <v>6942518</v>
      </c>
      <c r="B208">
        <v>6970072</v>
      </c>
      <c r="C208" t="s">
        <v>189</v>
      </c>
      <c r="D208" t="s">
        <v>99</v>
      </c>
      <c r="E208" s="2" t="str">
        <f>HYPERLINK("https://ibp.a2mac1.com/costing(costing:projects/details/8191/equipment/6942518)","General production process (&gt;10€)")</f>
        <v>General production process (&gt;10€)</v>
      </c>
      <c r="F208" t="s">
        <v>437</v>
      </c>
    </row>
    <row r="209" spans="1:6" ht="12.75">
      <c r="A209">
        <v>6970062</v>
      </c>
      <c r="B209">
        <v>5381083</v>
      </c>
      <c r="C209" t="s">
        <v>99</v>
      </c>
      <c r="D209" t="s">
        <v>8</v>
      </c>
      <c r="E209" s="2" t="str">
        <f>HYPERLINK("https://ibp.a2mac1.com/costing(costing:projects/details/8191/process/6970062)","Assembly")</f>
        <v>Assembly</v>
      </c>
      <c r="F209" t="s">
        <v>435</v>
      </c>
    </row>
    <row r="210" spans="1:6" ht="12.75">
      <c r="A210">
        <v>6942482</v>
      </c>
      <c r="B210">
        <v>6970062</v>
      </c>
      <c r="C210" t="s">
        <v>189</v>
      </c>
      <c r="D210" t="s">
        <v>99</v>
      </c>
      <c r="E210" s="2" t="str">
        <f>HYPERLINK("https://ibp.a2mac1.com/costing(costing:projects/details/8191/equipment/6942482)","General production process (0.5-10€)")</f>
        <v>General production process (0.5-10€)</v>
      </c>
      <c r="F210" t="s">
        <v>438</v>
      </c>
    </row>
    <row r="211" spans="1:6" ht="12.75">
      <c r="A211">
        <v>5381077</v>
      </c>
      <c r="B211">
        <v>5381006</v>
      </c>
      <c r="C211" t="s">
        <v>12</v>
      </c>
      <c r="D211" t="s">
        <v>8</v>
      </c>
      <c r="E211" s="2" t="str">
        <f>HYPERLINK("https://ibp.a2mac1.com/costing(costing:projects/details/8191/part/5381077)","Lower Swivel Joint")</f>
        <v>Lower Swivel Joint</v>
      </c>
      <c r="F211" t="s">
        <v>411</v>
      </c>
    </row>
    <row r="212" spans="1:6" ht="12.75">
      <c r="A212">
        <v>5381078</v>
      </c>
      <c r="B212">
        <v>5381006</v>
      </c>
      <c r="C212" t="s">
        <v>12</v>
      </c>
      <c r="D212" t="s">
        <v>8</v>
      </c>
      <c r="E212" s="2" t="str">
        <f>HYPERLINK("https://ibp.a2mac1.com/costing(costing:projects/details/8191/part/5381078)","Suspension Rod Protection")</f>
        <v>Suspension Rod Protection</v>
      </c>
      <c r="F212" t="s">
        <v>411</v>
      </c>
    </row>
    <row r="213" spans="1:6" ht="12.75">
      <c r="A213">
        <v>5381007</v>
      </c>
      <c r="B213">
        <v>5380999</v>
      </c>
      <c r="C213" t="s">
        <v>8</v>
      </c>
      <c r="D213" t="s">
        <v>8</v>
      </c>
      <c r="E213" s="2" t="str">
        <f>HYPERLINK("https://ibp.a2mac1.com/costing(costing:projects/details/8191/assembly/5381007)","Rear Axle")</f>
        <v>Rear Axle</v>
      </c>
      <c r="F213" t="s">
        <v>410</v>
      </c>
    </row>
    <row r="214" spans="1:6" ht="12.75">
      <c r="A214">
        <v>5381085</v>
      </c>
      <c r="B214">
        <v>5381007</v>
      </c>
      <c r="C214" t="s">
        <v>8</v>
      </c>
      <c r="D214" t="s">
        <v>8</v>
      </c>
      <c r="E214" s="2" t="str">
        <f>HYPERLINK("https://ibp.a2mac1.com/costing(costing:projects/details/8191/assembly/5381085)","Arm Suspension System")</f>
        <v>Arm Suspension System</v>
      </c>
      <c r="F214" t="s">
        <v>443</v>
      </c>
    </row>
    <row r="215" spans="1:6" ht="12.75">
      <c r="A215">
        <v>5381102</v>
      </c>
      <c r="B215">
        <v>5381085</v>
      </c>
      <c r="C215" t="s">
        <v>12</v>
      </c>
      <c r="D215" t="s">
        <v>8</v>
      </c>
      <c r="E215" s="2" t="str">
        <f>HYPERLINK("https://ibp.a2mac1.com/costing(costing:projects/details/8191/part/5381102)","Upper Transversal Arm")</f>
        <v>Upper Transversal Arm</v>
      </c>
      <c r="F215" t="s">
        <v>444</v>
      </c>
    </row>
    <row r="216" spans="1:6" ht="12.75">
      <c r="A216">
        <v>6970073</v>
      </c>
      <c r="B216">
        <v>5381102</v>
      </c>
      <c r="C216" t="s">
        <v>99</v>
      </c>
      <c r="D216" t="s">
        <v>12</v>
      </c>
      <c r="E216" s="2" t="str">
        <f>HYPERLINK("https://ibp.a2mac1.com/costing(costing:projects/details/8191/process/6970073)","Process")</f>
        <v>Process</v>
      </c>
      <c r="F216" t="s">
        <v>445</v>
      </c>
    </row>
    <row r="217" spans="1:6" ht="12.75">
      <c r="A217">
        <v>5315270</v>
      </c>
      <c r="B217">
        <v>6970073</v>
      </c>
      <c r="C217" t="s">
        <v>24</v>
      </c>
      <c r="D217" t="s">
        <v>99</v>
      </c>
      <c r="E217" s="2" t="str">
        <f>HYPERLINK("https://ibp.a2mac1.com/costing(costing:projects/details/8191/material/5315270)","Material")</f>
        <v>Material</v>
      </c>
      <c r="F217" t="s">
        <v>446</v>
      </c>
    </row>
    <row r="218" spans="1:6" ht="12.75">
      <c r="A218">
        <v>6942519</v>
      </c>
      <c r="B218">
        <v>6970073</v>
      </c>
      <c r="C218" t="s">
        <v>189</v>
      </c>
      <c r="D218" t="s">
        <v>99</v>
      </c>
      <c r="E218" s="2" t="str">
        <f>HYPERLINK("https://ibp.a2mac1.com/costing(costing:projects/details/8191/equipment/6942519)","General production process (0.5-10€)")</f>
        <v>General production process (0.5-10€)</v>
      </c>
      <c r="F218" t="s">
        <v>446</v>
      </c>
    </row>
    <row r="219" spans="1:6" ht="12.75">
      <c r="A219">
        <v>5381103</v>
      </c>
      <c r="B219">
        <v>5381085</v>
      </c>
      <c r="C219" t="s">
        <v>12</v>
      </c>
      <c r="D219" t="s">
        <v>8</v>
      </c>
      <c r="E219" s="2" t="str">
        <f>HYPERLINK("https://ibp.a2mac1.com/costing(costing:projects/details/8191/part/5381103)","Upper Transversal Arm Secondary")</f>
        <v>Upper Transversal Arm Secondary</v>
      </c>
      <c r="F219" t="s">
        <v>444</v>
      </c>
    </row>
    <row r="220" spans="1:6" ht="12.75">
      <c r="A220">
        <v>6970074</v>
      </c>
      <c r="B220">
        <v>5381103</v>
      </c>
      <c r="C220" t="s">
        <v>99</v>
      </c>
      <c r="D220" t="s">
        <v>12</v>
      </c>
      <c r="E220" s="2" t="str">
        <f>HYPERLINK("https://ibp.a2mac1.com/costing(costing:projects/details/8191/process/6970074)","Process")</f>
        <v>Process</v>
      </c>
      <c r="F220" t="s">
        <v>448</v>
      </c>
    </row>
    <row r="221" spans="1:6" ht="12.75">
      <c r="A221">
        <v>5315271</v>
      </c>
      <c r="B221">
        <v>6970074</v>
      </c>
      <c r="C221" t="s">
        <v>24</v>
      </c>
      <c r="D221" t="s">
        <v>99</v>
      </c>
      <c r="E221" s="2" t="str">
        <f>HYPERLINK("https://ibp.a2mac1.com/costing(costing:projects/details/8191/material/5315271)","Material")</f>
        <v>Material</v>
      </c>
      <c r="F221" t="s">
        <v>449</v>
      </c>
    </row>
    <row r="222" spans="1:6" ht="12.75">
      <c r="A222">
        <v>6942520</v>
      </c>
      <c r="B222">
        <v>6970074</v>
      </c>
      <c r="C222" t="s">
        <v>189</v>
      </c>
      <c r="D222" t="s">
        <v>99</v>
      </c>
      <c r="E222" s="2" t="str">
        <f>HYPERLINK("https://ibp.a2mac1.com/costing(costing:projects/details/8191/equipment/6942520)","General production process (0.5-10€)")</f>
        <v>General production process (0.5-10€)</v>
      </c>
      <c r="F222" t="s">
        <v>449</v>
      </c>
    </row>
    <row r="223" spans="1:6" ht="12.75">
      <c r="A223">
        <v>5381104</v>
      </c>
      <c r="B223">
        <v>5381085</v>
      </c>
      <c r="C223" t="s">
        <v>12</v>
      </c>
      <c r="D223" t="s">
        <v>8</v>
      </c>
      <c r="E223" s="2" t="str">
        <f>HYPERLINK("https://ibp.a2mac1.com/costing(costing:projects/details/8191/part/5381104)","Lower Transversal Arm")</f>
        <v>Lower Transversal Arm</v>
      </c>
      <c r="F223" t="s">
        <v>444</v>
      </c>
    </row>
    <row r="224" spans="1:6" ht="12.75">
      <c r="A224">
        <v>5381105</v>
      </c>
      <c r="B224">
        <v>5381085</v>
      </c>
      <c r="C224" t="s">
        <v>12</v>
      </c>
      <c r="D224" t="s">
        <v>8</v>
      </c>
      <c r="E224" s="2" t="str">
        <f>HYPERLINK("https://ibp.a2mac1.com/costing(costing:projects/details/8191/part/5381105)","Lower Transversal Arm Secondary")</f>
        <v>Lower Transversal Arm Secondary</v>
      </c>
      <c r="F224" t="s">
        <v>444</v>
      </c>
    </row>
    <row r="225" spans="1:6" ht="12.75">
      <c r="A225">
        <v>5381106</v>
      </c>
      <c r="B225">
        <v>5381085</v>
      </c>
      <c r="C225" t="s">
        <v>12</v>
      </c>
      <c r="D225" t="s">
        <v>8</v>
      </c>
      <c r="E225" s="2" t="str">
        <f>HYPERLINK("https://ibp.a2mac1.com/costing(costing:projects/details/8191/part/5381106)","Rear Control Arm")</f>
        <v>Rear Control Arm</v>
      </c>
      <c r="F225" t="s">
        <v>444</v>
      </c>
    </row>
    <row r="226" spans="1:6" ht="12.75">
      <c r="A226">
        <v>5381086</v>
      </c>
      <c r="B226">
        <v>5381007</v>
      </c>
      <c r="C226" t="s">
        <v>8</v>
      </c>
      <c r="D226" t="s">
        <v>8</v>
      </c>
      <c r="E226" s="2" t="str">
        <f>HYPERLINK("https://ibp.a2mac1.com/costing(costing:projects/details/8191/assembly/5381086)","Stabilizer Bar System")</f>
        <v>Stabilizer Bar System</v>
      </c>
      <c r="F226" t="s">
        <v>443</v>
      </c>
    </row>
    <row r="227" spans="1:6" ht="12.75">
      <c r="A227">
        <v>5381107</v>
      </c>
      <c r="B227">
        <v>5381086</v>
      </c>
      <c r="C227" t="s">
        <v>12</v>
      </c>
      <c r="D227" t="s">
        <v>8</v>
      </c>
      <c r="E227" s="2" t="str">
        <f>HYPERLINK("https://ibp.a2mac1.com/costing(costing:projects/details/8191/part/5381107)","Stabilizer Bar")</f>
        <v>Stabilizer Bar</v>
      </c>
      <c r="F227" t="s">
        <v>455</v>
      </c>
    </row>
    <row r="228" spans="1:6" ht="12.75">
      <c r="A228">
        <v>6970075</v>
      </c>
      <c r="B228">
        <v>5381107</v>
      </c>
      <c r="C228" t="s">
        <v>99</v>
      </c>
      <c r="D228" t="s">
        <v>12</v>
      </c>
      <c r="E228" s="2" t="str">
        <f>HYPERLINK("https://ibp.a2mac1.com/costing(costing:projects/details/8191/process/6970075)","Process")</f>
        <v>Process</v>
      </c>
      <c r="F228" t="s">
        <v>456</v>
      </c>
    </row>
    <row r="229" spans="1:6" ht="12.75">
      <c r="A229">
        <v>5315272</v>
      </c>
      <c r="B229">
        <v>6970075</v>
      </c>
      <c r="C229" t="s">
        <v>24</v>
      </c>
      <c r="D229" t="s">
        <v>99</v>
      </c>
      <c r="E229" s="2" t="str">
        <f>HYPERLINK("https://ibp.a2mac1.com/costing(costing:projects/details/8191/material/5315272)","Material")</f>
        <v>Material</v>
      </c>
      <c r="F229" t="s">
        <v>457</v>
      </c>
    </row>
    <row r="230" spans="1:6" ht="12.75">
      <c r="A230">
        <v>6942521</v>
      </c>
      <c r="B230">
        <v>6970075</v>
      </c>
      <c r="C230" t="s">
        <v>189</v>
      </c>
      <c r="D230" t="s">
        <v>99</v>
      </c>
      <c r="E230" s="2" t="str">
        <f>HYPERLINK("https://ibp.a2mac1.com/costing(costing:projects/details/8191/equipment/6942521)","General production process (0.5-10€)")</f>
        <v>General production process (0.5-10€)</v>
      </c>
      <c r="F230" t="s">
        <v>457</v>
      </c>
    </row>
    <row r="231" spans="1:6" ht="12.75">
      <c r="A231">
        <v>5381108</v>
      </c>
      <c r="B231">
        <v>5381086</v>
      </c>
      <c r="C231" t="s">
        <v>12</v>
      </c>
      <c r="D231" t="s">
        <v>8</v>
      </c>
      <c r="E231" s="2" t="str">
        <f>HYPERLINK("https://ibp.a2mac1.com/costing(costing:projects/details/8191/part/5381108)","Support")</f>
        <v>Support</v>
      </c>
      <c r="F231" t="s">
        <v>455</v>
      </c>
    </row>
    <row r="232" spans="1:6" ht="12.75">
      <c r="A232">
        <v>5381109</v>
      </c>
      <c r="B232">
        <v>5381086</v>
      </c>
      <c r="C232" t="s">
        <v>12</v>
      </c>
      <c r="D232" t="s">
        <v>8</v>
      </c>
      <c r="E232" s="2" t="str">
        <f>HYPERLINK("https://ibp.a2mac1.com/costing(costing:projects/details/8191/part/5381109)","Stabilizer Link")</f>
        <v>Stabilizer Link</v>
      </c>
      <c r="F232" t="s">
        <v>455</v>
      </c>
    </row>
    <row r="233" spans="1:6" ht="12.75">
      <c r="A233">
        <v>5381087</v>
      </c>
      <c r="B233">
        <v>5381007</v>
      </c>
      <c r="C233" t="s">
        <v>8</v>
      </c>
      <c r="D233" t="s">
        <v>8</v>
      </c>
      <c r="E233" s="2" t="str">
        <f>HYPERLINK("https://ibp.a2mac1.com/costing(costing:projects/details/8191/assembly/5381087)","Axle Cover/Aerodynamics Screen")</f>
        <v>Axle Cover/Aerodynamics Screen</v>
      </c>
      <c r="F233" t="s">
        <v>443</v>
      </c>
    </row>
    <row r="234" spans="1:6" ht="12.75">
      <c r="A234">
        <v>5381110</v>
      </c>
      <c r="B234">
        <v>5381087</v>
      </c>
      <c r="C234" t="s">
        <v>12</v>
      </c>
      <c r="D234" t="s">
        <v>8</v>
      </c>
      <c r="E234" s="2" t="str">
        <f>HYPERLINK("https://ibp.a2mac1.com/costing(costing:projects/details/8191/part/5381110)","Left and Right if Similar")</f>
        <v>Left and Right if Similar</v>
      </c>
      <c r="F234" t="s">
        <v>462</v>
      </c>
    </row>
    <row r="235" spans="1:6" ht="12.75">
      <c r="A235">
        <v>5381088</v>
      </c>
      <c r="B235">
        <v>5381007</v>
      </c>
      <c r="C235" t="s">
        <v>8</v>
      </c>
      <c r="D235" t="s">
        <v>8</v>
      </c>
      <c r="E235" s="2" t="str">
        <f>HYPERLINK("https://ibp.a2mac1.com/costing(costing:projects/details/8191/assembly/5381088)","Rear Axle")</f>
        <v>Rear Axle</v>
      </c>
      <c r="F235" t="s">
        <v>443</v>
      </c>
    </row>
    <row r="236" spans="1:6" ht="12.75">
      <c r="A236">
        <v>5381111</v>
      </c>
      <c r="B236">
        <v>5381088</v>
      </c>
      <c r="C236" t="s">
        <v>12</v>
      </c>
      <c r="D236" t="s">
        <v>8</v>
      </c>
      <c r="E236" s="2" t="str">
        <f>HYPERLINK("https://ibp.a2mac1.com/costing(costing:projects/details/8191/part/5381111)","Rear Axle Parts")</f>
        <v>Rear Axle Parts</v>
      </c>
      <c r="F236" t="s">
        <v>465</v>
      </c>
    </row>
    <row r="237" spans="1:6" ht="12.75">
      <c r="A237">
        <v>6970076</v>
      </c>
      <c r="B237">
        <v>5381111</v>
      </c>
      <c r="C237" t="s">
        <v>99</v>
      </c>
      <c r="D237" t="s">
        <v>12</v>
      </c>
      <c r="E237" s="2" t="str">
        <f>HYPERLINK("https://ibp.a2mac1.com/costing(costing:projects/details/8191/process/6970076)","Process")</f>
        <v>Process</v>
      </c>
      <c r="F237" t="s">
        <v>466</v>
      </c>
    </row>
    <row r="238" spans="1:6" ht="12.75">
      <c r="A238">
        <v>5315273</v>
      </c>
      <c r="B238">
        <v>6970076</v>
      </c>
      <c r="C238" t="s">
        <v>24</v>
      </c>
      <c r="D238" t="s">
        <v>99</v>
      </c>
      <c r="E238" s="2" t="str">
        <f>HYPERLINK("https://ibp.a2mac1.com/costing(costing:projects/details/8191/material/5315273)","Material")</f>
        <v>Material</v>
      </c>
      <c r="F238" t="s">
        <v>467</v>
      </c>
    </row>
    <row r="239" spans="1:6" ht="12.75">
      <c r="A239">
        <v>6942522</v>
      </c>
      <c r="B239">
        <v>6970076</v>
      </c>
      <c r="C239" t="s">
        <v>189</v>
      </c>
      <c r="D239" t="s">
        <v>99</v>
      </c>
      <c r="E239" s="2" t="str">
        <f>HYPERLINK("https://ibp.a2mac1.com/costing(costing:projects/details/8191/equipment/6942522)","General production process (&gt;10€)")</f>
        <v>General production process (&gt;10€)</v>
      </c>
      <c r="F239" t="s">
        <v>467</v>
      </c>
    </row>
    <row r="240" spans="1:6" ht="12.75">
      <c r="A240">
        <v>6970064</v>
      </c>
      <c r="B240">
        <v>5381088</v>
      </c>
      <c r="C240" t="s">
        <v>99</v>
      </c>
      <c r="D240" t="s">
        <v>8</v>
      </c>
      <c r="E240" s="2" t="str">
        <f>HYPERLINK("https://ibp.a2mac1.com/costing(costing:projects/details/8191/process/6970064)","Assembly")</f>
        <v>Assembly</v>
      </c>
      <c r="F240" t="s">
        <v>465</v>
      </c>
    </row>
    <row r="241" spans="1:6" ht="12.75">
      <c r="A241">
        <v>6942484</v>
      </c>
      <c r="B241">
        <v>6970064</v>
      </c>
      <c r="C241" t="s">
        <v>189</v>
      </c>
      <c r="D241" t="s">
        <v>99</v>
      </c>
      <c r="E241" s="2" t="str">
        <f>HYPERLINK("https://ibp.a2mac1.com/costing(costing:projects/details/8191/equipment/6942484)","General production process (&gt;10€)")</f>
        <v>General production process (&gt;10€)</v>
      </c>
      <c r="F241" t="s">
        <v>468</v>
      </c>
    </row>
    <row r="242" spans="1:6" ht="12.75">
      <c r="A242">
        <v>5381084</v>
      </c>
      <c r="B242">
        <v>5381007</v>
      </c>
      <c r="C242" t="s">
        <v>12</v>
      </c>
      <c r="D242" t="s">
        <v>8</v>
      </c>
      <c r="E242" s="2" t="str">
        <f>HYPERLINK("https://ibp.a2mac1.com/costing(costing:projects/details/8191/part/5381084)","Bearing Hub")</f>
        <v>Bearing Hub</v>
      </c>
      <c r="F242" t="s">
        <v>443</v>
      </c>
    </row>
    <row r="243" spans="1:6" ht="12.75">
      <c r="A243">
        <v>6970063</v>
      </c>
      <c r="B243">
        <v>5381084</v>
      </c>
      <c r="C243" t="s">
        <v>99</v>
      </c>
      <c r="D243" t="s">
        <v>12</v>
      </c>
      <c r="E243" s="2" t="str">
        <f>HYPERLINK("https://ibp.a2mac1.com/costing(costing:projects/details/8191/process/6970063)","Process [2]")</f>
        <v>Process [2]</v>
      </c>
      <c r="F243" t="s">
        <v>470</v>
      </c>
    </row>
    <row r="244" spans="1:6" ht="12.75">
      <c r="A244">
        <v>5315261</v>
      </c>
      <c r="B244">
        <v>6970063</v>
      </c>
      <c r="C244" t="s">
        <v>24</v>
      </c>
      <c r="D244" t="s">
        <v>99</v>
      </c>
      <c r="E244" s="2" t="str">
        <f>HYPERLINK("https://ibp.a2mac1.com/costing(costing:projects/details/8191/material/5315261)","Material")</f>
        <v>Material</v>
      </c>
      <c r="F244" t="s">
        <v>471</v>
      </c>
    </row>
    <row r="245" spans="1:6" ht="12.75">
      <c r="A245">
        <v>6942483</v>
      </c>
      <c r="B245">
        <v>6970063</v>
      </c>
      <c r="C245" t="s">
        <v>189</v>
      </c>
      <c r="D245" t="s">
        <v>99</v>
      </c>
      <c r="E245" s="2" t="str">
        <f>HYPERLINK("https://ibp.a2mac1.com/costing(costing:projects/details/8191/equipment/6942483)","General production process (&gt;10€)")</f>
        <v>General production process (&gt;10€)</v>
      </c>
      <c r="F245" t="s">
        <v>471</v>
      </c>
    </row>
    <row r="246" spans="1:6" ht="12.75">
      <c r="A246">
        <v>5381089</v>
      </c>
      <c r="B246">
        <v>5381007</v>
      </c>
      <c r="C246" t="s">
        <v>12</v>
      </c>
      <c r="D246" t="s">
        <v>8</v>
      </c>
      <c r="E246" s="2" t="str">
        <f>HYPERLINK("https://ibp.a2mac1.com/costing(costing:projects/details/8191/part/5381089)","Knuckle Right")</f>
        <v>Knuckle Right</v>
      </c>
      <c r="F246" t="s">
        <v>443</v>
      </c>
    </row>
    <row r="247" spans="1:6" ht="12.75">
      <c r="A247">
        <v>6970065</v>
      </c>
      <c r="B247">
        <v>5381089</v>
      </c>
      <c r="C247" t="s">
        <v>99</v>
      </c>
      <c r="D247" t="s">
        <v>12</v>
      </c>
      <c r="E247" s="2" t="str">
        <f>HYPERLINK("https://ibp.a2mac1.com/costing(costing:projects/details/8191/process/6970065)","Process [2]")</f>
        <v>Process [2]</v>
      </c>
      <c r="F247" t="s">
        <v>473</v>
      </c>
    </row>
    <row r="248" spans="1:6" ht="12.75">
      <c r="A248">
        <v>5315262</v>
      </c>
      <c r="B248">
        <v>6970065</v>
      </c>
      <c r="C248" t="s">
        <v>24</v>
      </c>
      <c r="D248" t="s">
        <v>99</v>
      </c>
      <c r="E248" s="2" t="str">
        <f>HYPERLINK("https://ibp.a2mac1.com/costing(costing:projects/details/8191/material/5315262)","Material")</f>
        <v>Material</v>
      </c>
      <c r="F248" t="s">
        <v>474</v>
      </c>
    </row>
    <row r="249" spans="1:6" ht="12.75">
      <c r="A249">
        <v>6942485</v>
      </c>
      <c r="B249">
        <v>6970065</v>
      </c>
      <c r="C249" t="s">
        <v>189</v>
      </c>
      <c r="D249" t="s">
        <v>99</v>
      </c>
      <c r="E249" s="2" t="str">
        <f>HYPERLINK("https://ibp.a2mac1.com/costing(costing:projects/details/8191/equipment/6942485)","General production process (0.5-10€)")</f>
        <v>General production process (0.5-10€)</v>
      </c>
      <c r="F249" t="s">
        <v>474</v>
      </c>
    </row>
    <row r="250" spans="1:6" ht="12.75">
      <c r="A250">
        <v>5381090</v>
      </c>
      <c r="B250">
        <v>5381007</v>
      </c>
      <c r="C250" t="s">
        <v>12</v>
      </c>
      <c r="D250" t="s">
        <v>8</v>
      </c>
      <c r="E250" s="2" t="str">
        <f>HYPERLINK("https://ibp.a2mac1.com/costing(costing:projects/details/8191/part/5381090)","Knuckle Right ")</f>
        <v xml:space="preserve">Knuckle Right </v>
      </c>
      <c r="F250" t="s">
        <v>443</v>
      </c>
    </row>
    <row r="251" spans="1:6" ht="12.75">
      <c r="A251">
        <v>6970066</v>
      </c>
      <c r="B251">
        <v>5381090</v>
      </c>
      <c r="C251" t="s">
        <v>99</v>
      </c>
      <c r="D251" t="s">
        <v>12</v>
      </c>
      <c r="E251" s="2" t="str">
        <f>HYPERLINK("https://ibp.a2mac1.com/costing(costing:projects/details/8191/process/6970066)","Process")</f>
        <v>Process</v>
      </c>
      <c r="F251" t="s">
        <v>475</v>
      </c>
    </row>
    <row r="252" spans="1:6" ht="12.75">
      <c r="A252">
        <v>5315263</v>
      </c>
      <c r="B252">
        <v>6970066</v>
      </c>
      <c r="C252" t="s">
        <v>24</v>
      </c>
      <c r="D252" t="s">
        <v>99</v>
      </c>
      <c r="E252" s="2" t="str">
        <f>HYPERLINK("https://ibp.a2mac1.com/costing(costing:projects/details/8191/material/5315263)","Material")</f>
        <v>Material</v>
      </c>
      <c r="F252" t="s">
        <v>476</v>
      </c>
    </row>
    <row r="253" spans="1:6" ht="12.75">
      <c r="A253">
        <v>6942486</v>
      </c>
      <c r="B253">
        <v>6970066</v>
      </c>
      <c r="C253" t="s">
        <v>189</v>
      </c>
      <c r="D253" t="s">
        <v>99</v>
      </c>
      <c r="E253" s="2" t="str">
        <f>HYPERLINK("https://ibp.a2mac1.com/costing(costing:projects/details/8191/equipment/6942486)","General production process (0.5-10€)")</f>
        <v>General production process (0.5-10€)</v>
      </c>
      <c r="F253" t="s">
        <v>476</v>
      </c>
    </row>
    <row r="254" spans="1:6" ht="12.75">
      <c r="A254">
        <v>5381000</v>
      </c>
      <c r="B254">
        <v>5380997</v>
      </c>
      <c r="C254" t="s">
        <v>8</v>
      </c>
      <c r="D254" t="s">
        <v>8</v>
      </c>
      <c r="E254" s="2" t="str">
        <f>HYPERLINK("https://ibp.a2mac1.com/costing(costing:projects/details/8191/assembly/5381000)","Wheels")</f>
        <v>Wheels</v>
      </c>
      <c r="F254" t="s">
        <v>378</v>
      </c>
    </row>
    <row r="255" spans="1:6" ht="12.75">
      <c r="A255">
        <v>5381009</v>
      </c>
      <c r="B255">
        <v>5381000</v>
      </c>
      <c r="C255" t="s">
        <v>8</v>
      </c>
      <c r="D255" t="s">
        <v>8</v>
      </c>
      <c r="E255" s="2" t="str">
        <f>HYPERLINK("https://ibp.a2mac1.com/costing(costing:projects/details/8191/assembly/5381009)","Wheels")</f>
        <v>Wheels</v>
      </c>
      <c r="F255" t="s">
        <v>479</v>
      </c>
    </row>
    <row r="256" spans="1:6" ht="12.75">
      <c r="A256">
        <v>5381091</v>
      </c>
      <c r="B256">
        <v>5381009</v>
      </c>
      <c r="C256" t="s">
        <v>12</v>
      </c>
      <c r="D256" t="s">
        <v>8</v>
      </c>
      <c r="E256" s="2" t="str">
        <f>HYPERLINK("https://ibp.a2mac1.com/costing(costing:projects/details/8191/part/5381091)","Rim")</f>
        <v>Rim</v>
      </c>
      <c r="F256" t="s">
        <v>480</v>
      </c>
    </row>
    <row r="257" spans="1:6" ht="12.75">
      <c r="A257">
        <v>6970067</v>
      </c>
      <c r="B257">
        <v>5381091</v>
      </c>
      <c r="C257" t="s">
        <v>99</v>
      </c>
      <c r="D257" t="s">
        <v>12</v>
      </c>
      <c r="E257" s="2" t="str">
        <f>HYPERLINK("https://ibp.a2mac1.com/costing(costing:projects/details/8191/process/6970067)","Process")</f>
        <v>Process</v>
      </c>
      <c r="F257" t="s">
        <v>481</v>
      </c>
    </row>
    <row r="258" spans="1:6" ht="12.75">
      <c r="A258">
        <v>5315264</v>
      </c>
      <c r="B258">
        <v>6970067</v>
      </c>
      <c r="C258" t="s">
        <v>24</v>
      </c>
      <c r="D258" t="s">
        <v>99</v>
      </c>
      <c r="E258" s="2" t="str">
        <f>HYPERLINK("https://ibp.a2mac1.com/costing(costing:projects/details/8191/material/5315264)","Material")</f>
        <v>Material</v>
      </c>
      <c r="F258" t="s">
        <v>482</v>
      </c>
    </row>
    <row r="259" spans="1:6" ht="12.75">
      <c r="A259">
        <v>6942487</v>
      </c>
      <c r="B259">
        <v>6970067</v>
      </c>
      <c r="C259" t="s">
        <v>189</v>
      </c>
      <c r="D259" t="s">
        <v>99</v>
      </c>
      <c r="E259" s="2" t="str">
        <f>HYPERLINK("https://ibp.a2mac1.com/costing(costing:projects/details/8191/equipment/6942487)","General production process (&gt;10€)")</f>
        <v>General production process (&gt;10€)</v>
      </c>
      <c r="F259" t="s">
        <v>482</v>
      </c>
    </row>
    <row r="260" spans="1:6" ht="12.75">
      <c r="A260">
        <v>5381092</v>
      </c>
      <c r="B260">
        <v>5381009</v>
      </c>
      <c r="C260" t="s">
        <v>12</v>
      </c>
      <c r="D260" t="s">
        <v>8</v>
      </c>
      <c r="E260" s="2" t="str">
        <f>HYPERLINK("https://ibp.a2mac1.com/costing(costing:projects/details/8191/part/5381092)","Tires")</f>
        <v>Tires</v>
      </c>
      <c r="F260" t="s">
        <v>480</v>
      </c>
    </row>
    <row r="261" spans="1:6" ht="12.75">
      <c r="A261">
        <v>5381093</v>
      </c>
      <c r="B261">
        <v>5381009</v>
      </c>
      <c r="C261" t="s">
        <v>12</v>
      </c>
      <c r="D261" t="s">
        <v>8</v>
      </c>
      <c r="E261" s="2" t="str">
        <f>HYPERLINK("https://ibp.a2mac1.com/costing(costing:projects/details/8191/part/5381093)","Valve")</f>
        <v>Valve</v>
      </c>
      <c r="F261" t="s">
        <v>480</v>
      </c>
    </row>
    <row r="262" spans="1:6" ht="12.75">
      <c r="A262">
        <v>5381008</v>
      </c>
      <c r="B262">
        <v>5381000</v>
      </c>
      <c r="C262" t="s">
        <v>12</v>
      </c>
      <c r="D262" t="s">
        <v>8</v>
      </c>
      <c r="E262" s="2" t="str">
        <f>HYPERLINK("https://ibp.a2mac1.com/costing(costing:projects/details/8191/part/5381008)","Hub Cover")</f>
        <v>Hub Cover</v>
      </c>
      <c r="F262" t="s">
        <v>479</v>
      </c>
    </row>
    <row r="263" spans="1:6" ht="12.75">
      <c r="A263">
        <v>5381170</v>
      </c>
      <c r="B263">
        <v>8191</v>
      </c>
      <c r="C263" t="s">
        <v>8</v>
      </c>
      <c r="D263" t="s">
        <v>6</v>
      </c>
      <c r="E263" s="2" t="str">
        <f>HYPERLINK("https://ibp.a2mac1.com/costing(costing:projects/details/8191/assembly/5381170)","Steering System")</f>
        <v>Steering System</v>
      </c>
      <c r="F263" t="s">
        <v>9</v>
      </c>
    </row>
    <row r="264" spans="1:6" ht="12.75">
      <c r="A264">
        <v>5381171</v>
      </c>
      <c r="B264">
        <v>5381170</v>
      </c>
      <c r="C264" t="s">
        <v>8</v>
      </c>
      <c r="D264" t="s">
        <v>8</v>
      </c>
      <c r="E264" s="2" t="str">
        <f>HYPERLINK("https://ibp.a2mac1.com/costing(costing:projects/details/8191/assembly/5381171)","Steering Shaft Assembly")</f>
        <v>Steering Shaft Assembly</v>
      </c>
      <c r="F264" t="s">
        <v>490</v>
      </c>
    </row>
    <row r="265" spans="1:6" ht="12.75">
      <c r="A265">
        <v>5381250</v>
      </c>
      <c r="B265">
        <v>5381171</v>
      </c>
      <c r="C265" t="s">
        <v>8</v>
      </c>
      <c r="D265" t="s">
        <v>8</v>
      </c>
      <c r="E265" s="2" t="str">
        <f>HYPERLINK("https://ibp.a2mac1.com/costing(costing:projects/details/8191/assembly/5381250)","Column Covers")</f>
        <v>Column Covers</v>
      </c>
      <c r="F265" t="s">
        <v>491</v>
      </c>
    </row>
    <row r="266" spans="1:6" ht="12.75">
      <c r="A266">
        <v>5381266</v>
      </c>
      <c r="B266">
        <v>5381250</v>
      </c>
      <c r="C266" t="s">
        <v>8</v>
      </c>
      <c r="D266" t="s">
        <v>8</v>
      </c>
      <c r="E266" s="2" t="str">
        <f>HYPERLINK("https://ibp.a2mac1.com/costing(costing:projects/details/8191/assembly/5381266)","Steering Switch Cover")</f>
        <v>Steering Switch Cover</v>
      </c>
      <c r="F266" t="s">
        <v>492</v>
      </c>
    </row>
    <row r="267" spans="1:6" ht="12.75">
      <c r="A267">
        <v>5381298</v>
      </c>
      <c r="B267">
        <v>5381266</v>
      </c>
      <c r="C267" t="s">
        <v>8</v>
      </c>
      <c r="D267" t="s">
        <v>8</v>
      </c>
      <c r="E267" s="2" t="str">
        <f>HYPERLINK("https://ibp.a2mac1.com/costing(costing:projects/details/8191/assembly/5381298)","Steering Switch Covers Lower")</f>
        <v>Steering Switch Covers Lower</v>
      </c>
      <c r="F267" t="s">
        <v>493</v>
      </c>
    </row>
    <row r="268" spans="1:6" ht="12.75">
      <c r="A268">
        <v>5381529</v>
      </c>
      <c r="B268">
        <v>5381298</v>
      </c>
      <c r="C268" t="s">
        <v>12</v>
      </c>
      <c r="D268" t="s">
        <v>8</v>
      </c>
      <c r="E268" s="2" t="str">
        <f>HYPERLINK("https://ibp.a2mac1.com/costing(costing:projects/details/8191/part/5381529)","Cover")</f>
        <v>Cover</v>
      </c>
      <c r="F268" t="s">
        <v>494</v>
      </c>
    </row>
    <row r="269" spans="1:6" ht="12.75">
      <c r="A269">
        <v>6970311</v>
      </c>
      <c r="B269">
        <v>5381529</v>
      </c>
      <c r="C269" t="s">
        <v>99</v>
      </c>
      <c r="D269" t="s">
        <v>12</v>
      </c>
      <c r="E269" s="2" t="str">
        <f>HYPERLINK("https://ibp.a2mac1.com/costing(costing:projects/details/8191/process/6970311)","Injection molding")</f>
        <v>Injection molding</v>
      </c>
      <c r="F269" t="s">
        <v>495</v>
      </c>
    </row>
    <row r="270" spans="1:6" ht="12.75">
      <c r="A270">
        <v>5315413</v>
      </c>
      <c r="B270">
        <v>6970311</v>
      </c>
      <c r="C270" t="s">
        <v>24</v>
      </c>
      <c r="D270" t="s">
        <v>99</v>
      </c>
      <c r="E270" s="2" t="str">
        <f>HYPERLINK("https://ibp.a2mac1.com/costing(costing:projects/details/8191/material/5315413)","PP-PE-GF25")</f>
        <v>PP-PE-GF25</v>
      </c>
      <c r="F270" t="s">
        <v>498</v>
      </c>
    </row>
    <row r="271" spans="1:6" ht="12.75">
      <c r="A271">
        <v>6942804</v>
      </c>
      <c r="B271">
        <v>6970311</v>
      </c>
      <c r="C271" t="s">
        <v>189</v>
      </c>
      <c r="D271" t="s">
        <v>99</v>
      </c>
      <c r="E271" s="2" t="str">
        <f>HYPERLINK("https://ibp.a2mac1.com/costing(costing:projects/details/8191/equipment/6942804)","No.09 - Injection Press - 400T - 72kW - 650x650 - Max Volume 1497cm3 ")</f>
        <v xml:space="preserve">No.09 - Injection Press - 400T - 72kW - 650x650 - Max Volume 1497cm3 </v>
      </c>
      <c r="F271" t="s">
        <v>498</v>
      </c>
    </row>
    <row r="272" spans="1:6" ht="12.75">
      <c r="A272">
        <v>5381530</v>
      </c>
      <c r="B272">
        <v>5381298</v>
      </c>
      <c r="C272" t="s">
        <v>12</v>
      </c>
      <c r="D272" t="s">
        <v>8</v>
      </c>
      <c r="E272" s="2" t="str">
        <f>HYPERLINK("https://ibp.a2mac1.com/costing(costing:projects/details/8191/part/5381530)","Shock Absorbers")</f>
        <v>Shock Absorbers</v>
      </c>
      <c r="F272" t="s">
        <v>494</v>
      </c>
    </row>
    <row r="273" spans="1:6" ht="12.75">
      <c r="A273">
        <v>6970313</v>
      </c>
      <c r="B273">
        <v>5381530</v>
      </c>
      <c r="C273" t="s">
        <v>99</v>
      </c>
      <c r="D273" t="s">
        <v>12</v>
      </c>
      <c r="E273" s="2" t="str">
        <f>HYPERLINK("https://ibp.a2mac1.com/costing(costing:projects/details/8191/process/6970313)","Stamping")</f>
        <v>Stamping</v>
      </c>
      <c r="F273" t="s">
        <v>503</v>
      </c>
    </row>
    <row r="274" spans="1:6" ht="12.75">
      <c r="A274">
        <v>5315415</v>
      </c>
      <c r="B274">
        <v>6970313</v>
      </c>
      <c r="C274" t="s">
        <v>24</v>
      </c>
      <c r="D274" t="s">
        <v>99</v>
      </c>
      <c r="E274" s="2" t="str">
        <f>HYPERLINK("https://ibp.a2mac1.com/costing(costing:projects/details/8191/material/5315415)","Steel sheet (default)")</f>
        <v>Steel sheet (default)</v>
      </c>
      <c r="F274" t="s">
        <v>506</v>
      </c>
    </row>
    <row r="275" spans="1:6" ht="12.75">
      <c r="A275">
        <v>6942806</v>
      </c>
      <c r="B275">
        <v>6970313</v>
      </c>
      <c r="C275" t="s">
        <v>189</v>
      </c>
      <c r="D275" t="s">
        <v>99</v>
      </c>
      <c r="E275" s="2" t="str">
        <f>HYPERLINK("https://ibp.a2mac1.com/costing(costing:projects/details/8191/equipment/6942806)","No.01 - Progressive Press - 250T ")</f>
        <v xml:space="preserve">No.01 - Progressive Press - 250T </v>
      </c>
      <c r="F275" t="s">
        <v>506</v>
      </c>
    </row>
    <row r="276" spans="1:6" ht="12.75">
      <c r="A276">
        <v>6970314</v>
      </c>
      <c r="B276">
        <v>5381530</v>
      </c>
      <c r="C276" t="s">
        <v>99</v>
      </c>
      <c r="D276" t="s">
        <v>12</v>
      </c>
      <c r="E276" s="2" t="str">
        <f>HYPERLINK("https://ibp.a2mac1.com/costing(costing:projects/details/8191/process/6970314)","Cleaning")</f>
        <v>Cleaning</v>
      </c>
      <c r="F276" t="s">
        <v>503</v>
      </c>
    </row>
    <row r="277" spans="1:6" ht="12.75">
      <c r="A277">
        <v>6942807</v>
      </c>
      <c r="B277">
        <v>6970314</v>
      </c>
      <c r="C277" t="s">
        <v>189</v>
      </c>
      <c r="D277" t="s">
        <v>99</v>
      </c>
      <c r="E277" s="2" t="str">
        <f>HYPERLINK("https://ibp.a2mac1.com/costing(costing:projects/details/8191/equipment/6942807)","No.05 - Cleaning - Batch - 2000x2000x1200 - 500kg/batch - 3000kg/h ")</f>
        <v xml:space="preserve">No.05 - Cleaning - Batch - 2000x2000x1200 - 500kg/batch - 3000kg/h </v>
      </c>
      <c r="F277" t="s">
        <v>507</v>
      </c>
    </row>
    <row r="278" spans="1:6" ht="12.75">
      <c r="A278">
        <v>6970312</v>
      </c>
      <c r="B278">
        <v>5381530</v>
      </c>
      <c r="C278" t="s">
        <v>99</v>
      </c>
      <c r="D278" t="s">
        <v>12</v>
      </c>
      <c r="E278" s="2" t="str">
        <f>HYPERLINK("https://ibp.a2mac1.com/costing(costing:projects/details/8191/process/6970312)","Injection foam carrousel")</f>
        <v>Injection foam carrousel</v>
      </c>
      <c r="F278" t="s">
        <v>503</v>
      </c>
    </row>
    <row r="279" spans="1:6" ht="12.75">
      <c r="A279">
        <v>5315414</v>
      </c>
      <c r="B279">
        <v>6970312</v>
      </c>
      <c r="C279" t="s">
        <v>24</v>
      </c>
      <c r="D279" t="s">
        <v>99</v>
      </c>
      <c r="E279" s="2" t="str">
        <f>HYPERLINK("https://ibp.a2mac1.com/costing(costing:projects/details/8191/material/5315414)","PUR")</f>
        <v>PUR</v>
      </c>
      <c r="F279" t="s">
        <v>512</v>
      </c>
    </row>
    <row r="280" spans="1:6" ht="12.75">
      <c r="A280">
        <v>6942805</v>
      </c>
      <c r="B280">
        <v>6970312</v>
      </c>
      <c r="C280" t="s">
        <v>189</v>
      </c>
      <c r="D280" t="s">
        <v>99</v>
      </c>
      <c r="E280" s="2" t="str">
        <f>HYPERLINK("https://ibp.a2mac1.com/costing(costing:projects/details/8191/equipment/6942805)","No.01 - Foaming Carrousel ")</f>
        <v xml:space="preserve">No.01 - Foaming Carrousel </v>
      </c>
      <c r="F280" t="s">
        <v>512</v>
      </c>
    </row>
    <row r="281" spans="1:6" ht="12.75">
      <c r="A281">
        <v>5381295</v>
      </c>
      <c r="B281">
        <v>5381266</v>
      </c>
      <c r="C281" t="s">
        <v>12</v>
      </c>
      <c r="D281" t="s">
        <v>8</v>
      </c>
      <c r="E281" s="2" t="str">
        <f>HYPERLINK("https://ibp.a2mac1.com/costing(costing:projects/details/8191/part/5381295)","Steering Switch Covers Upper")</f>
        <v>Steering Switch Covers Upper</v>
      </c>
      <c r="F281" t="s">
        <v>493</v>
      </c>
    </row>
    <row r="282" spans="1:6" ht="12.75">
      <c r="A282">
        <v>6970276</v>
      </c>
      <c r="B282">
        <v>5381295</v>
      </c>
      <c r="C282" t="s">
        <v>99</v>
      </c>
      <c r="D282" t="s">
        <v>12</v>
      </c>
      <c r="E282" s="2" t="str">
        <f>HYPERLINK("https://ibp.a2mac1.com/costing(costing:projects/details/8191/process/6970276)","Injection molding")</f>
        <v>Injection molding</v>
      </c>
      <c r="F282" t="s">
        <v>516</v>
      </c>
    </row>
    <row r="283" spans="1:6" ht="12.75">
      <c r="A283">
        <v>5315402</v>
      </c>
      <c r="B283">
        <v>6970276</v>
      </c>
      <c r="C283" t="s">
        <v>24</v>
      </c>
      <c r="D283" t="s">
        <v>99</v>
      </c>
      <c r="E283" s="2" t="str">
        <f>HYPERLINK("https://ibp.a2mac1.com/costing(costing:projects/details/8191/material/5315402)","PP-PE")</f>
        <v>PP-PE</v>
      </c>
      <c r="F283" t="s">
        <v>519</v>
      </c>
    </row>
    <row r="284" spans="1:6" ht="12.75">
      <c r="A284">
        <v>6942784</v>
      </c>
      <c r="B284">
        <v>6970276</v>
      </c>
      <c r="C284" t="s">
        <v>189</v>
      </c>
      <c r="D284" t="s">
        <v>99</v>
      </c>
      <c r="E284" s="2" t="str">
        <f>HYPERLINK("https://ibp.a2mac1.com/costing(costing:projects/details/8191/equipment/6942784)","No.02 - Injection Press - 60T - 25kW - 320x320 - Max Volume 164cm3 ")</f>
        <v xml:space="preserve">No.02 - Injection Press - 60T - 25kW - 320x320 - Max Volume 164cm3 </v>
      </c>
      <c r="F284" t="s">
        <v>519</v>
      </c>
    </row>
    <row r="285" spans="1:6" ht="12.75">
      <c r="A285">
        <v>5381296</v>
      </c>
      <c r="B285">
        <v>5381266</v>
      </c>
      <c r="C285" t="s">
        <v>12</v>
      </c>
      <c r="D285" t="s">
        <v>8</v>
      </c>
      <c r="E285" s="2" t="str">
        <f>HYPERLINK("https://ibp.a2mac1.com/costing(costing:projects/details/8191/part/5381296)","Shroud Front")</f>
        <v>Shroud Front</v>
      </c>
      <c r="F285" t="s">
        <v>493</v>
      </c>
    </row>
    <row r="286" spans="1:6" ht="12.75">
      <c r="A286">
        <v>6970277</v>
      </c>
      <c r="B286">
        <v>5381296</v>
      </c>
      <c r="C286" t="s">
        <v>99</v>
      </c>
      <c r="D286" t="s">
        <v>12</v>
      </c>
      <c r="E286" s="2" t="str">
        <f>HYPERLINK("https://ibp.a2mac1.com/costing(costing:projects/details/8191/process/6970277)","Injection molding")</f>
        <v>Injection molding</v>
      </c>
      <c r="F286" t="s">
        <v>522</v>
      </c>
    </row>
    <row r="287" spans="1:6" ht="12.75">
      <c r="A287">
        <v>5315403</v>
      </c>
      <c r="B287">
        <v>6970277</v>
      </c>
      <c r="C287" t="s">
        <v>24</v>
      </c>
      <c r="D287" t="s">
        <v>99</v>
      </c>
      <c r="E287" s="2" t="str">
        <f>HYPERLINK("https://ibp.a2mac1.com/costing(costing:projects/details/8191/material/5315403)","PP")</f>
        <v>PP</v>
      </c>
      <c r="F287" t="s">
        <v>525</v>
      </c>
    </row>
    <row r="288" spans="1:6" ht="12.75">
      <c r="A288">
        <v>5315404</v>
      </c>
      <c r="B288">
        <v>6970277</v>
      </c>
      <c r="C288" t="s">
        <v>24</v>
      </c>
      <c r="D288" t="s">
        <v>99</v>
      </c>
      <c r="E288" s="2" t="str">
        <f>HYPERLINK("https://ibp.a2mac1.com/costing(costing:projects/details/8191/material/5315404)","PVC Overlay- vinyl")</f>
        <v>PVC Overlay- vinyl</v>
      </c>
      <c r="F288" t="s">
        <v>525</v>
      </c>
    </row>
    <row r="289" spans="1:6" ht="12.75">
      <c r="A289">
        <v>6942785</v>
      </c>
      <c r="B289">
        <v>6970277</v>
      </c>
      <c r="C289" t="s">
        <v>189</v>
      </c>
      <c r="D289" t="s">
        <v>99</v>
      </c>
      <c r="E289" s="2" t="str">
        <f>HYPERLINK("https://ibp.a2mac1.com/costing(costing:projects/details/8191/equipment/6942785)","No.01 - Injection Press - 40T - 18kW - 270x270 - Max Volume 128cm3 ")</f>
        <v xml:space="preserve">No.01 - Injection Press - 40T - 18kW - 270x270 - Max Volume 128cm3 </v>
      </c>
      <c r="F289" t="s">
        <v>525</v>
      </c>
    </row>
    <row r="290" spans="1:6" ht="12.75">
      <c r="A290">
        <v>5381297</v>
      </c>
      <c r="B290">
        <v>5381266</v>
      </c>
      <c r="C290" t="s">
        <v>12</v>
      </c>
      <c r="D290" t="s">
        <v>8</v>
      </c>
      <c r="E290" s="2" t="str">
        <f>HYPERLINK("https://ibp.a2mac1.com/costing(costing:projects/details/8191/part/5381297)","2nd Steering Switch Covers Upper")</f>
        <v>2nd Steering Switch Covers Upper</v>
      </c>
      <c r="F290" t="s">
        <v>493</v>
      </c>
    </row>
    <row r="291" spans="1:6" ht="12.75">
      <c r="A291">
        <v>6970278</v>
      </c>
      <c r="B291">
        <v>5381297</v>
      </c>
      <c r="C291" t="s">
        <v>99</v>
      </c>
      <c r="D291" t="s">
        <v>12</v>
      </c>
      <c r="E291" s="2" t="str">
        <f>HYPERLINK("https://ibp.a2mac1.com/costing(costing:projects/details/8191/process/6970278)","Injection molding")</f>
        <v>Injection molding</v>
      </c>
      <c r="F291" t="s">
        <v>531</v>
      </c>
    </row>
    <row r="292" spans="1:6" ht="12.75">
      <c r="A292">
        <v>5315405</v>
      </c>
      <c r="B292">
        <v>6970278</v>
      </c>
      <c r="C292" t="s">
        <v>24</v>
      </c>
      <c r="D292" t="s">
        <v>99</v>
      </c>
      <c r="E292" s="2" t="str">
        <f>HYPERLINK("https://ibp.a2mac1.com/costing(costing:projects/details/8191/material/5315405)","PP")</f>
        <v>PP</v>
      </c>
      <c r="F292" t="s">
        <v>534</v>
      </c>
    </row>
    <row r="293" spans="1:6" ht="12.75">
      <c r="A293">
        <v>6942786</v>
      </c>
      <c r="B293">
        <v>6970278</v>
      </c>
      <c r="C293" t="s">
        <v>189</v>
      </c>
      <c r="D293" t="s">
        <v>99</v>
      </c>
      <c r="E293" s="2" t="str">
        <f>HYPERLINK("https://ibp.a2mac1.com/costing(costing:projects/details/8191/equipment/6942786)","No.05 - Injection Press - 125T - 34kW - 500x500 - Max Volume 260cm3 ")</f>
        <v xml:space="preserve">No.05 - Injection Press - 125T - 34kW - 500x500 - Max Volume 260cm3 </v>
      </c>
      <c r="F293" t="s">
        <v>534</v>
      </c>
    </row>
    <row r="294" spans="1:6" ht="12.75">
      <c r="A294">
        <v>5381265</v>
      </c>
      <c r="B294">
        <v>5381250</v>
      </c>
      <c r="C294" t="s">
        <v>12</v>
      </c>
      <c r="D294" t="s">
        <v>8</v>
      </c>
      <c r="E294" s="2" t="str">
        <f>HYPERLINK("https://ibp.a2mac1.com/costing(costing:projects/details/8191/part/5381265)","Bezel")</f>
        <v>Bezel</v>
      </c>
      <c r="F294" t="s">
        <v>492</v>
      </c>
    </row>
    <row r="295" spans="1:6" ht="12.75">
      <c r="A295">
        <v>6970251</v>
      </c>
      <c r="B295">
        <v>5381265</v>
      </c>
      <c r="C295" t="s">
        <v>99</v>
      </c>
      <c r="D295" t="s">
        <v>12</v>
      </c>
      <c r="E295" s="2" t="str">
        <f>HYPERLINK("https://ibp.a2mac1.com/costing(costing:projects/details/8191/process/6970251)","Injection molding")</f>
        <v>Injection molding</v>
      </c>
      <c r="F295" t="s">
        <v>538</v>
      </c>
    </row>
    <row r="296" spans="1:6" ht="12.75">
      <c r="A296">
        <v>5315341</v>
      </c>
      <c r="B296">
        <v>6970251</v>
      </c>
      <c r="C296" t="s">
        <v>24</v>
      </c>
      <c r="D296" t="s">
        <v>99</v>
      </c>
      <c r="E296" s="2" t="str">
        <f>HYPERLINK("https://ibp.a2mac1.com/costing(costing:projects/details/8191/material/5315341)","PC-ABS")</f>
        <v>PC-ABS</v>
      </c>
      <c r="F296" t="s">
        <v>541</v>
      </c>
    </row>
    <row r="297" spans="1:6" ht="12.75">
      <c r="A297">
        <v>6942686</v>
      </c>
      <c r="B297">
        <v>6970251</v>
      </c>
      <c r="C297" t="s">
        <v>189</v>
      </c>
      <c r="D297" t="s">
        <v>99</v>
      </c>
      <c r="E297" s="2" t="str">
        <f>HYPERLINK("https://ibp.a2mac1.com/costing(costing:projects/details/8191/equipment/6942686)","No.06 - Injection Press - 200T - 45kW - 510x510 - Max Volume 624cm3 ")</f>
        <v xml:space="preserve">No.06 - Injection Press - 200T - 45kW - 510x510 - Max Volume 624cm3 </v>
      </c>
      <c r="F297" t="s">
        <v>541</v>
      </c>
    </row>
    <row r="298" spans="1:6" ht="12.75">
      <c r="A298">
        <v>5381251</v>
      </c>
      <c r="B298">
        <v>5381171</v>
      </c>
      <c r="C298" t="s">
        <v>8</v>
      </c>
      <c r="D298" t="s">
        <v>8</v>
      </c>
      <c r="E298" s="2" t="str">
        <f>HYPERLINK("https://ibp.a2mac1.com/costing(costing:projects/details/8191/assembly/5381251)","Steering Column")</f>
        <v>Steering Column</v>
      </c>
      <c r="F298" t="s">
        <v>491</v>
      </c>
    </row>
    <row r="299" spans="1:6" ht="12.75">
      <c r="A299">
        <v>5381267</v>
      </c>
      <c r="B299">
        <v>5381251</v>
      </c>
      <c r="C299" t="s">
        <v>12</v>
      </c>
      <c r="D299" t="s">
        <v>8</v>
      </c>
      <c r="E299" s="2" t="str">
        <f>HYPERLINK("https://ibp.a2mac1.com/costing(costing:projects/details/8191/part/5381267)","Steering Column Parts incl Lock")</f>
        <v>Steering Column Parts incl Lock</v>
      </c>
      <c r="F299" t="s">
        <v>545</v>
      </c>
    </row>
    <row r="300" spans="1:6" ht="12.75">
      <c r="A300">
        <v>6970252</v>
      </c>
      <c r="B300">
        <v>5381267</v>
      </c>
      <c r="C300" t="s">
        <v>99</v>
      </c>
      <c r="D300" t="s">
        <v>12</v>
      </c>
      <c r="E300" s="2" t="str">
        <f>HYPERLINK("https://ibp.a2mac1.com/costing(costing:projects/details/8191/process/6970252)","Process")</f>
        <v>Process</v>
      </c>
      <c r="F300" t="s">
        <v>546</v>
      </c>
    </row>
    <row r="301" spans="1:6" ht="12.75">
      <c r="A301">
        <v>5315342</v>
      </c>
      <c r="B301">
        <v>6970252</v>
      </c>
      <c r="C301" t="s">
        <v>24</v>
      </c>
      <c r="D301" t="s">
        <v>99</v>
      </c>
      <c r="E301" s="2" t="str">
        <f>HYPERLINK("https://ibp.a2mac1.com/costing(costing:projects/details/8191/material/5315342)","Material")</f>
        <v>Material</v>
      </c>
      <c r="F301" t="s">
        <v>547</v>
      </c>
    </row>
    <row r="302" spans="1:6" ht="12.75">
      <c r="A302">
        <v>6942687</v>
      </c>
      <c r="B302">
        <v>6970252</v>
      </c>
      <c r="C302" t="s">
        <v>189</v>
      </c>
      <c r="D302" t="s">
        <v>99</v>
      </c>
      <c r="E302" s="2" t="str">
        <f>HYPERLINK("https://ibp.a2mac1.com/costing(costing:projects/details/8191/equipment/6942687)","General production process (&gt;10€)")</f>
        <v>General production process (&gt;10€)</v>
      </c>
      <c r="F302" t="s">
        <v>547</v>
      </c>
    </row>
    <row r="303" spans="1:6" ht="12.75">
      <c r="A303">
        <v>6970214</v>
      </c>
      <c r="B303">
        <v>5381251</v>
      </c>
      <c r="C303" t="s">
        <v>99</v>
      </c>
      <c r="D303" t="s">
        <v>8</v>
      </c>
      <c r="E303" s="2" t="str">
        <f>HYPERLINK("https://ibp.a2mac1.com/costing(costing:projects/details/8191/process/6970214)","Assembly")</f>
        <v>Assembly</v>
      </c>
      <c r="F303" t="s">
        <v>545</v>
      </c>
    </row>
    <row r="304" spans="1:6" ht="12.75">
      <c r="A304">
        <v>6942524</v>
      </c>
      <c r="B304">
        <v>6970214</v>
      </c>
      <c r="C304" t="s">
        <v>189</v>
      </c>
      <c r="D304" t="s">
        <v>99</v>
      </c>
      <c r="E304" s="2" t="str">
        <f>HYPERLINK("https://ibp.a2mac1.com/costing(costing:projects/details/8191/equipment/6942524)","General production process (0.5-10€)")</f>
        <v>General production process (0.5-10€)</v>
      </c>
      <c r="F304" t="s">
        <v>548</v>
      </c>
    </row>
    <row r="305" spans="1:6" ht="12.75">
      <c r="A305">
        <v>5381254</v>
      </c>
      <c r="B305">
        <v>5381171</v>
      </c>
      <c r="C305" t="s">
        <v>8</v>
      </c>
      <c r="D305" t="s">
        <v>8</v>
      </c>
      <c r="E305" s="2" t="str">
        <f>HYPERLINK("https://ibp.a2mac1.com/costing(costing:projects/details/8191/assembly/5381254)","I-Shafts")</f>
        <v>I-Shafts</v>
      </c>
      <c r="F305" t="s">
        <v>491</v>
      </c>
    </row>
    <row r="306" spans="1:6" ht="12.75">
      <c r="A306">
        <v>5381268</v>
      </c>
      <c r="B306">
        <v>5381254</v>
      </c>
      <c r="C306" t="s">
        <v>12</v>
      </c>
      <c r="D306" t="s">
        <v>8</v>
      </c>
      <c r="E306" s="2" t="str">
        <f>HYPERLINK("https://ibp.a2mac1.com/costing(costing:projects/details/8191/part/5381268)","Column Coupling")</f>
        <v>Column Coupling</v>
      </c>
      <c r="F306" t="s">
        <v>550</v>
      </c>
    </row>
    <row r="307" spans="1:6" ht="12.75">
      <c r="A307">
        <v>5381269</v>
      </c>
      <c r="B307">
        <v>5381254</v>
      </c>
      <c r="C307" t="s">
        <v>12</v>
      </c>
      <c r="D307" t="s">
        <v>8</v>
      </c>
      <c r="E307" s="2" t="str">
        <f>HYPERLINK("https://ibp.a2mac1.com/costing(costing:projects/details/8191/part/5381269)","Extension")</f>
        <v>Extension</v>
      </c>
      <c r="F307" t="s">
        <v>550</v>
      </c>
    </row>
    <row r="308" spans="1:6" ht="12.75">
      <c r="A308">
        <v>6970253</v>
      </c>
      <c r="B308">
        <v>5381269</v>
      </c>
      <c r="C308" t="s">
        <v>99</v>
      </c>
      <c r="D308" t="s">
        <v>12</v>
      </c>
      <c r="E308" s="2" t="str">
        <f>HYPERLINK("https://ibp.a2mac1.com/costing(costing:projects/details/8191/process/6970253)","Process")</f>
        <v>Process</v>
      </c>
      <c r="F308" t="s">
        <v>552</v>
      </c>
    </row>
    <row r="309" spans="1:6" ht="12.75">
      <c r="A309">
        <v>5315343</v>
      </c>
      <c r="B309">
        <v>6970253</v>
      </c>
      <c r="C309" t="s">
        <v>24</v>
      </c>
      <c r="D309" t="s">
        <v>99</v>
      </c>
      <c r="E309" s="2" t="str">
        <f>HYPERLINK("https://ibp.a2mac1.com/costing(costing:projects/details/8191/material/5315343)","Material")</f>
        <v>Material</v>
      </c>
      <c r="F309" t="s">
        <v>553</v>
      </c>
    </row>
    <row r="310" spans="1:6" ht="12.75">
      <c r="A310">
        <v>6942688</v>
      </c>
      <c r="B310">
        <v>6970253</v>
      </c>
      <c r="C310" t="s">
        <v>189</v>
      </c>
      <c r="D310" t="s">
        <v>99</v>
      </c>
      <c r="E310" s="2" t="str">
        <f>HYPERLINK("https://ibp.a2mac1.com/costing(costing:projects/details/8191/equipment/6942688)","General production process (0.5-10€)")</f>
        <v>General production process (0.5-10€)</v>
      </c>
      <c r="F310" t="s">
        <v>553</v>
      </c>
    </row>
    <row r="311" spans="1:6" ht="12.75">
      <c r="A311">
        <v>6970217</v>
      </c>
      <c r="B311">
        <v>5381254</v>
      </c>
      <c r="C311" t="s">
        <v>99</v>
      </c>
      <c r="D311" t="s">
        <v>8</v>
      </c>
      <c r="E311" s="2" t="str">
        <f>HYPERLINK("https://ibp.a2mac1.com/costing(costing:projects/details/8191/process/6970217)","I-Shaft Assy")</f>
        <v>I-Shaft Assy</v>
      </c>
      <c r="F311" t="s">
        <v>550</v>
      </c>
    </row>
    <row r="312" spans="1:6" ht="12.75">
      <c r="A312">
        <v>6942527</v>
      </c>
      <c r="B312">
        <v>6970217</v>
      </c>
      <c r="C312" t="s">
        <v>189</v>
      </c>
      <c r="D312" t="s">
        <v>99</v>
      </c>
      <c r="E312" s="2" t="str">
        <f>HYPERLINK("https://ibp.a2mac1.com/costing(costing:projects/details/8191/equipment/6942527)","General production process (0.5-10€)")</f>
        <v>General production process (0.5-10€)</v>
      </c>
      <c r="F312" t="s">
        <v>555</v>
      </c>
    </row>
    <row r="313" spans="1:6" ht="12.75">
      <c r="A313">
        <v>5381248</v>
      </c>
      <c r="B313">
        <v>5381171</v>
      </c>
      <c r="C313" t="s">
        <v>12</v>
      </c>
      <c r="D313" t="s">
        <v>8</v>
      </c>
      <c r="E313" s="2" t="str">
        <f>HYPERLINK("https://ibp.a2mac1.com/costing(costing:projects/details/8191/part/5381248)","Seal Dash Panel Inner/Single")</f>
        <v>Seal Dash Panel Inner/Single</v>
      </c>
      <c r="F313" t="s">
        <v>491</v>
      </c>
    </row>
    <row r="314" spans="1:6" ht="12.75">
      <c r="A314">
        <v>5381249</v>
      </c>
      <c r="B314">
        <v>5381171</v>
      </c>
      <c r="C314" t="s">
        <v>12</v>
      </c>
      <c r="D314" t="s">
        <v>8</v>
      </c>
      <c r="E314" s="2" t="str">
        <f>HYPERLINK("https://ibp.a2mac1.com/costing(costing:projects/details/8191/part/5381249)","Wiring Harness Guide")</f>
        <v>Wiring Harness Guide</v>
      </c>
      <c r="F314" t="s">
        <v>491</v>
      </c>
    </row>
    <row r="315" spans="1:6" ht="12.75">
      <c r="A315">
        <v>5381252</v>
      </c>
      <c r="B315">
        <v>5381171</v>
      </c>
      <c r="C315" t="s">
        <v>12</v>
      </c>
      <c r="D315" t="s">
        <v>8</v>
      </c>
      <c r="E315" s="2" t="str">
        <f>HYPERLINK("https://ibp.a2mac1.com/costing(costing:projects/details/8191/part/5381252)","Turning Switch")</f>
        <v>Turning Switch</v>
      </c>
      <c r="F315" t="s">
        <v>491</v>
      </c>
    </row>
    <row r="316" spans="1:6" ht="12.75">
      <c r="A316">
        <v>6970215</v>
      </c>
      <c r="B316">
        <v>5381252</v>
      </c>
      <c r="C316" t="s">
        <v>99</v>
      </c>
      <c r="D316" t="s">
        <v>12</v>
      </c>
      <c r="E316" s="2" t="str">
        <f>HYPERLINK("https://ibp.a2mac1.com/costing(costing:projects/details/8191/process/6970215)","Process")</f>
        <v>Process</v>
      </c>
      <c r="F316" t="s">
        <v>558</v>
      </c>
    </row>
    <row r="317" spans="1:6" ht="12.75">
      <c r="A317">
        <v>6942525</v>
      </c>
      <c r="B317">
        <v>6970215</v>
      </c>
      <c r="C317" t="s">
        <v>189</v>
      </c>
      <c r="D317" t="s">
        <v>99</v>
      </c>
      <c r="E317" s="2" t="str">
        <f>HYPERLINK("https://ibp.a2mac1.com/costing(costing:projects/details/8191/equipment/6942525)","Dummy Machine (PCBA+Final Assembly Line)")</f>
        <v>Dummy Machine (PCBA+Final Assembly Line)</v>
      </c>
      <c r="F317" t="s">
        <v>560</v>
      </c>
    </row>
    <row r="318" spans="1:6" ht="12.75">
      <c r="A318">
        <v>5315274</v>
      </c>
      <c r="B318">
        <v>5381252</v>
      </c>
      <c r="C318" t="s">
        <v>574</v>
      </c>
      <c r="D318" t="s">
        <v>12</v>
      </c>
      <c r="E318" s="2" t="str">
        <f>HYPERLINK("https://ibp.a2mac1.com/costing(costing:projects/details/8191/component/5315274)","Electronics")</f>
        <v>Electronics</v>
      </c>
      <c r="F318" t="s">
        <v>558</v>
      </c>
    </row>
    <row r="319" spans="1:6" ht="12.75">
      <c r="A319">
        <v>5315275</v>
      </c>
      <c r="B319">
        <v>5381252</v>
      </c>
      <c r="C319" t="s">
        <v>574</v>
      </c>
      <c r="D319" t="s">
        <v>12</v>
      </c>
      <c r="E319" s="2" t="str">
        <f>HYPERLINK("https://ibp.a2mac1.com/costing(costing:projects/details/8191/component/5315275)","Mechanics")</f>
        <v>Mechanics</v>
      </c>
      <c r="F319" t="s">
        <v>558</v>
      </c>
    </row>
    <row r="320" spans="1:6" ht="12.75">
      <c r="A320">
        <v>5381253</v>
      </c>
      <c r="B320">
        <v>5381171</v>
      </c>
      <c r="C320" t="s">
        <v>12</v>
      </c>
      <c r="D320" t="s">
        <v>8</v>
      </c>
      <c r="E320" s="2" t="str">
        <f>HYPERLINK("https://ibp.a2mac1.com/costing(costing:projects/details/8191/part/5381253)","Steering Adjuster Cover Support")</f>
        <v>Steering Adjuster Cover Support</v>
      </c>
      <c r="F320" t="s">
        <v>491</v>
      </c>
    </row>
    <row r="321" spans="1:6" ht="12.75">
      <c r="A321">
        <v>6970216</v>
      </c>
      <c r="B321">
        <v>5381253</v>
      </c>
      <c r="C321" t="s">
        <v>99</v>
      </c>
      <c r="D321" t="s">
        <v>12</v>
      </c>
      <c r="E321" s="2" t="str">
        <f>HYPERLINK("https://ibp.a2mac1.com/costing(costing:projects/details/8191/process/6970216)","Injection molding")</f>
        <v>Injection molding</v>
      </c>
      <c r="F321" t="s">
        <v>579</v>
      </c>
    </row>
    <row r="322" spans="1:6" ht="12.75">
      <c r="A322">
        <v>5315303</v>
      </c>
      <c r="B322">
        <v>6970216</v>
      </c>
      <c r="C322" t="s">
        <v>24</v>
      </c>
      <c r="D322" t="s">
        <v>99</v>
      </c>
      <c r="E322" s="2" t="str">
        <f>HYPERLINK("https://ibp.a2mac1.com/costing(costing:projects/details/8191/material/5315303)","ABS-PC")</f>
        <v>ABS-PC</v>
      </c>
      <c r="F322" t="s">
        <v>582</v>
      </c>
    </row>
    <row r="323" spans="1:6" ht="12.75">
      <c r="A323">
        <v>6942526</v>
      </c>
      <c r="B323">
        <v>6970216</v>
      </c>
      <c r="C323" t="s">
        <v>189</v>
      </c>
      <c r="D323" t="s">
        <v>99</v>
      </c>
      <c r="E323" s="2" t="str">
        <f>HYPERLINK("https://ibp.a2mac1.com/costing(costing:projects/details/8191/equipment/6942526)","No.01 - Injection Press - 40T - 18kW - 270x270 - Max Volume 128cm3 ")</f>
        <v xml:space="preserve">No.01 - Injection Press - 40T - 18kW - 270x270 - Max Volume 128cm3 </v>
      </c>
      <c r="F323" t="s">
        <v>582</v>
      </c>
    </row>
    <row r="324" spans="1:6" ht="12.75">
      <c r="A324">
        <v>5381172</v>
      </c>
      <c r="B324">
        <v>5381170</v>
      </c>
      <c r="C324" t="s">
        <v>8</v>
      </c>
      <c r="D324" t="s">
        <v>8</v>
      </c>
      <c r="E324" s="2" t="str">
        <f>HYPERLINK("https://ibp.a2mac1.com/costing(costing:projects/details/8191/assembly/5381172)","Steering Bar")</f>
        <v>Steering Bar</v>
      </c>
      <c r="F324" t="s">
        <v>490</v>
      </c>
    </row>
    <row r="325" spans="1:6" ht="12.75">
      <c r="A325">
        <v>5381255</v>
      </c>
      <c r="B325">
        <v>5381172</v>
      </c>
      <c r="C325" t="s">
        <v>12</v>
      </c>
      <c r="D325" t="s">
        <v>8</v>
      </c>
      <c r="E325" s="2" t="str">
        <f>HYPERLINK("https://ibp.a2mac1.com/costing(costing:projects/details/8191/part/5381255)","Steering Bar")</f>
        <v>Steering Bar</v>
      </c>
      <c r="F325" t="s">
        <v>586</v>
      </c>
    </row>
    <row r="326" spans="1:6" ht="12.75">
      <c r="A326">
        <v>6970218</v>
      </c>
      <c r="B326">
        <v>5381255</v>
      </c>
      <c r="C326" t="s">
        <v>99</v>
      </c>
      <c r="D326" t="s">
        <v>12</v>
      </c>
      <c r="E326" s="2" t="str">
        <f>HYPERLINK("https://ibp.a2mac1.com/costing(costing:projects/details/8191/process/6970218)","Process")</f>
        <v>Process</v>
      </c>
      <c r="F326" t="s">
        <v>587</v>
      </c>
    </row>
    <row r="327" spans="1:6" ht="12.75">
      <c r="A327">
        <v>5315304</v>
      </c>
      <c r="B327">
        <v>6970218</v>
      </c>
      <c r="C327" t="s">
        <v>24</v>
      </c>
      <c r="D327" t="s">
        <v>99</v>
      </c>
      <c r="E327" s="2" t="str">
        <f>HYPERLINK("https://ibp.a2mac1.com/costing(costing:projects/details/8191/material/5315304)","Material")</f>
        <v>Material</v>
      </c>
      <c r="F327" t="s">
        <v>588</v>
      </c>
    </row>
    <row r="328" spans="1:6" ht="12.75">
      <c r="A328">
        <v>6942528</v>
      </c>
      <c r="B328">
        <v>6970218</v>
      </c>
      <c r="C328" t="s">
        <v>189</v>
      </c>
      <c r="D328" t="s">
        <v>99</v>
      </c>
      <c r="E328" s="2" t="str">
        <f>HYPERLINK("https://ibp.a2mac1.com/costing(costing:projects/details/8191/equipment/6942528)","General production process (&gt;10€)")</f>
        <v>General production process (&gt;10€)</v>
      </c>
      <c r="F328" t="s">
        <v>588</v>
      </c>
    </row>
    <row r="329" spans="1:6" ht="12.75">
      <c r="A329">
        <v>5381256</v>
      </c>
      <c r="B329">
        <v>5381172</v>
      </c>
      <c r="C329" t="s">
        <v>12</v>
      </c>
      <c r="D329" t="s">
        <v>8</v>
      </c>
      <c r="E329" s="2" t="str">
        <f>HYPERLINK("https://ibp.a2mac1.com/costing(costing:projects/details/8191/part/5381256)","Tie Rod End")</f>
        <v>Tie Rod End</v>
      </c>
      <c r="F329" t="s">
        <v>586</v>
      </c>
    </row>
    <row r="330" spans="1:6" ht="12.75">
      <c r="A330">
        <v>5381257</v>
      </c>
      <c r="B330">
        <v>5381172</v>
      </c>
      <c r="C330" t="s">
        <v>12</v>
      </c>
      <c r="D330" t="s">
        <v>8</v>
      </c>
      <c r="E330" s="2" t="str">
        <f>HYPERLINK("https://ibp.a2mac1.com/costing(costing:projects/details/8191/part/5381257)","Electric Motor")</f>
        <v>Electric Motor</v>
      </c>
      <c r="F330" t="s">
        <v>586</v>
      </c>
    </row>
    <row r="331" spans="1:6" ht="12.75">
      <c r="A331">
        <v>6970219</v>
      </c>
      <c r="B331">
        <v>5381257</v>
      </c>
      <c r="C331" t="s">
        <v>99</v>
      </c>
      <c r="D331" t="s">
        <v>12</v>
      </c>
      <c r="E331" s="2" t="str">
        <f>HYPERLINK("https://ibp.a2mac1.com/costing(costing:projects/details/8191/process/6970219)","Process")</f>
        <v>Process</v>
      </c>
      <c r="F331" t="s">
        <v>591</v>
      </c>
    </row>
    <row r="332" spans="1:6" ht="12.75">
      <c r="A332">
        <v>5315305</v>
      </c>
      <c r="B332">
        <v>6970219</v>
      </c>
      <c r="C332" t="s">
        <v>24</v>
      </c>
      <c r="D332" t="s">
        <v>99</v>
      </c>
      <c r="E332" s="2" t="str">
        <f>HYPERLINK("https://ibp.a2mac1.com/costing(costing:projects/details/8191/material/5315305)","Material")</f>
        <v>Material</v>
      </c>
      <c r="F332" t="s">
        <v>592</v>
      </c>
    </row>
    <row r="333" spans="1:6" ht="12.75">
      <c r="A333">
        <v>6942529</v>
      </c>
      <c r="B333">
        <v>6970219</v>
      </c>
      <c r="C333" t="s">
        <v>189</v>
      </c>
      <c r="D333" t="s">
        <v>99</v>
      </c>
      <c r="E333" s="2" t="str">
        <f>HYPERLINK("https://ibp.a2mac1.com/costing(costing:projects/details/8191/equipment/6942529)","General production process (0.5-10€)")</f>
        <v>General production process (0.5-10€)</v>
      </c>
      <c r="F333" t="s">
        <v>592</v>
      </c>
    </row>
    <row r="334" spans="1:6" ht="12.75">
      <c r="A334">
        <v>6970086</v>
      </c>
      <c r="B334">
        <v>5381172</v>
      </c>
      <c r="C334" t="s">
        <v>99</v>
      </c>
      <c r="D334" t="s">
        <v>8</v>
      </c>
      <c r="E334" s="2" t="str">
        <f>HYPERLINK("https://ibp.a2mac1.com/costing(costing:projects/details/8191/process/6970086)","Final Assy")</f>
        <v>Final Assy</v>
      </c>
      <c r="F334" t="s">
        <v>586</v>
      </c>
    </row>
    <row r="335" spans="1:6" ht="12.75">
      <c r="A335">
        <v>5381173</v>
      </c>
      <c r="B335">
        <v>5381170</v>
      </c>
      <c r="C335" t="s">
        <v>8</v>
      </c>
      <c r="D335" t="s">
        <v>8</v>
      </c>
      <c r="E335" s="2" t="str">
        <f>HYPERLINK("https://ibp.a2mac1.com/costing(costing:projects/details/8191/assembly/5381173)","Steering Wheel System")</f>
        <v>Steering Wheel System</v>
      </c>
      <c r="F335" t="s">
        <v>490</v>
      </c>
    </row>
    <row r="336" spans="1:6" ht="12.75">
      <c r="A336">
        <v>5381258</v>
      </c>
      <c r="B336">
        <v>5381173</v>
      </c>
      <c r="C336" t="s">
        <v>8</v>
      </c>
      <c r="D336" t="s">
        <v>8</v>
      </c>
      <c r="E336" s="2" t="str">
        <f>HYPERLINK("https://ibp.a2mac1.com/costing(costing:projects/details/8191/assembly/5381258)","Steering Wheel Controls")</f>
        <v>Steering Wheel Controls</v>
      </c>
      <c r="F336" t="s">
        <v>594</v>
      </c>
    </row>
    <row r="337" spans="1:6" ht="12.75">
      <c r="A337">
        <v>5381271</v>
      </c>
      <c r="B337">
        <v>5381258</v>
      </c>
      <c r="C337" t="s">
        <v>8</v>
      </c>
      <c r="D337" t="s">
        <v>8</v>
      </c>
      <c r="E337" s="2" t="str">
        <f>HYPERLINK("https://ibp.a2mac1.com/costing(costing:projects/details/8191/assembly/5381271)","Left")</f>
        <v>Left</v>
      </c>
      <c r="F337" t="s">
        <v>595</v>
      </c>
    </row>
    <row r="338" spans="1:6" ht="12.75">
      <c r="A338">
        <v>6970254</v>
      </c>
      <c r="B338">
        <v>5381271</v>
      </c>
      <c r="C338" t="s">
        <v>99</v>
      </c>
      <c r="D338" t="s">
        <v>8</v>
      </c>
      <c r="E338" s="2" t="str">
        <f>HYPERLINK("https://ibp.a2mac1.com/costing(costing:projects/details/8191/process/6970254)","Process")</f>
        <v>Process</v>
      </c>
      <c r="F338" t="s">
        <v>596</v>
      </c>
    </row>
    <row r="339" spans="1:6" ht="12.75">
      <c r="A339">
        <v>6942689</v>
      </c>
      <c r="B339">
        <v>6970254</v>
      </c>
      <c r="C339" t="s">
        <v>189</v>
      </c>
      <c r="D339" t="s">
        <v>99</v>
      </c>
      <c r="E339" s="2" t="str">
        <f>HYPERLINK("https://ibp.a2mac1.com/costing(costing:projects/details/8191/equipment/6942689)","Dummy Machine (PCBA+Final Assembly Line)")</f>
        <v>Dummy Machine (PCBA+Final Assembly Line)</v>
      </c>
      <c r="F339" t="s">
        <v>597</v>
      </c>
    </row>
    <row r="340" spans="1:6" ht="12.75">
      <c r="A340">
        <v>5315306</v>
      </c>
      <c r="B340">
        <v>5381271</v>
      </c>
      <c r="C340" t="s">
        <v>574</v>
      </c>
      <c r="D340" t="s">
        <v>8</v>
      </c>
      <c r="E340" s="2" t="str">
        <f>HYPERLINK("https://ibp.a2mac1.com/costing(costing:projects/details/8191/component/5315306)","Mechanics")</f>
        <v>Mechanics</v>
      </c>
      <c r="F340" t="s">
        <v>596</v>
      </c>
    </row>
    <row r="341" spans="1:6" ht="12.75">
      <c r="A341">
        <v>5315307</v>
      </c>
      <c r="B341">
        <v>5381271</v>
      </c>
      <c r="C341" t="s">
        <v>574</v>
      </c>
      <c r="D341" t="s">
        <v>8</v>
      </c>
      <c r="E341" s="2" t="str">
        <f>HYPERLINK("https://ibp.a2mac1.com/costing(costing:projects/details/8191/component/5315307)","Electronics")</f>
        <v>Electronics</v>
      </c>
      <c r="F341" t="s">
        <v>596</v>
      </c>
    </row>
    <row r="342" spans="1:6" ht="12.75">
      <c r="A342">
        <v>5381272</v>
      </c>
      <c r="B342">
        <v>5381258</v>
      </c>
      <c r="C342" t="s">
        <v>8</v>
      </c>
      <c r="D342" t="s">
        <v>8</v>
      </c>
      <c r="E342" s="2" t="str">
        <f>HYPERLINK("https://ibp.a2mac1.com/costing(costing:projects/details/8191/assembly/5381272)","Right")</f>
        <v>Right</v>
      </c>
      <c r="F342" t="s">
        <v>595</v>
      </c>
    </row>
    <row r="343" spans="1:6" ht="12.75">
      <c r="A343">
        <v>6970255</v>
      </c>
      <c r="B343">
        <v>5381272</v>
      </c>
      <c r="C343" t="s">
        <v>99</v>
      </c>
      <c r="D343" t="s">
        <v>8</v>
      </c>
      <c r="E343" s="2" t="str">
        <f>HYPERLINK("https://ibp.a2mac1.com/costing(costing:projects/details/8191/process/6970255)","Process")</f>
        <v>Process</v>
      </c>
      <c r="F343" t="s">
        <v>600</v>
      </c>
    </row>
    <row r="344" spans="1:6" ht="12.75">
      <c r="A344">
        <v>6942690</v>
      </c>
      <c r="B344">
        <v>6970255</v>
      </c>
      <c r="C344" t="s">
        <v>189</v>
      </c>
      <c r="D344" t="s">
        <v>99</v>
      </c>
      <c r="E344" s="2" t="str">
        <f>HYPERLINK("https://ibp.a2mac1.com/costing(costing:projects/details/8191/equipment/6942690)","Dummy Machine (PCBA+Final Assembly Line)")</f>
        <v>Dummy Machine (PCBA+Final Assembly Line)</v>
      </c>
      <c r="F344" t="s">
        <v>601</v>
      </c>
    </row>
    <row r="345" spans="1:6" ht="12.75">
      <c r="A345">
        <v>5315308</v>
      </c>
      <c r="B345">
        <v>5381272</v>
      </c>
      <c r="C345" t="s">
        <v>574</v>
      </c>
      <c r="D345" t="s">
        <v>8</v>
      </c>
      <c r="E345" s="2" t="str">
        <f>HYPERLINK("https://ibp.a2mac1.com/costing(costing:projects/details/8191/component/5315308)","Electronics")</f>
        <v>Electronics</v>
      </c>
      <c r="F345" t="s">
        <v>600</v>
      </c>
    </row>
    <row r="346" spans="1:6" ht="12.75">
      <c r="A346">
        <v>5315309</v>
      </c>
      <c r="B346">
        <v>5381272</v>
      </c>
      <c r="C346" t="s">
        <v>574</v>
      </c>
      <c r="D346" t="s">
        <v>8</v>
      </c>
      <c r="E346" s="2" t="str">
        <f>HYPERLINK("https://ibp.a2mac1.com/costing(costing:projects/details/8191/component/5315309)","Mechanics")</f>
        <v>Mechanics</v>
      </c>
      <c r="F346" t="s">
        <v>600</v>
      </c>
    </row>
    <row r="347" spans="1:6" ht="12.75">
      <c r="A347">
        <v>5381270</v>
      </c>
      <c r="B347">
        <v>5381258</v>
      </c>
      <c r="C347" t="s">
        <v>12</v>
      </c>
      <c r="D347" t="s">
        <v>8</v>
      </c>
      <c r="E347" s="2" t="str">
        <f>HYPERLINK("https://ibp.a2mac1.com/costing(costing:projects/details/8191/part/5381270)","Horn Control")</f>
        <v>Horn Control</v>
      </c>
      <c r="F347" t="s">
        <v>595</v>
      </c>
    </row>
    <row r="348" spans="1:6" ht="12.75">
      <c r="A348">
        <v>5381260</v>
      </c>
      <c r="B348">
        <v>5381173</v>
      </c>
      <c r="C348" t="s">
        <v>8</v>
      </c>
      <c r="D348" t="s">
        <v>8</v>
      </c>
      <c r="E348" s="2" t="str">
        <f>HYPERLINK("https://ibp.a2mac1.com/costing(costing:projects/details/8191/assembly/5381260)","Steering Wheel Cover")</f>
        <v>Steering Wheel Cover</v>
      </c>
      <c r="F348" t="s">
        <v>594</v>
      </c>
    </row>
    <row r="349" spans="1:6" ht="12.75">
      <c r="A349">
        <v>5381273</v>
      </c>
      <c r="B349">
        <v>5381260</v>
      </c>
      <c r="C349" t="s">
        <v>12</v>
      </c>
      <c r="D349" t="s">
        <v>8</v>
      </c>
      <c r="E349" s="2" t="str">
        <f>HYPERLINK("https://ibp.a2mac1.com/costing(costing:projects/details/8191/part/5381273)","Front")</f>
        <v>Front</v>
      </c>
      <c r="F349" t="s">
        <v>606</v>
      </c>
    </row>
    <row r="350" spans="1:6" ht="12.75">
      <c r="A350">
        <v>6970256</v>
      </c>
      <c r="B350">
        <v>5381273</v>
      </c>
      <c r="C350" t="s">
        <v>99</v>
      </c>
      <c r="D350" t="s">
        <v>12</v>
      </c>
      <c r="E350" s="2" t="str">
        <f>HYPERLINK("https://ibp.a2mac1.com/costing(costing:projects/details/8191/process/6970256)","Injection molding")</f>
        <v>Injection molding</v>
      </c>
      <c r="F350" t="s">
        <v>607</v>
      </c>
    </row>
    <row r="351" spans="1:6" ht="12.75">
      <c r="A351">
        <v>5315344</v>
      </c>
      <c r="B351">
        <v>6970256</v>
      </c>
      <c r="C351" t="s">
        <v>24</v>
      </c>
      <c r="D351" t="s">
        <v>99</v>
      </c>
      <c r="E351" s="2" t="str">
        <f>HYPERLINK("https://ibp.a2mac1.com/costing(costing:projects/details/8191/material/5315344)","ABS-PC")</f>
        <v>ABS-PC</v>
      </c>
      <c r="F351" t="s">
        <v>610</v>
      </c>
    </row>
    <row r="352" spans="1:6" ht="12.75">
      <c r="A352">
        <v>6942691</v>
      </c>
      <c r="B352">
        <v>6970256</v>
      </c>
      <c r="C352" t="s">
        <v>189</v>
      </c>
      <c r="D352" t="s">
        <v>99</v>
      </c>
      <c r="E352" s="2" t="str">
        <f>HYPERLINK("https://ibp.a2mac1.com/costing(costing:projects/details/8191/equipment/6942691)","No.09 - Injection Press - 400T - 72kW - 650x650 - Max Volume 1497cm3 ")</f>
        <v xml:space="preserve">No.09 - Injection Press - 400T - 72kW - 650x650 - Max Volume 1497cm3 </v>
      </c>
      <c r="F352" t="s">
        <v>610</v>
      </c>
    </row>
    <row r="353" spans="1:6" ht="12.75">
      <c r="A353">
        <v>6970257</v>
      </c>
      <c r="B353">
        <v>5381273</v>
      </c>
      <c r="C353" t="s">
        <v>99</v>
      </c>
      <c r="D353" t="s">
        <v>12</v>
      </c>
      <c r="E353" s="2" t="str">
        <f>HYPERLINK("https://ibp.a2mac1.com/costing(costing:projects/details/8191/process/6970257)","Chroming line - Small Parts")</f>
        <v>Chroming line - Small Parts</v>
      </c>
      <c r="F353" t="s">
        <v>607</v>
      </c>
    </row>
    <row r="354" spans="1:6" ht="12.75">
      <c r="A354">
        <v>5315345</v>
      </c>
      <c r="B354">
        <v>6970257</v>
      </c>
      <c r="C354" t="s">
        <v>24</v>
      </c>
      <c r="D354" t="s">
        <v>99</v>
      </c>
      <c r="E354" s="2" t="str">
        <f>HYPERLINK("https://ibp.a2mac1.com/costing(costing:projects/details/8191/material/5315345)","Chrome for plating")</f>
        <v>Chrome for plating</v>
      </c>
      <c r="F354" t="s">
        <v>614</v>
      </c>
    </row>
    <row r="355" spans="1:6" ht="12.75">
      <c r="A355">
        <v>6942692</v>
      </c>
      <c r="B355">
        <v>6970257</v>
      </c>
      <c r="C355" t="s">
        <v>189</v>
      </c>
      <c r="D355" t="s">
        <v>99</v>
      </c>
      <c r="E355" s="2" t="str">
        <f>HYPERLINK("https://ibp.a2mac1.com/costing(costing:projects/details/8191/equipment/6942692)","Chroming line - Small Parts")</f>
        <v>Chroming line - Small Parts</v>
      </c>
      <c r="F355" t="s">
        <v>614</v>
      </c>
    </row>
    <row r="356" spans="1:6" ht="12.75">
      <c r="A356">
        <v>6970258</v>
      </c>
      <c r="B356">
        <v>5381273</v>
      </c>
      <c r="C356" t="s">
        <v>99</v>
      </c>
      <c r="D356" t="s">
        <v>12</v>
      </c>
      <c r="E356" s="2" t="str">
        <f>HYPERLINK("https://ibp.a2mac1.com/costing(costing:projects/details/8191/process/6970258)","Chroming line - Load and Unload parts to and from jig")</f>
        <v>Chroming line - Load and Unload parts to and from jig</v>
      </c>
      <c r="F356" t="s">
        <v>607</v>
      </c>
    </row>
    <row r="357" spans="1:6" ht="12.75">
      <c r="A357">
        <v>6942693</v>
      </c>
      <c r="B357">
        <v>6970258</v>
      </c>
      <c r="C357" t="s">
        <v>189</v>
      </c>
      <c r="D357" t="s">
        <v>99</v>
      </c>
      <c r="E357" s="2" t="str">
        <f>HYPERLINK("https://ibp.a2mac1.com/costing(costing:projects/details/8191/equipment/6942693)","Chroming line - Load &amp; Unload parts to/from jig")</f>
        <v>Chroming line - Load &amp; Unload parts to/from jig</v>
      </c>
      <c r="F357" t="s">
        <v>615</v>
      </c>
    </row>
    <row r="358" spans="1:6" ht="12.75">
      <c r="A358">
        <v>5315310</v>
      </c>
      <c r="B358">
        <v>5381273</v>
      </c>
      <c r="C358" t="s">
        <v>574</v>
      </c>
      <c r="D358" t="s">
        <v>12</v>
      </c>
      <c r="E358" s="2" t="str">
        <f>HYPERLINK("https://ibp.a2mac1.com/costing(costing:projects/details/8191/component/5315310)","Fasteners")</f>
        <v>Fasteners</v>
      </c>
      <c r="F358" t="s">
        <v>607</v>
      </c>
    </row>
    <row r="359" spans="1:6" ht="12.75">
      <c r="A359">
        <v>5381274</v>
      </c>
      <c r="B359">
        <v>5381260</v>
      </c>
      <c r="C359" t="s">
        <v>12</v>
      </c>
      <c r="D359" t="s">
        <v>8</v>
      </c>
      <c r="E359" s="2" t="str">
        <f>HYPERLINK("https://ibp.a2mac1.com/costing(costing:projects/details/8191/part/5381274)","Lower Trim")</f>
        <v>Lower Trim</v>
      </c>
      <c r="F359" t="s">
        <v>606</v>
      </c>
    </row>
    <row r="360" spans="1:6" ht="12.75">
      <c r="A360">
        <v>6970259</v>
      </c>
      <c r="B360">
        <v>5381274</v>
      </c>
      <c r="C360" t="s">
        <v>99</v>
      </c>
      <c r="D360" t="s">
        <v>12</v>
      </c>
      <c r="E360" s="2" t="str">
        <f>HYPERLINK("https://ibp.a2mac1.com/costing(costing:projects/details/8191/process/6970259)","Painting")</f>
        <v>Painting</v>
      </c>
      <c r="F360" t="s">
        <v>618</v>
      </c>
    </row>
    <row r="361" spans="1:6" ht="12.75">
      <c r="A361">
        <v>5315346</v>
      </c>
      <c r="B361">
        <v>6970259</v>
      </c>
      <c r="C361" t="s">
        <v>24</v>
      </c>
      <c r="D361" t="s">
        <v>99</v>
      </c>
      <c r="E361" s="2" t="str">
        <f>HYPERLINK("https://ibp.a2mac1.com/costing(costing:projects/details/8191/material/5315346)","Paint - Primer")</f>
        <v>Paint - Primer</v>
      </c>
      <c r="F361" t="s">
        <v>621</v>
      </c>
    </row>
    <row r="362" spans="1:6" ht="12.75">
      <c r="A362">
        <v>5315347</v>
      </c>
      <c r="B362">
        <v>6970259</v>
      </c>
      <c r="C362" t="s">
        <v>24</v>
      </c>
      <c r="D362" t="s">
        <v>99</v>
      </c>
      <c r="E362" s="2" t="str">
        <f>HYPERLINK("https://ibp.a2mac1.com/costing(costing:projects/details/8191/material/5315347)","Paint - Base")</f>
        <v>Paint - Base</v>
      </c>
      <c r="F362" t="s">
        <v>621</v>
      </c>
    </row>
    <row r="363" spans="1:6" ht="12.75">
      <c r="A363">
        <v>5315348</v>
      </c>
      <c r="B363">
        <v>6970259</v>
      </c>
      <c r="C363" t="s">
        <v>24</v>
      </c>
      <c r="D363" t="s">
        <v>99</v>
      </c>
      <c r="E363" s="2" t="str">
        <f>HYPERLINK("https://ibp.a2mac1.com/costing(costing:projects/details/8191/material/5315348)","Paint - Clear Coat")</f>
        <v>Paint - Clear Coat</v>
      </c>
      <c r="F363" t="s">
        <v>621</v>
      </c>
    </row>
    <row r="364" spans="1:6" ht="12.75">
      <c r="A364">
        <v>6942694</v>
      </c>
      <c r="B364">
        <v>6970259</v>
      </c>
      <c r="C364" t="s">
        <v>189</v>
      </c>
      <c r="D364" t="s">
        <v>99</v>
      </c>
      <c r="E364" s="2" t="str">
        <f>HYPERLINK("https://ibp.a2mac1.com/costing(costing:projects/details/8191/equipment/6942694)","No.04 - 60000x6000x3500 - Automatic Painting Line - with 12x100kW on line ovens")</f>
        <v>No.04 - 60000x6000x3500 - Automatic Painting Line - with 12x100kW on line ovens</v>
      </c>
      <c r="F364" t="s">
        <v>621</v>
      </c>
    </row>
    <row r="365" spans="1:6" ht="12.75">
      <c r="A365">
        <v>6970260</v>
      </c>
      <c r="B365">
        <v>5381274</v>
      </c>
      <c r="C365" t="s">
        <v>99</v>
      </c>
      <c r="D365" t="s">
        <v>12</v>
      </c>
      <c r="E365" s="2" t="str">
        <f>HYPERLINK("https://ibp.a2mac1.com/costing(costing:projects/details/8191/process/6970260)","Loading + Unloading + Retouching + Checking")</f>
        <v>Loading + Unloading + Retouching + Checking</v>
      </c>
      <c r="F365" t="s">
        <v>618</v>
      </c>
    </row>
    <row r="366" spans="1:6" ht="12.75">
      <c r="A366">
        <v>6942695</v>
      </c>
      <c r="B366">
        <v>6970260</v>
      </c>
      <c r="C366" t="s">
        <v>189</v>
      </c>
      <c r="D366" t="s">
        <v>99</v>
      </c>
      <c r="E366" s="2" t="str">
        <f>HYPERLINK("https://ibp.a2mac1.com/costing(costing:projects/details/8191/equipment/6942695)","Loading + Unloading + Retouching + Checking")</f>
        <v>Loading + Unloading + Retouching + Checking</v>
      </c>
      <c r="F366" t="s">
        <v>627</v>
      </c>
    </row>
    <row r="367" spans="1:6" ht="12.75">
      <c r="A367">
        <v>6970261</v>
      </c>
      <c r="B367">
        <v>5381274</v>
      </c>
      <c r="C367" t="s">
        <v>99</v>
      </c>
      <c r="D367" t="s">
        <v>12</v>
      </c>
      <c r="E367" s="2" t="str">
        <f>HYPERLINK("https://ibp.a2mac1.com/costing(costing:projects/details/8191/process/6970261)","Injection molding")</f>
        <v>Injection molding</v>
      </c>
      <c r="F367" t="s">
        <v>618</v>
      </c>
    </row>
    <row r="368" spans="1:6" ht="12.75">
      <c r="A368">
        <v>5315349</v>
      </c>
      <c r="B368">
        <v>6970261</v>
      </c>
      <c r="C368" t="s">
        <v>24</v>
      </c>
      <c r="D368" t="s">
        <v>99</v>
      </c>
      <c r="E368" s="2" t="str">
        <f>HYPERLINK("https://ibp.a2mac1.com/costing(costing:projects/details/8191/material/5315349)","ABS-PC")</f>
        <v>ABS-PC</v>
      </c>
      <c r="F368" t="s">
        <v>631</v>
      </c>
    </row>
    <row r="369" spans="1:6" ht="12.75">
      <c r="A369">
        <v>6942696</v>
      </c>
      <c r="B369">
        <v>6970261</v>
      </c>
      <c r="C369" t="s">
        <v>189</v>
      </c>
      <c r="D369" t="s">
        <v>99</v>
      </c>
      <c r="E369" s="2" t="str">
        <f>HYPERLINK("https://ibp.a2mac1.com/costing(costing:projects/details/8191/equipment/6942696)","No.02 - Injection Press - 60T - 25kW - 320x320 - Max Volume 164cm3 ")</f>
        <v xml:space="preserve">No.02 - Injection Press - 60T - 25kW - 320x320 - Max Volume 164cm3 </v>
      </c>
      <c r="F369" t="s">
        <v>631</v>
      </c>
    </row>
    <row r="370" spans="1:6" ht="12.75">
      <c r="A370">
        <v>5315311</v>
      </c>
      <c r="B370">
        <v>5381274</v>
      </c>
      <c r="C370" t="s">
        <v>574</v>
      </c>
      <c r="D370" t="s">
        <v>12</v>
      </c>
      <c r="E370" s="2" t="str">
        <f>HYPERLINK("https://ibp.a2mac1.com/costing(costing:projects/details/8191/component/5315311)","Fasteners")</f>
        <v>Fasteners</v>
      </c>
      <c r="F370" t="s">
        <v>618</v>
      </c>
    </row>
    <row r="371" spans="1:6" ht="12.75">
      <c r="A371">
        <v>5381261</v>
      </c>
      <c r="B371">
        <v>5381173</v>
      </c>
      <c r="C371" t="s">
        <v>8</v>
      </c>
      <c r="D371" t="s">
        <v>8</v>
      </c>
      <c r="E371" s="2" t="str">
        <f>HYPERLINK("https://ibp.a2mac1.com/costing(costing:projects/details/8191/assembly/5381261)","Steering Wheel")</f>
        <v>Steering Wheel</v>
      </c>
      <c r="F371" t="s">
        <v>594</v>
      </c>
    </row>
    <row r="372" spans="1:6" ht="12.75">
      <c r="A372">
        <v>5381275</v>
      </c>
      <c r="B372">
        <v>5381261</v>
      </c>
      <c r="C372" t="s">
        <v>12</v>
      </c>
      <c r="D372" t="s">
        <v>8</v>
      </c>
      <c r="E372" s="2" t="str">
        <f>HYPERLINK("https://ibp.a2mac1.com/costing(costing:projects/details/8191/part/5381275)","Armature")</f>
        <v>Armature</v>
      </c>
      <c r="F372" t="s">
        <v>636</v>
      </c>
    </row>
    <row r="373" spans="1:6" ht="12.75">
      <c r="A373">
        <v>6970262</v>
      </c>
      <c r="B373">
        <v>5381275</v>
      </c>
      <c r="C373" t="s">
        <v>99</v>
      </c>
      <c r="D373" t="s">
        <v>12</v>
      </c>
      <c r="E373" s="2" t="str">
        <f>HYPERLINK("https://ibp.a2mac1.com/costing(costing:projects/details/8191/process/6970262)","Pressure Die Casting : Furnace")</f>
        <v>Pressure Die Casting : Furnace</v>
      </c>
      <c r="F373" t="s">
        <v>637</v>
      </c>
    </row>
    <row r="374" spans="1:6" ht="12.75">
      <c r="A374">
        <v>5315350</v>
      </c>
      <c r="B374">
        <v>6970262</v>
      </c>
      <c r="C374" t="s">
        <v>24</v>
      </c>
      <c r="D374" t="s">
        <v>99</v>
      </c>
      <c r="E374" s="2" t="str">
        <f>HYPERLINK("https://ibp.a2mac1.com/costing(costing:projects/details/8191/material/5315350)","EN-MC21220 / EN MC-MgAl5Mn / AM50A (Ingot)")</f>
        <v>EN-MC21220 / EN MC-MgAl5Mn / AM50A (Ingot)</v>
      </c>
      <c r="F374" t="s">
        <v>640</v>
      </c>
    </row>
    <row r="375" spans="1:6" ht="12.75">
      <c r="A375">
        <v>6942697</v>
      </c>
      <c r="B375">
        <v>6970262</v>
      </c>
      <c r="C375" t="s">
        <v>189</v>
      </c>
      <c r="D375" t="s">
        <v>99</v>
      </c>
      <c r="E375" s="2" t="str">
        <f>HYPERLINK("https://ibp.a2mac1.com/costing(costing:projects/details/8191/equipment/6942697)","No.03 - T,TF 80/11 ")</f>
        <v xml:space="preserve">No.03 - T,TF 80/11 </v>
      </c>
      <c r="F375" t="s">
        <v>640</v>
      </c>
    </row>
    <row r="376" spans="1:6" ht="12.75">
      <c r="A376">
        <v>6970263</v>
      </c>
      <c r="B376">
        <v>5381275</v>
      </c>
      <c r="C376" t="s">
        <v>99</v>
      </c>
      <c r="D376" t="s">
        <v>12</v>
      </c>
      <c r="E376" s="2" t="str">
        <f>HYPERLINK("https://ibp.a2mac1.com/costing(costing:projects/details/8191/process/6970263)","Pressure Die Casting : Ladle")</f>
        <v>Pressure Die Casting : Ladle</v>
      </c>
      <c r="F376" t="s">
        <v>637</v>
      </c>
    </row>
    <row r="377" spans="1:6" ht="12.75">
      <c r="A377">
        <v>6942698</v>
      </c>
      <c r="B377">
        <v>6970263</v>
      </c>
      <c r="C377" t="s">
        <v>189</v>
      </c>
      <c r="D377" t="s">
        <v>99</v>
      </c>
      <c r="E377" s="2" t="str">
        <f>HYPERLINK("https://ibp.a2mac1.com/costing(costing:projects/details/8191/equipment/6942698)","No.01 - Buhler ladel Model 4,5L ")</f>
        <v xml:space="preserve">No.01 - Buhler ladel Model 4,5L </v>
      </c>
      <c r="F377" t="s">
        <v>641</v>
      </c>
    </row>
    <row r="378" spans="1:6" ht="12.75">
      <c r="A378">
        <v>6970264</v>
      </c>
      <c r="B378">
        <v>5381275</v>
      </c>
      <c r="C378" t="s">
        <v>99</v>
      </c>
      <c r="D378" t="s">
        <v>12</v>
      </c>
      <c r="E378" s="2" t="str">
        <f>HYPERLINK("https://ibp.a2mac1.com/costing(costing:projects/details/8191/process/6970264)","Pressure Die Casting : Press")</f>
        <v>Pressure Die Casting : Press</v>
      </c>
      <c r="F378" t="s">
        <v>637</v>
      </c>
    </row>
    <row r="379" spans="1:6" ht="12.75">
      <c r="A379">
        <v>6942699</v>
      </c>
      <c r="B379">
        <v>6970264</v>
      </c>
      <c r="C379" t="s">
        <v>189</v>
      </c>
      <c r="D379" t="s">
        <v>99</v>
      </c>
      <c r="E379" s="2" t="str">
        <f>HYPERLINK("https://ibp.a2mac1.com/costing(costing:projects/details/8191/equipment/6942699)","No.04 - Idra - OL 900S ")</f>
        <v xml:space="preserve">No.04 - Idra - OL 900S </v>
      </c>
      <c r="F379" t="s">
        <v>642</v>
      </c>
    </row>
    <row r="380" spans="1:6" ht="12.75">
      <c r="A380">
        <v>6970265</v>
      </c>
      <c r="B380">
        <v>5381275</v>
      </c>
      <c r="C380" t="s">
        <v>99</v>
      </c>
      <c r="D380" t="s">
        <v>12</v>
      </c>
      <c r="E380" s="2" t="str">
        <f>HYPERLINK("https://ibp.a2mac1.com/costing(costing:projects/details/8191/process/6970265)","Pressure Die Casting : Trimming")</f>
        <v>Pressure Die Casting : Trimming</v>
      </c>
      <c r="F380" t="s">
        <v>637</v>
      </c>
    </row>
    <row r="381" spans="1:6" ht="12.75">
      <c r="A381">
        <v>6942700</v>
      </c>
      <c r="B381">
        <v>6970265</v>
      </c>
      <c r="C381" t="s">
        <v>189</v>
      </c>
      <c r="D381" t="s">
        <v>99</v>
      </c>
      <c r="E381" s="2" t="str">
        <f>HYPERLINK("https://ibp.a2mac1.com/costing(costing:projects/details/8191/equipment/6942700)","No.04 - Headcutter - 1200x800x700 - 100kg/Mould ")</f>
        <v xml:space="preserve">No.04 - Headcutter - 1200x800x700 - 100kg/Mould </v>
      </c>
      <c r="F381" t="s">
        <v>643</v>
      </c>
    </row>
    <row r="382" spans="1:6" ht="12.75">
      <c r="A382">
        <v>6970266</v>
      </c>
      <c r="B382">
        <v>5381275</v>
      </c>
      <c r="C382" t="s">
        <v>99</v>
      </c>
      <c r="D382" t="s">
        <v>12</v>
      </c>
      <c r="E382" s="2" t="str">
        <f>HYPERLINK("https://ibp.a2mac1.com/costing(costing:projects/details/8191/process/6970266)","Pressure Die Casting : Laser Marking")</f>
        <v>Pressure Die Casting : Laser Marking</v>
      </c>
      <c r="F382" t="s">
        <v>637</v>
      </c>
    </row>
    <row r="383" spans="1:6" ht="12.75">
      <c r="A383">
        <v>6942701</v>
      </c>
      <c r="B383">
        <v>6970266</v>
      </c>
      <c r="C383" t="s">
        <v>189</v>
      </c>
      <c r="D383" t="s">
        <v>99</v>
      </c>
      <c r="E383" s="2" t="str">
        <f>HYPERLINK("https://ibp.a2mac1.com/costing(costing:projects/details/8191/equipment/6942701)","Laser marking line ")</f>
        <v xml:space="preserve">Laser marking line </v>
      </c>
      <c r="F383" t="s">
        <v>644</v>
      </c>
    </row>
    <row r="384" spans="1:6" ht="12.75">
      <c r="A384">
        <v>6970267</v>
      </c>
      <c r="B384">
        <v>5381275</v>
      </c>
      <c r="C384" t="s">
        <v>99</v>
      </c>
      <c r="D384" t="s">
        <v>12</v>
      </c>
      <c r="E384" s="2" t="str">
        <f>HYPERLINK("https://ibp.a2mac1.com/costing(costing:projects/details/8191/process/6970267)","Machining")</f>
        <v>Machining</v>
      </c>
      <c r="F384" t="s">
        <v>637</v>
      </c>
    </row>
    <row r="385" spans="1:6" ht="12.75">
      <c r="A385">
        <v>6942702</v>
      </c>
      <c r="B385">
        <v>6970267</v>
      </c>
      <c r="C385" t="s">
        <v>189</v>
      </c>
      <c r="D385" t="s">
        <v>99</v>
      </c>
      <c r="E385" s="2" t="str">
        <f>HYPERLINK("https://ibp.a2mac1.com/costing(costing:projects/details/8191/equipment/6942702)","Machining Center, medium ")</f>
        <v xml:space="preserve">Machining Center, medium </v>
      </c>
      <c r="F385" t="s">
        <v>645</v>
      </c>
    </row>
    <row r="386" spans="1:6" ht="12.75">
      <c r="A386">
        <v>6970268</v>
      </c>
      <c r="B386">
        <v>5381275</v>
      </c>
      <c r="C386" t="s">
        <v>99</v>
      </c>
      <c r="D386" t="s">
        <v>12</v>
      </c>
      <c r="E386" s="2" t="str">
        <f>HYPERLINK("https://ibp.a2mac1.com/costing(costing:projects/details/8191/process/6970268)","Cleaning")</f>
        <v>Cleaning</v>
      </c>
      <c r="F386" t="s">
        <v>637</v>
      </c>
    </row>
    <row r="387" spans="1:6" ht="12.75">
      <c r="A387">
        <v>6942703</v>
      </c>
      <c r="B387">
        <v>6970268</v>
      </c>
      <c r="C387" t="s">
        <v>189</v>
      </c>
      <c r="D387" t="s">
        <v>99</v>
      </c>
      <c r="E387" s="2" t="str">
        <f>HYPERLINK("https://ibp.a2mac1.com/costing(costing:projects/details/8191/equipment/6942703)","Cleaning machine, run through ")</f>
        <v xml:space="preserve">Cleaning machine, run through </v>
      </c>
      <c r="F387" t="s">
        <v>646</v>
      </c>
    </row>
    <row r="388" spans="1:6" ht="12.75">
      <c r="A388">
        <v>5315312</v>
      </c>
      <c r="B388">
        <v>5381275</v>
      </c>
      <c r="C388" t="s">
        <v>574</v>
      </c>
      <c r="D388" t="s">
        <v>12</v>
      </c>
      <c r="E388" s="2" t="str">
        <f>HYPERLINK("https://ibp.a2mac1.com/costing(costing:projects/details/8191/component/5315312)","Hub/Boss")</f>
        <v>Hub/Boss</v>
      </c>
      <c r="F388" t="s">
        <v>637</v>
      </c>
    </row>
    <row r="389" spans="1:6" ht="12.75">
      <c r="A389">
        <v>5381276</v>
      </c>
      <c r="B389">
        <v>5381261</v>
      </c>
      <c r="C389" t="s">
        <v>12</v>
      </c>
      <c r="D389" t="s">
        <v>8</v>
      </c>
      <c r="E389" s="2" t="str">
        <f>HYPERLINK("https://ibp.a2mac1.com/costing(costing:projects/details/8191/part/5381276)","Foam Body")</f>
        <v>Foam Body</v>
      </c>
      <c r="F389" t="s">
        <v>636</v>
      </c>
    </row>
    <row r="390" spans="1:6" ht="12.75">
      <c r="A390">
        <v>6970269</v>
      </c>
      <c r="B390">
        <v>5381276</v>
      </c>
      <c r="C390" t="s">
        <v>99</v>
      </c>
      <c r="D390" t="s">
        <v>12</v>
      </c>
      <c r="E390" s="2" t="str">
        <f>HYPERLINK("https://ibp.a2mac1.com/costing(costing:projects/details/8191/process/6970269)","Reaction Injection Molding- Overmolding PUR")</f>
        <v>Reaction Injection Molding- Overmolding PUR</v>
      </c>
      <c r="F390" t="s">
        <v>647</v>
      </c>
    </row>
    <row r="391" spans="1:6" ht="12.75">
      <c r="A391">
        <v>5315351</v>
      </c>
      <c r="B391">
        <v>6970269</v>
      </c>
      <c r="C391" t="s">
        <v>24</v>
      </c>
      <c r="D391" t="s">
        <v>99</v>
      </c>
      <c r="E391" s="2" t="str">
        <f>HYPERLINK("https://ibp.a2mac1.com/costing(costing:projects/details/8191/material/5315351)","PUR")</f>
        <v>PUR</v>
      </c>
      <c r="F391" t="s">
        <v>650</v>
      </c>
    </row>
    <row r="392" spans="1:6" ht="12.75">
      <c r="A392">
        <v>5315352</v>
      </c>
      <c r="B392">
        <v>6970269</v>
      </c>
      <c r="C392" t="s">
        <v>24</v>
      </c>
      <c r="D392" t="s">
        <v>99</v>
      </c>
      <c r="E392" s="2" t="str">
        <f>HYPERLINK("https://ibp.a2mac1.com/costing(costing:projects/details/8191/material/5315352)","Heat Mat")</f>
        <v>Heat Mat</v>
      </c>
      <c r="F392" t="s">
        <v>650</v>
      </c>
    </row>
    <row r="393" spans="1:6" ht="12.75">
      <c r="A393">
        <v>6942704</v>
      </c>
      <c r="B393">
        <v>6970269</v>
      </c>
      <c r="C393" t="s">
        <v>189</v>
      </c>
      <c r="D393" t="s">
        <v>99</v>
      </c>
      <c r="E393" s="2" t="str">
        <f>HYPERLINK("https://ibp.a2mac1.com/costing(costing:projects/details/8191/equipment/6942704)","Reaction Injection Molding Machine")</f>
        <v>Reaction Injection Molding Machine</v>
      </c>
      <c r="F393" t="s">
        <v>650</v>
      </c>
    </row>
    <row r="394" spans="1:6" ht="12.75">
      <c r="A394">
        <v>5381277</v>
      </c>
      <c r="B394">
        <v>5381261</v>
      </c>
      <c r="C394" t="s">
        <v>12</v>
      </c>
      <c r="D394" t="s">
        <v>8</v>
      </c>
      <c r="E394" s="2" t="str">
        <f>HYPERLINK("https://ibp.a2mac1.com/costing(costing:projects/details/8191/part/5381277)","Leather")</f>
        <v>Leather</v>
      </c>
      <c r="F394" t="s">
        <v>636</v>
      </c>
    </row>
    <row r="395" spans="1:6" ht="12.75">
      <c r="A395">
        <v>6970270</v>
      </c>
      <c r="B395">
        <v>5381277</v>
      </c>
      <c r="C395" t="s">
        <v>99</v>
      </c>
      <c r="D395" t="s">
        <v>12</v>
      </c>
      <c r="E395" s="2" t="str">
        <f>HYPERLINK("https://ibp.a2mac1.com/costing(costing:projects/details/8191/process/6970270)","Leather Cutting")</f>
        <v>Leather Cutting</v>
      </c>
      <c r="F395" t="s">
        <v>651</v>
      </c>
    </row>
    <row r="396" spans="1:6" ht="12.75">
      <c r="A396">
        <v>5315353</v>
      </c>
      <c r="B396">
        <v>6970270</v>
      </c>
      <c r="C396" t="s">
        <v>24</v>
      </c>
      <c r="D396" t="s">
        <v>99</v>
      </c>
      <c r="E396" s="2" t="str">
        <f>HYPERLINK("https://ibp.a2mac1.com/costing(costing:projects/details/8191/material/5315353)","Covering skin: Artifical Leather")</f>
        <v>Covering skin: Artifical Leather</v>
      </c>
      <c r="F396" t="s">
        <v>654</v>
      </c>
    </row>
    <row r="397" spans="1:6" ht="12.75">
      <c r="A397">
        <v>6942705</v>
      </c>
      <c r="B397">
        <v>6970270</v>
      </c>
      <c r="C397" t="s">
        <v>189</v>
      </c>
      <c r="D397" t="s">
        <v>99</v>
      </c>
      <c r="E397" s="2" t="str">
        <f>HYPERLINK("https://ibp.a2mac1.com/costing(costing:projects/details/8191/equipment/6942705)","No.01 - Die cutting - PLOTTERMAX 1725 ALLROUNDER ")</f>
        <v xml:space="preserve">No.01 - Die cutting - PLOTTERMAX 1725 ALLROUNDER </v>
      </c>
      <c r="F397" t="s">
        <v>654</v>
      </c>
    </row>
    <row r="398" spans="1:6" ht="12.75">
      <c r="A398">
        <v>6970271</v>
      </c>
      <c r="B398">
        <v>5381277</v>
      </c>
      <c r="C398" t="s">
        <v>99</v>
      </c>
      <c r="D398" t="s">
        <v>12</v>
      </c>
      <c r="E398" s="2" t="str">
        <f>HYPERLINK("https://ibp.a2mac1.com/costing(costing:projects/details/8191/process/6970271)","Adjusting leather and sewing")</f>
        <v>Adjusting leather and sewing</v>
      </c>
      <c r="F398" t="s">
        <v>651</v>
      </c>
    </row>
    <row r="399" spans="1:6" ht="12.75">
      <c r="A399">
        <v>6942706</v>
      </c>
      <c r="B399">
        <v>6970271</v>
      </c>
      <c r="C399" t="s">
        <v>189</v>
      </c>
      <c r="D399" t="s">
        <v>99</v>
      </c>
      <c r="E399" s="2" t="str">
        <f>HYPERLINK("https://ibp.a2mac1.com/costing(costing:projects/details/8191/equipment/6942706)","Simple Assembly Cell ")</f>
        <v xml:space="preserve">Simple Assembly Cell </v>
      </c>
      <c r="F399" t="s">
        <v>655</v>
      </c>
    </row>
    <row r="400" spans="1:6" ht="12.75">
      <c r="A400">
        <v>5315276</v>
      </c>
      <c r="B400">
        <v>5381261</v>
      </c>
      <c r="C400" t="s">
        <v>574</v>
      </c>
      <c r="D400" t="s">
        <v>8</v>
      </c>
      <c r="E400" s="2" t="str">
        <f>HYPERLINK("https://ibp.a2mac1.com/costing(costing:projects/details/8191/component/5315276)","Fasteners")</f>
        <v>Fasteners</v>
      </c>
      <c r="F400" t="s">
        <v>636</v>
      </c>
    </row>
    <row r="401" spans="1:6" ht="12.75">
      <c r="A401">
        <v>5381259</v>
      </c>
      <c r="B401">
        <v>5381173</v>
      </c>
      <c r="C401" t="s">
        <v>12</v>
      </c>
      <c r="D401" t="s">
        <v>8</v>
      </c>
      <c r="E401" s="2" t="str">
        <f>HYPERLINK("https://ibp.a2mac1.com/costing(costing:projects/details/8191/part/5381259)","Steering wheel vibration ECU")</f>
        <v>Steering wheel vibration ECU</v>
      </c>
      <c r="F401" t="s">
        <v>594</v>
      </c>
    </row>
    <row r="402" spans="1:6" ht="12.75">
      <c r="A402">
        <v>6970087</v>
      </c>
      <c r="B402">
        <v>5381173</v>
      </c>
      <c r="C402" t="s">
        <v>99</v>
      </c>
      <c r="D402" t="s">
        <v>8</v>
      </c>
      <c r="E402" s="2" t="str">
        <f>HYPERLINK("https://ibp.a2mac1.com/costing(costing:projects/details/8191/process/6970087)","Assembly")</f>
        <v>Assembly</v>
      </c>
      <c r="F402" t="s">
        <v>594</v>
      </c>
    </row>
    <row r="403" spans="1:6" ht="12.75">
      <c r="A403">
        <v>6942523</v>
      </c>
      <c r="B403">
        <v>6970087</v>
      </c>
      <c r="C403" t="s">
        <v>189</v>
      </c>
      <c r="D403" t="s">
        <v>99</v>
      </c>
      <c r="E403" s="2" t="str">
        <f>HYPERLINK("https://ibp.a2mac1.com/costing(costing:projects/details/8191/equipment/6942523)","DC machine - General")</f>
        <v>DC machine - General</v>
      </c>
      <c r="F403" t="s">
        <v>660</v>
      </c>
    </row>
    <row r="404" spans="1:6" ht="12.75">
      <c r="A404">
        <v>5381174</v>
      </c>
      <c r="B404">
        <v>5381170</v>
      </c>
      <c r="C404" t="s">
        <v>8</v>
      </c>
      <c r="D404" t="s">
        <v>8</v>
      </c>
      <c r="E404" s="2" t="str">
        <f>HYPERLINK("https://ibp.a2mac1.com/costing(costing:projects/details/8191/assembly/5381174)","Steering Switch Cover")</f>
        <v>Steering Switch Cover</v>
      </c>
      <c r="F404" t="s">
        <v>490</v>
      </c>
    </row>
    <row r="405" spans="1:6" ht="12.75">
      <c r="A405">
        <v>5381262</v>
      </c>
      <c r="B405">
        <v>5381174</v>
      </c>
      <c r="C405" t="s">
        <v>12</v>
      </c>
      <c r="D405" t="s">
        <v>8</v>
      </c>
      <c r="E405" s="2" t="str">
        <f>HYPERLINK("https://ibp.a2mac1.com/costing(costing:projects/details/8191/part/5381262)","Steering Switch Covers Upper")</f>
        <v>Steering Switch Covers Upper</v>
      </c>
      <c r="F405" t="s">
        <v>663</v>
      </c>
    </row>
    <row r="406" spans="1:6" ht="12.75">
      <c r="A406">
        <v>6970220</v>
      </c>
      <c r="B406">
        <v>5381262</v>
      </c>
      <c r="C406" t="s">
        <v>99</v>
      </c>
      <c r="D406" t="s">
        <v>12</v>
      </c>
      <c r="E406" s="2" t="str">
        <f>HYPERLINK("https://ibp.a2mac1.com/costing(costing:projects/details/8191/process/6970220)","Injection molding")</f>
        <v>Injection molding</v>
      </c>
      <c r="F406" t="s">
        <v>664</v>
      </c>
    </row>
    <row r="407" spans="1:6" ht="12.75">
      <c r="A407">
        <v>5315313</v>
      </c>
      <c r="B407">
        <v>6970220</v>
      </c>
      <c r="C407" t="s">
        <v>24</v>
      </c>
      <c r="D407" t="s">
        <v>99</v>
      </c>
      <c r="E407" s="2" t="str">
        <f>HYPERLINK("https://ibp.a2mac1.com/costing(costing:projects/details/8191/material/5315313)","PP-PE")</f>
        <v>PP-PE</v>
      </c>
      <c r="F407" t="s">
        <v>665</v>
      </c>
    </row>
    <row r="408" spans="1:6" ht="12.75">
      <c r="A408">
        <v>6942530</v>
      </c>
      <c r="B408">
        <v>6970220</v>
      </c>
      <c r="C408" t="s">
        <v>189</v>
      </c>
      <c r="D408" t="s">
        <v>99</v>
      </c>
      <c r="E408" s="2" t="str">
        <f>HYPERLINK("https://ibp.a2mac1.com/costing(costing:projects/details/8191/equipment/6942530)","No.02 - Injection Press - 60T - 25kW - 320x320 - Max Volume 164cm3 ")</f>
        <v xml:space="preserve">No.02 - Injection Press - 60T - 25kW - 320x320 - Max Volume 164cm3 </v>
      </c>
      <c r="F408" t="s">
        <v>665</v>
      </c>
    </row>
    <row r="409" spans="1:6" ht="12.75">
      <c r="A409">
        <v>5381263</v>
      </c>
      <c r="B409">
        <v>5381174</v>
      </c>
      <c r="C409" t="s">
        <v>12</v>
      </c>
      <c r="D409" t="s">
        <v>8</v>
      </c>
      <c r="E409" s="2" t="str">
        <f>HYPERLINK("https://ibp.a2mac1.com/costing(costing:projects/details/8191/part/5381263)","Steering Switch Cover Lower")</f>
        <v>Steering Switch Cover Lower</v>
      </c>
      <c r="F409" t="s">
        <v>663</v>
      </c>
    </row>
    <row r="410" spans="1:6" ht="12.75">
      <c r="A410">
        <v>6970221</v>
      </c>
      <c r="B410">
        <v>5381263</v>
      </c>
      <c r="C410" t="s">
        <v>99</v>
      </c>
      <c r="D410" t="s">
        <v>12</v>
      </c>
      <c r="E410" s="2" t="str">
        <f>HYPERLINK("https://ibp.a2mac1.com/costing(costing:projects/details/8191/process/6970221)","Injection molding")</f>
        <v>Injection molding</v>
      </c>
      <c r="F410" t="s">
        <v>666</v>
      </c>
    </row>
    <row r="411" spans="1:6" ht="12.75">
      <c r="A411">
        <v>5315314</v>
      </c>
      <c r="B411">
        <v>6970221</v>
      </c>
      <c r="C411" t="s">
        <v>24</v>
      </c>
      <c r="D411" t="s">
        <v>99</v>
      </c>
      <c r="E411" s="2" t="str">
        <f>HYPERLINK("https://ibp.a2mac1.com/costing(costing:projects/details/8191/material/5315314)","PP-PE")</f>
        <v>PP-PE</v>
      </c>
      <c r="F411" t="s">
        <v>667</v>
      </c>
    </row>
    <row r="412" spans="1:6" ht="12.75">
      <c r="A412">
        <v>6942531</v>
      </c>
      <c r="B412">
        <v>6970221</v>
      </c>
      <c r="C412" t="s">
        <v>189</v>
      </c>
      <c r="D412" t="s">
        <v>99</v>
      </c>
      <c r="E412" s="2" t="str">
        <f>HYPERLINK("https://ibp.a2mac1.com/costing(costing:projects/details/8191/equipment/6942531)","No.06 - Injection Press - 200T - 45kW - 510x510 - Max Volume 624cm3 ")</f>
        <v xml:space="preserve">No.06 - Injection Press - 200T - 45kW - 510x510 - Max Volume 624cm3 </v>
      </c>
      <c r="F412" t="s">
        <v>667</v>
      </c>
    </row>
    <row r="413" spans="1:6" ht="12.75">
      <c r="A413">
        <v>5381264</v>
      </c>
      <c r="B413">
        <v>5381174</v>
      </c>
      <c r="C413" t="s">
        <v>12</v>
      </c>
      <c r="D413" t="s">
        <v>8</v>
      </c>
      <c r="E413" s="2" t="str">
        <f>HYPERLINK("https://ibp.a2mac1.com/costing(costing:projects/details/8191/part/5381264)","Shroud Front")</f>
        <v>Shroud Front</v>
      </c>
      <c r="F413" t="s">
        <v>663</v>
      </c>
    </row>
    <row r="414" spans="1:6" ht="12.75">
      <c r="A414">
        <v>6970222</v>
      </c>
      <c r="B414">
        <v>5381264</v>
      </c>
      <c r="C414" t="s">
        <v>99</v>
      </c>
      <c r="D414" t="s">
        <v>12</v>
      </c>
      <c r="E414" s="2" t="str">
        <f>HYPERLINK("https://ibp.a2mac1.com/costing(costing:projects/details/8191/process/6970222)","Injection molding")</f>
        <v>Injection molding</v>
      </c>
      <c r="F414" t="s">
        <v>669</v>
      </c>
    </row>
    <row r="415" spans="1:6" ht="12.75">
      <c r="A415">
        <v>5315315</v>
      </c>
      <c r="B415">
        <v>6970222</v>
      </c>
      <c r="C415" t="s">
        <v>24</v>
      </c>
      <c r="D415" t="s">
        <v>99</v>
      </c>
      <c r="E415" s="2" t="str">
        <f>HYPERLINK("https://ibp.a2mac1.com/costing(costing:projects/details/8191/material/5315315)","PP")</f>
        <v>PP</v>
      </c>
      <c r="F415" t="s">
        <v>672</v>
      </c>
    </row>
    <row r="416" spans="1:6" ht="12.75">
      <c r="A416">
        <v>6942532</v>
      </c>
      <c r="B416">
        <v>6970222</v>
      </c>
      <c r="C416" t="s">
        <v>189</v>
      </c>
      <c r="D416" t="s">
        <v>99</v>
      </c>
      <c r="E416" s="2" t="str">
        <f>HYPERLINK("https://ibp.a2mac1.com/costing(costing:projects/details/8191/equipment/6942532)","No.02 - Injection Press - 60T - 25kW - 320x320 - Max Volume 164cm3 ")</f>
        <v xml:space="preserve">No.02 - Injection Press - 60T - 25kW - 320x320 - Max Volume 164cm3 </v>
      </c>
      <c r="F416" t="s">
        <v>672</v>
      </c>
    </row>
    <row r="417" spans="1:6" ht="12.75">
      <c r="A417">
        <v>5381278</v>
      </c>
      <c r="B417">
        <v>8191</v>
      </c>
      <c r="C417" t="s">
        <v>8</v>
      </c>
      <c r="D417" t="s">
        <v>6</v>
      </c>
      <c r="E417" s="2" t="str">
        <f>HYPERLINK("https://ibp.a2mac1.com/costing(costing:projects/details/8191/assembly/5381278)","Safety System")</f>
        <v>Safety System</v>
      </c>
      <c r="F417" t="s">
        <v>9</v>
      </c>
    </row>
    <row r="418" spans="1:6" ht="12.75">
      <c r="A418">
        <v>5381279</v>
      </c>
      <c r="B418">
        <v>5381278</v>
      </c>
      <c r="C418" t="s">
        <v>8</v>
      </c>
      <c r="D418" t="s">
        <v>8</v>
      </c>
      <c r="E418" s="2" t="str">
        <f>HYPERLINK("https://ibp.a2mac1.com/costing(costing:projects/details/8191/assembly/5381279)","Airbags")</f>
        <v>Airbags</v>
      </c>
      <c r="F418" t="s">
        <v>675</v>
      </c>
    </row>
    <row r="419" spans="1:6" ht="12.75">
      <c r="A419">
        <v>5381282</v>
      </c>
      <c r="B419">
        <v>5381279</v>
      </c>
      <c r="C419" t="s">
        <v>8</v>
      </c>
      <c r="D419" t="s">
        <v>8</v>
      </c>
      <c r="E419" s="2" t="str">
        <f>HYPERLINK("https://ibp.a2mac1.com/costing(costing:projects/details/8191/assembly/5381282)","Airbag Control Unit")</f>
        <v>Airbag Control Unit</v>
      </c>
      <c r="F419" t="s">
        <v>676</v>
      </c>
    </row>
    <row r="420" spans="1:6" ht="12.75">
      <c r="A420">
        <v>5381357</v>
      </c>
      <c r="B420">
        <v>5381282</v>
      </c>
      <c r="C420" t="s">
        <v>12</v>
      </c>
      <c r="D420" t="s">
        <v>8</v>
      </c>
      <c r="E420" s="2" t="str">
        <f>HYPERLINK("https://ibp.a2mac1.com/costing(costing:projects/details/8191/part/5381357)","Control Unit")</f>
        <v>Control Unit</v>
      </c>
      <c r="F420" t="s">
        <v>677</v>
      </c>
    </row>
    <row r="421" spans="1:6" ht="12.75">
      <c r="A421">
        <v>6970273</v>
      </c>
      <c r="B421">
        <v>5381357</v>
      </c>
      <c r="C421" t="s">
        <v>99</v>
      </c>
      <c r="D421" t="s">
        <v>12</v>
      </c>
      <c r="E421" s="2" t="str">
        <f>HYPERLINK("https://ibp.a2mac1.com/costing(costing:projects/details/8191/process/6970273)","Process")</f>
        <v>Process</v>
      </c>
      <c r="F421" t="s">
        <v>678</v>
      </c>
    </row>
    <row r="422" spans="1:6" ht="12.75">
      <c r="A422">
        <v>6942798</v>
      </c>
      <c r="B422">
        <v>6970273</v>
      </c>
      <c r="C422" t="s">
        <v>189</v>
      </c>
      <c r="D422" t="s">
        <v>99</v>
      </c>
      <c r="E422" s="2" t="str">
        <f>HYPERLINK("https://ibp.a2mac1.com/costing(costing:projects/details/8191/equipment/6942798)","Dummy Machine (PCBA+Final Assembly Line)")</f>
        <v>Dummy Machine (PCBA+Final Assembly Line)</v>
      </c>
      <c r="F422" t="s">
        <v>679</v>
      </c>
    </row>
    <row r="423" spans="1:6" ht="12.75">
      <c r="A423">
        <v>5315354</v>
      </c>
      <c r="B423">
        <v>5381357</v>
      </c>
      <c r="C423" t="s">
        <v>574</v>
      </c>
      <c r="D423" t="s">
        <v>12</v>
      </c>
      <c r="E423" s="2" t="str">
        <f>HYPERLINK("https://ibp.a2mac1.com/costing(costing:projects/details/8191/component/5315354)","Mechanics")</f>
        <v>Mechanics</v>
      </c>
      <c r="F423" t="s">
        <v>678</v>
      </c>
    </row>
    <row r="424" spans="1:6" ht="12.75">
      <c r="A424">
        <v>5315355</v>
      </c>
      <c r="B424">
        <v>5381357</v>
      </c>
      <c r="C424" t="s">
        <v>574</v>
      </c>
      <c r="D424" t="s">
        <v>12</v>
      </c>
      <c r="E424" s="2" t="str">
        <f>HYPERLINK("https://ibp.a2mac1.com/costing(costing:projects/details/8191/component/5315355)","Electronics")</f>
        <v>Electronics</v>
      </c>
      <c r="F424" t="s">
        <v>678</v>
      </c>
    </row>
    <row r="425" spans="1:6" ht="12.75">
      <c r="A425">
        <v>5381283</v>
      </c>
      <c r="B425">
        <v>5381279</v>
      </c>
      <c r="C425" t="s">
        <v>8</v>
      </c>
      <c r="D425" t="s">
        <v>8</v>
      </c>
      <c r="E425" s="2" t="str">
        <f>HYPERLINK("https://ibp.a2mac1.com/costing(costing:projects/details/8191/assembly/5381283)","Airbags Sensors")</f>
        <v>Airbags Sensors</v>
      </c>
      <c r="F425" t="s">
        <v>676</v>
      </c>
    </row>
    <row r="426" spans="1:6" ht="12.75">
      <c r="A426">
        <v>5381358</v>
      </c>
      <c r="B426">
        <v>5381283</v>
      </c>
      <c r="C426" t="s">
        <v>12</v>
      </c>
      <c r="D426" t="s">
        <v>8</v>
      </c>
      <c r="E426" s="2" t="str">
        <f>HYPERLINK("https://ibp.a2mac1.com/costing(costing:projects/details/8191/part/5381358)","Front Airbag Sensor")</f>
        <v>Front Airbag Sensor</v>
      </c>
      <c r="F426" t="s">
        <v>684</v>
      </c>
    </row>
    <row r="427" spans="1:6" ht="12.75">
      <c r="A427">
        <v>5381359</v>
      </c>
      <c r="B427">
        <v>5381283</v>
      </c>
      <c r="C427" t="s">
        <v>12</v>
      </c>
      <c r="D427" t="s">
        <v>8</v>
      </c>
      <c r="E427" s="2" t="str">
        <f>HYPERLINK("https://ibp.a2mac1.com/costing(costing:projects/details/8191/part/5381359)","Driver Door Sensor")</f>
        <v>Driver Door Sensor</v>
      </c>
      <c r="F427" t="s">
        <v>684</v>
      </c>
    </row>
    <row r="428" spans="1:6" ht="12.75">
      <c r="A428">
        <v>6970274</v>
      </c>
      <c r="B428">
        <v>5381359</v>
      </c>
      <c r="C428" t="s">
        <v>99</v>
      </c>
      <c r="D428" t="s">
        <v>12</v>
      </c>
      <c r="E428" s="2" t="str">
        <f>HYPERLINK("https://ibp.a2mac1.com/costing(costing:projects/details/8191/process/6970274)","Process")</f>
        <v>Process</v>
      </c>
      <c r="F428" t="s">
        <v>689</v>
      </c>
    </row>
    <row r="429" spans="1:6" ht="12.75">
      <c r="A429">
        <v>6942799</v>
      </c>
      <c r="B429">
        <v>6970274</v>
      </c>
      <c r="C429" t="s">
        <v>189</v>
      </c>
      <c r="D429" t="s">
        <v>99</v>
      </c>
      <c r="E429" s="2" t="str">
        <f>HYPERLINK("https://ibp.a2mac1.com/costing(costing:projects/details/8191/equipment/6942799)","Dummy Machine (PCBA+Final Assembly Line)")</f>
        <v>Dummy Machine (PCBA+Final Assembly Line)</v>
      </c>
      <c r="F429" t="s">
        <v>690</v>
      </c>
    </row>
    <row r="430" spans="1:6" ht="12.75">
      <c r="A430">
        <v>5315356</v>
      </c>
      <c r="B430">
        <v>5381359</v>
      </c>
      <c r="C430" t="s">
        <v>574</v>
      </c>
      <c r="D430" t="s">
        <v>12</v>
      </c>
      <c r="E430" s="2" t="str">
        <f>HYPERLINK("https://ibp.a2mac1.com/costing(costing:projects/details/8191/component/5315356)","Mechanics")</f>
        <v>Mechanics</v>
      </c>
      <c r="F430" t="s">
        <v>689</v>
      </c>
    </row>
    <row r="431" spans="1:6" ht="12.75">
      <c r="A431">
        <v>5315357</v>
      </c>
      <c r="B431">
        <v>5381359</v>
      </c>
      <c r="C431" t="s">
        <v>574</v>
      </c>
      <c r="D431" t="s">
        <v>12</v>
      </c>
      <c r="E431" s="2" t="str">
        <f>HYPERLINK("https://ibp.a2mac1.com/costing(costing:projects/details/8191/component/5315357)","Electronics")</f>
        <v>Electronics</v>
      </c>
      <c r="F431" t="s">
        <v>689</v>
      </c>
    </row>
    <row r="432" spans="1:6" ht="12.75">
      <c r="A432">
        <v>5381360</v>
      </c>
      <c r="B432">
        <v>5381283</v>
      </c>
      <c r="C432" t="s">
        <v>12</v>
      </c>
      <c r="D432" t="s">
        <v>8</v>
      </c>
      <c r="E432" s="2" t="str">
        <f>HYPERLINK("https://ibp.a2mac1.com/costing(costing:projects/details/8191/part/5381360)","B Pillar Sensor")</f>
        <v>B Pillar Sensor</v>
      </c>
      <c r="F432" t="s">
        <v>684</v>
      </c>
    </row>
    <row r="433" spans="1:6" ht="12.75">
      <c r="A433">
        <v>5381361</v>
      </c>
      <c r="B433">
        <v>5381283</v>
      </c>
      <c r="C433" t="s">
        <v>12</v>
      </c>
      <c r="D433" t="s">
        <v>8</v>
      </c>
      <c r="E433" s="2" t="str">
        <f>HYPERLINK("https://ibp.a2mac1.com/costing(costing:projects/details/8191/part/5381361)","C Pillar Sensor")</f>
        <v>C Pillar Sensor</v>
      </c>
      <c r="F433" t="s">
        <v>684</v>
      </c>
    </row>
    <row r="434" spans="1:6" ht="12.75">
      <c r="A434">
        <v>5381362</v>
      </c>
      <c r="B434">
        <v>5381283</v>
      </c>
      <c r="C434" t="s">
        <v>12</v>
      </c>
      <c r="D434" t="s">
        <v>8</v>
      </c>
      <c r="E434" s="2" t="str">
        <f>HYPERLINK("https://ibp.a2mac1.com/costing(costing:projects/details/8191/part/5381362)","Driver Sensor Door Support")</f>
        <v>Driver Sensor Door Support</v>
      </c>
      <c r="F434" t="s">
        <v>684</v>
      </c>
    </row>
    <row r="435" spans="1:6" ht="12.75">
      <c r="A435">
        <v>5381284</v>
      </c>
      <c r="B435">
        <v>5381279</v>
      </c>
      <c r="C435" t="s">
        <v>8</v>
      </c>
      <c r="D435" t="s">
        <v>8</v>
      </c>
      <c r="E435" s="2" t="str">
        <f>HYPERLINK("https://ibp.a2mac1.com/costing(costing:projects/details/8191/assembly/5381284)","Driver Airbag")</f>
        <v>Driver Airbag</v>
      </c>
      <c r="F435" t="s">
        <v>676</v>
      </c>
    </row>
    <row r="436" spans="1:6" ht="12.75">
      <c r="A436">
        <v>5381363</v>
      </c>
      <c r="B436">
        <v>5381284</v>
      </c>
      <c r="C436" t="s">
        <v>12</v>
      </c>
      <c r="D436" t="s">
        <v>8</v>
      </c>
      <c r="E436" s="2" t="str">
        <f>HYPERLINK("https://ibp.a2mac1.com/costing(costing:projects/details/8191/part/5381363)","Airbag Unit")</f>
        <v>Airbag Unit</v>
      </c>
      <c r="F436" t="s">
        <v>700</v>
      </c>
    </row>
    <row r="437" spans="1:6" ht="12.75">
      <c r="A437">
        <v>6970275</v>
      </c>
      <c r="B437">
        <v>5381363</v>
      </c>
      <c r="C437" t="s">
        <v>99</v>
      </c>
      <c r="D437" t="s">
        <v>12</v>
      </c>
      <c r="E437" s="2" t="str">
        <f>HYPERLINK("https://ibp.a2mac1.com/costing(costing:projects/details/8191/process/6970275)","Automated process")</f>
        <v>Automated process</v>
      </c>
      <c r="F437" t="s">
        <v>701</v>
      </c>
    </row>
    <row r="438" spans="1:6" ht="12.75">
      <c r="A438">
        <v>5315407</v>
      </c>
      <c r="B438">
        <v>6970275</v>
      </c>
      <c r="C438" t="s">
        <v>24</v>
      </c>
      <c r="D438" t="s">
        <v>99</v>
      </c>
      <c r="E438" s="2" t="str">
        <f>HYPERLINK("https://ibp.a2mac1.com/costing(costing:projects/details/8191/material/5315407)","Material")</f>
        <v>Material</v>
      </c>
      <c r="F438" t="s">
        <v>702</v>
      </c>
    </row>
    <row r="439" spans="1:6" ht="12.75">
      <c r="A439">
        <v>6942800</v>
      </c>
      <c r="B439">
        <v>6970275</v>
      </c>
      <c r="C439" t="s">
        <v>189</v>
      </c>
      <c r="D439" t="s">
        <v>99</v>
      </c>
      <c r="E439" s="2" t="str">
        <f>HYPERLINK("https://ibp.a2mac1.com/costing(costing:projects/details/8191/equipment/6942800)","DC machine - General")</f>
        <v>DC machine - General</v>
      </c>
      <c r="F439" t="s">
        <v>702</v>
      </c>
    </row>
    <row r="440" spans="1:6" ht="12.75">
      <c r="A440">
        <v>5315358</v>
      </c>
      <c r="B440">
        <v>5381363</v>
      </c>
      <c r="C440" t="s">
        <v>574</v>
      </c>
      <c r="D440" t="s">
        <v>12</v>
      </c>
      <c r="E440" s="2" t="str">
        <f>HYPERLINK("https://ibp.a2mac1.com/costing(costing:projects/details/8191/component/5315358)","Screw &gt; Various shape screw")</f>
        <v>Screw &gt; Various shape screw</v>
      </c>
      <c r="F440" t="s">
        <v>701</v>
      </c>
    </row>
    <row r="441" spans="1:6" ht="12.75">
      <c r="A441">
        <v>5315359</v>
      </c>
      <c r="B441">
        <v>5381363</v>
      </c>
      <c r="C441" t="s">
        <v>574</v>
      </c>
      <c r="D441" t="s">
        <v>12</v>
      </c>
      <c r="E441" s="2" t="str">
        <f>HYPERLINK("https://ibp.a2mac1.com/costing(costing:projects/details/8191/component/5315359)","Fasteners")</f>
        <v>Fasteners</v>
      </c>
      <c r="F441" t="s">
        <v>701</v>
      </c>
    </row>
    <row r="442" spans="1:6" ht="12.75">
      <c r="A442">
        <v>5381285</v>
      </c>
      <c r="B442">
        <v>5381279</v>
      </c>
      <c r="C442" t="s">
        <v>8</v>
      </c>
      <c r="D442" t="s">
        <v>8</v>
      </c>
      <c r="E442" s="2" t="str">
        <f>HYPERLINK("https://ibp.a2mac1.com/costing(costing:projects/details/8191/assembly/5381285)","Passenger Airbag")</f>
        <v>Passenger Airbag</v>
      </c>
      <c r="F442" t="s">
        <v>676</v>
      </c>
    </row>
    <row r="443" spans="1:6" ht="12.75">
      <c r="A443">
        <v>5381364</v>
      </c>
      <c r="B443">
        <v>5381285</v>
      </c>
      <c r="C443" t="s">
        <v>12</v>
      </c>
      <c r="D443" t="s">
        <v>8</v>
      </c>
      <c r="E443" s="2" t="str">
        <f>HYPERLINK("https://ibp.a2mac1.com/costing(costing:projects/details/8191/part/5381364)","Airbag Unit")</f>
        <v>Airbag Unit</v>
      </c>
      <c r="F443" t="s">
        <v>708</v>
      </c>
    </row>
    <row r="444" spans="1:6" ht="12.75">
      <c r="A444">
        <v>6970296</v>
      </c>
      <c r="B444">
        <v>5381364</v>
      </c>
      <c r="C444" t="s">
        <v>99</v>
      </c>
      <c r="D444" t="s">
        <v>12</v>
      </c>
      <c r="E444" s="2" t="str">
        <f>HYPERLINK("https://ibp.a2mac1.com/costing(costing:projects/details/8191/process/6970296)","Automated process")</f>
        <v>Automated process</v>
      </c>
      <c r="F444" t="s">
        <v>709</v>
      </c>
    </row>
    <row r="445" spans="1:6" ht="12.75">
      <c r="A445">
        <v>5315408</v>
      </c>
      <c r="B445">
        <v>6970296</v>
      </c>
      <c r="C445" t="s">
        <v>24</v>
      </c>
      <c r="D445" t="s">
        <v>99</v>
      </c>
      <c r="E445" s="2" t="str">
        <f>HYPERLINK("https://ibp.a2mac1.com/costing(costing:projects/details/8191/material/5315408)","Material")</f>
        <v>Material</v>
      </c>
      <c r="F445" t="s">
        <v>710</v>
      </c>
    </row>
    <row r="446" spans="1:6" ht="12.75">
      <c r="A446">
        <v>6942801</v>
      </c>
      <c r="B446">
        <v>6970296</v>
      </c>
      <c r="C446" t="s">
        <v>189</v>
      </c>
      <c r="D446" t="s">
        <v>99</v>
      </c>
      <c r="E446" s="2" t="str">
        <f>HYPERLINK("https://ibp.a2mac1.com/costing(costing:projects/details/8191/equipment/6942801)","DC machine - General")</f>
        <v>DC machine - General</v>
      </c>
      <c r="F446" t="s">
        <v>710</v>
      </c>
    </row>
    <row r="447" spans="1:6" ht="12.75">
      <c r="A447">
        <v>5315360</v>
      </c>
      <c r="B447">
        <v>5381364</v>
      </c>
      <c r="C447" t="s">
        <v>574</v>
      </c>
      <c r="D447" t="s">
        <v>12</v>
      </c>
      <c r="E447" s="2" t="str">
        <f>HYPERLINK("https://ibp.a2mac1.com/costing(costing:projects/details/8191/component/5315360)","Screw &gt; Torx socket head cap screw with flange")</f>
        <v>Screw &gt; Torx socket head cap screw with flange</v>
      </c>
      <c r="F447" t="s">
        <v>709</v>
      </c>
    </row>
    <row r="448" spans="1:6" ht="12.75">
      <c r="A448">
        <v>5315361</v>
      </c>
      <c r="B448">
        <v>5381364</v>
      </c>
      <c r="C448" t="s">
        <v>574</v>
      </c>
      <c r="D448" t="s">
        <v>12</v>
      </c>
      <c r="E448" s="2" t="str">
        <f>HYPERLINK("https://ibp.a2mac1.com/costing(costing:projects/details/8191/component/5315361)","Fasteners")</f>
        <v>Fasteners</v>
      </c>
      <c r="F448" t="s">
        <v>709</v>
      </c>
    </row>
    <row r="449" spans="1:6" ht="12.75">
      <c r="A449">
        <v>5381286</v>
      </c>
      <c r="B449">
        <v>5381279</v>
      </c>
      <c r="C449" t="s">
        <v>8</v>
      </c>
      <c r="D449" t="s">
        <v>8</v>
      </c>
      <c r="E449" s="2" t="str">
        <f>HYPERLINK("https://ibp.a2mac1.com/costing(costing:projects/details/8191/assembly/5381286)","Curtains Airbag")</f>
        <v>Curtains Airbag</v>
      </c>
      <c r="F449" t="s">
        <v>676</v>
      </c>
    </row>
    <row r="450" spans="1:6" ht="12.75">
      <c r="A450">
        <v>5381366</v>
      </c>
      <c r="B450">
        <v>5381286</v>
      </c>
      <c r="C450" t="s">
        <v>8</v>
      </c>
      <c r="D450" t="s">
        <v>8</v>
      </c>
      <c r="E450" s="2" t="str">
        <f>HYPERLINK("https://ibp.a2mac1.com/costing(costing:projects/details/8191/assembly/5381366)","Airbag Support")</f>
        <v>Airbag Support</v>
      </c>
      <c r="F450" t="s">
        <v>714</v>
      </c>
    </row>
    <row r="451" spans="1:6" ht="12.75">
      <c r="A451">
        <v>5381483</v>
      </c>
      <c r="B451">
        <v>5381366</v>
      </c>
      <c r="C451" t="s">
        <v>12</v>
      </c>
      <c r="D451" t="s">
        <v>8</v>
      </c>
      <c r="E451" s="2" t="str">
        <f>HYPERLINK("https://ibp.a2mac1.com/costing(costing:projects/details/8191/part/5381483)","Support 1")</f>
        <v>Support 1</v>
      </c>
      <c r="F451" t="s">
        <v>715</v>
      </c>
    </row>
    <row r="452" spans="1:6" ht="12.75">
      <c r="A452">
        <v>6970322</v>
      </c>
      <c r="B452">
        <v>5381483</v>
      </c>
      <c r="C452" t="s">
        <v>99</v>
      </c>
      <c r="D452" t="s">
        <v>12</v>
      </c>
      <c r="E452" s="2" t="str">
        <f>HYPERLINK("https://ibp.a2mac1.com/costing(costing:projects/details/8191/process/6970322)","Stamping")</f>
        <v>Stamping</v>
      </c>
      <c r="F452" t="s">
        <v>716</v>
      </c>
    </row>
    <row r="453" spans="1:6" ht="12.75">
      <c r="A453">
        <v>5315416</v>
      </c>
      <c r="B453">
        <v>6970322</v>
      </c>
      <c r="C453" t="s">
        <v>24</v>
      </c>
      <c r="D453" t="s">
        <v>99</v>
      </c>
      <c r="E453" s="2" t="str">
        <f>HYPERLINK("https://ibp.a2mac1.com/costing(costing:projects/details/8191/material/5315416)","Steel sheet (default)")</f>
        <v>Steel sheet (default)</v>
      </c>
      <c r="F453" t="s">
        <v>719</v>
      </c>
    </row>
    <row r="454" spans="1:6" ht="12.75">
      <c r="A454">
        <v>6942808</v>
      </c>
      <c r="B454">
        <v>6970322</v>
      </c>
      <c r="C454" t="s">
        <v>189</v>
      </c>
      <c r="D454" t="s">
        <v>99</v>
      </c>
      <c r="E454" s="2" t="str">
        <f>HYPERLINK("https://ibp.a2mac1.com/costing(costing:projects/details/8191/equipment/6942808)","No.01 - Progressive Press - 250T ")</f>
        <v xml:space="preserve">No.01 - Progressive Press - 250T </v>
      </c>
      <c r="F454" t="s">
        <v>719</v>
      </c>
    </row>
    <row r="455" spans="1:6" ht="12.75">
      <c r="A455">
        <v>5315410</v>
      </c>
      <c r="B455">
        <v>5381483</v>
      </c>
      <c r="C455" t="s">
        <v>574</v>
      </c>
      <c r="D455" t="s">
        <v>12</v>
      </c>
      <c r="E455" s="2" t="str">
        <f>HYPERLINK("https://ibp.a2mac1.com/costing(costing:projects/details/8191/component/5315410)","Screw &gt; Torx socket head cap screw with flange")</f>
        <v>Screw &gt; Torx socket head cap screw with flange</v>
      </c>
      <c r="F455" t="s">
        <v>716</v>
      </c>
    </row>
    <row r="456" spans="1:6" ht="12.75">
      <c r="A456">
        <v>5381484</v>
      </c>
      <c r="B456">
        <v>5381366</v>
      </c>
      <c r="C456" t="s">
        <v>12</v>
      </c>
      <c r="D456" t="s">
        <v>8</v>
      </c>
      <c r="E456" s="2" t="str">
        <f>HYPERLINK("https://ibp.a2mac1.com/costing(costing:projects/details/8191/part/5381484)","Support 2")</f>
        <v>Support 2</v>
      </c>
      <c r="F456" t="s">
        <v>715</v>
      </c>
    </row>
    <row r="457" spans="1:6" ht="12.75">
      <c r="A457">
        <v>6970323</v>
      </c>
      <c r="B457">
        <v>5381484</v>
      </c>
      <c r="C457" t="s">
        <v>99</v>
      </c>
      <c r="D457" t="s">
        <v>12</v>
      </c>
      <c r="E457" s="2" t="str">
        <f>HYPERLINK("https://ibp.a2mac1.com/costing(costing:projects/details/8191/process/6970323)","Injection molding")</f>
        <v>Injection molding</v>
      </c>
      <c r="F457" t="s">
        <v>722</v>
      </c>
    </row>
    <row r="458" spans="1:6" ht="12.75">
      <c r="A458">
        <v>5315417</v>
      </c>
      <c r="B458">
        <v>6970323</v>
      </c>
      <c r="C458" t="s">
        <v>24</v>
      </c>
      <c r="D458" t="s">
        <v>99</v>
      </c>
      <c r="E458" s="2" t="str">
        <f>HYPERLINK("https://ibp.a2mac1.com/costing(costing:projects/details/8191/material/5315417)","PP-PE")</f>
        <v>PP-PE</v>
      </c>
      <c r="F458" t="s">
        <v>725</v>
      </c>
    </row>
    <row r="459" spans="1:6" ht="12.75">
      <c r="A459">
        <v>6942809</v>
      </c>
      <c r="B459">
        <v>6970323</v>
      </c>
      <c r="C459" t="s">
        <v>189</v>
      </c>
      <c r="D459" t="s">
        <v>99</v>
      </c>
      <c r="E459" s="2" t="str">
        <f>HYPERLINK("https://ibp.a2mac1.com/costing(costing:projects/details/8191/equipment/6942809)","No.02 - Injection Press - 60T - 25kW - 320x320 - Max Volume 164cm3 ")</f>
        <v xml:space="preserve">No.02 - Injection Press - 60T - 25kW - 320x320 - Max Volume 164cm3 </v>
      </c>
      <c r="F459" t="s">
        <v>725</v>
      </c>
    </row>
    <row r="460" spans="1:6" ht="12.75">
      <c r="A460">
        <v>5315411</v>
      </c>
      <c r="B460">
        <v>5381484</v>
      </c>
      <c r="C460" t="s">
        <v>574</v>
      </c>
      <c r="D460" t="s">
        <v>12</v>
      </c>
      <c r="E460" s="2" t="str">
        <f>HYPERLINK("https://ibp.a2mac1.com/costing(costing:projects/details/8191/component/5315411)","Panel holder &gt; Clips in rectangular hole")</f>
        <v>Panel holder &gt; Clips in rectangular hole</v>
      </c>
      <c r="F460" t="s">
        <v>722</v>
      </c>
    </row>
    <row r="461" spans="1:6" ht="12.75">
      <c r="A461">
        <v>5381365</v>
      </c>
      <c r="B461">
        <v>5381286</v>
      </c>
      <c r="C461" t="s">
        <v>12</v>
      </c>
      <c r="D461" t="s">
        <v>8</v>
      </c>
      <c r="E461" s="2" t="str">
        <f>HYPERLINK("https://ibp.a2mac1.com/costing(costing:projects/details/8191/part/5381365)","Curtain Airbags")</f>
        <v>Curtain Airbags</v>
      </c>
      <c r="F461" t="s">
        <v>714</v>
      </c>
    </row>
    <row r="462" spans="1:6" ht="12.75">
      <c r="A462">
        <v>6970297</v>
      </c>
      <c r="B462">
        <v>5381365</v>
      </c>
      <c r="C462" t="s">
        <v>99</v>
      </c>
      <c r="D462" t="s">
        <v>12</v>
      </c>
      <c r="E462" s="2" t="str">
        <f>HYPERLINK("https://ibp.a2mac1.com/costing(costing:projects/details/8191/process/6970297)","Automated process")</f>
        <v>Automated process</v>
      </c>
      <c r="F462" t="s">
        <v>731</v>
      </c>
    </row>
    <row r="463" spans="1:6" ht="12.75">
      <c r="A463">
        <v>5315409</v>
      </c>
      <c r="B463">
        <v>6970297</v>
      </c>
      <c r="C463" t="s">
        <v>24</v>
      </c>
      <c r="D463" t="s">
        <v>99</v>
      </c>
      <c r="E463" s="2" t="str">
        <f>HYPERLINK("https://ibp.a2mac1.com/costing(costing:projects/details/8191/material/5315409)","Material")</f>
        <v>Material</v>
      </c>
      <c r="F463" t="s">
        <v>732</v>
      </c>
    </row>
    <row r="464" spans="1:6" ht="12.75">
      <c r="A464">
        <v>6942802</v>
      </c>
      <c r="B464">
        <v>6970297</v>
      </c>
      <c r="C464" t="s">
        <v>189</v>
      </c>
      <c r="D464" t="s">
        <v>99</v>
      </c>
      <c r="E464" s="2" t="str">
        <f>HYPERLINK("https://ibp.a2mac1.com/costing(costing:projects/details/8191/equipment/6942802)","DC machine - General")</f>
        <v>DC machine - General</v>
      </c>
      <c r="F464" t="s">
        <v>732</v>
      </c>
    </row>
    <row r="465" spans="1:6" ht="12.75">
      <c r="A465">
        <v>5315362</v>
      </c>
      <c r="B465">
        <v>5381365</v>
      </c>
      <c r="C465" t="s">
        <v>574</v>
      </c>
      <c r="D465" t="s">
        <v>12</v>
      </c>
      <c r="E465" s="2" t="str">
        <f>HYPERLINK("https://ibp.a2mac1.com/costing(costing:projects/details/8191/component/5315362)","Washer &gt; Lock interior washer")</f>
        <v>Washer &gt; Lock interior washer</v>
      </c>
      <c r="F465" t="s">
        <v>731</v>
      </c>
    </row>
    <row r="466" spans="1:6" ht="12.75">
      <c r="A466">
        <v>5315363</v>
      </c>
      <c r="B466">
        <v>5381365</v>
      </c>
      <c r="C466" t="s">
        <v>574</v>
      </c>
      <c r="D466" t="s">
        <v>12</v>
      </c>
      <c r="E466" s="2" t="str">
        <f>HYPERLINK("https://ibp.a2mac1.com/costing(costing:projects/details/8191/component/5315363)","Other fastener &gt; Attachment")</f>
        <v>Other fastener &gt; Attachment</v>
      </c>
      <c r="F466" t="s">
        <v>731</v>
      </c>
    </row>
    <row r="467" spans="1:6" ht="12.75">
      <c r="A467">
        <v>5315364</v>
      </c>
      <c r="B467">
        <v>5381365</v>
      </c>
      <c r="C467" t="s">
        <v>574</v>
      </c>
      <c r="D467" t="s">
        <v>12</v>
      </c>
      <c r="E467" s="2" t="str">
        <f>HYPERLINK("https://ibp.a2mac1.com/costing(costing:projects/details/8191/component/5315364)","Washer &gt; Wave washer")</f>
        <v>Washer &gt; Wave washer</v>
      </c>
      <c r="F467" t="s">
        <v>731</v>
      </c>
    </row>
    <row r="468" spans="1:6" ht="12.75">
      <c r="A468">
        <v>5315365</v>
      </c>
      <c r="B468">
        <v>5381365</v>
      </c>
      <c r="C468" t="s">
        <v>574</v>
      </c>
      <c r="D468" t="s">
        <v>12</v>
      </c>
      <c r="E468" s="2" t="str">
        <f>HYPERLINK("https://ibp.a2mac1.com/costing(costing:projects/details/8191/component/5315365)","Panel holder &gt; Clips in rectangular hole")</f>
        <v>Panel holder &gt; Clips in rectangular hole</v>
      </c>
      <c r="F468" t="s">
        <v>731</v>
      </c>
    </row>
    <row r="469" spans="1:6" ht="12.75">
      <c r="A469">
        <v>5315366</v>
      </c>
      <c r="B469">
        <v>5381365</v>
      </c>
      <c r="C469" t="s">
        <v>574</v>
      </c>
      <c r="D469" t="s">
        <v>12</v>
      </c>
      <c r="E469" s="2" t="str">
        <f>HYPERLINK("https://ibp.a2mac1.com/costing(costing:projects/details/8191/component/5315366)","Screw &gt; Torx socket head cap screw with flange")</f>
        <v>Screw &gt; Torx socket head cap screw with flange</v>
      </c>
      <c r="F469" t="s">
        <v>731</v>
      </c>
    </row>
    <row r="470" spans="1:6" ht="12.75">
      <c r="A470">
        <v>5315367</v>
      </c>
      <c r="B470">
        <v>5381365</v>
      </c>
      <c r="C470" t="s">
        <v>574</v>
      </c>
      <c r="D470" t="s">
        <v>12</v>
      </c>
      <c r="E470" s="2" t="str">
        <f>HYPERLINK("https://ibp.a2mac1.com/costing(costing:projects/details/8191/component/5315367)","Fasteners")</f>
        <v>Fasteners</v>
      </c>
      <c r="F470" t="s">
        <v>731</v>
      </c>
    </row>
    <row r="471" spans="1:6" ht="12.75">
      <c r="A471">
        <v>5381280</v>
      </c>
      <c r="B471">
        <v>5381278</v>
      </c>
      <c r="C471" t="s">
        <v>8</v>
      </c>
      <c r="D471" t="s">
        <v>8</v>
      </c>
      <c r="E471" s="2" t="str">
        <f>HYPERLINK("https://ibp.a2mac1.com/costing(costing:projects/details/8191/assembly/5381280)","Seat Belt")</f>
        <v>Seat Belt</v>
      </c>
      <c r="F471" t="s">
        <v>675</v>
      </c>
    </row>
    <row r="472" spans="1:6" ht="12.75">
      <c r="A472">
        <v>5381287</v>
      </c>
      <c r="B472">
        <v>5381280</v>
      </c>
      <c r="C472" t="s">
        <v>8</v>
      </c>
      <c r="D472" t="s">
        <v>8</v>
      </c>
      <c r="E472" s="2" t="str">
        <f>HYPERLINK("https://ibp.a2mac1.com/costing(costing:projects/details/8191/assembly/5381287)","Seat Belt Front Driver")</f>
        <v>Seat Belt Front Driver</v>
      </c>
      <c r="F472" t="s">
        <v>738</v>
      </c>
    </row>
    <row r="473" spans="1:6" ht="12.75">
      <c r="A473">
        <v>5381370</v>
      </c>
      <c r="B473">
        <v>5381287</v>
      </c>
      <c r="C473" t="s">
        <v>8</v>
      </c>
      <c r="D473" t="s">
        <v>8</v>
      </c>
      <c r="E473" s="2" t="str">
        <f>HYPERLINK("https://ibp.a2mac1.com/costing(costing:projects/details/8191/assembly/5381370)","Guide")</f>
        <v>Guide</v>
      </c>
      <c r="F473" t="s">
        <v>739</v>
      </c>
    </row>
    <row r="474" spans="1:6" ht="12.75">
      <c r="A474">
        <v>5381485</v>
      </c>
      <c r="B474">
        <v>5381370</v>
      </c>
      <c r="C474" t="s">
        <v>12</v>
      </c>
      <c r="D474" t="s">
        <v>8</v>
      </c>
      <c r="E474" s="2" t="str">
        <f>HYPERLINK("https://ibp.a2mac1.com/costing(costing:projects/details/8191/part/5381485)","Upper")</f>
        <v>Upper</v>
      </c>
      <c r="F474" t="s">
        <v>740</v>
      </c>
    </row>
    <row r="475" spans="1:6" ht="12.75">
      <c r="A475">
        <v>6970324</v>
      </c>
      <c r="B475">
        <v>5381485</v>
      </c>
      <c r="C475" t="s">
        <v>99</v>
      </c>
      <c r="D475" t="s">
        <v>12</v>
      </c>
      <c r="E475" s="2" t="str">
        <f>HYPERLINK("https://ibp.a2mac1.com/costing(costing:projects/details/8191/process/6970324)","Automated Process")</f>
        <v>Automated Process</v>
      </c>
      <c r="F475" t="s">
        <v>741</v>
      </c>
    </row>
    <row r="476" spans="1:6" ht="12.75">
      <c r="A476">
        <v>5315418</v>
      </c>
      <c r="B476">
        <v>6970324</v>
      </c>
      <c r="C476" t="s">
        <v>24</v>
      </c>
      <c r="D476" t="s">
        <v>99</v>
      </c>
      <c r="E476" s="2" t="str">
        <f>HYPERLINK("https://ibp.a2mac1.com/costing(costing:projects/details/8191/material/5315418)","PP-PE")</f>
        <v>PP-PE</v>
      </c>
      <c r="F476" t="s">
        <v>744</v>
      </c>
    </row>
    <row r="477" spans="1:6" ht="12.75">
      <c r="A477">
        <v>6942810</v>
      </c>
      <c r="B477">
        <v>6970324</v>
      </c>
      <c r="C477" t="s">
        <v>189</v>
      </c>
      <c r="D477" t="s">
        <v>99</v>
      </c>
      <c r="E477" s="2" t="str">
        <f>HYPERLINK("https://ibp.a2mac1.com/costing(costing:projects/details/8191/equipment/6942810)","Equipment (Injection Molding)")</f>
        <v>Equipment (Injection Molding)</v>
      </c>
      <c r="F477" t="s">
        <v>744</v>
      </c>
    </row>
    <row r="478" spans="1:6" ht="12.75">
      <c r="A478">
        <v>5381486</v>
      </c>
      <c r="B478">
        <v>5381370</v>
      </c>
      <c r="C478" t="s">
        <v>12</v>
      </c>
      <c r="D478" t="s">
        <v>8</v>
      </c>
      <c r="E478" s="2" t="str">
        <f>HYPERLINK("https://ibp.a2mac1.com/costing(costing:projects/details/8191/part/5381486)","Lower")</f>
        <v>Lower</v>
      </c>
      <c r="F478" t="s">
        <v>740</v>
      </c>
    </row>
    <row r="479" spans="1:6" ht="12.75">
      <c r="A479">
        <v>6970325</v>
      </c>
      <c r="B479">
        <v>5381486</v>
      </c>
      <c r="C479" t="s">
        <v>99</v>
      </c>
      <c r="D479" t="s">
        <v>12</v>
      </c>
      <c r="E479" s="2" t="str">
        <f>HYPERLINK("https://ibp.a2mac1.com/costing(costing:projects/details/8191/process/6970325)","Automated Process")</f>
        <v>Automated Process</v>
      </c>
      <c r="F479" t="s">
        <v>746</v>
      </c>
    </row>
    <row r="480" spans="1:6" ht="12.75">
      <c r="A480">
        <v>5315419</v>
      </c>
      <c r="B480">
        <v>6970325</v>
      </c>
      <c r="C480" t="s">
        <v>24</v>
      </c>
      <c r="D480" t="s">
        <v>99</v>
      </c>
      <c r="E480" s="2" t="str">
        <f>HYPERLINK("https://ibp.a2mac1.com/costing(costing:projects/details/8191/material/5315419)","Steel sheet (default)")</f>
        <v>Steel sheet (default)</v>
      </c>
      <c r="F480" t="s">
        <v>749</v>
      </c>
    </row>
    <row r="481" spans="1:6" ht="12.75">
      <c r="A481">
        <v>6942811</v>
      </c>
      <c r="B481">
        <v>6970325</v>
      </c>
      <c r="C481" t="s">
        <v>189</v>
      </c>
      <c r="D481" t="s">
        <v>99</v>
      </c>
      <c r="E481" s="2" t="str">
        <f>HYPERLINK("https://ibp.a2mac1.com/costing(costing:projects/details/8191/equipment/6942811)","DC machine - General")</f>
        <v>DC machine - General</v>
      </c>
      <c r="F481" t="s">
        <v>749</v>
      </c>
    </row>
    <row r="482" spans="1:6" ht="12.75">
      <c r="A482">
        <v>5381367</v>
      </c>
      <c r="B482">
        <v>5381287</v>
      </c>
      <c r="C482" t="s">
        <v>12</v>
      </c>
      <c r="D482" t="s">
        <v>8</v>
      </c>
      <c r="E482" s="2" t="str">
        <f>HYPERLINK("https://ibp.a2mac1.com/costing(costing:projects/details/8191/part/5381367)","Safety Belt Complete")</f>
        <v>Safety Belt Complete</v>
      </c>
      <c r="F482" t="s">
        <v>739</v>
      </c>
    </row>
    <row r="483" spans="1:6" ht="12.75">
      <c r="A483">
        <v>5381368</v>
      </c>
      <c r="B483">
        <v>5381287</v>
      </c>
      <c r="C483" t="s">
        <v>12</v>
      </c>
      <c r="D483" t="s">
        <v>8</v>
      </c>
      <c r="E483" s="2" t="str">
        <f>HYPERLINK("https://ibp.a2mac1.com/costing(costing:projects/details/8191/part/5381368)","Belt Lock")</f>
        <v>Belt Lock</v>
      </c>
      <c r="F483" t="s">
        <v>739</v>
      </c>
    </row>
    <row r="484" spans="1:6" ht="12.75">
      <c r="A484">
        <v>5381369</v>
      </c>
      <c r="B484">
        <v>5381287</v>
      </c>
      <c r="C484" t="s">
        <v>12</v>
      </c>
      <c r="D484" t="s">
        <v>8</v>
      </c>
      <c r="E484" s="2" t="str">
        <f>HYPERLINK("https://ibp.a2mac1.com/costing(costing:projects/details/8191/part/5381369)","Adjustor")</f>
        <v>Adjustor</v>
      </c>
      <c r="F484" t="s">
        <v>739</v>
      </c>
    </row>
    <row r="485" spans="1:6" ht="12.75">
      <c r="A485">
        <v>5315316</v>
      </c>
      <c r="B485">
        <v>5381287</v>
      </c>
      <c r="C485" t="s">
        <v>574</v>
      </c>
      <c r="D485" t="s">
        <v>8</v>
      </c>
      <c r="E485" s="2" t="str">
        <f>HYPERLINK("https://ibp.a2mac1.com/costing(costing:projects/details/8191/component/5315316)","Screw &gt; 12 point socket head cap screw with flange")</f>
        <v>Screw &gt; 12 point socket head cap screw with flange</v>
      </c>
      <c r="F485" t="s">
        <v>739</v>
      </c>
    </row>
    <row r="486" spans="1:6" ht="12.75">
      <c r="A486">
        <v>5315317</v>
      </c>
      <c r="B486">
        <v>5381287</v>
      </c>
      <c r="C486" t="s">
        <v>574</v>
      </c>
      <c r="D486" t="s">
        <v>8</v>
      </c>
      <c r="E486" s="2" t="str">
        <f>HYPERLINK("https://ibp.a2mac1.com/costing(costing:projects/details/8191/component/5315317)","Screw &gt; 12 point socket head cap screw")</f>
        <v>Screw &gt; 12 point socket head cap screw</v>
      </c>
      <c r="F486" t="s">
        <v>739</v>
      </c>
    </row>
    <row r="487" spans="1:6" ht="12.75">
      <c r="A487">
        <v>5315318</v>
      </c>
      <c r="B487">
        <v>5381287</v>
      </c>
      <c r="C487" t="s">
        <v>574</v>
      </c>
      <c r="D487" t="s">
        <v>8</v>
      </c>
      <c r="E487" s="2" t="str">
        <f>HYPERLINK("https://ibp.a2mac1.com/costing(costing:projects/details/8191/component/5315318)","Screw &gt; 12 point socket head cap screw")</f>
        <v>Screw &gt; 12 point socket head cap screw</v>
      </c>
      <c r="F487" t="s">
        <v>739</v>
      </c>
    </row>
    <row r="488" spans="1:6" ht="12.75">
      <c r="A488">
        <v>5315319</v>
      </c>
      <c r="B488">
        <v>5381287</v>
      </c>
      <c r="C488" t="s">
        <v>574</v>
      </c>
      <c r="D488" t="s">
        <v>8</v>
      </c>
      <c r="E488" s="2" t="str">
        <f>HYPERLINK("https://ibp.a2mac1.com/costing(costing:projects/details/8191/component/5315319)","Nut &gt; Hexagonal nut with collar")</f>
        <v>Nut &gt; Hexagonal nut with collar</v>
      </c>
      <c r="F488" t="s">
        <v>739</v>
      </c>
    </row>
    <row r="489" spans="1:6" ht="12.75">
      <c r="A489">
        <v>5381288</v>
      </c>
      <c r="B489">
        <v>5381280</v>
      </c>
      <c r="C489" t="s">
        <v>8</v>
      </c>
      <c r="D489" t="s">
        <v>8</v>
      </c>
      <c r="E489" s="2" t="str">
        <f>HYPERLINK("https://ibp.a2mac1.com/costing(costing:projects/details/8191/assembly/5381288)","Seat Belt Front Passenger")</f>
        <v>Seat Belt Front Passenger</v>
      </c>
      <c r="F489" t="s">
        <v>738</v>
      </c>
    </row>
    <row r="490" spans="1:6" ht="12.75">
      <c r="A490">
        <v>5381376</v>
      </c>
      <c r="B490">
        <v>5381288</v>
      </c>
      <c r="C490" t="s">
        <v>8</v>
      </c>
      <c r="D490" t="s">
        <v>8</v>
      </c>
      <c r="E490" s="2" t="str">
        <f>HYPERLINK("https://ibp.a2mac1.com/costing(costing:projects/details/8191/assembly/5381376)","Guide")</f>
        <v>Guide</v>
      </c>
      <c r="F490" t="s">
        <v>759</v>
      </c>
    </row>
    <row r="491" spans="1:6" ht="12.75">
      <c r="A491">
        <v>5381487</v>
      </c>
      <c r="B491">
        <v>5381376</v>
      </c>
      <c r="C491" t="s">
        <v>12</v>
      </c>
      <c r="D491" t="s">
        <v>8</v>
      </c>
      <c r="E491" s="2" t="str">
        <f>HYPERLINK("https://ibp.a2mac1.com/costing(costing:projects/details/8191/part/5381487)","Upper")</f>
        <v>Upper</v>
      </c>
      <c r="F491" t="s">
        <v>760</v>
      </c>
    </row>
    <row r="492" spans="1:6" ht="12.75">
      <c r="A492">
        <v>6970326</v>
      </c>
      <c r="B492">
        <v>5381487</v>
      </c>
      <c r="C492" t="s">
        <v>99</v>
      </c>
      <c r="D492" t="s">
        <v>12</v>
      </c>
      <c r="E492" s="2" t="str">
        <f>HYPERLINK("https://ibp.a2mac1.com/costing(costing:projects/details/8191/process/6970326)","Automated Process")</f>
        <v>Automated Process</v>
      </c>
      <c r="F492" t="s">
        <v>761</v>
      </c>
    </row>
    <row r="493" spans="1:6" ht="12.75">
      <c r="A493">
        <v>5315420</v>
      </c>
      <c r="B493">
        <v>6970326</v>
      </c>
      <c r="C493" t="s">
        <v>24</v>
      </c>
      <c r="D493" t="s">
        <v>99</v>
      </c>
      <c r="E493" s="2" t="str">
        <f>HYPERLINK("https://ibp.a2mac1.com/costing(costing:projects/details/8191/material/5315420)","PP-PE")</f>
        <v>PP-PE</v>
      </c>
      <c r="F493" t="s">
        <v>762</v>
      </c>
    </row>
    <row r="494" spans="1:6" ht="12.75">
      <c r="A494">
        <v>6942812</v>
      </c>
      <c r="B494">
        <v>6970326</v>
      </c>
      <c r="C494" t="s">
        <v>189</v>
      </c>
      <c r="D494" t="s">
        <v>99</v>
      </c>
      <c r="E494" s="2" t="str">
        <f>HYPERLINK("https://ibp.a2mac1.com/costing(costing:projects/details/8191/equipment/6942812)","Equipment (Injection Molding)")</f>
        <v>Equipment (Injection Molding)</v>
      </c>
      <c r="F494" t="s">
        <v>762</v>
      </c>
    </row>
    <row r="495" spans="1:6" ht="12.75">
      <c r="A495">
        <v>5381488</v>
      </c>
      <c r="B495">
        <v>5381376</v>
      </c>
      <c r="C495" t="s">
        <v>12</v>
      </c>
      <c r="D495" t="s">
        <v>8</v>
      </c>
      <c r="E495" s="2" t="str">
        <f>HYPERLINK("https://ibp.a2mac1.com/costing(costing:projects/details/8191/part/5381488)","Lower")</f>
        <v>Lower</v>
      </c>
      <c r="F495" t="s">
        <v>760</v>
      </c>
    </row>
    <row r="496" spans="1:6" ht="12.75">
      <c r="A496">
        <v>6970327</v>
      </c>
      <c r="B496">
        <v>5381488</v>
      </c>
      <c r="C496" t="s">
        <v>99</v>
      </c>
      <c r="D496" t="s">
        <v>12</v>
      </c>
      <c r="E496" s="2" t="str">
        <f>HYPERLINK("https://ibp.a2mac1.com/costing(costing:projects/details/8191/process/6970327)","Automated Process")</f>
        <v>Automated Process</v>
      </c>
      <c r="F496" t="s">
        <v>764</v>
      </c>
    </row>
    <row r="497" spans="1:6" ht="12.75">
      <c r="A497">
        <v>5315421</v>
      </c>
      <c r="B497">
        <v>6970327</v>
      </c>
      <c r="C497" t="s">
        <v>24</v>
      </c>
      <c r="D497" t="s">
        <v>99</v>
      </c>
      <c r="E497" s="2" t="str">
        <f>HYPERLINK("https://ibp.a2mac1.com/costing(costing:projects/details/8191/material/5315421)","Steel sheet (default)")</f>
        <v>Steel sheet (default)</v>
      </c>
      <c r="F497" t="s">
        <v>765</v>
      </c>
    </row>
    <row r="498" spans="1:6" ht="12.75">
      <c r="A498">
        <v>6942813</v>
      </c>
      <c r="B498">
        <v>6970327</v>
      </c>
      <c r="C498" t="s">
        <v>189</v>
      </c>
      <c r="D498" t="s">
        <v>99</v>
      </c>
      <c r="E498" s="2" t="str">
        <f>HYPERLINK("https://ibp.a2mac1.com/costing(costing:projects/details/8191/equipment/6942813)","DC machine - General")</f>
        <v>DC machine - General</v>
      </c>
      <c r="F498" t="s">
        <v>765</v>
      </c>
    </row>
    <row r="499" spans="1:6" ht="12.75">
      <c r="A499">
        <v>5381377</v>
      </c>
      <c r="B499">
        <v>5381288</v>
      </c>
      <c r="C499" t="s">
        <v>8</v>
      </c>
      <c r="D499" t="s">
        <v>8</v>
      </c>
      <c r="E499" s="2" t="str">
        <f>HYPERLINK("https://ibp.a2mac1.com/costing(costing:projects/details/8191/assembly/5381377)","Anchor")</f>
        <v>Anchor</v>
      </c>
      <c r="F499" t="s">
        <v>759</v>
      </c>
    </row>
    <row r="500" spans="1:6" ht="12.75">
      <c r="A500">
        <v>5381489</v>
      </c>
      <c r="B500">
        <v>5381377</v>
      </c>
      <c r="C500" t="s">
        <v>12</v>
      </c>
      <c r="D500" t="s">
        <v>8</v>
      </c>
      <c r="E500" s="2" t="str">
        <f>HYPERLINK("https://ibp.a2mac1.com/costing(costing:projects/details/8191/part/5381489)","Upper Anchor")</f>
        <v>Upper Anchor</v>
      </c>
      <c r="F500" t="s">
        <v>768</v>
      </c>
    </row>
    <row r="501" spans="1:6" ht="12.75">
      <c r="A501">
        <v>5315368</v>
      </c>
      <c r="B501">
        <v>5381377</v>
      </c>
      <c r="C501" t="s">
        <v>574</v>
      </c>
      <c r="D501" t="s">
        <v>8</v>
      </c>
      <c r="E501" s="2" t="str">
        <f>HYPERLINK("https://ibp.a2mac1.com/costing(costing:projects/details/8191/component/5315368)","Screw &gt; 12 point socket head cap screw")</f>
        <v>Screw &gt; 12 point socket head cap screw</v>
      </c>
      <c r="F501" t="s">
        <v>768</v>
      </c>
    </row>
    <row r="502" spans="1:6" ht="12.75">
      <c r="A502">
        <v>5381371</v>
      </c>
      <c r="B502">
        <v>5381288</v>
      </c>
      <c r="C502" t="s">
        <v>12</v>
      </c>
      <c r="D502" t="s">
        <v>8</v>
      </c>
      <c r="E502" s="2" t="str">
        <f>HYPERLINK("https://ibp.a2mac1.com/costing(costing:projects/details/8191/part/5381371)","Buckle")</f>
        <v>Buckle</v>
      </c>
      <c r="F502" t="s">
        <v>759</v>
      </c>
    </row>
    <row r="503" spans="1:6" ht="12.75">
      <c r="A503">
        <v>5381372</v>
      </c>
      <c r="B503">
        <v>5381288</v>
      </c>
      <c r="C503" t="s">
        <v>12</v>
      </c>
      <c r="D503" t="s">
        <v>8</v>
      </c>
      <c r="E503" s="2" t="str">
        <f>HYPERLINK("https://ibp.a2mac1.com/costing(costing:projects/details/8191/part/5381372)","Reel")</f>
        <v>Reel</v>
      </c>
      <c r="F503" t="s">
        <v>759</v>
      </c>
    </row>
    <row r="504" spans="1:6" ht="12.75">
      <c r="A504">
        <v>5381373</v>
      </c>
      <c r="B504">
        <v>5381288</v>
      </c>
      <c r="C504" t="s">
        <v>12</v>
      </c>
      <c r="D504" t="s">
        <v>8</v>
      </c>
      <c r="E504" s="2" t="str">
        <f>HYPERLINK("https://ibp.a2mac1.com/costing(costing:projects/details/8191/part/5381373)","Adjustor")</f>
        <v>Adjustor</v>
      </c>
      <c r="F504" t="s">
        <v>759</v>
      </c>
    </row>
    <row r="505" spans="1:6" ht="12.75">
      <c r="A505">
        <v>5381374</v>
      </c>
      <c r="B505">
        <v>5381288</v>
      </c>
      <c r="C505" t="s">
        <v>12</v>
      </c>
      <c r="D505" t="s">
        <v>8</v>
      </c>
      <c r="E505" s="2" t="str">
        <f>HYPERLINK("https://ibp.a2mac1.com/costing(costing:projects/details/8191/part/5381374)","Belt Lock")</f>
        <v>Belt Lock</v>
      </c>
      <c r="F505" t="s">
        <v>759</v>
      </c>
    </row>
    <row r="506" spans="1:6" ht="12.75">
      <c r="A506">
        <v>5381375</v>
      </c>
      <c r="B506">
        <v>5381288</v>
      </c>
      <c r="C506" t="s">
        <v>12</v>
      </c>
      <c r="D506" t="s">
        <v>8</v>
      </c>
      <c r="E506" s="2" t="str">
        <f>HYPERLINK("https://ibp.a2mac1.com/costing(costing:projects/details/8191/part/5381375)","Pretensioner Outer Side")</f>
        <v>Pretensioner Outer Side</v>
      </c>
      <c r="F506" t="s">
        <v>759</v>
      </c>
    </row>
    <row r="507" spans="1:6" ht="12.75">
      <c r="A507">
        <v>5315320</v>
      </c>
      <c r="B507">
        <v>5381288</v>
      </c>
      <c r="C507" t="s">
        <v>574</v>
      </c>
      <c r="D507" t="s">
        <v>8</v>
      </c>
      <c r="E507" s="2" t="str">
        <f>HYPERLINK("https://ibp.a2mac1.com/costing(costing:projects/details/8191/component/5315320)","Screw &gt; 12 point socket head cap screw with flange")</f>
        <v>Screw &gt; 12 point socket head cap screw with flange</v>
      </c>
      <c r="F507" t="s">
        <v>759</v>
      </c>
    </row>
    <row r="508" spans="1:6" ht="12.75">
      <c r="A508">
        <v>5315321</v>
      </c>
      <c r="B508">
        <v>5381288</v>
      </c>
      <c r="C508" t="s">
        <v>574</v>
      </c>
      <c r="D508" t="s">
        <v>8</v>
      </c>
      <c r="E508" s="2" t="str">
        <f>HYPERLINK("https://ibp.a2mac1.com/costing(costing:projects/details/8191/component/5315321)","Screw &gt; 12 point socket head cap screw")</f>
        <v>Screw &gt; 12 point socket head cap screw</v>
      </c>
      <c r="F508" t="s">
        <v>759</v>
      </c>
    </row>
    <row r="509" spans="1:6" ht="12.75">
      <c r="A509">
        <v>5315322</v>
      </c>
      <c r="B509">
        <v>5381288</v>
      </c>
      <c r="C509" t="s">
        <v>574</v>
      </c>
      <c r="D509" t="s">
        <v>8</v>
      </c>
      <c r="E509" s="2" t="str">
        <f>HYPERLINK("https://ibp.a2mac1.com/costing(costing:projects/details/8191/component/5315322)","Screw &gt; 12 point socket head cap screw")</f>
        <v>Screw &gt; 12 point socket head cap screw</v>
      </c>
      <c r="F509" t="s">
        <v>759</v>
      </c>
    </row>
    <row r="510" spans="1:6" ht="12.75">
      <c r="A510">
        <v>5315323</v>
      </c>
      <c r="B510">
        <v>5381288</v>
      </c>
      <c r="C510" t="s">
        <v>574</v>
      </c>
      <c r="D510" t="s">
        <v>8</v>
      </c>
      <c r="E510" s="2" t="str">
        <f>HYPERLINK("https://ibp.a2mac1.com/costing(costing:projects/details/8191/component/5315323)","Nut &gt; Hexagonal nut with collar")</f>
        <v>Nut &gt; Hexagonal nut with collar</v>
      </c>
      <c r="F510" t="s">
        <v>759</v>
      </c>
    </row>
    <row r="511" spans="1:6" ht="12.75">
      <c r="A511">
        <v>5381289</v>
      </c>
      <c r="B511">
        <v>5381280</v>
      </c>
      <c r="C511" t="s">
        <v>8</v>
      </c>
      <c r="D511" t="s">
        <v>8</v>
      </c>
      <c r="E511" s="2" t="str">
        <f>HYPERLINK("https://ibp.a2mac1.com/costing(costing:projects/details/8191/assembly/5381289)","Rear Left Seat Belt")</f>
        <v>Rear Left Seat Belt</v>
      </c>
      <c r="F511" t="s">
        <v>738</v>
      </c>
    </row>
    <row r="512" spans="1:6" ht="12.75">
      <c r="A512">
        <v>5381378</v>
      </c>
      <c r="B512">
        <v>5381289</v>
      </c>
      <c r="C512" t="s">
        <v>12</v>
      </c>
      <c r="D512" t="s">
        <v>8</v>
      </c>
      <c r="E512" s="2" t="str">
        <f>HYPERLINK("https://ibp.a2mac1.com/costing(costing:projects/details/8191/part/5381378)","Reel")</f>
        <v>Reel</v>
      </c>
      <c r="F512" t="s">
        <v>782</v>
      </c>
    </row>
    <row r="513" spans="1:6" ht="12.75">
      <c r="A513">
        <v>5381379</v>
      </c>
      <c r="B513">
        <v>5381289</v>
      </c>
      <c r="C513" t="s">
        <v>12</v>
      </c>
      <c r="D513" t="s">
        <v>8</v>
      </c>
      <c r="E513" s="2" t="str">
        <f>HYPERLINK("https://ibp.a2mac1.com/costing(costing:projects/details/8191/part/5381379)","Belt Lock")</f>
        <v>Belt Lock</v>
      </c>
      <c r="F513" t="s">
        <v>782</v>
      </c>
    </row>
    <row r="514" spans="1:6" ht="12.75">
      <c r="A514">
        <v>5315324</v>
      </c>
      <c r="B514">
        <v>5381289</v>
      </c>
      <c r="C514" t="s">
        <v>574</v>
      </c>
      <c r="D514" t="s">
        <v>8</v>
      </c>
      <c r="E514" s="2" t="str">
        <f>HYPERLINK("https://ibp.a2mac1.com/costing(costing:projects/details/8191/component/5315324)","Nut &gt; Hexagonal nut with collar")</f>
        <v>Nut &gt; Hexagonal nut with collar</v>
      </c>
      <c r="F514" t="s">
        <v>782</v>
      </c>
    </row>
    <row r="515" spans="1:6" ht="12.75">
      <c r="A515">
        <v>5315325</v>
      </c>
      <c r="B515">
        <v>5381289</v>
      </c>
      <c r="C515" t="s">
        <v>574</v>
      </c>
      <c r="D515" t="s">
        <v>8</v>
      </c>
      <c r="E515" s="2" t="str">
        <f>HYPERLINK("https://ibp.a2mac1.com/costing(costing:projects/details/8191/component/5315325)","Screw &gt; 12 point socket head cap screw with flange")</f>
        <v>Screw &gt; 12 point socket head cap screw with flange</v>
      </c>
      <c r="F515" t="s">
        <v>782</v>
      </c>
    </row>
    <row r="516" spans="1:6" ht="12.75">
      <c r="A516">
        <v>5381290</v>
      </c>
      <c r="B516">
        <v>5381280</v>
      </c>
      <c r="C516" t="s">
        <v>8</v>
      </c>
      <c r="D516" t="s">
        <v>8</v>
      </c>
      <c r="E516" s="2" t="str">
        <f>HYPERLINK("https://ibp.a2mac1.com/costing(costing:projects/details/8191/assembly/5381290)","Rear Central Seat Belt")</f>
        <v>Rear Central Seat Belt</v>
      </c>
      <c r="F516" t="s">
        <v>738</v>
      </c>
    </row>
    <row r="517" spans="1:6" ht="12.75">
      <c r="A517">
        <v>5381380</v>
      </c>
      <c r="B517">
        <v>5381290</v>
      </c>
      <c r="C517" t="s">
        <v>12</v>
      </c>
      <c r="D517" t="s">
        <v>8</v>
      </c>
      <c r="E517" s="2" t="str">
        <f>HYPERLINK("https://ibp.a2mac1.com/costing(costing:projects/details/8191/part/5381380)","Reel Belt Complete")</f>
        <v>Reel Belt Complete</v>
      </c>
      <c r="F517" t="s">
        <v>788</v>
      </c>
    </row>
    <row r="518" spans="1:6" ht="12.75">
      <c r="A518">
        <v>5381381</v>
      </c>
      <c r="B518">
        <v>5381290</v>
      </c>
      <c r="C518" t="s">
        <v>12</v>
      </c>
      <c r="D518" t="s">
        <v>8</v>
      </c>
      <c r="E518" s="2" t="str">
        <f>HYPERLINK("https://ibp.a2mac1.com/costing(costing:projects/details/8191/part/5381381)","Buckle")</f>
        <v>Buckle</v>
      </c>
      <c r="F518" t="s">
        <v>788</v>
      </c>
    </row>
    <row r="519" spans="1:6" ht="12.75">
      <c r="A519">
        <v>5381382</v>
      </c>
      <c r="B519">
        <v>5381290</v>
      </c>
      <c r="C519" t="s">
        <v>12</v>
      </c>
      <c r="D519" t="s">
        <v>8</v>
      </c>
      <c r="E519" s="2" t="str">
        <f>HYPERLINK("https://ibp.a2mac1.com/costing(costing:projects/details/8191/part/5381382)","Belt Lock")</f>
        <v>Belt Lock</v>
      </c>
      <c r="F519" t="s">
        <v>788</v>
      </c>
    </row>
    <row r="520" spans="1:6" ht="12.75">
      <c r="A520">
        <v>5381383</v>
      </c>
      <c r="B520">
        <v>5381290</v>
      </c>
      <c r="C520" t="s">
        <v>12</v>
      </c>
      <c r="D520" t="s">
        <v>8</v>
      </c>
      <c r="E520" s="2" t="str">
        <f>HYPERLINK("https://ibp.a2mac1.com/costing(costing:projects/details/8191/part/5381383)","Guide")</f>
        <v>Guide</v>
      </c>
      <c r="F520" t="s">
        <v>788</v>
      </c>
    </row>
    <row r="521" spans="1:6" ht="12.75">
      <c r="A521">
        <v>6970298</v>
      </c>
      <c r="B521">
        <v>5381383</v>
      </c>
      <c r="C521" t="s">
        <v>99</v>
      </c>
      <c r="D521" t="s">
        <v>12</v>
      </c>
      <c r="E521" s="2" t="str">
        <f>HYPERLINK("https://ibp.a2mac1.com/costing(costing:projects/details/8191/process/6970298)","Automated Process")</f>
        <v>Automated Process</v>
      </c>
      <c r="F521" t="s">
        <v>793</v>
      </c>
    </row>
    <row r="522" spans="1:6" ht="12.75">
      <c r="A522">
        <v>5315412</v>
      </c>
      <c r="B522">
        <v>6970298</v>
      </c>
      <c r="C522" t="s">
        <v>24</v>
      </c>
      <c r="D522" t="s">
        <v>99</v>
      </c>
      <c r="E522" s="2" t="str">
        <f>HYPERLINK("https://ibp.a2mac1.com/costing(costing:projects/details/8191/material/5315412)","ASA-PC")</f>
        <v>ASA-PC</v>
      </c>
      <c r="F522" t="s">
        <v>796</v>
      </c>
    </row>
    <row r="523" spans="1:6" ht="12.75">
      <c r="A523">
        <v>6942803</v>
      </c>
      <c r="B523">
        <v>6970298</v>
      </c>
      <c r="C523" t="s">
        <v>189</v>
      </c>
      <c r="D523" t="s">
        <v>99</v>
      </c>
      <c r="E523" s="2" t="str">
        <f>HYPERLINK("https://ibp.a2mac1.com/costing(costing:projects/details/8191/equipment/6942803)","Equipment (Injection Molding)")</f>
        <v>Equipment (Injection Molding)</v>
      </c>
      <c r="F523" t="s">
        <v>796</v>
      </c>
    </row>
    <row r="524" spans="1:6" ht="12.75">
      <c r="A524">
        <v>5315326</v>
      </c>
      <c r="B524">
        <v>5381290</v>
      </c>
      <c r="C524" t="s">
        <v>574</v>
      </c>
      <c r="D524" t="s">
        <v>8</v>
      </c>
      <c r="E524" s="2" t="str">
        <f>HYPERLINK("https://ibp.a2mac1.com/costing(costing:projects/details/8191/component/5315326)","Nut &gt; Hexagonal nut")</f>
        <v>Nut &gt; Hexagonal nut</v>
      </c>
      <c r="F524" t="s">
        <v>788</v>
      </c>
    </row>
    <row r="525" spans="1:6" ht="12.75">
      <c r="A525">
        <v>5315327</v>
      </c>
      <c r="B525">
        <v>5381290</v>
      </c>
      <c r="C525" t="s">
        <v>574</v>
      </c>
      <c r="D525" t="s">
        <v>8</v>
      </c>
      <c r="E525" s="2" t="str">
        <f>HYPERLINK("https://ibp.a2mac1.com/costing(costing:projects/details/8191/component/5315327)","Rivet &gt; Pop rivet")</f>
        <v>Rivet &gt; Pop rivet</v>
      </c>
      <c r="F525" t="s">
        <v>788</v>
      </c>
    </row>
    <row r="526" spans="1:6" ht="12.75">
      <c r="A526">
        <v>5381291</v>
      </c>
      <c r="B526">
        <v>5381280</v>
      </c>
      <c r="C526" t="s">
        <v>8</v>
      </c>
      <c r="D526" t="s">
        <v>8</v>
      </c>
      <c r="E526" s="2" t="str">
        <f>HYPERLINK("https://ibp.a2mac1.com/costing(costing:projects/details/8191/assembly/5381291)","Rear Right Belt")</f>
        <v>Rear Right Belt</v>
      </c>
      <c r="F526" t="s">
        <v>738</v>
      </c>
    </row>
    <row r="527" spans="1:6" ht="12.75">
      <c r="A527">
        <v>5381387</v>
      </c>
      <c r="B527">
        <v>5381291</v>
      </c>
      <c r="C527" t="s">
        <v>8</v>
      </c>
      <c r="D527" t="s">
        <v>8</v>
      </c>
      <c r="E527" s="2" t="str">
        <f>HYPERLINK("https://ibp.a2mac1.com/costing(costing:projects/details/8191/assembly/5381387)","Anchor")</f>
        <v>Anchor</v>
      </c>
      <c r="F527" t="s">
        <v>800</v>
      </c>
    </row>
    <row r="528" spans="1:6" ht="12.75">
      <c r="A528">
        <v>5381490</v>
      </c>
      <c r="B528">
        <v>5381387</v>
      </c>
      <c r="C528" t="s">
        <v>12</v>
      </c>
      <c r="D528" t="s">
        <v>8</v>
      </c>
      <c r="E528" s="2" t="str">
        <f>HYPERLINK("https://ibp.a2mac1.com/costing(costing:projects/details/8191/part/5381490)","Lower Anchor")</f>
        <v>Lower Anchor</v>
      </c>
      <c r="F528" t="s">
        <v>801</v>
      </c>
    </row>
    <row r="529" spans="1:6" ht="12.75">
      <c r="A529">
        <v>5315369</v>
      </c>
      <c r="B529">
        <v>5381387</v>
      </c>
      <c r="C529" t="s">
        <v>574</v>
      </c>
      <c r="D529" t="s">
        <v>8</v>
      </c>
      <c r="E529" s="2" t="str">
        <f>HYPERLINK("https://ibp.a2mac1.com/costing(costing:projects/details/8191/component/5315369)","Nut &gt; Hexagonal nut with collar")</f>
        <v>Nut &gt; Hexagonal nut with collar</v>
      </c>
      <c r="F529" t="s">
        <v>801</v>
      </c>
    </row>
    <row r="530" spans="1:6" ht="12.75">
      <c r="A530">
        <v>5381384</v>
      </c>
      <c r="B530">
        <v>5381291</v>
      </c>
      <c r="C530" t="s">
        <v>12</v>
      </c>
      <c r="D530" t="s">
        <v>8</v>
      </c>
      <c r="E530" s="2" t="str">
        <f>HYPERLINK("https://ibp.a2mac1.com/costing(costing:projects/details/8191/part/5381384)","Buckle")</f>
        <v>Buckle</v>
      </c>
      <c r="F530" t="s">
        <v>800</v>
      </c>
    </row>
    <row r="531" spans="1:6" ht="12.75">
      <c r="A531">
        <v>5381385</v>
      </c>
      <c r="B531">
        <v>5381291</v>
      </c>
      <c r="C531" t="s">
        <v>12</v>
      </c>
      <c r="D531" t="s">
        <v>8</v>
      </c>
      <c r="E531" s="2" t="str">
        <f>HYPERLINK("https://ibp.a2mac1.com/costing(costing:projects/details/8191/part/5381385)","Reel")</f>
        <v>Reel</v>
      </c>
      <c r="F531" t="s">
        <v>800</v>
      </c>
    </row>
    <row r="532" spans="1:6" ht="12.75">
      <c r="A532">
        <v>5381386</v>
      </c>
      <c r="B532">
        <v>5381291</v>
      </c>
      <c r="C532" t="s">
        <v>12</v>
      </c>
      <c r="D532" t="s">
        <v>8</v>
      </c>
      <c r="E532" s="2" t="str">
        <f>HYPERLINK("https://ibp.a2mac1.com/costing(costing:projects/details/8191/part/5381386)","Belt Lock")</f>
        <v>Belt Lock</v>
      </c>
      <c r="F532" t="s">
        <v>800</v>
      </c>
    </row>
    <row r="533" spans="1:6" ht="12.75">
      <c r="A533">
        <v>5315328</v>
      </c>
      <c r="B533">
        <v>5381291</v>
      </c>
      <c r="C533" t="s">
        <v>574</v>
      </c>
      <c r="D533" t="s">
        <v>8</v>
      </c>
      <c r="E533" s="2" t="str">
        <f>HYPERLINK("https://ibp.a2mac1.com/costing(costing:projects/details/8191/component/5315328)","Screw &gt; 12 point socket head cap screw with flange")</f>
        <v>Screw &gt; 12 point socket head cap screw with flange</v>
      </c>
      <c r="F533" t="s">
        <v>800</v>
      </c>
    </row>
    <row r="534" spans="1:6" ht="12.75">
      <c r="A534">
        <v>5315329</v>
      </c>
      <c r="B534">
        <v>5381291</v>
      </c>
      <c r="C534" t="s">
        <v>574</v>
      </c>
      <c r="D534" t="s">
        <v>8</v>
      </c>
      <c r="E534" s="2" t="str">
        <f>HYPERLINK("https://ibp.a2mac1.com/costing(costing:projects/details/8191/component/5315329)","Screw &gt; 12 point socket head cap screw with flange")</f>
        <v>Screw &gt; 12 point socket head cap screw with flange</v>
      </c>
      <c r="F534" t="s">
        <v>800</v>
      </c>
    </row>
    <row r="535" spans="1:6" ht="12.75">
      <c r="A535">
        <v>5381281</v>
      </c>
      <c r="B535">
        <v>5381278</v>
      </c>
      <c r="C535" t="s">
        <v>8</v>
      </c>
      <c r="D535" t="s">
        <v>8</v>
      </c>
      <c r="E535" s="2" t="str">
        <f>HYPERLINK("https://ibp.a2mac1.com/costing(costing:projects/details/8191/assembly/5381281)","Horn System")</f>
        <v>Horn System</v>
      </c>
      <c r="F535" t="s">
        <v>675</v>
      </c>
    </row>
    <row r="536" spans="1:6" ht="12.75">
      <c r="A536">
        <v>5381292</v>
      </c>
      <c r="B536">
        <v>5381281</v>
      </c>
      <c r="C536" t="s">
        <v>12</v>
      </c>
      <c r="D536" t="s">
        <v>8</v>
      </c>
      <c r="E536" s="2" t="str">
        <f>HYPERLINK("https://ibp.a2mac1.com/costing(costing:projects/details/8191/part/5381292)","Horn")</f>
        <v>Horn</v>
      </c>
      <c r="F536" t="s">
        <v>810</v>
      </c>
    </row>
    <row r="537" spans="1:6" ht="12.75">
      <c r="A537">
        <v>5381293</v>
      </c>
      <c r="B537">
        <v>5381281</v>
      </c>
      <c r="C537" t="s">
        <v>12</v>
      </c>
      <c r="D537" t="s">
        <v>8</v>
      </c>
      <c r="E537" s="2" t="str">
        <f>HYPERLINK("https://ibp.a2mac1.com/costing(costing:projects/details/8191/part/5381293)","Bracket")</f>
        <v>Bracket</v>
      </c>
      <c r="F537" t="s">
        <v>810</v>
      </c>
    </row>
    <row r="538" spans="1:6" ht="12.75">
      <c r="A538">
        <v>5381294</v>
      </c>
      <c r="B538">
        <v>8191</v>
      </c>
      <c r="C538" t="s">
        <v>8</v>
      </c>
      <c r="D538" t="s">
        <v>6</v>
      </c>
      <c r="E538" s="2" t="str">
        <f>HYPERLINK("https://ibp.a2mac1.com/costing(costing:projects/details/8191/assembly/5381294)"," Heating System")</f>
        <v xml:space="preserve"> Heating System</v>
      </c>
      <c r="F538" t="s">
        <v>9</v>
      </c>
    </row>
    <row r="539" spans="1:6" ht="12.75">
      <c r="A539">
        <v>5381300</v>
      </c>
      <c r="B539">
        <v>5381294</v>
      </c>
      <c r="C539" t="s">
        <v>8</v>
      </c>
      <c r="D539" t="s">
        <v>8</v>
      </c>
      <c r="E539" s="2" t="str">
        <f>HYPERLINK("https://ibp.a2mac1.com/costing(costing:projects/details/8191/assembly/5381300)"," Heating System")</f>
        <v xml:space="preserve"> Heating System</v>
      </c>
      <c r="F539" t="s">
        <v>817</v>
      </c>
    </row>
    <row r="540" spans="1:6" ht="12.75">
      <c r="A540">
        <v>5381325</v>
      </c>
      <c r="B540">
        <v>5381300</v>
      </c>
      <c r="C540" t="s">
        <v>8</v>
      </c>
      <c r="D540" t="s">
        <v>8</v>
      </c>
      <c r="E540" s="2" t="str">
        <f>HYPERLINK("https://ibp.a2mac1.com/costing(costing:projects/details/8191/assembly/5381325)"," Covers")</f>
        <v xml:space="preserve"> Covers</v>
      </c>
      <c r="F540" t="s">
        <v>818</v>
      </c>
    </row>
    <row r="541" spans="1:6" ht="12.75">
      <c r="A541">
        <v>5381430</v>
      </c>
      <c r="B541">
        <v>5381325</v>
      </c>
      <c r="C541" t="s">
        <v>12</v>
      </c>
      <c r="D541" t="s">
        <v>8</v>
      </c>
      <c r="E541" s="2" t="str">
        <f>HYPERLINK("https://ibp.a2mac1.com/costing(costing:projects/details/8191/part/5381430)"," Lower")</f>
        <v xml:space="preserve"> Lower</v>
      </c>
      <c r="F541" t="s">
        <v>819</v>
      </c>
    </row>
    <row r="542" spans="1:6" ht="12.75">
      <c r="A542">
        <v>6970315</v>
      </c>
      <c r="B542">
        <v>5381430</v>
      </c>
      <c r="C542" t="s">
        <v>99</v>
      </c>
      <c r="D542" t="s">
        <v>12</v>
      </c>
      <c r="E542" s="2" t="str">
        <f>HYPERLINK("https://ibp.a2mac1.com/costing(costing:projects/details/8191/process/6970315)","Process")</f>
        <v>Process</v>
      </c>
      <c r="F542" t="s">
        <v>820</v>
      </c>
    </row>
    <row r="543" spans="1:6" ht="12.75">
      <c r="A543">
        <v>5315422</v>
      </c>
      <c r="B543">
        <v>6970315</v>
      </c>
      <c r="C543" t="s">
        <v>24</v>
      </c>
      <c r="D543" t="s">
        <v>99</v>
      </c>
      <c r="E543" s="2" t="str">
        <f>HYPERLINK("https://ibp.a2mac1.com/costing(costing:projects/details/8191/material/5315422)","PP-TD20")</f>
        <v>PP-TD20</v>
      </c>
      <c r="F543" t="s">
        <v>823</v>
      </c>
    </row>
    <row r="544" spans="1:6" ht="12.75">
      <c r="A544">
        <v>6942838</v>
      </c>
      <c r="B544">
        <v>6970315</v>
      </c>
      <c r="C544" t="s">
        <v>189</v>
      </c>
      <c r="D544" t="s">
        <v>99</v>
      </c>
      <c r="E544" s="2" t="str">
        <f>HYPERLINK("https://ibp.a2mac1.com/costing(costing:projects/details/8191/equipment/6942838)","Machine")</f>
        <v>Machine</v>
      </c>
      <c r="F544" t="s">
        <v>823</v>
      </c>
    </row>
    <row r="545" spans="1:6" ht="12.75">
      <c r="A545">
        <v>5381431</v>
      </c>
      <c r="B545">
        <v>5381325</v>
      </c>
      <c r="C545" t="s">
        <v>12</v>
      </c>
      <c r="D545" t="s">
        <v>8</v>
      </c>
      <c r="E545" s="2" t="str">
        <f>HYPERLINK("https://ibp.a2mac1.com/costing(costing:projects/details/8191/part/5381431)"," Left")</f>
        <v xml:space="preserve"> Left</v>
      </c>
      <c r="F545" t="s">
        <v>819</v>
      </c>
    </row>
    <row r="546" spans="1:6" ht="12.75">
      <c r="A546">
        <v>6970316</v>
      </c>
      <c r="B546">
        <v>5381431</v>
      </c>
      <c r="C546" t="s">
        <v>99</v>
      </c>
      <c r="D546" t="s">
        <v>12</v>
      </c>
      <c r="E546" s="2" t="str">
        <f>HYPERLINK("https://ibp.a2mac1.com/costing(costing:projects/details/8191/process/6970316)","Process")</f>
        <v>Process</v>
      </c>
      <c r="F546" t="s">
        <v>827</v>
      </c>
    </row>
    <row r="547" spans="1:6" ht="12.75">
      <c r="A547">
        <v>5315423</v>
      </c>
      <c r="B547">
        <v>6970316</v>
      </c>
      <c r="C547" t="s">
        <v>24</v>
      </c>
      <c r="D547" t="s">
        <v>99</v>
      </c>
      <c r="E547" s="2" t="str">
        <f>HYPERLINK("https://ibp.a2mac1.com/costing(costing:projects/details/8191/material/5315423)","PP-TD20")</f>
        <v>PP-TD20</v>
      </c>
      <c r="F547" t="s">
        <v>830</v>
      </c>
    </row>
    <row r="548" spans="1:6" ht="12.75">
      <c r="A548">
        <v>6942839</v>
      </c>
      <c r="B548">
        <v>6970316</v>
      </c>
      <c r="C548" t="s">
        <v>189</v>
      </c>
      <c r="D548" t="s">
        <v>99</v>
      </c>
      <c r="E548" s="2" t="str">
        <f>HYPERLINK("https://ibp.a2mac1.com/costing(costing:projects/details/8191/equipment/6942839)","Machine")</f>
        <v>Machine</v>
      </c>
      <c r="F548" t="s">
        <v>830</v>
      </c>
    </row>
    <row r="549" spans="1:6" ht="12.75">
      <c r="A549">
        <v>5381432</v>
      </c>
      <c r="B549">
        <v>5381325</v>
      </c>
      <c r="C549" t="s">
        <v>12</v>
      </c>
      <c r="D549" t="s">
        <v>8</v>
      </c>
      <c r="E549" s="2" t="str">
        <f>HYPERLINK("https://ibp.a2mac1.com/costing(costing:projects/details/8191/part/5381432)"," Upper Left")</f>
        <v xml:space="preserve"> Upper Left</v>
      </c>
      <c r="F549" t="s">
        <v>819</v>
      </c>
    </row>
    <row r="550" spans="1:6" ht="12.75">
      <c r="A550">
        <v>5381433</v>
      </c>
      <c r="B550">
        <v>5381325</v>
      </c>
      <c r="C550" t="s">
        <v>12</v>
      </c>
      <c r="D550" t="s">
        <v>8</v>
      </c>
      <c r="E550" s="2" t="str">
        <f>HYPERLINK("https://ibp.a2mac1.com/costing(costing:projects/details/8191/part/5381433)"," Right")</f>
        <v xml:space="preserve"> Right</v>
      </c>
      <c r="F550" t="s">
        <v>819</v>
      </c>
    </row>
    <row r="551" spans="1:6" ht="12.75">
      <c r="A551">
        <v>6970317</v>
      </c>
      <c r="B551">
        <v>5381433</v>
      </c>
      <c r="C551" t="s">
        <v>99</v>
      </c>
      <c r="D551" t="s">
        <v>12</v>
      </c>
      <c r="E551" s="2" t="str">
        <f>HYPERLINK("https://ibp.a2mac1.com/costing(costing:projects/details/8191/process/6970317)","Process")</f>
        <v>Process</v>
      </c>
      <c r="F551" t="s">
        <v>835</v>
      </c>
    </row>
    <row r="552" spans="1:6" ht="12.75">
      <c r="A552">
        <v>5315424</v>
      </c>
      <c r="B552">
        <v>6970317</v>
      </c>
      <c r="C552" t="s">
        <v>24</v>
      </c>
      <c r="D552" t="s">
        <v>99</v>
      </c>
      <c r="E552" s="2" t="str">
        <f>HYPERLINK("https://ibp.a2mac1.com/costing(costing:projects/details/8191/material/5315424)","PP-TD20")</f>
        <v>PP-TD20</v>
      </c>
      <c r="F552" t="s">
        <v>838</v>
      </c>
    </row>
    <row r="553" spans="1:6" ht="12.75">
      <c r="A553">
        <v>6942840</v>
      </c>
      <c r="B553">
        <v>6970317</v>
      </c>
      <c r="C553" t="s">
        <v>189</v>
      </c>
      <c r="D553" t="s">
        <v>99</v>
      </c>
      <c r="E553" s="2" t="str">
        <f>HYPERLINK("https://ibp.a2mac1.com/costing(costing:projects/details/8191/equipment/6942840)","Machine")</f>
        <v>Machine</v>
      </c>
      <c r="F553" t="s">
        <v>838</v>
      </c>
    </row>
    <row r="554" spans="1:6" ht="12.75">
      <c r="A554">
        <v>5381434</v>
      </c>
      <c r="B554">
        <v>5381325</v>
      </c>
      <c r="C554" t="s">
        <v>12</v>
      </c>
      <c r="D554" t="s">
        <v>8</v>
      </c>
      <c r="E554" s="2" t="str">
        <f>HYPERLINK("https://ibp.a2mac1.com/costing(costing:projects/details/8191/part/5381434)"," Upper right")</f>
        <v xml:space="preserve"> Upper right</v>
      </c>
      <c r="F554" t="s">
        <v>819</v>
      </c>
    </row>
    <row r="555" spans="1:6" ht="12.75">
      <c r="A555">
        <v>5381435</v>
      </c>
      <c r="B555">
        <v>5381325</v>
      </c>
      <c r="C555" t="s">
        <v>12</v>
      </c>
      <c r="D555" t="s">
        <v>8</v>
      </c>
      <c r="E555" s="2" t="str">
        <f>HYPERLINK("https://ibp.a2mac1.com/costing(costing:projects/details/8191/part/5381435)"," Central")</f>
        <v xml:space="preserve"> Central</v>
      </c>
      <c r="F555" t="s">
        <v>819</v>
      </c>
    </row>
    <row r="556" spans="1:6" ht="12.75">
      <c r="A556">
        <v>5381436</v>
      </c>
      <c r="B556">
        <v>5381325</v>
      </c>
      <c r="C556" t="s">
        <v>12</v>
      </c>
      <c r="D556" t="s">
        <v>8</v>
      </c>
      <c r="E556" s="2" t="str">
        <f>HYPERLINK("https://ibp.a2mac1.com/costing(costing:projects/details/8191/part/5381436)"," 2nd Central")</f>
        <v xml:space="preserve"> 2nd Central</v>
      </c>
      <c r="F556" t="s">
        <v>819</v>
      </c>
    </row>
    <row r="557" spans="1:6" ht="12.75">
      <c r="A557">
        <v>5381437</v>
      </c>
      <c r="B557">
        <v>5381325</v>
      </c>
      <c r="C557" t="s">
        <v>12</v>
      </c>
      <c r="D557" t="s">
        <v>8</v>
      </c>
      <c r="E557" s="2" t="str">
        <f>HYPERLINK("https://ibp.a2mac1.com/costing(costing:projects/details/8191/part/5381437)"," Inner Air Guide")</f>
        <v xml:space="preserve"> Inner Air Guide</v>
      </c>
      <c r="F557" t="s">
        <v>819</v>
      </c>
    </row>
    <row r="558" spans="1:6" ht="12.75">
      <c r="A558">
        <v>5381438</v>
      </c>
      <c r="B558">
        <v>5381325</v>
      </c>
      <c r="C558" t="s">
        <v>12</v>
      </c>
      <c r="D558" t="s">
        <v>8</v>
      </c>
      <c r="E558" s="2" t="str">
        <f>HYPERLINK("https://ibp.a2mac1.com/costing(costing:projects/details/8191/part/5381438)"," Second inner air guide")</f>
        <v xml:space="preserve"> Second inner air guide</v>
      </c>
      <c r="F558" t="s">
        <v>819</v>
      </c>
    </row>
    <row r="559" spans="1:6" ht="12.75">
      <c r="A559">
        <v>5381326</v>
      </c>
      <c r="B559">
        <v>5381300</v>
      </c>
      <c r="C559" t="s">
        <v>8</v>
      </c>
      <c r="D559" t="s">
        <v>8</v>
      </c>
      <c r="E559" s="2" t="str">
        <f>HYPERLINK("https://ibp.a2mac1.com/costing(costing:projects/details/8191/assembly/5381326)"," Motors")</f>
        <v xml:space="preserve"> Motors</v>
      </c>
      <c r="F559" t="s">
        <v>818</v>
      </c>
    </row>
    <row r="560" spans="1:6" ht="12.75">
      <c r="A560">
        <v>5381440</v>
      </c>
      <c r="B560">
        <v>5381326</v>
      </c>
      <c r="C560" t="s">
        <v>8</v>
      </c>
      <c r="D560" t="s">
        <v>8</v>
      </c>
      <c r="E560" s="2" t="str">
        <f>HYPERLINK("https://ibp.a2mac1.com/costing(costing:projects/details/8191/assembly/5381440)"," Intake Air Vent Motor")</f>
        <v xml:space="preserve"> Intake Air Vent Motor</v>
      </c>
      <c r="F560" t="s">
        <v>853</v>
      </c>
    </row>
    <row r="561" spans="1:6" ht="12.75">
      <c r="A561">
        <v>5381545</v>
      </c>
      <c r="B561">
        <v>5381440</v>
      </c>
      <c r="C561" t="s">
        <v>12</v>
      </c>
      <c r="D561" t="s">
        <v>8</v>
      </c>
      <c r="E561" s="2" t="str">
        <f>HYPERLINK("https://ibp.a2mac1.com/costing(costing:projects/details/8191/part/5381545)"," Intake Air Vent Motor")</f>
        <v xml:space="preserve"> Intake Air Vent Motor</v>
      </c>
      <c r="F561" t="s">
        <v>854</v>
      </c>
    </row>
    <row r="562" spans="1:6" ht="12.75">
      <c r="A562">
        <v>5381546</v>
      </c>
      <c r="B562">
        <v>5381440</v>
      </c>
      <c r="C562" t="s">
        <v>12</v>
      </c>
      <c r="D562" t="s">
        <v>8</v>
      </c>
      <c r="E562" s="2" t="str">
        <f>HYPERLINK("https://ibp.a2mac1.com/costing(costing:projects/details/8191/part/5381546)"," Intake Air Vent Motor Support")</f>
        <v xml:space="preserve"> Intake Air Vent Motor Support</v>
      </c>
      <c r="F562" t="s">
        <v>854</v>
      </c>
    </row>
    <row r="563" spans="1:6" ht="12.75">
      <c r="A563">
        <v>5381441</v>
      </c>
      <c r="B563">
        <v>5381326</v>
      </c>
      <c r="C563" t="s">
        <v>8</v>
      </c>
      <c r="D563" t="s">
        <v>8</v>
      </c>
      <c r="E563" s="2" t="str">
        <f>HYPERLINK("https://ibp.a2mac1.com/costing(costing:projects/details/8191/assembly/5381441)"," Heater Core Motors")</f>
        <v xml:space="preserve"> Heater Core Motors</v>
      </c>
      <c r="F563" t="s">
        <v>853</v>
      </c>
    </row>
    <row r="564" spans="1:6" ht="12.75">
      <c r="A564">
        <v>5381547</v>
      </c>
      <c r="B564">
        <v>5381441</v>
      </c>
      <c r="C564" t="s">
        <v>12</v>
      </c>
      <c r="D564" t="s">
        <v>8</v>
      </c>
      <c r="E564" s="2" t="str">
        <f>HYPERLINK("https://ibp.a2mac1.com/costing(costing:projects/details/8191/part/5381547)"," Heater Core Motor Left/Single and Right if Identical")</f>
        <v xml:space="preserve"> Heater Core Motor Left/Single and Right if Identical</v>
      </c>
      <c r="F564" t="s">
        <v>861</v>
      </c>
    </row>
    <row r="565" spans="1:6" ht="12.75">
      <c r="A565">
        <v>5381548</v>
      </c>
      <c r="B565">
        <v>5381441</v>
      </c>
      <c r="C565" t="s">
        <v>12</v>
      </c>
      <c r="D565" t="s">
        <v>8</v>
      </c>
      <c r="E565" s="2" t="str">
        <f>HYPERLINK("https://ibp.a2mac1.com/costing(costing:projects/details/8191/part/5381548)"," Right")</f>
        <v xml:space="preserve"> Right</v>
      </c>
      <c r="F565" t="s">
        <v>861</v>
      </c>
    </row>
    <row r="566" spans="1:6" ht="12.75">
      <c r="A566">
        <v>5381442</v>
      </c>
      <c r="B566">
        <v>5381326</v>
      </c>
      <c r="C566" t="s">
        <v>8</v>
      </c>
      <c r="D566" t="s">
        <v>8</v>
      </c>
      <c r="E566" s="2" t="str">
        <f>HYPERLINK("https://ibp.a2mac1.com/costing(costing:projects/details/8191/assembly/5381442)"," Top/Bottom Flap Motor")</f>
        <v xml:space="preserve"> Top/Bottom Flap Motor</v>
      </c>
      <c r="F566" t="s">
        <v>853</v>
      </c>
    </row>
    <row r="567" spans="1:6" ht="12.75">
      <c r="A567">
        <v>5381549</v>
      </c>
      <c r="B567">
        <v>5381442</v>
      </c>
      <c r="C567" t="s">
        <v>12</v>
      </c>
      <c r="D567" t="s">
        <v>8</v>
      </c>
      <c r="E567" s="2" t="str">
        <f>HYPERLINK("https://ibp.a2mac1.com/costing(costing:projects/details/8191/part/5381549)"," Left/Single")</f>
        <v xml:space="preserve"> Left/Single</v>
      </c>
      <c r="F567" t="s">
        <v>868</v>
      </c>
    </row>
    <row r="568" spans="1:6" ht="12.75">
      <c r="A568">
        <v>5381550</v>
      </c>
      <c r="B568">
        <v>5381442</v>
      </c>
      <c r="C568" t="s">
        <v>12</v>
      </c>
      <c r="D568" t="s">
        <v>8</v>
      </c>
      <c r="E568" s="2" t="str">
        <f>HYPERLINK("https://ibp.a2mac1.com/costing(costing:projects/details/8191/part/5381550)"," Right")</f>
        <v xml:space="preserve"> Right</v>
      </c>
      <c r="F568" t="s">
        <v>868</v>
      </c>
    </row>
    <row r="569" spans="1:6" ht="12.75">
      <c r="A569">
        <v>5381439</v>
      </c>
      <c r="B569">
        <v>5381326</v>
      </c>
      <c r="C569" t="s">
        <v>12</v>
      </c>
      <c r="D569" t="s">
        <v>8</v>
      </c>
      <c r="E569" s="2" t="str">
        <f>HYPERLINK("https://ibp.a2mac1.com/costing(costing:projects/details/8191/part/5381439)"," Defroster Air Side Motors")</f>
        <v xml:space="preserve"> Defroster Air Side Motors</v>
      </c>
      <c r="F569" t="s">
        <v>853</v>
      </c>
    </row>
    <row r="570" spans="1:6" ht="12.75">
      <c r="A570">
        <v>5381327</v>
      </c>
      <c r="B570">
        <v>5381300</v>
      </c>
      <c r="C570" t="s">
        <v>8</v>
      </c>
      <c r="D570" t="s">
        <v>8</v>
      </c>
      <c r="E570" s="2" t="str">
        <f>HYPERLINK("https://ibp.a2mac1.com/costing(costing:projects/details/8191/assembly/5381327)"," Selection Flaps")</f>
        <v xml:space="preserve"> Selection Flaps</v>
      </c>
      <c r="F570" t="s">
        <v>818</v>
      </c>
    </row>
    <row r="571" spans="1:6" ht="12.75">
      <c r="A571">
        <v>5381447</v>
      </c>
      <c r="B571">
        <v>5381327</v>
      </c>
      <c r="C571" t="s">
        <v>8</v>
      </c>
      <c r="D571" t="s">
        <v>8</v>
      </c>
      <c r="E571" s="2" t="str">
        <f>HYPERLINK("https://ibp.a2mac1.com/costing(costing:projects/details/8191/assembly/5381447)"," Central Vents")</f>
        <v xml:space="preserve"> Central Vents</v>
      </c>
      <c r="F571" t="s">
        <v>879</v>
      </c>
    </row>
    <row r="572" spans="1:6" ht="12.75">
      <c r="A572">
        <v>5381551</v>
      </c>
      <c r="B572">
        <v>5381447</v>
      </c>
      <c r="C572" t="s">
        <v>12</v>
      </c>
      <c r="D572" t="s">
        <v>8</v>
      </c>
      <c r="E572" s="2" t="str">
        <f>HYPERLINK("https://ibp.a2mac1.com/costing(costing:projects/details/8191/part/5381551)"," Left and Right if the Same")</f>
        <v xml:space="preserve"> Left and Right if the Same</v>
      </c>
      <c r="F572" t="s">
        <v>880</v>
      </c>
    </row>
    <row r="573" spans="1:6" ht="12.75">
      <c r="A573">
        <v>5381552</v>
      </c>
      <c r="B573">
        <v>5381447</v>
      </c>
      <c r="C573" t="s">
        <v>12</v>
      </c>
      <c r="D573" t="s">
        <v>8</v>
      </c>
      <c r="E573" s="2" t="str">
        <f>HYPERLINK("https://ibp.a2mac1.com/costing(costing:projects/details/8191/part/5381552)"," Right if Different")</f>
        <v xml:space="preserve"> Right if Different</v>
      </c>
      <c r="F573" t="s">
        <v>880</v>
      </c>
    </row>
    <row r="574" spans="1:6" ht="12.75">
      <c r="A574">
        <v>5381448</v>
      </c>
      <c r="B574">
        <v>5381327</v>
      </c>
      <c r="C574" t="s">
        <v>8</v>
      </c>
      <c r="D574" t="s">
        <v>8</v>
      </c>
      <c r="E574" s="2" t="str">
        <f>HYPERLINK("https://ibp.a2mac1.com/costing(costing:projects/details/8191/assembly/5381448)"," Upper Front Part")</f>
        <v xml:space="preserve"> Upper Front Part</v>
      </c>
      <c r="F574" t="s">
        <v>879</v>
      </c>
    </row>
    <row r="575" spans="1:6" ht="12.75">
      <c r="A575">
        <v>5381553</v>
      </c>
      <c r="B575">
        <v>5381448</v>
      </c>
      <c r="C575" t="s">
        <v>12</v>
      </c>
      <c r="D575" t="s">
        <v>8</v>
      </c>
      <c r="E575" s="2" t="str">
        <f>HYPERLINK("https://ibp.a2mac1.com/costing(costing:projects/details/8191/part/5381553)"," Left and Right if the Same")</f>
        <v xml:space="preserve"> Left and Right if the Same</v>
      </c>
      <c r="F575" t="s">
        <v>887</v>
      </c>
    </row>
    <row r="576" spans="1:6" ht="12.75">
      <c r="A576">
        <v>5381554</v>
      </c>
      <c r="B576">
        <v>5381448</v>
      </c>
      <c r="C576" t="s">
        <v>12</v>
      </c>
      <c r="D576" t="s">
        <v>8</v>
      </c>
      <c r="E576" s="2" t="str">
        <f>HYPERLINK("https://ibp.a2mac1.com/costing(costing:projects/details/8191/part/5381554)"," Right if Different")</f>
        <v xml:space="preserve"> Right if Different</v>
      </c>
      <c r="F576" t="s">
        <v>887</v>
      </c>
    </row>
    <row r="577" spans="1:6" ht="12.75">
      <c r="A577">
        <v>5381449</v>
      </c>
      <c r="B577">
        <v>5381327</v>
      </c>
      <c r="C577" t="s">
        <v>8</v>
      </c>
      <c r="D577" t="s">
        <v>8</v>
      </c>
      <c r="E577" s="2" t="str">
        <f>HYPERLINK("https://ibp.a2mac1.com/costing(costing:projects/details/8191/assembly/5381449)"," Windshield Demisting")</f>
        <v xml:space="preserve"> Windshield Demisting</v>
      </c>
      <c r="F577" t="s">
        <v>879</v>
      </c>
    </row>
    <row r="578" spans="1:6" ht="12.75">
      <c r="A578">
        <v>5381555</v>
      </c>
      <c r="B578">
        <v>5381449</v>
      </c>
      <c r="C578" t="s">
        <v>12</v>
      </c>
      <c r="D578" t="s">
        <v>8</v>
      </c>
      <c r="E578" s="2" t="str">
        <f>HYPERLINK("https://ibp.a2mac1.com/costing(costing:projects/details/8191/part/5381555)"," Central/Single")</f>
        <v xml:space="preserve"> Central/Single</v>
      </c>
      <c r="F578" t="s">
        <v>894</v>
      </c>
    </row>
    <row r="579" spans="1:6" ht="12.75">
      <c r="A579">
        <v>5381450</v>
      </c>
      <c r="B579">
        <v>5381327</v>
      </c>
      <c r="C579" t="s">
        <v>8</v>
      </c>
      <c r="D579" t="s">
        <v>8</v>
      </c>
      <c r="E579" s="2" t="str">
        <f>HYPERLINK("https://ibp.a2mac1.com/costing(costing:projects/details/8191/assembly/5381450)"," Lower Front Part")</f>
        <v xml:space="preserve"> Lower Front Part</v>
      </c>
      <c r="F579" t="s">
        <v>879</v>
      </c>
    </row>
    <row r="580" spans="1:6" ht="12.75">
      <c r="A580">
        <v>5381556</v>
      </c>
      <c r="B580">
        <v>5381450</v>
      </c>
      <c r="C580" t="s">
        <v>12</v>
      </c>
      <c r="D580" t="s">
        <v>8</v>
      </c>
      <c r="E580" s="2" t="str">
        <f>HYPERLINK("https://ibp.a2mac1.com/costing(costing:projects/details/8191/part/5381556)"," Left and Right if the Same")</f>
        <v xml:space="preserve"> Left and Right if the Same</v>
      </c>
      <c r="F580" t="s">
        <v>899</v>
      </c>
    </row>
    <row r="581" spans="1:6" ht="12.75">
      <c r="A581">
        <v>5381557</v>
      </c>
      <c r="B581">
        <v>5381450</v>
      </c>
      <c r="C581" t="s">
        <v>12</v>
      </c>
      <c r="D581" t="s">
        <v>8</v>
      </c>
      <c r="E581" s="2" t="str">
        <f>HYPERLINK("https://ibp.a2mac1.com/costing(costing:projects/details/8191/part/5381557)"," Right if Different")</f>
        <v xml:space="preserve"> Right if Different</v>
      </c>
      <c r="F581" t="s">
        <v>899</v>
      </c>
    </row>
    <row r="582" spans="1:6" ht="12.75">
      <c r="A582">
        <v>5381451</v>
      </c>
      <c r="B582">
        <v>5381327</v>
      </c>
      <c r="C582" t="s">
        <v>8</v>
      </c>
      <c r="D582" t="s">
        <v>8</v>
      </c>
      <c r="E582" s="2" t="str">
        <f>HYPERLINK("https://ibp.a2mac1.com/costing(costing:projects/details/8191/assembly/5381451)"," Row 2 Center")</f>
        <v xml:space="preserve"> Row 2 Center</v>
      </c>
      <c r="F582" t="s">
        <v>879</v>
      </c>
    </row>
    <row r="583" spans="1:6" ht="12.75">
      <c r="A583">
        <v>5381558</v>
      </c>
      <c r="B583">
        <v>5381451</v>
      </c>
      <c r="C583" t="s">
        <v>12</v>
      </c>
      <c r="D583" t="s">
        <v>8</v>
      </c>
      <c r="E583" s="2" t="str">
        <f>HYPERLINK("https://ibp.a2mac1.com/costing(costing:projects/details/8191/part/5381558)"," Central/Single")</f>
        <v xml:space="preserve"> Central/Single</v>
      </c>
      <c r="F583" t="s">
        <v>906</v>
      </c>
    </row>
    <row r="584" spans="1:6" ht="12.75">
      <c r="A584">
        <v>5381452</v>
      </c>
      <c r="B584">
        <v>5381327</v>
      </c>
      <c r="C584" t="s">
        <v>8</v>
      </c>
      <c r="D584" t="s">
        <v>8</v>
      </c>
      <c r="E584" s="2" t="str">
        <f>HYPERLINK("https://ibp.a2mac1.com/costing(costing:projects/details/8191/assembly/5381452)"," Feet Row 2")</f>
        <v xml:space="preserve"> Feet Row 2</v>
      </c>
      <c r="F584" t="s">
        <v>879</v>
      </c>
    </row>
    <row r="585" spans="1:6" ht="12.75">
      <c r="A585">
        <v>5381559</v>
      </c>
      <c r="B585">
        <v>5381452</v>
      </c>
      <c r="C585" t="s">
        <v>12</v>
      </c>
      <c r="D585" t="s">
        <v>8</v>
      </c>
      <c r="E585" s="2" t="str">
        <f>HYPERLINK("https://ibp.a2mac1.com/costing(costing:projects/details/8191/part/5381559)"," Left/Single")</f>
        <v xml:space="preserve"> Left/Single</v>
      </c>
      <c r="F585" t="s">
        <v>911</v>
      </c>
    </row>
    <row r="586" spans="1:6" ht="12.75">
      <c r="A586">
        <v>5381560</v>
      </c>
      <c r="B586">
        <v>5381452</v>
      </c>
      <c r="C586" t="s">
        <v>12</v>
      </c>
      <c r="D586" t="s">
        <v>8</v>
      </c>
      <c r="E586" s="2" t="str">
        <f>HYPERLINK("https://ibp.a2mac1.com/costing(costing:projects/details/8191/part/5381560)"," Right if Different")</f>
        <v xml:space="preserve"> Right if Different</v>
      </c>
      <c r="F586" t="s">
        <v>911</v>
      </c>
    </row>
    <row r="587" spans="1:6" ht="12.75">
      <c r="A587">
        <v>5381443</v>
      </c>
      <c r="B587">
        <v>5381327</v>
      </c>
      <c r="C587" t="s">
        <v>12</v>
      </c>
      <c r="D587" t="s">
        <v>8</v>
      </c>
      <c r="E587" s="2" t="str">
        <f>HYPERLINK("https://ibp.a2mac1.com/costing(costing:projects/details/8191/part/5381443)"," Temperature Mix Flap")</f>
        <v xml:space="preserve"> Temperature Mix Flap</v>
      </c>
      <c r="F587" t="s">
        <v>879</v>
      </c>
    </row>
    <row r="588" spans="1:6" ht="12.75">
      <c r="A588">
        <v>5381444</v>
      </c>
      <c r="B588">
        <v>5381327</v>
      </c>
      <c r="C588" t="s">
        <v>12</v>
      </c>
      <c r="D588" t="s">
        <v>8</v>
      </c>
      <c r="E588" s="2" t="str">
        <f>HYPERLINK("https://ibp.a2mac1.com/costing(costing:projects/details/8191/part/5381444)"," Temperature Mix Flap Right if Different")</f>
        <v xml:space="preserve"> Temperature Mix Flap Right if Different</v>
      </c>
      <c r="F588" t="s">
        <v>879</v>
      </c>
    </row>
    <row r="589" spans="1:6" ht="12.75">
      <c r="A589">
        <v>5381445</v>
      </c>
      <c r="B589">
        <v>5381327</v>
      </c>
      <c r="C589" t="s">
        <v>12</v>
      </c>
      <c r="D589" t="s">
        <v>8</v>
      </c>
      <c r="E589" s="2" t="str">
        <f>HYPERLINK("https://ibp.a2mac1.com/costing(costing:projects/details/8191/part/5381445)"," 2nd Temperature Mix Flap")</f>
        <v xml:space="preserve"> 2nd Temperature Mix Flap</v>
      </c>
      <c r="F589" t="s">
        <v>879</v>
      </c>
    </row>
    <row r="590" spans="1:6" ht="12.75">
      <c r="A590">
        <v>5381446</v>
      </c>
      <c r="B590">
        <v>5381327</v>
      </c>
      <c r="C590" t="s">
        <v>12</v>
      </c>
      <c r="D590" t="s">
        <v>8</v>
      </c>
      <c r="E590" s="2" t="str">
        <f>HYPERLINK("https://ibp.a2mac1.com/costing(costing:projects/details/8191/part/5381446)"," 2nd Temperature Mix Flap Right if Different")</f>
        <v xml:space="preserve"> 2nd Temperature Mix Flap Right if Different</v>
      </c>
      <c r="F590" t="s">
        <v>879</v>
      </c>
    </row>
    <row r="591" spans="1:6" ht="12.75">
      <c r="A591">
        <v>5381328</v>
      </c>
      <c r="B591">
        <v>5381300</v>
      </c>
      <c r="C591" t="s">
        <v>8</v>
      </c>
      <c r="D591" t="s">
        <v>8</v>
      </c>
      <c r="E591" s="2" t="str">
        <f>HYPERLINK("https://ibp.a2mac1.com/costing(costing:projects/details/8191/assembly/5381328)"," Mechanism")</f>
        <v xml:space="preserve"> Mechanism</v>
      </c>
      <c r="F591" t="s">
        <v>818</v>
      </c>
    </row>
    <row r="592" spans="1:6" ht="12.75">
      <c r="A592">
        <v>5381453</v>
      </c>
      <c r="B592">
        <v>5381328</v>
      </c>
      <c r="C592" t="s">
        <v>12</v>
      </c>
      <c r="D592" t="s">
        <v>8</v>
      </c>
      <c r="E592" s="2" t="str">
        <f>HYPERLINK("https://ibp.a2mac1.com/costing(costing:projects/details/8191/part/5381453)"," Air Intake")</f>
        <v xml:space="preserve"> Air Intake</v>
      </c>
      <c r="F592" t="s">
        <v>928</v>
      </c>
    </row>
    <row r="593" spans="1:6" ht="12.75">
      <c r="A593">
        <v>5381454</v>
      </c>
      <c r="B593">
        <v>5381328</v>
      </c>
      <c r="C593" t="s">
        <v>12</v>
      </c>
      <c r="D593" t="s">
        <v>8</v>
      </c>
      <c r="E593" s="2" t="str">
        <f>HYPERLINK("https://ibp.a2mac1.com/costing(costing:projects/details/8191/part/5381454)"," 2nd Air Intake")</f>
        <v xml:space="preserve"> 2nd Air Intake</v>
      </c>
      <c r="F593" t="s">
        <v>928</v>
      </c>
    </row>
    <row r="594" spans="1:6" ht="12.75">
      <c r="A594">
        <v>5381455</v>
      </c>
      <c r="B594">
        <v>5381328</v>
      </c>
      <c r="C594" t="s">
        <v>12</v>
      </c>
      <c r="D594" t="s">
        <v>8</v>
      </c>
      <c r="E594" s="2" t="str">
        <f>HYPERLINK("https://ibp.a2mac1.com/costing(costing:projects/details/8191/part/5381455)"," Upper and Lower")</f>
        <v xml:space="preserve"> Upper and Lower</v>
      </c>
      <c r="F594" t="s">
        <v>928</v>
      </c>
    </row>
    <row r="595" spans="1:6" ht="12.75">
      <c r="A595">
        <v>5381456</v>
      </c>
      <c r="B595">
        <v>5381328</v>
      </c>
      <c r="C595" t="s">
        <v>12</v>
      </c>
      <c r="D595" t="s">
        <v>8</v>
      </c>
      <c r="E595" s="2" t="str">
        <f>HYPERLINK("https://ibp.a2mac1.com/costing(costing:projects/details/8191/part/5381456)"," Mechanism Support")</f>
        <v xml:space="preserve"> Mechanism Support</v>
      </c>
      <c r="F595" t="s">
        <v>928</v>
      </c>
    </row>
    <row r="596" spans="1:6" ht="12.75">
      <c r="A596">
        <v>5381457</v>
      </c>
      <c r="B596">
        <v>5381328</v>
      </c>
      <c r="C596" t="s">
        <v>12</v>
      </c>
      <c r="D596" t="s">
        <v>8</v>
      </c>
      <c r="E596" s="2" t="str">
        <f>HYPERLINK("https://ibp.a2mac1.com/costing(costing:projects/details/8191/part/5381457)"," Guide")</f>
        <v xml:space="preserve"> Guide</v>
      </c>
      <c r="F596" t="s">
        <v>928</v>
      </c>
    </row>
    <row r="597" spans="1:6" ht="12.75">
      <c r="A597">
        <v>5381458</v>
      </c>
      <c r="B597">
        <v>5381328</v>
      </c>
      <c r="C597" t="s">
        <v>12</v>
      </c>
      <c r="D597" t="s">
        <v>8</v>
      </c>
      <c r="E597" s="2" t="str">
        <f>HYPERLINK("https://ibp.a2mac1.com/costing(costing:projects/details/8191/part/5381458)"," Defroster mechanism")</f>
        <v xml:space="preserve"> Defroster mechanism</v>
      </c>
      <c r="F597" t="s">
        <v>928</v>
      </c>
    </row>
    <row r="598" spans="1:6" ht="12.75">
      <c r="A598">
        <v>5381459</v>
      </c>
      <c r="B598">
        <v>5381328</v>
      </c>
      <c r="C598" t="s">
        <v>12</v>
      </c>
      <c r="D598" t="s">
        <v>8</v>
      </c>
      <c r="E598" s="2" t="str">
        <f>HYPERLINK("https://ibp.a2mac1.com/costing(costing:projects/details/8191/part/5381459)"," Second defroster mechanism")</f>
        <v xml:space="preserve"> Second defroster mechanism</v>
      </c>
      <c r="F598" t="s">
        <v>928</v>
      </c>
    </row>
    <row r="599" spans="1:6" ht="12.75">
      <c r="A599">
        <v>5381460</v>
      </c>
      <c r="B599">
        <v>5381328</v>
      </c>
      <c r="C599" t="s">
        <v>12</v>
      </c>
      <c r="D599" t="s">
        <v>8</v>
      </c>
      <c r="E599" s="2" t="str">
        <f>HYPERLINK("https://ibp.a2mac1.com/costing(costing:projects/details/8191/part/5381460)"," Front upper")</f>
        <v xml:space="preserve"> Front upper</v>
      </c>
      <c r="F599" t="s">
        <v>928</v>
      </c>
    </row>
    <row r="600" spans="1:6" ht="12.75">
      <c r="A600">
        <v>5381461</v>
      </c>
      <c r="B600">
        <v>5381328</v>
      </c>
      <c r="C600" t="s">
        <v>12</v>
      </c>
      <c r="D600" t="s">
        <v>8</v>
      </c>
      <c r="E600" s="2" t="str">
        <f>HYPERLINK("https://ibp.a2mac1.com/costing(costing:projects/details/8191/part/5381461)"," Front lower")</f>
        <v xml:space="preserve"> Front lower</v>
      </c>
      <c r="F600" t="s">
        <v>928</v>
      </c>
    </row>
    <row r="601" spans="1:6" ht="12.75">
      <c r="A601">
        <v>5381462</v>
      </c>
      <c r="B601">
        <v>5381328</v>
      </c>
      <c r="C601" t="s">
        <v>12</v>
      </c>
      <c r="D601" t="s">
        <v>8</v>
      </c>
      <c r="E601" s="2" t="str">
        <f>HYPERLINK("https://ibp.a2mac1.com/costing(costing:projects/details/8191/part/5381462)"," Front lower - second element")</f>
        <v xml:space="preserve"> Front lower - second element</v>
      </c>
      <c r="F601" t="s">
        <v>928</v>
      </c>
    </row>
    <row r="602" spans="1:6" ht="12.75">
      <c r="A602">
        <v>5381463</v>
      </c>
      <c r="B602">
        <v>5381328</v>
      </c>
      <c r="C602" t="s">
        <v>12</v>
      </c>
      <c r="D602" t="s">
        <v>8</v>
      </c>
      <c r="E602" s="2" t="str">
        <f>HYPERLINK("https://ibp.a2mac1.com/costing(costing:projects/details/8191/part/5381463)"," Front Center")</f>
        <v xml:space="preserve"> Front Center</v>
      </c>
      <c r="F602" t="s">
        <v>928</v>
      </c>
    </row>
    <row r="603" spans="1:6" ht="12.75">
      <c r="A603">
        <v>5381464</v>
      </c>
      <c r="B603">
        <v>5381328</v>
      </c>
      <c r="C603" t="s">
        <v>12</v>
      </c>
      <c r="D603" t="s">
        <v>8</v>
      </c>
      <c r="E603" s="2" t="str">
        <f>HYPERLINK("https://ibp.a2mac1.com/costing(costing:projects/details/8191/part/5381464)"," Temperature Mix Mechanism")</f>
        <v xml:space="preserve"> Temperature Mix Mechanism</v>
      </c>
      <c r="F603" t="s">
        <v>928</v>
      </c>
    </row>
    <row r="604" spans="1:6" ht="12.75">
      <c r="A604">
        <v>5381465</v>
      </c>
      <c r="B604">
        <v>5381328</v>
      </c>
      <c r="C604" t="s">
        <v>12</v>
      </c>
      <c r="D604" t="s">
        <v>8</v>
      </c>
      <c r="E604" s="2" t="str">
        <f>HYPERLINK("https://ibp.a2mac1.com/costing(costing:projects/details/8191/part/5381465)"," Temperature Mix Mechanism 2nd Part")</f>
        <v xml:space="preserve"> Temperature Mix Mechanism 2nd Part</v>
      </c>
      <c r="F604" t="s">
        <v>928</v>
      </c>
    </row>
    <row r="605" spans="1:6" ht="12.75">
      <c r="A605">
        <v>5381466</v>
      </c>
      <c r="B605">
        <v>5381328</v>
      </c>
      <c r="C605" t="s">
        <v>12</v>
      </c>
      <c r="D605" t="s">
        <v>8</v>
      </c>
      <c r="E605" s="2" t="str">
        <f>HYPERLINK("https://ibp.a2mac1.com/costing(costing:projects/details/8191/part/5381466)"," 2nd Temperature Mix Mechanism")</f>
        <v xml:space="preserve"> 2nd Temperature Mix Mechanism</v>
      </c>
      <c r="F605" t="s">
        <v>928</v>
      </c>
    </row>
    <row r="606" spans="1:6" ht="12.75">
      <c r="A606">
        <v>5381467</v>
      </c>
      <c r="B606">
        <v>5381328</v>
      </c>
      <c r="C606" t="s">
        <v>12</v>
      </c>
      <c r="D606" t="s">
        <v>8</v>
      </c>
      <c r="E606" s="2" t="str">
        <f>HYPERLINK("https://ibp.a2mac1.com/costing(costing:projects/details/8191/part/5381467)"," 3rd Temperature Mix Mechanism")</f>
        <v xml:space="preserve"> 3rd Temperature Mix Mechanism</v>
      </c>
      <c r="F606" t="s">
        <v>928</v>
      </c>
    </row>
    <row r="607" spans="1:6" ht="12.75">
      <c r="A607">
        <v>5381468</v>
      </c>
      <c r="B607">
        <v>5381328</v>
      </c>
      <c r="C607" t="s">
        <v>12</v>
      </c>
      <c r="D607" t="s">
        <v>8</v>
      </c>
      <c r="E607" s="2" t="str">
        <f>HYPERLINK("https://ibp.a2mac1.com/costing(costing:projects/details/8191/part/5381468)"," Complete/Multifunction Mechanism")</f>
        <v xml:space="preserve"> Complete/Multifunction Mechanism</v>
      </c>
      <c r="F607" t="s">
        <v>928</v>
      </c>
    </row>
    <row r="608" spans="1:6" ht="12.75">
      <c r="A608">
        <v>5381469</v>
      </c>
      <c r="B608">
        <v>5381328</v>
      </c>
      <c r="C608" t="s">
        <v>12</v>
      </c>
      <c r="D608" t="s">
        <v>8</v>
      </c>
      <c r="E608" s="2" t="str">
        <f>HYPERLINK("https://ibp.a2mac1.com/costing(costing:projects/details/8191/part/5381469)"," Complete/Multifunction Mechanism right")</f>
        <v xml:space="preserve"> Complete/Multifunction Mechanism right</v>
      </c>
      <c r="F608" t="s">
        <v>928</v>
      </c>
    </row>
    <row r="609" spans="1:6" ht="12.75">
      <c r="A609">
        <v>5381470</v>
      </c>
      <c r="B609">
        <v>5381328</v>
      </c>
      <c r="C609" t="s">
        <v>12</v>
      </c>
      <c r="D609" t="s">
        <v>8</v>
      </c>
      <c r="E609" s="2" t="str">
        <f>HYPERLINK("https://ibp.a2mac1.com/costing(costing:projects/details/8191/part/5381470)"," Right Side Heater Core Mechanism")</f>
        <v xml:space="preserve"> Right Side Heater Core Mechanism</v>
      </c>
      <c r="F609" t="s">
        <v>928</v>
      </c>
    </row>
    <row r="610" spans="1:6" ht="12.75">
      <c r="A610">
        <v>5381491</v>
      </c>
      <c r="B610">
        <v>5381328</v>
      </c>
      <c r="C610" t="s">
        <v>12</v>
      </c>
      <c r="D610" t="s">
        <v>8</v>
      </c>
      <c r="E610" s="2" t="str">
        <f>HYPERLINK("https://ibp.a2mac1.com/costing(costing:projects/details/8191/part/5381491)"," 2nd Right Side Heater Core Mechanism")</f>
        <v xml:space="preserve"> 2nd Right Side Heater Core Mechanism</v>
      </c>
      <c r="F610" t="s">
        <v>928</v>
      </c>
    </row>
    <row r="611" spans="1:6" ht="12.75">
      <c r="A611">
        <v>5381492</v>
      </c>
      <c r="B611">
        <v>5381328</v>
      </c>
      <c r="C611" t="s">
        <v>12</v>
      </c>
      <c r="D611" t="s">
        <v>8</v>
      </c>
      <c r="E611" s="2" t="str">
        <f>HYPERLINK("https://ibp.a2mac1.com/costing(costing:projects/details/8191/part/5381492)"," Left Side Heater Core Mechanism")</f>
        <v xml:space="preserve"> Left Side Heater Core Mechanism</v>
      </c>
      <c r="F611" t="s">
        <v>928</v>
      </c>
    </row>
    <row r="612" spans="1:6" ht="12.75">
      <c r="A612">
        <v>5381493</v>
      </c>
      <c r="B612">
        <v>5381328</v>
      </c>
      <c r="C612" t="s">
        <v>12</v>
      </c>
      <c r="D612" t="s">
        <v>8</v>
      </c>
      <c r="E612" s="2" t="str">
        <f>HYPERLINK("https://ibp.a2mac1.com/costing(costing:projects/details/8191/part/5381493)"," 2nd Left Side Heater Core Mechanism")</f>
        <v xml:space="preserve"> 2nd Left Side Heater Core Mechanism</v>
      </c>
      <c r="F612" t="s">
        <v>928</v>
      </c>
    </row>
    <row r="613" spans="1:6" ht="12.75">
      <c r="A613">
        <v>5381494</v>
      </c>
      <c r="B613">
        <v>5381328</v>
      </c>
      <c r="C613" t="s">
        <v>12</v>
      </c>
      <c r="D613" t="s">
        <v>8</v>
      </c>
      <c r="E613" s="2" t="str">
        <f>HYPERLINK("https://ibp.a2mac1.com/costing(costing:projects/details/8191/part/5381494)"," 2nd Mechanism Support")</f>
        <v xml:space="preserve"> 2nd Mechanism Support</v>
      </c>
      <c r="F613" t="s">
        <v>928</v>
      </c>
    </row>
    <row r="614" spans="1:6" ht="12.75">
      <c r="A614">
        <v>5381495</v>
      </c>
      <c r="B614">
        <v>5381328</v>
      </c>
      <c r="C614" t="s">
        <v>12</v>
      </c>
      <c r="D614" t="s">
        <v>8</v>
      </c>
      <c r="E614" s="2" t="str">
        <f>HYPERLINK("https://ibp.a2mac1.com/costing(costing:projects/details/8191/part/5381495)"," Foot Mechanism")</f>
        <v xml:space="preserve"> Foot Mechanism</v>
      </c>
      <c r="F614" t="s">
        <v>928</v>
      </c>
    </row>
    <row r="615" spans="1:6" ht="12.75">
      <c r="A615">
        <v>5381496</v>
      </c>
      <c r="B615">
        <v>5381328</v>
      </c>
      <c r="C615" t="s">
        <v>12</v>
      </c>
      <c r="D615" t="s">
        <v>8</v>
      </c>
      <c r="E615" s="2" t="str">
        <f>HYPERLINK("https://ibp.a2mac1.com/costing(costing:projects/details/8191/part/5381496)"," Central Mechanism")</f>
        <v xml:space="preserve"> Central Mechanism</v>
      </c>
      <c r="F615" t="s">
        <v>928</v>
      </c>
    </row>
    <row r="616" spans="1:6" ht="12.75">
      <c r="A616">
        <v>5381329</v>
      </c>
      <c r="B616">
        <v>5381300</v>
      </c>
      <c r="C616" t="s">
        <v>8</v>
      </c>
      <c r="D616" t="s">
        <v>8</v>
      </c>
      <c r="E616" s="2" t="str">
        <f>HYPERLINK("https://ibp.a2mac1.com/costing(costing:projects/details/8191/assembly/5381329)"," Blowing Unit System")</f>
        <v xml:space="preserve"> Blowing Unit System</v>
      </c>
      <c r="F616" t="s">
        <v>818</v>
      </c>
    </row>
    <row r="617" spans="1:6" ht="12.75">
      <c r="A617">
        <v>5381498</v>
      </c>
      <c r="B617">
        <v>5381329</v>
      </c>
      <c r="C617" t="s">
        <v>8</v>
      </c>
      <c r="D617" t="s">
        <v>8</v>
      </c>
      <c r="E617" s="2" t="str">
        <f>HYPERLINK("https://ibp.a2mac1.com/costing(costing:projects/details/8191/assembly/5381498)"," Air Unit")</f>
        <v xml:space="preserve"> Air Unit</v>
      </c>
      <c r="F617" t="s">
        <v>979</v>
      </c>
    </row>
    <row r="618" spans="1:6" ht="12.75">
      <c r="A618">
        <v>5381563</v>
      </c>
      <c r="B618">
        <v>5381498</v>
      </c>
      <c r="C618" t="s">
        <v>8</v>
      </c>
      <c r="D618" t="s">
        <v>8</v>
      </c>
      <c r="E618" s="2" t="str">
        <f>HYPERLINK("https://ibp.a2mac1.com/costing(costing:projects/details/8191/assembly/5381563)"," Covers")</f>
        <v xml:space="preserve"> Covers</v>
      </c>
      <c r="F618" t="s">
        <v>980</v>
      </c>
    </row>
    <row r="619" spans="1:6" ht="12.75">
      <c r="A619">
        <v>5381692</v>
      </c>
      <c r="B619">
        <v>5381563</v>
      </c>
      <c r="C619" t="s">
        <v>12</v>
      </c>
      <c r="D619" t="s">
        <v>8</v>
      </c>
      <c r="E619" s="2" t="str">
        <f>HYPERLINK("https://ibp.a2mac1.com/costing(costing:projects/details/8191/part/5381692)"," Upper")</f>
        <v xml:space="preserve"> Upper</v>
      </c>
      <c r="F619" t="s">
        <v>981</v>
      </c>
    </row>
    <row r="620" spans="1:6" ht="12.75">
      <c r="A620">
        <v>5381693</v>
      </c>
      <c r="B620">
        <v>5381563</v>
      </c>
      <c r="C620" t="s">
        <v>12</v>
      </c>
      <c r="D620" t="s">
        <v>8</v>
      </c>
      <c r="E620" s="2" t="str">
        <f>HYPERLINK("https://ibp.a2mac1.com/costing(costing:projects/details/8191/part/5381693)"," Lower")</f>
        <v xml:space="preserve"> Lower</v>
      </c>
      <c r="F620" t="s">
        <v>981</v>
      </c>
    </row>
    <row r="621" spans="1:6" ht="12.75">
      <c r="A621">
        <v>5381694</v>
      </c>
      <c r="B621">
        <v>5381563</v>
      </c>
      <c r="C621" t="s">
        <v>12</v>
      </c>
      <c r="D621" t="s">
        <v>8</v>
      </c>
      <c r="E621" s="2" t="str">
        <f>HYPERLINK("https://ibp.a2mac1.com/costing(costing:projects/details/8191/part/5381694)"," Central")</f>
        <v xml:space="preserve"> Central</v>
      </c>
      <c r="F621" t="s">
        <v>981</v>
      </c>
    </row>
    <row r="622" spans="1:6" ht="12.75">
      <c r="A622">
        <v>5381561</v>
      </c>
      <c r="B622">
        <v>5381498</v>
      </c>
      <c r="C622" t="s">
        <v>12</v>
      </c>
      <c r="D622" t="s">
        <v>8</v>
      </c>
      <c r="E622" s="2" t="str">
        <f>HYPERLINK("https://ibp.a2mac1.com/costing(costing:projects/details/8191/part/5381561)"," Blower Motor")</f>
        <v xml:space="preserve"> Blower Motor</v>
      </c>
      <c r="F622" t="s">
        <v>980</v>
      </c>
    </row>
    <row r="623" spans="1:6" ht="12.75">
      <c r="A623">
        <v>5381562</v>
      </c>
      <c r="B623">
        <v>5381498</v>
      </c>
      <c r="C623" t="s">
        <v>12</v>
      </c>
      <c r="D623" t="s">
        <v>8</v>
      </c>
      <c r="E623" s="2" t="str">
        <f>HYPERLINK("https://ibp.a2mac1.com/costing(costing:projects/details/8191/part/5381562)"," Air Inlet")</f>
        <v xml:space="preserve"> Air Inlet</v>
      </c>
      <c r="F623" t="s">
        <v>980</v>
      </c>
    </row>
    <row r="624" spans="1:6" ht="12.75">
      <c r="A624">
        <v>5381497</v>
      </c>
      <c r="B624">
        <v>5381329</v>
      </c>
      <c r="C624" t="s">
        <v>12</v>
      </c>
      <c r="D624" t="s">
        <v>8</v>
      </c>
      <c r="E624" s="2" t="str">
        <f>HYPERLINK("https://ibp.a2mac1.com/costing(costing:projects/details/8191/part/5381497)"," Air Quality Sensor")</f>
        <v xml:space="preserve"> Air Quality Sensor</v>
      </c>
      <c r="F624" t="s">
        <v>979</v>
      </c>
    </row>
    <row r="625" spans="1:6" ht="12.75">
      <c r="A625">
        <v>5381330</v>
      </c>
      <c r="B625">
        <v>5381300</v>
      </c>
      <c r="C625" t="s">
        <v>8</v>
      </c>
      <c r="D625" t="s">
        <v>8</v>
      </c>
      <c r="E625" s="2" t="str">
        <f>HYPERLINK("https://ibp.a2mac1.com/costing(costing:projects/details/8191/assembly/5381330)"," Bracket")</f>
        <v xml:space="preserve"> Bracket</v>
      </c>
      <c r="F625" t="s">
        <v>818</v>
      </c>
    </row>
    <row r="626" spans="1:6" ht="12.75">
      <c r="A626">
        <v>5381499</v>
      </c>
      <c r="B626">
        <v>5381330</v>
      </c>
      <c r="C626" t="s">
        <v>12</v>
      </c>
      <c r="D626" t="s">
        <v>8</v>
      </c>
      <c r="E626" s="2" t="str">
        <f>HYPERLINK("https://ibp.a2mac1.com/costing(costing:projects/details/8191/part/5381499)"," Left")</f>
        <v xml:space="preserve"> Left</v>
      </c>
      <c r="F626" t="s">
        <v>1000</v>
      </c>
    </row>
    <row r="627" spans="1:6" ht="12.75">
      <c r="A627">
        <v>5381500</v>
      </c>
      <c r="B627">
        <v>5381330</v>
      </c>
      <c r="C627" t="s">
        <v>12</v>
      </c>
      <c r="D627" t="s">
        <v>8</v>
      </c>
      <c r="E627" s="2" t="str">
        <f>HYPERLINK("https://ibp.a2mac1.com/costing(costing:projects/details/8191/part/5381500)"," Central/Single")</f>
        <v xml:space="preserve"> Central/Single</v>
      </c>
      <c r="F627" t="s">
        <v>1000</v>
      </c>
    </row>
    <row r="628" spans="1:6" ht="12.75">
      <c r="A628">
        <v>6970318</v>
      </c>
      <c r="B628">
        <v>5381500</v>
      </c>
      <c r="C628" t="s">
        <v>99</v>
      </c>
      <c r="D628" t="s">
        <v>12</v>
      </c>
      <c r="E628" s="2" t="str">
        <f>HYPERLINK("https://ibp.a2mac1.com/costing(costing:projects/details/8191/process/6970318)","Process")</f>
        <v>Process</v>
      </c>
      <c r="F628" t="s">
        <v>1003</v>
      </c>
    </row>
    <row r="629" spans="1:6" ht="12.75">
      <c r="A629">
        <v>5315425</v>
      </c>
      <c r="B629">
        <v>6970318</v>
      </c>
      <c r="C629" t="s">
        <v>24</v>
      </c>
      <c r="D629" t="s">
        <v>99</v>
      </c>
      <c r="E629" s="2" t="str">
        <f>HYPERLINK("https://ibp.a2mac1.com/costing(costing:projects/details/8191/material/5315425)","PA6-GF30")</f>
        <v>PA6-GF30</v>
      </c>
      <c r="F629" t="s">
        <v>1004</v>
      </c>
    </row>
    <row r="630" spans="1:6" ht="12.75">
      <c r="A630">
        <v>6942841</v>
      </c>
      <c r="B630">
        <v>6970318</v>
      </c>
      <c r="C630" t="s">
        <v>189</v>
      </c>
      <c r="D630" t="s">
        <v>99</v>
      </c>
      <c r="E630" s="2" t="str">
        <f>HYPERLINK("https://ibp.a2mac1.com/costing(costing:projects/details/8191/equipment/6942841)","Machine")</f>
        <v>Machine</v>
      </c>
      <c r="F630" t="s">
        <v>1004</v>
      </c>
    </row>
    <row r="631" spans="1:6" ht="12.75">
      <c r="A631">
        <v>5381501</v>
      </c>
      <c r="B631">
        <v>5381330</v>
      </c>
      <c r="C631" t="s">
        <v>12</v>
      </c>
      <c r="D631" t="s">
        <v>8</v>
      </c>
      <c r="E631" s="2" t="str">
        <f>HYPERLINK("https://ibp.a2mac1.com/costing(costing:projects/details/8191/part/5381501)"," Right")</f>
        <v xml:space="preserve"> Right</v>
      </c>
      <c r="F631" t="s">
        <v>1000</v>
      </c>
    </row>
    <row r="632" spans="1:6" ht="12.75">
      <c r="A632">
        <v>5381331</v>
      </c>
      <c r="B632">
        <v>5381300</v>
      </c>
      <c r="C632" t="s">
        <v>8</v>
      </c>
      <c r="D632" t="s">
        <v>8</v>
      </c>
      <c r="E632" s="2" t="str">
        <f>HYPERLINK("https://ibp.a2mac1.com/costing(costing:projects/details/8191/assembly/5381331)"," Evaporator System")</f>
        <v xml:space="preserve"> Evaporator System</v>
      </c>
      <c r="F632" t="s">
        <v>818</v>
      </c>
    </row>
    <row r="633" spans="1:6" ht="12.75">
      <c r="A633">
        <v>5381502</v>
      </c>
      <c r="B633">
        <v>5381331</v>
      </c>
      <c r="C633" t="s">
        <v>12</v>
      </c>
      <c r="D633" t="s">
        <v>8</v>
      </c>
      <c r="E633" s="2" t="str">
        <f>HYPERLINK("https://ibp.a2mac1.com/costing(costing:projects/details/8191/part/5381502)"," Evaporator")</f>
        <v xml:space="preserve"> Evaporator</v>
      </c>
      <c r="F633" t="s">
        <v>1011</v>
      </c>
    </row>
    <row r="634" spans="1:6" ht="12.75">
      <c r="A634">
        <v>6970319</v>
      </c>
      <c r="B634">
        <v>5381502</v>
      </c>
      <c r="C634" t="s">
        <v>99</v>
      </c>
      <c r="D634" t="s">
        <v>12</v>
      </c>
      <c r="E634" s="2" t="str">
        <f>HYPERLINK("https://ibp.a2mac1.com/costing(costing:projects/details/8191/process/6970319)","Process")</f>
        <v>Process</v>
      </c>
      <c r="F634" t="s">
        <v>1014</v>
      </c>
    </row>
    <row r="635" spans="1:6" ht="12.75">
      <c r="A635">
        <v>5315426</v>
      </c>
      <c r="B635">
        <v>6970319</v>
      </c>
      <c r="C635" t="s">
        <v>24</v>
      </c>
      <c r="D635" t="s">
        <v>99</v>
      </c>
      <c r="E635" s="2" t="str">
        <f>HYPERLINK("https://ibp.a2mac1.com/costing(costing:projects/details/8191/material/5315426)","Aluminum sheet with brazing layer (default)")</f>
        <v>Aluminum sheet with brazing layer (default)</v>
      </c>
      <c r="F635" t="s">
        <v>1017</v>
      </c>
    </row>
    <row r="636" spans="1:6" ht="12.75">
      <c r="A636">
        <v>6942842</v>
      </c>
      <c r="B636">
        <v>6970319</v>
      </c>
      <c r="C636" t="s">
        <v>189</v>
      </c>
      <c r="D636" t="s">
        <v>99</v>
      </c>
      <c r="E636" s="2" t="str">
        <f>HYPERLINK("https://ibp.a2mac1.com/costing(costing:projects/details/8191/equipment/6942842)","Machine")</f>
        <v>Machine</v>
      </c>
      <c r="F636" t="s">
        <v>1017</v>
      </c>
    </row>
    <row r="637" spans="1:6" ht="12.75">
      <c r="A637">
        <v>5381503</v>
      </c>
      <c r="B637">
        <v>5381331</v>
      </c>
      <c r="C637" t="s">
        <v>12</v>
      </c>
      <c r="D637" t="s">
        <v>8</v>
      </c>
      <c r="E637" s="2" t="str">
        <f>HYPERLINK("https://ibp.a2mac1.com/costing(costing:projects/details/8191/part/5381503)"," Lower Housing")</f>
        <v xml:space="preserve"> Lower Housing</v>
      </c>
      <c r="F637" t="s">
        <v>1011</v>
      </c>
    </row>
    <row r="638" spans="1:6" ht="12.75">
      <c r="A638">
        <v>5381504</v>
      </c>
      <c r="B638">
        <v>5381331</v>
      </c>
      <c r="C638" t="s">
        <v>12</v>
      </c>
      <c r="D638" t="s">
        <v>8</v>
      </c>
      <c r="E638" s="2" t="str">
        <f>HYPERLINK("https://ibp.a2mac1.com/costing(costing:projects/details/8191/part/5381504)"," Regulator valve")</f>
        <v xml:space="preserve"> Regulator valve</v>
      </c>
      <c r="F638" t="s">
        <v>1011</v>
      </c>
    </row>
    <row r="639" spans="1:6" ht="12.75">
      <c r="A639">
        <v>5381505</v>
      </c>
      <c r="B639">
        <v>5381331</v>
      </c>
      <c r="C639" t="s">
        <v>12</v>
      </c>
      <c r="D639" t="s">
        <v>8</v>
      </c>
      <c r="E639" s="2" t="str">
        <f>HYPERLINK("https://ibp.a2mac1.com/costing(costing:projects/details/8191/part/5381505)"," Temperature Sensor")</f>
        <v xml:space="preserve"> Temperature Sensor</v>
      </c>
      <c r="F639" t="s">
        <v>1011</v>
      </c>
    </row>
    <row r="640" spans="1:6" ht="12.75">
      <c r="A640">
        <v>5381506</v>
      </c>
      <c r="B640">
        <v>5381331</v>
      </c>
      <c r="C640" t="s">
        <v>12</v>
      </c>
      <c r="D640" t="s">
        <v>8</v>
      </c>
      <c r="E640" s="2" t="str">
        <f>HYPERLINK("https://ibp.a2mac1.com/costing(costing:projects/details/8191/part/5381506)"," Buffer")</f>
        <v xml:space="preserve"> Buffer</v>
      </c>
      <c r="F640" t="s">
        <v>1011</v>
      </c>
    </row>
    <row r="641" spans="1:6" ht="12.75">
      <c r="A641">
        <v>5381332</v>
      </c>
      <c r="B641">
        <v>5381300</v>
      </c>
      <c r="C641" t="s">
        <v>8</v>
      </c>
      <c r="D641" t="s">
        <v>8</v>
      </c>
      <c r="E641" s="2" t="str">
        <f>HYPERLINK("https://ibp.a2mac1.com/costing(costing:projects/details/8191/assembly/5381332)"," PTC Heater System")</f>
        <v xml:space="preserve"> PTC Heater System</v>
      </c>
      <c r="F641" t="s">
        <v>818</v>
      </c>
    </row>
    <row r="642" spans="1:6" ht="12.75">
      <c r="A642">
        <v>5381507</v>
      </c>
      <c r="B642">
        <v>5381332</v>
      </c>
      <c r="C642" t="s">
        <v>12</v>
      </c>
      <c r="D642" t="s">
        <v>8</v>
      </c>
      <c r="E642" s="2" t="str">
        <f>HYPERLINK("https://ibp.a2mac1.com/costing(costing:projects/details/8191/part/5381507)"," PTC Heater")</f>
        <v xml:space="preserve"> PTC Heater</v>
      </c>
      <c r="F642" t="s">
        <v>1028</v>
      </c>
    </row>
    <row r="643" spans="1:6" ht="12.75">
      <c r="A643">
        <v>5381508</v>
      </c>
      <c r="B643">
        <v>5381332</v>
      </c>
      <c r="C643" t="s">
        <v>12</v>
      </c>
      <c r="D643" t="s">
        <v>8</v>
      </c>
      <c r="E643" s="2" t="str">
        <f>HYPERLINK("https://ibp.a2mac1.com/costing(costing:projects/details/8191/part/5381508)"," Cover")</f>
        <v xml:space="preserve"> Cover</v>
      </c>
      <c r="F643" t="s">
        <v>1028</v>
      </c>
    </row>
    <row r="644" spans="1:6" ht="12.75">
      <c r="A644">
        <v>5381333</v>
      </c>
      <c r="B644">
        <v>5381300</v>
      </c>
      <c r="C644" t="s">
        <v>8</v>
      </c>
      <c r="D644" t="s">
        <v>8</v>
      </c>
      <c r="E644" s="2" t="str">
        <f>HYPERLINK("https://ibp.a2mac1.com/costing(costing:projects/details/8191/assembly/5381333)"," Purifier Filter")</f>
        <v xml:space="preserve"> Purifier Filter</v>
      </c>
      <c r="F644" t="s">
        <v>818</v>
      </c>
    </row>
    <row r="645" spans="1:6" ht="12.75">
      <c r="A645">
        <v>5381509</v>
      </c>
      <c r="B645">
        <v>5381333</v>
      </c>
      <c r="C645" t="s">
        <v>12</v>
      </c>
      <c r="D645" t="s">
        <v>8</v>
      </c>
      <c r="E645" s="2" t="str">
        <f>HYPERLINK("https://ibp.a2mac1.com/costing(costing:projects/details/8191/part/5381509)"," Filter")</f>
        <v xml:space="preserve"> Filter</v>
      </c>
      <c r="F645" t="s">
        <v>1035</v>
      </c>
    </row>
    <row r="646" spans="1:6" ht="12.75">
      <c r="A646">
        <v>5381510</v>
      </c>
      <c r="B646">
        <v>5381333</v>
      </c>
      <c r="C646" t="s">
        <v>12</v>
      </c>
      <c r="D646" t="s">
        <v>8</v>
      </c>
      <c r="E646" s="2" t="str">
        <f>HYPERLINK("https://ibp.a2mac1.com/costing(costing:projects/details/8191/part/5381510)"," Cover")</f>
        <v xml:space="preserve"> Cover</v>
      </c>
      <c r="F646" t="s">
        <v>1035</v>
      </c>
    </row>
    <row r="647" spans="1:6" ht="12.75">
      <c r="A647">
        <v>5381334</v>
      </c>
      <c r="B647">
        <v>5381300</v>
      </c>
      <c r="C647" t="s">
        <v>8</v>
      </c>
      <c r="D647" t="s">
        <v>8</v>
      </c>
      <c r="E647" s="2" t="str">
        <f>HYPERLINK("https://ibp.a2mac1.com/costing(costing:projects/details/8191/assembly/5381334)"," Drain Tube - Air Conditioning System")</f>
        <v xml:space="preserve"> Drain Tube - Air Conditioning System</v>
      </c>
      <c r="F647" t="s">
        <v>818</v>
      </c>
    </row>
    <row r="648" spans="1:6" ht="12.75">
      <c r="A648">
        <v>5381511</v>
      </c>
      <c r="B648">
        <v>5381334</v>
      </c>
      <c r="C648" t="s">
        <v>12</v>
      </c>
      <c r="D648" t="s">
        <v>8</v>
      </c>
      <c r="E648" s="2" t="str">
        <f>HYPERLINK("https://ibp.a2mac1.com/costing(costing:projects/details/8191/part/5381511)"," Drain Tube Single/Left")</f>
        <v xml:space="preserve"> Drain Tube Single/Left</v>
      </c>
      <c r="F648" t="s">
        <v>1042</v>
      </c>
    </row>
    <row r="649" spans="1:6" ht="12.75">
      <c r="A649">
        <v>5381335</v>
      </c>
      <c r="B649">
        <v>5381300</v>
      </c>
      <c r="C649" t="s">
        <v>8</v>
      </c>
      <c r="D649" t="s">
        <v>8</v>
      </c>
      <c r="E649" s="2" t="str">
        <f>HYPERLINK("https://ibp.a2mac1.com/costing(costing:projects/details/8191/assembly/5381335)"," Air Intake Duct")</f>
        <v xml:space="preserve"> Air Intake Duct</v>
      </c>
      <c r="F649" t="s">
        <v>818</v>
      </c>
    </row>
    <row r="650" spans="1:6" ht="12.75">
      <c r="A650">
        <v>5381512</v>
      </c>
      <c r="B650">
        <v>5381335</v>
      </c>
      <c r="C650" t="s">
        <v>12</v>
      </c>
      <c r="D650" t="s">
        <v>8</v>
      </c>
      <c r="E650" s="2" t="str">
        <f>HYPERLINK("https://ibp.a2mac1.com/costing(costing:projects/details/8191/part/5381512)"," Intake Flap")</f>
        <v xml:space="preserve"> Intake Flap</v>
      </c>
      <c r="F650" t="s">
        <v>1047</v>
      </c>
    </row>
    <row r="651" spans="1:6" ht="12.75">
      <c r="A651">
        <v>5381513</v>
      </c>
      <c r="B651">
        <v>5381335</v>
      </c>
      <c r="C651" t="s">
        <v>12</v>
      </c>
      <c r="D651" t="s">
        <v>8</v>
      </c>
      <c r="E651" s="2" t="str">
        <f>HYPERLINK("https://ibp.a2mac1.com/costing(costing:projects/details/8191/part/5381513)"," Second Intake Flap")</f>
        <v xml:space="preserve"> Second Intake Flap</v>
      </c>
      <c r="F651" t="s">
        <v>1047</v>
      </c>
    </row>
    <row r="652" spans="1:6" ht="12.75">
      <c r="A652">
        <v>5381514</v>
      </c>
      <c r="B652">
        <v>5381335</v>
      </c>
      <c r="C652" t="s">
        <v>12</v>
      </c>
      <c r="D652" t="s">
        <v>8</v>
      </c>
      <c r="E652" s="2" t="str">
        <f>HYPERLINK("https://ibp.a2mac1.com/costing(costing:projects/details/8191/part/5381514)"," Air Intake Cover")</f>
        <v xml:space="preserve"> Air Intake Cover</v>
      </c>
      <c r="F652" t="s">
        <v>1047</v>
      </c>
    </row>
    <row r="653" spans="1:6" ht="12.75">
      <c r="A653">
        <v>5381515</v>
      </c>
      <c r="B653">
        <v>5381335</v>
      </c>
      <c r="C653" t="s">
        <v>12</v>
      </c>
      <c r="D653" t="s">
        <v>8</v>
      </c>
      <c r="E653" s="2" t="str">
        <f>HYPERLINK("https://ibp.a2mac1.com/costing(costing:projects/details/8191/part/5381515)"," Mechanism")</f>
        <v xml:space="preserve"> Mechanism</v>
      </c>
      <c r="F653" t="s">
        <v>1047</v>
      </c>
    </row>
    <row r="654" spans="1:6" ht="12.75">
      <c r="A654">
        <v>5381516</v>
      </c>
      <c r="B654">
        <v>5381335</v>
      </c>
      <c r="C654" t="s">
        <v>12</v>
      </c>
      <c r="D654" t="s">
        <v>8</v>
      </c>
      <c r="E654" s="2" t="str">
        <f>HYPERLINK("https://ibp.a2mac1.com/costing(costing:projects/details/8191/part/5381516)"," Buffer")</f>
        <v xml:space="preserve"> Buffer</v>
      </c>
      <c r="F654" t="s">
        <v>1047</v>
      </c>
    </row>
    <row r="655" spans="1:6" ht="12.75">
      <c r="A655">
        <v>5381517</v>
      </c>
      <c r="B655">
        <v>5381335</v>
      </c>
      <c r="C655" t="s">
        <v>12</v>
      </c>
      <c r="D655" t="s">
        <v>8</v>
      </c>
      <c r="E655" s="2" t="str">
        <f>HYPERLINK("https://ibp.a2mac1.com/costing(costing:projects/details/8191/part/5381517)"," Protection Grill")</f>
        <v xml:space="preserve"> Protection Grill</v>
      </c>
      <c r="F655" t="s">
        <v>1047</v>
      </c>
    </row>
    <row r="656" spans="1:6" ht="12.75">
      <c r="A656">
        <v>5381518</v>
      </c>
      <c r="B656">
        <v>5381335</v>
      </c>
      <c r="C656" t="s">
        <v>12</v>
      </c>
      <c r="D656" t="s">
        <v>8</v>
      </c>
      <c r="E656" s="2" t="str">
        <f>HYPERLINK("https://ibp.a2mac1.com/costing(costing:projects/details/8191/part/5381518)"," 2nd Buffer")</f>
        <v xml:space="preserve"> 2nd Buffer</v>
      </c>
      <c r="F656" t="s">
        <v>1047</v>
      </c>
    </row>
    <row r="657" spans="1:6" ht="12.75">
      <c r="A657">
        <v>5381336</v>
      </c>
      <c r="B657">
        <v>5381300</v>
      </c>
      <c r="C657" t="s">
        <v>8</v>
      </c>
      <c r="D657" t="s">
        <v>8</v>
      </c>
      <c r="E657" s="2" t="str">
        <f>HYPERLINK("https://ibp.a2mac1.com/costing(costing:projects/details/8191/assembly/5381336)"," Sound Insulation System")</f>
        <v xml:space="preserve"> Sound Insulation System</v>
      </c>
      <c r="F657" t="s">
        <v>818</v>
      </c>
    </row>
    <row r="658" spans="1:6" ht="12.75">
      <c r="A658">
        <v>5381519</v>
      </c>
      <c r="B658">
        <v>5381336</v>
      </c>
      <c r="C658" t="s">
        <v>12</v>
      </c>
      <c r="D658" t="s">
        <v>8</v>
      </c>
      <c r="E658" s="2" t="str">
        <f>HYPERLINK("https://ibp.a2mac1.com/costing(costing:projects/details/8191/part/5381519)"," Sound Insulation")</f>
        <v xml:space="preserve"> Sound Insulation</v>
      </c>
      <c r="F658" t="s">
        <v>1064</v>
      </c>
    </row>
    <row r="659" spans="1:6" ht="12.75">
      <c r="A659">
        <v>5381520</v>
      </c>
      <c r="B659">
        <v>5381336</v>
      </c>
      <c r="C659" t="s">
        <v>12</v>
      </c>
      <c r="D659" t="s">
        <v>8</v>
      </c>
      <c r="E659" s="2" t="str">
        <f>HYPERLINK("https://ibp.a2mac1.com/costing(costing:projects/details/8191/part/5381520)"," 2nd Sound Insulation")</f>
        <v xml:space="preserve"> 2nd Sound Insulation</v>
      </c>
      <c r="F659" t="s">
        <v>1064</v>
      </c>
    </row>
    <row r="660" spans="1:6" ht="12.75">
      <c r="A660">
        <v>5381322</v>
      </c>
      <c r="B660">
        <v>5381300</v>
      </c>
      <c r="C660" t="s">
        <v>12</v>
      </c>
      <c r="D660" t="s">
        <v>8</v>
      </c>
      <c r="E660" s="2" t="str">
        <f>HYPERLINK("https://ibp.a2mac1.com/costing(costing:projects/details/8191/part/5381322)"," Harness")</f>
        <v xml:space="preserve"> Harness</v>
      </c>
      <c r="F660" t="s">
        <v>818</v>
      </c>
    </row>
    <row r="661" spans="1:6" ht="12.75">
      <c r="A661">
        <v>5381323</v>
      </c>
      <c r="B661">
        <v>5381300</v>
      </c>
      <c r="C661" t="s">
        <v>12</v>
      </c>
      <c r="D661" t="s">
        <v>8</v>
      </c>
      <c r="E661" s="2" t="str">
        <f>HYPERLINK("https://ibp.a2mac1.com/costing(costing:projects/details/8191/part/5381323)"," Second Harness")</f>
        <v xml:space="preserve"> Second Harness</v>
      </c>
      <c r="F661" t="s">
        <v>818</v>
      </c>
    </row>
    <row r="662" spans="1:6" ht="12.75">
      <c r="A662">
        <v>5381324</v>
      </c>
      <c r="B662">
        <v>5381300</v>
      </c>
      <c r="C662" t="s">
        <v>12</v>
      </c>
      <c r="D662" t="s">
        <v>8</v>
      </c>
      <c r="E662" s="2" t="str">
        <f>HYPERLINK("https://ibp.a2mac1.com/costing(costing:projects/details/8191/part/5381324)"," Heating resistor wiring")</f>
        <v xml:space="preserve"> Heating resistor wiring</v>
      </c>
      <c r="F662" t="s">
        <v>818</v>
      </c>
    </row>
    <row r="663" spans="1:6" ht="12.75">
      <c r="A663">
        <v>6970272</v>
      </c>
      <c r="B663">
        <v>5381300</v>
      </c>
      <c r="C663" t="s">
        <v>99</v>
      </c>
      <c r="D663" t="s">
        <v>8</v>
      </c>
      <c r="E663" s="2" t="str">
        <f>HYPERLINK("https://ibp.a2mac1.com/costing(costing:projects/details/8191/process/6970272)","Process")</f>
        <v>Process</v>
      </c>
      <c r="F663" t="s">
        <v>818</v>
      </c>
    </row>
    <row r="664" spans="1:6" ht="12.75">
      <c r="A664">
        <v>6942685</v>
      </c>
      <c r="B664">
        <v>6970272</v>
      </c>
      <c r="C664" t="s">
        <v>189</v>
      </c>
      <c r="D664" t="s">
        <v>99</v>
      </c>
      <c r="E664" s="2" t="str">
        <f>HYPERLINK("https://ibp.a2mac1.com/costing(costing:projects/details/8191/equipment/6942685)","Machine")</f>
        <v>Machine</v>
      </c>
      <c r="F664" t="s">
        <v>1077</v>
      </c>
    </row>
    <row r="665" spans="1:6" ht="12.75">
      <c r="A665">
        <v>5381301</v>
      </c>
      <c r="B665">
        <v>5381294</v>
      </c>
      <c r="C665" t="s">
        <v>8</v>
      </c>
      <c r="D665" t="s">
        <v>8</v>
      </c>
      <c r="E665" s="2" t="str">
        <f>HYPERLINK("https://ibp.a2mac1.com/costing(costing:projects/details/8191/assembly/5381301)"," Front Air Duct")</f>
        <v xml:space="preserve"> Front Air Duct</v>
      </c>
      <c r="F665" t="s">
        <v>817</v>
      </c>
    </row>
    <row r="666" spans="1:6" ht="12.75">
      <c r="A666">
        <v>5381337</v>
      </c>
      <c r="B666">
        <v>5381301</v>
      </c>
      <c r="C666" t="s">
        <v>12</v>
      </c>
      <c r="D666" t="s">
        <v>8</v>
      </c>
      <c r="E666" s="2" t="str">
        <f>HYPERLINK("https://ibp.a2mac1.com/costing(costing:projects/details/8191/part/5381337)"," Driver")</f>
        <v xml:space="preserve"> Driver</v>
      </c>
      <c r="F666" t="s">
        <v>1080</v>
      </c>
    </row>
    <row r="667" spans="1:6" ht="12.75">
      <c r="A667">
        <v>5381338</v>
      </c>
      <c r="B667">
        <v>5381301</v>
      </c>
      <c r="C667" t="s">
        <v>12</v>
      </c>
      <c r="D667" t="s">
        <v>8</v>
      </c>
      <c r="E667" s="2" t="str">
        <f>HYPERLINK("https://ibp.a2mac1.com/costing(costing:projects/details/8191/part/5381338)"," Central")</f>
        <v xml:space="preserve"> Central</v>
      </c>
      <c r="F667" t="s">
        <v>1080</v>
      </c>
    </row>
    <row r="668" spans="1:6" ht="12.75">
      <c r="A668">
        <v>6970279</v>
      </c>
      <c r="B668">
        <v>5381338</v>
      </c>
      <c r="C668" t="s">
        <v>99</v>
      </c>
      <c r="D668" t="s">
        <v>12</v>
      </c>
      <c r="E668" s="2" t="str">
        <f>HYPERLINK("https://ibp.a2mac1.com/costing(costing:projects/details/8191/process/6970279)","Process")</f>
        <v>Process</v>
      </c>
      <c r="F668" t="s">
        <v>1083</v>
      </c>
    </row>
    <row r="669" spans="1:6" ht="12.75">
      <c r="A669">
        <v>5315406</v>
      </c>
      <c r="B669">
        <v>6970279</v>
      </c>
      <c r="C669" t="s">
        <v>24</v>
      </c>
      <c r="D669" t="s">
        <v>99</v>
      </c>
      <c r="E669" s="2" t="str">
        <f>HYPERLINK("https://ibp.a2mac1.com/costing(costing:projects/details/8191/material/5315406)","PP-TD20")</f>
        <v>PP-TD20</v>
      </c>
      <c r="F669" t="s">
        <v>1086</v>
      </c>
    </row>
    <row r="670" spans="1:6" ht="12.75">
      <c r="A670">
        <v>6942783</v>
      </c>
      <c r="B670">
        <v>6970279</v>
      </c>
      <c r="C670" t="s">
        <v>189</v>
      </c>
      <c r="D670" t="s">
        <v>99</v>
      </c>
      <c r="E670" s="2" t="str">
        <f>HYPERLINK("https://ibp.a2mac1.com/costing(costing:projects/details/8191/equipment/6942783)","Machine")</f>
        <v>Machine</v>
      </c>
      <c r="F670" t="s">
        <v>1086</v>
      </c>
    </row>
    <row r="671" spans="1:6" ht="12.75">
      <c r="A671">
        <v>5381339</v>
      </c>
      <c r="B671">
        <v>5381301</v>
      </c>
      <c r="C671" t="s">
        <v>12</v>
      </c>
      <c r="D671" t="s">
        <v>8</v>
      </c>
      <c r="E671" s="2" t="str">
        <f>HYPERLINK("https://ibp.a2mac1.com/costing(costing:projects/details/8191/part/5381339)"," Passenger")</f>
        <v xml:space="preserve"> Passenger</v>
      </c>
      <c r="F671" t="s">
        <v>1080</v>
      </c>
    </row>
    <row r="672" spans="1:6" ht="12.75">
      <c r="A672">
        <v>5381340</v>
      </c>
      <c r="B672">
        <v>5381301</v>
      </c>
      <c r="C672" t="s">
        <v>12</v>
      </c>
      <c r="D672" t="s">
        <v>8</v>
      </c>
      <c r="E672" s="2" t="str">
        <f>HYPERLINK("https://ibp.a2mac1.com/costing(costing:projects/details/8191/part/5381340)"," Central Coupling")</f>
        <v xml:space="preserve"> Central Coupling</v>
      </c>
      <c r="F672" t="s">
        <v>1080</v>
      </c>
    </row>
    <row r="673" spans="1:6" ht="12.75">
      <c r="A673">
        <v>5381341</v>
      </c>
      <c r="B673">
        <v>5381301</v>
      </c>
      <c r="C673" t="s">
        <v>12</v>
      </c>
      <c r="D673" t="s">
        <v>8</v>
      </c>
      <c r="E673" s="2" t="str">
        <f>HYPERLINK("https://ibp.a2mac1.com/costing(costing:projects/details/8191/part/5381341)"," Temperature Sensor")</f>
        <v xml:space="preserve"> Temperature Sensor</v>
      </c>
      <c r="F673" t="s">
        <v>1080</v>
      </c>
    </row>
    <row r="674" spans="1:6" ht="12.75">
      <c r="A674">
        <v>5381342</v>
      </c>
      <c r="B674">
        <v>5381301</v>
      </c>
      <c r="C674" t="s">
        <v>12</v>
      </c>
      <c r="D674" t="s">
        <v>8</v>
      </c>
      <c r="E674" s="2" t="str">
        <f>HYPERLINK("https://ibp.a2mac1.com/costing(costing:projects/details/8191/part/5381342)"," Heater Sealing")</f>
        <v xml:space="preserve"> Heater Sealing</v>
      </c>
      <c r="F674" t="s">
        <v>1080</v>
      </c>
    </row>
    <row r="675" spans="1:6" ht="12.75">
      <c r="A675">
        <v>5381302</v>
      </c>
      <c r="B675">
        <v>5381294</v>
      </c>
      <c r="C675" t="s">
        <v>8</v>
      </c>
      <c r="D675" t="s">
        <v>8</v>
      </c>
      <c r="E675" s="2" t="str">
        <f>HYPERLINK("https://ibp.a2mac1.com/costing(costing:projects/details/8191/assembly/5381302)"," Front Lower Air Pipe")</f>
        <v xml:space="preserve"> Front Lower Air Pipe</v>
      </c>
      <c r="F675" t="s">
        <v>817</v>
      </c>
    </row>
    <row r="676" spans="1:6" ht="12.75">
      <c r="A676">
        <v>5381345</v>
      </c>
      <c r="B676">
        <v>5381302</v>
      </c>
      <c r="C676" t="s">
        <v>8</v>
      </c>
      <c r="D676" t="s">
        <v>8</v>
      </c>
      <c r="E676" s="2" t="str">
        <f>HYPERLINK("https://ibp.a2mac1.com/costing(costing:projects/details/8191/assembly/5381345)"," Temperature Sensor")</f>
        <v xml:space="preserve"> Temperature Sensor</v>
      </c>
      <c r="F676" t="s">
        <v>1099</v>
      </c>
    </row>
    <row r="677" spans="1:6" ht="12.75">
      <c r="A677">
        <v>5381521</v>
      </c>
      <c r="B677">
        <v>5381345</v>
      </c>
      <c r="C677" t="s">
        <v>12</v>
      </c>
      <c r="D677" t="s">
        <v>8</v>
      </c>
      <c r="E677" s="2" t="str">
        <f>HYPERLINK("https://ibp.a2mac1.com/costing(costing:projects/details/8191/part/5381521)"," Driver and Passenger if the Same")</f>
        <v xml:space="preserve"> Driver and Passenger if the Same</v>
      </c>
      <c r="F677" t="s">
        <v>1100</v>
      </c>
    </row>
    <row r="678" spans="1:6" ht="12.75">
      <c r="A678">
        <v>5381343</v>
      </c>
      <c r="B678">
        <v>5381302</v>
      </c>
      <c r="C678" t="s">
        <v>12</v>
      </c>
      <c r="D678" t="s">
        <v>8</v>
      </c>
      <c r="E678" s="2" t="str">
        <f>HYPERLINK("https://ibp.a2mac1.com/costing(costing:projects/details/8191/part/5381343)"," Left Pipe")</f>
        <v xml:space="preserve"> Left Pipe</v>
      </c>
      <c r="F678" t="s">
        <v>1099</v>
      </c>
    </row>
    <row r="679" spans="1:6" ht="12.75">
      <c r="A679">
        <v>5381344</v>
      </c>
      <c r="B679">
        <v>5381302</v>
      </c>
      <c r="C679" t="s">
        <v>12</v>
      </c>
      <c r="D679" t="s">
        <v>8</v>
      </c>
      <c r="E679" s="2" t="str">
        <f>HYPERLINK("https://ibp.a2mac1.com/costing(costing:projects/details/8191/part/5381344)"," Right Pipe")</f>
        <v xml:space="preserve"> Right Pipe</v>
      </c>
      <c r="F679" t="s">
        <v>1099</v>
      </c>
    </row>
    <row r="680" spans="1:6" ht="12.75">
      <c r="A680">
        <v>5381303</v>
      </c>
      <c r="B680">
        <v>5381294</v>
      </c>
      <c r="C680" t="s">
        <v>8</v>
      </c>
      <c r="D680" t="s">
        <v>8</v>
      </c>
      <c r="E680" s="2" t="str">
        <f>HYPERLINK("https://ibp.a2mac1.com/costing(costing:projects/details/8191/assembly/5381303)"," Lateral Defroster System")</f>
        <v xml:space="preserve"> Lateral Defroster System</v>
      </c>
      <c r="F680" t="s">
        <v>817</v>
      </c>
    </row>
    <row r="681" spans="1:6" ht="12.75">
      <c r="A681">
        <v>5381346</v>
      </c>
      <c r="B681">
        <v>5381303</v>
      </c>
      <c r="C681" t="s">
        <v>8</v>
      </c>
      <c r="D681" t="s">
        <v>8</v>
      </c>
      <c r="E681" s="2" t="str">
        <f>HYPERLINK("https://ibp.a2mac1.com/costing(costing:projects/details/8191/assembly/5381346)"," Side Vents")</f>
        <v xml:space="preserve"> Side Vents</v>
      </c>
      <c r="F681" t="s">
        <v>1111</v>
      </c>
    </row>
    <row r="682" spans="1:6" ht="12.75">
      <c r="A682">
        <v>5381522</v>
      </c>
      <c r="B682">
        <v>5381346</v>
      </c>
      <c r="C682" t="s">
        <v>12</v>
      </c>
      <c r="D682" t="s">
        <v>8</v>
      </c>
      <c r="E682" s="2" t="str">
        <f>HYPERLINK("https://ibp.a2mac1.com/costing(costing:projects/details/8191/part/5381522)"," Left")</f>
        <v xml:space="preserve"> Left</v>
      </c>
      <c r="F682" t="s">
        <v>1112</v>
      </c>
    </row>
    <row r="683" spans="1:6" ht="12.75">
      <c r="A683">
        <v>5381523</v>
      </c>
      <c r="B683">
        <v>5381346</v>
      </c>
      <c r="C683" t="s">
        <v>12</v>
      </c>
      <c r="D683" t="s">
        <v>8</v>
      </c>
      <c r="E683" s="2" t="str">
        <f>HYPERLINK("https://ibp.a2mac1.com/costing(costing:projects/details/8191/part/5381523)"," Right")</f>
        <v xml:space="preserve"> Right</v>
      </c>
      <c r="F683" t="s">
        <v>1112</v>
      </c>
    </row>
    <row r="684" spans="1:6" ht="12.75">
      <c r="A684">
        <v>5381304</v>
      </c>
      <c r="B684">
        <v>5381294</v>
      </c>
      <c r="C684" t="s">
        <v>8</v>
      </c>
      <c r="D684" t="s">
        <v>8</v>
      </c>
      <c r="E684" s="2" t="str">
        <f>HYPERLINK("https://ibp.a2mac1.com/costing(costing:projects/details/8191/assembly/5381304)"," Windshield Defroster Vent Ducts")</f>
        <v xml:space="preserve"> Windshield Defroster Vent Ducts</v>
      </c>
      <c r="F684" t="s">
        <v>817</v>
      </c>
    </row>
    <row r="685" spans="1:6" ht="12.75">
      <c r="A685">
        <v>5381347</v>
      </c>
      <c r="B685">
        <v>5381304</v>
      </c>
      <c r="C685" t="s">
        <v>12</v>
      </c>
      <c r="D685" t="s">
        <v>8</v>
      </c>
      <c r="E685" s="2" t="str">
        <f>HYPERLINK("https://ibp.a2mac1.com/costing(costing:projects/details/8191/part/5381347)"," Left")</f>
        <v xml:space="preserve"> Left</v>
      </c>
      <c r="F685" t="s">
        <v>1121</v>
      </c>
    </row>
    <row r="686" spans="1:6" ht="12.75">
      <c r="A686">
        <v>5381348</v>
      </c>
      <c r="B686">
        <v>5381304</v>
      </c>
      <c r="C686" t="s">
        <v>12</v>
      </c>
      <c r="D686" t="s">
        <v>8</v>
      </c>
      <c r="E686" s="2" t="str">
        <f>HYPERLINK("https://ibp.a2mac1.com/costing(costing:projects/details/8191/part/5381348)"," Central")</f>
        <v xml:space="preserve"> Central</v>
      </c>
      <c r="F686" t="s">
        <v>1121</v>
      </c>
    </row>
    <row r="687" spans="1:6" ht="12.75">
      <c r="A687">
        <v>5381349</v>
      </c>
      <c r="B687">
        <v>5381304</v>
      </c>
      <c r="C687" t="s">
        <v>12</v>
      </c>
      <c r="D687" t="s">
        <v>8</v>
      </c>
      <c r="E687" s="2" t="str">
        <f>HYPERLINK("https://ibp.a2mac1.com/costing(costing:projects/details/8191/part/5381349)"," Left/Single Coupling Part")</f>
        <v xml:space="preserve"> Left/Single Coupling Part</v>
      </c>
      <c r="F687" t="s">
        <v>1121</v>
      </c>
    </row>
    <row r="688" spans="1:6" ht="12.75">
      <c r="A688">
        <v>5381350</v>
      </c>
      <c r="B688">
        <v>5381304</v>
      </c>
      <c r="C688" t="s">
        <v>12</v>
      </c>
      <c r="D688" t="s">
        <v>8</v>
      </c>
      <c r="E688" s="2" t="str">
        <f>HYPERLINK("https://ibp.a2mac1.com/costing(costing:projects/details/8191/part/5381350)"," Heater Sealing")</f>
        <v xml:space="preserve"> Heater Sealing</v>
      </c>
      <c r="F688" t="s">
        <v>1121</v>
      </c>
    </row>
    <row r="689" spans="1:6" ht="12.75">
      <c r="A689">
        <v>5381305</v>
      </c>
      <c r="B689">
        <v>5381294</v>
      </c>
      <c r="C689" t="s">
        <v>8</v>
      </c>
      <c r="D689" t="s">
        <v>8</v>
      </c>
      <c r="E689" s="2" t="str">
        <f>HYPERLINK("https://ibp.a2mac1.com/costing(costing:projects/details/8191/assembly/5381305)"," Windshield Defroster Grill")</f>
        <v xml:space="preserve"> Windshield Defroster Grill</v>
      </c>
      <c r="F689" t="s">
        <v>817</v>
      </c>
    </row>
    <row r="690" spans="1:6" ht="12.75">
      <c r="A690">
        <v>5381351</v>
      </c>
      <c r="B690">
        <v>5381305</v>
      </c>
      <c r="C690" t="s">
        <v>12</v>
      </c>
      <c r="D690" t="s">
        <v>8</v>
      </c>
      <c r="E690" s="2" t="str">
        <f>HYPERLINK("https://ibp.a2mac1.com/costing(costing:projects/details/8191/part/5381351)"," Central")</f>
        <v xml:space="preserve"> Central</v>
      </c>
      <c r="F690" t="s">
        <v>1132</v>
      </c>
    </row>
    <row r="691" spans="1:6" ht="12.75">
      <c r="A691">
        <v>5381306</v>
      </c>
      <c r="B691">
        <v>5381294</v>
      </c>
      <c r="C691" t="s">
        <v>8</v>
      </c>
      <c r="D691" t="s">
        <v>8</v>
      </c>
      <c r="E691" s="2" t="str">
        <f>HYPERLINK("https://ibp.a2mac1.com/costing(costing:projects/details/8191/assembly/5381306)"," Auxiliary Heating System")</f>
        <v xml:space="preserve"> Auxiliary Heating System</v>
      </c>
      <c r="F691" t="s">
        <v>817</v>
      </c>
    </row>
    <row r="692" spans="1:6" ht="12.75">
      <c r="A692">
        <v>5381352</v>
      </c>
      <c r="B692">
        <v>5381306</v>
      </c>
      <c r="C692" t="s">
        <v>12</v>
      </c>
      <c r="D692" t="s">
        <v>8</v>
      </c>
      <c r="E692" s="2" t="str">
        <f>HYPERLINK("https://ibp.a2mac1.com/costing(costing:projects/details/8191/part/5381352)"," Steady Heating or Electric Vehicle")</f>
        <v xml:space="preserve"> Steady Heating or Electric Vehicle</v>
      </c>
      <c r="F692" t="s">
        <v>1137</v>
      </c>
    </row>
    <row r="693" spans="1:6" ht="12.75">
      <c r="A693">
        <v>5381353</v>
      </c>
      <c r="B693">
        <v>5381306</v>
      </c>
      <c r="C693" t="s">
        <v>12</v>
      </c>
      <c r="D693" t="s">
        <v>8</v>
      </c>
      <c r="E693" s="2" t="str">
        <f>HYPERLINK("https://ibp.a2mac1.com/costing(costing:projects/details/8191/part/5381353)"," Steady Heating Support")</f>
        <v xml:space="preserve"> Steady Heating Support</v>
      </c>
      <c r="F693" t="s">
        <v>1137</v>
      </c>
    </row>
    <row r="694" spans="1:6" ht="12.75">
      <c r="A694">
        <v>5381354</v>
      </c>
      <c r="B694">
        <v>5381306</v>
      </c>
      <c r="C694" t="s">
        <v>12</v>
      </c>
      <c r="D694" t="s">
        <v>8</v>
      </c>
      <c r="E694" s="2" t="str">
        <f>HYPERLINK("https://ibp.a2mac1.com/costing(costing:projects/details/8191/part/5381354)"," Interface")</f>
        <v xml:space="preserve"> Interface</v>
      </c>
      <c r="F694" t="s">
        <v>1137</v>
      </c>
    </row>
    <row r="695" spans="1:6" ht="12.75">
      <c r="A695">
        <v>5381307</v>
      </c>
      <c r="B695">
        <v>5381294</v>
      </c>
      <c r="C695" t="s">
        <v>8</v>
      </c>
      <c r="D695" t="s">
        <v>8</v>
      </c>
      <c r="E695" s="2" t="str">
        <f>HYPERLINK("https://ibp.a2mac1.com/costing(costing:projects/details/8191/assembly/5381307)"," 2nd Row Ventilation")</f>
        <v xml:space="preserve"> 2nd Row Ventilation</v>
      </c>
      <c r="F695" t="s">
        <v>817</v>
      </c>
    </row>
    <row r="696" spans="1:6" ht="12.75">
      <c r="A696">
        <v>5381355</v>
      </c>
      <c r="B696">
        <v>5381307</v>
      </c>
      <c r="C696" t="s">
        <v>8</v>
      </c>
      <c r="D696" t="s">
        <v>8</v>
      </c>
      <c r="E696" s="2" t="str">
        <f>HYPERLINK("https://ibp.a2mac1.com/costing(costing:projects/details/8191/assembly/5381355)"," 2nd Row: Feet")</f>
        <v xml:space="preserve"> 2nd Row: Feet</v>
      </c>
      <c r="F696" t="s">
        <v>1146</v>
      </c>
    </row>
    <row r="697" spans="1:6" ht="12.75">
      <c r="A697">
        <v>5381524</v>
      </c>
      <c r="B697">
        <v>5381355</v>
      </c>
      <c r="C697" t="s">
        <v>12</v>
      </c>
      <c r="D697" t="s">
        <v>8</v>
      </c>
      <c r="E697" s="2" t="str">
        <f>HYPERLINK("https://ibp.a2mac1.com/costing(costing:projects/details/8191/part/5381524)"," Air Duct Under Left Seat")</f>
        <v xml:space="preserve"> Air Duct Under Left Seat</v>
      </c>
      <c r="F697" t="s">
        <v>1147</v>
      </c>
    </row>
    <row r="698" spans="1:6" ht="12.75">
      <c r="A698">
        <v>6970320</v>
      </c>
      <c r="B698">
        <v>5381524</v>
      </c>
      <c r="C698" t="s">
        <v>99</v>
      </c>
      <c r="D698" t="s">
        <v>12</v>
      </c>
      <c r="E698" s="2" t="str">
        <f>HYPERLINK("https://ibp.a2mac1.com/costing(costing:projects/details/8191/process/6970320)","Process")</f>
        <v>Process</v>
      </c>
      <c r="F698" t="s">
        <v>1148</v>
      </c>
    </row>
    <row r="699" spans="1:6" ht="12.75">
      <c r="A699">
        <v>5315427</v>
      </c>
      <c r="B699">
        <v>6970320</v>
      </c>
      <c r="C699" t="s">
        <v>24</v>
      </c>
      <c r="D699" t="s">
        <v>99</v>
      </c>
      <c r="E699" s="2" t="str">
        <f>HYPERLINK("https://ibp.a2mac1.com/costing(costing:projects/details/8191/material/5315427)","HDPE")</f>
        <v>HDPE</v>
      </c>
      <c r="F699" t="s">
        <v>1151</v>
      </c>
    </row>
    <row r="700" spans="1:6" ht="12.75">
      <c r="A700">
        <v>6942843</v>
      </c>
      <c r="B700">
        <v>6970320</v>
      </c>
      <c r="C700" t="s">
        <v>189</v>
      </c>
      <c r="D700" t="s">
        <v>99</v>
      </c>
      <c r="E700" s="2" t="str">
        <f>HYPERLINK("https://ibp.a2mac1.com/costing(costing:projects/details/8191/equipment/6942843)","Machine")</f>
        <v>Machine</v>
      </c>
      <c r="F700" t="s">
        <v>1151</v>
      </c>
    </row>
    <row r="701" spans="1:6" ht="12.75">
      <c r="A701">
        <v>5381525</v>
      </c>
      <c r="B701">
        <v>5381355</v>
      </c>
      <c r="C701" t="s">
        <v>12</v>
      </c>
      <c r="D701" t="s">
        <v>8</v>
      </c>
      <c r="E701" s="2" t="str">
        <f>HYPERLINK("https://ibp.a2mac1.com/costing(costing:projects/details/8191/part/5381525)"," Air Duct Under Right Seat")</f>
        <v xml:space="preserve"> Air Duct Under Right Seat</v>
      </c>
      <c r="F701" t="s">
        <v>1147</v>
      </c>
    </row>
    <row r="702" spans="1:6" ht="12.75">
      <c r="A702">
        <v>6970321</v>
      </c>
      <c r="B702">
        <v>5381525</v>
      </c>
      <c r="C702" t="s">
        <v>99</v>
      </c>
      <c r="D702" t="s">
        <v>12</v>
      </c>
      <c r="E702" s="2" t="str">
        <f>HYPERLINK("https://ibp.a2mac1.com/costing(costing:projects/details/8191/process/6970321)","Process")</f>
        <v>Process</v>
      </c>
      <c r="F702" t="s">
        <v>1154</v>
      </c>
    </row>
    <row r="703" spans="1:6" ht="12.75">
      <c r="A703">
        <v>5315428</v>
      </c>
      <c r="B703">
        <v>6970321</v>
      </c>
      <c r="C703" t="s">
        <v>24</v>
      </c>
      <c r="D703" t="s">
        <v>99</v>
      </c>
      <c r="E703" s="2" t="str">
        <f>HYPERLINK("https://ibp.a2mac1.com/costing(costing:projects/details/8191/material/5315428)","HDPE")</f>
        <v>HDPE</v>
      </c>
      <c r="F703" t="s">
        <v>1157</v>
      </c>
    </row>
    <row r="704" spans="1:6" ht="12.75">
      <c r="A704">
        <v>6942844</v>
      </c>
      <c r="B704">
        <v>6970321</v>
      </c>
      <c r="C704" t="s">
        <v>189</v>
      </c>
      <c r="D704" t="s">
        <v>99</v>
      </c>
      <c r="E704" s="2" t="str">
        <f>HYPERLINK("https://ibp.a2mac1.com/costing(costing:projects/details/8191/equipment/6942844)","Machine")</f>
        <v>Machine</v>
      </c>
      <c r="F704" t="s">
        <v>1157</v>
      </c>
    </row>
    <row r="705" spans="1:6" ht="12.75">
      <c r="A705">
        <v>5381356</v>
      </c>
      <c r="B705">
        <v>5381307</v>
      </c>
      <c r="C705" t="s">
        <v>8</v>
      </c>
      <c r="D705" t="s">
        <v>8</v>
      </c>
      <c r="E705" s="2" t="str">
        <f>HYPERLINK("https://ibp.a2mac1.com/costing(costing:projects/details/8191/assembly/5381356)"," Central")</f>
        <v xml:space="preserve"> Central</v>
      </c>
      <c r="F705" t="s">
        <v>1146</v>
      </c>
    </row>
    <row r="706" spans="1:6" ht="12.75">
      <c r="A706">
        <v>5381526</v>
      </c>
      <c r="B706">
        <v>5381356</v>
      </c>
      <c r="C706" t="s">
        <v>12</v>
      </c>
      <c r="D706" t="s">
        <v>8</v>
      </c>
      <c r="E706" s="2" t="str">
        <f>HYPERLINK("https://ibp.a2mac1.com/costing(costing:projects/details/8191/part/5381526)"," Coupling Part HVAC Side")</f>
        <v xml:space="preserve"> Coupling Part HVAC Side</v>
      </c>
      <c r="F706" t="s">
        <v>1162</v>
      </c>
    </row>
    <row r="707" spans="1:6" ht="12.75">
      <c r="A707">
        <v>5381527</v>
      </c>
      <c r="B707">
        <v>5381356</v>
      </c>
      <c r="C707" t="s">
        <v>12</v>
      </c>
      <c r="D707" t="s">
        <v>8</v>
      </c>
      <c r="E707" s="2" t="str">
        <f>HYPERLINK("https://ibp.a2mac1.com/costing(costing:projects/details/8191/part/5381527)"," Pipe")</f>
        <v xml:space="preserve"> Pipe</v>
      </c>
      <c r="F707" t="s">
        <v>1162</v>
      </c>
    </row>
    <row r="708" spans="1:6" ht="12.75">
      <c r="A708">
        <v>5381528</v>
      </c>
      <c r="B708">
        <v>5381356</v>
      </c>
      <c r="C708" t="s">
        <v>12</v>
      </c>
      <c r="D708" t="s">
        <v>8</v>
      </c>
      <c r="E708" s="2" t="str">
        <f>HYPERLINK("https://ibp.a2mac1.com/costing(costing:projects/details/8191/part/5381528)"," Pipe Rear Part")</f>
        <v xml:space="preserve"> Pipe Rear Part</v>
      </c>
      <c r="F708" t="s">
        <v>1162</v>
      </c>
    </row>
    <row r="709" spans="1:6" ht="12.75">
      <c r="A709">
        <v>5381299</v>
      </c>
      <c r="B709">
        <v>8191</v>
      </c>
      <c r="C709" t="s">
        <v>8</v>
      </c>
      <c r="D709" t="s">
        <v>6</v>
      </c>
      <c r="E709" s="2" t="str">
        <f>HYPERLINK("https://ibp.a2mac1.com/costing(costing:projects/details/8191/assembly/5381299)","Accessories")</f>
        <v>Accessories</v>
      </c>
      <c r="F709" t="s">
        <v>9</v>
      </c>
    </row>
    <row r="710" spans="1:6" ht="12.75">
      <c r="A710">
        <v>5381308</v>
      </c>
      <c r="B710">
        <v>5381299</v>
      </c>
      <c r="C710" t="s">
        <v>8</v>
      </c>
      <c r="D710" t="s">
        <v>8</v>
      </c>
      <c r="E710" s="2" t="str">
        <f>HYPERLINK("https://ibp.a2mac1.com/costing(costing:projects/details/8191/assembly/5381308)","Sensors")</f>
        <v>Sensors</v>
      </c>
      <c r="F710" t="s">
        <v>1175</v>
      </c>
    </row>
    <row r="711" spans="1:6" ht="12.75">
      <c r="A711">
        <v>5381391</v>
      </c>
      <c r="B711">
        <v>5381308</v>
      </c>
      <c r="C711" t="s">
        <v>8</v>
      </c>
      <c r="D711" t="s">
        <v>8</v>
      </c>
      <c r="E711" s="2" t="str">
        <f>HYPERLINK("https://ibp.a2mac1.com/costing(costing:projects/details/8191/assembly/5381391)","Interior Temperature Sensor")</f>
        <v>Interior Temperature Sensor</v>
      </c>
      <c r="F711" t="s">
        <v>1176</v>
      </c>
    </row>
    <row r="712" spans="1:6" ht="12.75">
      <c r="A712">
        <v>5381531</v>
      </c>
      <c r="B712">
        <v>5381391</v>
      </c>
      <c r="C712" t="s">
        <v>12</v>
      </c>
      <c r="D712" t="s">
        <v>8</v>
      </c>
      <c r="E712" s="2" t="str">
        <f>HYPERLINK("https://ibp.a2mac1.com/costing(costing:projects/details/8191/part/5381531)","Interior Temperature Sensor")</f>
        <v>Interior Temperature Sensor</v>
      </c>
      <c r="F712" t="s">
        <v>1177</v>
      </c>
    </row>
    <row r="713" spans="1:6" ht="12.75">
      <c r="A713">
        <v>6970328</v>
      </c>
      <c r="B713">
        <v>5381531</v>
      </c>
      <c r="C713" t="s">
        <v>99</v>
      </c>
      <c r="D713" t="s">
        <v>12</v>
      </c>
      <c r="E713" s="2" t="str">
        <f>HYPERLINK("https://ibp.a2mac1.com/costing(costing:projects/details/8191/process/6970328)","Process")</f>
        <v>Process</v>
      </c>
      <c r="F713" t="s">
        <v>1178</v>
      </c>
    </row>
    <row r="714" spans="1:6" ht="12.75">
      <c r="A714">
        <v>6942845</v>
      </c>
      <c r="B714">
        <v>6970328</v>
      </c>
      <c r="C714" t="s">
        <v>189</v>
      </c>
      <c r="D714" t="s">
        <v>99</v>
      </c>
      <c r="E714" s="2" t="str">
        <f>HYPERLINK("https://ibp.a2mac1.com/costing(costing:projects/details/8191/equipment/6942845)","Dummy Machine (PCBA+Final Assembly Line)")</f>
        <v>Dummy Machine (PCBA+Final Assembly Line)</v>
      </c>
      <c r="F714" t="s">
        <v>1179</v>
      </c>
    </row>
    <row r="715" spans="1:6" ht="12.75">
      <c r="A715">
        <v>5315429</v>
      </c>
      <c r="B715">
        <v>5381531</v>
      </c>
      <c r="C715" t="s">
        <v>574</v>
      </c>
      <c r="D715" t="s">
        <v>12</v>
      </c>
      <c r="E715" s="2" t="str">
        <f>HYPERLINK("https://ibp.a2mac1.com/costing(costing:projects/details/8191/component/5315429)","Electronics")</f>
        <v>Electronics</v>
      </c>
      <c r="F715" t="s">
        <v>1178</v>
      </c>
    </row>
    <row r="716" spans="1:6" ht="12.75">
      <c r="A716">
        <v>5315430</v>
      </c>
      <c r="B716">
        <v>5381531</v>
      </c>
      <c r="C716" t="s">
        <v>574</v>
      </c>
      <c r="D716" t="s">
        <v>12</v>
      </c>
      <c r="E716" s="2" t="str">
        <f>HYPERLINK("https://ibp.a2mac1.com/costing(costing:projects/details/8191/component/5315430)","Mechanics")</f>
        <v>Mechanics</v>
      </c>
      <c r="F716" t="s">
        <v>1178</v>
      </c>
    </row>
    <row r="717" spans="1:6" ht="12.75">
      <c r="A717">
        <v>5381532</v>
      </c>
      <c r="B717">
        <v>5381391</v>
      </c>
      <c r="C717" t="s">
        <v>12</v>
      </c>
      <c r="D717" t="s">
        <v>8</v>
      </c>
      <c r="E717" s="2" t="str">
        <f>HYPERLINK("https://ibp.a2mac1.com/costing(costing:projects/details/8191/part/5381532)","Fasteners Interface")</f>
        <v>Fasteners Interface</v>
      </c>
      <c r="F717" t="s">
        <v>1177</v>
      </c>
    </row>
    <row r="718" spans="1:6" ht="12.75">
      <c r="A718">
        <v>5315374</v>
      </c>
      <c r="B718">
        <v>5381391</v>
      </c>
      <c r="C718" t="s">
        <v>574</v>
      </c>
      <c r="D718" t="s">
        <v>8</v>
      </c>
      <c r="E718" s="2" t="str">
        <f>HYPERLINK("https://ibp.a2mac1.com/costing(costing:projects/details/8191/component/5315374)","Panel holder &gt; Clips in rectangular hole")</f>
        <v>Panel holder &gt; Clips in rectangular hole</v>
      </c>
      <c r="F718" t="s">
        <v>1177</v>
      </c>
    </row>
    <row r="719" spans="1:6" ht="12.75">
      <c r="A719">
        <v>5381388</v>
      </c>
      <c r="B719">
        <v>5381308</v>
      </c>
      <c r="C719" t="s">
        <v>12</v>
      </c>
      <c r="D719" t="s">
        <v>8</v>
      </c>
      <c r="E719" s="2" t="str">
        <f>HYPERLINK("https://ibp.a2mac1.com/costing(costing:projects/details/8191/part/5381388)","Exterior Temperature Sensor")</f>
        <v>Exterior Temperature Sensor</v>
      </c>
      <c r="F719" t="s">
        <v>1176</v>
      </c>
    </row>
    <row r="720" spans="1:6" ht="12.75">
      <c r="A720">
        <v>6970280</v>
      </c>
      <c r="B720">
        <v>5381388</v>
      </c>
      <c r="C720" t="s">
        <v>99</v>
      </c>
      <c r="D720" t="s">
        <v>12</v>
      </c>
      <c r="E720" s="2" t="str">
        <f>HYPERLINK("https://ibp.a2mac1.com/costing(costing:projects/details/8191/process/6970280)","Process")</f>
        <v>Process</v>
      </c>
      <c r="F720" t="s">
        <v>1185</v>
      </c>
    </row>
    <row r="721" spans="1:6" ht="12.75">
      <c r="A721">
        <v>6942814</v>
      </c>
      <c r="B721">
        <v>6970280</v>
      </c>
      <c r="C721" t="s">
        <v>189</v>
      </c>
      <c r="D721" t="s">
        <v>99</v>
      </c>
      <c r="E721" s="2" t="str">
        <f>HYPERLINK("https://ibp.a2mac1.com/costing(costing:projects/details/8191/equipment/6942814)","Dummy Machine (PCBA+Final Assembly Line)")</f>
        <v>Dummy Machine (PCBA+Final Assembly Line)</v>
      </c>
      <c r="F721" t="s">
        <v>1186</v>
      </c>
    </row>
    <row r="722" spans="1:6" ht="12.75">
      <c r="A722">
        <v>5315370</v>
      </c>
      <c r="B722">
        <v>5381388</v>
      </c>
      <c r="C722" t="s">
        <v>574</v>
      </c>
      <c r="D722" t="s">
        <v>12</v>
      </c>
      <c r="E722" s="2" t="str">
        <f>HYPERLINK("https://ibp.a2mac1.com/costing(costing:projects/details/8191/component/5315370)","Mechanics")</f>
        <v>Mechanics</v>
      </c>
      <c r="F722" t="s">
        <v>1185</v>
      </c>
    </row>
    <row r="723" spans="1:6" ht="12.75">
      <c r="A723">
        <v>5315371</v>
      </c>
      <c r="B723">
        <v>5381388</v>
      </c>
      <c r="C723" t="s">
        <v>574</v>
      </c>
      <c r="D723" t="s">
        <v>12</v>
      </c>
      <c r="E723" s="2" t="str">
        <f>HYPERLINK("https://ibp.a2mac1.com/costing(costing:projects/details/8191/component/5315371)","Electronics")</f>
        <v>Electronics</v>
      </c>
      <c r="F723" t="s">
        <v>1185</v>
      </c>
    </row>
    <row r="724" spans="1:6" ht="12.75">
      <c r="A724">
        <v>5381389</v>
      </c>
      <c r="B724">
        <v>5381308</v>
      </c>
      <c r="C724" t="s">
        <v>12</v>
      </c>
      <c r="D724" t="s">
        <v>8</v>
      </c>
      <c r="E724" s="2" t="str">
        <f>HYPERLINK("https://ibp.a2mac1.com/costing(costing:projects/details/8191/part/5381389)","Exterior Temperature Sensor Support")</f>
        <v>Exterior Temperature Sensor Support</v>
      </c>
      <c r="F724" t="s">
        <v>1176</v>
      </c>
    </row>
    <row r="725" spans="1:6" ht="12.75">
      <c r="A725">
        <v>5381390</v>
      </c>
      <c r="B725">
        <v>5381308</v>
      </c>
      <c r="C725" t="s">
        <v>12</v>
      </c>
      <c r="D725" t="s">
        <v>8</v>
      </c>
      <c r="E725" s="2" t="str">
        <f>HYPERLINK("https://ibp.a2mac1.com/costing(costing:projects/details/8191/part/5381390)","Rain Sensor")</f>
        <v>Rain Sensor</v>
      </c>
      <c r="F725" t="s">
        <v>1176</v>
      </c>
    </row>
    <row r="726" spans="1:6" ht="12.75">
      <c r="A726">
        <v>6970281</v>
      </c>
      <c r="B726">
        <v>5381390</v>
      </c>
      <c r="C726" t="s">
        <v>99</v>
      </c>
      <c r="D726" t="s">
        <v>12</v>
      </c>
      <c r="E726" s="2" t="str">
        <f>HYPERLINK("https://ibp.a2mac1.com/costing(costing:projects/details/8191/process/6970281)","Process")</f>
        <v>Process</v>
      </c>
      <c r="F726" t="s">
        <v>1190</v>
      </c>
    </row>
    <row r="727" spans="1:6" ht="12.75">
      <c r="A727">
        <v>6942815</v>
      </c>
      <c r="B727">
        <v>6970281</v>
      </c>
      <c r="C727" t="s">
        <v>189</v>
      </c>
      <c r="D727" t="s">
        <v>99</v>
      </c>
      <c r="E727" s="2" t="str">
        <f>HYPERLINK("https://ibp.a2mac1.com/costing(costing:projects/details/8191/equipment/6942815)","Dummy Machine (PCBA+Final Assembly Line)")</f>
        <v>Dummy Machine (PCBA+Final Assembly Line)</v>
      </c>
      <c r="F727" t="s">
        <v>1191</v>
      </c>
    </row>
    <row r="728" spans="1:6" ht="12.75">
      <c r="A728">
        <v>5315372</v>
      </c>
      <c r="B728">
        <v>5381390</v>
      </c>
      <c r="C728" t="s">
        <v>574</v>
      </c>
      <c r="D728" t="s">
        <v>12</v>
      </c>
      <c r="E728" s="2" t="str">
        <f>HYPERLINK("https://ibp.a2mac1.com/costing(costing:projects/details/8191/component/5315372)","Electronics")</f>
        <v>Electronics</v>
      </c>
      <c r="F728" t="s">
        <v>1190</v>
      </c>
    </row>
    <row r="729" spans="1:6" ht="12.75">
      <c r="A729">
        <v>5315373</v>
      </c>
      <c r="B729">
        <v>5381390</v>
      </c>
      <c r="C729" t="s">
        <v>574</v>
      </c>
      <c r="D729" t="s">
        <v>12</v>
      </c>
      <c r="E729" s="2" t="str">
        <f>HYPERLINK("https://ibp.a2mac1.com/costing(costing:projects/details/8191/component/5315373)","Mechanics")</f>
        <v>Mechanics</v>
      </c>
      <c r="F729" t="s">
        <v>1190</v>
      </c>
    </row>
    <row r="730" spans="1:6" ht="12.75">
      <c r="A730">
        <v>5315330</v>
      </c>
      <c r="B730">
        <v>5381308</v>
      </c>
      <c r="C730" t="s">
        <v>574</v>
      </c>
      <c r="D730" t="s">
        <v>8</v>
      </c>
      <c r="E730" s="2" t="str">
        <f>HYPERLINK("https://ibp.a2mac1.com/costing(costing:projects/details/8191/component/5315330)","Other fastener &gt; Attachment")</f>
        <v>Other fastener &gt; Attachment</v>
      </c>
      <c r="F730" t="s">
        <v>1176</v>
      </c>
    </row>
    <row r="731" spans="1:6" ht="12.75">
      <c r="A731">
        <v>5381309</v>
      </c>
      <c r="B731">
        <v>5381299</v>
      </c>
      <c r="C731" t="s">
        <v>8</v>
      </c>
      <c r="D731" t="s">
        <v>8</v>
      </c>
      <c r="E731" s="2" t="str">
        <f>HYPERLINK("https://ibp.a2mac1.com/costing(costing:projects/details/8191/assembly/5381309)","Plugs")</f>
        <v>Plugs</v>
      </c>
      <c r="F731" t="s">
        <v>1175</v>
      </c>
    </row>
    <row r="732" spans="1:6" ht="12.75">
      <c r="A732">
        <v>5381394</v>
      </c>
      <c r="B732">
        <v>5381309</v>
      </c>
      <c r="C732" t="s">
        <v>8</v>
      </c>
      <c r="D732" t="s">
        <v>8</v>
      </c>
      <c r="E732" s="2" t="str">
        <f>HYPERLINK("https://ibp.a2mac1.com/costing(costing:projects/details/8191/assembly/5381394)","USB Plug")</f>
        <v>USB Plug</v>
      </c>
      <c r="F732" t="s">
        <v>1196</v>
      </c>
    </row>
    <row r="733" spans="1:6" ht="12.75">
      <c r="A733">
        <v>6970282</v>
      </c>
      <c r="B733">
        <v>5381394</v>
      </c>
      <c r="C733" t="s">
        <v>99</v>
      </c>
      <c r="D733" t="s">
        <v>8</v>
      </c>
      <c r="E733" s="2" t="str">
        <f>HYPERLINK("https://ibp.a2mac1.com/costing(costing:projects/details/8191/process/6970282)","Process [2]")</f>
        <v>Process [2]</v>
      </c>
      <c r="F733" t="s">
        <v>1197</v>
      </c>
    </row>
    <row r="734" spans="1:6" ht="12.75">
      <c r="A734">
        <v>6942816</v>
      </c>
      <c r="B734">
        <v>6970282</v>
      </c>
      <c r="C734" t="s">
        <v>189</v>
      </c>
      <c r="D734" t="s">
        <v>99</v>
      </c>
      <c r="E734" s="2" t="str">
        <f>HYPERLINK("https://ibp.a2mac1.com/costing(costing:projects/details/8191/equipment/6942816)","Dummy Machine (PCBA+Final Assembly Line)")</f>
        <v>Dummy Machine (PCBA+Final Assembly Line)</v>
      </c>
      <c r="F734" t="s">
        <v>1198</v>
      </c>
    </row>
    <row r="735" spans="1:6" ht="12.75">
      <c r="A735">
        <v>5315375</v>
      </c>
      <c r="B735">
        <v>5381394</v>
      </c>
      <c r="C735" t="s">
        <v>574</v>
      </c>
      <c r="D735" t="s">
        <v>8</v>
      </c>
      <c r="E735" s="2" t="str">
        <f>HYPERLINK("https://ibp.a2mac1.com/costing(costing:projects/details/8191/component/5315375)","Mechanics [2]")</f>
        <v>Mechanics [2]</v>
      </c>
      <c r="F735" t="s">
        <v>1197</v>
      </c>
    </row>
    <row r="736" spans="1:6" ht="12.75">
      <c r="A736">
        <v>5315376</v>
      </c>
      <c r="B736">
        <v>5381394</v>
      </c>
      <c r="C736" t="s">
        <v>574</v>
      </c>
      <c r="D736" t="s">
        <v>8</v>
      </c>
      <c r="E736" s="2" t="str">
        <f>HYPERLINK("https://ibp.a2mac1.com/costing(costing:projects/details/8191/component/5315376)","Electronics [2]")</f>
        <v>Electronics [2]</v>
      </c>
      <c r="F736" t="s">
        <v>1197</v>
      </c>
    </row>
    <row r="737" spans="1:6" ht="12.75">
      <c r="A737">
        <v>5381395</v>
      </c>
      <c r="B737">
        <v>5381309</v>
      </c>
      <c r="C737" t="s">
        <v>8</v>
      </c>
      <c r="D737" t="s">
        <v>8</v>
      </c>
      <c r="E737" s="2" t="str">
        <f>HYPERLINK("https://ibp.a2mac1.com/costing(costing:projects/details/8191/assembly/5381395)","USB Plug 2")</f>
        <v>USB Plug 2</v>
      </c>
      <c r="F737" t="s">
        <v>1196</v>
      </c>
    </row>
    <row r="738" spans="1:6" ht="12.75">
      <c r="A738">
        <v>6970283</v>
      </c>
      <c r="B738">
        <v>5381395</v>
      </c>
      <c r="C738" t="s">
        <v>99</v>
      </c>
      <c r="D738" t="s">
        <v>8</v>
      </c>
      <c r="E738" s="2" t="str">
        <f>HYPERLINK("https://ibp.a2mac1.com/costing(costing:projects/details/8191/process/6970283)","Process [2]")</f>
        <v>Process [2]</v>
      </c>
      <c r="F738" t="s">
        <v>1200</v>
      </c>
    </row>
    <row r="739" spans="1:6" ht="12.75">
      <c r="A739">
        <v>6942817</v>
      </c>
      <c r="B739">
        <v>6970283</v>
      </c>
      <c r="C739" t="s">
        <v>189</v>
      </c>
      <c r="D739" t="s">
        <v>99</v>
      </c>
      <c r="E739" s="2" t="str">
        <f>HYPERLINK("https://ibp.a2mac1.com/costing(costing:projects/details/8191/equipment/6942817)","Dummy Machine (PCBA+Final Assembly Line)")</f>
        <v>Dummy Machine (PCBA+Final Assembly Line)</v>
      </c>
      <c r="F739" t="s">
        <v>1201</v>
      </c>
    </row>
    <row r="740" spans="1:6" ht="12.75">
      <c r="A740">
        <v>5315377</v>
      </c>
      <c r="B740">
        <v>5381395</v>
      </c>
      <c r="C740" t="s">
        <v>574</v>
      </c>
      <c r="D740" t="s">
        <v>8</v>
      </c>
      <c r="E740" s="2" t="str">
        <f>HYPERLINK("https://ibp.a2mac1.com/costing(costing:projects/details/8191/component/5315377)","Mechanics [2]")</f>
        <v>Mechanics [2]</v>
      </c>
      <c r="F740" t="s">
        <v>1200</v>
      </c>
    </row>
    <row r="741" spans="1:6" ht="12.75">
      <c r="A741">
        <v>5315378</v>
      </c>
      <c r="B741">
        <v>5381395</v>
      </c>
      <c r="C741" t="s">
        <v>574</v>
      </c>
      <c r="D741" t="s">
        <v>8</v>
      </c>
      <c r="E741" s="2" t="str">
        <f>HYPERLINK("https://ibp.a2mac1.com/costing(costing:projects/details/8191/component/5315378)","Electronics [2]")</f>
        <v>Electronics [2]</v>
      </c>
      <c r="F741" t="s">
        <v>1200</v>
      </c>
    </row>
    <row r="742" spans="1:6" ht="12.75">
      <c r="A742">
        <v>5381392</v>
      </c>
      <c r="B742">
        <v>5381309</v>
      </c>
      <c r="C742" t="s">
        <v>12</v>
      </c>
      <c r="D742" t="s">
        <v>8</v>
      </c>
      <c r="E742" s="2" t="str">
        <f>HYPERLINK("https://ibp.a2mac1.com/costing(costing:projects/details/8191/part/5381392)","Rear 12V Plug")</f>
        <v>Rear 12V Plug</v>
      </c>
      <c r="F742" t="s">
        <v>1196</v>
      </c>
    </row>
    <row r="743" spans="1:6" ht="12.75">
      <c r="A743">
        <v>5381393</v>
      </c>
      <c r="B743">
        <v>5381309</v>
      </c>
      <c r="C743" t="s">
        <v>12</v>
      </c>
      <c r="D743" t="s">
        <v>8</v>
      </c>
      <c r="E743" s="2" t="str">
        <f>HYPERLINK("https://ibp.a2mac1.com/costing(costing:projects/details/8191/part/5381393)","Rear 12V Plug Support")</f>
        <v>Rear 12V Plug Support</v>
      </c>
      <c r="F743" t="s">
        <v>1196</v>
      </c>
    </row>
    <row r="744" spans="1:6" ht="12.75">
      <c r="A744">
        <v>5381310</v>
      </c>
      <c r="B744">
        <v>5381299</v>
      </c>
      <c r="C744" t="s">
        <v>8</v>
      </c>
      <c r="D744" t="s">
        <v>8</v>
      </c>
      <c r="E744" s="2" t="str">
        <f>HYPERLINK("https://ibp.a2mac1.com/costing(costing:projects/details/8191/assembly/5381310)","Tool Box")</f>
        <v>Tool Box</v>
      </c>
      <c r="F744" t="s">
        <v>1175</v>
      </c>
    </row>
    <row r="745" spans="1:6" ht="12.75">
      <c r="A745">
        <v>5381396</v>
      </c>
      <c r="B745">
        <v>5381310</v>
      </c>
      <c r="C745" t="s">
        <v>12</v>
      </c>
      <c r="D745" t="s">
        <v>8</v>
      </c>
      <c r="E745" s="2" t="str">
        <f>HYPERLINK("https://ibp.a2mac1.com/costing(costing:projects/details/8191/part/5381396)","Towing Hook")</f>
        <v>Towing Hook</v>
      </c>
      <c r="F745" t="s">
        <v>1209</v>
      </c>
    </row>
    <row r="746" spans="1:6" ht="12.75">
      <c r="A746">
        <v>6970284</v>
      </c>
      <c r="B746">
        <v>5381396</v>
      </c>
      <c r="C746" t="s">
        <v>99</v>
      </c>
      <c r="D746" t="s">
        <v>12</v>
      </c>
      <c r="E746" s="2" t="str">
        <f>HYPERLINK("https://ibp.a2mac1.com/costing(costing:projects/details/8191/process/6970284)","Automated Process")</f>
        <v>Automated Process</v>
      </c>
      <c r="F746" t="s">
        <v>1210</v>
      </c>
    </row>
    <row r="747" spans="1:6" ht="12.75">
      <c r="A747">
        <v>5381397</v>
      </c>
      <c r="B747">
        <v>5381310</v>
      </c>
      <c r="C747" t="s">
        <v>12</v>
      </c>
      <c r="D747" t="s">
        <v>8</v>
      </c>
      <c r="E747" s="2" t="str">
        <f>HYPERLINK("https://ibp.a2mac1.com/costing(costing:projects/details/8191/part/5381397)","Tire Sealant")</f>
        <v>Tire Sealant</v>
      </c>
      <c r="F747" t="s">
        <v>1209</v>
      </c>
    </row>
    <row r="748" spans="1:6" ht="12.75">
      <c r="A748">
        <v>6970285</v>
      </c>
      <c r="B748">
        <v>5381397</v>
      </c>
      <c r="C748" t="s">
        <v>99</v>
      </c>
      <c r="D748" t="s">
        <v>12</v>
      </c>
      <c r="E748" s="2" t="str">
        <f>HYPERLINK("https://ibp.a2mac1.com/costing(costing:projects/details/8191/process/6970285)","Automated Process")</f>
        <v>Automated Process</v>
      </c>
      <c r="F748" t="s">
        <v>1213</v>
      </c>
    </row>
    <row r="749" spans="1:6" ht="12.75">
      <c r="A749">
        <v>5315431</v>
      </c>
      <c r="B749">
        <v>6970285</v>
      </c>
      <c r="C749" t="s">
        <v>24</v>
      </c>
      <c r="D749" t="s">
        <v>99</v>
      </c>
      <c r="E749" s="2" t="str">
        <f>HYPERLINK("https://ibp.a2mac1.com/costing(costing:projects/details/8191/material/5315431)","PP")</f>
        <v>PP</v>
      </c>
      <c r="F749" t="s">
        <v>1216</v>
      </c>
    </row>
    <row r="750" spans="1:6" ht="12.75">
      <c r="A750">
        <v>6942818</v>
      </c>
      <c r="B750">
        <v>6970285</v>
      </c>
      <c r="C750" t="s">
        <v>189</v>
      </c>
      <c r="D750" t="s">
        <v>99</v>
      </c>
      <c r="E750" s="2" t="str">
        <f>HYPERLINK("https://ibp.a2mac1.com/costing(costing:projects/details/8191/equipment/6942818)","Equipment (Injection Molding)")</f>
        <v>Equipment (Injection Molding)</v>
      </c>
      <c r="F750" t="s">
        <v>1216</v>
      </c>
    </row>
    <row r="751" spans="1:6" ht="12.75">
      <c r="A751">
        <v>5381398</v>
      </c>
      <c r="B751">
        <v>5381310</v>
      </c>
      <c r="C751" t="s">
        <v>12</v>
      </c>
      <c r="D751" t="s">
        <v>8</v>
      </c>
      <c r="E751" s="2" t="str">
        <f>HYPERLINK("https://ibp.a2mac1.com/costing(costing:projects/details/8191/part/5381398)","Compressor")</f>
        <v>Compressor</v>
      </c>
      <c r="F751" t="s">
        <v>1209</v>
      </c>
    </row>
    <row r="752" spans="1:6" ht="12.75">
      <c r="A752">
        <v>5381399</v>
      </c>
      <c r="B752">
        <v>5381310</v>
      </c>
      <c r="C752" t="s">
        <v>12</v>
      </c>
      <c r="D752" t="s">
        <v>8</v>
      </c>
      <c r="E752" s="2" t="str">
        <f>HYPERLINK("https://ibp.a2mac1.com/costing(costing:projects/details/8191/part/5381399)","Hubcaps Remover")</f>
        <v>Hubcaps Remover</v>
      </c>
      <c r="F752" t="s">
        <v>1209</v>
      </c>
    </row>
    <row r="753" spans="1:6" ht="12.75">
      <c r="A753">
        <v>6970286</v>
      </c>
      <c r="B753">
        <v>5381399</v>
      </c>
      <c r="C753" t="s">
        <v>99</v>
      </c>
      <c r="D753" t="s">
        <v>12</v>
      </c>
      <c r="E753" s="2" t="str">
        <f>HYPERLINK("https://ibp.a2mac1.com/costing(costing:projects/details/8191/process/6970286)","Automated Process")</f>
        <v>Automated Process</v>
      </c>
      <c r="F753" t="s">
        <v>1221</v>
      </c>
    </row>
    <row r="754" spans="1:6" ht="12.75">
      <c r="A754">
        <v>5381400</v>
      </c>
      <c r="B754">
        <v>5381310</v>
      </c>
      <c r="C754" t="s">
        <v>12</v>
      </c>
      <c r="D754" t="s">
        <v>8</v>
      </c>
      <c r="E754" s="2" t="str">
        <f>HYPERLINK("https://ibp.a2mac1.com/costing(costing:projects/details/8191/part/5381400)","Storage Compartment")</f>
        <v>Storage Compartment</v>
      </c>
      <c r="F754" t="s">
        <v>1209</v>
      </c>
    </row>
    <row r="755" spans="1:6" ht="12.75">
      <c r="A755">
        <v>6970287</v>
      </c>
      <c r="B755">
        <v>5381400</v>
      </c>
      <c r="C755" t="s">
        <v>99</v>
      </c>
      <c r="D755" t="s">
        <v>12</v>
      </c>
      <c r="E755" s="2" t="str">
        <f>HYPERLINK("https://ibp.a2mac1.com/costing(costing:projects/details/8191/process/6970287)","Automated Process")</f>
        <v>Automated Process</v>
      </c>
      <c r="F755" t="s">
        <v>1223</v>
      </c>
    </row>
    <row r="756" spans="1:6" ht="12.75">
      <c r="A756">
        <v>5315432</v>
      </c>
      <c r="B756">
        <v>6970287</v>
      </c>
      <c r="C756" t="s">
        <v>24</v>
      </c>
      <c r="D756" t="s">
        <v>99</v>
      </c>
      <c r="E756" s="2" t="str">
        <f>HYPERLINK("https://ibp.a2mac1.com/costing(costing:projects/details/8191/material/5315432)","EPP")</f>
        <v>EPP</v>
      </c>
      <c r="F756" t="s">
        <v>1225</v>
      </c>
    </row>
    <row r="757" spans="1:6" ht="12.75">
      <c r="A757">
        <v>6942819</v>
      </c>
      <c r="B757">
        <v>6970287</v>
      </c>
      <c r="C757" t="s">
        <v>189</v>
      </c>
      <c r="D757" t="s">
        <v>99</v>
      </c>
      <c r="E757" s="2" t="str">
        <f>HYPERLINK("https://ibp.a2mac1.com/costing(costing:projects/details/8191/equipment/6942819)","Equipment (Injection Molding)")</f>
        <v>Equipment (Injection Molding)</v>
      </c>
      <c r="F757" t="s">
        <v>1225</v>
      </c>
    </row>
    <row r="758" spans="1:6" ht="12.75">
      <c r="A758">
        <v>5381401</v>
      </c>
      <c r="B758">
        <v>5381310</v>
      </c>
      <c r="C758" t="s">
        <v>12</v>
      </c>
      <c r="D758" t="s">
        <v>8</v>
      </c>
      <c r="E758" s="2" t="str">
        <f>HYPERLINK("https://ibp.a2mac1.com/costing(costing:projects/details/8191/part/5381401)","Storage Compartment 2")</f>
        <v>Storage Compartment 2</v>
      </c>
      <c r="F758" t="s">
        <v>1209</v>
      </c>
    </row>
    <row r="759" spans="1:6" ht="12.75">
      <c r="A759">
        <v>6970288</v>
      </c>
      <c r="B759">
        <v>5381401</v>
      </c>
      <c r="C759" t="s">
        <v>99</v>
      </c>
      <c r="D759" t="s">
        <v>12</v>
      </c>
      <c r="E759" s="2" t="str">
        <f>HYPERLINK("https://ibp.a2mac1.com/costing(costing:projects/details/8191/process/6970288)","Automated Process")</f>
        <v>Automated Process</v>
      </c>
      <c r="F759" t="s">
        <v>1228</v>
      </c>
    </row>
    <row r="760" spans="1:6" ht="12.75">
      <c r="A760">
        <v>5381402</v>
      </c>
      <c r="B760">
        <v>5381310</v>
      </c>
      <c r="C760" t="s">
        <v>12</v>
      </c>
      <c r="D760" t="s">
        <v>8</v>
      </c>
      <c r="E760" s="2" t="str">
        <f>HYPERLINK("https://ibp.a2mac1.com/costing(costing:projects/details/8191/part/5381402)","Storage Bag")</f>
        <v>Storage Bag</v>
      </c>
      <c r="F760" t="s">
        <v>1209</v>
      </c>
    </row>
    <row r="761" spans="1:6" ht="12.75">
      <c r="A761">
        <v>6970289</v>
      </c>
      <c r="B761">
        <v>5381402</v>
      </c>
      <c r="C761" t="s">
        <v>99</v>
      </c>
      <c r="D761" t="s">
        <v>12</v>
      </c>
      <c r="E761" s="2" t="str">
        <f>HYPERLINK("https://ibp.a2mac1.com/costing(costing:projects/details/8191/process/6970289)","Automated Process")</f>
        <v>Automated Process</v>
      </c>
      <c r="F761" t="s">
        <v>1232</v>
      </c>
    </row>
    <row r="762" spans="1:6" ht="12.75">
      <c r="A762">
        <v>5315433</v>
      </c>
      <c r="B762">
        <v>6970289</v>
      </c>
      <c r="C762" t="s">
        <v>24</v>
      </c>
      <c r="D762" t="s">
        <v>99</v>
      </c>
      <c r="E762" s="2" t="str">
        <f>HYPERLINK("https://ibp.a2mac1.com/costing(costing:projects/details/8191/material/5315433)","PVC")</f>
        <v>PVC</v>
      </c>
      <c r="F762" t="s">
        <v>1235</v>
      </c>
    </row>
    <row r="763" spans="1:6" ht="12.75">
      <c r="A763">
        <v>5315434</v>
      </c>
      <c r="B763">
        <v>6970289</v>
      </c>
      <c r="C763" t="s">
        <v>24</v>
      </c>
      <c r="D763" t="s">
        <v>99</v>
      </c>
      <c r="E763" s="2" t="str">
        <f>HYPERLINK("https://ibp.a2mac1.com/costing(costing:projects/details/8191/material/5315434)","Aluminum sheet (default, e.g. EN AW1050A)")</f>
        <v>Aluminum sheet (default, e.g. EN AW1050A)</v>
      </c>
      <c r="F763" t="s">
        <v>1235</v>
      </c>
    </row>
    <row r="764" spans="1:6" ht="12.75">
      <c r="A764">
        <v>6942820</v>
      </c>
      <c r="B764">
        <v>6970289</v>
      </c>
      <c r="C764" t="s">
        <v>189</v>
      </c>
      <c r="D764" t="s">
        <v>99</v>
      </c>
      <c r="E764" s="2" t="str">
        <f>HYPERLINK("https://ibp.a2mac1.com/costing(costing:projects/details/8191/equipment/6942820)","Equipment (Injection Molding)")</f>
        <v>Equipment (Injection Molding)</v>
      </c>
      <c r="F764" t="s">
        <v>1235</v>
      </c>
    </row>
    <row r="765" spans="1:6" ht="12.75">
      <c r="A765">
        <v>6942821</v>
      </c>
      <c r="B765">
        <v>6970289</v>
      </c>
      <c r="C765" t="s">
        <v>189</v>
      </c>
      <c r="D765" t="s">
        <v>99</v>
      </c>
      <c r="E765" s="2" t="str">
        <f>HYPERLINK("https://ibp.a2mac1.com/costing(costing:projects/details/8191/equipment/6942821)","Equipment (Stamping)")</f>
        <v>Equipment (Stamping)</v>
      </c>
      <c r="F765" t="s">
        <v>1235</v>
      </c>
    </row>
    <row r="766" spans="1:6" ht="12.75">
      <c r="A766">
        <v>5381403</v>
      </c>
      <c r="B766">
        <v>5381310</v>
      </c>
      <c r="C766" t="s">
        <v>12</v>
      </c>
      <c r="D766" t="s">
        <v>8</v>
      </c>
      <c r="E766" s="2" t="str">
        <f>HYPERLINK("https://ibp.a2mac1.com/costing(costing:projects/details/8191/part/5381403)","Security Nut Tool")</f>
        <v>Security Nut Tool</v>
      </c>
      <c r="F766" t="s">
        <v>1209</v>
      </c>
    </row>
    <row r="767" spans="1:6" ht="12.75">
      <c r="A767">
        <v>6970290</v>
      </c>
      <c r="B767">
        <v>5381403</v>
      </c>
      <c r="C767" t="s">
        <v>99</v>
      </c>
      <c r="D767" t="s">
        <v>12</v>
      </c>
      <c r="E767" s="2" t="str">
        <f>HYPERLINK("https://ibp.a2mac1.com/costing(costing:projects/details/8191/process/6970290)","Automated Process")</f>
        <v>Automated Process</v>
      </c>
      <c r="F767" t="s">
        <v>1239</v>
      </c>
    </row>
    <row r="768" spans="1:6" ht="12.75">
      <c r="A768">
        <v>5381404</v>
      </c>
      <c r="B768">
        <v>5381310</v>
      </c>
      <c r="C768" t="s">
        <v>12</v>
      </c>
      <c r="D768" t="s">
        <v>8</v>
      </c>
      <c r="E768" s="2" t="str">
        <f>HYPERLINK("https://ibp.a2mac1.com/costing(costing:projects/details/8191/part/5381404)","Security Screw Nut")</f>
        <v>Security Screw Nut</v>
      </c>
      <c r="F768" t="s">
        <v>1209</v>
      </c>
    </row>
    <row r="769" spans="1:6" ht="12.75">
      <c r="A769">
        <v>6970291</v>
      </c>
      <c r="B769">
        <v>5381404</v>
      </c>
      <c r="C769" t="s">
        <v>99</v>
      </c>
      <c r="D769" t="s">
        <v>12</v>
      </c>
      <c r="E769" s="2" t="str">
        <f>HYPERLINK("https://ibp.a2mac1.com/costing(costing:projects/details/8191/process/6970291)","Automated Process")</f>
        <v>Automated Process</v>
      </c>
      <c r="F769" t="s">
        <v>1241</v>
      </c>
    </row>
    <row r="770" spans="1:6" ht="12.75">
      <c r="A770">
        <v>5315331</v>
      </c>
      <c r="B770">
        <v>5381310</v>
      </c>
      <c r="C770" t="s">
        <v>574</v>
      </c>
      <c r="D770" t="s">
        <v>8</v>
      </c>
      <c r="E770" s="2" t="str">
        <f>HYPERLINK("https://ibp.a2mac1.com/costing(costing:projects/details/8191/component/5315331)","Other fastener &gt; Attachment")</f>
        <v>Other fastener &gt; Attachment</v>
      </c>
      <c r="F770" t="s">
        <v>1209</v>
      </c>
    </row>
    <row r="771" spans="1:6" ht="12.75">
      <c r="A771">
        <v>5381311</v>
      </c>
      <c r="B771">
        <v>5381299</v>
      </c>
      <c r="C771" t="s">
        <v>8</v>
      </c>
      <c r="D771" t="s">
        <v>8</v>
      </c>
      <c r="E771" s="2" t="str">
        <f>HYPERLINK("https://ibp.a2mac1.com/costing(costing:projects/details/8191/assembly/5381311)","Audio System")</f>
        <v>Audio System</v>
      </c>
      <c r="F771" t="s">
        <v>1175</v>
      </c>
    </row>
    <row r="772" spans="1:6" ht="12.75">
      <c r="A772">
        <v>5381406</v>
      </c>
      <c r="B772">
        <v>5381311</v>
      </c>
      <c r="C772" t="s">
        <v>8</v>
      </c>
      <c r="D772" t="s">
        <v>8</v>
      </c>
      <c r="E772" s="2" t="str">
        <f>HYPERLINK("https://ibp.a2mac1.com/costing(costing:projects/details/8191/assembly/5381406)","Radio Antenna System")</f>
        <v>Radio Antenna System</v>
      </c>
      <c r="F772" t="s">
        <v>1244</v>
      </c>
    </row>
    <row r="773" spans="1:6" ht="12.75">
      <c r="A773">
        <v>5381533</v>
      </c>
      <c r="B773">
        <v>5381406</v>
      </c>
      <c r="C773" t="s">
        <v>12</v>
      </c>
      <c r="D773" t="s">
        <v>8</v>
      </c>
      <c r="E773" s="2" t="str">
        <f>HYPERLINK("https://ibp.a2mac1.com/costing(costing:projects/details/8191/part/5381533)","Radio Antenna")</f>
        <v>Radio Antenna</v>
      </c>
      <c r="F773" t="s">
        <v>1245</v>
      </c>
    </row>
    <row r="774" spans="1:6" ht="12.75">
      <c r="A774">
        <v>6970329</v>
      </c>
      <c r="B774">
        <v>5381533</v>
      </c>
      <c r="C774" t="s">
        <v>99</v>
      </c>
      <c r="D774" t="s">
        <v>12</v>
      </c>
      <c r="E774" s="2" t="str">
        <f>HYPERLINK("https://ibp.a2mac1.com/costing(costing:projects/details/8191/process/6970329)","Process")</f>
        <v>Process</v>
      </c>
      <c r="F774" t="s">
        <v>1246</v>
      </c>
    </row>
    <row r="775" spans="1:6" ht="12.75">
      <c r="A775">
        <v>6942846</v>
      </c>
      <c r="B775">
        <v>6970329</v>
      </c>
      <c r="C775" t="s">
        <v>189</v>
      </c>
      <c r="D775" t="s">
        <v>99</v>
      </c>
      <c r="E775" s="2" t="str">
        <f>HYPERLINK("https://ibp.a2mac1.com/costing(costing:projects/details/8191/equipment/6942846)","Dummy Machine (PCBA+Final Assembly Line)")</f>
        <v>Dummy Machine (PCBA+Final Assembly Line)</v>
      </c>
      <c r="F775" t="s">
        <v>1247</v>
      </c>
    </row>
    <row r="776" spans="1:6" ht="12.75">
      <c r="A776">
        <v>5315435</v>
      </c>
      <c r="B776">
        <v>5381533</v>
      </c>
      <c r="C776" t="s">
        <v>574</v>
      </c>
      <c r="D776" t="s">
        <v>12</v>
      </c>
      <c r="E776" s="2" t="str">
        <f>HYPERLINK("https://ibp.a2mac1.com/costing(costing:projects/details/8191/component/5315435)","Electronics")</f>
        <v>Electronics</v>
      </c>
      <c r="F776" t="s">
        <v>1246</v>
      </c>
    </row>
    <row r="777" spans="1:6" ht="12.75">
      <c r="A777">
        <v>5315436</v>
      </c>
      <c r="B777">
        <v>5381533</v>
      </c>
      <c r="C777" t="s">
        <v>574</v>
      </c>
      <c r="D777" t="s">
        <v>12</v>
      </c>
      <c r="E777" s="2" t="str">
        <f>HYPERLINK("https://ibp.a2mac1.com/costing(costing:projects/details/8191/component/5315436)","Mechanics")</f>
        <v>Mechanics</v>
      </c>
      <c r="F777" t="s">
        <v>1246</v>
      </c>
    </row>
    <row r="778" spans="1:6" ht="12.75">
      <c r="A778">
        <v>5381405</v>
      </c>
      <c r="B778">
        <v>5381311</v>
      </c>
      <c r="C778" t="s">
        <v>12</v>
      </c>
      <c r="D778" t="s">
        <v>8</v>
      </c>
      <c r="E778" s="2" t="str">
        <f>HYPERLINK("https://ibp.a2mac1.com/costing(costing:projects/details/8191/part/5381405)","RF Pre-Amplifier 2")</f>
        <v>RF Pre-Amplifier 2</v>
      </c>
      <c r="F778" t="s">
        <v>1244</v>
      </c>
    </row>
    <row r="779" spans="1:6" ht="12.75">
      <c r="A779">
        <v>5315332</v>
      </c>
      <c r="B779">
        <v>5381311</v>
      </c>
      <c r="C779" t="s">
        <v>574</v>
      </c>
      <c r="D779" t="s">
        <v>8</v>
      </c>
      <c r="E779" s="2" t="str">
        <f>HYPERLINK("https://ibp.a2mac1.com/costing(costing:projects/details/8191/component/5315332)","Panel holder &gt; Clips for panel side")</f>
        <v>Panel holder &gt; Clips for panel side</v>
      </c>
      <c r="F779" t="s">
        <v>1244</v>
      </c>
    </row>
    <row r="780" spans="1:6" ht="12.75">
      <c r="A780">
        <v>5381312</v>
      </c>
      <c r="B780">
        <v>5381299</v>
      </c>
      <c r="C780" t="s">
        <v>8</v>
      </c>
      <c r="D780" t="s">
        <v>8</v>
      </c>
      <c r="E780" s="2" t="str">
        <f>HYPERLINK("https://ibp.a2mac1.com/costing(costing:projects/details/8191/assembly/5381312)","Phone System")</f>
        <v>Phone System</v>
      </c>
      <c r="F780" t="s">
        <v>1175</v>
      </c>
    </row>
    <row r="781" spans="1:6" ht="12.75">
      <c r="A781">
        <v>5381407</v>
      </c>
      <c r="B781">
        <v>5381312</v>
      </c>
      <c r="C781" t="s">
        <v>12</v>
      </c>
      <c r="D781" t="s">
        <v>8</v>
      </c>
      <c r="E781" s="2" t="str">
        <f>HYPERLINK("https://ibp.a2mac1.com/costing(costing:projects/details/8191/part/5381407)","Telematics ECU")</f>
        <v>Telematics ECU</v>
      </c>
      <c r="F781" t="s">
        <v>1255</v>
      </c>
    </row>
    <row r="782" spans="1:6" ht="12.75">
      <c r="A782">
        <v>6970292</v>
      </c>
      <c r="B782">
        <v>5381407</v>
      </c>
      <c r="C782" t="s">
        <v>99</v>
      </c>
      <c r="D782" t="s">
        <v>12</v>
      </c>
      <c r="E782" s="2" t="str">
        <f>HYPERLINK("https://ibp.a2mac1.com/costing(costing:projects/details/8191/process/6970292)","Process")</f>
        <v>Process</v>
      </c>
      <c r="F782" t="s">
        <v>1256</v>
      </c>
    </row>
    <row r="783" spans="1:6" ht="12.75">
      <c r="A783">
        <v>6942822</v>
      </c>
      <c r="B783">
        <v>6970292</v>
      </c>
      <c r="C783" t="s">
        <v>189</v>
      </c>
      <c r="D783" t="s">
        <v>99</v>
      </c>
      <c r="E783" s="2" t="str">
        <f>HYPERLINK("https://ibp.a2mac1.com/costing(costing:projects/details/8191/equipment/6942822)","Dummy Machine (PCBA+Final Assembly Line)")</f>
        <v>Dummy Machine (PCBA+Final Assembly Line)</v>
      </c>
      <c r="F783" t="s">
        <v>1257</v>
      </c>
    </row>
    <row r="784" spans="1:6" ht="12.75">
      <c r="A784">
        <v>5315379</v>
      </c>
      <c r="B784">
        <v>5381407</v>
      </c>
      <c r="C784" t="s">
        <v>574</v>
      </c>
      <c r="D784" t="s">
        <v>12</v>
      </c>
      <c r="E784" s="2" t="str">
        <f>HYPERLINK("https://ibp.a2mac1.com/costing(costing:projects/details/8191/component/5315379)","Electronics")</f>
        <v>Electronics</v>
      </c>
      <c r="F784" t="s">
        <v>1256</v>
      </c>
    </row>
    <row r="785" spans="1:6" ht="12.75">
      <c r="A785">
        <v>5315380</v>
      </c>
      <c r="B785">
        <v>5381407</v>
      </c>
      <c r="C785" t="s">
        <v>574</v>
      </c>
      <c r="D785" t="s">
        <v>12</v>
      </c>
      <c r="E785" s="2" t="str">
        <f>HYPERLINK("https://ibp.a2mac1.com/costing(costing:projects/details/8191/component/5315380)","Mechanics")</f>
        <v>Mechanics</v>
      </c>
      <c r="F785" t="s">
        <v>1256</v>
      </c>
    </row>
    <row r="786" spans="1:6" ht="12.75">
      <c r="A786">
        <v>5381408</v>
      </c>
      <c r="B786">
        <v>5381312</v>
      </c>
      <c r="C786" t="s">
        <v>12</v>
      </c>
      <c r="D786" t="s">
        <v>8</v>
      </c>
      <c r="E786" s="2" t="str">
        <f>HYPERLINK("https://ibp.a2mac1.com/costing(costing:projects/details/8191/part/5381408)","Telematics ECU Support")</f>
        <v>Telematics ECU Support</v>
      </c>
      <c r="F786" t="s">
        <v>1255</v>
      </c>
    </row>
    <row r="787" spans="1:6" ht="12.75">
      <c r="A787">
        <v>5381409</v>
      </c>
      <c r="B787">
        <v>5381312</v>
      </c>
      <c r="C787" t="s">
        <v>12</v>
      </c>
      <c r="D787" t="s">
        <v>8</v>
      </c>
      <c r="E787" s="2" t="str">
        <f>HYPERLINK("https://ibp.a2mac1.com/costing(costing:projects/details/8191/part/5381409)","Phone Antenna")</f>
        <v>Phone Antenna</v>
      </c>
      <c r="F787" t="s">
        <v>1255</v>
      </c>
    </row>
    <row r="788" spans="1:6" ht="12.75">
      <c r="A788">
        <v>5381410</v>
      </c>
      <c r="B788">
        <v>5381312</v>
      </c>
      <c r="C788" t="s">
        <v>12</v>
      </c>
      <c r="D788" t="s">
        <v>8</v>
      </c>
      <c r="E788" s="2" t="str">
        <f>HYPERLINK("https://ibp.a2mac1.com/costing(costing:projects/details/8191/part/5381410)","Induction Charger   Qi System")</f>
        <v>Induction Charger   Qi System</v>
      </c>
      <c r="F788" t="s">
        <v>1255</v>
      </c>
    </row>
    <row r="789" spans="1:6" ht="12.75">
      <c r="A789">
        <v>6970293</v>
      </c>
      <c r="B789">
        <v>5381410</v>
      </c>
      <c r="C789" t="s">
        <v>99</v>
      </c>
      <c r="D789" t="s">
        <v>12</v>
      </c>
      <c r="E789" s="2" t="str">
        <f>HYPERLINK("https://ibp.a2mac1.com/costing(costing:projects/details/8191/process/6970293)","Process")</f>
        <v>Process</v>
      </c>
      <c r="F789" t="s">
        <v>1265</v>
      </c>
    </row>
    <row r="790" spans="1:6" ht="12.75">
      <c r="A790">
        <v>6942823</v>
      </c>
      <c r="B790">
        <v>6970293</v>
      </c>
      <c r="C790" t="s">
        <v>189</v>
      </c>
      <c r="D790" t="s">
        <v>99</v>
      </c>
      <c r="E790" s="2" t="str">
        <f>HYPERLINK("https://ibp.a2mac1.com/costing(costing:projects/details/8191/equipment/6942823)","Dummy Machine (PCBA+Final Assembly Line)")</f>
        <v>Dummy Machine (PCBA+Final Assembly Line)</v>
      </c>
      <c r="F790" t="s">
        <v>1266</v>
      </c>
    </row>
    <row r="791" spans="1:6" ht="12.75">
      <c r="A791">
        <v>5315381</v>
      </c>
      <c r="B791">
        <v>5381410</v>
      </c>
      <c r="C791" t="s">
        <v>574</v>
      </c>
      <c r="D791" t="s">
        <v>12</v>
      </c>
      <c r="E791" s="2" t="str">
        <f>HYPERLINK("https://ibp.a2mac1.com/costing(costing:projects/details/8191/component/5315381)","Electronics")</f>
        <v>Electronics</v>
      </c>
      <c r="F791" t="s">
        <v>1265</v>
      </c>
    </row>
    <row r="792" spans="1:6" ht="12.75">
      <c r="A792">
        <v>5315382</v>
      </c>
      <c r="B792">
        <v>5381410</v>
      </c>
      <c r="C792" t="s">
        <v>574</v>
      </c>
      <c r="D792" t="s">
        <v>12</v>
      </c>
      <c r="E792" s="2" t="str">
        <f>HYPERLINK("https://ibp.a2mac1.com/costing(costing:projects/details/8191/component/5315382)","Mechanics")</f>
        <v>Mechanics</v>
      </c>
      <c r="F792" t="s">
        <v>1265</v>
      </c>
    </row>
    <row r="793" spans="1:6" ht="12.75">
      <c r="A793">
        <v>5381411</v>
      </c>
      <c r="B793">
        <v>5381312</v>
      </c>
      <c r="C793" t="s">
        <v>12</v>
      </c>
      <c r="D793" t="s">
        <v>8</v>
      </c>
      <c r="E793" s="2" t="str">
        <f>HYPERLINK("https://ibp.a2mac1.com/costing(costing:projects/details/8191/part/5381411)","Induction Charger Mat")</f>
        <v>Induction Charger Mat</v>
      </c>
      <c r="F793" t="s">
        <v>1255</v>
      </c>
    </row>
    <row r="794" spans="1:6" ht="12.75">
      <c r="A794">
        <v>5381412</v>
      </c>
      <c r="B794">
        <v>5381312</v>
      </c>
      <c r="C794" t="s">
        <v>12</v>
      </c>
      <c r="D794" t="s">
        <v>8</v>
      </c>
      <c r="E794" s="2" t="str">
        <f>HYPERLINK("https://ibp.a2mac1.com/costing(costing:projects/details/8191/part/5381412)","Induction Charger Support")</f>
        <v>Induction Charger Support</v>
      </c>
      <c r="F794" t="s">
        <v>1255</v>
      </c>
    </row>
    <row r="795" spans="1:6" ht="12.75">
      <c r="A795">
        <v>6970294</v>
      </c>
      <c r="B795">
        <v>5381412</v>
      </c>
      <c r="C795" t="s">
        <v>99</v>
      </c>
      <c r="D795" t="s">
        <v>12</v>
      </c>
      <c r="E795" s="2" t="str">
        <f>HYPERLINK("https://ibp.a2mac1.com/costing(costing:projects/details/8191/process/6970294)","Automated Process")</f>
        <v>Automated Process</v>
      </c>
      <c r="F795" t="s">
        <v>1271</v>
      </c>
    </row>
    <row r="796" spans="1:6" ht="12.75">
      <c r="A796">
        <v>5315437</v>
      </c>
      <c r="B796">
        <v>6970294</v>
      </c>
      <c r="C796" t="s">
        <v>24</v>
      </c>
      <c r="D796" t="s">
        <v>99</v>
      </c>
      <c r="E796" s="2" t="str">
        <f>HYPERLINK("https://ibp.a2mac1.com/costing(costing:projects/details/8191/material/5315437)","PC-ABS")</f>
        <v>PC-ABS</v>
      </c>
      <c r="F796" t="s">
        <v>1274</v>
      </c>
    </row>
    <row r="797" spans="1:6" ht="12.75">
      <c r="A797">
        <v>6942824</v>
      </c>
      <c r="B797">
        <v>6970294</v>
      </c>
      <c r="C797" t="s">
        <v>189</v>
      </c>
      <c r="D797" t="s">
        <v>99</v>
      </c>
      <c r="E797" s="2" t="str">
        <f>HYPERLINK("https://ibp.a2mac1.com/costing(costing:projects/details/8191/equipment/6942824)","Equipment (Injection Molding)")</f>
        <v>Equipment (Injection Molding)</v>
      </c>
      <c r="F797" t="s">
        <v>1274</v>
      </c>
    </row>
    <row r="798" spans="1:6" ht="12.75">
      <c r="A798">
        <v>5315333</v>
      </c>
      <c r="B798">
        <v>5381312</v>
      </c>
      <c r="C798" t="s">
        <v>574</v>
      </c>
      <c r="D798" t="s">
        <v>8</v>
      </c>
      <c r="E798" s="2" t="str">
        <f>HYPERLINK("https://ibp.a2mac1.com/costing(costing:projects/details/8191/component/5315333)","Panel holder &gt; Clips in rectangular hole")</f>
        <v>Panel holder &gt; Clips in rectangular hole</v>
      </c>
      <c r="F798" t="s">
        <v>1255</v>
      </c>
    </row>
    <row r="799" spans="1:6" ht="12.75">
      <c r="A799">
        <v>5315334</v>
      </c>
      <c r="B799">
        <v>5381312</v>
      </c>
      <c r="C799" t="s">
        <v>574</v>
      </c>
      <c r="D799" t="s">
        <v>8</v>
      </c>
      <c r="E799" s="2" t="str">
        <f>HYPERLINK("https://ibp.a2mac1.com/costing(costing:projects/details/8191/component/5315334)","Nut &gt; Hexagonal nut with collar")</f>
        <v>Nut &gt; Hexagonal nut with collar</v>
      </c>
      <c r="F799" t="s">
        <v>1255</v>
      </c>
    </row>
    <row r="800" spans="1:6" ht="12.75">
      <c r="A800">
        <v>5381313</v>
      </c>
      <c r="B800">
        <v>5381299</v>
      </c>
      <c r="C800" t="s">
        <v>8</v>
      </c>
      <c r="D800" t="s">
        <v>8</v>
      </c>
      <c r="E800" s="2" t="str">
        <f>HYPERLINK("https://ibp.a2mac1.com/costing(costing:projects/details/8191/assembly/5381313)","Emblems")</f>
        <v>Emblems</v>
      </c>
      <c r="F800" t="s">
        <v>1175</v>
      </c>
    </row>
    <row r="801" spans="1:6" ht="12.75">
      <c r="A801">
        <v>5381413</v>
      </c>
      <c r="B801">
        <v>5381313</v>
      </c>
      <c r="C801" t="s">
        <v>12</v>
      </c>
      <c r="D801" t="s">
        <v>8</v>
      </c>
      <c r="E801" s="2" t="str">
        <f>HYPERLINK("https://ibp.a2mac1.com/costing(costing:projects/details/8191/part/5381413)","Model Emblem")</f>
        <v>Model Emblem</v>
      </c>
      <c r="F801" t="s">
        <v>1278</v>
      </c>
    </row>
    <row r="802" spans="1:6" ht="12.75">
      <c r="A802">
        <v>6970295</v>
      </c>
      <c r="B802">
        <v>5381413</v>
      </c>
      <c r="C802" t="s">
        <v>99</v>
      </c>
      <c r="D802" t="s">
        <v>12</v>
      </c>
      <c r="E802" s="2" t="str">
        <f>HYPERLINK("https://ibp.a2mac1.com/costing(costing:projects/details/8191/process/6970295)","Automated Process")</f>
        <v>Automated Process</v>
      </c>
      <c r="F802" t="s">
        <v>1279</v>
      </c>
    </row>
    <row r="803" spans="1:6" ht="12.75">
      <c r="A803">
        <v>5315438</v>
      </c>
      <c r="B803">
        <v>6970295</v>
      </c>
      <c r="C803" t="s">
        <v>24</v>
      </c>
      <c r="D803" t="s">
        <v>99</v>
      </c>
      <c r="E803" s="2" t="str">
        <f>HYPERLINK("https://ibp.a2mac1.com/costing(costing:projects/details/8191/material/5315438)","PMMA")</f>
        <v>PMMA</v>
      </c>
      <c r="F803" t="s">
        <v>1282</v>
      </c>
    </row>
    <row r="804" spans="1:6" ht="12.75">
      <c r="A804">
        <v>6942825</v>
      </c>
      <c r="B804">
        <v>6970295</v>
      </c>
      <c r="C804" t="s">
        <v>189</v>
      </c>
      <c r="D804" t="s">
        <v>99</v>
      </c>
      <c r="E804" s="2" t="str">
        <f>HYPERLINK("https://ibp.a2mac1.com/costing(costing:projects/details/8191/equipment/6942825)","Equipment (Injection Molding)")</f>
        <v>Equipment (Injection Molding)</v>
      </c>
      <c r="F804" t="s">
        <v>1282</v>
      </c>
    </row>
    <row r="805" spans="1:6" ht="12.75">
      <c r="A805">
        <v>5381414</v>
      </c>
      <c r="B805">
        <v>5381313</v>
      </c>
      <c r="C805" t="s">
        <v>12</v>
      </c>
      <c r="D805" t="s">
        <v>8</v>
      </c>
      <c r="E805" s="2" t="str">
        <f>HYPERLINK("https://ibp.a2mac1.com/costing(costing:projects/details/8191/part/5381414)","Trim Level Emblem")</f>
        <v>Trim Level Emblem</v>
      </c>
      <c r="F805" t="s">
        <v>1278</v>
      </c>
    </row>
    <row r="806" spans="1:6" ht="12.75">
      <c r="A806">
        <v>6970299</v>
      </c>
      <c r="B806">
        <v>5381414</v>
      </c>
      <c r="C806" t="s">
        <v>99</v>
      </c>
      <c r="D806" t="s">
        <v>12</v>
      </c>
      <c r="E806" s="2" t="str">
        <f>HYPERLINK("https://ibp.a2mac1.com/costing(costing:projects/details/8191/process/6970299)","Automated Process")</f>
        <v>Automated Process</v>
      </c>
      <c r="F806" t="s">
        <v>1285</v>
      </c>
    </row>
    <row r="807" spans="1:6" ht="12.75">
      <c r="A807">
        <v>5315439</v>
      </c>
      <c r="B807">
        <v>6970299</v>
      </c>
      <c r="C807" t="s">
        <v>24</v>
      </c>
      <c r="D807" t="s">
        <v>99</v>
      </c>
      <c r="E807" s="2" t="str">
        <f>HYPERLINK("https://ibp.a2mac1.com/costing(costing:projects/details/8191/material/5315439)","ABS")</f>
        <v>ABS</v>
      </c>
      <c r="F807" t="s">
        <v>1287</v>
      </c>
    </row>
    <row r="808" spans="1:6" ht="12.75">
      <c r="A808">
        <v>6942826</v>
      </c>
      <c r="B808">
        <v>6970299</v>
      </c>
      <c r="C808" t="s">
        <v>189</v>
      </c>
      <c r="D808" t="s">
        <v>99</v>
      </c>
      <c r="E808" s="2" t="str">
        <f>HYPERLINK("https://ibp.a2mac1.com/costing(costing:projects/details/8191/equipment/6942826)","Equipment (Injection Molding)")</f>
        <v>Equipment (Injection Molding)</v>
      </c>
      <c r="F808" t="s">
        <v>1287</v>
      </c>
    </row>
    <row r="809" spans="1:6" ht="12.75">
      <c r="A809">
        <v>5381415</v>
      </c>
      <c r="B809">
        <v>5381313</v>
      </c>
      <c r="C809" t="s">
        <v>12</v>
      </c>
      <c r="D809" t="s">
        <v>8</v>
      </c>
      <c r="E809" s="2" t="str">
        <f>HYPERLINK("https://ibp.a2mac1.com/costing(costing:projects/details/8191/part/5381415)","Trim Level Emblem Support")</f>
        <v>Trim Level Emblem Support</v>
      </c>
      <c r="F809" t="s">
        <v>1278</v>
      </c>
    </row>
    <row r="810" spans="1:6" ht="12.75">
      <c r="A810">
        <v>6970300</v>
      </c>
      <c r="B810">
        <v>5381415</v>
      </c>
      <c r="C810" t="s">
        <v>99</v>
      </c>
      <c r="D810" t="s">
        <v>12</v>
      </c>
      <c r="E810" s="2" t="str">
        <f>HYPERLINK("https://ibp.a2mac1.com/costing(costing:projects/details/8191/process/6970300)","Automated Process")</f>
        <v>Automated Process</v>
      </c>
      <c r="F810" t="s">
        <v>1290</v>
      </c>
    </row>
    <row r="811" spans="1:6" ht="12.75">
      <c r="A811">
        <v>5315440</v>
      </c>
      <c r="B811">
        <v>6970300</v>
      </c>
      <c r="C811" t="s">
        <v>24</v>
      </c>
      <c r="D811" t="s">
        <v>99</v>
      </c>
      <c r="E811" s="2" t="str">
        <f>HYPERLINK("https://ibp.a2mac1.com/costing(costing:projects/details/8191/material/5315440)","ABS")</f>
        <v>ABS</v>
      </c>
      <c r="F811" t="s">
        <v>1293</v>
      </c>
    </row>
    <row r="812" spans="1:6" ht="12.75">
      <c r="A812">
        <v>5315441</v>
      </c>
      <c r="B812">
        <v>6970300</v>
      </c>
      <c r="C812" t="s">
        <v>24</v>
      </c>
      <c r="D812" t="s">
        <v>99</v>
      </c>
      <c r="E812" s="2" t="str">
        <f>HYPERLINK("https://ibp.a2mac1.com/costing(costing:projects/details/8191/material/5315441)","PMMA")</f>
        <v>PMMA</v>
      </c>
      <c r="F812" t="s">
        <v>1293</v>
      </c>
    </row>
    <row r="813" spans="1:6" ht="12.75">
      <c r="A813">
        <v>6942827</v>
      </c>
      <c r="B813">
        <v>6970300</v>
      </c>
      <c r="C813" t="s">
        <v>189</v>
      </c>
      <c r="D813" t="s">
        <v>99</v>
      </c>
      <c r="E813" s="2" t="str">
        <f>HYPERLINK("https://ibp.a2mac1.com/costing(costing:projects/details/8191/equipment/6942827)","Equipment (Injection Molding)")</f>
        <v>Equipment (Injection Molding)</v>
      </c>
      <c r="F813" t="s">
        <v>1293</v>
      </c>
    </row>
    <row r="814" spans="1:6" ht="12.75">
      <c r="A814">
        <v>6942828</v>
      </c>
      <c r="B814">
        <v>6970300</v>
      </c>
      <c r="C814" t="s">
        <v>189</v>
      </c>
      <c r="D814" t="s">
        <v>99</v>
      </c>
      <c r="E814" s="2" t="str">
        <f>HYPERLINK("https://ibp.a2mac1.com/costing(costing:projects/details/8191/equipment/6942828)","Equipment (Injection Molding)")</f>
        <v>Equipment (Injection Molding)</v>
      </c>
      <c r="F814" t="s">
        <v>1293</v>
      </c>
    </row>
    <row r="815" spans="1:6" ht="12.75">
      <c r="A815">
        <v>5315335</v>
      </c>
      <c r="B815">
        <v>5381313</v>
      </c>
      <c r="C815" t="s">
        <v>574</v>
      </c>
      <c r="D815" t="s">
        <v>8</v>
      </c>
      <c r="E815" s="2" t="str">
        <f>HYPERLINK("https://ibp.a2mac1.com/costing(costing:projects/details/8191/component/5315335)","Other fastener &gt; Glue")</f>
        <v>Other fastener &gt; Glue</v>
      </c>
      <c r="F815" t="s">
        <v>1278</v>
      </c>
    </row>
    <row r="816" spans="1:6" ht="12.75">
      <c r="A816">
        <v>5381314</v>
      </c>
      <c r="B816">
        <v>5381299</v>
      </c>
      <c r="C816" t="s">
        <v>8</v>
      </c>
      <c r="D816" t="s">
        <v>8</v>
      </c>
      <c r="E816" s="2" t="str">
        <f>HYPERLINK("https://ibp.a2mac1.com/costing(costing:projects/details/8191/assembly/5381314)","Keyless Opening System")</f>
        <v>Keyless Opening System</v>
      </c>
      <c r="F816" t="s">
        <v>1175</v>
      </c>
    </row>
    <row r="817" spans="1:6" ht="12.75">
      <c r="A817">
        <v>5381425</v>
      </c>
      <c r="B817">
        <v>5381314</v>
      </c>
      <c r="C817" t="s">
        <v>8</v>
      </c>
      <c r="D817" t="s">
        <v>8</v>
      </c>
      <c r="E817" s="2" t="str">
        <f>HYPERLINK("https://ibp.a2mac1.com/costing(costing:projects/details/8191/assembly/5381425)","Passive Entry System")</f>
        <v>Passive Entry System</v>
      </c>
      <c r="F817" t="s">
        <v>1297</v>
      </c>
    </row>
    <row r="818" spans="1:6" ht="12.75">
      <c r="A818">
        <v>5381534</v>
      </c>
      <c r="B818">
        <v>5381425</v>
      </c>
      <c r="C818" t="s">
        <v>12</v>
      </c>
      <c r="D818" t="s">
        <v>8</v>
      </c>
      <c r="E818" s="2" t="str">
        <f>HYPERLINK("https://ibp.a2mac1.com/costing(costing:projects/details/8191/part/5381534)","Front Passive Entry ECU")</f>
        <v>Front Passive Entry ECU</v>
      </c>
      <c r="F818" t="s">
        <v>1298</v>
      </c>
    </row>
    <row r="819" spans="1:6" ht="12.75">
      <c r="A819">
        <v>5381535</v>
      </c>
      <c r="B819">
        <v>5381425</v>
      </c>
      <c r="C819" t="s">
        <v>12</v>
      </c>
      <c r="D819" t="s">
        <v>8</v>
      </c>
      <c r="E819" s="2" t="str">
        <f>HYPERLINK("https://ibp.a2mac1.com/costing(costing:projects/details/8191/part/5381535)","Front Passive Entry ECU Support")</f>
        <v>Front Passive Entry ECU Support</v>
      </c>
      <c r="F819" t="s">
        <v>1298</v>
      </c>
    </row>
    <row r="820" spans="1:6" ht="12.75">
      <c r="A820">
        <v>5315389</v>
      </c>
      <c r="B820">
        <v>5381425</v>
      </c>
      <c r="C820" t="s">
        <v>574</v>
      </c>
      <c r="D820" t="s">
        <v>8</v>
      </c>
      <c r="E820" s="2" t="str">
        <f>HYPERLINK("https://ibp.a2mac1.com/costing(costing:projects/details/8191/component/5315389)","Screw &gt; Torx socket head cap screw with flange")</f>
        <v>Screw &gt; Torx socket head cap screw with flange</v>
      </c>
      <c r="F820" t="s">
        <v>1298</v>
      </c>
    </row>
    <row r="821" spans="1:6" ht="12.75">
      <c r="A821">
        <v>5381416</v>
      </c>
      <c r="B821">
        <v>5381314</v>
      </c>
      <c r="C821" t="s">
        <v>12</v>
      </c>
      <c r="D821" t="s">
        <v>8</v>
      </c>
      <c r="E821" s="2" t="str">
        <f>HYPERLINK("https://ibp.a2mac1.com/costing(costing:projects/details/8191/part/5381416)","Keyless Entry ECU")</f>
        <v>Keyless Entry ECU</v>
      </c>
      <c r="F821" t="s">
        <v>1297</v>
      </c>
    </row>
    <row r="822" spans="1:6" ht="12.75">
      <c r="A822">
        <v>6970301</v>
      </c>
      <c r="B822">
        <v>5381416</v>
      </c>
      <c r="C822" t="s">
        <v>99</v>
      </c>
      <c r="D822" t="s">
        <v>12</v>
      </c>
      <c r="E822" s="2" t="str">
        <f>HYPERLINK("https://ibp.a2mac1.com/costing(costing:projects/details/8191/process/6970301)","Process")</f>
        <v>Process</v>
      </c>
      <c r="F822" t="s">
        <v>1304</v>
      </c>
    </row>
    <row r="823" spans="1:6" ht="12.75">
      <c r="A823">
        <v>6942829</v>
      </c>
      <c r="B823">
        <v>6970301</v>
      </c>
      <c r="C823" t="s">
        <v>189</v>
      </c>
      <c r="D823" t="s">
        <v>99</v>
      </c>
      <c r="E823" s="2" t="str">
        <f>HYPERLINK("https://ibp.a2mac1.com/costing(costing:projects/details/8191/equipment/6942829)","Dummy Machine (PCBA+Final Assembly Line)")</f>
        <v>Dummy Machine (PCBA+Final Assembly Line)</v>
      </c>
      <c r="F823" t="s">
        <v>1305</v>
      </c>
    </row>
    <row r="824" spans="1:6" ht="12.75">
      <c r="A824">
        <v>5315383</v>
      </c>
      <c r="B824">
        <v>5381416</v>
      </c>
      <c r="C824" t="s">
        <v>574</v>
      </c>
      <c r="D824" t="s">
        <v>12</v>
      </c>
      <c r="E824" s="2" t="str">
        <f>HYPERLINK("https://ibp.a2mac1.com/costing(costing:projects/details/8191/component/5315383)","Electronics")</f>
        <v>Electronics</v>
      </c>
      <c r="F824" t="s">
        <v>1304</v>
      </c>
    </row>
    <row r="825" spans="1:6" ht="12.75">
      <c r="A825">
        <v>5315384</v>
      </c>
      <c r="B825">
        <v>5381416</v>
      </c>
      <c r="C825" t="s">
        <v>574</v>
      </c>
      <c r="D825" t="s">
        <v>12</v>
      </c>
      <c r="E825" s="2" t="str">
        <f>HYPERLINK("https://ibp.a2mac1.com/costing(costing:projects/details/8191/component/5315384)","Mechanics")</f>
        <v>Mechanics</v>
      </c>
      <c r="F825" t="s">
        <v>1304</v>
      </c>
    </row>
    <row r="826" spans="1:6" ht="12.75">
      <c r="A826">
        <v>5381417</v>
      </c>
      <c r="B826">
        <v>5381314</v>
      </c>
      <c r="C826" t="s">
        <v>12</v>
      </c>
      <c r="D826" t="s">
        <v>8</v>
      </c>
      <c r="E826" s="2" t="str">
        <f>HYPERLINK("https://ibp.a2mac1.com/costing(costing:projects/details/8191/part/5381417)","Antenna 1 Keyless Entry")</f>
        <v>Antenna 1 Keyless Entry</v>
      </c>
      <c r="F826" t="s">
        <v>1297</v>
      </c>
    </row>
    <row r="827" spans="1:6" ht="12.75">
      <c r="A827">
        <v>5381418</v>
      </c>
      <c r="B827">
        <v>5381314</v>
      </c>
      <c r="C827" t="s">
        <v>12</v>
      </c>
      <c r="D827" t="s">
        <v>8</v>
      </c>
      <c r="E827" s="2" t="str">
        <f>HYPERLINK("https://ibp.a2mac1.com/costing(costing:projects/details/8191/part/5381418)","Antenna 2 Keyless Entry")</f>
        <v>Antenna 2 Keyless Entry</v>
      </c>
      <c r="F827" t="s">
        <v>1297</v>
      </c>
    </row>
    <row r="828" spans="1:6" ht="12.75">
      <c r="A828">
        <v>5381419</v>
      </c>
      <c r="B828">
        <v>5381314</v>
      </c>
      <c r="C828" t="s">
        <v>12</v>
      </c>
      <c r="D828" t="s">
        <v>8</v>
      </c>
      <c r="E828" s="2" t="str">
        <f>HYPERLINK("https://ibp.a2mac1.com/costing(costing:projects/details/8191/part/5381419)","Antenna 3 Keyless Entry")</f>
        <v>Antenna 3 Keyless Entry</v>
      </c>
      <c r="F828" t="s">
        <v>1297</v>
      </c>
    </row>
    <row r="829" spans="1:6" ht="12.75">
      <c r="A829">
        <v>5381420</v>
      </c>
      <c r="B829">
        <v>5381314</v>
      </c>
      <c r="C829" t="s">
        <v>12</v>
      </c>
      <c r="D829" t="s">
        <v>8</v>
      </c>
      <c r="E829" s="2" t="str">
        <f>HYPERLINK("https://ibp.a2mac1.com/costing(costing:projects/details/8191/part/5381420)","Antenna 4 Keyless Entry")</f>
        <v>Antenna 4 Keyless Entry</v>
      </c>
      <c r="F829" t="s">
        <v>1297</v>
      </c>
    </row>
    <row r="830" spans="1:6" ht="12.75">
      <c r="A830">
        <v>5381421</v>
      </c>
      <c r="B830">
        <v>5381314</v>
      </c>
      <c r="C830" t="s">
        <v>12</v>
      </c>
      <c r="D830" t="s">
        <v>8</v>
      </c>
      <c r="E830" s="2" t="str">
        <f>HYPERLINK("https://ibp.a2mac1.com/costing(costing:projects/details/8191/part/5381421)","Antenna 5 Keyless Entry")</f>
        <v>Antenna 5 Keyless Entry</v>
      </c>
      <c r="F830" t="s">
        <v>1297</v>
      </c>
    </row>
    <row r="831" spans="1:6" ht="12.75">
      <c r="A831">
        <v>6970302</v>
      </c>
      <c r="B831">
        <v>5381421</v>
      </c>
      <c r="C831" t="s">
        <v>99</v>
      </c>
      <c r="D831" t="s">
        <v>12</v>
      </c>
      <c r="E831" s="2" t="str">
        <f>HYPERLINK("https://ibp.a2mac1.com/costing(costing:projects/details/8191/process/6970302)","Process")</f>
        <v>Process</v>
      </c>
      <c r="F831" t="s">
        <v>1313</v>
      </c>
    </row>
    <row r="832" spans="1:6" ht="12.75">
      <c r="A832">
        <v>6942830</v>
      </c>
      <c r="B832">
        <v>6970302</v>
      </c>
      <c r="C832" t="s">
        <v>189</v>
      </c>
      <c r="D832" t="s">
        <v>99</v>
      </c>
      <c r="E832" s="2" t="str">
        <f>HYPERLINK("https://ibp.a2mac1.com/costing(costing:projects/details/8191/equipment/6942830)","Dummy Machine (PCBA+Final Assembly Line)")</f>
        <v>Dummy Machine (PCBA+Final Assembly Line)</v>
      </c>
      <c r="F832" t="s">
        <v>1314</v>
      </c>
    </row>
    <row r="833" spans="1:6" ht="12.75">
      <c r="A833">
        <v>5315385</v>
      </c>
      <c r="B833">
        <v>5381421</v>
      </c>
      <c r="C833" t="s">
        <v>574</v>
      </c>
      <c r="D833" t="s">
        <v>12</v>
      </c>
      <c r="E833" s="2" t="str">
        <f>HYPERLINK("https://ibp.a2mac1.com/costing(costing:projects/details/8191/component/5315385)","Electronics")</f>
        <v>Electronics</v>
      </c>
      <c r="F833" t="s">
        <v>1313</v>
      </c>
    </row>
    <row r="834" spans="1:6" ht="12.75">
      <c r="A834">
        <v>5315386</v>
      </c>
      <c r="B834">
        <v>5381421</v>
      </c>
      <c r="C834" t="s">
        <v>574</v>
      </c>
      <c r="D834" t="s">
        <v>12</v>
      </c>
      <c r="E834" s="2" t="str">
        <f>HYPERLINK("https://ibp.a2mac1.com/costing(costing:projects/details/8191/component/5315386)","Mechanics")</f>
        <v>Mechanics</v>
      </c>
      <c r="F834" t="s">
        <v>1313</v>
      </c>
    </row>
    <row r="835" spans="1:6" ht="12.75">
      <c r="A835">
        <v>5381422</v>
      </c>
      <c r="B835">
        <v>5381314</v>
      </c>
      <c r="C835" t="s">
        <v>12</v>
      </c>
      <c r="D835" t="s">
        <v>8</v>
      </c>
      <c r="E835" s="2" t="str">
        <f>HYPERLINK("https://ibp.a2mac1.com/costing(costing:projects/details/8191/part/5381422)","Antenna 6 Keyless Entry")</f>
        <v>Antenna 6 Keyless Entry</v>
      </c>
      <c r="F835" t="s">
        <v>1297</v>
      </c>
    </row>
    <row r="836" spans="1:6" ht="12.75">
      <c r="A836">
        <v>6970303</v>
      </c>
      <c r="B836">
        <v>5381422</v>
      </c>
      <c r="C836" t="s">
        <v>99</v>
      </c>
      <c r="D836" t="s">
        <v>12</v>
      </c>
      <c r="E836" s="2" t="str">
        <f>HYPERLINK("https://ibp.a2mac1.com/costing(costing:projects/details/8191/process/6970303)","Process")</f>
        <v>Process</v>
      </c>
      <c r="F836" t="s">
        <v>1316</v>
      </c>
    </row>
    <row r="837" spans="1:6" ht="12.75">
      <c r="A837">
        <v>6942831</v>
      </c>
      <c r="B837">
        <v>6970303</v>
      </c>
      <c r="C837" t="s">
        <v>189</v>
      </c>
      <c r="D837" t="s">
        <v>99</v>
      </c>
      <c r="E837" s="2" t="str">
        <f>HYPERLINK("https://ibp.a2mac1.com/costing(costing:projects/details/8191/equipment/6942831)","Dummy Machine (PCBA+Final Assembly Line)")</f>
        <v>Dummy Machine (PCBA+Final Assembly Line)</v>
      </c>
      <c r="F837" t="s">
        <v>1317</v>
      </c>
    </row>
    <row r="838" spans="1:6" ht="12.75">
      <c r="A838">
        <v>5315387</v>
      </c>
      <c r="B838">
        <v>5381422</v>
      </c>
      <c r="C838" t="s">
        <v>574</v>
      </c>
      <c r="D838" t="s">
        <v>12</v>
      </c>
      <c r="E838" s="2" t="str">
        <f>HYPERLINK("https://ibp.a2mac1.com/costing(costing:projects/details/8191/component/5315387)","Electronics")</f>
        <v>Electronics</v>
      </c>
      <c r="F838" t="s">
        <v>1316</v>
      </c>
    </row>
    <row r="839" spans="1:6" ht="12.75">
      <c r="A839">
        <v>5315388</v>
      </c>
      <c r="B839">
        <v>5381422</v>
      </c>
      <c r="C839" t="s">
        <v>574</v>
      </c>
      <c r="D839" t="s">
        <v>12</v>
      </c>
      <c r="E839" s="2" t="str">
        <f>HYPERLINK("https://ibp.a2mac1.com/costing(costing:projects/details/8191/component/5315388)","Mechanics")</f>
        <v>Mechanics</v>
      </c>
      <c r="F839" t="s">
        <v>1316</v>
      </c>
    </row>
    <row r="840" spans="1:6" ht="12.75">
      <c r="A840">
        <v>5381423</v>
      </c>
      <c r="B840">
        <v>5381314</v>
      </c>
      <c r="C840" t="s">
        <v>12</v>
      </c>
      <c r="D840" t="s">
        <v>8</v>
      </c>
      <c r="E840" s="2" t="str">
        <f>HYPERLINK("https://ibp.a2mac1.com/costing(costing:projects/details/8191/part/5381423)","Antenna Support")</f>
        <v>Antenna Support</v>
      </c>
      <c r="F840" t="s">
        <v>1297</v>
      </c>
    </row>
    <row r="841" spans="1:6" ht="12.75">
      <c r="A841">
        <v>5381424</v>
      </c>
      <c r="B841">
        <v>5381314</v>
      </c>
      <c r="C841" t="s">
        <v>12</v>
      </c>
      <c r="D841" t="s">
        <v>8</v>
      </c>
      <c r="E841" s="2" t="str">
        <f>HYPERLINK("https://ibp.a2mac1.com/costing(costing:projects/details/8191/part/5381424)","Antenna Support 2")</f>
        <v>Antenna Support 2</v>
      </c>
      <c r="F841" t="s">
        <v>1297</v>
      </c>
    </row>
    <row r="842" spans="1:6" ht="12.75">
      <c r="A842">
        <v>5381315</v>
      </c>
      <c r="B842">
        <v>5381299</v>
      </c>
      <c r="C842" t="s">
        <v>8</v>
      </c>
      <c r="D842" t="s">
        <v>8</v>
      </c>
      <c r="E842" s="2" t="str">
        <f>HYPERLINK("https://ibp.a2mac1.com/costing(costing:projects/details/8191/assembly/5381315)","Park Assist System")</f>
        <v>Park Assist System</v>
      </c>
      <c r="F842" t="s">
        <v>1175</v>
      </c>
    </row>
    <row r="843" spans="1:6" ht="12.75">
      <c r="A843">
        <v>5381426</v>
      </c>
      <c r="B843">
        <v>5381315</v>
      </c>
      <c r="C843" t="s">
        <v>8</v>
      </c>
      <c r="D843" t="s">
        <v>8</v>
      </c>
      <c r="E843" s="2" t="str">
        <f>HYPERLINK("https://ibp.a2mac1.com/costing(costing:projects/details/8191/assembly/5381426)","Front Park Assist")</f>
        <v>Front Park Assist</v>
      </c>
      <c r="F843" t="s">
        <v>1322</v>
      </c>
    </row>
    <row r="844" spans="1:6" ht="12.75">
      <c r="A844">
        <v>5381536</v>
      </c>
      <c r="B844">
        <v>5381426</v>
      </c>
      <c r="C844" t="s">
        <v>12</v>
      </c>
      <c r="D844" t="s">
        <v>8</v>
      </c>
      <c r="E844" s="2" t="str">
        <f>HYPERLINK("https://ibp.a2mac1.com/costing(costing:projects/details/8191/part/5381536)","Front Park Assist Sensor")</f>
        <v>Front Park Assist Sensor</v>
      </c>
      <c r="F844" t="s">
        <v>1323</v>
      </c>
    </row>
    <row r="845" spans="1:6" ht="12.75">
      <c r="A845">
        <v>5381537</v>
      </c>
      <c r="B845">
        <v>5381426</v>
      </c>
      <c r="C845" t="s">
        <v>12</v>
      </c>
      <c r="D845" t="s">
        <v>8</v>
      </c>
      <c r="E845" s="2" t="str">
        <f>HYPERLINK("https://ibp.a2mac1.com/costing(costing:projects/details/8191/part/5381537)","Front Park Assist Sensor Support")</f>
        <v>Front Park Assist Sensor Support</v>
      </c>
      <c r="F845" t="s">
        <v>1323</v>
      </c>
    </row>
    <row r="846" spans="1:6" ht="12.75">
      <c r="A846">
        <v>5381538</v>
      </c>
      <c r="B846">
        <v>5381426</v>
      </c>
      <c r="C846" t="s">
        <v>12</v>
      </c>
      <c r="D846" t="s">
        <v>8</v>
      </c>
      <c r="E846" s="2" t="str">
        <f>HYPERLINK("https://ibp.a2mac1.com/costing(costing:projects/details/8191/part/5381538)","Front Park Assist Sensor Support 2")</f>
        <v>Front Park Assist Sensor Support 2</v>
      </c>
      <c r="F846" t="s">
        <v>1323</v>
      </c>
    </row>
    <row r="847" spans="1:6" ht="12.75">
      <c r="A847">
        <v>5381427</v>
      </c>
      <c r="B847">
        <v>5381315</v>
      </c>
      <c r="C847" t="s">
        <v>8</v>
      </c>
      <c r="D847" t="s">
        <v>8</v>
      </c>
      <c r="E847" s="2" t="str">
        <f>HYPERLINK("https://ibp.a2mac1.com/costing(costing:projects/details/8191/assembly/5381427)","Rear Park Assist")</f>
        <v>Rear Park Assist</v>
      </c>
      <c r="F847" t="s">
        <v>1322</v>
      </c>
    </row>
    <row r="848" spans="1:6" ht="12.75">
      <c r="A848">
        <v>5381544</v>
      </c>
      <c r="B848">
        <v>5381427</v>
      </c>
      <c r="C848" t="s">
        <v>8</v>
      </c>
      <c r="D848" t="s">
        <v>8</v>
      </c>
      <c r="E848" s="2" t="str">
        <f>HYPERLINK("https://ibp.a2mac1.com/costing(costing:projects/details/8191/assembly/5381544)","Camera System")</f>
        <v>Camera System</v>
      </c>
      <c r="F848" t="s">
        <v>1329</v>
      </c>
    </row>
    <row r="849" spans="1:6" ht="12.75">
      <c r="A849">
        <v>5381691</v>
      </c>
      <c r="B849">
        <v>5381544</v>
      </c>
      <c r="C849" t="s">
        <v>8</v>
      </c>
      <c r="D849" t="s">
        <v>8</v>
      </c>
      <c r="E849" s="2" t="str">
        <f>HYPERLINK("https://ibp.a2mac1.com/costing(costing:projects/details/8191/assembly/5381691)","Camera Washer System")</f>
        <v>Camera Washer System</v>
      </c>
      <c r="F849" t="s">
        <v>1330</v>
      </c>
    </row>
    <row r="850" spans="1:6" ht="12.75">
      <c r="A850">
        <v>5381721</v>
      </c>
      <c r="B850">
        <v>5381691</v>
      </c>
      <c r="C850" t="s">
        <v>12</v>
      </c>
      <c r="D850" t="s">
        <v>8</v>
      </c>
      <c r="E850" s="2" t="str">
        <f>HYPERLINK("https://ibp.a2mac1.com/costing(costing:projects/details/8191/part/5381721)","Camera Washer Jet")</f>
        <v>Camera Washer Jet</v>
      </c>
      <c r="F850" t="s">
        <v>1331</v>
      </c>
    </row>
    <row r="851" spans="1:6" ht="12.75">
      <c r="A851">
        <v>5381690</v>
      </c>
      <c r="B851">
        <v>5381544</v>
      </c>
      <c r="C851" t="s">
        <v>12</v>
      </c>
      <c r="D851" t="s">
        <v>8</v>
      </c>
      <c r="E851" s="2" t="str">
        <f>HYPERLINK("https://ibp.a2mac1.com/costing(costing:projects/details/8191/part/5381690)","Rear Camera")</f>
        <v>Rear Camera</v>
      </c>
      <c r="F851" t="s">
        <v>1330</v>
      </c>
    </row>
    <row r="852" spans="1:6" ht="12.75">
      <c r="A852">
        <v>6970439</v>
      </c>
      <c r="B852">
        <v>5381690</v>
      </c>
      <c r="C852" t="s">
        <v>99</v>
      </c>
      <c r="D852" t="s">
        <v>12</v>
      </c>
      <c r="E852" s="2" t="str">
        <f>HYPERLINK("https://ibp.a2mac1.com/costing(costing:projects/details/8191/process/6970439)","Process")</f>
        <v>Process</v>
      </c>
      <c r="F852" t="s">
        <v>1335</v>
      </c>
    </row>
    <row r="853" spans="1:6" ht="12.75">
      <c r="A853">
        <v>6942848</v>
      </c>
      <c r="B853">
        <v>6970439</v>
      </c>
      <c r="C853" t="s">
        <v>189</v>
      </c>
      <c r="D853" t="s">
        <v>99</v>
      </c>
      <c r="E853" s="2" t="str">
        <f>HYPERLINK("https://ibp.a2mac1.com/costing(costing:projects/details/8191/equipment/6942848)","Dummy Machine (PCBA+Final Assembly Line)")</f>
        <v>Dummy Machine (PCBA+Final Assembly Line)</v>
      </c>
      <c r="F853" t="s">
        <v>1336</v>
      </c>
    </row>
    <row r="854" spans="1:6" ht="12.75">
      <c r="A854">
        <v>5315445</v>
      </c>
      <c r="B854">
        <v>5381690</v>
      </c>
      <c r="C854" t="s">
        <v>574</v>
      </c>
      <c r="D854" t="s">
        <v>12</v>
      </c>
      <c r="E854" s="2" t="str">
        <f>HYPERLINK("https://ibp.a2mac1.com/costing(costing:projects/details/8191/component/5315445)","Electronics")</f>
        <v>Electronics</v>
      </c>
      <c r="F854" t="s">
        <v>1335</v>
      </c>
    </row>
    <row r="855" spans="1:6" ht="12.75">
      <c r="A855">
        <v>5315446</v>
      </c>
      <c r="B855">
        <v>5381690</v>
      </c>
      <c r="C855" t="s">
        <v>574</v>
      </c>
      <c r="D855" t="s">
        <v>12</v>
      </c>
      <c r="E855" s="2" t="str">
        <f>HYPERLINK("https://ibp.a2mac1.com/costing(costing:projects/details/8191/component/5315446)","Mechanics")</f>
        <v>Mechanics</v>
      </c>
      <c r="F855" t="s">
        <v>1335</v>
      </c>
    </row>
    <row r="856" spans="1:6" ht="12.75">
      <c r="A856">
        <v>5381539</v>
      </c>
      <c r="B856">
        <v>5381427</v>
      </c>
      <c r="C856" t="s">
        <v>12</v>
      </c>
      <c r="D856" t="s">
        <v>8</v>
      </c>
      <c r="E856" s="2" t="str">
        <f>HYPERLINK("https://ibp.a2mac1.com/costing(costing:projects/details/8191/part/5381539)","Parking Assist ECU")</f>
        <v>Parking Assist ECU</v>
      </c>
      <c r="F856" t="s">
        <v>1329</v>
      </c>
    </row>
    <row r="857" spans="1:6" ht="12.75">
      <c r="A857">
        <v>6970396</v>
      </c>
      <c r="B857">
        <v>5381539</v>
      </c>
      <c r="C857" t="s">
        <v>99</v>
      </c>
      <c r="D857" t="s">
        <v>12</v>
      </c>
      <c r="E857" s="2" t="str">
        <f>HYPERLINK("https://ibp.a2mac1.com/costing(costing:projects/details/8191/process/6970396)","Process")</f>
        <v>Process</v>
      </c>
      <c r="F857" t="s">
        <v>1340</v>
      </c>
    </row>
    <row r="858" spans="1:6" ht="12.75">
      <c r="A858">
        <v>6942847</v>
      </c>
      <c r="B858">
        <v>6970396</v>
      </c>
      <c r="C858" t="s">
        <v>189</v>
      </c>
      <c r="D858" t="s">
        <v>99</v>
      </c>
      <c r="E858" s="2" t="str">
        <f>HYPERLINK("https://ibp.a2mac1.com/costing(costing:projects/details/8191/equipment/6942847)","Dummy Machine (PCBA+Final Assembly Line)")</f>
        <v>Dummy Machine (PCBA+Final Assembly Line)</v>
      </c>
      <c r="F858" t="s">
        <v>1341</v>
      </c>
    </row>
    <row r="859" spans="1:6" ht="12.75">
      <c r="A859">
        <v>5315442</v>
      </c>
      <c r="B859">
        <v>5381539</v>
      </c>
      <c r="C859" t="s">
        <v>574</v>
      </c>
      <c r="D859" t="s">
        <v>12</v>
      </c>
      <c r="E859" s="2" t="str">
        <f>HYPERLINK("https://ibp.a2mac1.com/costing(costing:projects/details/8191/component/5315442)","Electronics")</f>
        <v>Electronics</v>
      </c>
      <c r="F859" t="s">
        <v>1340</v>
      </c>
    </row>
    <row r="860" spans="1:6" ht="12.75">
      <c r="A860">
        <v>5315443</v>
      </c>
      <c r="B860">
        <v>5381539</v>
      </c>
      <c r="C860" t="s">
        <v>574</v>
      </c>
      <c r="D860" t="s">
        <v>12</v>
      </c>
      <c r="E860" s="2" t="str">
        <f>HYPERLINK("https://ibp.a2mac1.com/costing(costing:projects/details/8191/component/5315443)","Mechanics")</f>
        <v>Mechanics</v>
      </c>
      <c r="F860" t="s">
        <v>1340</v>
      </c>
    </row>
    <row r="861" spans="1:6" ht="12.75">
      <c r="A861">
        <v>5381540</v>
      </c>
      <c r="B861">
        <v>5381427</v>
      </c>
      <c r="C861" t="s">
        <v>12</v>
      </c>
      <c r="D861" t="s">
        <v>8</v>
      </c>
      <c r="E861" s="2" t="str">
        <f>HYPERLINK("https://ibp.a2mac1.com/costing(costing:projects/details/8191/part/5381540)","Rear Park Assist Sensor")</f>
        <v>Rear Park Assist Sensor</v>
      </c>
      <c r="F861" t="s">
        <v>1329</v>
      </c>
    </row>
    <row r="862" spans="1:6" ht="12.75">
      <c r="A862">
        <v>5381541</v>
      </c>
      <c r="B862">
        <v>5381427</v>
      </c>
      <c r="C862" t="s">
        <v>12</v>
      </c>
      <c r="D862" t="s">
        <v>8</v>
      </c>
      <c r="E862" s="2" t="str">
        <f>HYPERLINK("https://ibp.a2mac1.com/costing(costing:projects/details/8191/part/5381541)","Rear Park Assist Sensor Support")</f>
        <v>Rear Park Assist Sensor Support</v>
      </c>
      <c r="F862" t="s">
        <v>1329</v>
      </c>
    </row>
    <row r="863" spans="1:6" ht="12.75">
      <c r="A863">
        <v>5381542</v>
      </c>
      <c r="B863">
        <v>5381427</v>
      </c>
      <c r="C863" t="s">
        <v>12</v>
      </c>
      <c r="D863" t="s">
        <v>8</v>
      </c>
      <c r="E863" s="2" t="str">
        <f>HYPERLINK("https://ibp.a2mac1.com/costing(costing:projects/details/8191/part/5381542)","Rear Park Assist Sensor Support 2")</f>
        <v>Rear Park Assist Sensor Support 2</v>
      </c>
      <c r="F863" t="s">
        <v>1329</v>
      </c>
    </row>
    <row r="864" spans="1:6" ht="12.75">
      <c r="A864">
        <v>5381543</v>
      </c>
      <c r="B864">
        <v>5381427</v>
      </c>
      <c r="C864" t="s">
        <v>12</v>
      </c>
      <c r="D864" t="s">
        <v>8</v>
      </c>
      <c r="E864" s="2" t="str">
        <f>HYPERLINK("https://ibp.a2mac1.com/costing(costing:projects/details/8191/part/5381543)","Rear Buzzer")</f>
        <v>Rear Buzzer</v>
      </c>
      <c r="F864" t="s">
        <v>1329</v>
      </c>
    </row>
    <row r="865" spans="1:6" ht="12.75">
      <c r="A865">
        <v>5315390</v>
      </c>
      <c r="B865">
        <v>5381427</v>
      </c>
      <c r="C865" t="s">
        <v>574</v>
      </c>
      <c r="D865" t="s">
        <v>8</v>
      </c>
      <c r="E865" s="2" t="str">
        <f>HYPERLINK("https://ibp.a2mac1.com/costing(costing:projects/details/8191/component/5315390)","Screw &gt; Torx socket head cap screw with flange")</f>
        <v>Screw &gt; Torx socket head cap screw with flange</v>
      </c>
      <c r="F865" t="s">
        <v>1329</v>
      </c>
    </row>
    <row r="866" spans="1:6" ht="12.75">
      <c r="A866">
        <v>5315391</v>
      </c>
      <c r="B866">
        <v>5381427</v>
      </c>
      <c r="C866" t="s">
        <v>574</v>
      </c>
      <c r="D866" t="s">
        <v>8</v>
      </c>
      <c r="E866" s="2" t="str">
        <f>HYPERLINK("https://ibp.a2mac1.com/costing(costing:projects/details/8191/component/5315391)","Rivet &gt; Head rivet")</f>
        <v>Rivet &gt; Head rivet</v>
      </c>
      <c r="F866" t="s">
        <v>1329</v>
      </c>
    </row>
    <row r="867" spans="1:6" ht="12.75">
      <c r="A867">
        <v>5381316</v>
      </c>
      <c r="B867">
        <v>5381299</v>
      </c>
      <c r="C867" t="s">
        <v>8</v>
      </c>
      <c r="D867" t="s">
        <v>8</v>
      </c>
      <c r="E867" s="2" t="str">
        <f>HYPERLINK("https://ibp.a2mac1.com/costing(costing:projects/details/8191/assembly/5381316)","Distance Control System")</f>
        <v>Distance Control System</v>
      </c>
      <c r="F867" t="s">
        <v>1175</v>
      </c>
    </row>
    <row r="868" spans="1:6" ht="12.75">
      <c r="A868">
        <v>5381428</v>
      </c>
      <c r="B868">
        <v>5381316</v>
      </c>
      <c r="C868" t="s">
        <v>12</v>
      </c>
      <c r="D868" t="s">
        <v>8</v>
      </c>
      <c r="E868" s="2" t="str">
        <f>HYPERLINK("https://ibp.a2mac1.com/costing(costing:projects/details/8191/part/5381428)","Distance Control Radar")</f>
        <v>Distance Control Radar</v>
      </c>
      <c r="F868" t="s">
        <v>1352</v>
      </c>
    </row>
    <row r="869" spans="1:6" ht="12.75">
      <c r="A869">
        <v>6970304</v>
      </c>
      <c r="B869">
        <v>5381428</v>
      </c>
      <c r="C869" t="s">
        <v>99</v>
      </c>
      <c r="D869" t="s">
        <v>12</v>
      </c>
      <c r="E869" s="2" t="str">
        <f>HYPERLINK("https://ibp.a2mac1.com/costing(costing:projects/details/8191/process/6970304)","Process")</f>
        <v>Process</v>
      </c>
      <c r="F869" t="s">
        <v>1353</v>
      </c>
    </row>
    <row r="870" spans="1:6" ht="12.75">
      <c r="A870">
        <v>6942832</v>
      </c>
      <c r="B870">
        <v>6970304</v>
      </c>
      <c r="C870" t="s">
        <v>189</v>
      </c>
      <c r="D870" t="s">
        <v>99</v>
      </c>
      <c r="E870" s="2" t="str">
        <f>HYPERLINK("https://ibp.a2mac1.com/costing(costing:projects/details/8191/equipment/6942832)","Dummy Machine (PCBA+Final Assembly Line)")</f>
        <v>Dummy Machine (PCBA+Final Assembly Line)</v>
      </c>
      <c r="F870" t="s">
        <v>1354</v>
      </c>
    </row>
    <row r="871" spans="1:6" ht="12.75">
      <c r="A871">
        <v>5315392</v>
      </c>
      <c r="B871">
        <v>5381428</v>
      </c>
      <c r="C871" t="s">
        <v>574</v>
      </c>
      <c r="D871" t="s">
        <v>12</v>
      </c>
      <c r="E871" s="2" t="str">
        <f>HYPERLINK("https://ibp.a2mac1.com/costing(costing:projects/details/8191/component/5315392)","Electronics")</f>
        <v>Electronics</v>
      </c>
      <c r="F871" t="s">
        <v>1353</v>
      </c>
    </row>
    <row r="872" spans="1:6" ht="12.75">
      <c r="A872">
        <v>5315393</v>
      </c>
      <c r="B872">
        <v>5381428</v>
      </c>
      <c r="C872" t="s">
        <v>574</v>
      </c>
      <c r="D872" t="s">
        <v>12</v>
      </c>
      <c r="E872" s="2" t="str">
        <f>HYPERLINK("https://ibp.a2mac1.com/costing(costing:projects/details/8191/component/5315393)","Mechanics")</f>
        <v>Mechanics</v>
      </c>
      <c r="F872" t="s">
        <v>1353</v>
      </c>
    </row>
    <row r="873" spans="1:6" ht="12.75">
      <c r="A873">
        <v>5381429</v>
      </c>
      <c r="B873">
        <v>5381316</v>
      </c>
      <c r="C873" t="s">
        <v>12</v>
      </c>
      <c r="D873" t="s">
        <v>8</v>
      </c>
      <c r="E873" s="2" t="str">
        <f>HYPERLINK("https://ibp.a2mac1.com/costing(costing:projects/details/8191/part/5381429)","Distance Control Radar Support")</f>
        <v>Distance Control Radar Support</v>
      </c>
      <c r="F873" t="s">
        <v>1352</v>
      </c>
    </row>
    <row r="874" spans="1:6" ht="12.75">
      <c r="A874">
        <v>5315336</v>
      </c>
      <c r="B874">
        <v>5381316</v>
      </c>
      <c r="C874" t="s">
        <v>574</v>
      </c>
      <c r="D874" t="s">
        <v>8</v>
      </c>
      <c r="E874" s="2" t="str">
        <f>HYPERLINK("https://ibp.a2mac1.com/costing(costing:projects/details/8191/component/5315336)","Screw &gt; Torx socket head cap screw with flange")</f>
        <v>Screw &gt; Torx socket head cap screw with flange</v>
      </c>
      <c r="F874" t="s">
        <v>1352</v>
      </c>
    </row>
    <row r="875" spans="1:6" ht="12.75">
      <c r="A875">
        <v>5381317</v>
      </c>
      <c r="B875">
        <v>5381299</v>
      </c>
      <c r="C875" t="s">
        <v>8</v>
      </c>
      <c r="D875" t="s">
        <v>8</v>
      </c>
      <c r="E875" s="2" t="str">
        <f>HYPERLINK("https://ibp.a2mac1.com/costing(costing:projects/details/8191/assembly/5381317)","Lane Assist System")</f>
        <v>Lane Assist System</v>
      </c>
      <c r="F875" t="s">
        <v>1175</v>
      </c>
    </row>
    <row r="876" spans="1:6" ht="12.75">
      <c r="A876">
        <v>5381471</v>
      </c>
      <c r="B876">
        <v>5381317</v>
      </c>
      <c r="C876" t="s">
        <v>12</v>
      </c>
      <c r="D876" t="s">
        <v>8</v>
      </c>
      <c r="E876" s="2" t="str">
        <f>HYPERLINK("https://ibp.a2mac1.com/costing(costing:projects/details/8191/part/5381471)","Lane Assist Camera")</f>
        <v>Lane Assist Camera</v>
      </c>
      <c r="F876" t="s">
        <v>1360</v>
      </c>
    </row>
    <row r="877" spans="1:6" ht="12.75">
      <c r="A877">
        <v>6970305</v>
      </c>
      <c r="B877">
        <v>5381471</v>
      </c>
      <c r="C877" t="s">
        <v>99</v>
      </c>
      <c r="D877" t="s">
        <v>12</v>
      </c>
      <c r="E877" s="2" t="str">
        <f>HYPERLINK("https://ibp.a2mac1.com/costing(costing:projects/details/8191/process/6970305)","Process")</f>
        <v>Process</v>
      </c>
      <c r="F877" t="s">
        <v>1361</v>
      </c>
    </row>
    <row r="878" spans="1:6" ht="12.75">
      <c r="A878">
        <v>6942833</v>
      </c>
      <c r="B878">
        <v>6970305</v>
      </c>
      <c r="C878" t="s">
        <v>189</v>
      </c>
      <c r="D878" t="s">
        <v>99</v>
      </c>
      <c r="E878" s="2" t="str">
        <f>HYPERLINK("https://ibp.a2mac1.com/costing(costing:projects/details/8191/equipment/6942833)","Dummy Machine (PCBA+Final Assembly Line)")</f>
        <v>Dummy Machine (PCBA+Final Assembly Line)</v>
      </c>
      <c r="F878" t="s">
        <v>1362</v>
      </c>
    </row>
    <row r="879" spans="1:6" ht="12.75">
      <c r="A879">
        <v>5315394</v>
      </c>
      <c r="B879">
        <v>5381471</v>
      </c>
      <c r="C879" t="s">
        <v>574</v>
      </c>
      <c r="D879" t="s">
        <v>12</v>
      </c>
      <c r="E879" s="2" t="str">
        <f>HYPERLINK("https://ibp.a2mac1.com/costing(costing:projects/details/8191/component/5315394)","Electronics")</f>
        <v>Electronics</v>
      </c>
      <c r="F879" t="s">
        <v>1361</v>
      </c>
    </row>
    <row r="880" spans="1:6" ht="12.75">
      <c r="A880">
        <v>5315395</v>
      </c>
      <c r="B880">
        <v>5381471</v>
      </c>
      <c r="C880" t="s">
        <v>574</v>
      </c>
      <c r="D880" t="s">
        <v>12</v>
      </c>
      <c r="E880" s="2" t="str">
        <f>HYPERLINK("https://ibp.a2mac1.com/costing(costing:projects/details/8191/component/5315395)","Mechanics")</f>
        <v>Mechanics</v>
      </c>
      <c r="F880" t="s">
        <v>1361</v>
      </c>
    </row>
    <row r="881" spans="1:6" ht="12.75">
      <c r="A881">
        <v>5381318</v>
      </c>
      <c r="B881">
        <v>5381299</v>
      </c>
      <c r="C881" t="s">
        <v>8</v>
      </c>
      <c r="D881" t="s">
        <v>8</v>
      </c>
      <c r="E881" s="2" t="str">
        <f>HYPERLINK("https://ibp.a2mac1.com/costing(costing:projects/details/8191/assembly/5381318)","Blind Spot Detection System")</f>
        <v>Blind Spot Detection System</v>
      </c>
      <c r="F881" t="s">
        <v>1175</v>
      </c>
    </row>
    <row r="882" spans="1:6" ht="12.75">
      <c r="A882">
        <v>5381472</v>
      </c>
      <c r="B882">
        <v>5381318</v>
      </c>
      <c r="C882" t="s">
        <v>8</v>
      </c>
      <c r="D882" t="s">
        <v>8</v>
      </c>
      <c r="E882" s="2" t="str">
        <f>HYPERLINK("https://ibp.a2mac1.com/costing(costing:projects/details/8191/assembly/5381472)","Blind Spot Detection Radar")</f>
        <v>Blind Spot Detection Radar</v>
      </c>
      <c r="F882" t="s">
        <v>1365</v>
      </c>
    </row>
    <row r="883" spans="1:6" ht="12.75">
      <c r="A883">
        <v>6970306</v>
      </c>
      <c r="B883">
        <v>5381472</v>
      </c>
      <c r="C883" t="s">
        <v>99</v>
      </c>
      <c r="D883" t="s">
        <v>8</v>
      </c>
      <c r="E883" s="2" t="str">
        <f>HYPERLINK("https://ibp.a2mac1.com/costing(costing:projects/details/8191/process/6970306)","Process")</f>
        <v>Process</v>
      </c>
      <c r="F883" t="s">
        <v>1366</v>
      </c>
    </row>
    <row r="884" spans="1:6" ht="12.75">
      <c r="A884">
        <v>6942834</v>
      </c>
      <c r="B884">
        <v>6970306</v>
      </c>
      <c r="C884" t="s">
        <v>189</v>
      </c>
      <c r="D884" t="s">
        <v>99</v>
      </c>
      <c r="E884" s="2" t="str">
        <f>HYPERLINK("https://ibp.a2mac1.com/costing(costing:projects/details/8191/equipment/6942834)","Dummy Machine (PCBA+Final Assembly Line)")</f>
        <v>Dummy Machine (PCBA+Final Assembly Line)</v>
      </c>
      <c r="F884" t="s">
        <v>1367</v>
      </c>
    </row>
    <row r="885" spans="1:6" ht="12.75">
      <c r="A885">
        <v>5315396</v>
      </c>
      <c r="B885">
        <v>5381472</v>
      </c>
      <c r="C885" t="s">
        <v>574</v>
      </c>
      <c r="D885" t="s">
        <v>8</v>
      </c>
      <c r="E885" s="2" t="str">
        <f>HYPERLINK("https://ibp.a2mac1.com/costing(costing:projects/details/8191/component/5315396)","Mechanics")</f>
        <v>Mechanics</v>
      </c>
      <c r="F885" t="s">
        <v>1366</v>
      </c>
    </row>
    <row r="886" spans="1:6" ht="12.75">
      <c r="A886">
        <v>5315397</v>
      </c>
      <c r="B886">
        <v>5381472</v>
      </c>
      <c r="C886" t="s">
        <v>574</v>
      </c>
      <c r="D886" t="s">
        <v>8</v>
      </c>
      <c r="E886" s="2" t="str">
        <f>HYPERLINK("https://ibp.a2mac1.com/costing(costing:projects/details/8191/component/5315397)","Electronics")</f>
        <v>Electronics</v>
      </c>
      <c r="F886" t="s">
        <v>1366</v>
      </c>
    </row>
    <row r="887" spans="1:6" ht="12.75">
      <c r="A887">
        <v>5381473</v>
      </c>
      <c r="B887">
        <v>5381318</v>
      </c>
      <c r="C887" t="s">
        <v>12</v>
      </c>
      <c r="D887" t="s">
        <v>8</v>
      </c>
      <c r="E887" s="2" t="str">
        <f>HYPERLINK("https://ibp.a2mac1.com/costing(costing:projects/details/8191/part/5381473)","Blind Spot Detection Radar Support")</f>
        <v>Blind Spot Detection Radar Support</v>
      </c>
      <c r="F887" t="s">
        <v>1365</v>
      </c>
    </row>
    <row r="888" spans="1:6" ht="12.75">
      <c r="A888">
        <v>5315337</v>
      </c>
      <c r="B888">
        <v>5381318</v>
      </c>
      <c r="C888" t="s">
        <v>574</v>
      </c>
      <c r="D888" t="s">
        <v>8</v>
      </c>
      <c r="E888" s="2" t="str">
        <f>HYPERLINK("https://ibp.a2mac1.com/costing(costing:projects/details/8191/component/5315337)","Nut &gt; Hexagonal nut with collar")</f>
        <v>Nut &gt; Hexagonal nut with collar</v>
      </c>
      <c r="F888" t="s">
        <v>1365</v>
      </c>
    </row>
    <row r="889" spans="1:6" ht="12.75">
      <c r="A889">
        <v>5381319</v>
      </c>
      <c r="B889">
        <v>5381299</v>
      </c>
      <c r="C889" t="s">
        <v>8</v>
      </c>
      <c r="D889" t="s">
        <v>8</v>
      </c>
      <c r="E889" s="2" t="str">
        <f>HYPERLINK("https://ibp.a2mac1.com/costing(costing:projects/details/8191/assembly/5381319)","Trailer Hitch System   Bike Carier")</f>
        <v>Trailer Hitch System   Bike Carier</v>
      </c>
      <c r="F889" t="s">
        <v>1175</v>
      </c>
    </row>
    <row r="890" spans="1:6" ht="12.75">
      <c r="A890">
        <v>5381474</v>
      </c>
      <c r="B890">
        <v>5381319</v>
      </c>
      <c r="C890" t="s">
        <v>12</v>
      </c>
      <c r="D890" t="s">
        <v>8</v>
      </c>
      <c r="E890" s="2" t="str">
        <f>HYPERLINK("https://ibp.a2mac1.com/costing(costing:projects/details/8191/part/5381474)","Receiver")</f>
        <v>Receiver</v>
      </c>
      <c r="F890" t="s">
        <v>1371</v>
      </c>
    </row>
    <row r="891" spans="1:6" ht="12.75">
      <c r="A891">
        <v>6970307</v>
      </c>
      <c r="B891">
        <v>5381474</v>
      </c>
      <c r="C891" t="s">
        <v>99</v>
      </c>
      <c r="D891" t="s">
        <v>12</v>
      </c>
      <c r="E891" s="2" t="str">
        <f>HYPERLINK("https://ibp.a2mac1.com/costing(costing:projects/details/8191/process/6970307)","Automated Process")</f>
        <v>Automated Process</v>
      </c>
      <c r="F891" t="s">
        <v>1372</v>
      </c>
    </row>
    <row r="892" spans="1:6" ht="12.75">
      <c r="A892">
        <v>5381475</v>
      </c>
      <c r="B892">
        <v>5381319</v>
      </c>
      <c r="C892" t="s">
        <v>12</v>
      </c>
      <c r="D892" t="s">
        <v>8</v>
      </c>
      <c r="E892" s="2" t="str">
        <f>HYPERLINK("https://ibp.a2mac1.com/costing(costing:projects/details/8191/part/5381475)","Protection")</f>
        <v>Protection</v>
      </c>
      <c r="F892" t="s">
        <v>1371</v>
      </c>
    </row>
    <row r="893" spans="1:6" ht="12.75">
      <c r="A893">
        <v>6970308</v>
      </c>
      <c r="B893">
        <v>5381475</v>
      </c>
      <c r="C893" t="s">
        <v>99</v>
      </c>
      <c r="D893" t="s">
        <v>12</v>
      </c>
      <c r="E893" s="2" t="str">
        <f>HYPERLINK("https://ibp.a2mac1.com/costing(costing:projects/details/8191/process/6970308)","Automated Process")</f>
        <v>Automated Process</v>
      </c>
      <c r="F893" t="s">
        <v>1374</v>
      </c>
    </row>
    <row r="894" spans="1:6" ht="12.75">
      <c r="A894">
        <v>5315444</v>
      </c>
      <c r="B894">
        <v>6970308</v>
      </c>
      <c r="C894" t="s">
        <v>24</v>
      </c>
      <c r="D894" t="s">
        <v>99</v>
      </c>
      <c r="E894" s="2" t="str">
        <f>HYPERLINK("https://ibp.a2mac1.com/costing(costing:projects/details/8191/material/5315444)","PA6")</f>
        <v>PA6</v>
      </c>
      <c r="F894" t="s">
        <v>1377</v>
      </c>
    </row>
    <row r="895" spans="1:6" ht="12.75">
      <c r="A895">
        <v>6942835</v>
      </c>
      <c r="B895">
        <v>6970308</v>
      </c>
      <c r="C895" t="s">
        <v>189</v>
      </c>
      <c r="D895" t="s">
        <v>99</v>
      </c>
      <c r="E895" s="2" t="str">
        <f>HYPERLINK("https://ibp.a2mac1.com/costing(costing:projects/details/8191/equipment/6942835)","Equipment (Injection Molding)")</f>
        <v>Equipment (Injection Molding)</v>
      </c>
      <c r="F895" t="s">
        <v>1377</v>
      </c>
    </row>
    <row r="896" spans="1:6" ht="12.75">
      <c r="A896">
        <v>5315338</v>
      </c>
      <c r="B896">
        <v>5381319</v>
      </c>
      <c r="C896" t="s">
        <v>574</v>
      </c>
      <c r="D896" t="s">
        <v>8</v>
      </c>
      <c r="E896" s="2" t="str">
        <f>HYPERLINK("https://ibp.a2mac1.com/costing(costing:projects/details/8191/component/5315338)","Screw &gt; Hexagon screw with flange")</f>
        <v>Screw &gt; Hexagon screw with flange</v>
      </c>
      <c r="F896" t="s">
        <v>1371</v>
      </c>
    </row>
    <row r="897" spans="1:6" ht="12.75">
      <c r="A897">
        <v>5315339</v>
      </c>
      <c r="B897">
        <v>5381319</v>
      </c>
      <c r="C897" t="s">
        <v>574</v>
      </c>
      <c r="D897" t="s">
        <v>8</v>
      </c>
      <c r="E897" s="2" t="str">
        <f>HYPERLINK("https://ibp.a2mac1.com/costing(costing:projects/details/8191/component/5315339)","Screw &gt; Torx socket head cap screw with flange")</f>
        <v>Screw &gt; Torx socket head cap screw with flange</v>
      </c>
      <c r="F897" t="s">
        <v>1371</v>
      </c>
    </row>
    <row r="898" spans="1:6" ht="12.75">
      <c r="A898">
        <v>5381320</v>
      </c>
      <c r="B898">
        <v>5381299</v>
      </c>
      <c r="C898" t="s">
        <v>8</v>
      </c>
      <c r="D898" t="s">
        <v>8</v>
      </c>
      <c r="E898" s="2" t="str">
        <f>HYPERLINK("https://ibp.a2mac1.com/costing(costing:projects/details/8191/assembly/5381320)","Trunk Open Assist By Foot System")</f>
        <v>Trunk Open Assist By Foot System</v>
      </c>
      <c r="F898" t="s">
        <v>1175</v>
      </c>
    </row>
    <row r="899" spans="1:6" ht="12.75">
      <c r="A899">
        <v>5381476</v>
      </c>
      <c r="B899">
        <v>5381320</v>
      </c>
      <c r="C899" t="s">
        <v>12</v>
      </c>
      <c r="D899" t="s">
        <v>8</v>
      </c>
      <c r="E899" s="2" t="str">
        <f>HYPERLINK("https://ibp.a2mac1.com/costing(costing:projects/details/8191/part/5381476)","Hands Free Trunk Tailgate Release Sensor")</f>
        <v>Hands Free Trunk Tailgate Release Sensor</v>
      </c>
      <c r="F899" t="s">
        <v>1380</v>
      </c>
    </row>
    <row r="900" spans="1:6" ht="12.75">
      <c r="A900">
        <v>5381477</v>
      </c>
      <c r="B900">
        <v>5381320</v>
      </c>
      <c r="C900" t="s">
        <v>12</v>
      </c>
      <c r="D900" t="s">
        <v>8</v>
      </c>
      <c r="E900" s="2" t="str">
        <f>HYPERLINK("https://ibp.a2mac1.com/costing(costing:projects/details/8191/part/5381477)","Hands Free Trunk Tailgate Release ECU")</f>
        <v>Hands Free Trunk Tailgate Release ECU</v>
      </c>
      <c r="F900" t="s">
        <v>1380</v>
      </c>
    </row>
    <row r="901" spans="1:6" ht="12.75">
      <c r="A901">
        <v>6970309</v>
      </c>
      <c r="B901">
        <v>5381477</v>
      </c>
      <c r="C901" t="s">
        <v>99</v>
      </c>
      <c r="D901" t="s">
        <v>12</v>
      </c>
      <c r="E901" s="2" t="str">
        <f>HYPERLINK("https://ibp.a2mac1.com/costing(costing:projects/details/8191/process/6970309)","Process")</f>
        <v>Process</v>
      </c>
      <c r="F901" t="s">
        <v>1384</v>
      </c>
    </row>
    <row r="902" spans="1:6" ht="12.75">
      <c r="A902">
        <v>6942836</v>
      </c>
      <c r="B902">
        <v>6970309</v>
      </c>
      <c r="C902" t="s">
        <v>189</v>
      </c>
      <c r="D902" t="s">
        <v>99</v>
      </c>
      <c r="E902" s="2" t="str">
        <f>HYPERLINK("https://ibp.a2mac1.com/costing(costing:projects/details/8191/equipment/6942836)","Dummy Machine (PCBA+Final Assembly Line)")</f>
        <v>Dummy Machine (PCBA+Final Assembly Line)</v>
      </c>
      <c r="F902" t="s">
        <v>1385</v>
      </c>
    </row>
    <row r="903" spans="1:6" ht="12.75">
      <c r="A903">
        <v>5315398</v>
      </c>
      <c r="B903">
        <v>5381477</v>
      </c>
      <c r="C903" t="s">
        <v>574</v>
      </c>
      <c r="D903" t="s">
        <v>12</v>
      </c>
      <c r="E903" s="2" t="str">
        <f>HYPERLINK("https://ibp.a2mac1.com/costing(costing:projects/details/8191/component/5315398)","Mechanics")</f>
        <v>Mechanics</v>
      </c>
      <c r="F903" t="s">
        <v>1384</v>
      </c>
    </row>
    <row r="904" spans="1:6" ht="12.75">
      <c r="A904">
        <v>5315399</v>
      </c>
      <c r="B904">
        <v>5381477</v>
      </c>
      <c r="C904" t="s">
        <v>574</v>
      </c>
      <c r="D904" t="s">
        <v>12</v>
      </c>
      <c r="E904" s="2" t="str">
        <f>HYPERLINK("https://ibp.a2mac1.com/costing(costing:projects/details/8191/component/5315399)","Electronics")</f>
        <v>Electronics</v>
      </c>
      <c r="F904" t="s">
        <v>1384</v>
      </c>
    </row>
    <row r="905" spans="1:6" ht="12.75">
      <c r="A905">
        <v>5381478</v>
      </c>
      <c r="B905">
        <v>5381320</v>
      </c>
      <c r="C905" t="s">
        <v>12</v>
      </c>
      <c r="D905" t="s">
        <v>8</v>
      </c>
      <c r="E905" s="2" t="str">
        <f>HYPERLINK("https://ibp.a2mac1.com/costing(costing:projects/details/8191/part/5381478)","Hands Free Trunk Tailgate Release ECU Support")</f>
        <v>Hands Free Trunk Tailgate Release ECU Support</v>
      </c>
      <c r="F905" t="s">
        <v>1380</v>
      </c>
    </row>
    <row r="906" spans="1:6" ht="12.75">
      <c r="A906">
        <v>5315340</v>
      </c>
      <c r="B906">
        <v>5381320</v>
      </c>
      <c r="C906" t="s">
        <v>574</v>
      </c>
      <c r="D906" t="s">
        <v>8</v>
      </c>
      <c r="E906" s="2" t="str">
        <f>HYPERLINK("https://ibp.a2mac1.com/costing(costing:projects/details/8191/component/5315340)","Tube/cluster support &gt; Tube/cluster strap support in hole")</f>
        <v>Tube/cluster support &gt; Tube/cluster strap support in hole</v>
      </c>
      <c r="F906" t="s">
        <v>1380</v>
      </c>
    </row>
    <row r="907" spans="1:6" ht="12.75">
      <c r="A907">
        <v>5381321</v>
      </c>
      <c r="B907">
        <v>5381299</v>
      </c>
      <c r="C907" t="s">
        <v>8</v>
      </c>
      <c r="D907" t="s">
        <v>8</v>
      </c>
      <c r="E907" s="2" t="str">
        <f>HYPERLINK("https://ibp.a2mac1.com/costing(costing:projects/details/8191/assembly/5381321)","Pedestrian Sound System")</f>
        <v>Pedestrian Sound System</v>
      </c>
      <c r="F907" t="s">
        <v>1175</v>
      </c>
    </row>
    <row r="908" spans="1:6" ht="12.75">
      <c r="A908">
        <v>5381479</v>
      </c>
      <c r="B908">
        <v>5381321</v>
      </c>
      <c r="C908" t="s">
        <v>8</v>
      </c>
      <c r="D908" t="s">
        <v>8</v>
      </c>
      <c r="E908" s="2" t="str">
        <f>HYPERLINK("https://ibp.a2mac1.com/costing(costing:projects/details/8191/assembly/5381479)","Pedestrian Sound Speaker")</f>
        <v>Pedestrian Sound Speaker</v>
      </c>
      <c r="F908" t="s">
        <v>1391</v>
      </c>
    </row>
    <row r="909" spans="1:6" ht="12.75">
      <c r="A909">
        <v>6970310</v>
      </c>
      <c r="B909">
        <v>5381479</v>
      </c>
      <c r="C909" t="s">
        <v>99</v>
      </c>
      <c r="D909" t="s">
        <v>8</v>
      </c>
      <c r="E909" s="2" t="str">
        <f>HYPERLINK("https://ibp.a2mac1.com/costing(costing:projects/details/8191/process/6970310)","Process [2]")</f>
        <v>Process [2]</v>
      </c>
      <c r="F909" t="s">
        <v>1392</v>
      </c>
    </row>
    <row r="910" spans="1:6" ht="12.75">
      <c r="A910">
        <v>6942837</v>
      </c>
      <c r="B910">
        <v>6970310</v>
      </c>
      <c r="C910" t="s">
        <v>189</v>
      </c>
      <c r="D910" t="s">
        <v>99</v>
      </c>
      <c r="E910" s="2" t="str">
        <f>HYPERLINK("https://ibp.a2mac1.com/costing(costing:projects/details/8191/equipment/6942837)","Dummy Machine (PCBA+Final Assembly Line)")</f>
        <v>Dummy Machine (PCBA+Final Assembly Line)</v>
      </c>
      <c r="F910" t="s">
        <v>1393</v>
      </c>
    </row>
    <row r="911" spans="1:6" ht="12.75">
      <c r="A911">
        <v>5315400</v>
      </c>
      <c r="B911">
        <v>5381479</v>
      </c>
      <c r="C911" t="s">
        <v>574</v>
      </c>
      <c r="D911" t="s">
        <v>8</v>
      </c>
      <c r="E911" s="2" t="str">
        <f>HYPERLINK("https://ibp.a2mac1.com/costing(costing:projects/details/8191/component/5315400)","Electronics")</f>
        <v>Electronics</v>
      </c>
      <c r="F911" t="s">
        <v>1392</v>
      </c>
    </row>
    <row r="912" spans="1:6" ht="12.75">
      <c r="A912">
        <v>5315401</v>
      </c>
      <c r="B912">
        <v>5381479</v>
      </c>
      <c r="C912" t="s">
        <v>574</v>
      </c>
      <c r="D912" t="s">
        <v>8</v>
      </c>
      <c r="E912" s="2" t="str">
        <f>HYPERLINK("https://ibp.a2mac1.com/costing(costing:projects/details/8191/component/5315401)","Mechanics")</f>
        <v>Mechanics</v>
      </c>
      <c r="F912" t="s">
        <v>1392</v>
      </c>
    </row>
    <row r="913" spans="1:6" ht="12.75">
      <c r="A913">
        <v>5381480</v>
      </c>
      <c r="B913">
        <v>5381321</v>
      </c>
      <c r="C913" t="s">
        <v>12</v>
      </c>
      <c r="D913" t="s">
        <v>8</v>
      </c>
      <c r="E913" s="2" t="str">
        <f>HYPERLINK("https://ibp.a2mac1.com/costing(costing:projects/details/8191/part/5381480)","Pedestrian Sound Speaker support")</f>
        <v>Pedestrian Sound Speaker support</v>
      </c>
      <c r="F913" t="s">
        <v>1391</v>
      </c>
    </row>
    <row r="914" spans="1:6" ht="12.75">
      <c r="A914">
        <v>5381481</v>
      </c>
      <c r="B914">
        <v>5381321</v>
      </c>
      <c r="C914" t="s">
        <v>12</v>
      </c>
      <c r="D914" t="s">
        <v>8</v>
      </c>
      <c r="E914" s="2" t="str">
        <f>HYPERLINK("https://ibp.a2mac1.com/costing(costing:projects/details/8191/part/5381481)","Pedestrian Sound Speaker 2")</f>
        <v>Pedestrian Sound Speaker 2</v>
      </c>
      <c r="F914" t="s">
        <v>1391</v>
      </c>
    </row>
    <row r="915" spans="1:6" ht="12.75">
      <c r="A915">
        <v>5381482</v>
      </c>
      <c r="B915">
        <v>5381321</v>
      </c>
      <c r="C915" t="s">
        <v>12</v>
      </c>
      <c r="D915" t="s">
        <v>8</v>
      </c>
      <c r="E915" s="2" t="str">
        <f>HYPERLINK("https://ibp.a2mac1.com/costing(costing:projects/details/8191/part/5381482)","Pedestrian Sound Speaker support 2")</f>
        <v>Pedestrian Sound Speaker support 2</v>
      </c>
      <c r="F915" t="s">
        <v>1391</v>
      </c>
    </row>
    <row r="916" spans="1:6" ht="12.75">
      <c r="A916">
        <v>5381564</v>
      </c>
      <c r="B916">
        <v>8191</v>
      </c>
      <c r="C916" t="s">
        <v>8</v>
      </c>
      <c r="D916" t="s">
        <v>6</v>
      </c>
      <c r="E916" s="2" t="str">
        <f>HYPERLINK("https://ibp.a2mac1.com/costing(costing:projects/details/8191/assembly/5381564)","Transmission System")</f>
        <v>Transmission System</v>
      </c>
      <c r="F916" t="s">
        <v>9</v>
      </c>
    </row>
    <row r="917" spans="1:6" ht="12.75">
      <c r="A917">
        <v>5381596</v>
      </c>
      <c r="B917">
        <v>5381564</v>
      </c>
      <c r="C917" t="s">
        <v>8</v>
      </c>
      <c r="D917" t="s">
        <v>8</v>
      </c>
      <c r="E917" s="2" t="str">
        <f>HYPERLINK("https://ibp.a2mac1.com/costing(costing:projects/details/8191/assembly/5381596)","Front Gearbox &amp; Halfshafts")</f>
        <v>Front Gearbox &amp; Halfshafts</v>
      </c>
      <c r="F917" t="s">
        <v>1405</v>
      </c>
    </row>
    <row r="918" spans="1:6" ht="12.75">
      <c r="A918">
        <v>5381610</v>
      </c>
      <c r="B918">
        <v>5381596</v>
      </c>
      <c r="C918" t="s">
        <v>8</v>
      </c>
      <c r="D918" t="s">
        <v>8</v>
      </c>
      <c r="E918" s="2" t="str">
        <f>HYPERLINK("https://ibp.a2mac1.com/costing(costing:projects/details/8191/assembly/5381610)","Gearbox")</f>
        <v>Gearbox</v>
      </c>
      <c r="F918" t="s">
        <v>1406</v>
      </c>
    </row>
    <row r="919" spans="1:6" ht="12.75">
      <c r="A919">
        <v>5381698</v>
      </c>
      <c r="B919">
        <v>5381610</v>
      </c>
      <c r="C919" t="s">
        <v>8</v>
      </c>
      <c r="D919" t="s">
        <v>8</v>
      </c>
      <c r="E919" s="2" t="str">
        <f>HYPERLINK("https://ibp.a2mac1.com/costing(costing:projects/details/8191/assembly/5381698)","Differential")</f>
        <v>Differential</v>
      </c>
      <c r="F919" t="s">
        <v>1407</v>
      </c>
    </row>
    <row r="920" spans="1:6" ht="12.75">
      <c r="A920">
        <v>5381722</v>
      </c>
      <c r="B920">
        <v>5381698</v>
      </c>
      <c r="C920" t="s">
        <v>12</v>
      </c>
      <c r="D920" t="s">
        <v>8</v>
      </c>
      <c r="E920" s="2" t="str">
        <f>HYPERLINK("https://ibp.a2mac1.com/costing(costing:projects/details/8191/part/5381722)","Differential gear")</f>
        <v>Differential gear</v>
      </c>
      <c r="F920" t="s">
        <v>1408</v>
      </c>
    </row>
    <row r="921" spans="1:6" ht="12.75">
      <c r="A921">
        <v>6970496</v>
      </c>
      <c r="B921">
        <v>5381722</v>
      </c>
      <c r="C921" t="s">
        <v>99</v>
      </c>
      <c r="D921" t="s">
        <v>12</v>
      </c>
      <c r="E921" s="2" t="str">
        <f>HYPERLINK("https://ibp.a2mac1.com/costing(costing:projects/details/8191/process/6970496)","Process")</f>
        <v>Process</v>
      </c>
      <c r="F921" t="s">
        <v>1409</v>
      </c>
    </row>
    <row r="922" spans="1:6" ht="12.75">
      <c r="A922">
        <v>5315586</v>
      </c>
      <c r="B922">
        <v>6970496</v>
      </c>
      <c r="C922" t="s">
        <v>24</v>
      </c>
      <c r="D922" t="s">
        <v>99</v>
      </c>
      <c r="E922" s="2" t="str">
        <f>HYPERLINK("https://ibp.a2mac1.com/costing(costing:projects/details/8191/material/5315586)","42CrMo4 / 4140 / 42CrMo4 / 1.7225 (Billet)")</f>
        <v>42CrMo4 / 4140 / 42CrMo4 / 1.7225 (Billet)</v>
      </c>
      <c r="F922" t="s">
        <v>1412</v>
      </c>
    </row>
    <row r="923" spans="1:6" ht="12.75">
      <c r="A923">
        <v>6943009</v>
      </c>
      <c r="B923">
        <v>6970496</v>
      </c>
      <c r="C923" t="s">
        <v>189</v>
      </c>
      <c r="D923" t="s">
        <v>99</v>
      </c>
      <c r="E923" s="2" t="str">
        <f>HYPERLINK("https://ibp.a2mac1.com/costing(costing:projects/details/8191/equipment/6943009)","Machine")</f>
        <v>Machine</v>
      </c>
      <c r="F923" t="s">
        <v>1412</v>
      </c>
    </row>
    <row r="924" spans="1:6" ht="12.75">
      <c r="A924">
        <v>5381723</v>
      </c>
      <c r="B924">
        <v>5381698</v>
      </c>
      <c r="C924" t="s">
        <v>12</v>
      </c>
      <c r="D924" t="s">
        <v>8</v>
      </c>
      <c r="E924" s="2" t="str">
        <f>HYPERLINK("https://ibp.a2mac1.com/costing(costing:projects/details/8191/part/5381723)","Differential case")</f>
        <v>Differential case</v>
      </c>
      <c r="F924" t="s">
        <v>1408</v>
      </c>
    </row>
    <row r="925" spans="1:6" ht="12.75">
      <c r="A925">
        <v>6970497</v>
      </c>
      <c r="B925">
        <v>5381723</v>
      </c>
      <c r="C925" t="s">
        <v>99</v>
      </c>
      <c r="D925" t="s">
        <v>12</v>
      </c>
      <c r="E925" s="2" t="str">
        <f>HYPERLINK("https://ibp.a2mac1.com/costing(costing:projects/details/8191/process/6970497)","Process")</f>
        <v>Process</v>
      </c>
      <c r="F925" t="s">
        <v>1415</v>
      </c>
    </row>
    <row r="926" spans="1:6" ht="12.75">
      <c r="A926">
        <v>5315587</v>
      </c>
      <c r="B926">
        <v>6970497</v>
      </c>
      <c r="C926" t="s">
        <v>24</v>
      </c>
      <c r="D926" t="s">
        <v>99</v>
      </c>
      <c r="E926" s="2" t="str">
        <f>HYPERLINK("https://ibp.a2mac1.com/costing(costing:projects/details/8191/material/5315587)","Cast Steel (default, e.g. 42CrMo4 / 4140)")</f>
        <v>Cast Steel (default, e.g. 42CrMo4 / 4140)</v>
      </c>
      <c r="F926" t="s">
        <v>1418</v>
      </c>
    </row>
    <row r="927" spans="1:6" ht="12.75">
      <c r="A927">
        <v>6943010</v>
      </c>
      <c r="B927">
        <v>6970497</v>
      </c>
      <c r="C927" t="s">
        <v>189</v>
      </c>
      <c r="D927" t="s">
        <v>99</v>
      </c>
      <c r="E927" s="2" t="str">
        <f>HYPERLINK("https://ibp.a2mac1.com/costing(costing:projects/details/8191/equipment/6943010)","Machine")</f>
        <v>Machine</v>
      </c>
      <c r="F927" t="s">
        <v>1418</v>
      </c>
    </row>
    <row r="928" spans="1:6" ht="12.75">
      <c r="A928">
        <v>5381724</v>
      </c>
      <c r="B928">
        <v>5381698</v>
      </c>
      <c r="C928" t="s">
        <v>12</v>
      </c>
      <c r="D928" t="s">
        <v>8</v>
      </c>
      <c r="E928" s="2" t="str">
        <f>HYPERLINK("https://ibp.a2mac1.com/costing(costing:projects/details/8191/part/5381724)","Sun gear")</f>
        <v>Sun gear</v>
      </c>
      <c r="F928" t="s">
        <v>1408</v>
      </c>
    </row>
    <row r="929" spans="1:6" ht="12.75">
      <c r="A929">
        <v>6970498</v>
      </c>
      <c r="B929">
        <v>5381724</v>
      </c>
      <c r="C929" t="s">
        <v>99</v>
      </c>
      <c r="D929" t="s">
        <v>12</v>
      </c>
      <c r="E929" s="2" t="str">
        <f>HYPERLINK("https://ibp.a2mac1.com/costing(costing:projects/details/8191/process/6970498)","Process")</f>
        <v>Process</v>
      </c>
      <c r="F929" t="s">
        <v>1420</v>
      </c>
    </row>
    <row r="930" spans="1:6" ht="12.75">
      <c r="A930">
        <v>5315588</v>
      </c>
      <c r="B930">
        <v>6970498</v>
      </c>
      <c r="C930" t="s">
        <v>24</v>
      </c>
      <c r="D930" t="s">
        <v>99</v>
      </c>
      <c r="E930" s="2" t="str">
        <f>HYPERLINK("https://ibp.a2mac1.com/costing(costing:projects/details/8191/material/5315588)","20NiCrMo2-2 / 8615 / 20NiCrMo2-2 / 1.6523 (Billet)")</f>
        <v>20NiCrMo2-2 / 8615 / 20NiCrMo2-2 / 1.6523 (Billet)</v>
      </c>
      <c r="F930" t="s">
        <v>1423</v>
      </c>
    </row>
    <row r="931" spans="1:6" ht="12.75">
      <c r="A931">
        <v>6943011</v>
      </c>
      <c r="B931">
        <v>6970498</v>
      </c>
      <c r="C931" t="s">
        <v>189</v>
      </c>
      <c r="D931" t="s">
        <v>99</v>
      </c>
      <c r="E931" s="2" t="str">
        <f>HYPERLINK("https://ibp.a2mac1.com/costing(costing:projects/details/8191/equipment/6943011)","Machine")</f>
        <v>Machine</v>
      </c>
      <c r="F931" t="s">
        <v>1423</v>
      </c>
    </row>
    <row r="932" spans="1:6" ht="12.75">
      <c r="A932">
        <v>5381725</v>
      </c>
      <c r="B932">
        <v>5381698</v>
      </c>
      <c r="C932" t="s">
        <v>12</v>
      </c>
      <c r="D932" t="s">
        <v>8</v>
      </c>
      <c r="E932" s="2" t="str">
        <f>HYPERLINK("https://ibp.a2mac1.com/costing(costing:projects/details/8191/part/5381725)","Sun gear shim")</f>
        <v>Sun gear shim</v>
      </c>
      <c r="F932" t="s">
        <v>1408</v>
      </c>
    </row>
    <row r="933" spans="1:6" ht="12.75">
      <c r="A933">
        <v>5381726</v>
      </c>
      <c r="B933">
        <v>5381698</v>
      </c>
      <c r="C933" t="s">
        <v>12</v>
      </c>
      <c r="D933" t="s">
        <v>8</v>
      </c>
      <c r="E933" s="2" t="str">
        <f>HYPERLINK("https://ibp.a2mac1.com/costing(costing:projects/details/8191/part/5381726)","Planet gear")</f>
        <v>Planet gear</v>
      </c>
      <c r="F933" t="s">
        <v>1408</v>
      </c>
    </row>
    <row r="934" spans="1:6" ht="12.75">
      <c r="A934">
        <v>6970499</v>
      </c>
      <c r="B934">
        <v>5381726</v>
      </c>
      <c r="C934" t="s">
        <v>99</v>
      </c>
      <c r="D934" t="s">
        <v>12</v>
      </c>
      <c r="E934" s="2" t="str">
        <f>HYPERLINK("https://ibp.a2mac1.com/costing(costing:projects/details/8191/process/6970499)","Process")</f>
        <v>Process</v>
      </c>
      <c r="F934" t="s">
        <v>1426</v>
      </c>
    </row>
    <row r="935" spans="1:6" ht="12.75">
      <c r="A935">
        <v>5315589</v>
      </c>
      <c r="B935">
        <v>6970499</v>
      </c>
      <c r="C935" t="s">
        <v>24</v>
      </c>
      <c r="D935" t="s">
        <v>99</v>
      </c>
      <c r="E935" s="2" t="str">
        <f>HYPERLINK("https://ibp.a2mac1.com/costing(costing:projects/details/8191/material/5315589)","20NiCrMo2-2 / 8615 / 20NiCrMo2-2 / 1.6523 (Billet)")</f>
        <v>20NiCrMo2-2 / 8615 / 20NiCrMo2-2 / 1.6523 (Billet)</v>
      </c>
      <c r="F935" t="s">
        <v>1429</v>
      </c>
    </row>
    <row r="936" spans="1:6" ht="12.75">
      <c r="A936">
        <v>6943012</v>
      </c>
      <c r="B936">
        <v>6970499</v>
      </c>
      <c r="C936" t="s">
        <v>189</v>
      </c>
      <c r="D936" t="s">
        <v>99</v>
      </c>
      <c r="E936" s="2" t="str">
        <f>HYPERLINK("https://ibp.a2mac1.com/costing(costing:projects/details/8191/equipment/6943012)","Machine")</f>
        <v>Machine</v>
      </c>
      <c r="F936" t="s">
        <v>1429</v>
      </c>
    </row>
    <row r="937" spans="1:6" ht="12.75">
      <c r="A937">
        <v>5381727</v>
      </c>
      <c r="B937">
        <v>5381698</v>
      </c>
      <c r="C937" t="s">
        <v>12</v>
      </c>
      <c r="D937" t="s">
        <v>8</v>
      </c>
      <c r="E937" s="2" t="str">
        <f>HYPERLINK("https://ibp.a2mac1.com/costing(costing:projects/details/8191/part/5381727)","Planet gear axle")</f>
        <v>Planet gear axle</v>
      </c>
      <c r="F937" t="s">
        <v>1408</v>
      </c>
    </row>
    <row r="938" spans="1:6" ht="12.75">
      <c r="A938">
        <v>5381728</v>
      </c>
      <c r="B938">
        <v>5381698</v>
      </c>
      <c r="C938" t="s">
        <v>12</v>
      </c>
      <c r="D938" t="s">
        <v>8</v>
      </c>
      <c r="E938" s="2" t="str">
        <f>HYPERLINK("https://ibp.a2mac1.com/costing(costing:projects/details/8191/part/5381728)","Pin")</f>
        <v>Pin</v>
      </c>
      <c r="F938" t="s">
        <v>1408</v>
      </c>
    </row>
    <row r="939" spans="1:6" ht="12.75">
      <c r="A939">
        <v>5381729</v>
      </c>
      <c r="B939">
        <v>5381698</v>
      </c>
      <c r="C939" t="s">
        <v>12</v>
      </c>
      <c r="D939" t="s">
        <v>8</v>
      </c>
      <c r="E939" s="2" t="str">
        <f>HYPERLINK("https://ibp.a2mac1.com/costing(costing:projects/details/8191/part/5381729)","Planet gear shim")</f>
        <v>Planet gear shim</v>
      </c>
      <c r="F939" t="s">
        <v>1408</v>
      </c>
    </row>
    <row r="940" spans="1:6" ht="12.75">
      <c r="A940">
        <v>5381730</v>
      </c>
      <c r="B940">
        <v>5381698</v>
      </c>
      <c r="C940" t="s">
        <v>12</v>
      </c>
      <c r="D940" t="s">
        <v>8</v>
      </c>
      <c r="E940" s="2" t="str">
        <f>HYPERLINK("https://ibp.a2mac1.com/costing(costing:projects/details/8191/part/5381730)","Bearing #1")</f>
        <v>Bearing #1</v>
      </c>
      <c r="F940" t="s">
        <v>1408</v>
      </c>
    </row>
    <row r="941" spans="1:6" ht="12.75">
      <c r="A941">
        <v>5381731</v>
      </c>
      <c r="B941">
        <v>5381698</v>
      </c>
      <c r="C941" t="s">
        <v>12</v>
      </c>
      <c r="D941" t="s">
        <v>8</v>
      </c>
      <c r="E941" s="2" t="str">
        <f>HYPERLINK("https://ibp.a2mac1.com/costing(costing:projects/details/8191/part/5381731)","Bearing #2")</f>
        <v>Bearing #2</v>
      </c>
      <c r="F941" t="s">
        <v>1408</v>
      </c>
    </row>
    <row r="942" spans="1:6" ht="12.75">
      <c r="A942">
        <v>6970492</v>
      </c>
      <c r="B942">
        <v>5381698</v>
      </c>
      <c r="C942" t="s">
        <v>99</v>
      </c>
      <c r="D942" t="s">
        <v>8</v>
      </c>
      <c r="E942" s="2" t="str">
        <f>HYPERLINK("https://ibp.a2mac1.com/costing(costing:projects/details/8191/process/6970492)","Differential assembly")</f>
        <v>Differential assembly</v>
      </c>
      <c r="F942" t="s">
        <v>1408</v>
      </c>
    </row>
    <row r="943" spans="1:6" ht="12.75">
      <c r="A943">
        <v>6942853</v>
      </c>
      <c r="B943">
        <v>6970492</v>
      </c>
      <c r="C943" t="s">
        <v>189</v>
      </c>
      <c r="D943" t="s">
        <v>99</v>
      </c>
      <c r="E943" s="2" t="str">
        <f>HYPERLINK("https://ibp.a2mac1.com/costing(costing:projects/details/8191/equipment/6942853)","Machine")</f>
        <v>Machine</v>
      </c>
      <c r="F943" t="s">
        <v>1438</v>
      </c>
    </row>
    <row r="944" spans="1:6" ht="12.75">
      <c r="A944">
        <v>5381699</v>
      </c>
      <c r="B944">
        <v>5381610</v>
      </c>
      <c r="C944" t="s">
        <v>8</v>
      </c>
      <c r="D944" t="s">
        <v>8</v>
      </c>
      <c r="E944" s="2" t="str">
        <f>HYPERLINK("https://ibp.a2mac1.com/costing(costing:projects/details/8191/assembly/5381699)","Input stage")</f>
        <v>Input stage</v>
      </c>
      <c r="F944" t="s">
        <v>1407</v>
      </c>
    </row>
    <row r="945" spans="1:6" ht="12.75">
      <c r="A945">
        <v>5381732</v>
      </c>
      <c r="B945">
        <v>5381699</v>
      </c>
      <c r="C945" t="s">
        <v>12</v>
      </c>
      <c r="D945" t="s">
        <v>8</v>
      </c>
      <c r="E945" s="2" t="str">
        <f>HYPERLINK("https://ibp.a2mac1.com/costing(costing:projects/details/8191/part/5381732)","Input shaft")</f>
        <v>Input shaft</v>
      </c>
      <c r="F945" t="s">
        <v>1442</v>
      </c>
    </row>
    <row r="946" spans="1:6" ht="12.75">
      <c r="A946">
        <v>6970500</v>
      </c>
      <c r="B946">
        <v>5381732</v>
      </c>
      <c r="C946" t="s">
        <v>99</v>
      </c>
      <c r="D946" t="s">
        <v>12</v>
      </c>
      <c r="E946" s="2" t="str">
        <f>HYPERLINK("https://ibp.a2mac1.com/costing(costing:projects/details/8191/process/6970500)","Process")</f>
        <v>Process</v>
      </c>
      <c r="F946" t="s">
        <v>1443</v>
      </c>
    </row>
    <row r="947" spans="1:6" ht="12.75">
      <c r="A947">
        <v>5315590</v>
      </c>
      <c r="B947">
        <v>6970500</v>
      </c>
      <c r="C947" t="s">
        <v>24</v>
      </c>
      <c r="D947" t="s">
        <v>99</v>
      </c>
      <c r="E947" s="2" t="str">
        <f>HYPERLINK("https://ibp.a2mac1.com/costing(costing:projects/details/8191/material/5315590)","20MnCr5 / SAE5120 / 20MnCr5 / 1.7147 / 20CrMnTi (Billet)")</f>
        <v>20MnCr5 / SAE5120 / 20MnCr5 / 1.7147 / 20CrMnTi (Billet)</v>
      </c>
      <c r="F947" t="s">
        <v>1446</v>
      </c>
    </row>
    <row r="948" spans="1:6" ht="12.75">
      <c r="A948">
        <v>6943013</v>
      </c>
      <c r="B948">
        <v>6970500</v>
      </c>
      <c r="C948" t="s">
        <v>189</v>
      </c>
      <c r="D948" t="s">
        <v>99</v>
      </c>
      <c r="E948" s="2" t="str">
        <f>HYPERLINK("https://ibp.a2mac1.com/costing(costing:projects/details/8191/equipment/6943013)","Machine")</f>
        <v>Machine</v>
      </c>
      <c r="F948" t="s">
        <v>1446</v>
      </c>
    </row>
    <row r="949" spans="1:6" ht="12.75">
      <c r="A949">
        <v>5381733</v>
      </c>
      <c r="B949">
        <v>5381699</v>
      </c>
      <c r="C949" t="s">
        <v>12</v>
      </c>
      <c r="D949" t="s">
        <v>8</v>
      </c>
      <c r="E949" s="2" t="str">
        <f>HYPERLINK("https://ibp.a2mac1.com/costing(costing:projects/details/8191/part/5381733)","Snap ring")</f>
        <v>Snap ring</v>
      </c>
      <c r="F949" t="s">
        <v>1442</v>
      </c>
    </row>
    <row r="950" spans="1:6" ht="12.75">
      <c r="A950">
        <v>5381734</v>
      </c>
      <c r="B950">
        <v>5381699</v>
      </c>
      <c r="C950" t="s">
        <v>12</v>
      </c>
      <c r="D950" t="s">
        <v>8</v>
      </c>
      <c r="E950" s="2" t="str">
        <f>HYPERLINK("https://ibp.a2mac1.com/costing(costing:projects/details/8191/part/5381734)","Bearing")</f>
        <v>Bearing</v>
      </c>
      <c r="F950" t="s">
        <v>1442</v>
      </c>
    </row>
    <row r="951" spans="1:6" ht="12.75">
      <c r="A951">
        <v>5381700</v>
      </c>
      <c r="B951">
        <v>5381610</v>
      </c>
      <c r="C951" t="s">
        <v>8</v>
      </c>
      <c r="D951" t="s">
        <v>8</v>
      </c>
      <c r="E951" s="2" t="str">
        <f>HYPERLINK("https://ibp.a2mac1.com/costing(costing:projects/details/8191/assembly/5381700)","Intermediate stage")</f>
        <v>Intermediate stage</v>
      </c>
      <c r="F951" t="s">
        <v>1407</v>
      </c>
    </row>
    <row r="952" spans="1:6" ht="12.75">
      <c r="A952">
        <v>5381735</v>
      </c>
      <c r="B952">
        <v>5381700</v>
      </c>
      <c r="C952" t="s">
        <v>12</v>
      </c>
      <c r="D952" t="s">
        <v>8</v>
      </c>
      <c r="E952" s="2" t="str">
        <f>HYPERLINK("https://ibp.a2mac1.com/costing(costing:projects/details/8191/part/5381735)","Gear")</f>
        <v>Gear</v>
      </c>
      <c r="F952" t="s">
        <v>1452</v>
      </c>
    </row>
    <row r="953" spans="1:6" ht="12.75">
      <c r="A953">
        <v>6970501</v>
      </c>
      <c r="B953">
        <v>5381735</v>
      </c>
      <c r="C953" t="s">
        <v>99</v>
      </c>
      <c r="D953" t="s">
        <v>12</v>
      </c>
      <c r="E953" s="2" t="str">
        <f>HYPERLINK("https://ibp.a2mac1.com/costing(costing:projects/details/8191/process/6970501)","Process")</f>
        <v>Process</v>
      </c>
      <c r="F953" t="s">
        <v>1453</v>
      </c>
    </row>
    <row r="954" spans="1:6" ht="12.75">
      <c r="A954">
        <v>5315591</v>
      </c>
      <c r="B954">
        <v>6970501</v>
      </c>
      <c r="C954" t="s">
        <v>24</v>
      </c>
      <c r="D954" t="s">
        <v>99</v>
      </c>
      <c r="E954" s="2" t="str">
        <f>HYPERLINK("https://ibp.a2mac1.com/costing(costing:projects/details/8191/material/5315591)","42CrMo4 / 4140 / 42CrMo4 / 1.7225 (Billet)")</f>
        <v>42CrMo4 / 4140 / 42CrMo4 / 1.7225 (Billet)</v>
      </c>
      <c r="F954" t="s">
        <v>1456</v>
      </c>
    </row>
    <row r="955" spans="1:6" ht="12.75">
      <c r="A955">
        <v>6943014</v>
      </c>
      <c r="B955">
        <v>6970501</v>
      </c>
      <c r="C955" t="s">
        <v>189</v>
      </c>
      <c r="D955" t="s">
        <v>99</v>
      </c>
      <c r="E955" s="2" t="str">
        <f>HYPERLINK("https://ibp.a2mac1.com/costing(costing:projects/details/8191/equipment/6943014)","Machine")</f>
        <v>Machine</v>
      </c>
      <c r="F955" t="s">
        <v>1456</v>
      </c>
    </row>
    <row r="956" spans="1:6" ht="12.75">
      <c r="A956">
        <v>5381736</v>
      </c>
      <c r="B956">
        <v>5381700</v>
      </c>
      <c r="C956" t="s">
        <v>12</v>
      </c>
      <c r="D956" t="s">
        <v>8</v>
      </c>
      <c r="E956" s="2" t="str">
        <f>HYPERLINK("https://ibp.a2mac1.com/costing(costing:projects/details/8191/part/5381736)","Bearing #1")</f>
        <v>Bearing #1</v>
      </c>
      <c r="F956" t="s">
        <v>1452</v>
      </c>
    </row>
    <row r="957" spans="1:6" ht="12.75">
      <c r="A957">
        <v>5381737</v>
      </c>
      <c r="B957">
        <v>5381700</v>
      </c>
      <c r="C957" t="s">
        <v>12</v>
      </c>
      <c r="D957" t="s">
        <v>8</v>
      </c>
      <c r="E957" s="2" t="str">
        <f>HYPERLINK("https://ibp.a2mac1.com/costing(costing:projects/details/8191/part/5381737)","Bearing #2")</f>
        <v>Bearing #2</v>
      </c>
      <c r="F957" t="s">
        <v>1452</v>
      </c>
    </row>
    <row r="958" spans="1:6" ht="12.75">
      <c r="A958">
        <v>5381701</v>
      </c>
      <c r="B958">
        <v>5381610</v>
      </c>
      <c r="C958" t="s">
        <v>8</v>
      </c>
      <c r="D958" t="s">
        <v>8</v>
      </c>
      <c r="E958" s="2" t="str">
        <f>HYPERLINK("https://ibp.a2mac1.com/costing(costing:projects/details/8191/assembly/5381701)","Oil management system ")</f>
        <v xml:space="preserve">Oil management system </v>
      </c>
      <c r="F958" t="s">
        <v>1407</v>
      </c>
    </row>
    <row r="959" spans="1:6" ht="12.75">
      <c r="A959">
        <v>5381738</v>
      </c>
      <c r="B959">
        <v>5381701</v>
      </c>
      <c r="C959" t="s">
        <v>12</v>
      </c>
      <c r="D959" t="s">
        <v>8</v>
      </c>
      <c r="E959" s="2" t="str">
        <f>HYPERLINK("https://ibp.a2mac1.com/costing(costing:projects/details/8191/part/5381738)","Oil pump")</f>
        <v>Oil pump</v>
      </c>
      <c r="F959" t="s">
        <v>1465</v>
      </c>
    </row>
    <row r="960" spans="1:6" ht="12.75">
      <c r="A960">
        <v>5381739</v>
      </c>
      <c r="B960">
        <v>5381701</v>
      </c>
      <c r="C960" t="s">
        <v>12</v>
      </c>
      <c r="D960" t="s">
        <v>8</v>
      </c>
      <c r="E960" s="2" t="str">
        <f>HYPERLINK("https://ibp.a2mac1.com/costing(costing:projects/details/8191/part/5381739)","Internal pipe")</f>
        <v>Internal pipe</v>
      </c>
      <c r="F960" t="s">
        <v>1465</v>
      </c>
    </row>
    <row r="961" spans="1:6" ht="12.75">
      <c r="A961">
        <v>5381740</v>
      </c>
      <c r="B961">
        <v>5381701</v>
      </c>
      <c r="C961" t="s">
        <v>12</v>
      </c>
      <c r="D961" t="s">
        <v>8</v>
      </c>
      <c r="E961" s="2" t="str">
        <f>HYPERLINK("https://ibp.a2mac1.com/costing(costing:projects/details/8191/part/5381740)","Lubrication screen")</f>
        <v>Lubrication screen</v>
      </c>
      <c r="F961" t="s">
        <v>1465</v>
      </c>
    </row>
    <row r="962" spans="1:6" ht="12.75">
      <c r="A962">
        <v>6970502</v>
      </c>
      <c r="B962">
        <v>5381740</v>
      </c>
      <c r="C962" t="s">
        <v>99</v>
      </c>
      <c r="D962" t="s">
        <v>12</v>
      </c>
      <c r="E962" s="2" t="str">
        <f>HYPERLINK("https://ibp.a2mac1.com/costing(costing:projects/details/8191/process/6970502)","Process")</f>
        <v>Process</v>
      </c>
      <c r="F962" t="s">
        <v>1470</v>
      </c>
    </row>
    <row r="963" spans="1:6" ht="12.75">
      <c r="A963">
        <v>5315592</v>
      </c>
      <c r="B963">
        <v>6970502</v>
      </c>
      <c r="C963" t="s">
        <v>24</v>
      </c>
      <c r="D963" t="s">
        <v>99</v>
      </c>
      <c r="E963" s="2" t="str">
        <f>HYPERLINK("https://ibp.a2mac1.com/costing(costing:projects/details/8191/material/5315592)","PA6-GF30")</f>
        <v>PA6-GF30</v>
      </c>
      <c r="F963" t="s">
        <v>1473</v>
      </c>
    </row>
    <row r="964" spans="1:6" ht="12.75">
      <c r="A964">
        <v>6943015</v>
      </c>
      <c r="B964">
        <v>6970502</v>
      </c>
      <c r="C964" t="s">
        <v>189</v>
      </c>
      <c r="D964" t="s">
        <v>99</v>
      </c>
      <c r="E964" s="2" t="str">
        <f>HYPERLINK("https://ibp.a2mac1.com/costing(costing:projects/details/8191/equipment/6943015)","Machine")</f>
        <v>Machine</v>
      </c>
      <c r="F964" t="s">
        <v>1473</v>
      </c>
    </row>
    <row r="965" spans="1:6" ht="12.75">
      <c r="A965">
        <v>5381741</v>
      </c>
      <c r="B965">
        <v>5381701</v>
      </c>
      <c r="C965" t="s">
        <v>12</v>
      </c>
      <c r="D965" t="s">
        <v>8</v>
      </c>
      <c r="E965" s="2" t="str">
        <f>HYPERLINK("https://ibp.a2mac1.com/costing(costing:projects/details/8191/part/5381741)","Magnet")</f>
        <v>Magnet</v>
      </c>
      <c r="F965" t="s">
        <v>1465</v>
      </c>
    </row>
    <row r="966" spans="1:6" ht="12.75">
      <c r="A966">
        <v>5381695</v>
      </c>
      <c r="B966">
        <v>5381610</v>
      </c>
      <c r="C966" t="s">
        <v>12</v>
      </c>
      <c r="D966" t="s">
        <v>8</v>
      </c>
      <c r="E966" s="2" t="str">
        <f>HYPERLINK("https://ibp.a2mac1.com/costing(costing:projects/details/8191/part/5381695)","Access cover")</f>
        <v>Access cover</v>
      </c>
      <c r="F966" t="s">
        <v>1407</v>
      </c>
    </row>
    <row r="967" spans="1:6" ht="12.75">
      <c r="A967">
        <v>6970490</v>
      </c>
      <c r="B967">
        <v>5381695</v>
      </c>
      <c r="C967" t="s">
        <v>99</v>
      </c>
      <c r="D967" t="s">
        <v>12</v>
      </c>
      <c r="E967" s="2" t="str">
        <f>HYPERLINK("https://ibp.a2mac1.com/costing(costing:projects/details/8191/process/6970490)","Process")</f>
        <v>Process</v>
      </c>
      <c r="F967" t="s">
        <v>1476</v>
      </c>
    </row>
    <row r="968" spans="1:6" ht="12.75">
      <c r="A968">
        <v>5315565</v>
      </c>
      <c r="B968">
        <v>6970490</v>
      </c>
      <c r="C968" t="s">
        <v>24</v>
      </c>
      <c r="D968" t="s">
        <v>99</v>
      </c>
      <c r="E968" s="2" t="str">
        <f>HYPERLINK("https://ibp.a2mac1.com/costing(costing:projects/details/8191/material/5315565)","Aluminum for casting (default, e.g. A380/ADC10/EN-AC46500)")</f>
        <v>Aluminum for casting (default, e.g. A380/ADC10/EN-AC46500)</v>
      </c>
      <c r="F968" t="s">
        <v>1479</v>
      </c>
    </row>
    <row r="969" spans="1:6" ht="12.75">
      <c r="A969">
        <v>6942851</v>
      </c>
      <c r="B969">
        <v>6970490</v>
      </c>
      <c r="C969" t="s">
        <v>189</v>
      </c>
      <c r="D969" t="s">
        <v>99</v>
      </c>
      <c r="E969" s="2" t="str">
        <f>HYPERLINK("https://ibp.a2mac1.com/costing(costing:projects/details/8191/equipment/6942851)","Machine")</f>
        <v>Machine</v>
      </c>
      <c r="F969" t="s">
        <v>1479</v>
      </c>
    </row>
    <row r="970" spans="1:6" ht="12.75">
      <c r="A970">
        <v>5381696</v>
      </c>
      <c r="B970">
        <v>5381610</v>
      </c>
      <c r="C970" t="s">
        <v>12</v>
      </c>
      <c r="D970" t="s">
        <v>8</v>
      </c>
      <c r="E970" s="2" t="str">
        <f>HYPERLINK("https://ibp.a2mac1.com/costing(costing:projects/details/8191/part/5381696)","Radial shaft seal")</f>
        <v>Radial shaft seal</v>
      </c>
      <c r="F970" t="s">
        <v>1407</v>
      </c>
    </row>
    <row r="971" spans="1:6" ht="12.75">
      <c r="A971">
        <v>5381697</v>
      </c>
      <c r="B971">
        <v>5381610</v>
      </c>
      <c r="C971" t="s">
        <v>12</v>
      </c>
      <c r="D971" t="s">
        <v>8</v>
      </c>
      <c r="E971" s="2" t="str">
        <f>HYPERLINK("https://ibp.a2mac1.com/costing(costing:projects/details/8191/part/5381697)","Housing")</f>
        <v>Housing</v>
      </c>
      <c r="F971" t="s">
        <v>1407</v>
      </c>
    </row>
    <row r="972" spans="1:6" ht="12.75">
      <c r="A972">
        <v>6970491</v>
      </c>
      <c r="B972">
        <v>5381697</v>
      </c>
      <c r="C972" t="s">
        <v>99</v>
      </c>
      <c r="D972" t="s">
        <v>12</v>
      </c>
      <c r="E972" s="2" t="str">
        <f>HYPERLINK("https://ibp.a2mac1.com/costing(costing:projects/details/8191/process/6970491)","Process")</f>
        <v>Process</v>
      </c>
      <c r="F972" t="s">
        <v>1484</v>
      </c>
    </row>
    <row r="973" spans="1:6" ht="12.75">
      <c r="A973">
        <v>5315566</v>
      </c>
      <c r="B973">
        <v>6970491</v>
      </c>
      <c r="C973" t="s">
        <v>24</v>
      </c>
      <c r="D973" t="s">
        <v>99</v>
      </c>
      <c r="E973" s="2" t="str">
        <f>HYPERLINK("https://ibp.a2mac1.com/costing(costing:projects/details/8191/material/5315566)","Aluminum for casting (default, e.g. A380/ADC10/EN-AC46500)")</f>
        <v>Aluminum for casting (default, e.g. A380/ADC10/EN-AC46500)</v>
      </c>
      <c r="F973" t="s">
        <v>1487</v>
      </c>
    </row>
    <row r="974" spans="1:6" ht="12.75">
      <c r="A974">
        <v>6942852</v>
      </c>
      <c r="B974">
        <v>6970491</v>
      </c>
      <c r="C974" t="s">
        <v>189</v>
      </c>
      <c r="D974" t="s">
        <v>99</v>
      </c>
      <c r="E974" s="2" t="str">
        <f>HYPERLINK("https://ibp.a2mac1.com/costing(costing:projects/details/8191/equipment/6942852)","Machine")</f>
        <v>Machine</v>
      </c>
      <c r="F974" t="s">
        <v>1487</v>
      </c>
    </row>
    <row r="975" spans="1:6" ht="12.75">
      <c r="A975">
        <v>6970352</v>
      </c>
      <c r="B975">
        <v>5381610</v>
      </c>
      <c r="C975" t="s">
        <v>99</v>
      </c>
      <c r="D975" t="s">
        <v>8</v>
      </c>
      <c r="E975" s="2" t="str">
        <f>HYPERLINK("https://ibp.a2mac1.com/costing(costing:projects/details/8191/process/6970352)","GBX assembly")</f>
        <v>GBX assembly</v>
      </c>
      <c r="F975" t="s">
        <v>1407</v>
      </c>
    </row>
    <row r="976" spans="1:6" ht="12.75">
      <c r="A976">
        <v>6942849</v>
      </c>
      <c r="B976">
        <v>6970352</v>
      </c>
      <c r="C976" t="s">
        <v>189</v>
      </c>
      <c r="D976" t="s">
        <v>99</v>
      </c>
      <c r="E976" s="2" t="str">
        <f>HYPERLINK("https://ibp.a2mac1.com/costing(costing:projects/details/8191/equipment/6942849)","Machine")</f>
        <v>Machine</v>
      </c>
      <c r="F976" t="s">
        <v>1490</v>
      </c>
    </row>
    <row r="977" spans="1:6" ht="12.75">
      <c r="A977">
        <v>5381606</v>
      </c>
      <c r="B977">
        <v>5381596</v>
      </c>
      <c r="C977" t="s">
        <v>12</v>
      </c>
      <c r="D977" t="s">
        <v>8</v>
      </c>
      <c r="E977" s="2" t="str">
        <f>HYPERLINK("https://ibp.a2mac1.com/costing(costing:projects/details/8191/part/5381606)","Left drive shaft")</f>
        <v>Left drive shaft</v>
      </c>
      <c r="F977" t="s">
        <v>1406</v>
      </c>
    </row>
    <row r="978" spans="1:6" ht="12.75">
      <c r="A978">
        <v>5381608</v>
      </c>
      <c r="B978">
        <v>5381596</v>
      </c>
      <c r="C978" t="s">
        <v>12</v>
      </c>
      <c r="D978" t="s">
        <v>8</v>
      </c>
      <c r="E978" s="2" t="str">
        <f>HYPERLINK("https://ibp.a2mac1.com/costing(costing:projects/details/8191/part/5381608)","Right drive shaft")</f>
        <v>Right drive shaft</v>
      </c>
      <c r="F978" t="s">
        <v>1406</v>
      </c>
    </row>
    <row r="979" spans="1:6" ht="12.75">
      <c r="A979">
        <v>5381612</v>
      </c>
      <c r="B979">
        <v>5381596</v>
      </c>
      <c r="C979" t="s">
        <v>12</v>
      </c>
      <c r="D979" t="s">
        <v>8</v>
      </c>
      <c r="E979" s="2" t="str">
        <f>HYPERLINK("https://ibp.a2mac1.com/costing(costing:projects/details/8191/part/5381612)","Fastener")</f>
        <v>Fastener</v>
      </c>
      <c r="F979" t="s">
        <v>1406</v>
      </c>
    </row>
    <row r="980" spans="1:6" ht="12.75">
      <c r="A980">
        <v>5381597</v>
      </c>
      <c r="B980">
        <v>5381564</v>
      </c>
      <c r="C980" t="s">
        <v>8</v>
      </c>
      <c r="D980" t="s">
        <v>8</v>
      </c>
      <c r="E980" s="2" t="str">
        <f>HYPERLINK("https://ibp.a2mac1.com/costing(costing:projects/details/8191/assembly/5381597)","Rear Gearbox &amp; Halfshafts")</f>
        <v>Rear Gearbox &amp; Halfshafts</v>
      </c>
      <c r="F980" t="s">
        <v>1405</v>
      </c>
    </row>
    <row r="981" spans="1:6" ht="12.75">
      <c r="A981">
        <v>5381620</v>
      </c>
      <c r="B981">
        <v>5381597</v>
      </c>
      <c r="C981" t="s">
        <v>8</v>
      </c>
      <c r="D981" t="s">
        <v>8</v>
      </c>
      <c r="E981" s="2" t="str">
        <f>HYPERLINK("https://ibp.a2mac1.com/costing(costing:projects/details/8191/assembly/5381620)","Gearbox")</f>
        <v>Gearbox</v>
      </c>
      <c r="F981" t="s">
        <v>1499</v>
      </c>
    </row>
    <row r="982" spans="1:6" ht="12.75">
      <c r="A982">
        <v>5381706</v>
      </c>
      <c r="B982">
        <v>5381620</v>
      </c>
      <c r="C982" t="s">
        <v>8</v>
      </c>
      <c r="D982" t="s">
        <v>8</v>
      </c>
      <c r="E982" s="2" t="str">
        <f>HYPERLINK("https://ibp.a2mac1.com/costing(costing:projects/details/8191/assembly/5381706)","Differential")</f>
        <v>Differential</v>
      </c>
      <c r="F982" t="s">
        <v>1500</v>
      </c>
    </row>
    <row r="983" spans="1:6" ht="12.75">
      <c r="A983">
        <v>5381742</v>
      </c>
      <c r="B983">
        <v>5381706</v>
      </c>
      <c r="C983" t="s">
        <v>12</v>
      </c>
      <c r="D983" t="s">
        <v>8</v>
      </c>
      <c r="E983" s="2" t="str">
        <f>HYPERLINK("https://ibp.a2mac1.com/costing(costing:projects/details/8191/part/5381742)","Differential case")</f>
        <v>Differential case</v>
      </c>
      <c r="F983" t="s">
        <v>1501</v>
      </c>
    </row>
    <row r="984" spans="1:6" ht="12.75">
      <c r="A984">
        <v>6970503</v>
      </c>
      <c r="B984">
        <v>5381742</v>
      </c>
      <c r="C984" t="s">
        <v>99</v>
      </c>
      <c r="D984" t="s">
        <v>12</v>
      </c>
      <c r="E984" s="2" t="str">
        <f>HYPERLINK("https://ibp.a2mac1.com/costing(costing:projects/details/8191/process/6970503)","Process")</f>
        <v>Process</v>
      </c>
      <c r="F984" t="s">
        <v>1502</v>
      </c>
    </row>
    <row r="985" spans="1:6" ht="12.75">
      <c r="A985">
        <v>5315593</v>
      </c>
      <c r="B985">
        <v>6970503</v>
      </c>
      <c r="C985" t="s">
        <v>24</v>
      </c>
      <c r="D985" t="s">
        <v>99</v>
      </c>
      <c r="E985" s="2" t="str">
        <f>HYPERLINK("https://ibp.a2mac1.com/costing(costing:projects/details/8191/material/5315593)","Cast Steel (default, e.g. 42CrMo4 / 4140)")</f>
        <v>Cast Steel (default, e.g. 42CrMo4 / 4140)</v>
      </c>
      <c r="F985" t="s">
        <v>1505</v>
      </c>
    </row>
    <row r="986" spans="1:6" ht="12.75">
      <c r="A986">
        <v>6943016</v>
      </c>
      <c r="B986">
        <v>6970503</v>
      </c>
      <c r="C986" t="s">
        <v>189</v>
      </c>
      <c r="D986" t="s">
        <v>99</v>
      </c>
      <c r="E986" s="2" t="str">
        <f>HYPERLINK("https://ibp.a2mac1.com/costing(costing:projects/details/8191/equipment/6943016)","Machine")</f>
        <v>Machine</v>
      </c>
      <c r="F986" t="s">
        <v>1505</v>
      </c>
    </row>
    <row r="987" spans="1:6" ht="12.75">
      <c r="A987">
        <v>5381743</v>
      </c>
      <c r="B987">
        <v>5381706</v>
      </c>
      <c r="C987" t="s">
        <v>12</v>
      </c>
      <c r="D987" t="s">
        <v>8</v>
      </c>
      <c r="E987" s="2" t="str">
        <f>HYPERLINK("https://ibp.a2mac1.com/costing(costing:projects/details/8191/part/5381743)","Sun gear")</f>
        <v>Sun gear</v>
      </c>
      <c r="F987" t="s">
        <v>1501</v>
      </c>
    </row>
    <row r="988" spans="1:6" ht="12.75">
      <c r="A988">
        <v>6970504</v>
      </c>
      <c r="B988">
        <v>5381743</v>
      </c>
      <c r="C988" t="s">
        <v>99</v>
      </c>
      <c r="D988" t="s">
        <v>12</v>
      </c>
      <c r="E988" s="2" t="str">
        <f>HYPERLINK("https://ibp.a2mac1.com/costing(costing:projects/details/8191/process/6970504)","Process")</f>
        <v>Process</v>
      </c>
      <c r="F988" t="s">
        <v>1508</v>
      </c>
    </row>
    <row r="989" spans="1:6" ht="12.75">
      <c r="A989">
        <v>5315594</v>
      </c>
      <c r="B989">
        <v>6970504</v>
      </c>
      <c r="C989" t="s">
        <v>24</v>
      </c>
      <c r="D989" t="s">
        <v>99</v>
      </c>
      <c r="E989" s="2" t="str">
        <f>HYPERLINK("https://ibp.a2mac1.com/costing(costing:projects/details/8191/material/5315594)","20NiCrMo2-2 / 8615 / 20NiCrMo2-2 / 1.6523 (Billet)")</f>
        <v>20NiCrMo2-2 / 8615 / 20NiCrMo2-2 / 1.6523 (Billet)</v>
      </c>
      <c r="F989" t="s">
        <v>1511</v>
      </c>
    </row>
    <row r="990" spans="1:6" ht="12.75">
      <c r="A990">
        <v>6943017</v>
      </c>
      <c r="B990">
        <v>6970504</v>
      </c>
      <c r="C990" t="s">
        <v>189</v>
      </c>
      <c r="D990" t="s">
        <v>99</v>
      </c>
      <c r="E990" s="2" t="str">
        <f>HYPERLINK("https://ibp.a2mac1.com/costing(costing:projects/details/8191/equipment/6943017)","Machine")</f>
        <v>Machine</v>
      </c>
      <c r="F990" t="s">
        <v>1511</v>
      </c>
    </row>
    <row r="991" spans="1:6" ht="12.75">
      <c r="A991">
        <v>5381744</v>
      </c>
      <c r="B991">
        <v>5381706</v>
      </c>
      <c r="C991" t="s">
        <v>12</v>
      </c>
      <c r="D991" t="s">
        <v>8</v>
      </c>
      <c r="E991" s="2" t="str">
        <f>HYPERLINK("https://ibp.a2mac1.com/costing(costing:projects/details/8191/part/5381744)","Planet gear")</f>
        <v>Planet gear</v>
      </c>
      <c r="F991" t="s">
        <v>1501</v>
      </c>
    </row>
    <row r="992" spans="1:6" ht="12.75">
      <c r="A992">
        <v>6970505</v>
      </c>
      <c r="B992">
        <v>5381744</v>
      </c>
      <c r="C992" t="s">
        <v>99</v>
      </c>
      <c r="D992" t="s">
        <v>12</v>
      </c>
      <c r="E992" s="2" t="str">
        <f>HYPERLINK("https://ibp.a2mac1.com/costing(costing:projects/details/8191/process/6970505)","Process")</f>
        <v>Process</v>
      </c>
      <c r="F992" t="s">
        <v>1514</v>
      </c>
    </row>
    <row r="993" spans="1:6" ht="12.75">
      <c r="A993">
        <v>5315595</v>
      </c>
      <c r="B993">
        <v>6970505</v>
      </c>
      <c r="C993" t="s">
        <v>24</v>
      </c>
      <c r="D993" t="s">
        <v>99</v>
      </c>
      <c r="E993" s="2" t="str">
        <f>HYPERLINK("https://ibp.a2mac1.com/costing(costing:projects/details/8191/material/5315595)","20NiCrMo2-2 / 8615 / 20NiCrMo2-2 / 1.6523 (Billet)")</f>
        <v>20NiCrMo2-2 / 8615 / 20NiCrMo2-2 / 1.6523 (Billet)</v>
      </c>
      <c r="F993" t="s">
        <v>1517</v>
      </c>
    </row>
    <row r="994" spans="1:6" ht="12.75">
      <c r="A994">
        <v>6943018</v>
      </c>
      <c r="B994">
        <v>6970505</v>
      </c>
      <c r="C994" t="s">
        <v>189</v>
      </c>
      <c r="D994" t="s">
        <v>99</v>
      </c>
      <c r="E994" s="2" t="str">
        <f>HYPERLINK("https://ibp.a2mac1.com/costing(costing:projects/details/8191/equipment/6943018)","Machine")</f>
        <v>Machine</v>
      </c>
      <c r="F994" t="s">
        <v>1517</v>
      </c>
    </row>
    <row r="995" spans="1:6" ht="12.75">
      <c r="A995">
        <v>5381745</v>
      </c>
      <c r="B995">
        <v>5381706</v>
      </c>
      <c r="C995" t="s">
        <v>12</v>
      </c>
      <c r="D995" t="s">
        <v>8</v>
      </c>
      <c r="E995" s="2" t="str">
        <f>HYPERLINK("https://ibp.a2mac1.com/costing(costing:projects/details/8191/part/5381745)","Differential gear")</f>
        <v>Differential gear</v>
      </c>
      <c r="F995" t="s">
        <v>1501</v>
      </c>
    </row>
    <row r="996" spans="1:6" ht="12.75">
      <c r="A996">
        <v>6970506</v>
      </c>
      <c r="B996">
        <v>5381745</v>
      </c>
      <c r="C996" t="s">
        <v>99</v>
      </c>
      <c r="D996" t="s">
        <v>12</v>
      </c>
      <c r="E996" s="2" t="str">
        <f>HYPERLINK("https://ibp.a2mac1.com/costing(costing:projects/details/8191/process/6970506)","Process")</f>
        <v>Process</v>
      </c>
      <c r="F996" t="s">
        <v>1520</v>
      </c>
    </row>
    <row r="997" spans="1:6" ht="12.75">
      <c r="A997">
        <v>5315596</v>
      </c>
      <c r="B997">
        <v>6970506</v>
      </c>
      <c r="C997" t="s">
        <v>24</v>
      </c>
      <c r="D997" t="s">
        <v>99</v>
      </c>
      <c r="E997" s="2" t="str">
        <f>HYPERLINK("https://ibp.a2mac1.com/costing(costing:projects/details/8191/material/5315596)","42CrMo4 / 4140 / 42CrMo4 / 1.7225 (Billet)")</f>
        <v>42CrMo4 / 4140 / 42CrMo4 / 1.7225 (Billet)</v>
      </c>
      <c r="F997" t="s">
        <v>1523</v>
      </c>
    </row>
    <row r="998" spans="1:6" ht="12.75">
      <c r="A998">
        <v>6943019</v>
      </c>
      <c r="B998">
        <v>6970506</v>
      </c>
      <c r="C998" t="s">
        <v>189</v>
      </c>
      <c r="D998" t="s">
        <v>99</v>
      </c>
      <c r="E998" s="2" t="str">
        <f>HYPERLINK("https://ibp.a2mac1.com/costing(costing:projects/details/8191/equipment/6943019)","Machine")</f>
        <v>Machine</v>
      </c>
      <c r="F998" t="s">
        <v>1523</v>
      </c>
    </row>
    <row r="999" spans="1:6" ht="12.75">
      <c r="A999">
        <v>5381746</v>
      </c>
      <c r="B999">
        <v>5381706</v>
      </c>
      <c r="C999" t="s">
        <v>12</v>
      </c>
      <c r="D999" t="s">
        <v>8</v>
      </c>
      <c r="E999" s="2" t="str">
        <f>HYPERLINK("https://ibp.a2mac1.com/costing(costing:projects/details/8191/part/5381746)","Planet gear axle")</f>
        <v>Planet gear axle</v>
      </c>
      <c r="F999" t="s">
        <v>1501</v>
      </c>
    </row>
    <row r="1000" spans="1:6" ht="12.75">
      <c r="A1000">
        <v>6970507</v>
      </c>
      <c r="B1000">
        <v>5381746</v>
      </c>
      <c r="C1000" t="s">
        <v>99</v>
      </c>
      <c r="D1000" t="s">
        <v>12</v>
      </c>
      <c r="E1000" s="2" t="str">
        <f>HYPERLINK("https://ibp.a2mac1.com/costing(costing:projects/details/8191/process/6970507)","Process")</f>
        <v>Process</v>
      </c>
      <c r="F1000" t="s">
        <v>1526</v>
      </c>
    </row>
    <row r="1001" spans="1:6" ht="12.75">
      <c r="A1001">
        <v>5315597</v>
      </c>
      <c r="B1001">
        <v>6970507</v>
      </c>
      <c r="C1001" t="s">
        <v>24</v>
      </c>
      <c r="D1001" t="s">
        <v>99</v>
      </c>
      <c r="E1001" s="2" t="str">
        <f>HYPERLINK("https://ibp.a2mac1.com/costing(costing:projects/details/8191/material/5315597)","C45E")</f>
        <v>C45E</v>
      </c>
      <c r="F1001" t="s">
        <v>1532</v>
      </c>
    </row>
    <row r="1002" spans="1:6" ht="12.75">
      <c r="A1002">
        <v>6943020</v>
      </c>
      <c r="B1002">
        <v>6970507</v>
      </c>
      <c r="C1002" t="s">
        <v>189</v>
      </c>
      <c r="D1002" t="s">
        <v>99</v>
      </c>
      <c r="E1002" s="2" t="str">
        <f>HYPERLINK("https://ibp.a2mac1.com/costing(costing:projects/details/8191/equipment/6943020)","Machine")</f>
        <v>Machine</v>
      </c>
      <c r="F1002" t="s">
        <v>1532</v>
      </c>
    </row>
    <row r="1003" spans="1:6" ht="12.75">
      <c r="A1003">
        <v>5381747</v>
      </c>
      <c r="B1003">
        <v>5381706</v>
      </c>
      <c r="C1003" t="s">
        <v>12</v>
      </c>
      <c r="D1003" t="s">
        <v>8</v>
      </c>
      <c r="E1003" s="2" t="str">
        <f>HYPERLINK("https://ibp.a2mac1.com/costing(costing:projects/details/8191/part/5381747)","Tapered roller bearing")</f>
        <v>Tapered roller bearing</v>
      </c>
      <c r="F1003" t="s">
        <v>1501</v>
      </c>
    </row>
    <row r="1004" spans="1:6" ht="12.75">
      <c r="A1004">
        <v>5381748</v>
      </c>
      <c r="B1004">
        <v>5381706</v>
      </c>
      <c r="C1004" t="s">
        <v>12</v>
      </c>
      <c r="D1004" t="s">
        <v>8</v>
      </c>
      <c r="E1004" s="2" t="str">
        <f>HYPERLINK("https://ibp.a2mac1.com/costing(costing:projects/details/8191/part/5381748)","Adjustment spacer")</f>
        <v>Adjustment spacer</v>
      </c>
      <c r="F1004" t="s">
        <v>1501</v>
      </c>
    </row>
    <row r="1005" spans="1:6" ht="12.75">
      <c r="A1005">
        <v>5381749</v>
      </c>
      <c r="B1005">
        <v>5381706</v>
      </c>
      <c r="C1005" t="s">
        <v>12</v>
      </c>
      <c r="D1005" t="s">
        <v>8</v>
      </c>
      <c r="E1005" s="2" t="str">
        <f>HYPERLINK("https://ibp.a2mac1.com/costing(costing:projects/details/8191/part/5381749)","Magnet")</f>
        <v>Magnet</v>
      </c>
      <c r="F1005" t="s">
        <v>1501</v>
      </c>
    </row>
    <row r="1006" spans="1:6" ht="12.75">
      <c r="A1006">
        <v>5381750</v>
      </c>
      <c r="B1006">
        <v>5381706</v>
      </c>
      <c r="C1006" t="s">
        <v>12</v>
      </c>
      <c r="D1006" t="s">
        <v>8</v>
      </c>
      <c r="E1006" s="2" t="str">
        <f>HYPERLINK("https://ibp.a2mac1.com/costing(costing:projects/details/8191/part/5381750)","Bearing race")</f>
        <v>Bearing race</v>
      </c>
      <c r="F1006" t="s">
        <v>1501</v>
      </c>
    </row>
    <row r="1007" spans="1:6" ht="12.75">
      <c r="A1007">
        <v>6970495</v>
      </c>
      <c r="B1007">
        <v>5381706</v>
      </c>
      <c r="C1007" t="s">
        <v>99</v>
      </c>
      <c r="D1007" t="s">
        <v>8</v>
      </c>
      <c r="E1007" s="2" t="str">
        <f>HYPERLINK("https://ibp.a2mac1.com/costing(costing:projects/details/8191/process/6970495)","Differential assembly")</f>
        <v>Differential assembly</v>
      </c>
      <c r="F1007" t="s">
        <v>1501</v>
      </c>
    </row>
    <row r="1008" spans="1:6" ht="12.75">
      <c r="A1008">
        <v>6942856</v>
      </c>
      <c r="B1008">
        <v>6970495</v>
      </c>
      <c r="C1008" t="s">
        <v>189</v>
      </c>
      <c r="D1008" t="s">
        <v>99</v>
      </c>
      <c r="E1008" s="2" t="str">
        <f>HYPERLINK("https://ibp.a2mac1.com/costing(costing:projects/details/8191/equipment/6942856)","Machine")</f>
        <v>Machine</v>
      </c>
      <c r="F1008" t="s">
        <v>1543</v>
      </c>
    </row>
    <row r="1009" spans="1:6" ht="12.75">
      <c r="A1009">
        <v>5381707</v>
      </c>
      <c r="B1009">
        <v>5381620</v>
      </c>
      <c r="C1009" t="s">
        <v>8</v>
      </c>
      <c r="D1009" t="s">
        <v>8</v>
      </c>
      <c r="E1009" s="2" t="str">
        <f>HYPERLINK("https://ibp.a2mac1.com/costing(costing:projects/details/8191/assembly/5381707)","Input stage")</f>
        <v>Input stage</v>
      </c>
      <c r="F1009" t="s">
        <v>1500</v>
      </c>
    </row>
    <row r="1010" spans="1:6" ht="12.75">
      <c r="A1010">
        <v>5381751</v>
      </c>
      <c r="B1010">
        <v>5381707</v>
      </c>
      <c r="C1010" t="s">
        <v>12</v>
      </c>
      <c r="D1010" t="s">
        <v>8</v>
      </c>
      <c r="E1010" s="2" t="str">
        <f>HYPERLINK("https://ibp.a2mac1.com/costing(costing:projects/details/8191/part/5381751)","Input shaft")</f>
        <v>Input shaft</v>
      </c>
      <c r="F1010" t="s">
        <v>1546</v>
      </c>
    </row>
    <row r="1011" spans="1:6" ht="12.75">
      <c r="A1011">
        <v>6970508</v>
      </c>
      <c r="B1011">
        <v>5381751</v>
      </c>
      <c r="C1011" t="s">
        <v>99</v>
      </c>
      <c r="D1011" t="s">
        <v>12</v>
      </c>
      <c r="E1011" s="2" t="str">
        <f>HYPERLINK("https://ibp.a2mac1.com/costing(costing:projects/details/8191/process/6970508)","Process")</f>
        <v>Process</v>
      </c>
      <c r="F1011" t="s">
        <v>1547</v>
      </c>
    </row>
    <row r="1012" spans="1:6" ht="12.75">
      <c r="A1012">
        <v>5315598</v>
      </c>
      <c r="B1012">
        <v>6970508</v>
      </c>
      <c r="C1012" t="s">
        <v>24</v>
      </c>
      <c r="D1012" t="s">
        <v>99</v>
      </c>
      <c r="E1012" s="2" t="str">
        <f>HYPERLINK("https://ibp.a2mac1.com/costing(costing:projects/details/8191/material/5315598)","20MnCr5 / SAE5120 / 20MnCr5 / 1.7147 / 20CrMnTi (Billet)")</f>
        <v>20MnCr5 / SAE5120 / 20MnCr5 / 1.7147 / 20CrMnTi (Billet)</v>
      </c>
      <c r="F1012" t="s">
        <v>1550</v>
      </c>
    </row>
    <row r="1013" spans="1:6" ht="12.75">
      <c r="A1013">
        <v>6943021</v>
      </c>
      <c r="B1013">
        <v>6970508</v>
      </c>
      <c r="C1013" t="s">
        <v>189</v>
      </c>
      <c r="D1013" t="s">
        <v>99</v>
      </c>
      <c r="E1013" s="2" t="str">
        <f>HYPERLINK("https://ibp.a2mac1.com/costing(costing:projects/details/8191/equipment/6943021)","Machine")</f>
        <v>Machine</v>
      </c>
      <c r="F1013" t="s">
        <v>1550</v>
      </c>
    </row>
    <row r="1014" spans="1:6" ht="12.75">
      <c r="A1014">
        <v>5381752</v>
      </c>
      <c r="B1014">
        <v>5381707</v>
      </c>
      <c r="C1014" t="s">
        <v>12</v>
      </c>
      <c r="D1014" t="s">
        <v>8</v>
      </c>
      <c r="E1014" s="2" t="str">
        <f>HYPERLINK("https://ibp.a2mac1.com/costing(costing:projects/details/8191/part/5381752)","Roller bearing")</f>
        <v>Roller bearing</v>
      </c>
      <c r="F1014" t="s">
        <v>1546</v>
      </c>
    </row>
    <row r="1015" spans="1:6" ht="12.75">
      <c r="A1015">
        <v>5381753</v>
      </c>
      <c r="B1015">
        <v>5381707</v>
      </c>
      <c r="C1015" t="s">
        <v>12</v>
      </c>
      <c r="D1015" t="s">
        <v>8</v>
      </c>
      <c r="E1015" s="2" t="str">
        <f>HYPERLINK("https://ibp.a2mac1.com/costing(costing:projects/details/8191/part/5381753)","Fasteners cover")</f>
        <v>Fasteners cover</v>
      </c>
      <c r="F1015" t="s">
        <v>1546</v>
      </c>
    </row>
    <row r="1016" spans="1:6" ht="12.75">
      <c r="A1016">
        <v>5381708</v>
      </c>
      <c r="B1016">
        <v>5381620</v>
      </c>
      <c r="C1016" t="s">
        <v>8</v>
      </c>
      <c r="D1016" t="s">
        <v>8</v>
      </c>
      <c r="E1016" s="2" t="str">
        <f>HYPERLINK("https://ibp.a2mac1.com/costing(costing:projects/details/8191/assembly/5381708)","Intermediate stage")</f>
        <v>Intermediate stage</v>
      </c>
      <c r="F1016" t="s">
        <v>1500</v>
      </c>
    </row>
    <row r="1017" spans="1:6" ht="12.75">
      <c r="A1017">
        <v>5381754</v>
      </c>
      <c r="B1017">
        <v>5381708</v>
      </c>
      <c r="C1017" t="s">
        <v>12</v>
      </c>
      <c r="D1017" t="s">
        <v>8</v>
      </c>
      <c r="E1017" s="2" t="str">
        <f>HYPERLINK("https://ibp.a2mac1.com/costing(costing:projects/details/8191/part/5381754)","Shaft")</f>
        <v>Shaft</v>
      </c>
      <c r="F1017" t="s">
        <v>1559</v>
      </c>
    </row>
    <row r="1018" spans="1:6" ht="12.75">
      <c r="A1018">
        <v>6970509</v>
      </c>
      <c r="B1018">
        <v>5381754</v>
      </c>
      <c r="C1018" t="s">
        <v>99</v>
      </c>
      <c r="D1018" t="s">
        <v>12</v>
      </c>
      <c r="E1018" s="2" t="str">
        <f>HYPERLINK("https://ibp.a2mac1.com/costing(costing:projects/details/8191/process/6970509)","Process")</f>
        <v>Process</v>
      </c>
      <c r="F1018" t="s">
        <v>1560</v>
      </c>
    </row>
    <row r="1019" spans="1:6" ht="12.75">
      <c r="A1019">
        <v>5315599</v>
      </c>
      <c r="B1019">
        <v>6970509</v>
      </c>
      <c r="C1019" t="s">
        <v>24</v>
      </c>
      <c r="D1019" t="s">
        <v>99</v>
      </c>
      <c r="E1019" s="2" t="str">
        <f>HYPERLINK("https://ibp.a2mac1.com/costing(costing:projects/details/8191/material/5315599)","Steel, 20MnCr5, round bar, 70mm")</f>
        <v>Steel, 20MnCr5, round bar, 70mm</v>
      </c>
      <c r="F1019" t="s">
        <v>1563</v>
      </c>
    </row>
    <row r="1020" spans="1:6" ht="12.75">
      <c r="A1020">
        <v>6943022</v>
      </c>
      <c r="B1020">
        <v>6970509</v>
      </c>
      <c r="C1020" t="s">
        <v>189</v>
      </c>
      <c r="D1020" t="s">
        <v>99</v>
      </c>
      <c r="E1020" s="2" t="str">
        <f>HYPERLINK("https://ibp.a2mac1.com/costing(costing:projects/details/8191/equipment/6943022)","Machine")</f>
        <v>Machine</v>
      </c>
      <c r="F1020" t="s">
        <v>1563</v>
      </c>
    </row>
    <row r="1021" spans="1:6" ht="12.75">
      <c r="A1021">
        <v>5381755</v>
      </c>
      <c r="B1021">
        <v>5381708</v>
      </c>
      <c r="C1021" t="s">
        <v>12</v>
      </c>
      <c r="D1021" t="s">
        <v>8</v>
      </c>
      <c r="E1021" s="2" t="str">
        <f>HYPERLINK("https://ibp.a2mac1.com/costing(costing:projects/details/8191/part/5381755)","Gear")</f>
        <v>Gear</v>
      </c>
      <c r="F1021" t="s">
        <v>1559</v>
      </c>
    </row>
    <row r="1022" spans="1:6" ht="12.75">
      <c r="A1022">
        <v>6970510</v>
      </c>
      <c r="B1022">
        <v>5381755</v>
      </c>
      <c r="C1022" t="s">
        <v>99</v>
      </c>
      <c r="D1022" t="s">
        <v>12</v>
      </c>
      <c r="E1022" s="2" t="str">
        <f>HYPERLINK("https://ibp.a2mac1.com/costing(costing:projects/details/8191/process/6970510)","Process")</f>
        <v>Process</v>
      </c>
      <c r="F1022" t="s">
        <v>1566</v>
      </c>
    </row>
    <row r="1023" spans="1:6" ht="12.75">
      <c r="A1023">
        <v>5315600</v>
      </c>
      <c r="B1023">
        <v>6970510</v>
      </c>
      <c r="C1023" t="s">
        <v>24</v>
      </c>
      <c r="D1023" t="s">
        <v>99</v>
      </c>
      <c r="E1023" s="2" t="str">
        <f>HYPERLINK("https://ibp.a2mac1.com/costing(costing:projects/details/8191/material/5315600)","42CrMo4 / 4140 / 42CrMo4 / 1.7225 (Billet)")</f>
        <v>42CrMo4 / 4140 / 42CrMo4 / 1.7225 (Billet)</v>
      </c>
      <c r="F1023" t="s">
        <v>1569</v>
      </c>
    </row>
    <row r="1024" spans="1:6" ht="12.75">
      <c r="A1024">
        <v>6943023</v>
      </c>
      <c r="B1024">
        <v>6970510</v>
      </c>
      <c r="C1024" t="s">
        <v>189</v>
      </c>
      <c r="D1024" t="s">
        <v>99</v>
      </c>
      <c r="E1024" s="2" t="str">
        <f>HYPERLINK("https://ibp.a2mac1.com/costing(costing:projects/details/8191/equipment/6943023)","Machine")</f>
        <v>Machine</v>
      </c>
      <c r="F1024" t="s">
        <v>1569</v>
      </c>
    </row>
    <row r="1025" spans="1:6" ht="12.75">
      <c r="A1025">
        <v>5381756</v>
      </c>
      <c r="B1025">
        <v>5381708</v>
      </c>
      <c r="C1025" t="s">
        <v>12</v>
      </c>
      <c r="D1025" t="s">
        <v>8</v>
      </c>
      <c r="E1025" s="2" t="str">
        <f>HYPERLINK("https://ibp.a2mac1.com/costing(costing:projects/details/8191/part/5381756)","Ball bearing #1")</f>
        <v>Ball bearing #1</v>
      </c>
      <c r="F1025" t="s">
        <v>1559</v>
      </c>
    </row>
    <row r="1026" spans="1:6" ht="12.75">
      <c r="A1026">
        <v>5381757</v>
      </c>
      <c r="B1026">
        <v>5381708</v>
      </c>
      <c r="C1026" t="s">
        <v>12</v>
      </c>
      <c r="D1026" t="s">
        <v>8</v>
      </c>
      <c r="E1026" s="2" t="str">
        <f>HYPERLINK("https://ibp.a2mac1.com/costing(costing:projects/details/8191/part/5381757)","Ball bearing #2")</f>
        <v>Ball bearing #2</v>
      </c>
      <c r="F1026" t="s">
        <v>1559</v>
      </c>
    </row>
    <row r="1027" spans="1:6" ht="12.75">
      <c r="A1027">
        <v>5381758</v>
      </c>
      <c r="B1027">
        <v>5381708</v>
      </c>
      <c r="C1027" t="s">
        <v>12</v>
      </c>
      <c r="D1027" t="s">
        <v>8</v>
      </c>
      <c r="E1027" s="2" t="str">
        <f>HYPERLINK("https://ibp.a2mac1.com/costing(costing:projects/details/8191/part/5381758)","Fasteners cover")</f>
        <v>Fasteners cover</v>
      </c>
      <c r="F1027" t="s">
        <v>1559</v>
      </c>
    </row>
    <row r="1028" spans="1:6" ht="12.75">
      <c r="A1028">
        <v>5381709</v>
      </c>
      <c r="B1028">
        <v>5381620</v>
      </c>
      <c r="C1028" t="s">
        <v>8</v>
      </c>
      <c r="D1028" t="s">
        <v>8</v>
      </c>
      <c r="E1028" s="2" t="str">
        <f>HYPERLINK("https://ibp.a2mac1.com/costing(costing:projects/details/8191/assembly/5381709)","Misc.")</f>
        <v>Misc.</v>
      </c>
      <c r="F1028" t="s">
        <v>1500</v>
      </c>
    </row>
    <row r="1029" spans="1:6" ht="12.75">
      <c r="A1029">
        <v>5381759</v>
      </c>
      <c r="B1029">
        <v>5381709</v>
      </c>
      <c r="C1029" t="s">
        <v>12</v>
      </c>
      <c r="D1029" t="s">
        <v>8</v>
      </c>
      <c r="E1029" s="2" t="str">
        <f>HYPERLINK("https://ibp.a2mac1.com/costing(costing:projects/details/8191/part/5381759)","Oil drain plug")</f>
        <v>Oil drain plug</v>
      </c>
      <c r="F1029" t="s">
        <v>1580</v>
      </c>
    </row>
    <row r="1030" spans="1:6" ht="12.75">
      <c r="A1030">
        <v>5381760</v>
      </c>
      <c r="B1030">
        <v>5381709</v>
      </c>
      <c r="C1030" t="s">
        <v>12</v>
      </c>
      <c r="D1030" t="s">
        <v>8</v>
      </c>
      <c r="E1030" s="2" t="str">
        <f>HYPERLINK("https://ibp.a2mac1.com/costing(costing:projects/details/8191/part/5381760)","Lubrication screen")</f>
        <v>Lubrication screen</v>
      </c>
      <c r="F1030" t="s">
        <v>1580</v>
      </c>
    </row>
    <row r="1031" spans="1:6" ht="12.75">
      <c r="A1031">
        <v>5381761</v>
      </c>
      <c r="B1031">
        <v>5381709</v>
      </c>
      <c r="C1031" t="s">
        <v>12</v>
      </c>
      <c r="D1031" t="s">
        <v>8</v>
      </c>
      <c r="E1031" s="2" t="str">
        <f>HYPERLINK("https://ibp.a2mac1.com/costing(costing:projects/details/8191/part/5381761)","Degasser valve")</f>
        <v>Degasser valve</v>
      </c>
      <c r="F1031" t="s">
        <v>1580</v>
      </c>
    </row>
    <row r="1032" spans="1:6" ht="12.75">
      <c r="A1032">
        <v>5381804</v>
      </c>
      <c r="B1032">
        <v>5381709</v>
      </c>
      <c r="C1032" t="s">
        <v>12</v>
      </c>
      <c r="D1032" t="s">
        <v>8</v>
      </c>
      <c r="E1032" s="2" t="str">
        <f>HYPERLINK("https://ibp.a2mac1.com/costing(costing:projects/details/8191/part/5381804)","Pressure release hose")</f>
        <v>Pressure release hose</v>
      </c>
      <c r="F1032" t="s">
        <v>1580</v>
      </c>
    </row>
    <row r="1033" spans="1:6" ht="12.75">
      <c r="A1033">
        <v>5381805</v>
      </c>
      <c r="B1033">
        <v>5381709</v>
      </c>
      <c r="C1033" t="s">
        <v>12</v>
      </c>
      <c r="D1033" t="s">
        <v>8</v>
      </c>
      <c r="E1033" s="2" t="str">
        <f>HYPERLINK("https://ibp.a2mac1.com/costing(costing:projects/details/8191/part/5381805)","Support pressure release hose")</f>
        <v>Support pressure release hose</v>
      </c>
      <c r="F1033" t="s">
        <v>1580</v>
      </c>
    </row>
    <row r="1034" spans="1:6" ht="12.75">
      <c r="A1034">
        <v>5381702</v>
      </c>
      <c r="B1034">
        <v>5381620</v>
      </c>
      <c r="C1034" t="s">
        <v>12</v>
      </c>
      <c r="D1034" t="s">
        <v>8</v>
      </c>
      <c r="E1034" s="2" t="str">
        <f>HYPERLINK("https://ibp.a2mac1.com/costing(costing:projects/details/8191/part/5381702)","Radial shaft seal #1")</f>
        <v>Radial shaft seal #1</v>
      </c>
      <c r="F1034" t="s">
        <v>1500</v>
      </c>
    </row>
    <row r="1035" spans="1:6" ht="12.75">
      <c r="A1035">
        <v>5381703</v>
      </c>
      <c r="B1035">
        <v>5381620</v>
      </c>
      <c r="C1035" t="s">
        <v>12</v>
      </c>
      <c r="D1035" t="s">
        <v>8</v>
      </c>
      <c r="E1035" s="2" t="str">
        <f>HYPERLINK("https://ibp.a2mac1.com/costing(costing:projects/details/8191/part/5381703)","Radial shaft seal #2")</f>
        <v>Radial shaft seal #2</v>
      </c>
      <c r="F1035" t="s">
        <v>1500</v>
      </c>
    </row>
    <row r="1036" spans="1:6" ht="12.75">
      <c r="A1036">
        <v>5381704</v>
      </c>
      <c r="B1036">
        <v>5381620</v>
      </c>
      <c r="C1036" t="s">
        <v>12</v>
      </c>
      <c r="D1036" t="s">
        <v>8</v>
      </c>
      <c r="E1036" s="2" t="str">
        <f>HYPERLINK("https://ibp.a2mac1.com/costing(costing:projects/details/8191/part/5381704)","Main housing")</f>
        <v>Main housing</v>
      </c>
      <c r="F1036" t="s">
        <v>1500</v>
      </c>
    </row>
    <row r="1037" spans="1:6" ht="12.75">
      <c r="A1037">
        <v>6970493</v>
      </c>
      <c r="B1037">
        <v>5381704</v>
      </c>
      <c r="C1037" t="s">
        <v>99</v>
      </c>
      <c r="D1037" t="s">
        <v>12</v>
      </c>
      <c r="E1037" s="2" t="str">
        <f>HYPERLINK("https://ibp.a2mac1.com/costing(costing:projects/details/8191/process/6970493)","Process")</f>
        <v>Process</v>
      </c>
      <c r="F1037" t="s">
        <v>1595</v>
      </c>
    </row>
    <row r="1038" spans="1:6" ht="12.75">
      <c r="A1038">
        <v>5315567</v>
      </c>
      <c r="B1038">
        <v>6970493</v>
      </c>
      <c r="C1038" t="s">
        <v>24</v>
      </c>
      <c r="D1038" t="s">
        <v>99</v>
      </c>
      <c r="E1038" s="2" t="str">
        <f>HYPERLINK("https://ibp.a2mac1.com/costing(costing:projects/details/8191/material/5315567)","Aluminum for casting (default, e.g. A380/ADC10/EN-AC46500)")</f>
        <v>Aluminum for casting (default, e.g. A380/ADC10/EN-AC46500)</v>
      </c>
      <c r="F1038" t="s">
        <v>1598</v>
      </c>
    </row>
    <row r="1039" spans="1:6" ht="12.75">
      <c r="A1039">
        <v>6942854</v>
      </c>
      <c r="B1039">
        <v>6970493</v>
      </c>
      <c r="C1039" t="s">
        <v>189</v>
      </c>
      <c r="D1039" t="s">
        <v>99</v>
      </c>
      <c r="E1039" s="2" t="str">
        <f>HYPERLINK("https://ibp.a2mac1.com/costing(costing:projects/details/8191/equipment/6942854)","Machine")</f>
        <v>Machine</v>
      </c>
      <c r="F1039" t="s">
        <v>1598</v>
      </c>
    </row>
    <row r="1040" spans="1:6" ht="12.75">
      <c r="A1040">
        <v>5381705</v>
      </c>
      <c r="B1040">
        <v>5381620</v>
      </c>
      <c r="C1040" t="s">
        <v>12</v>
      </c>
      <c r="D1040" t="s">
        <v>8</v>
      </c>
      <c r="E1040" s="2" t="str">
        <f>HYPERLINK("https://ibp.a2mac1.com/costing(costing:projects/details/8191/part/5381705)","Right housing")</f>
        <v>Right housing</v>
      </c>
      <c r="F1040" t="s">
        <v>1500</v>
      </c>
    </row>
    <row r="1041" spans="1:6" ht="12.75">
      <c r="A1041">
        <v>6970494</v>
      </c>
      <c r="B1041">
        <v>5381705</v>
      </c>
      <c r="C1041" t="s">
        <v>99</v>
      </c>
      <c r="D1041" t="s">
        <v>12</v>
      </c>
      <c r="E1041" s="2" t="str">
        <f>HYPERLINK("https://ibp.a2mac1.com/costing(costing:projects/details/8191/process/6970494)","Process")</f>
        <v>Process</v>
      </c>
      <c r="F1041" t="s">
        <v>1601</v>
      </c>
    </row>
    <row r="1042" spans="1:6" ht="12.75">
      <c r="A1042">
        <v>5315568</v>
      </c>
      <c r="B1042">
        <v>6970494</v>
      </c>
      <c r="C1042" t="s">
        <v>24</v>
      </c>
      <c r="D1042" t="s">
        <v>99</v>
      </c>
      <c r="E1042" s="2" t="str">
        <f>HYPERLINK("https://ibp.a2mac1.com/costing(costing:projects/details/8191/material/5315568)","Aluminum for casting (default, e.g. A380/ADC10/EN-AC46500)")</f>
        <v>Aluminum for casting (default, e.g. A380/ADC10/EN-AC46500)</v>
      </c>
      <c r="F1042" t="s">
        <v>1604</v>
      </c>
    </row>
    <row r="1043" spans="1:6" ht="12.75">
      <c r="A1043">
        <v>6942855</v>
      </c>
      <c r="B1043">
        <v>6970494</v>
      </c>
      <c r="C1043" t="s">
        <v>189</v>
      </c>
      <c r="D1043" t="s">
        <v>99</v>
      </c>
      <c r="E1043" s="2" t="str">
        <f>HYPERLINK("https://ibp.a2mac1.com/costing(costing:projects/details/8191/equipment/6942855)","Machine")</f>
        <v>Machine</v>
      </c>
      <c r="F1043" t="s">
        <v>1604</v>
      </c>
    </row>
    <row r="1044" spans="1:6" ht="12.75">
      <c r="A1044">
        <v>5381710</v>
      </c>
      <c r="B1044">
        <v>5381620</v>
      </c>
      <c r="C1044" t="s">
        <v>12</v>
      </c>
      <c r="D1044" t="s">
        <v>8</v>
      </c>
      <c r="E1044" s="2" t="str">
        <f>HYPERLINK("https://ibp.a2mac1.com/costing(costing:projects/details/8191/part/5381710)","Magnet")</f>
        <v>Magnet</v>
      </c>
      <c r="F1044" t="s">
        <v>1500</v>
      </c>
    </row>
    <row r="1045" spans="1:6" ht="12.75">
      <c r="A1045">
        <v>6970353</v>
      </c>
      <c r="B1045">
        <v>5381620</v>
      </c>
      <c r="C1045" t="s">
        <v>99</v>
      </c>
      <c r="D1045" t="s">
        <v>8</v>
      </c>
      <c r="E1045" s="2" t="str">
        <f>HYPERLINK("https://ibp.a2mac1.com/costing(costing:projects/details/8191/process/6970353)","GBX assembly")</f>
        <v>GBX assembly</v>
      </c>
      <c r="F1045" t="s">
        <v>1500</v>
      </c>
    </row>
    <row r="1046" spans="1:6" ht="12.75">
      <c r="A1046">
        <v>6942850</v>
      </c>
      <c r="B1046">
        <v>6970353</v>
      </c>
      <c r="C1046" t="s">
        <v>189</v>
      </c>
      <c r="D1046" t="s">
        <v>99</v>
      </c>
      <c r="E1046" s="2" t="str">
        <f>HYPERLINK("https://ibp.a2mac1.com/costing(costing:projects/details/8191/equipment/6942850)","Machine")</f>
        <v>Machine</v>
      </c>
      <c r="F1046" t="s">
        <v>1607</v>
      </c>
    </row>
    <row r="1047" spans="1:6" ht="12.75">
      <c r="A1047">
        <v>5381614</v>
      </c>
      <c r="B1047">
        <v>5381597</v>
      </c>
      <c r="C1047" t="s">
        <v>12</v>
      </c>
      <c r="D1047" t="s">
        <v>8</v>
      </c>
      <c r="E1047" s="2" t="str">
        <f>HYPERLINK("https://ibp.a2mac1.com/costing(costing:projects/details/8191/part/5381614)","Left drive shaft")</f>
        <v>Left drive shaft</v>
      </c>
      <c r="F1047" t="s">
        <v>1499</v>
      </c>
    </row>
    <row r="1048" spans="1:6" ht="12.75">
      <c r="A1048">
        <v>5381616</v>
      </c>
      <c r="B1048">
        <v>5381597</v>
      </c>
      <c r="C1048" t="s">
        <v>12</v>
      </c>
      <c r="D1048" t="s">
        <v>8</v>
      </c>
      <c r="E1048" s="2" t="str">
        <f>HYPERLINK("https://ibp.a2mac1.com/costing(costing:projects/details/8191/part/5381616)","Right drive shaft")</f>
        <v>Right drive shaft</v>
      </c>
      <c r="F1048" t="s">
        <v>1499</v>
      </c>
    </row>
    <row r="1049" spans="1:6" ht="12.75">
      <c r="A1049">
        <v>5381618</v>
      </c>
      <c r="B1049">
        <v>5381597</v>
      </c>
      <c r="C1049" t="s">
        <v>12</v>
      </c>
      <c r="D1049" t="s">
        <v>8</v>
      </c>
      <c r="E1049" s="2" t="str">
        <f>HYPERLINK("https://ibp.a2mac1.com/costing(costing:projects/details/8191/part/5381618)","Fastener")</f>
        <v>Fastener</v>
      </c>
      <c r="F1049" t="s">
        <v>1499</v>
      </c>
    </row>
    <row r="1050" spans="1:6" ht="12.75">
      <c r="A1050">
        <v>5381711</v>
      </c>
      <c r="B1050">
        <v>8191</v>
      </c>
      <c r="C1050" t="s">
        <v>8</v>
      </c>
      <c r="D1050" t="s">
        <v>6</v>
      </c>
      <c r="E1050" s="2" t="str">
        <f>HYPERLINK("https://ibp.a2mac1.com/costing(costing:projects/details/8191/assembly/5381711)","Electrical")</f>
        <v>Electrical</v>
      </c>
      <c r="F1050" t="s">
        <v>9</v>
      </c>
    </row>
    <row r="1051" spans="1:6" ht="12.75">
      <c r="A1051">
        <v>5381712</v>
      </c>
      <c r="B1051">
        <v>5381711</v>
      </c>
      <c r="C1051" t="s">
        <v>8</v>
      </c>
      <c r="D1051" t="s">
        <v>8</v>
      </c>
      <c r="E1051" s="2" t="str">
        <f>HYPERLINK("https://ibp.a2mac1.com/costing(costing:projects/details/8191/assembly/5381712)","Low Voltage Battery")</f>
        <v>Low Voltage Battery</v>
      </c>
      <c r="F1051" t="s">
        <v>1617</v>
      </c>
    </row>
    <row r="1052" spans="1:6" ht="12.75">
      <c r="A1052">
        <v>5381769</v>
      </c>
      <c r="B1052">
        <v>5381712</v>
      </c>
      <c r="C1052" t="s">
        <v>8</v>
      </c>
      <c r="D1052" t="s">
        <v>8</v>
      </c>
      <c r="E1052" s="2" t="str">
        <f>HYPERLINK("https://ibp.a2mac1.com/costing(costing:projects/details/8191/assembly/5381769)","Power Distribution Module or Battery Fuse Box")</f>
        <v>Power Distribution Module or Battery Fuse Box</v>
      </c>
      <c r="F1052" t="s">
        <v>1618</v>
      </c>
    </row>
    <row r="1053" spans="1:6" ht="12.75">
      <c r="A1053">
        <v>6970511</v>
      </c>
      <c r="B1053">
        <v>5381769</v>
      </c>
      <c r="C1053" t="s">
        <v>99</v>
      </c>
      <c r="D1053" t="s">
        <v>8</v>
      </c>
      <c r="E1053" s="2" t="str">
        <f>HYPERLINK("https://ibp.a2mac1.com/costing(costing:projects/details/8191/process/6970511)","Process")</f>
        <v>Process</v>
      </c>
      <c r="F1053" t="s">
        <v>1619</v>
      </c>
    </row>
    <row r="1054" spans="1:6" ht="12.75">
      <c r="A1054">
        <v>6943024</v>
      </c>
      <c r="B1054">
        <v>6970511</v>
      </c>
      <c r="C1054" t="s">
        <v>189</v>
      </c>
      <c r="D1054" t="s">
        <v>99</v>
      </c>
      <c r="E1054" s="2" t="str">
        <f>HYPERLINK("https://ibp.a2mac1.com/costing(costing:projects/details/8191/equipment/6943024)","Dummy Machine (PCBA+Final Assembly Line)")</f>
        <v>Dummy Machine (PCBA+Final Assembly Line)</v>
      </c>
      <c r="F1054" t="s">
        <v>1620</v>
      </c>
    </row>
    <row r="1055" spans="1:6" ht="12.75">
      <c r="A1055">
        <v>5315569</v>
      </c>
      <c r="B1055">
        <v>5381769</v>
      </c>
      <c r="C1055" t="s">
        <v>574</v>
      </c>
      <c r="D1055" t="s">
        <v>8</v>
      </c>
      <c r="E1055" s="2" t="str">
        <f>HYPERLINK("https://ibp.a2mac1.com/costing(costing:projects/details/8191/component/5315569)","Mechanics")</f>
        <v>Mechanics</v>
      </c>
      <c r="F1055" t="s">
        <v>1619</v>
      </c>
    </row>
    <row r="1056" spans="1:6" ht="12.75">
      <c r="A1056">
        <v>5315570</v>
      </c>
      <c r="B1056">
        <v>5381769</v>
      </c>
      <c r="C1056" t="s">
        <v>574</v>
      </c>
      <c r="D1056" t="s">
        <v>8</v>
      </c>
      <c r="E1056" s="2" t="str">
        <f>HYPERLINK("https://ibp.a2mac1.com/costing(costing:projects/details/8191/component/5315570)","Electronics")</f>
        <v>Electronics</v>
      </c>
      <c r="F1056" t="s">
        <v>1619</v>
      </c>
    </row>
    <row r="1057" spans="1:6" ht="12.75">
      <c r="A1057">
        <v>5381762</v>
      </c>
      <c r="B1057">
        <v>5381712</v>
      </c>
      <c r="C1057" t="s">
        <v>12</v>
      </c>
      <c r="D1057" t="s">
        <v>8</v>
      </c>
      <c r="E1057" s="2" t="str">
        <f>HYPERLINK("https://ibp.a2mac1.com/costing(costing:projects/details/8191/part/5381762)","Battery")</f>
        <v>Battery</v>
      </c>
      <c r="F1057" t="s">
        <v>1618</v>
      </c>
    </row>
    <row r="1058" spans="1:6" ht="12.75">
      <c r="A1058">
        <v>5381763</v>
      </c>
      <c r="B1058">
        <v>5381712</v>
      </c>
      <c r="C1058" t="s">
        <v>12</v>
      </c>
      <c r="D1058" t="s">
        <v>8</v>
      </c>
      <c r="E1058" s="2" t="str">
        <f>HYPERLINK("https://ibp.a2mac1.com/costing(costing:projects/details/8191/part/5381763)","Battery Support")</f>
        <v>Battery Support</v>
      </c>
      <c r="F1058" t="s">
        <v>1618</v>
      </c>
    </row>
    <row r="1059" spans="1:6" ht="12.75">
      <c r="A1059">
        <v>5381764</v>
      </c>
      <c r="B1059">
        <v>5381712</v>
      </c>
      <c r="C1059" t="s">
        <v>12</v>
      </c>
      <c r="D1059" t="s">
        <v>8</v>
      </c>
      <c r="E1059" s="2" t="str">
        <f>HYPERLINK("https://ibp.a2mac1.com/costing(costing:projects/details/8191/part/5381764)","Battery Fastener")</f>
        <v>Battery Fastener</v>
      </c>
      <c r="F1059" t="s">
        <v>1618</v>
      </c>
    </row>
    <row r="1060" spans="1:6" ht="12.75">
      <c r="A1060">
        <v>5381765</v>
      </c>
      <c r="B1060">
        <v>5381712</v>
      </c>
      <c r="C1060" t="s">
        <v>12</v>
      </c>
      <c r="D1060" t="s">
        <v>8</v>
      </c>
      <c r="E1060" s="2" t="str">
        <f>HYPERLINK("https://ibp.a2mac1.com/costing(costing:projects/details/8191/part/5381765)","Battery Terminal +")</f>
        <v>Battery Terminal +</v>
      </c>
      <c r="F1060" t="s">
        <v>1618</v>
      </c>
    </row>
    <row r="1061" spans="1:6" ht="12.75">
      <c r="A1061">
        <v>5381766</v>
      </c>
      <c r="B1061">
        <v>5381712</v>
      </c>
      <c r="C1061" t="s">
        <v>12</v>
      </c>
      <c r="D1061" t="s">
        <v>8</v>
      </c>
      <c r="E1061" s="2" t="str">
        <f>HYPERLINK("https://ibp.a2mac1.com/costing(costing:projects/details/8191/part/5381766)","Battery Terminal -")</f>
        <v>Battery Terminal -</v>
      </c>
      <c r="F1061" t="s">
        <v>1618</v>
      </c>
    </row>
    <row r="1062" spans="1:6" ht="12.75">
      <c r="A1062">
        <v>5381767</v>
      </c>
      <c r="B1062">
        <v>5381712</v>
      </c>
      <c r="C1062" t="s">
        <v>12</v>
      </c>
      <c r="D1062" t="s">
        <v>8</v>
      </c>
      <c r="E1062" s="2" t="str">
        <f>HYPERLINK("https://ibp.a2mac1.com/costing(costing:projects/details/8191/part/5381767)","Battery Terminal + Auxiliary Starter")</f>
        <v>Battery Terminal + Auxiliary Starter</v>
      </c>
      <c r="F1062" t="s">
        <v>1618</v>
      </c>
    </row>
    <row r="1063" spans="1:6" ht="12.75">
      <c r="A1063">
        <v>5381768</v>
      </c>
      <c r="B1063">
        <v>5381712</v>
      </c>
      <c r="C1063" t="s">
        <v>12</v>
      </c>
      <c r="D1063" t="s">
        <v>8</v>
      </c>
      <c r="E1063" s="2" t="str">
        <f>HYPERLINK("https://ibp.a2mac1.com/costing(costing:projects/details/8191/part/5381768)","Battery Terminal - Auxiliary Starter")</f>
        <v>Battery Terminal - Auxiliary Starter</v>
      </c>
      <c r="F1063" t="s">
        <v>1618</v>
      </c>
    </row>
    <row r="1064" spans="1:6" ht="12.75">
      <c r="A1064">
        <v>5381770</v>
      </c>
      <c r="B1064">
        <v>5381712</v>
      </c>
      <c r="C1064" t="s">
        <v>12</v>
      </c>
      <c r="D1064" t="s">
        <v>8</v>
      </c>
      <c r="E1064" s="2" t="str">
        <f>HYPERLINK("https://ibp.a2mac1.com/costing(costing:projects/details/8191/part/5381770)","Power Distribution Module Support")</f>
        <v>Power Distribution Module Support</v>
      </c>
      <c r="F1064" t="s">
        <v>1618</v>
      </c>
    </row>
    <row r="1065" spans="1:6" ht="12.75">
      <c r="A1065">
        <v>5381771</v>
      </c>
      <c r="B1065">
        <v>5381712</v>
      </c>
      <c r="C1065" t="s">
        <v>12</v>
      </c>
      <c r="D1065" t="s">
        <v>8</v>
      </c>
      <c r="E1065" s="2" t="str">
        <f>HYPERLINK("https://ibp.a2mac1.com/costing(costing:projects/details/8191/part/5381771)","Power Distribution Module Cover")</f>
        <v>Power Distribution Module Cover</v>
      </c>
      <c r="F1065" t="s">
        <v>1618</v>
      </c>
    </row>
    <row r="1066" spans="1:6" ht="12.75">
      <c r="A1066">
        <v>5315549</v>
      </c>
      <c r="B1066">
        <v>5381712</v>
      </c>
      <c r="C1066" t="s">
        <v>574</v>
      </c>
      <c r="D1066" t="s">
        <v>8</v>
      </c>
      <c r="E1066" s="2" t="str">
        <f>HYPERLINK("https://ibp.a2mac1.com/costing(costing:projects/details/8191/component/5315549)","Screw &gt; Hexagon screw with flange")</f>
        <v>Screw &gt; Hexagon screw with flange</v>
      </c>
      <c r="F1066" t="s">
        <v>1618</v>
      </c>
    </row>
    <row r="1067" spans="1:6" ht="12.75">
      <c r="A1067">
        <v>5315550</v>
      </c>
      <c r="B1067">
        <v>5381712</v>
      </c>
      <c r="C1067" t="s">
        <v>574</v>
      </c>
      <c r="D1067" t="s">
        <v>8</v>
      </c>
      <c r="E1067" s="2" t="str">
        <f>HYPERLINK("https://ibp.a2mac1.com/costing(costing:projects/details/8191/component/5315550)","Screw &gt; Hexagon screw with flange")</f>
        <v>Screw &gt; Hexagon screw with flange</v>
      </c>
      <c r="F1067" t="s">
        <v>1618</v>
      </c>
    </row>
    <row r="1068" spans="1:6" ht="12.75">
      <c r="A1068">
        <v>5381713</v>
      </c>
      <c r="B1068">
        <v>5381711</v>
      </c>
      <c r="C1068" t="s">
        <v>8</v>
      </c>
      <c r="D1068" t="s">
        <v>8</v>
      </c>
      <c r="E1068" s="2" t="str">
        <f>HYPERLINK("https://ibp.a2mac1.com/costing(costing:projects/details/8191/assembly/5381713)","Wiring")</f>
        <v>Wiring</v>
      </c>
      <c r="F1068" t="s">
        <v>1617</v>
      </c>
    </row>
    <row r="1069" spans="1:6" ht="12.75">
      <c r="A1069">
        <v>5381772</v>
      </c>
      <c r="B1069">
        <v>5381713</v>
      </c>
      <c r="C1069" t="s">
        <v>8</v>
      </c>
      <c r="D1069" t="s">
        <v>8</v>
      </c>
      <c r="E1069" s="2" t="str">
        <f>HYPERLINK("https://ibp.a2mac1.com/costing(costing:projects/details/8191/assembly/5381772)","Body Wiring Harness")</f>
        <v>Body Wiring Harness</v>
      </c>
      <c r="F1069" t="s">
        <v>1638</v>
      </c>
    </row>
    <row r="1070" spans="1:6" ht="12.75">
      <c r="A1070">
        <v>6970512</v>
      </c>
      <c r="B1070">
        <v>5381772</v>
      </c>
      <c r="C1070" t="s">
        <v>99</v>
      </c>
      <c r="D1070" t="s">
        <v>8</v>
      </c>
      <c r="E1070" s="2" t="str">
        <f>HYPERLINK("https://ibp.a2mac1.com/costing(costing:projects/details/8191/process/6970512)","Process")</f>
        <v>Process</v>
      </c>
      <c r="F1070" t="s">
        <v>1639</v>
      </c>
    </row>
    <row r="1071" spans="1:6" ht="12.75">
      <c r="A1071">
        <v>6943025</v>
      </c>
      <c r="B1071">
        <v>6970512</v>
      </c>
      <c r="C1071" t="s">
        <v>189</v>
      </c>
      <c r="D1071" t="s">
        <v>99</v>
      </c>
      <c r="E1071" s="2" t="str">
        <f>HYPERLINK("https://ibp.a2mac1.com/costing(costing:projects/details/8191/equipment/6943025)","Dummy Machine (Wireharness production line)")</f>
        <v>Dummy Machine (Wireharness production line)</v>
      </c>
      <c r="F1071" t="s">
        <v>1640</v>
      </c>
    </row>
    <row r="1072" spans="1:6" ht="12.75">
      <c r="A1072">
        <v>5315571</v>
      </c>
      <c r="B1072">
        <v>5381772</v>
      </c>
      <c r="C1072" t="s">
        <v>574</v>
      </c>
      <c r="D1072" t="s">
        <v>8</v>
      </c>
      <c r="E1072" s="2" t="str">
        <f>HYPERLINK("https://ibp.a2mac1.com/costing(costing:projects/details/8191/component/5315571)","Copper")</f>
        <v>Copper</v>
      </c>
      <c r="F1072" t="s">
        <v>1639</v>
      </c>
    </row>
    <row r="1073" spans="1:6" ht="12.75">
      <c r="A1073">
        <v>5315572</v>
      </c>
      <c r="B1073">
        <v>5381772</v>
      </c>
      <c r="C1073" t="s">
        <v>574</v>
      </c>
      <c r="D1073" t="s">
        <v>8</v>
      </c>
      <c r="E1073" s="2" t="str">
        <f>HYPERLINK("https://ibp.a2mac1.com/costing(costing:projects/details/8191/component/5315572)","Material")</f>
        <v>Material</v>
      </c>
      <c r="F1073" t="s">
        <v>1639</v>
      </c>
    </row>
    <row r="1074" spans="1:6" ht="12.75">
      <c r="A1074">
        <v>5381773</v>
      </c>
      <c r="B1074">
        <v>5381713</v>
      </c>
      <c r="C1074" t="s">
        <v>8</v>
      </c>
      <c r="D1074" t="s">
        <v>8</v>
      </c>
      <c r="E1074" s="2" t="str">
        <f>HYPERLINK("https://ibp.a2mac1.com/costing(costing:projects/details/8191/assembly/5381773)","2nd Body Wiring Harness / Front e-Machine Harness")</f>
        <v>2nd Body Wiring Harness / Front e-Machine Harness</v>
      </c>
      <c r="F1074" t="s">
        <v>1638</v>
      </c>
    </row>
    <row r="1075" spans="1:6" ht="12.75">
      <c r="A1075">
        <v>6970513</v>
      </c>
      <c r="B1075">
        <v>5381773</v>
      </c>
      <c r="C1075" t="s">
        <v>99</v>
      </c>
      <c r="D1075" t="s">
        <v>8</v>
      </c>
      <c r="E1075" s="2" t="str">
        <f>HYPERLINK("https://ibp.a2mac1.com/costing(costing:projects/details/8191/process/6970513)","Process")</f>
        <v>Process</v>
      </c>
      <c r="F1075" t="s">
        <v>1647</v>
      </c>
    </row>
    <row r="1076" spans="1:6" ht="12.75">
      <c r="A1076">
        <v>6943026</v>
      </c>
      <c r="B1076">
        <v>6970513</v>
      </c>
      <c r="C1076" t="s">
        <v>189</v>
      </c>
      <c r="D1076" t="s">
        <v>99</v>
      </c>
      <c r="E1076" s="2" t="str">
        <f>HYPERLINK("https://ibp.a2mac1.com/costing(costing:projects/details/8191/equipment/6943026)","Dummy Machine (Wireharness production line)")</f>
        <v>Dummy Machine (Wireharness production line)</v>
      </c>
      <c r="F1076" t="s">
        <v>1648</v>
      </c>
    </row>
    <row r="1077" spans="1:6" ht="12.75">
      <c r="A1077">
        <v>5315573</v>
      </c>
      <c r="B1077">
        <v>5381773</v>
      </c>
      <c r="C1077" t="s">
        <v>574</v>
      </c>
      <c r="D1077" t="s">
        <v>8</v>
      </c>
      <c r="E1077" s="2" t="str">
        <f>HYPERLINK("https://ibp.a2mac1.com/costing(costing:projects/details/8191/component/5315573)","Material")</f>
        <v>Material</v>
      </c>
      <c r="F1077" t="s">
        <v>1647</v>
      </c>
    </row>
    <row r="1078" spans="1:6" ht="12.75">
      <c r="A1078">
        <v>5315574</v>
      </c>
      <c r="B1078">
        <v>5381773</v>
      </c>
      <c r="C1078" t="s">
        <v>574</v>
      </c>
      <c r="D1078" t="s">
        <v>8</v>
      </c>
      <c r="E1078" s="2" t="str">
        <f>HYPERLINK("https://ibp.a2mac1.com/costing(costing:projects/details/8191/component/5315574)","Copper")</f>
        <v>Copper</v>
      </c>
      <c r="F1078" t="s">
        <v>1647</v>
      </c>
    </row>
    <row r="1079" spans="1:6" ht="12.75">
      <c r="A1079">
        <v>5381774</v>
      </c>
      <c r="B1079">
        <v>5381713</v>
      </c>
      <c r="C1079" t="s">
        <v>8</v>
      </c>
      <c r="D1079" t="s">
        <v>8</v>
      </c>
      <c r="E1079" s="2" t="str">
        <f>HYPERLINK("https://ibp.a2mac1.com/costing(costing:projects/details/8191/assembly/5381774)","Front compartment wiring")</f>
        <v>Front compartment wiring</v>
      </c>
      <c r="F1079" t="s">
        <v>1638</v>
      </c>
    </row>
    <row r="1080" spans="1:6" ht="12.75">
      <c r="A1080">
        <v>6970514</v>
      </c>
      <c r="B1080">
        <v>5381774</v>
      </c>
      <c r="C1080" t="s">
        <v>99</v>
      </c>
      <c r="D1080" t="s">
        <v>8</v>
      </c>
      <c r="E1080" s="2" t="str">
        <f>HYPERLINK("https://ibp.a2mac1.com/costing(costing:projects/details/8191/process/6970514)","Process")</f>
        <v>Process</v>
      </c>
      <c r="F1080" t="s">
        <v>1650</v>
      </c>
    </row>
    <row r="1081" spans="1:6" ht="12.75">
      <c r="A1081">
        <v>6943027</v>
      </c>
      <c r="B1081">
        <v>6970514</v>
      </c>
      <c r="C1081" t="s">
        <v>189</v>
      </c>
      <c r="D1081" t="s">
        <v>99</v>
      </c>
      <c r="E1081" s="2" t="str">
        <f>HYPERLINK("https://ibp.a2mac1.com/costing(costing:projects/details/8191/equipment/6943027)","Dummy Machine (Wireharness production line)")</f>
        <v>Dummy Machine (Wireharness production line)</v>
      </c>
      <c r="F1081" t="s">
        <v>1651</v>
      </c>
    </row>
    <row r="1082" spans="1:6" ht="12.75">
      <c r="A1082">
        <v>5315575</v>
      </c>
      <c r="B1082">
        <v>5381774</v>
      </c>
      <c r="C1082" t="s">
        <v>574</v>
      </c>
      <c r="D1082" t="s">
        <v>8</v>
      </c>
      <c r="E1082" s="2" t="str">
        <f>HYPERLINK("https://ibp.a2mac1.com/costing(costing:projects/details/8191/component/5315575)","Material")</f>
        <v>Material</v>
      </c>
      <c r="F1082" t="s">
        <v>1650</v>
      </c>
    </row>
    <row r="1083" spans="1:6" ht="12.75">
      <c r="A1083">
        <v>5315576</v>
      </c>
      <c r="B1083">
        <v>5381774</v>
      </c>
      <c r="C1083" t="s">
        <v>574</v>
      </c>
      <c r="D1083" t="s">
        <v>8</v>
      </c>
      <c r="E1083" s="2" t="str">
        <f>HYPERLINK("https://ibp.a2mac1.com/costing(costing:projects/details/8191/component/5315576)","Copper")</f>
        <v>Copper</v>
      </c>
      <c r="F1083" t="s">
        <v>1650</v>
      </c>
    </row>
    <row r="1084" spans="1:6" ht="12.75">
      <c r="A1084">
        <v>5381775</v>
      </c>
      <c r="B1084">
        <v>5381713</v>
      </c>
      <c r="C1084" t="s">
        <v>8</v>
      </c>
      <c r="D1084" t="s">
        <v>8</v>
      </c>
      <c r="E1084" s="2" t="str">
        <f>HYPERLINK("https://ibp.a2mac1.com/costing(costing:projects/details/8191/assembly/5381775)","Steering Harness")</f>
        <v>Steering Harness</v>
      </c>
      <c r="F1084" t="s">
        <v>1638</v>
      </c>
    </row>
    <row r="1085" spans="1:6" ht="12.75">
      <c r="A1085">
        <v>5381776</v>
      </c>
      <c r="B1085">
        <v>5381713</v>
      </c>
      <c r="C1085" t="s">
        <v>8</v>
      </c>
      <c r="D1085" t="s">
        <v>8</v>
      </c>
      <c r="E1085" s="2" t="str">
        <f>HYPERLINK("https://ibp.a2mac1.com/costing(costing:projects/details/8191/assembly/5381776)","Headliner Harness")</f>
        <v>Headliner Harness</v>
      </c>
      <c r="F1085" t="s">
        <v>1638</v>
      </c>
    </row>
    <row r="1086" spans="1:6" ht="12.75">
      <c r="A1086">
        <v>5381777</v>
      </c>
      <c r="B1086">
        <v>5381713</v>
      </c>
      <c r="C1086" t="s">
        <v>8</v>
      </c>
      <c r="D1086" t="s">
        <v>8</v>
      </c>
      <c r="E1086" s="2" t="str">
        <f>HYPERLINK("https://ibp.a2mac1.com/costing(costing:projects/details/8191/assembly/5381777)","Steering Wheel Harness")</f>
        <v>Steering Wheel Harness</v>
      </c>
      <c r="F1086" t="s">
        <v>1638</v>
      </c>
    </row>
    <row r="1087" spans="1:6" ht="12.75">
      <c r="A1087">
        <v>5381778</v>
      </c>
      <c r="B1087">
        <v>5381713</v>
      </c>
      <c r="C1087" t="s">
        <v>8</v>
      </c>
      <c r="D1087" t="s">
        <v>8</v>
      </c>
      <c r="E1087" s="2" t="str">
        <f>HYPERLINK("https://ibp.a2mac1.com/costing(costing:projects/details/8191/assembly/5381778)","2nd Steering Wheel Harness")</f>
        <v>2nd Steering Wheel Harness</v>
      </c>
      <c r="F1087" t="s">
        <v>1638</v>
      </c>
    </row>
    <row r="1088" spans="1:6" ht="12.75">
      <c r="A1088">
        <v>5381779</v>
      </c>
      <c r="B1088">
        <v>5381713</v>
      </c>
      <c r="C1088" t="s">
        <v>12</v>
      </c>
      <c r="D1088" t="s">
        <v>8</v>
      </c>
      <c r="E1088" s="2" t="str">
        <f>HYPERLINK("https://ibp.a2mac1.com/costing(costing:projects/details/8191/part/5381779)","Steering Wheel Airbag Harness")</f>
        <v>Steering Wheel Airbag Harness</v>
      </c>
      <c r="F1088" t="s">
        <v>1638</v>
      </c>
    </row>
    <row r="1089" spans="1:6" ht="12.75">
      <c r="A1089">
        <v>5381780</v>
      </c>
      <c r="B1089">
        <v>5381713</v>
      </c>
      <c r="C1089" t="s">
        <v>12</v>
      </c>
      <c r="D1089" t="s">
        <v>8</v>
      </c>
      <c r="E1089" s="2" t="str">
        <f>HYPERLINK("https://ibp.a2mac1.com/costing(costing:projects/details/8191/part/5381780)","Second Pin +  Power Distribution Module")</f>
        <v>Second Pin +  Power Distribution Module</v>
      </c>
      <c r="F1089" t="s">
        <v>1638</v>
      </c>
    </row>
    <row r="1090" spans="1:6" ht="12.75">
      <c r="A1090">
        <v>5381781</v>
      </c>
      <c r="B1090">
        <v>5381713</v>
      </c>
      <c r="C1090" t="s">
        <v>12</v>
      </c>
      <c r="D1090" t="s">
        <v>8</v>
      </c>
      <c r="E1090" s="2" t="str">
        <f>HYPERLINK("https://ibp.a2mac1.com/costing(costing:projects/details/8191/part/5381781)","Coolant Temperature Sensor Harness")</f>
        <v>Coolant Temperature Sensor Harness</v>
      </c>
      <c r="F1090" t="s">
        <v>1638</v>
      </c>
    </row>
    <row r="1091" spans="1:6" ht="12.75">
      <c r="A1091">
        <v>5381782</v>
      </c>
      <c r="B1091">
        <v>5381713</v>
      </c>
      <c r="C1091" t="s">
        <v>12</v>
      </c>
      <c r="D1091" t="s">
        <v>8</v>
      </c>
      <c r="E1091" s="2" t="str">
        <f>HYPERLINK("https://ibp.a2mac1.com/costing(costing:projects/details/8191/part/5381782)","Trailer Hitch Wire Harness")</f>
        <v>Trailer Hitch Wire Harness</v>
      </c>
      <c r="F1091" t="s">
        <v>1638</v>
      </c>
    </row>
    <row r="1092" spans="1:6" ht="12.75">
      <c r="A1092">
        <v>5381783</v>
      </c>
      <c r="B1092">
        <v>5381713</v>
      </c>
      <c r="C1092" t="s">
        <v>12</v>
      </c>
      <c r="D1092" t="s">
        <v>8</v>
      </c>
      <c r="E1092" s="2" t="str">
        <f>HYPERLINK("https://ibp.a2mac1.com/costing(costing:projects/details/8191/part/5381783)","Driver Communication Light Bar Harness")</f>
        <v>Driver Communication Light Bar Harness</v>
      </c>
      <c r="F1092" t="s">
        <v>1638</v>
      </c>
    </row>
    <row r="1093" spans="1:6" ht="12.75">
      <c r="A1093">
        <v>5381784</v>
      </c>
      <c r="B1093">
        <v>5381713</v>
      </c>
      <c r="C1093" t="s">
        <v>12</v>
      </c>
      <c r="D1093" t="s">
        <v>8</v>
      </c>
      <c r="E1093" s="2" t="str">
        <f>HYPERLINK("https://ibp.a2mac1.com/costing(costing:projects/details/8191/part/5381784)","Driver Communication Light Bar 2nd Harness")</f>
        <v>Driver Communication Light Bar 2nd Harness</v>
      </c>
      <c r="F1093" t="s">
        <v>1638</v>
      </c>
    </row>
    <row r="1094" spans="1:6" ht="12.75">
      <c r="A1094">
        <v>5315551</v>
      </c>
      <c r="B1094">
        <v>5381713</v>
      </c>
      <c r="C1094" t="s">
        <v>574</v>
      </c>
      <c r="D1094" t="s">
        <v>8</v>
      </c>
      <c r="E1094" s="2" t="str">
        <f>HYPERLINK("https://ibp.a2mac1.com/costing(costing:projects/details/8191/component/5315551)","Tube/cluster support &gt; Tube/cluster clipped support in hole")</f>
        <v>Tube/cluster support &gt; Tube/cluster clipped support in hole</v>
      </c>
      <c r="F1094" t="s">
        <v>1638</v>
      </c>
    </row>
    <row r="1095" spans="1:6" ht="12.75">
      <c r="A1095">
        <v>5315552</v>
      </c>
      <c r="B1095">
        <v>5381713</v>
      </c>
      <c r="C1095" t="s">
        <v>574</v>
      </c>
      <c r="D1095" t="s">
        <v>8</v>
      </c>
      <c r="E1095" s="2" t="str">
        <f>HYPERLINK("https://ibp.a2mac1.com/costing(costing:projects/details/8191/component/5315552)","Tube/cluster support &gt; Tube/cluster beribboned support in hole")</f>
        <v>Tube/cluster support &gt; Tube/cluster beribboned support in hole</v>
      </c>
      <c r="F1095" t="s">
        <v>1638</v>
      </c>
    </row>
    <row r="1096" spans="1:6" ht="12.75">
      <c r="A1096">
        <v>5315553</v>
      </c>
      <c r="B1096">
        <v>5381713</v>
      </c>
      <c r="C1096" t="s">
        <v>574</v>
      </c>
      <c r="D1096" t="s">
        <v>8</v>
      </c>
      <c r="E1096" s="2" t="str">
        <f>HYPERLINK("https://ibp.a2mac1.com/costing(costing:projects/details/8191/component/5315553)","Tube/cluster support &gt; Tube/cluster strap support in hole")</f>
        <v>Tube/cluster support &gt; Tube/cluster strap support in hole</v>
      </c>
      <c r="F1096" t="s">
        <v>1638</v>
      </c>
    </row>
    <row r="1097" spans="1:6" ht="12.75">
      <c r="A1097">
        <v>5315554</v>
      </c>
      <c r="B1097">
        <v>5381713</v>
      </c>
      <c r="C1097" t="s">
        <v>574</v>
      </c>
      <c r="D1097" t="s">
        <v>8</v>
      </c>
      <c r="E1097" s="2" t="str">
        <f>HYPERLINK("https://ibp.a2mac1.com/costing(costing:projects/details/8191/component/5315554)","Screw &gt; Torx socket head cap screw")</f>
        <v>Screw &gt; Torx socket head cap screw</v>
      </c>
      <c r="F1097" t="s">
        <v>1638</v>
      </c>
    </row>
    <row r="1098" spans="1:6" ht="12.75">
      <c r="A1098">
        <v>5315555</v>
      </c>
      <c r="B1098">
        <v>5381713</v>
      </c>
      <c r="C1098" t="s">
        <v>574</v>
      </c>
      <c r="D1098" t="s">
        <v>8</v>
      </c>
      <c r="E1098" s="2" t="str">
        <f>HYPERLINK("https://ibp.a2mac1.com/costing(costing:projects/details/8191/component/5315555)","Tube/cluster support &gt; Tube/cluster beribboned support in hole")</f>
        <v>Tube/cluster support &gt; Tube/cluster beribboned support in hole</v>
      </c>
      <c r="F1098" t="s">
        <v>1638</v>
      </c>
    </row>
    <row r="1099" spans="1:6" ht="12.75">
      <c r="A1099">
        <v>5315556</v>
      </c>
      <c r="B1099">
        <v>5381713</v>
      </c>
      <c r="C1099" t="s">
        <v>574</v>
      </c>
      <c r="D1099" t="s">
        <v>8</v>
      </c>
      <c r="E1099" s="2" t="str">
        <f>HYPERLINK("https://ibp.a2mac1.com/costing(costing:projects/details/8191/component/5315556)","Tube/cluster support &gt; Tube/cluster beribboned support in hole")</f>
        <v>Tube/cluster support &gt; Tube/cluster beribboned support in hole</v>
      </c>
      <c r="F1099" t="s">
        <v>1638</v>
      </c>
    </row>
    <row r="1100" spans="1:6" ht="12.75">
      <c r="A1100">
        <v>5315557</v>
      </c>
      <c r="B1100">
        <v>5381713</v>
      </c>
      <c r="C1100" t="s">
        <v>574</v>
      </c>
      <c r="D1100" t="s">
        <v>8</v>
      </c>
      <c r="E1100" s="2" t="str">
        <f>HYPERLINK("https://ibp.a2mac1.com/costing(costing:projects/details/8191/component/5315557)","Tube/cluster support &gt; Tube/cluster beribboned support in hole")</f>
        <v>Tube/cluster support &gt; Tube/cluster beribboned support in hole</v>
      </c>
      <c r="F1100" t="s">
        <v>1638</v>
      </c>
    </row>
    <row r="1101" spans="1:6" ht="12.75">
      <c r="A1101">
        <v>5315558</v>
      </c>
      <c r="B1101">
        <v>5381713</v>
      </c>
      <c r="C1101" t="s">
        <v>574</v>
      </c>
      <c r="D1101" t="s">
        <v>8</v>
      </c>
      <c r="E1101" s="2" t="str">
        <f>HYPERLINK("https://ibp.a2mac1.com/costing(costing:projects/details/8191/component/5315558)","Tube/cluster support &gt; Tube/cluster beribboned support in hole")</f>
        <v>Tube/cluster support &gt; Tube/cluster beribboned support in hole</v>
      </c>
      <c r="F1101" t="s">
        <v>1638</v>
      </c>
    </row>
    <row r="1102" spans="1:6" ht="12.75">
      <c r="A1102">
        <v>5381714</v>
      </c>
      <c r="B1102">
        <v>5381711</v>
      </c>
      <c r="C1102" t="s">
        <v>8</v>
      </c>
      <c r="D1102" t="s">
        <v>8</v>
      </c>
      <c r="E1102" s="2" t="str">
        <f>HYPERLINK("https://ibp.a2mac1.com/costing(costing:projects/details/8191/assembly/5381714)","ECU Electronic Control Unit")</f>
        <v>ECU Electronic Control Unit</v>
      </c>
      <c r="F1102" t="s">
        <v>1617</v>
      </c>
    </row>
    <row r="1103" spans="1:6" ht="12.75">
      <c r="A1103">
        <v>5381786</v>
      </c>
      <c r="B1103">
        <v>5381714</v>
      </c>
      <c r="C1103" t="s">
        <v>8</v>
      </c>
      <c r="D1103" t="s">
        <v>8</v>
      </c>
      <c r="E1103" s="2" t="str">
        <f>HYPERLINK("https://ibp.a2mac1.com/costing(costing:projects/details/8191/assembly/5381786)","Network ECU BCM")</f>
        <v>Network ECU BCM</v>
      </c>
      <c r="F1103" t="s">
        <v>1666</v>
      </c>
    </row>
    <row r="1104" spans="1:6" ht="12.75">
      <c r="A1104">
        <v>5381816</v>
      </c>
      <c r="B1104">
        <v>5381786</v>
      </c>
      <c r="C1104" t="s">
        <v>12</v>
      </c>
      <c r="D1104" t="s">
        <v>8</v>
      </c>
      <c r="E1104" s="2" t="str">
        <f>HYPERLINK("https://ibp.a2mac1.com/costing(costing:projects/details/8191/part/5381816)","Network ECU BCM")</f>
        <v>Network ECU BCM</v>
      </c>
      <c r="F1104" t="s">
        <v>1667</v>
      </c>
    </row>
    <row r="1105" spans="1:6" ht="12.75">
      <c r="A1105">
        <v>6970518</v>
      </c>
      <c r="B1105">
        <v>5381816</v>
      </c>
      <c r="C1105" t="s">
        <v>99</v>
      </c>
      <c r="D1105" t="s">
        <v>12</v>
      </c>
      <c r="E1105" s="2" t="str">
        <f>HYPERLINK("https://ibp.a2mac1.com/costing(costing:projects/details/8191/process/6970518)","Process")</f>
        <v>Process</v>
      </c>
      <c r="F1105" t="s">
        <v>1668</v>
      </c>
    </row>
    <row r="1106" spans="1:6" ht="12.75">
      <c r="A1106">
        <v>6943031</v>
      </c>
      <c r="B1106">
        <v>6970518</v>
      </c>
      <c r="C1106" t="s">
        <v>189</v>
      </c>
      <c r="D1106" t="s">
        <v>99</v>
      </c>
      <c r="E1106" s="2" t="str">
        <f>HYPERLINK("https://ibp.a2mac1.com/costing(costing:projects/details/8191/equipment/6943031)","Dummy Machine (PCBA+Final Assembly Line)")</f>
        <v>Dummy Machine (PCBA+Final Assembly Line)</v>
      </c>
      <c r="F1106" t="s">
        <v>1669</v>
      </c>
    </row>
    <row r="1107" spans="1:6" ht="12.75">
      <c r="A1107">
        <v>5315601</v>
      </c>
      <c r="B1107">
        <v>5381816</v>
      </c>
      <c r="C1107" t="s">
        <v>574</v>
      </c>
      <c r="D1107" t="s">
        <v>12</v>
      </c>
      <c r="E1107" s="2" t="str">
        <f>HYPERLINK("https://ibp.a2mac1.com/costing(costing:projects/details/8191/component/5315601)","Mechanics")</f>
        <v>Mechanics</v>
      </c>
      <c r="F1107" t="s">
        <v>1668</v>
      </c>
    </row>
    <row r="1108" spans="1:6" ht="12.75">
      <c r="A1108">
        <v>5315602</v>
      </c>
      <c r="B1108">
        <v>5381816</v>
      </c>
      <c r="C1108" t="s">
        <v>574</v>
      </c>
      <c r="D1108" t="s">
        <v>12</v>
      </c>
      <c r="E1108" s="2" t="str">
        <f>HYPERLINK("https://ibp.a2mac1.com/costing(costing:projects/details/8191/component/5315602)","Electronics")</f>
        <v>Electronics</v>
      </c>
      <c r="F1108" t="s">
        <v>1668</v>
      </c>
    </row>
    <row r="1109" spans="1:6" ht="12.75">
      <c r="A1109">
        <v>5381817</v>
      </c>
      <c r="B1109">
        <v>5381786</v>
      </c>
      <c r="C1109" t="s">
        <v>12</v>
      </c>
      <c r="D1109" t="s">
        <v>8</v>
      </c>
      <c r="E1109" s="2" t="str">
        <f>HYPERLINK("https://ibp.a2mac1.com/costing(costing:projects/details/8191/part/5381817)","Network ECU BCM Support")</f>
        <v>Network ECU BCM Support</v>
      </c>
      <c r="F1109" t="s">
        <v>1667</v>
      </c>
    </row>
    <row r="1110" spans="1:6" ht="12.75">
      <c r="A1110">
        <v>5315577</v>
      </c>
      <c r="B1110">
        <v>5381786</v>
      </c>
      <c r="C1110" t="s">
        <v>574</v>
      </c>
      <c r="D1110" t="s">
        <v>8</v>
      </c>
      <c r="E1110" s="2" t="str">
        <f>HYPERLINK("https://ibp.a2mac1.com/costing(costing:projects/details/8191/component/5315577)","Screw &gt; Torx socket head cap screw with flange")</f>
        <v>Screw &gt; Torx socket head cap screw with flange</v>
      </c>
      <c r="F1110" t="s">
        <v>1667</v>
      </c>
    </row>
    <row r="1111" spans="1:6" ht="12.75">
      <c r="A1111">
        <v>5381787</v>
      </c>
      <c r="B1111">
        <v>5381714</v>
      </c>
      <c r="C1111" t="s">
        <v>8</v>
      </c>
      <c r="D1111" t="s">
        <v>8</v>
      </c>
      <c r="E1111" s="2" t="str">
        <f>HYPERLINK("https://ibp.a2mac1.com/costing(costing:projects/details/8191/assembly/5381787)","Trailer Hitch ECU")</f>
        <v>Trailer Hitch ECU</v>
      </c>
      <c r="F1111" t="s">
        <v>1666</v>
      </c>
    </row>
    <row r="1112" spans="1:6" ht="12.75">
      <c r="A1112">
        <v>5381818</v>
      </c>
      <c r="B1112">
        <v>5381787</v>
      </c>
      <c r="C1112" t="s">
        <v>12</v>
      </c>
      <c r="D1112" t="s">
        <v>8</v>
      </c>
      <c r="E1112" s="2" t="str">
        <f>HYPERLINK("https://ibp.a2mac1.com/costing(costing:projects/details/8191/part/5381818)","Trailer Hitch ECU")</f>
        <v>Trailer Hitch ECU</v>
      </c>
      <c r="F1112" t="s">
        <v>1673</v>
      </c>
    </row>
    <row r="1113" spans="1:6" ht="12.75">
      <c r="A1113">
        <v>6970519</v>
      </c>
      <c r="B1113">
        <v>5381818</v>
      </c>
      <c r="C1113" t="s">
        <v>99</v>
      </c>
      <c r="D1113" t="s">
        <v>12</v>
      </c>
      <c r="E1113" s="2" t="str">
        <f>HYPERLINK("https://ibp.a2mac1.com/costing(costing:projects/details/8191/process/6970519)","Process")</f>
        <v>Process</v>
      </c>
      <c r="F1113" t="s">
        <v>1674</v>
      </c>
    </row>
    <row r="1114" spans="1:6" ht="12.75">
      <c r="A1114">
        <v>6943032</v>
      </c>
      <c r="B1114">
        <v>6970519</v>
      </c>
      <c r="C1114" t="s">
        <v>189</v>
      </c>
      <c r="D1114" t="s">
        <v>99</v>
      </c>
      <c r="E1114" s="2" t="str">
        <f>HYPERLINK("https://ibp.a2mac1.com/costing(costing:projects/details/8191/equipment/6943032)","Dummy Machine (PCBA+Final Assembly Line)")</f>
        <v>Dummy Machine (PCBA+Final Assembly Line)</v>
      </c>
      <c r="F1114" t="s">
        <v>1675</v>
      </c>
    </row>
    <row r="1115" spans="1:6" ht="12.75">
      <c r="A1115">
        <v>5315603</v>
      </c>
      <c r="B1115">
        <v>5381818</v>
      </c>
      <c r="C1115" t="s">
        <v>574</v>
      </c>
      <c r="D1115" t="s">
        <v>12</v>
      </c>
      <c r="E1115" s="2" t="str">
        <f>HYPERLINK("https://ibp.a2mac1.com/costing(costing:projects/details/8191/component/5315603)","Electronics")</f>
        <v>Electronics</v>
      </c>
      <c r="F1115" t="s">
        <v>1674</v>
      </c>
    </row>
    <row r="1116" spans="1:6" ht="12.75">
      <c r="A1116">
        <v>5315604</v>
      </c>
      <c r="B1116">
        <v>5381818</v>
      </c>
      <c r="C1116" t="s">
        <v>574</v>
      </c>
      <c r="D1116" t="s">
        <v>12</v>
      </c>
      <c r="E1116" s="2" t="str">
        <f>HYPERLINK("https://ibp.a2mac1.com/costing(costing:projects/details/8191/component/5315604)","Mechanics")</f>
        <v>Mechanics</v>
      </c>
      <c r="F1116" t="s">
        <v>1674</v>
      </c>
    </row>
    <row r="1117" spans="1:6" ht="12.75">
      <c r="A1117">
        <v>5381788</v>
      </c>
      <c r="B1117">
        <v>5381714</v>
      </c>
      <c r="C1117" t="s">
        <v>8</v>
      </c>
      <c r="D1117" t="s">
        <v>8</v>
      </c>
      <c r="E1117" s="2" t="str">
        <f>HYPERLINK("https://ibp.a2mac1.com/costing(costing:projects/details/8191/assembly/5381788)","Gateway ECU")</f>
        <v>Gateway ECU</v>
      </c>
      <c r="F1117" t="s">
        <v>1666</v>
      </c>
    </row>
    <row r="1118" spans="1:6" ht="12.75">
      <c r="A1118">
        <v>5381819</v>
      </c>
      <c r="B1118">
        <v>5381788</v>
      </c>
      <c r="C1118" t="s">
        <v>12</v>
      </c>
      <c r="D1118" t="s">
        <v>8</v>
      </c>
      <c r="E1118" s="2" t="str">
        <f>HYPERLINK("https://ibp.a2mac1.com/costing(costing:projects/details/8191/part/5381819)","Gateway ECU")</f>
        <v>Gateway ECU</v>
      </c>
      <c r="F1118" t="s">
        <v>1679</v>
      </c>
    </row>
    <row r="1119" spans="1:6" ht="12.75">
      <c r="A1119">
        <v>6970520</v>
      </c>
      <c r="B1119">
        <v>5381819</v>
      </c>
      <c r="C1119" t="s">
        <v>99</v>
      </c>
      <c r="D1119" t="s">
        <v>12</v>
      </c>
      <c r="E1119" s="2" t="str">
        <f>HYPERLINK("https://ibp.a2mac1.com/costing(costing:projects/details/8191/process/6970520)","Process")</f>
        <v>Process</v>
      </c>
      <c r="F1119" t="s">
        <v>1680</v>
      </c>
    </row>
    <row r="1120" spans="1:6" ht="12.75">
      <c r="A1120">
        <v>6943033</v>
      </c>
      <c r="B1120">
        <v>6970520</v>
      </c>
      <c r="C1120" t="s">
        <v>189</v>
      </c>
      <c r="D1120" t="s">
        <v>99</v>
      </c>
      <c r="E1120" s="2" t="str">
        <f>HYPERLINK("https://ibp.a2mac1.com/costing(costing:projects/details/8191/equipment/6943033)","Dummy Machine (PCBA+Final Assembly Line)")</f>
        <v>Dummy Machine (PCBA+Final Assembly Line)</v>
      </c>
      <c r="F1120" t="s">
        <v>1681</v>
      </c>
    </row>
    <row r="1121" spans="1:6" ht="12.75">
      <c r="A1121">
        <v>5315605</v>
      </c>
      <c r="B1121">
        <v>5381819</v>
      </c>
      <c r="C1121" t="s">
        <v>574</v>
      </c>
      <c r="D1121" t="s">
        <v>12</v>
      </c>
      <c r="E1121" s="2" t="str">
        <f>HYPERLINK("https://ibp.a2mac1.com/costing(costing:projects/details/8191/component/5315605)","Mechanics")</f>
        <v>Mechanics</v>
      </c>
      <c r="F1121" t="s">
        <v>1680</v>
      </c>
    </row>
    <row r="1122" spans="1:6" ht="12.75">
      <c r="A1122">
        <v>5315606</v>
      </c>
      <c r="B1122">
        <v>5381819</v>
      </c>
      <c r="C1122" t="s">
        <v>574</v>
      </c>
      <c r="D1122" t="s">
        <v>12</v>
      </c>
      <c r="E1122" s="2" t="str">
        <f>HYPERLINK("https://ibp.a2mac1.com/costing(costing:projects/details/8191/component/5315606)","Electronics")</f>
        <v>Electronics</v>
      </c>
      <c r="F1122" t="s">
        <v>1680</v>
      </c>
    </row>
    <row r="1123" spans="1:6" ht="12.75">
      <c r="A1123">
        <v>5381820</v>
      </c>
      <c r="B1123">
        <v>5381788</v>
      </c>
      <c r="C1123" t="s">
        <v>12</v>
      </c>
      <c r="D1123" t="s">
        <v>8</v>
      </c>
      <c r="E1123" s="2" t="str">
        <f>HYPERLINK("https://ibp.a2mac1.com/costing(costing:projects/details/8191/part/5381820)","Gateway ECU Support")</f>
        <v>Gateway ECU Support</v>
      </c>
      <c r="F1123" t="s">
        <v>1679</v>
      </c>
    </row>
    <row r="1124" spans="1:6" ht="12.75">
      <c r="A1124">
        <v>5381821</v>
      </c>
      <c r="B1124">
        <v>5381788</v>
      </c>
      <c r="C1124" t="s">
        <v>12</v>
      </c>
      <c r="D1124" t="s">
        <v>8</v>
      </c>
      <c r="E1124" s="2" t="str">
        <f>HYPERLINK("https://ibp.a2mac1.com/costing(costing:projects/details/8191/part/5381821)","Blower Unit")</f>
        <v>Blower Unit</v>
      </c>
      <c r="F1124" t="s">
        <v>1679</v>
      </c>
    </row>
    <row r="1125" spans="1:6" ht="12.75">
      <c r="A1125">
        <v>5315578</v>
      </c>
      <c r="B1125">
        <v>5381788</v>
      </c>
      <c r="C1125" t="s">
        <v>574</v>
      </c>
      <c r="D1125" t="s">
        <v>8</v>
      </c>
      <c r="E1125" s="2" t="str">
        <f>HYPERLINK("https://ibp.a2mac1.com/costing(costing:projects/details/8191/component/5315578)","Other fastener &gt; Grommet")</f>
        <v>Other fastener &gt; Grommet</v>
      </c>
      <c r="F1125" t="s">
        <v>1679</v>
      </c>
    </row>
    <row r="1126" spans="1:6" ht="12.75">
      <c r="A1126">
        <v>5381789</v>
      </c>
      <c r="B1126">
        <v>5381714</v>
      </c>
      <c r="C1126" t="s">
        <v>8</v>
      </c>
      <c r="D1126" t="s">
        <v>8</v>
      </c>
      <c r="E1126" s="2" t="str">
        <f>HYPERLINK("https://ibp.a2mac1.com/costing(costing:projects/details/8191/assembly/5381789)","Climate Control ECU")</f>
        <v>Climate Control ECU</v>
      </c>
      <c r="F1126" t="s">
        <v>1666</v>
      </c>
    </row>
    <row r="1127" spans="1:6" ht="12.75">
      <c r="A1127">
        <v>5381822</v>
      </c>
      <c r="B1127">
        <v>5381789</v>
      </c>
      <c r="C1127" t="s">
        <v>12</v>
      </c>
      <c r="D1127" t="s">
        <v>8</v>
      </c>
      <c r="E1127" s="2" t="str">
        <f>HYPERLINK("https://ibp.a2mac1.com/costing(costing:projects/details/8191/part/5381822)","Climate Control ECU")</f>
        <v>Climate Control ECU</v>
      </c>
      <c r="F1127" t="s">
        <v>1686</v>
      </c>
    </row>
    <row r="1128" spans="1:6" ht="12.75">
      <c r="A1128">
        <v>6970521</v>
      </c>
      <c r="B1128">
        <v>5381822</v>
      </c>
      <c r="C1128" t="s">
        <v>99</v>
      </c>
      <c r="D1128" t="s">
        <v>12</v>
      </c>
      <c r="E1128" s="2" t="str">
        <f>HYPERLINK("https://ibp.a2mac1.com/costing(costing:projects/details/8191/process/6970521)","Process")</f>
        <v>Process</v>
      </c>
      <c r="F1128" t="s">
        <v>1687</v>
      </c>
    </row>
    <row r="1129" spans="1:6" ht="12.75">
      <c r="A1129">
        <v>6943034</v>
      </c>
      <c r="B1129">
        <v>6970521</v>
      </c>
      <c r="C1129" t="s">
        <v>189</v>
      </c>
      <c r="D1129" t="s">
        <v>99</v>
      </c>
      <c r="E1129" s="2" t="str">
        <f>HYPERLINK("https://ibp.a2mac1.com/costing(costing:projects/details/8191/equipment/6943034)","Dummy Machine (PCBA+Final Assembly Line)")</f>
        <v>Dummy Machine (PCBA+Final Assembly Line)</v>
      </c>
      <c r="F1129" t="s">
        <v>1688</v>
      </c>
    </row>
    <row r="1130" spans="1:6" ht="12.75">
      <c r="A1130">
        <v>5315607</v>
      </c>
      <c r="B1130">
        <v>5381822</v>
      </c>
      <c r="C1130" t="s">
        <v>574</v>
      </c>
      <c r="D1130" t="s">
        <v>12</v>
      </c>
      <c r="E1130" s="2" t="str">
        <f>HYPERLINK("https://ibp.a2mac1.com/costing(costing:projects/details/8191/component/5315607)","Mechanics")</f>
        <v>Mechanics</v>
      </c>
      <c r="F1130" t="s">
        <v>1687</v>
      </c>
    </row>
    <row r="1131" spans="1:6" ht="12.75">
      <c r="A1131">
        <v>5315608</v>
      </c>
      <c r="B1131">
        <v>5381822</v>
      </c>
      <c r="C1131" t="s">
        <v>574</v>
      </c>
      <c r="D1131" t="s">
        <v>12</v>
      </c>
      <c r="E1131" s="2" t="str">
        <f>HYPERLINK("https://ibp.a2mac1.com/costing(costing:projects/details/8191/component/5315608)","Electronics")</f>
        <v>Electronics</v>
      </c>
      <c r="F1131" t="s">
        <v>1687</v>
      </c>
    </row>
    <row r="1132" spans="1:6" ht="12.75">
      <c r="A1132">
        <v>5381790</v>
      </c>
      <c r="B1132">
        <v>5381714</v>
      </c>
      <c r="C1132" t="s">
        <v>8</v>
      </c>
      <c r="D1132" t="s">
        <v>8</v>
      </c>
      <c r="E1132" s="2" t="str">
        <f>HYPERLINK("https://ibp.a2mac1.com/costing(costing:projects/details/8191/assembly/5381790)","Trunk Lid   Tailgate Lifting ECU")</f>
        <v>Trunk Lid   Tailgate Lifting ECU</v>
      </c>
      <c r="F1132" t="s">
        <v>1666</v>
      </c>
    </row>
    <row r="1133" spans="1:6" ht="12.75">
      <c r="A1133">
        <v>5381823</v>
      </c>
      <c r="B1133">
        <v>5381790</v>
      </c>
      <c r="C1133" t="s">
        <v>12</v>
      </c>
      <c r="D1133" t="s">
        <v>8</v>
      </c>
      <c r="E1133" s="2" t="str">
        <f>HYPERLINK("https://ibp.a2mac1.com/costing(costing:projects/details/8191/part/5381823)","Trunk Lid   Tailgate Lifting ECU")</f>
        <v>Trunk Lid   Tailgate Lifting ECU</v>
      </c>
      <c r="F1133" t="s">
        <v>1693</v>
      </c>
    </row>
    <row r="1134" spans="1:6" ht="12.75">
      <c r="A1134">
        <v>6970522</v>
      </c>
      <c r="B1134">
        <v>5381823</v>
      </c>
      <c r="C1134" t="s">
        <v>99</v>
      </c>
      <c r="D1134" t="s">
        <v>12</v>
      </c>
      <c r="E1134" s="2" t="str">
        <f>HYPERLINK("https://ibp.a2mac1.com/costing(costing:projects/details/8191/process/6970522)","Process")</f>
        <v>Process</v>
      </c>
      <c r="F1134" t="s">
        <v>1694</v>
      </c>
    </row>
    <row r="1135" spans="1:6" ht="12.75">
      <c r="A1135">
        <v>6943035</v>
      </c>
      <c r="B1135">
        <v>6970522</v>
      </c>
      <c r="C1135" t="s">
        <v>189</v>
      </c>
      <c r="D1135" t="s">
        <v>99</v>
      </c>
      <c r="E1135" s="2" t="str">
        <f>HYPERLINK("https://ibp.a2mac1.com/costing(costing:projects/details/8191/equipment/6943035)","Dummy Machine (PCBA+Final Assembly Line)")</f>
        <v>Dummy Machine (PCBA+Final Assembly Line)</v>
      </c>
      <c r="F1135" t="s">
        <v>1695</v>
      </c>
    </row>
    <row r="1136" spans="1:6" ht="12.75">
      <c r="A1136">
        <v>5315609</v>
      </c>
      <c r="B1136">
        <v>5381823</v>
      </c>
      <c r="C1136" t="s">
        <v>574</v>
      </c>
      <c r="D1136" t="s">
        <v>12</v>
      </c>
      <c r="E1136" s="2" t="str">
        <f>HYPERLINK("https://ibp.a2mac1.com/costing(costing:projects/details/8191/component/5315609)","Electronics")</f>
        <v>Electronics</v>
      </c>
      <c r="F1136" t="s">
        <v>1694</v>
      </c>
    </row>
    <row r="1137" spans="1:6" ht="12.75">
      <c r="A1137">
        <v>5315610</v>
      </c>
      <c r="B1137">
        <v>5381823</v>
      </c>
      <c r="C1137" t="s">
        <v>574</v>
      </c>
      <c r="D1137" t="s">
        <v>12</v>
      </c>
      <c r="E1137" s="2" t="str">
        <f>HYPERLINK("https://ibp.a2mac1.com/costing(costing:projects/details/8191/component/5315610)","Mechanics")</f>
        <v>Mechanics</v>
      </c>
      <c r="F1137" t="s">
        <v>1694</v>
      </c>
    </row>
    <row r="1138" spans="1:6" ht="12.75">
      <c r="A1138">
        <v>5381824</v>
      </c>
      <c r="B1138">
        <v>5381790</v>
      </c>
      <c r="C1138" t="s">
        <v>12</v>
      </c>
      <c r="D1138" t="s">
        <v>8</v>
      </c>
      <c r="E1138" s="2" t="str">
        <f>HYPERLINK("https://ibp.a2mac1.com/costing(costing:projects/details/8191/part/5381824)","Trunk Lid   Tailgate Lifting ECU Support")</f>
        <v>Trunk Lid   Tailgate Lifting ECU Support</v>
      </c>
      <c r="F1138" t="s">
        <v>1693</v>
      </c>
    </row>
    <row r="1139" spans="1:6" ht="12.75">
      <c r="A1139">
        <v>5381785</v>
      </c>
      <c r="B1139">
        <v>5381714</v>
      </c>
      <c r="C1139" t="s">
        <v>12</v>
      </c>
      <c r="D1139" t="s">
        <v>8</v>
      </c>
      <c r="E1139" s="2" t="str">
        <f>HYPERLINK("https://ibp.a2mac1.com/costing(costing:projects/details/8191/part/5381785)","ECU Driver Communication Light Bar")</f>
        <v>ECU Driver Communication Light Bar</v>
      </c>
      <c r="F1139" t="s">
        <v>1666</v>
      </c>
    </row>
    <row r="1140" spans="1:6" ht="12.75">
      <c r="A1140">
        <v>5315559</v>
      </c>
      <c r="B1140">
        <v>5381714</v>
      </c>
      <c r="C1140" t="s">
        <v>574</v>
      </c>
      <c r="D1140" t="s">
        <v>8</v>
      </c>
      <c r="E1140" s="2" t="str">
        <f>HYPERLINK("https://ibp.a2mac1.com/costing(costing:projects/details/8191/component/5315559)","Other fastener &gt; Snap Tooling")</f>
        <v>Other fastener &gt; Snap Tooling</v>
      </c>
      <c r="F1140" t="s">
        <v>1666</v>
      </c>
    </row>
    <row r="1141" spans="1:6" ht="12.75">
      <c r="A1141">
        <v>5381715</v>
      </c>
      <c r="B1141">
        <v>5381711</v>
      </c>
      <c r="C1141" t="s">
        <v>8</v>
      </c>
      <c r="D1141" t="s">
        <v>8</v>
      </c>
      <c r="E1141" s="2" t="str">
        <f>HYPERLINK("https://ibp.a2mac1.com/costing(costing:projects/details/8191/assembly/5381715)","Ground cable")</f>
        <v>Ground cable</v>
      </c>
      <c r="F1141" t="s">
        <v>1617</v>
      </c>
    </row>
    <row r="1142" spans="1:6" ht="12.75">
      <c r="A1142">
        <v>5381791</v>
      </c>
      <c r="B1142">
        <v>5381715</v>
      </c>
      <c r="C1142" t="s">
        <v>12</v>
      </c>
      <c r="D1142" t="s">
        <v>8</v>
      </c>
      <c r="E1142" s="2" t="str">
        <f>HYPERLINK("https://ibp.a2mac1.com/costing(costing:projects/details/8191/part/5381791)","Powertrain Ground Cable")</f>
        <v>Powertrain Ground Cable</v>
      </c>
      <c r="F1142" t="s">
        <v>1703</v>
      </c>
    </row>
    <row r="1143" spans="1:6" ht="12.75">
      <c r="A1143">
        <v>5315560</v>
      </c>
      <c r="B1143">
        <v>5381715</v>
      </c>
      <c r="C1143" t="s">
        <v>574</v>
      </c>
      <c r="D1143" t="s">
        <v>8</v>
      </c>
      <c r="E1143" s="2" t="str">
        <f>HYPERLINK("https://ibp.a2mac1.com/costing(costing:projects/details/8191/component/5315560)","Screw &gt; Hexagon screw with flange")</f>
        <v>Screw &gt; Hexagon screw with flange</v>
      </c>
      <c r="F1143" t="s">
        <v>1703</v>
      </c>
    </row>
    <row r="1144" spans="1:6" ht="12.75">
      <c r="A1144">
        <v>5381716</v>
      </c>
      <c r="B1144">
        <v>5381711</v>
      </c>
      <c r="C1144" t="s">
        <v>8</v>
      </c>
      <c r="D1144" t="s">
        <v>8</v>
      </c>
      <c r="E1144" s="2" t="str">
        <f>HYPERLINK("https://ibp.a2mac1.com/costing(costing:projects/details/8191/assembly/5381716)","Fuses Box Relay System")</f>
        <v>Fuses Box Relay System</v>
      </c>
      <c r="F1144" t="s">
        <v>1617</v>
      </c>
    </row>
    <row r="1145" spans="1:6" ht="12.75">
      <c r="A1145">
        <v>5381792</v>
      </c>
      <c r="B1145">
        <v>5381716</v>
      </c>
      <c r="C1145" t="s">
        <v>8</v>
      </c>
      <c r="D1145" t="s">
        <v>8</v>
      </c>
      <c r="E1145" s="2" t="str">
        <f>HYPERLINK("https://ibp.a2mac1.com/costing(costing:projects/details/8191/assembly/5381792)","Engine compartment fuses relays box system")</f>
        <v>Engine compartment fuses relays box system</v>
      </c>
      <c r="F1145" t="s">
        <v>1707</v>
      </c>
    </row>
    <row r="1146" spans="1:6" ht="12.75">
      <c r="A1146">
        <v>5381825</v>
      </c>
      <c r="B1146">
        <v>5381792</v>
      </c>
      <c r="C1146" t="s">
        <v>12</v>
      </c>
      <c r="D1146" t="s">
        <v>8</v>
      </c>
      <c r="E1146" s="2" t="str">
        <f>HYPERLINK("https://ibp.a2mac1.com/costing(costing:projects/details/8191/part/5381825)","Support")</f>
        <v>Support</v>
      </c>
      <c r="F1146" t="s">
        <v>1708</v>
      </c>
    </row>
    <row r="1147" spans="1:6" ht="12.75">
      <c r="A1147">
        <v>5381826</v>
      </c>
      <c r="B1147">
        <v>5381792</v>
      </c>
      <c r="C1147" t="s">
        <v>12</v>
      </c>
      <c r="D1147" t="s">
        <v>8</v>
      </c>
      <c r="E1147" s="2" t="str">
        <f>HYPERLINK("https://ibp.a2mac1.com/costing(costing:projects/details/8191/part/5381826)","Cover")</f>
        <v>Cover</v>
      </c>
      <c r="F1147" t="s">
        <v>1708</v>
      </c>
    </row>
    <row r="1148" spans="1:6" ht="12.75">
      <c r="A1148">
        <v>5381827</v>
      </c>
      <c r="B1148">
        <v>5381792</v>
      </c>
      <c r="C1148" t="s">
        <v>12</v>
      </c>
      <c r="D1148" t="s">
        <v>8</v>
      </c>
      <c r="E1148" s="2" t="str">
        <f>HYPERLINK("https://ibp.a2mac1.com/costing(costing:projects/details/8191/part/5381827)","Lower Cover")</f>
        <v>Lower Cover</v>
      </c>
      <c r="F1148" t="s">
        <v>1708</v>
      </c>
    </row>
    <row r="1149" spans="1:6" ht="12.75">
      <c r="A1149">
        <v>6970515</v>
      </c>
      <c r="B1149">
        <v>5381792</v>
      </c>
      <c r="C1149" t="s">
        <v>99</v>
      </c>
      <c r="D1149" t="s">
        <v>8</v>
      </c>
      <c r="E1149" s="2" t="str">
        <f>HYPERLINK("https://ibp.a2mac1.com/costing(costing:projects/details/8191/process/6970515)","Process")</f>
        <v>Process</v>
      </c>
      <c r="F1149" t="s">
        <v>1708</v>
      </c>
    </row>
    <row r="1150" spans="1:6" ht="12.75">
      <c r="A1150">
        <v>6943028</v>
      </c>
      <c r="B1150">
        <v>6970515</v>
      </c>
      <c r="C1150" t="s">
        <v>189</v>
      </c>
      <c r="D1150" t="s">
        <v>99</v>
      </c>
      <c r="E1150" s="2" t="str">
        <f>HYPERLINK("https://ibp.a2mac1.com/costing(costing:projects/details/8191/equipment/6943028)","Dummy Machine (PCBA+Final Assembly Line)")</f>
        <v>Dummy Machine (PCBA+Final Assembly Line)</v>
      </c>
      <c r="F1150" t="s">
        <v>1712</v>
      </c>
    </row>
    <row r="1151" spans="1:6" ht="12.75">
      <c r="A1151">
        <v>5315579</v>
      </c>
      <c r="B1151">
        <v>5381792</v>
      </c>
      <c r="C1151" t="s">
        <v>574</v>
      </c>
      <c r="D1151" t="s">
        <v>8</v>
      </c>
      <c r="E1151" s="2" t="str">
        <f>HYPERLINK("https://ibp.a2mac1.com/costing(costing:projects/details/8191/component/5315579)","Screw &gt; Hexagon screw with flange")</f>
        <v>Screw &gt; Hexagon screw with flange</v>
      </c>
      <c r="F1151" t="s">
        <v>1708</v>
      </c>
    </row>
    <row r="1152" spans="1:6" ht="12.75">
      <c r="A1152">
        <v>5315580</v>
      </c>
      <c r="B1152">
        <v>5381792</v>
      </c>
      <c r="C1152" t="s">
        <v>574</v>
      </c>
      <c r="D1152" t="s">
        <v>8</v>
      </c>
      <c r="E1152" s="2" t="str">
        <f>HYPERLINK("https://ibp.a2mac1.com/costing(costing:projects/details/8191/component/5315580)","Electronics")</f>
        <v>Electronics</v>
      </c>
      <c r="F1152" t="s">
        <v>1708</v>
      </c>
    </row>
    <row r="1153" spans="1:6" ht="12.75">
      <c r="A1153">
        <v>5315581</v>
      </c>
      <c r="B1153">
        <v>5381792</v>
      </c>
      <c r="C1153" t="s">
        <v>574</v>
      </c>
      <c r="D1153" t="s">
        <v>8</v>
      </c>
      <c r="E1153" s="2" t="str">
        <f>HYPERLINK("https://ibp.a2mac1.com/costing(costing:projects/details/8191/component/5315581)","Mechanics")</f>
        <v>Mechanics</v>
      </c>
      <c r="F1153" t="s">
        <v>1708</v>
      </c>
    </row>
    <row r="1154" spans="1:6" ht="12.75">
      <c r="A1154">
        <v>5381793</v>
      </c>
      <c r="B1154">
        <v>5381716</v>
      </c>
      <c r="C1154" t="s">
        <v>8</v>
      </c>
      <c r="D1154" t="s">
        <v>8</v>
      </c>
      <c r="E1154" s="2" t="str">
        <f>HYPERLINK("https://ibp.a2mac1.com/costing(costing:projects/details/8191/assembly/5381793)","Fuses relays box passenger compartment left side")</f>
        <v>Fuses relays box passenger compartment left side</v>
      </c>
      <c r="F1154" t="s">
        <v>1707</v>
      </c>
    </row>
    <row r="1155" spans="1:6" ht="12.75">
      <c r="A1155">
        <v>5381828</v>
      </c>
      <c r="B1155">
        <v>5381793</v>
      </c>
      <c r="C1155" t="s">
        <v>12</v>
      </c>
      <c r="D1155" t="s">
        <v>8</v>
      </c>
      <c r="E1155" s="2" t="str">
        <f>HYPERLINK("https://ibp.a2mac1.com/costing(costing:projects/details/8191/part/5381828)","Support")</f>
        <v>Support</v>
      </c>
      <c r="F1155" t="s">
        <v>1714</v>
      </c>
    </row>
    <row r="1156" spans="1:6" ht="12.75">
      <c r="A1156">
        <v>6970516</v>
      </c>
      <c r="B1156">
        <v>5381793</v>
      </c>
      <c r="C1156" t="s">
        <v>99</v>
      </c>
      <c r="D1156" t="s">
        <v>8</v>
      </c>
      <c r="E1156" s="2" t="str">
        <f>HYPERLINK("https://ibp.a2mac1.com/costing(costing:projects/details/8191/process/6970516)","Process")</f>
        <v>Process</v>
      </c>
      <c r="F1156" t="s">
        <v>1714</v>
      </c>
    </row>
    <row r="1157" spans="1:6" ht="12.75">
      <c r="A1157">
        <v>6943029</v>
      </c>
      <c r="B1157">
        <v>6970516</v>
      </c>
      <c r="C1157" t="s">
        <v>189</v>
      </c>
      <c r="D1157" t="s">
        <v>99</v>
      </c>
      <c r="E1157" s="2" t="str">
        <f>HYPERLINK("https://ibp.a2mac1.com/costing(costing:projects/details/8191/equipment/6943029)","Dummy Machine (PCBA+Final Assembly Line)")</f>
        <v>Dummy Machine (PCBA+Final Assembly Line)</v>
      </c>
      <c r="F1157" t="s">
        <v>1716</v>
      </c>
    </row>
    <row r="1158" spans="1:6" ht="12.75">
      <c r="A1158">
        <v>5315582</v>
      </c>
      <c r="B1158">
        <v>5381793</v>
      </c>
      <c r="C1158" t="s">
        <v>574</v>
      </c>
      <c r="D1158" t="s">
        <v>8</v>
      </c>
      <c r="E1158" s="2" t="str">
        <f>HYPERLINK("https://ibp.a2mac1.com/costing(costing:projects/details/8191/component/5315582)","Electronics")</f>
        <v>Electronics</v>
      </c>
      <c r="F1158" t="s">
        <v>1714</v>
      </c>
    </row>
    <row r="1159" spans="1:6" ht="12.75">
      <c r="A1159">
        <v>5315583</v>
      </c>
      <c r="B1159">
        <v>5381793</v>
      </c>
      <c r="C1159" t="s">
        <v>574</v>
      </c>
      <c r="D1159" t="s">
        <v>8</v>
      </c>
      <c r="E1159" s="2" t="str">
        <f>HYPERLINK("https://ibp.a2mac1.com/costing(costing:projects/details/8191/component/5315583)","Mechanics")</f>
        <v>Mechanics</v>
      </c>
      <c r="F1159" t="s">
        <v>1714</v>
      </c>
    </row>
    <row r="1160" spans="1:6" ht="12.75">
      <c r="A1160">
        <v>5381717</v>
      </c>
      <c r="B1160">
        <v>5381711</v>
      </c>
      <c r="C1160" t="s">
        <v>8</v>
      </c>
      <c r="D1160" t="s">
        <v>8</v>
      </c>
      <c r="E1160" s="2" t="str">
        <f>HYPERLINK("https://ibp.a2mac1.com/costing(costing:projects/details/8191/assembly/5381717)","Wiring support system")</f>
        <v>Wiring support system</v>
      </c>
      <c r="F1160" t="s">
        <v>1617</v>
      </c>
    </row>
    <row r="1161" spans="1:6" ht="12.75">
      <c r="A1161">
        <v>5381797</v>
      </c>
      <c r="B1161">
        <v>5381717</v>
      </c>
      <c r="C1161" t="s">
        <v>8</v>
      </c>
      <c r="D1161" t="s">
        <v>8</v>
      </c>
      <c r="E1161" s="2" t="str">
        <f>HYPERLINK("https://ibp.a2mac1.com/costing(costing:projects/details/8191/assembly/5381797)","Engine compartment support")</f>
        <v>Engine compartment support</v>
      </c>
      <c r="F1161" t="s">
        <v>1719</v>
      </c>
    </row>
    <row r="1162" spans="1:6" ht="12.75">
      <c r="A1162">
        <v>5381829</v>
      </c>
      <c r="B1162">
        <v>5381797</v>
      </c>
      <c r="C1162" t="s">
        <v>12</v>
      </c>
      <c r="D1162" t="s">
        <v>8</v>
      </c>
      <c r="E1162" s="2" t="str">
        <f>HYPERLINK("https://ibp.a2mac1.com/costing(costing:projects/details/8191/part/5381829)","Support 1")</f>
        <v>Support 1</v>
      </c>
      <c r="F1162" t="s">
        <v>1720</v>
      </c>
    </row>
    <row r="1163" spans="1:6" ht="12.75">
      <c r="A1163">
        <v>5381794</v>
      </c>
      <c r="B1163">
        <v>5381717</v>
      </c>
      <c r="C1163" t="s">
        <v>12</v>
      </c>
      <c r="D1163" t="s">
        <v>8</v>
      </c>
      <c r="E1163" s="2" t="str">
        <f>HYPERLINK("https://ibp.a2mac1.com/costing(costing:projects/details/8191/part/5381794)","Support On Front Axle")</f>
        <v>Support On Front Axle</v>
      </c>
      <c r="F1163" t="s">
        <v>1719</v>
      </c>
    </row>
    <row r="1164" spans="1:6" ht="12.75">
      <c r="A1164">
        <v>5381795</v>
      </c>
      <c r="B1164">
        <v>5381717</v>
      </c>
      <c r="C1164" t="s">
        <v>12</v>
      </c>
      <c r="D1164" t="s">
        <v>8</v>
      </c>
      <c r="E1164" s="2" t="str">
        <f>HYPERLINK("https://ibp.a2mac1.com/costing(costing:projects/details/8191/part/5381795)","Support on Rear Differential")</f>
        <v>Support on Rear Differential</v>
      </c>
      <c r="F1164" t="s">
        <v>1719</v>
      </c>
    </row>
    <row r="1165" spans="1:6" ht="12.75">
      <c r="A1165">
        <v>5381796</v>
      </c>
      <c r="B1165">
        <v>5381717</v>
      </c>
      <c r="C1165" t="s">
        <v>12</v>
      </c>
      <c r="D1165" t="s">
        <v>8</v>
      </c>
      <c r="E1165" s="2" t="str">
        <f>HYPERLINK("https://ibp.a2mac1.com/costing(costing:projects/details/8191/part/5381796)","Support on front body panel")</f>
        <v>Support on front body panel</v>
      </c>
      <c r="F1165" t="s">
        <v>1719</v>
      </c>
    </row>
    <row r="1166" spans="1:6" ht="12.75">
      <c r="A1166">
        <v>5315561</v>
      </c>
      <c r="B1166">
        <v>5381717</v>
      </c>
      <c r="C1166" t="s">
        <v>574</v>
      </c>
      <c r="D1166" t="s">
        <v>8</v>
      </c>
      <c r="E1166" s="2" t="str">
        <f>HYPERLINK("https://ibp.a2mac1.com/costing(costing:projects/details/8191/component/5315561)","Screw &gt; Hexagon screw with flange")</f>
        <v>Screw &gt; Hexagon screw with flange</v>
      </c>
      <c r="F1166" t="s">
        <v>1719</v>
      </c>
    </row>
    <row r="1167" spans="1:6" ht="12.75">
      <c r="A1167">
        <v>5315562</v>
      </c>
      <c r="B1167">
        <v>5381717</v>
      </c>
      <c r="C1167" t="s">
        <v>574</v>
      </c>
      <c r="D1167" t="s">
        <v>8</v>
      </c>
      <c r="E1167" s="2" t="str">
        <f>HYPERLINK("https://ibp.a2mac1.com/costing(costing:projects/details/8191/component/5315562)","Nut &gt; Hexagonal nut with collar")</f>
        <v>Nut &gt; Hexagonal nut with collar</v>
      </c>
      <c r="F1167" t="s">
        <v>1719</v>
      </c>
    </row>
    <row r="1168" spans="1:6" ht="12.75">
      <c r="A1168">
        <v>5381718</v>
      </c>
      <c r="B1168">
        <v>5381711</v>
      </c>
      <c r="C1168" t="s">
        <v>8</v>
      </c>
      <c r="D1168" t="s">
        <v>8</v>
      </c>
      <c r="E1168" s="2" t="str">
        <f>HYPERLINK("https://ibp.a2mac1.com/costing(costing:projects/details/8191/assembly/5381718)","Wiring Harness Guide")</f>
        <v>Wiring Harness Guide</v>
      </c>
      <c r="F1168" t="s">
        <v>1617</v>
      </c>
    </row>
    <row r="1169" spans="1:6" ht="12.75">
      <c r="A1169">
        <v>5381813</v>
      </c>
      <c r="B1169">
        <v>5381718</v>
      </c>
      <c r="C1169" t="s">
        <v>8</v>
      </c>
      <c r="D1169" t="s">
        <v>8</v>
      </c>
      <c r="E1169" s="2" t="str">
        <f>HYPERLINK("https://ibp.a2mac1.com/costing(costing:projects/details/8191/assembly/5381813)","Under Body")</f>
        <v>Under Body</v>
      </c>
      <c r="F1169" t="s">
        <v>1728</v>
      </c>
    </row>
    <row r="1170" spans="1:6" ht="12.75">
      <c r="A1170">
        <v>5381830</v>
      </c>
      <c r="B1170">
        <v>5381813</v>
      </c>
      <c r="C1170" t="s">
        <v>12</v>
      </c>
      <c r="D1170" t="s">
        <v>8</v>
      </c>
      <c r="E1170" s="2" t="str">
        <f>HYPERLINK("https://ibp.a2mac1.com/costing(costing:projects/details/8191/part/5381830)","Front")</f>
        <v>Front</v>
      </c>
      <c r="F1170" t="s">
        <v>1729</v>
      </c>
    </row>
    <row r="1171" spans="1:6" ht="12.75">
      <c r="A1171">
        <v>5381831</v>
      </c>
      <c r="B1171">
        <v>5381813</v>
      </c>
      <c r="C1171" t="s">
        <v>12</v>
      </c>
      <c r="D1171" t="s">
        <v>8</v>
      </c>
      <c r="E1171" s="2" t="str">
        <f>HYPERLINK("https://ibp.a2mac1.com/costing(costing:projects/details/8191/part/5381831)","Rear")</f>
        <v>Rear</v>
      </c>
      <c r="F1171" t="s">
        <v>1729</v>
      </c>
    </row>
    <row r="1172" spans="1:6" ht="12.75">
      <c r="A1172">
        <v>5381832</v>
      </c>
      <c r="B1172">
        <v>5381813</v>
      </c>
      <c r="C1172" t="s">
        <v>12</v>
      </c>
      <c r="D1172" t="s">
        <v>8</v>
      </c>
      <c r="E1172" s="2" t="str">
        <f>HYPERLINK("https://ibp.a2mac1.com/costing(costing:projects/details/8191/part/5381832)","2nd Rear")</f>
        <v>2nd Rear</v>
      </c>
      <c r="F1172" t="s">
        <v>1729</v>
      </c>
    </row>
    <row r="1173" spans="1:6" ht="12.75">
      <c r="A1173">
        <v>5315584</v>
      </c>
      <c r="B1173">
        <v>5381813</v>
      </c>
      <c r="C1173" t="s">
        <v>574</v>
      </c>
      <c r="D1173" t="s">
        <v>8</v>
      </c>
      <c r="E1173" s="2" t="str">
        <f>HYPERLINK("https://ibp.a2mac1.com/costing(costing:projects/details/8191/component/5315584)","Screw &gt; Torx socket head cap screw with flange")</f>
        <v>Screw &gt; Torx socket head cap screw with flange</v>
      </c>
      <c r="F1173" t="s">
        <v>1729</v>
      </c>
    </row>
    <row r="1174" spans="1:6" ht="12.75">
      <c r="A1174">
        <v>5315585</v>
      </c>
      <c r="B1174">
        <v>5381813</v>
      </c>
      <c r="C1174" t="s">
        <v>574</v>
      </c>
      <c r="D1174" t="s">
        <v>8</v>
      </c>
      <c r="E1174" s="2" t="str">
        <f>HYPERLINK("https://ibp.a2mac1.com/costing(costing:projects/details/8191/component/5315585)","Screw &gt; Hexagon screw with flange")</f>
        <v>Screw &gt; Hexagon screw with flange</v>
      </c>
      <c r="F1174" t="s">
        <v>1729</v>
      </c>
    </row>
    <row r="1175" spans="1:6" ht="12.75">
      <c r="A1175">
        <v>5381798</v>
      </c>
      <c r="B1175">
        <v>5381718</v>
      </c>
      <c r="C1175" t="s">
        <v>12</v>
      </c>
      <c r="D1175" t="s">
        <v>8</v>
      </c>
      <c r="E1175" s="2" t="str">
        <f>HYPERLINK("https://ibp.a2mac1.com/costing(costing:projects/details/8191/part/5381798)","On Right Side Roll Rail")</f>
        <v>On Right Side Roll Rail</v>
      </c>
      <c r="F1175" t="s">
        <v>1728</v>
      </c>
    </row>
    <row r="1176" spans="1:6" ht="12.75">
      <c r="A1176">
        <v>5381799</v>
      </c>
      <c r="B1176">
        <v>5381718</v>
      </c>
      <c r="C1176" t="s">
        <v>12</v>
      </c>
      <c r="D1176" t="s">
        <v>8</v>
      </c>
      <c r="E1176" s="2" t="str">
        <f>HYPERLINK("https://ibp.a2mac1.com/costing(costing:projects/details/8191/part/5381799)","On Front Left Floor")</f>
        <v>On Front Left Floor</v>
      </c>
      <c r="F1176" t="s">
        <v>1728</v>
      </c>
    </row>
    <row r="1177" spans="1:6" ht="12.75">
      <c r="A1177">
        <v>5381800</v>
      </c>
      <c r="B1177">
        <v>5381718</v>
      </c>
      <c r="C1177" t="s">
        <v>12</v>
      </c>
      <c r="D1177" t="s">
        <v>8</v>
      </c>
      <c r="E1177" s="2" t="str">
        <f>HYPERLINK("https://ibp.a2mac1.com/costing(costing:projects/details/8191/part/5381800)","On Front Right Floor")</f>
        <v>On Front Right Floor</v>
      </c>
      <c r="F1177" t="s">
        <v>1728</v>
      </c>
    </row>
    <row r="1178" spans="1:6" ht="12.75">
      <c r="A1178">
        <v>5381801</v>
      </c>
      <c r="B1178">
        <v>5381718</v>
      </c>
      <c r="C1178" t="s">
        <v>12</v>
      </c>
      <c r="D1178" t="s">
        <v>8</v>
      </c>
      <c r="E1178" s="2" t="str">
        <f>HYPERLINK("https://ibp.a2mac1.com/costing(costing:projects/details/8191/part/5381801)","On Side on Rear Parcel Shelf")</f>
        <v>On Side on Rear Parcel Shelf</v>
      </c>
      <c r="F1178" t="s">
        <v>1728</v>
      </c>
    </row>
    <row r="1179" spans="1:6" ht="12.75">
      <c r="A1179">
        <v>5381802</v>
      </c>
      <c r="B1179">
        <v>5381718</v>
      </c>
      <c r="C1179" t="s">
        <v>12</v>
      </c>
      <c r="D1179" t="s">
        <v>8</v>
      </c>
      <c r="E1179" s="2" t="str">
        <f>HYPERLINK("https://ibp.a2mac1.com/costing(costing:projects/details/8191/part/5381802)","On Right A Pillar")</f>
        <v>On Right A Pillar</v>
      </c>
      <c r="F1179" t="s">
        <v>1728</v>
      </c>
    </row>
    <row r="1180" spans="1:6" ht="12.75">
      <c r="A1180">
        <v>5381803</v>
      </c>
      <c r="B1180">
        <v>5381718</v>
      </c>
      <c r="C1180" t="s">
        <v>12</v>
      </c>
      <c r="D1180" t="s">
        <v>8</v>
      </c>
      <c r="E1180" s="2" t="str">
        <f>HYPERLINK("https://ibp.a2mac1.com/costing(costing:projects/details/8191/part/5381803)","Guide on Dashboard")</f>
        <v>Guide on Dashboard</v>
      </c>
      <c r="F1180" t="s">
        <v>1728</v>
      </c>
    </row>
    <row r="1181" spans="1:6" ht="12.75">
      <c r="A1181">
        <v>5381806</v>
      </c>
      <c r="B1181">
        <v>5381718</v>
      </c>
      <c r="C1181" t="s">
        <v>12</v>
      </c>
      <c r="D1181" t="s">
        <v>8</v>
      </c>
      <c r="E1181" s="2" t="str">
        <f>HYPERLINK("https://ibp.a2mac1.com/costing(costing:projects/details/8191/part/5381806)","2nd Wiring Harness Guide on Dashboard")</f>
        <v>2nd Wiring Harness Guide on Dashboard</v>
      </c>
      <c r="F1181" t="s">
        <v>1728</v>
      </c>
    </row>
    <row r="1182" spans="1:6" ht="12.75">
      <c r="A1182">
        <v>5381807</v>
      </c>
      <c r="B1182">
        <v>5381718</v>
      </c>
      <c r="C1182" t="s">
        <v>12</v>
      </c>
      <c r="D1182" t="s">
        <v>8</v>
      </c>
      <c r="E1182" s="2" t="str">
        <f>HYPERLINK("https://ibp.a2mac1.com/costing(costing:projects/details/8191/part/5381807)","Guide on K-Frame")</f>
        <v>Guide on K-Frame</v>
      </c>
      <c r="F1182" t="s">
        <v>1728</v>
      </c>
    </row>
    <row r="1183" spans="1:6" ht="12.75">
      <c r="A1183">
        <v>5381808</v>
      </c>
      <c r="B1183">
        <v>5381718</v>
      </c>
      <c r="C1183" t="s">
        <v>12</v>
      </c>
      <c r="D1183" t="s">
        <v>8</v>
      </c>
      <c r="E1183" s="2" t="str">
        <f>HYPERLINK("https://ibp.a2mac1.com/costing(costing:projects/details/8191/part/5381808)","Guide Rear axle")</f>
        <v>Guide Rear axle</v>
      </c>
      <c r="F1183" t="s">
        <v>1728</v>
      </c>
    </row>
    <row r="1184" spans="1:6" ht="12.75">
      <c r="A1184">
        <v>5381809</v>
      </c>
      <c r="B1184">
        <v>5381718</v>
      </c>
      <c r="C1184" t="s">
        <v>12</v>
      </c>
      <c r="D1184" t="s">
        <v>8</v>
      </c>
      <c r="E1184" s="2" t="str">
        <f>HYPERLINK("https://ibp.a2mac1.com/costing(costing:projects/details/8191/part/5381809)","2nd Guide Rear Axle")</f>
        <v>2nd Guide Rear Axle</v>
      </c>
      <c r="F1184" t="s">
        <v>1728</v>
      </c>
    </row>
    <row r="1185" spans="1:6" ht="12.75">
      <c r="A1185">
        <v>5381810</v>
      </c>
      <c r="B1185">
        <v>5381718</v>
      </c>
      <c r="C1185" t="s">
        <v>12</v>
      </c>
      <c r="D1185" t="s">
        <v>8</v>
      </c>
      <c r="E1185" s="2" t="str">
        <f>HYPERLINK("https://ibp.a2mac1.com/costing(costing:projects/details/8191/part/5381810)","Guide on Steering Wheel")</f>
        <v>Guide on Steering Wheel</v>
      </c>
      <c r="F1185" t="s">
        <v>1728</v>
      </c>
    </row>
    <row r="1186" spans="1:6" ht="12.75">
      <c r="A1186">
        <v>5381811</v>
      </c>
      <c r="B1186">
        <v>5381718</v>
      </c>
      <c r="C1186" t="s">
        <v>12</v>
      </c>
      <c r="D1186" t="s">
        <v>8</v>
      </c>
      <c r="E1186" s="2" t="str">
        <f>HYPERLINK("https://ibp.a2mac1.com/costing(costing:projects/details/8191/part/5381811)","On Tailgate")</f>
        <v>On Tailgate</v>
      </c>
      <c r="F1186" t="s">
        <v>1728</v>
      </c>
    </row>
    <row r="1187" spans="1:6" ht="12.75">
      <c r="A1187">
        <v>5381812</v>
      </c>
      <c r="B1187">
        <v>5381718</v>
      </c>
      <c r="C1187" t="s">
        <v>12</v>
      </c>
      <c r="D1187" t="s">
        <v>8</v>
      </c>
      <c r="E1187" s="2" t="str">
        <f>HYPERLINK("https://ibp.a2mac1.com/costing(costing:projects/details/8191/part/5381812)","Second On Tailgate")</f>
        <v>Second On Tailgate</v>
      </c>
      <c r="F1187" t="s">
        <v>1728</v>
      </c>
    </row>
    <row r="1188" spans="1:6" ht="12.75">
      <c r="A1188">
        <v>5315563</v>
      </c>
      <c r="B1188">
        <v>5381718</v>
      </c>
      <c r="C1188" t="s">
        <v>574</v>
      </c>
      <c r="D1188" t="s">
        <v>8</v>
      </c>
      <c r="E1188" s="2" t="str">
        <f>HYPERLINK("https://ibp.a2mac1.com/costing(costing:projects/details/8191/component/5315563)","Nut &gt; Hexagonal nut with collar")</f>
        <v>Nut &gt; Hexagonal nut with collar</v>
      </c>
      <c r="F1188" t="s">
        <v>1728</v>
      </c>
    </row>
    <row r="1189" spans="1:6" ht="12.75">
      <c r="A1189">
        <v>5315564</v>
      </c>
      <c r="B1189">
        <v>5381718</v>
      </c>
      <c r="C1189" t="s">
        <v>574</v>
      </c>
      <c r="D1189" t="s">
        <v>8</v>
      </c>
      <c r="E1189" s="2" t="str">
        <f>HYPERLINK("https://ibp.a2mac1.com/costing(costing:projects/details/8191/component/5315564)","Nut &gt; Hexagonal nut with collar")</f>
        <v>Nut &gt; Hexagonal nut with collar</v>
      </c>
      <c r="F1189" t="s">
        <v>1728</v>
      </c>
    </row>
    <row r="1190" spans="1:6" ht="12.75">
      <c r="A1190">
        <v>5381719</v>
      </c>
      <c r="B1190">
        <v>5381711</v>
      </c>
      <c r="C1190" t="s">
        <v>8</v>
      </c>
      <c r="D1190" t="s">
        <v>8</v>
      </c>
      <c r="E1190" s="2" t="str">
        <f>HYPERLINK("https://ibp.a2mac1.com/costing(costing:projects/details/8191/assembly/5381719)","Plugs Support System")</f>
        <v>Plugs Support System</v>
      </c>
      <c r="F1190" t="s">
        <v>1617</v>
      </c>
    </row>
    <row r="1191" spans="1:6" ht="12.75">
      <c r="A1191">
        <v>5381814</v>
      </c>
      <c r="B1191">
        <v>5381719</v>
      </c>
      <c r="C1191" t="s">
        <v>12</v>
      </c>
      <c r="D1191" t="s">
        <v>8</v>
      </c>
      <c r="E1191" s="2" t="str">
        <f>HYPERLINK("https://ibp.a2mac1.com/costing(costing:projects/details/8191/part/5381814)","Plugs Support Engine Compartment")</f>
        <v>Plugs Support Engine Compartment</v>
      </c>
      <c r="F1191" t="s">
        <v>1751</v>
      </c>
    </row>
    <row r="1192" spans="1:6" ht="12.75">
      <c r="A1192">
        <v>6970517</v>
      </c>
      <c r="B1192">
        <v>5381814</v>
      </c>
      <c r="C1192" t="s">
        <v>99</v>
      </c>
      <c r="D1192" t="s">
        <v>12</v>
      </c>
      <c r="E1192" s="2" t="str">
        <f>HYPERLINK("https://ibp.a2mac1.com/costing(costing:projects/details/8191/process/6970517)","Injection molding")</f>
        <v>Injection molding</v>
      </c>
      <c r="F1192" t="s">
        <v>1752</v>
      </c>
    </row>
    <row r="1193" spans="1:6" ht="12.75">
      <c r="A1193">
        <v>5315611</v>
      </c>
      <c r="B1193">
        <v>6970517</v>
      </c>
      <c r="C1193" t="s">
        <v>24</v>
      </c>
      <c r="D1193" t="s">
        <v>99</v>
      </c>
      <c r="E1193" s="2" t="str">
        <f>HYPERLINK("https://ibp.a2mac1.com/costing(costing:projects/details/8191/material/5315611)","PP")</f>
        <v>PP</v>
      </c>
      <c r="F1193" t="s">
        <v>1754</v>
      </c>
    </row>
    <row r="1194" spans="1:6" ht="12.75">
      <c r="A1194">
        <v>6943030</v>
      </c>
      <c r="B1194">
        <v>6970517</v>
      </c>
      <c r="C1194" t="s">
        <v>189</v>
      </c>
      <c r="D1194" t="s">
        <v>99</v>
      </c>
      <c r="E1194" s="2" t="str">
        <f>HYPERLINK("https://ibp.a2mac1.com/costing(costing:projects/details/8191/equipment/6943030)","No.01 - Injection Press - 40T - 18kW - 270x270 - Max Volume 128cm3 ")</f>
        <v xml:space="preserve">No.01 - Injection Press - 40T - 18kW - 270x270 - Max Volume 128cm3 </v>
      </c>
      <c r="F1194" t="s">
        <v>1754</v>
      </c>
    </row>
    <row r="1195" spans="1:6" ht="12.75">
      <c r="A1195">
        <v>5381720</v>
      </c>
      <c r="B1195">
        <v>5381711</v>
      </c>
      <c r="C1195" t="s">
        <v>8</v>
      </c>
      <c r="D1195" t="s">
        <v>8</v>
      </c>
      <c r="E1195" s="2" t="str">
        <f>HYPERLINK("https://ibp.a2mac1.com/costing(costing:projects/details/8191/assembly/5381720)","Shunt Plug System")</f>
        <v>Shunt Plug System</v>
      </c>
      <c r="F1195" t="s">
        <v>1617</v>
      </c>
    </row>
    <row r="1196" spans="1:6" ht="12.75">
      <c r="A1196">
        <v>5381815</v>
      </c>
      <c r="B1196">
        <v>5381720</v>
      </c>
      <c r="C1196" t="s">
        <v>12</v>
      </c>
      <c r="D1196" t="s">
        <v>8</v>
      </c>
      <c r="E1196" s="2" t="str">
        <f>HYPERLINK("https://ibp.a2mac1.com/costing(costing:projects/details/8191/part/5381815)","Shunt Plug")</f>
        <v>Shunt Plug</v>
      </c>
      <c r="F1196" t="s">
        <v>1758</v>
      </c>
    </row>
    <row r="1197" spans="1:6" ht="12.75">
      <c r="A1197">
        <v>5382792</v>
      </c>
      <c r="B1197">
        <v>8191</v>
      </c>
      <c r="C1197" t="s">
        <v>8</v>
      </c>
      <c r="D1197" t="s">
        <v>6</v>
      </c>
      <c r="E1197" s="2" t="str">
        <f>HYPERLINK("https://ibp.a2mac1.com/costing(costing:projects/details/8191/assembly/5382792)","Engine")</f>
        <v>Engine</v>
      </c>
      <c r="F1197" t="s">
        <v>9</v>
      </c>
    </row>
    <row r="1198" spans="1:6" ht="12.75">
      <c r="A1198">
        <v>5382793</v>
      </c>
      <c r="B1198">
        <v>5382792</v>
      </c>
      <c r="C1198" t="s">
        <v>8</v>
      </c>
      <c r="D1198" t="s">
        <v>8</v>
      </c>
      <c r="E1198" s="2" t="str">
        <f>HYPERLINK("https://ibp.a2mac1.com/costing(costing:projects/details/8191/assembly/5382793)","Hybrid Electric System")</f>
        <v>Hybrid Electric System</v>
      </c>
      <c r="F1198" t="s">
        <v>1764</v>
      </c>
    </row>
    <row r="1199" spans="1:6" ht="12.75">
      <c r="A1199">
        <v>5382795</v>
      </c>
      <c r="B1199">
        <v>5382793</v>
      </c>
      <c r="C1199" t="s">
        <v>8</v>
      </c>
      <c r="D1199" t="s">
        <v>8</v>
      </c>
      <c r="E1199" s="2" t="str">
        <f>HYPERLINK("https://ibp.a2mac1.com/costing(costing:projects/details/8191/assembly/5382795)","Power Inverter Module Converter Module")</f>
        <v>Power Inverter Module Converter Module</v>
      </c>
      <c r="F1199" t="s">
        <v>1765</v>
      </c>
    </row>
    <row r="1200" spans="1:6" ht="12.75">
      <c r="A1200">
        <v>5382850</v>
      </c>
      <c r="B1200">
        <v>5382795</v>
      </c>
      <c r="C1200" t="s">
        <v>8</v>
      </c>
      <c r="D1200" t="s">
        <v>8</v>
      </c>
      <c r="E1200" s="2" t="str">
        <f>HYPERLINK("https://ibp.a2mac1.com/costing(costing:projects/details/8191/assembly/5382850)","Rear AC DC Inverter")</f>
        <v>Rear AC DC Inverter</v>
      </c>
      <c r="F1200" t="s">
        <v>1766</v>
      </c>
    </row>
    <row r="1201" spans="1:6" ht="12.75">
      <c r="A1201">
        <v>5382992</v>
      </c>
      <c r="B1201">
        <v>5382850</v>
      </c>
      <c r="C1201" t="s">
        <v>8</v>
      </c>
      <c r="D1201" t="s">
        <v>8</v>
      </c>
      <c r="E1201" s="2" t="str">
        <f>HYPERLINK("https://ibp.a2mac1.com/costing(costing:projects/details/8191/assembly/5382992)"," Connectors &amp; Wire Harnesses")</f>
        <v xml:space="preserve"> Connectors &amp; Wire Harnesses</v>
      </c>
      <c r="F1201" t="s">
        <v>1767</v>
      </c>
    </row>
    <row r="1202" spans="1:6" ht="12.75">
      <c r="A1202">
        <v>5383235</v>
      </c>
      <c r="B1202">
        <v>5382992</v>
      </c>
      <c r="C1202" t="s">
        <v>8</v>
      </c>
      <c r="D1202" t="s">
        <v>8</v>
      </c>
      <c r="E1202" s="2" t="str">
        <f>HYPERLINK("https://ibp.a2mac1.com/costing(costing:projects/details/8191/assembly/5383235)"," Busbars")</f>
        <v xml:space="preserve"> Busbars</v>
      </c>
      <c r="F1202" t="s">
        <v>1768</v>
      </c>
    </row>
    <row r="1203" spans="1:6" ht="12.75">
      <c r="A1203">
        <v>5383694</v>
      </c>
      <c r="B1203">
        <v>5383235</v>
      </c>
      <c r="C1203" t="s">
        <v>12</v>
      </c>
      <c r="D1203" t="s">
        <v>8</v>
      </c>
      <c r="E1203" s="2" t="str">
        <f>HYPERLINK("https://ibp.a2mac1.com/costing(costing:projects/details/8191/part/5383694)"," Busbar Assembly 1")</f>
        <v xml:space="preserve"> Busbar Assembly 1</v>
      </c>
      <c r="F1203" t="s">
        <v>1769</v>
      </c>
    </row>
    <row r="1204" spans="1:6" ht="12.75">
      <c r="A1204">
        <v>6972155</v>
      </c>
      <c r="B1204">
        <v>5383694</v>
      </c>
      <c r="C1204" t="s">
        <v>99</v>
      </c>
      <c r="D1204" t="s">
        <v>12</v>
      </c>
      <c r="E1204" s="2" t="str">
        <f>HYPERLINK("https://ibp.a2mac1.com/costing(costing:projects/details/8191/process/6972155)","Process")</f>
        <v>Process</v>
      </c>
      <c r="F1204" t="s">
        <v>1770</v>
      </c>
    </row>
    <row r="1205" spans="1:6" ht="12.75">
      <c r="A1205">
        <v>5316818</v>
      </c>
      <c r="B1205">
        <v>6972155</v>
      </c>
      <c r="C1205" t="s">
        <v>24</v>
      </c>
      <c r="D1205" t="s">
        <v>99</v>
      </c>
      <c r="E1205" s="2" t="str">
        <f>HYPERLINK("https://ibp.a2mac1.com/costing(costing:projects/details/8191/material/5316818)","Copper (default, e.g. CuZn30  / C26000)")</f>
        <v>Copper (default, e.g. CuZn30  / C26000)</v>
      </c>
      <c r="F1205" t="s">
        <v>1773</v>
      </c>
    </row>
    <row r="1206" spans="1:6" ht="12.75">
      <c r="A1206">
        <v>5316819</v>
      </c>
      <c r="B1206">
        <v>6972155</v>
      </c>
      <c r="C1206" t="s">
        <v>24</v>
      </c>
      <c r="D1206" t="s">
        <v>99</v>
      </c>
      <c r="E1206" s="2" t="str">
        <f>HYPERLINK("https://ibp.a2mac1.com/costing(costing:projects/details/8191/material/5316819)","Copper (default, e.g. CuZn30  / C26000)")</f>
        <v>Copper (default, e.g. CuZn30  / C26000)</v>
      </c>
      <c r="F1206" t="s">
        <v>1773</v>
      </c>
    </row>
    <row r="1207" spans="1:6" ht="12.75">
      <c r="A1207">
        <v>5316820</v>
      </c>
      <c r="B1207">
        <v>6972155</v>
      </c>
      <c r="C1207" t="s">
        <v>24</v>
      </c>
      <c r="D1207" t="s">
        <v>99</v>
      </c>
      <c r="E1207" s="2" t="str">
        <f>HYPERLINK("https://ibp.a2mac1.com/costing(costing:projects/details/8191/material/5316820)","Copper (default, e.g. CuZn30  / C26000)")</f>
        <v>Copper (default, e.g. CuZn30  / C26000)</v>
      </c>
      <c r="F1207" t="s">
        <v>1773</v>
      </c>
    </row>
    <row r="1208" spans="1:6" ht="12.75">
      <c r="A1208">
        <v>5316821</v>
      </c>
      <c r="B1208">
        <v>6972155</v>
      </c>
      <c r="C1208" t="s">
        <v>24</v>
      </c>
      <c r="D1208" t="s">
        <v>99</v>
      </c>
      <c r="E1208" s="2" t="str">
        <f>HYPERLINK("https://ibp.a2mac1.com/costing(costing:projects/details/8191/material/5316821)","PBT-GF30")</f>
        <v>PBT-GF30</v>
      </c>
      <c r="F1208" t="s">
        <v>1773</v>
      </c>
    </row>
    <row r="1209" spans="1:6" ht="12.75">
      <c r="A1209">
        <v>5316822</v>
      </c>
      <c r="B1209">
        <v>6972155</v>
      </c>
      <c r="C1209" t="s">
        <v>24</v>
      </c>
      <c r="D1209" t="s">
        <v>99</v>
      </c>
      <c r="E1209" s="2" t="str">
        <f>HYPERLINK("https://ibp.a2mac1.com/costing(costing:projects/details/8191/material/5316822)","Self-clinching Nut M4-2")</f>
        <v>Self-clinching Nut M4-2</v>
      </c>
      <c r="F1209" t="s">
        <v>1773</v>
      </c>
    </row>
    <row r="1210" spans="1:6" ht="12.75">
      <c r="A1210">
        <v>5316823</v>
      </c>
      <c r="B1210">
        <v>6972155</v>
      </c>
      <c r="C1210" t="s">
        <v>24</v>
      </c>
      <c r="D1210" t="s">
        <v>99</v>
      </c>
      <c r="E1210" s="2" t="str">
        <f>HYPERLINK("https://ibp.a2mac1.com/costing(costing:projects/details/8191/material/5316823)","M1000-65A")</f>
        <v>M1000-65A</v>
      </c>
      <c r="F1210" t="s">
        <v>1773</v>
      </c>
    </row>
    <row r="1211" spans="1:6" ht="12.75">
      <c r="A1211">
        <v>6944614</v>
      </c>
      <c r="B1211">
        <v>6972155</v>
      </c>
      <c r="C1211" t="s">
        <v>189</v>
      </c>
      <c r="D1211" t="s">
        <v>99</v>
      </c>
      <c r="E1211" s="2" t="str">
        <f>HYPERLINK("https://ibp.a2mac1.com/costing(costing:projects/details/8191/equipment/6944614)","Machine 1")</f>
        <v>Machine 1</v>
      </c>
      <c r="F1211" t="s">
        <v>1773</v>
      </c>
    </row>
    <row r="1212" spans="1:6" ht="12.75">
      <c r="A1212">
        <v>5383695</v>
      </c>
      <c r="B1212">
        <v>5383235</v>
      </c>
      <c r="C1212" t="s">
        <v>12</v>
      </c>
      <c r="D1212" t="s">
        <v>8</v>
      </c>
      <c r="E1212" s="2" t="str">
        <f>HYPERLINK("https://ibp.a2mac1.com/costing(costing:projects/details/8191/part/5383695)"," Busbar Assembly 2")</f>
        <v xml:space="preserve"> Busbar Assembly 2</v>
      </c>
      <c r="F1212" t="s">
        <v>1769</v>
      </c>
    </row>
    <row r="1213" spans="1:6" ht="12.75">
      <c r="A1213">
        <v>6972156</v>
      </c>
      <c r="B1213">
        <v>5383695</v>
      </c>
      <c r="C1213" t="s">
        <v>99</v>
      </c>
      <c r="D1213" t="s">
        <v>12</v>
      </c>
      <c r="E1213" s="2" t="str">
        <f>HYPERLINK("https://ibp.a2mac1.com/costing(costing:projects/details/8191/process/6972156)","Process")</f>
        <v>Process</v>
      </c>
      <c r="F1213" t="s">
        <v>1782</v>
      </c>
    </row>
    <row r="1214" spans="1:6" ht="12.75">
      <c r="A1214">
        <v>5316824</v>
      </c>
      <c r="B1214">
        <v>6972156</v>
      </c>
      <c r="C1214" t="s">
        <v>24</v>
      </c>
      <c r="D1214" t="s">
        <v>99</v>
      </c>
      <c r="E1214" s="2" t="str">
        <f>HYPERLINK("https://ibp.a2mac1.com/costing(costing:projects/details/8191/material/5316824)","Copper (default, e.g. CuZn30  / C26000)")</f>
        <v>Copper (default, e.g. CuZn30  / C26000)</v>
      </c>
      <c r="F1214" t="s">
        <v>1785</v>
      </c>
    </row>
    <row r="1215" spans="1:6" ht="12.75">
      <c r="A1215">
        <v>5316825</v>
      </c>
      <c r="B1215">
        <v>6972156</v>
      </c>
      <c r="C1215" t="s">
        <v>24</v>
      </c>
      <c r="D1215" t="s">
        <v>99</v>
      </c>
      <c r="E1215" s="2" t="str">
        <f>HYPERLINK("https://ibp.a2mac1.com/costing(costing:projects/details/8191/material/5316825)","Copper (default, e.g. CuZn30  / C26000)")</f>
        <v>Copper (default, e.g. CuZn30  / C26000)</v>
      </c>
      <c r="F1215" t="s">
        <v>1785</v>
      </c>
    </row>
    <row r="1216" spans="1:6" ht="12.75">
      <c r="A1216">
        <v>5316826</v>
      </c>
      <c r="B1216">
        <v>6972156</v>
      </c>
      <c r="C1216" t="s">
        <v>24</v>
      </c>
      <c r="D1216" t="s">
        <v>99</v>
      </c>
      <c r="E1216" s="2" t="str">
        <f>HYPERLINK("https://ibp.a2mac1.com/costing(costing:projects/details/8191/material/5316826)","PBT-GF30")</f>
        <v>PBT-GF30</v>
      </c>
      <c r="F1216" t="s">
        <v>1785</v>
      </c>
    </row>
    <row r="1217" spans="1:6" ht="12.75">
      <c r="A1217">
        <v>5316827</v>
      </c>
      <c r="B1217">
        <v>6972156</v>
      </c>
      <c r="C1217" t="s">
        <v>24</v>
      </c>
      <c r="D1217" t="s">
        <v>99</v>
      </c>
      <c r="E1217" s="2" t="str">
        <f>HYPERLINK("https://ibp.a2mac1.com/costing(costing:projects/details/8191/material/5316827)","Self-clinching Nut M4-2/M4-8")</f>
        <v>Self-clinching Nut M4-2/M4-8</v>
      </c>
      <c r="F1217" t="s">
        <v>1785</v>
      </c>
    </row>
    <row r="1218" spans="1:6" ht="12.75">
      <c r="A1218">
        <v>6944615</v>
      </c>
      <c r="B1218">
        <v>6972156</v>
      </c>
      <c r="C1218" t="s">
        <v>189</v>
      </c>
      <c r="D1218" t="s">
        <v>99</v>
      </c>
      <c r="E1218" s="2" t="str">
        <f>HYPERLINK("https://ibp.a2mac1.com/costing(costing:projects/details/8191/equipment/6944615)","Machine 2")</f>
        <v>Machine 2</v>
      </c>
      <c r="F1218" t="s">
        <v>1785</v>
      </c>
    </row>
    <row r="1219" spans="1:6" ht="12.75">
      <c r="A1219">
        <v>5383236</v>
      </c>
      <c r="B1219">
        <v>5382992</v>
      </c>
      <c r="C1219" t="s">
        <v>8</v>
      </c>
      <c r="D1219" t="s">
        <v>8</v>
      </c>
      <c r="E1219" s="2" t="str">
        <f>HYPERLINK("https://ibp.a2mac1.com/costing(costing:projects/details/8191/assembly/5383236)"," Connectors")</f>
        <v xml:space="preserve"> Connectors</v>
      </c>
      <c r="F1219" t="s">
        <v>1768</v>
      </c>
    </row>
    <row r="1220" spans="1:6" ht="12.75">
      <c r="A1220">
        <v>5383696</v>
      </c>
      <c r="B1220">
        <v>5383236</v>
      </c>
      <c r="C1220" t="s">
        <v>8</v>
      </c>
      <c r="D1220" t="s">
        <v>8</v>
      </c>
      <c r="E1220" s="2" t="str">
        <f>HYPERLINK("https://ibp.a2mac1.com/costing(costing:projects/details/8191/assembly/5383696)"," HV Connectors")</f>
        <v xml:space="preserve"> HV Connectors</v>
      </c>
      <c r="F1220" t="s">
        <v>1793</v>
      </c>
    </row>
    <row r="1221" spans="1:6" ht="12.75">
      <c r="A1221">
        <v>5383971</v>
      </c>
      <c r="B1221">
        <v>5383696</v>
      </c>
      <c r="C1221" t="s">
        <v>12</v>
      </c>
      <c r="D1221" t="s">
        <v>8</v>
      </c>
      <c r="E1221" s="2" t="str">
        <f>HYPERLINK("https://ibp.a2mac1.com/costing(costing:projects/details/8191/part/5383971)"," HV Connector 1")</f>
        <v xml:space="preserve"> HV Connector 1</v>
      </c>
      <c r="F1221" t="s">
        <v>1794</v>
      </c>
    </row>
    <row r="1222" spans="1:6" ht="12.75">
      <c r="A1222">
        <v>5382993</v>
      </c>
      <c r="B1222">
        <v>5382850</v>
      </c>
      <c r="C1222" t="s">
        <v>8</v>
      </c>
      <c r="D1222" t="s">
        <v>8</v>
      </c>
      <c r="E1222" s="2" t="str">
        <f>HYPERLINK("https://ibp.a2mac1.com/costing(costing:projects/details/8191/assembly/5382993)"," Electrical Parts")</f>
        <v xml:space="preserve"> Electrical Parts</v>
      </c>
      <c r="F1222" t="s">
        <v>1767</v>
      </c>
    </row>
    <row r="1223" spans="1:6" ht="12.75">
      <c r="A1223">
        <v>5383237</v>
      </c>
      <c r="B1223">
        <v>5382993</v>
      </c>
      <c r="C1223" t="s">
        <v>8</v>
      </c>
      <c r="D1223" t="s">
        <v>8</v>
      </c>
      <c r="E1223" s="2" t="str">
        <f>HYPERLINK("https://ibp.a2mac1.com/costing(costing:projects/details/8191/assembly/5383237)"," Capacitors")</f>
        <v xml:space="preserve"> Capacitors</v>
      </c>
      <c r="F1223" t="s">
        <v>1799</v>
      </c>
    </row>
    <row r="1224" spans="1:6" ht="12.75">
      <c r="A1224">
        <v>5383697</v>
      </c>
      <c r="B1224">
        <v>5383237</v>
      </c>
      <c r="C1224" t="s">
        <v>12</v>
      </c>
      <c r="D1224" t="s">
        <v>8</v>
      </c>
      <c r="E1224" s="2" t="str">
        <f>HYPERLINK("https://ibp.a2mac1.com/costing(costing:projects/details/8191/part/5383697)"," DC-Link Capacitor 1")</f>
        <v xml:space="preserve"> DC-Link Capacitor 1</v>
      </c>
      <c r="F1224" t="s">
        <v>1800</v>
      </c>
    </row>
    <row r="1225" spans="1:6" ht="12.75">
      <c r="A1225">
        <v>5383238</v>
      </c>
      <c r="B1225">
        <v>5382993</v>
      </c>
      <c r="C1225" t="s">
        <v>8</v>
      </c>
      <c r="D1225" t="s">
        <v>8</v>
      </c>
      <c r="E1225" s="2" t="str">
        <f>HYPERLINK("https://ibp.a2mac1.com/costing(costing:projects/details/8191/assembly/5383238)"," Ferrites &amp; Cores")</f>
        <v xml:space="preserve"> Ferrites &amp; Cores</v>
      </c>
      <c r="F1225" t="s">
        <v>1799</v>
      </c>
    </row>
    <row r="1226" spans="1:6" ht="12.75">
      <c r="A1226">
        <v>5383698</v>
      </c>
      <c r="B1226">
        <v>5383238</v>
      </c>
      <c r="C1226" t="s">
        <v>12</v>
      </c>
      <c r="D1226" t="s">
        <v>8</v>
      </c>
      <c r="E1226" s="2" t="str">
        <f>HYPERLINK("https://ibp.a2mac1.com/costing(costing:projects/details/8191/part/5383698)"," Ferrite 1")</f>
        <v xml:space="preserve"> Ferrite 1</v>
      </c>
      <c r="F1226" t="s">
        <v>1804</v>
      </c>
    </row>
    <row r="1227" spans="1:6" ht="12.75">
      <c r="A1227">
        <v>5383699</v>
      </c>
      <c r="B1227">
        <v>5383238</v>
      </c>
      <c r="C1227" t="s">
        <v>12</v>
      </c>
      <c r="D1227" t="s">
        <v>8</v>
      </c>
      <c r="E1227" s="2" t="str">
        <f>HYPERLINK("https://ibp.a2mac1.com/costing(costing:projects/details/8191/part/5383699)"," Ferrite 2")</f>
        <v xml:space="preserve"> Ferrite 2</v>
      </c>
      <c r="F1227" t="s">
        <v>1804</v>
      </c>
    </row>
    <row r="1228" spans="1:6" ht="12.75">
      <c r="A1228">
        <v>5383239</v>
      </c>
      <c r="B1228">
        <v>5382993</v>
      </c>
      <c r="C1228" t="s">
        <v>8</v>
      </c>
      <c r="D1228" t="s">
        <v>8</v>
      </c>
      <c r="E1228" s="2" t="str">
        <f>HYPERLINK("https://ibp.a2mac1.com/costing(costing:projects/details/8191/assembly/5383239)"," Power Modules")</f>
        <v xml:space="preserve"> Power Modules</v>
      </c>
      <c r="F1228" t="s">
        <v>1799</v>
      </c>
    </row>
    <row r="1229" spans="1:6" ht="12.75">
      <c r="A1229">
        <v>5383700</v>
      </c>
      <c r="B1229">
        <v>5383239</v>
      </c>
      <c r="C1229" t="s">
        <v>12</v>
      </c>
      <c r="D1229" t="s">
        <v>8</v>
      </c>
      <c r="E1229" s="2" t="str">
        <f>HYPERLINK("https://ibp.a2mac1.com/costing(costing:projects/details/8191/part/5383700)"," Power Module 1")</f>
        <v xml:space="preserve"> Power Module 1</v>
      </c>
      <c r="F1229" t="s">
        <v>1808</v>
      </c>
    </row>
    <row r="1230" spans="1:6" ht="12.75">
      <c r="A1230">
        <v>5383240</v>
      </c>
      <c r="B1230">
        <v>5382993</v>
      </c>
      <c r="C1230" t="s">
        <v>8</v>
      </c>
      <c r="D1230" t="s">
        <v>8</v>
      </c>
      <c r="E1230" s="2" t="str">
        <f>HYPERLINK("https://ibp.a2mac1.com/costing(costing:projects/details/8191/assembly/5383240)"," Resistors")</f>
        <v xml:space="preserve"> Resistors</v>
      </c>
      <c r="F1230" t="s">
        <v>1799</v>
      </c>
    </row>
    <row r="1231" spans="1:6" ht="12.75">
      <c r="A1231">
        <v>5383701</v>
      </c>
      <c r="B1231">
        <v>5383240</v>
      </c>
      <c r="C1231" t="s">
        <v>12</v>
      </c>
      <c r="D1231" t="s">
        <v>8</v>
      </c>
      <c r="E1231" s="2" t="str">
        <f>HYPERLINK("https://ibp.a2mac1.com/costing(costing:projects/details/8191/part/5383701)"," Discharge Resistor 1")</f>
        <v xml:space="preserve"> Discharge Resistor 1</v>
      </c>
      <c r="F1231" t="s">
        <v>1812</v>
      </c>
    </row>
    <row r="1232" spans="1:6" ht="12.75">
      <c r="A1232">
        <v>5382994</v>
      </c>
      <c r="B1232">
        <v>5382850</v>
      </c>
      <c r="C1232" t="s">
        <v>8</v>
      </c>
      <c r="D1232" t="s">
        <v>8</v>
      </c>
      <c r="E1232" s="2" t="str">
        <f>HYPERLINK("https://ibp.a2mac1.com/costing(costing:projects/details/8191/assembly/5382994)"," Electronic Parts")</f>
        <v xml:space="preserve"> Electronic Parts</v>
      </c>
      <c r="F1232" t="s">
        <v>1767</v>
      </c>
    </row>
    <row r="1233" spans="1:6" ht="12.75">
      <c r="A1233">
        <v>5383241</v>
      </c>
      <c r="B1233">
        <v>5382994</v>
      </c>
      <c r="C1233" t="s">
        <v>12</v>
      </c>
      <c r="D1233" t="s">
        <v>8</v>
      </c>
      <c r="E1233" s="2" t="str">
        <f>HYPERLINK("https://ibp.a2mac1.com/costing(costing:projects/details/8191/part/5383241)"," PCB 1")</f>
        <v xml:space="preserve"> PCB 1</v>
      </c>
      <c r="F1233" t="s">
        <v>1816</v>
      </c>
    </row>
    <row r="1234" spans="1:6" ht="12.75">
      <c r="A1234">
        <v>5383242</v>
      </c>
      <c r="B1234">
        <v>5382994</v>
      </c>
      <c r="C1234" t="s">
        <v>12</v>
      </c>
      <c r="D1234" t="s">
        <v>8</v>
      </c>
      <c r="E1234" s="2" t="str">
        <f>HYPERLINK("https://ibp.a2mac1.com/costing(costing:projects/details/8191/part/5383242)"," PCB 2")</f>
        <v xml:space="preserve"> PCB 2</v>
      </c>
      <c r="F1234" t="s">
        <v>1816</v>
      </c>
    </row>
    <row r="1235" spans="1:6" ht="12.75">
      <c r="A1235">
        <v>5383243</v>
      </c>
      <c r="B1235">
        <v>5382994</v>
      </c>
      <c r="C1235" t="s">
        <v>12</v>
      </c>
      <c r="D1235" t="s">
        <v>8</v>
      </c>
      <c r="E1235" s="2" t="str">
        <f>HYPERLINK("https://ibp.a2mac1.com/costing(costing:projects/details/8191/part/5383243)"," PCB 3")</f>
        <v xml:space="preserve"> PCB 3</v>
      </c>
      <c r="F1235" t="s">
        <v>1816</v>
      </c>
    </row>
    <row r="1236" spans="1:6" ht="12.75">
      <c r="A1236">
        <v>5382995</v>
      </c>
      <c r="B1236">
        <v>5382850</v>
      </c>
      <c r="C1236" t="s">
        <v>8</v>
      </c>
      <c r="D1236" t="s">
        <v>8</v>
      </c>
      <c r="E1236" s="2" t="str">
        <f>HYPERLINK("https://ibp.a2mac1.com/costing(costing:projects/details/8191/assembly/5382995)"," Mechanical Parts")</f>
        <v xml:space="preserve"> Mechanical Parts</v>
      </c>
      <c r="F1236" t="s">
        <v>1767</v>
      </c>
    </row>
    <row r="1237" spans="1:6" ht="12.75">
      <c r="A1237">
        <v>5383244</v>
      </c>
      <c r="B1237">
        <v>5382995</v>
      </c>
      <c r="C1237" t="s">
        <v>8</v>
      </c>
      <c r="D1237" t="s">
        <v>8</v>
      </c>
      <c r="E1237" s="2" t="str">
        <f>HYPERLINK("https://ibp.a2mac1.com/costing(costing:projects/details/8191/assembly/5383244)"," Covers")</f>
        <v xml:space="preserve"> Covers</v>
      </c>
      <c r="F1237" t="s">
        <v>1821</v>
      </c>
    </row>
    <row r="1238" spans="1:6" ht="12.75">
      <c r="A1238">
        <v>5383702</v>
      </c>
      <c r="B1238">
        <v>5383244</v>
      </c>
      <c r="C1238" t="s">
        <v>12</v>
      </c>
      <c r="D1238" t="s">
        <v>8</v>
      </c>
      <c r="E1238" s="2" t="str">
        <f>HYPERLINK("https://ibp.a2mac1.com/costing(costing:projects/details/8191/part/5383702)"," PCB Cover 1")</f>
        <v xml:space="preserve"> PCB Cover 1</v>
      </c>
      <c r="F1238" t="s">
        <v>1822</v>
      </c>
    </row>
    <row r="1239" spans="1:6" ht="12.75">
      <c r="A1239">
        <v>5383703</v>
      </c>
      <c r="B1239">
        <v>5383244</v>
      </c>
      <c r="C1239" t="s">
        <v>12</v>
      </c>
      <c r="D1239" t="s">
        <v>8</v>
      </c>
      <c r="E1239" s="2" t="str">
        <f>HYPERLINK("https://ibp.a2mac1.com/costing(costing:projects/details/8191/part/5383703)"," Current Sensor Protection on PCB")</f>
        <v xml:space="preserve"> Current Sensor Protection on PCB</v>
      </c>
      <c r="F1239" t="s">
        <v>1822</v>
      </c>
    </row>
    <row r="1240" spans="1:6" ht="12.75">
      <c r="A1240">
        <v>5383245</v>
      </c>
      <c r="B1240">
        <v>5382995</v>
      </c>
      <c r="C1240" t="s">
        <v>8</v>
      </c>
      <c r="D1240" t="s">
        <v>8</v>
      </c>
      <c r="E1240" s="2" t="str">
        <f>HYPERLINK("https://ibp.a2mac1.com/costing(costing:projects/details/8191/assembly/5383245)"," Housing Parts")</f>
        <v xml:space="preserve"> Housing Parts</v>
      </c>
      <c r="F1240" t="s">
        <v>1821</v>
      </c>
    </row>
    <row r="1241" spans="1:6" ht="12.75">
      <c r="A1241">
        <v>5383704</v>
      </c>
      <c r="B1241">
        <v>5383245</v>
      </c>
      <c r="C1241" t="s">
        <v>12</v>
      </c>
      <c r="D1241" t="s">
        <v>8</v>
      </c>
      <c r="E1241" s="2" t="str">
        <f>HYPERLINK("https://ibp.a2mac1.com/costing(costing:projects/details/8191/part/5383704)"," Main Housing")</f>
        <v xml:space="preserve"> Main Housing</v>
      </c>
      <c r="F1241" t="s">
        <v>1826</v>
      </c>
    </row>
    <row r="1242" spans="1:6" ht="12.75">
      <c r="A1242">
        <v>6972157</v>
      </c>
      <c r="B1242">
        <v>5383704</v>
      </c>
      <c r="C1242" t="s">
        <v>99</v>
      </c>
      <c r="D1242" t="s">
        <v>12</v>
      </c>
      <c r="E1242" s="2" t="str">
        <f>HYPERLINK("https://ibp.a2mac1.com/costing(costing:projects/details/8191/process/6972157)","Process")</f>
        <v>Process</v>
      </c>
      <c r="F1242" t="s">
        <v>1827</v>
      </c>
    </row>
    <row r="1243" spans="1:6" ht="12.75">
      <c r="A1243">
        <v>5316828</v>
      </c>
      <c r="B1243">
        <v>6972157</v>
      </c>
      <c r="C1243" t="s">
        <v>24</v>
      </c>
      <c r="D1243" t="s">
        <v>99</v>
      </c>
      <c r="E1243" s="2" t="str">
        <f>HYPERLINK("https://ibp.a2mac1.com/costing(costing:projects/details/8191/material/5316828)","Aluminum for casting (default, e.g. A380/ADC10/EN-AC46500)")</f>
        <v>Aluminum for casting (default, e.g. A380/ADC10/EN-AC46500)</v>
      </c>
      <c r="F1243" t="s">
        <v>1830</v>
      </c>
    </row>
    <row r="1244" spans="1:6" ht="12.75">
      <c r="A1244">
        <v>6944616</v>
      </c>
      <c r="B1244">
        <v>6972157</v>
      </c>
      <c r="C1244" t="s">
        <v>189</v>
      </c>
      <c r="D1244" t="s">
        <v>99</v>
      </c>
      <c r="E1244" s="2" t="str">
        <f>HYPERLINK("https://ibp.a2mac1.com/costing(costing:projects/details/8191/equipment/6944616)","Machine 3")</f>
        <v>Machine 3</v>
      </c>
      <c r="F1244" t="s">
        <v>1830</v>
      </c>
    </row>
    <row r="1245" spans="1:6" ht="12.75">
      <c r="A1245">
        <v>5383705</v>
      </c>
      <c r="B1245">
        <v>5383245</v>
      </c>
      <c r="C1245" t="s">
        <v>12</v>
      </c>
      <c r="D1245" t="s">
        <v>8</v>
      </c>
      <c r="E1245" s="2" t="str">
        <f>HYPERLINK("https://ibp.a2mac1.com/costing(costing:projects/details/8191/part/5383705)"," Top Lid")</f>
        <v xml:space="preserve"> Top Lid</v>
      </c>
      <c r="F1245" t="s">
        <v>1826</v>
      </c>
    </row>
    <row r="1246" spans="1:6" ht="12.75">
      <c r="A1246">
        <v>6972158</v>
      </c>
      <c r="B1246">
        <v>5383705</v>
      </c>
      <c r="C1246" t="s">
        <v>99</v>
      </c>
      <c r="D1246" t="s">
        <v>12</v>
      </c>
      <c r="E1246" s="2" t="str">
        <f>HYPERLINK("https://ibp.a2mac1.com/costing(costing:projects/details/8191/process/6972158)","Process")</f>
        <v>Process</v>
      </c>
      <c r="F1246" t="s">
        <v>1832</v>
      </c>
    </row>
    <row r="1247" spans="1:6" ht="12.75">
      <c r="A1247">
        <v>5316829</v>
      </c>
      <c r="B1247">
        <v>6972158</v>
      </c>
      <c r="C1247" t="s">
        <v>24</v>
      </c>
      <c r="D1247" t="s">
        <v>99</v>
      </c>
      <c r="E1247" s="2" t="str">
        <f>HYPERLINK("https://ibp.a2mac1.com/costing(costing:projects/details/8191/material/5316829)","Aluminum sheet (default, e.g. EN AW1050A)")</f>
        <v>Aluminum sheet (default, e.g. EN AW1050A)</v>
      </c>
      <c r="F1247" t="s">
        <v>1835</v>
      </c>
    </row>
    <row r="1248" spans="1:6" ht="12.75">
      <c r="A1248">
        <v>6944617</v>
      </c>
      <c r="B1248">
        <v>6972158</v>
      </c>
      <c r="C1248" t="s">
        <v>189</v>
      </c>
      <c r="D1248" t="s">
        <v>99</v>
      </c>
      <c r="E1248" s="2" t="str">
        <f>HYPERLINK("https://ibp.a2mac1.com/costing(costing:projects/details/8191/equipment/6944617)","Machine 4")</f>
        <v>Machine 4</v>
      </c>
      <c r="F1248" t="s">
        <v>1835</v>
      </c>
    </row>
    <row r="1249" spans="1:6" ht="12.75">
      <c r="A1249">
        <v>5383706</v>
      </c>
      <c r="B1249">
        <v>5383245</v>
      </c>
      <c r="C1249" t="s">
        <v>12</v>
      </c>
      <c r="D1249" t="s">
        <v>8</v>
      </c>
      <c r="E1249" s="2" t="str">
        <f>HYPERLINK("https://ibp.a2mac1.com/costing(costing:projects/details/8191/part/5383706)"," Coolant Channel Bottom/Single")</f>
        <v xml:space="preserve"> Coolant Channel Bottom/Single</v>
      </c>
      <c r="F1249" t="s">
        <v>1826</v>
      </c>
    </row>
    <row r="1250" spans="1:6" ht="12.75">
      <c r="A1250">
        <v>6972159</v>
      </c>
      <c r="B1250">
        <v>5383706</v>
      </c>
      <c r="C1250" t="s">
        <v>99</v>
      </c>
      <c r="D1250" t="s">
        <v>12</v>
      </c>
      <c r="E1250" s="2" t="str">
        <f>HYPERLINK("https://ibp.a2mac1.com/costing(costing:projects/details/8191/process/6972159)","Process")</f>
        <v>Process</v>
      </c>
      <c r="F1250" t="s">
        <v>1837</v>
      </c>
    </row>
    <row r="1251" spans="1:6" ht="12.75">
      <c r="A1251">
        <v>5316830</v>
      </c>
      <c r="B1251">
        <v>6972159</v>
      </c>
      <c r="C1251" t="s">
        <v>24</v>
      </c>
      <c r="D1251" t="s">
        <v>99</v>
      </c>
      <c r="E1251" s="2" t="str">
        <f>HYPERLINK("https://ibp.a2mac1.com/costing(costing:projects/details/8191/material/5316830)","Aluminum for casting (default, e.g. A380/ADC10/EN-AC46500)")</f>
        <v>Aluminum for casting (default, e.g. A380/ADC10/EN-AC46500)</v>
      </c>
      <c r="F1251" t="s">
        <v>1840</v>
      </c>
    </row>
    <row r="1252" spans="1:6" ht="12.75">
      <c r="A1252">
        <v>6944618</v>
      </c>
      <c r="B1252">
        <v>6972159</v>
      </c>
      <c r="C1252" t="s">
        <v>189</v>
      </c>
      <c r="D1252" t="s">
        <v>99</v>
      </c>
      <c r="E1252" s="2" t="str">
        <f>HYPERLINK("https://ibp.a2mac1.com/costing(costing:projects/details/8191/equipment/6944618)","Machine 5")</f>
        <v>Machine 5</v>
      </c>
      <c r="F1252" t="s">
        <v>1840</v>
      </c>
    </row>
    <row r="1253" spans="1:6" ht="12.75">
      <c r="A1253">
        <v>5383707</v>
      </c>
      <c r="B1253">
        <v>5383245</v>
      </c>
      <c r="C1253" t="s">
        <v>12</v>
      </c>
      <c r="D1253" t="s">
        <v>8</v>
      </c>
      <c r="E1253" s="2" t="str">
        <f>HYPERLINK("https://ibp.a2mac1.com/costing(costing:projects/details/8191/part/5383707)"," Bracket 1")</f>
        <v xml:space="preserve"> Bracket 1</v>
      </c>
      <c r="F1253" t="s">
        <v>1826</v>
      </c>
    </row>
    <row r="1254" spans="1:6" ht="12.75">
      <c r="A1254">
        <v>5383246</v>
      </c>
      <c r="B1254">
        <v>5382995</v>
      </c>
      <c r="C1254" t="s">
        <v>8</v>
      </c>
      <c r="D1254" t="s">
        <v>8</v>
      </c>
      <c r="E1254" s="2" t="str">
        <f>HYPERLINK("https://ibp.a2mac1.com/costing(costing:projects/details/8191/assembly/5383246)"," Pressure Vents")</f>
        <v xml:space="preserve"> Pressure Vents</v>
      </c>
      <c r="F1254" t="s">
        <v>1821</v>
      </c>
    </row>
    <row r="1255" spans="1:6" ht="12.75">
      <c r="A1255">
        <v>5383708</v>
      </c>
      <c r="B1255">
        <v>5383246</v>
      </c>
      <c r="C1255" t="s">
        <v>12</v>
      </c>
      <c r="D1255" t="s">
        <v>8</v>
      </c>
      <c r="E1255" s="2" t="str">
        <f>HYPERLINK("https://ibp.a2mac1.com/costing(costing:projects/details/8191/part/5383708)"," Pressure Vent 1")</f>
        <v xml:space="preserve"> Pressure Vent 1</v>
      </c>
      <c r="F1255" t="s">
        <v>1844</v>
      </c>
    </row>
    <row r="1256" spans="1:6" ht="12.75">
      <c r="A1256">
        <v>5383247</v>
      </c>
      <c r="B1256">
        <v>5382995</v>
      </c>
      <c r="C1256" t="s">
        <v>8</v>
      </c>
      <c r="D1256" t="s">
        <v>8</v>
      </c>
      <c r="E1256" s="2" t="str">
        <f>HYPERLINK("https://ibp.a2mac1.com/costing(costing:projects/details/8191/assembly/5383247)"," Shields")</f>
        <v xml:space="preserve"> Shields</v>
      </c>
      <c r="F1256" t="s">
        <v>1821</v>
      </c>
    </row>
    <row r="1257" spans="1:6" ht="12.75">
      <c r="A1257">
        <v>5383709</v>
      </c>
      <c r="B1257">
        <v>5383247</v>
      </c>
      <c r="C1257" t="s">
        <v>12</v>
      </c>
      <c r="D1257" t="s">
        <v>8</v>
      </c>
      <c r="E1257" s="2" t="str">
        <f>HYPERLINK("https://ibp.a2mac1.com/costing(costing:projects/details/8191/part/5383709)"," EMI Shield 1")</f>
        <v xml:space="preserve"> EMI Shield 1</v>
      </c>
      <c r="F1257" t="s">
        <v>1847</v>
      </c>
    </row>
    <row r="1258" spans="1:6" ht="12.75">
      <c r="A1258">
        <v>5383248</v>
      </c>
      <c r="B1258">
        <v>5382995</v>
      </c>
      <c r="C1258" t="s">
        <v>8</v>
      </c>
      <c r="D1258" t="s">
        <v>8</v>
      </c>
      <c r="E1258" s="2" t="str">
        <f>HYPERLINK("https://ibp.a2mac1.com/costing(costing:projects/details/8191/assembly/5383248)"," Thermal Paste/Gap Pad")</f>
        <v xml:space="preserve"> Thermal Paste/Gap Pad</v>
      </c>
      <c r="F1258" t="s">
        <v>1821</v>
      </c>
    </row>
    <row r="1259" spans="1:6" ht="12.75">
      <c r="A1259">
        <v>5383710</v>
      </c>
      <c r="B1259">
        <v>5383248</v>
      </c>
      <c r="C1259" t="s">
        <v>12</v>
      </c>
      <c r="D1259" t="s">
        <v>8</v>
      </c>
      <c r="E1259" s="2" t="str">
        <f>HYPERLINK("https://ibp.a2mac1.com/costing(costing:projects/details/8191/part/5383710)","Adhesive Pad 1")</f>
        <v>Adhesive Pad 1</v>
      </c>
      <c r="F1259" t="s">
        <v>1850</v>
      </c>
    </row>
    <row r="1260" spans="1:6" ht="12.75">
      <c r="A1260">
        <v>5383711</v>
      </c>
      <c r="B1260">
        <v>5383248</v>
      </c>
      <c r="C1260" t="s">
        <v>12</v>
      </c>
      <c r="D1260" t="s">
        <v>8</v>
      </c>
      <c r="E1260" s="2" t="str">
        <f>HYPERLINK("https://ibp.a2mac1.com/costing(costing:projects/details/8191/part/5383711)"," Thermal Paste/Gap Pad #2")</f>
        <v xml:space="preserve"> Thermal Paste/Gap Pad #2</v>
      </c>
      <c r="F1260" t="s">
        <v>1850</v>
      </c>
    </row>
    <row r="1261" spans="1:6" ht="12.75">
      <c r="A1261">
        <v>5383712</v>
      </c>
      <c r="B1261">
        <v>5383248</v>
      </c>
      <c r="C1261" t="s">
        <v>12</v>
      </c>
      <c r="D1261" t="s">
        <v>8</v>
      </c>
      <c r="E1261" s="2" t="str">
        <f>HYPERLINK("https://ibp.a2mac1.com/costing(costing:projects/details/8191/part/5383712)","Adhesive Pad 2")</f>
        <v>Adhesive Pad 2</v>
      </c>
      <c r="F1261" t="s">
        <v>1850</v>
      </c>
    </row>
    <row r="1262" spans="1:6" ht="12.75">
      <c r="A1262">
        <v>5383713</v>
      </c>
      <c r="B1262">
        <v>5383248</v>
      </c>
      <c r="C1262" t="s">
        <v>12</v>
      </c>
      <c r="D1262" t="s">
        <v>8</v>
      </c>
      <c r="E1262" s="2" t="str">
        <f>HYPERLINK("https://ibp.a2mac1.com/costing(costing:projects/details/8191/part/5383713)","Adhesive Pad 3")</f>
        <v>Adhesive Pad 3</v>
      </c>
      <c r="F1262" t="s">
        <v>1850</v>
      </c>
    </row>
    <row r="1263" spans="1:6" ht="12.75">
      <c r="A1263">
        <v>5383714</v>
      </c>
      <c r="B1263">
        <v>5383248</v>
      </c>
      <c r="C1263" t="s">
        <v>12</v>
      </c>
      <c r="D1263" t="s">
        <v>8</v>
      </c>
      <c r="E1263" s="2" t="str">
        <f>HYPERLINK("https://ibp.a2mac1.com/costing(costing:projects/details/8191/part/5383714)","Adhesive Pad 4")</f>
        <v>Adhesive Pad 4</v>
      </c>
      <c r="F1263" t="s">
        <v>1850</v>
      </c>
    </row>
    <row r="1264" spans="1:6" ht="12.75">
      <c r="A1264">
        <v>5383715</v>
      </c>
      <c r="B1264">
        <v>5383248</v>
      </c>
      <c r="C1264" t="s">
        <v>12</v>
      </c>
      <c r="D1264" t="s">
        <v>8</v>
      </c>
      <c r="E1264" s="2" t="str">
        <f>HYPERLINK("https://ibp.a2mac1.com/costing(costing:projects/details/8191/part/5383715)","Adhesive Pad 5")</f>
        <v>Adhesive Pad 5</v>
      </c>
      <c r="F1264" t="s">
        <v>1850</v>
      </c>
    </row>
    <row r="1265" spans="1:6" ht="12.75">
      <c r="A1265">
        <v>5383716</v>
      </c>
      <c r="B1265">
        <v>5383248</v>
      </c>
      <c r="C1265" t="s">
        <v>12</v>
      </c>
      <c r="D1265" t="s">
        <v>8</v>
      </c>
      <c r="E1265" s="2" t="str">
        <f>HYPERLINK("https://ibp.a2mac1.com/costing(costing:projects/details/8191/part/5383716)","Adhesive Pad 6")</f>
        <v>Adhesive Pad 6</v>
      </c>
      <c r="F1265" t="s">
        <v>1850</v>
      </c>
    </row>
    <row r="1266" spans="1:6" ht="12.75">
      <c r="A1266">
        <v>5383717</v>
      </c>
      <c r="B1266">
        <v>5383248</v>
      </c>
      <c r="C1266" t="s">
        <v>12</v>
      </c>
      <c r="D1266" t="s">
        <v>8</v>
      </c>
      <c r="E1266" s="2" t="str">
        <f>HYPERLINK("https://ibp.a2mac1.com/costing(costing:projects/details/8191/part/5383717)","Adhesive Pad 7")</f>
        <v>Adhesive Pad 7</v>
      </c>
      <c r="F1266" t="s">
        <v>1850</v>
      </c>
    </row>
    <row r="1267" spans="1:6" ht="12.75">
      <c r="A1267">
        <v>5383718</v>
      </c>
      <c r="B1267">
        <v>5383248</v>
      </c>
      <c r="C1267" t="s">
        <v>12</v>
      </c>
      <c r="D1267" t="s">
        <v>8</v>
      </c>
      <c r="E1267" s="2" t="str">
        <f>HYPERLINK("https://ibp.a2mac1.com/costing(costing:projects/details/8191/part/5383718)","Adhesive Pad 8")</f>
        <v>Adhesive Pad 8</v>
      </c>
      <c r="F1267" t="s">
        <v>1850</v>
      </c>
    </row>
    <row r="1268" spans="1:6" ht="12.75">
      <c r="A1268">
        <v>5383719</v>
      </c>
      <c r="B1268">
        <v>5383248</v>
      </c>
      <c r="C1268" t="s">
        <v>12</v>
      </c>
      <c r="D1268" t="s">
        <v>8</v>
      </c>
      <c r="E1268" s="2" t="str">
        <f>HYPERLINK("https://ibp.a2mac1.com/costing(costing:projects/details/8191/part/5383719)","Adhesive Pad 9")</f>
        <v>Adhesive Pad 9</v>
      </c>
      <c r="F1268" t="s">
        <v>1850</v>
      </c>
    </row>
    <row r="1269" spans="1:6" ht="12.75">
      <c r="A1269">
        <v>5383249</v>
      </c>
      <c r="B1269">
        <v>5382995</v>
      </c>
      <c r="C1269" t="s">
        <v>8</v>
      </c>
      <c r="D1269" t="s">
        <v>8</v>
      </c>
      <c r="E1269" s="2" t="str">
        <f>HYPERLINK("https://ibp.a2mac1.com/costing(costing:projects/details/8191/assembly/5383249)","Seals")</f>
        <v>Seals</v>
      </c>
      <c r="F1269" t="s">
        <v>1821</v>
      </c>
    </row>
    <row r="1270" spans="1:6" ht="12.75">
      <c r="A1270">
        <v>5383720</v>
      </c>
      <c r="B1270">
        <v>5383249</v>
      </c>
      <c r="C1270" t="s">
        <v>12</v>
      </c>
      <c r="D1270" t="s">
        <v>8</v>
      </c>
      <c r="E1270" s="2" t="str">
        <f>HYPERLINK("https://ibp.a2mac1.com/costing(costing:projects/details/8191/part/5383720)","Seal 1")</f>
        <v>Seal 1</v>
      </c>
      <c r="F1270" t="s">
        <v>1862</v>
      </c>
    </row>
    <row r="1271" spans="1:6" ht="12.75">
      <c r="A1271">
        <v>5383721</v>
      </c>
      <c r="B1271">
        <v>5383249</v>
      </c>
      <c r="C1271" t="s">
        <v>12</v>
      </c>
      <c r="D1271" t="s">
        <v>8</v>
      </c>
      <c r="E1271" s="2" t="str">
        <f>HYPERLINK("https://ibp.a2mac1.com/costing(costing:projects/details/8191/part/5383721)","Seal 2")</f>
        <v>Seal 2</v>
      </c>
      <c r="F1271" t="s">
        <v>1862</v>
      </c>
    </row>
    <row r="1272" spans="1:6" ht="12.75">
      <c r="A1272">
        <v>5383722</v>
      </c>
      <c r="B1272">
        <v>5383249</v>
      </c>
      <c r="C1272" t="s">
        <v>12</v>
      </c>
      <c r="D1272" t="s">
        <v>8</v>
      </c>
      <c r="E1272" s="2" t="str">
        <f>HYPERLINK("https://ibp.a2mac1.com/costing(costing:projects/details/8191/part/5383722)","Seal 3")</f>
        <v>Seal 3</v>
      </c>
      <c r="F1272" t="s">
        <v>1862</v>
      </c>
    </row>
    <row r="1273" spans="1:6" ht="12.75">
      <c r="A1273">
        <v>5383723</v>
      </c>
      <c r="B1273">
        <v>5383249</v>
      </c>
      <c r="C1273" t="s">
        <v>12</v>
      </c>
      <c r="D1273" t="s">
        <v>8</v>
      </c>
      <c r="E1273" s="2" t="str">
        <f>HYPERLINK("https://ibp.a2mac1.com/costing(costing:projects/details/8191/part/5383723)","Seal 4")</f>
        <v>Seal 4</v>
      </c>
      <c r="F1273" t="s">
        <v>1862</v>
      </c>
    </row>
    <row r="1274" spans="1:6" ht="12.75">
      <c r="A1274">
        <v>6971730</v>
      </c>
      <c r="B1274">
        <v>5382850</v>
      </c>
      <c r="C1274" t="s">
        <v>99</v>
      </c>
      <c r="D1274" t="s">
        <v>8</v>
      </c>
      <c r="E1274" s="2" t="str">
        <f>HYPERLINK("https://ibp.a2mac1.com/costing(costing:projects/details/8191/process/6971730)","Final Assembly")</f>
        <v>Final Assembly</v>
      </c>
      <c r="F1274" t="s">
        <v>1767</v>
      </c>
    </row>
    <row r="1275" spans="1:6" ht="12.75">
      <c r="A1275">
        <v>6944238</v>
      </c>
      <c r="B1275">
        <v>6971730</v>
      </c>
      <c r="C1275" t="s">
        <v>189</v>
      </c>
      <c r="D1275" t="s">
        <v>99</v>
      </c>
      <c r="E1275" s="2" t="str">
        <f>HYPERLINK("https://ibp.a2mac1.com/costing(costing:projects/details/8191/equipment/6944238)","Machine 6")</f>
        <v>Machine 6</v>
      </c>
      <c r="F1275" t="s">
        <v>1864</v>
      </c>
    </row>
    <row r="1276" spans="1:6" ht="12.75">
      <c r="A1276">
        <v>5382851</v>
      </c>
      <c r="B1276">
        <v>5382795</v>
      </c>
      <c r="C1276" t="s">
        <v>8</v>
      </c>
      <c r="D1276" t="s">
        <v>8</v>
      </c>
      <c r="E1276" s="2" t="str">
        <f>HYPERLINK("https://ibp.a2mac1.com/costing(costing:projects/details/8191/assembly/5382851)"," Front AC DC Inverter")</f>
        <v xml:space="preserve"> Front AC DC Inverter</v>
      </c>
      <c r="F1276" t="s">
        <v>1766</v>
      </c>
    </row>
    <row r="1277" spans="1:6" ht="12.75">
      <c r="A1277">
        <v>5382996</v>
      </c>
      <c r="B1277">
        <v>5382851</v>
      </c>
      <c r="C1277" t="s">
        <v>8</v>
      </c>
      <c r="D1277" t="s">
        <v>8</v>
      </c>
      <c r="E1277" s="2" t="str">
        <f>HYPERLINK("https://ibp.a2mac1.com/costing(costing:projects/details/8191/assembly/5382996)"," Connectors &amp; Wire Harnesses")</f>
        <v xml:space="preserve"> Connectors &amp; Wire Harnesses</v>
      </c>
      <c r="F1277" t="s">
        <v>1867</v>
      </c>
    </row>
    <row r="1278" spans="1:6" ht="12.75">
      <c r="A1278">
        <v>5383250</v>
      </c>
      <c r="B1278">
        <v>5382996</v>
      </c>
      <c r="C1278" t="s">
        <v>12</v>
      </c>
      <c r="D1278" t="s">
        <v>8</v>
      </c>
      <c r="E1278" s="2" t="str">
        <f>HYPERLINK("https://ibp.a2mac1.com/costing(costing:projects/details/8191/part/5383250)"," Busbar 1")</f>
        <v xml:space="preserve"> Busbar 1</v>
      </c>
      <c r="F1278" t="s">
        <v>1868</v>
      </c>
    </row>
    <row r="1279" spans="1:6" ht="12.75">
      <c r="A1279">
        <v>5383251</v>
      </c>
      <c r="B1279">
        <v>5382996</v>
      </c>
      <c r="C1279" t="s">
        <v>12</v>
      </c>
      <c r="D1279" t="s">
        <v>8</v>
      </c>
      <c r="E1279" s="2" t="str">
        <f>HYPERLINK("https://ibp.a2mac1.com/costing(costing:projects/details/8191/part/5383251)"," Busbar 2")</f>
        <v xml:space="preserve"> Busbar 2</v>
      </c>
      <c r="F1279" t="s">
        <v>1868</v>
      </c>
    </row>
    <row r="1280" spans="1:6" ht="12.75">
      <c r="A1280">
        <v>5383252</v>
      </c>
      <c r="B1280">
        <v>5382996</v>
      </c>
      <c r="C1280" t="s">
        <v>12</v>
      </c>
      <c r="D1280" t="s">
        <v>8</v>
      </c>
      <c r="E1280" s="2" t="str">
        <f>HYPERLINK("https://ibp.a2mac1.com/costing(costing:projects/details/8191/part/5383252)"," HV Connector")</f>
        <v xml:space="preserve"> HV Connector</v>
      </c>
      <c r="F1280" t="s">
        <v>1868</v>
      </c>
    </row>
    <row r="1281" spans="1:6" ht="12.75">
      <c r="A1281">
        <v>5383253</v>
      </c>
      <c r="B1281">
        <v>5382996</v>
      </c>
      <c r="C1281" t="s">
        <v>12</v>
      </c>
      <c r="D1281" t="s">
        <v>8</v>
      </c>
      <c r="E1281" s="2" t="str">
        <f>HYPERLINK("https://ibp.a2mac1.com/costing(costing:projects/details/8191/part/5383253)"," Connector Housing ")</f>
        <v xml:space="preserve"> Connector Housing </v>
      </c>
      <c r="F1281" t="s">
        <v>1868</v>
      </c>
    </row>
    <row r="1282" spans="1:6" ht="12.75">
      <c r="A1282">
        <v>5383254</v>
      </c>
      <c r="B1282">
        <v>5382996</v>
      </c>
      <c r="C1282" t="s">
        <v>12</v>
      </c>
      <c r="D1282" t="s">
        <v>8</v>
      </c>
      <c r="E1282" s="2" t="str">
        <f>HYPERLINK("https://ibp.a2mac1.com/costing(costing:projects/details/8191/part/5383254)"," Wire Harness ")</f>
        <v xml:space="preserve"> Wire Harness </v>
      </c>
      <c r="F1282" t="s">
        <v>1868</v>
      </c>
    </row>
    <row r="1283" spans="1:6" ht="12.75">
      <c r="A1283">
        <v>5383255</v>
      </c>
      <c r="B1283">
        <v>5382996</v>
      </c>
      <c r="C1283" t="s">
        <v>12</v>
      </c>
      <c r="D1283" t="s">
        <v>8</v>
      </c>
      <c r="E1283" s="2" t="str">
        <f>HYPERLINK("https://ibp.a2mac1.com/costing(costing:projects/details/8191/part/5383255)"," Busbar Assembly 1")</f>
        <v xml:space="preserve"> Busbar Assembly 1</v>
      </c>
      <c r="F1283" t="s">
        <v>1868</v>
      </c>
    </row>
    <row r="1284" spans="1:6" ht="12.75">
      <c r="A1284">
        <v>6971944</v>
      </c>
      <c r="B1284">
        <v>5383255</v>
      </c>
      <c r="C1284" t="s">
        <v>99</v>
      </c>
      <c r="D1284" t="s">
        <v>12</v>
      </c>
      <c r="E1284" s="2" t="str">
        <f>HYPERLINK("https://ibp.a2mac1.com/costing(costing:projects/details/8191/process/6971944)","Process")</f>
        <v>Process</v>
      </c>
      <c r="F1284" t="s">
        <v>1874</v>
      </c>
    </row>
    <row r="1285" spans="1:6" ht="12.75">
      <c r="A1285">
        <v>5316732</v>
      </c>
      <c r="B1285">
        <v>6971944</v>
      </c>
      <c r="C1285" t="s">
        <v>24</v>
      </c>
      <c r="D1285" t="s">
        <v>99</v>
      </c>
      <c r="E1285" s="2" t="str">
        <f>HYPERLINK("https://ibp.a2mac1.com/costing(costing:projects/details/8191/material/5316732)","Copper Sheet")</f>
        <v>Copper Sheet</v>
      </c>
      <c r="F1285" t="s">
        <v>1877</v>
      </c>
    </row>
    <row r="1286" spans="1:6" ht="12.75">
      <c r="A1286">
        <v>5316733</v>
      </c>
      <c r="B1286">
        <v>6971944</v>
      </c>
      <c r="C1286" t="s">
        <v>24</v>
      </c>
      <c r="D1286" t="s">
        <v>99</v>
      </c>
      <c r="E1286" s="2" t="str">
        <f>HYPERLINK("https://ibp.a2mac1.com/costing(costing:projects/details/8191/material/5316733)","PA66-GF30")</f>
        <v>PA66-GF30</v>
      </c>
      <c r="F1286" t="s">
        <v>1877</v>
      </c>
    </row>
    <row r="1287" spans="1:6" ht="12.75">
      <c r="A1287">
        <v>6944458</v>
      </c>
      <c r="B1287">
        <v>6971944</v>
      </c>
      <c r="C1287" t="s">
        <v>189</v>
      </c>
      <c r="D1287" t="s">
        <v>99</v>
      </c>
      <c r="E1287" s="2" t="str">
        <f>HYPERLINK("https://ibp.a2mac1.com/costing(costing:projects/details/8191/equipment/6944458)","Machine")</f>
        <v>Machine</v>
      </c>
      <c r="F1287" t="s">
        <v>1877</v>
      </c>
    </row>
    <row r="1288" spans="1:6" ht="12.75">
      <c r="A1288">
        <v>5383256</v>
      </c>
      <c r="B1288">
        <v>5382996</v>
      </c>
      <c r="C1288" t="s">
        <v>12</v>
      </c>
      <c r="D1288" t="s">
        <v>8</v>
      </c>
      <c r="E1288" s="2" t="str">
        <f>HYPERLINK("https://ibp.a2mac1.com/costing(costing:projects/details/8191/part/5383256)"," Busbar Assembly 2")</f>
        <v xml:space="preserve"> Busbar Assembly 2</v>
      </c>
      <c r="F1288" t="s">
        <v>1868</v>
      </c>
    </row>
    <row r="1289" spans="1:6" ht="12.75">
      <c r="A1289">
        <v>6971945</v>
      </c>
      <c r="B1289">
        <v>5383256</v>
      </c>
      <c r="C1289" t="s">
        <v>99</v>
      </c>
      <c r="D1289" t="s">
        <v>12</v>
      </c>
      <c r="E1289" s="2" t="str">
        <f>HYPERLINK("https://ibp.a2mac1.com/costing(costing:projects/details/8191/process/6971945)","Process")</f>
        <v>Process</v>
      </c>
      <c r="F1289" t="s">
        <v>1881</v>
      </c>
    </row>
    <row r="1290" spans="1:6" ht="12.75">
      <c r="A1290">
        <v>5316734</v>
      </c>
      <c r="B1290">
        <v>6971945</v>
      </c>
      <c r="C1290" t="s">
        <v>24</v>
      </c>
      <c r="D1290" t="s">
        <v>99</v>
      </c>
      <c r="E1290" s="2" t="str">
        <f>HYPERLINK("https://ibp.a2mac1.com/costing(costing:projects/details/8191/material/5316734)","Copper Sheet")</f>
        <v>Copper Sheet</v>
      </c>
      <c r="F1290" t="s">
        <v>1884</v>
      </c>
    </row>
    <row r="1291" spans="1:6" ht="12.75">
      <c r="A1291">
        <v>5316735</v>
      </c>
      <c r="B1291">
        <v>6971945</v>
      </c>
      <c r="C1291" t="s">
        <v>24</v>
      </c>
      <c r="D1291" t="s">
        <v>99</v>
      </c>
      <c r="E1291" s="2" t="str">
        <f>HYPERLINK("https://ibp.a2mac1.com/costing(costing:projects/details/8191/material/5316735)","PP ")</f>
        <v xml:space="preserve">PP </v>
      </c>
      <c r="F1291" t="s">
        <v>1884</v>
      </c>
    </row>
    <row r="1292" spans="1:6" ht="12.75">
      <c r="A1292">
        <v>6944459</v>
      </c>
      <c r="B1292">
        <v>6971945</v>
      </c>
      <c r="C1292" t="s">
        <v>189</v>
      </c>
      <c r="D1292" t="s">
        <v>99</v>
      </c>
      <c r="E1292" s="2" t="str">
        <f>HYPERLINK("https://ibp.a2mac1.com/costing(costing:projects/details/8191/equipment/6944459)","Machine")</f>
        <v>Machine</v>
      </c>
      <c r="F1292" t="s">
        <v>1884</v>
      </c>
    </row>
    <row r="1293" spans="1:6" ht="12.75">
      <c r="A1293">
        <v>5382997</v>
      </c>
      <c r="B1293">
        <v>5382851</v>
      </c>
      <c r="C1293" t="s">
        <v>8</v>
      </c>
      <c r="D1293" t="s">
        <v>8</v>
      </c>
      <c r="E1293" s="2" t="str">
        <f>HYPERLINK("https://ibp.a2mac1.com/costing(costing:projects/details/8191/assembly/5382997)"," Electrical &amp; Electronics Parts")</f>
        <v xml:space="preserve"> Electrical &amp; Electronics Parts</v>
      </c>
      <c r="F1293" t="s">
        <v>1867</v>
      </c>
    </row>
    <row r="1294" spans="1:6" ht="12.75">
      <c r="A1294">
        <v>5383257</v>
      </c>
      <c r="B1294">
        <v>5382997</v>
      </c>
      <c r="C1294" t="s">
        <v>12</v>
      </c>
      <c r="D1294" t="s">
        <v>8</v>
      </c>
      <c r="E1294" s="2" t="str">
        <f>HYPERLINK("https://ibp.a2mac1.com/costing(costing:projects/details/8191/part/5383257)"," Capacitor Assembly 1")</f>
        <v xml:space="preserve"> Capacitor Assembly 1</v>
      </c>
      <c r="F1294" t="s">
        <v>1889</v>
      </c>
    </row>
    <row r="1295" spans="1:6" ht="12.75">
      <c r="A1295">
        <v>5383258</v>
      </c>
      <c r="B1295">
        <v>5382997</v>
      </c>
      <c r="C1295" t="s">
        <v>12</v>
      </c>
      <c r="D1295" t="s">
        <v>8</v>
      </c>
      <c r="E1295" s="2" t="str">
        <f>HYPERLINK("https://ibp.a2mac1.com/costing(costing:projects/details/8191/part/5383258)"," Ferrite 1")</f>
        <v xml:space="preserve"> Ferrite 1</v>
      </c>
      <c r="F1295" t="s">
        <v>1889</v>
      </c>
    </row>
    <row r="1296" spans="1:6" ht="12.75">
      <c r="A1296">
        <v>5383259</v>
      </c>
      <c r="B1296">
        <v>5382997</v>
      </c>
      <c r="C1296" t="s">
        <v>12</v>
      </c>
      <c r="D1296" t="s">
        <v>8</v>
      </c>
      <c r="E1296" s="2" t="str">
        <f>HYPERLINK("https://ibp.a2mac1.com/costing(costing:projects/details/8191/part/5383259)"," Ferrite 2")</f>
        <v xml:space="preserve"> Ferrite 2</v>
      </c>
      <c r="F1296" t="s">
        <v>1889</v>
      </c>
    </row>
    <row r="1297" spans="1:6" ht="12.75">
      <c r="A1297">
        <v>5383260</v>
      </c>
      <c r="B1297">
        <v>5382997</v>
      </c>
      <c r="C1297" t="s">
        <v>12</v>
      </c>
      <c r="D1297" t="s">
        <v>8</v>
      </c>
      <c r="E1297" s="2" t="str">
        <f>HYPERLINK("https://ibp.a2mac1.com/costing(costing:projects/details/8191/part/5383260)"," Power Module 1")</f>
        <v xml:space="preserve"> Power Module 1</v>
      </c>
      <c r="F1297" t="s">
        <v>1889</v>
      </c>
    </row>
    <row r="1298" spans="1:6" ht="12.75">
      <c r="A1298">
        <v>5383261</v>
      </c>
      <c r="B1298">
        <v>5382997</v>
      </c>
      <c r="C1298" t="s">
        <v>12</v>
      </c>
      <c r="D1298" t="s">
        <v>8</v>
      </c>
      <c r="E1298" s="2" t="str">
        <f>HYPERLINK("https://ibp.a2mac1.com/costing(costing:projects/details/8191/part/5383261)"," Current Sensor 1")</f>
        <v xml:space="preserve"> Current Sensor 1</v>
      </c>
      <c r="F1298" t="s">
        <v>1889</v>
      </c>
    </row>
    <row r="1299" spans="1:6" ht="12.75">
      <c r="A1299">
        <v>5383262</v>
      </c>
      <c r="B1299">
        <v>5382997</v>
      </c>
      <c r="C1299" t="s">
        <v>12</v>
      </c>
      <c r="D1299" t="s">
        <v>8</v>
      </c>
      <c r="E1299" s="2" t="str">
        <f>HYPERLINK("https://ibp.a2mac1.com/costing(costing:projects/details/8191/part/5383262)"," Filter PCB")</f>
        <v xml:space="preserve"> Filter PCB</v>
      </c>
      <c r="F1299" t="s">
        <v>1889</v>
      </c>
    </row>
    <row r="1300" spans="1:6" ht="12.75">
      <c r="A1300">
        <v>5383263</v>
      </c>
      <c r="B1300">
        <v>5382997</v>
      </c>
      <c r="C1300" t="s">
        <v>12</v>
      </c>
      <c r="D1300" t="s">
        <v>8</v>
      </c>
      <c r="E1300" s="2" t="str">
        <f>HYPERLINK("https://ibp.a2mac1.com/costing(costing:projects/details/8191/part/5383263)","Control PCBA")</f>
        <v>Control PCBA</v>
      </c>
      <c r="F1300" t="s">
        <v>1889</v>
      </c>
    </row>
    <row r="1301" spans="1:6" ht="12.75">
      <c r="A1301">
        <v>5383354</v>
      </c>
      <c r="B1301">
        <v>5382997</v>
      </c>
      <c r="C1301" t="s">
        <v>12</v>
      </c>
      <c r="D1301" t="s">
        <v>8</v>
      </c>
      <c r="E1301" s="2" t="str">
        <f>HYPERLINK("https://ibp.a2mac1.com/costing(costing:projects/details/8191/part/5383354)","Gate Driver PCBA")</f>
        <v>Gate Driver PCBA</v>
      </c>
      <c r="F1301" t="s">
        <v>1889</v>
      </c>
    </row>
    <row r="1302" spans="1:6" ht="12.75">
      <c r="A1302">
        <v>5382998</v>
      </c>
      <c r="B1302">
        <v>5382851</v>
      </c>
      <c r="C1302" t="s">
        <v>8</v>
      </c>
      <c r="D1302" t="s">
        <v>8</v>
      </c>
      <c r="E1302" s="2" t="str">
        <f>HYPERLINK("https://ibp.a2mac1.com/costing(costing:projects/details/8191/assembly/5382998)"," Mechanical Parts")</f>
        <v xml:space="preserve"> Mechanical Parts</v>
      </c>
      <c r="F1302" t="s">
        <v>1867</v>
      </c>
    </row>
    <row r="1303" spans="1:6" ht="12.75">
      <c r="A1303">
        <v>5383356</v>
      </c>
      <c r="B1303">
        <v>5382998</v>
      </c>
      <c r="C1303" t="s">
        <v>12</v>
      </c>
      <c r="D1303" t="s">
        <v>8</v>
      </c>
      <c r="E1303" s="2" t="str">
        <f>HYPERLINK("https://ibp.a2mac1.com/costing(costing:projects/details/8191/part/5383356)"," Busbar Cover 1")</f>
        <v xml:space="preserve"> Busbar Cover 1</v>
      </c>
      <c r="F1303" t="s">
        <v>1899</v>
      </c>
    </row>
    <row r="1304" spans="1:6" ht="12.75">
      <c r="A1304">
        <v>5383358</v>
      </c>
      <c r="B1304">
        <v>5382998</v>
      </c>
      <c r="C1304" t="s">
        <v>12</v>
      </c>
      <c r="D1304" t="s">
        <v>8</v>
      </c>
      <c r="E1304" s="2" t="str">
        <f>HYPERLINK("https://ibp.a2mac1.com/costing(costing:projects/details/8191/part/5383358)"," Filter PCB Protection")</f>
        <v xml:space="preserve"> Filter PCB Protection</v>
      </c>
      <c r="F1304" t="s">
        <v>1899</v>
      </c>
    </row>
    <row r="1305" spans="1:6" ht="12.75">
      <c r="A1305">
        <v>5383360</v>
      </c>
      <c r="B1305">
        <v>5382998</v>
      </c>
      <c r="C1305" t="s">
        <v>12</v>
      </c>
      <c r="D1305" t="s">
        <v>8</v>
      </c>
      <c r="E1305" s="2" t="str">
        <f>HYPERLINK("https://ibp.a2mac1.com/costing(costing:projects/details/8191/part/5383360)"," Pressure Vent 1")</f>
        <v xml:space="preserve"> Pressure Vent 1</v>
      </c>
      <c r="F1305" t="s">
        <v>1899</v>
      </c>
    </row>
    <row r="1306" spans="1:6" ht="12.75">
      <c r="A1306">
        <v>5383361</v>
      </c>
      <c r="B1306">
        <v>5382998</v>
      </c>
      <c r="C1306" t="s">
        <v>12</v>
      </c>
      <c r="D1306" t="s">
        <v>8</v>
      </c>
      <c r="E1306" s="2" t="str">
        <f>HYPERLINK("https://ibp.a2mac1.com/costing(costing:projects/details/8191/part/5383361)"," Thermal Paste/Gap Pad #1")</f>
        <v xml:space="preserve"> Thermal Paste/Gap Pad #1</v>
      </c>
      <c r="F1306" t="s">
        <v>1899</v>
      </c>
    </row>
    <row r="1307" spans="1:6" ht="12.75">
      <c r="A1307">
        <v>5383362</v>
      </c>
      <c r="B1307">
        <v>5382998</v>
      </c>
      <c r="C1307" t="s">
        <v>12</v>
      </c>
      <c r="D1307" t="s">
        <v>8</v>
      </c>
      <c r="E1307" s="2" t="str">
        <f>HYPERLINK("https://ibp.a2mac1.com/costing(costing:projects/details/8191/part/5383362)"," Main Housing")</f>
        <v xml:space="preserve"> Main Housing</v>
      </c>
      <c r="F1307" t="s">
        <v>1899</v>
      </c>
    </row>
    <row r="1308" spans="1:6" ht="12.75">
      <c r="A1308">
        <v>6971946</v>
      </c>
      <c r="B1308">
        <v>5383362</v>
      </c>
      <c r="C1308" t="s">
        <v>99</v>
      </c>
      <c r="D1308" t="s">
        <v>12</v>
      </c>
      <c r="E1308" s="2" t="str">
        <f>HYPERLINK("https://ibp.a2mac1.com/costing(costing:projects/details/8191/process/6971946)","Process")</f>
        <v>Process</v>
      </c>
      <c r="F1308" t="s">
        <v>1904</v>
      </c>
    </row>
    <row r="1309" spans="1:6" ht="12.75">
      <c r="A1309">
        <v>5316736</v>
      </c>
      <c r="B1309">
        <v>6971946</v>
      </c>
      <c r="C1309" t="s">
        <v>24</v>
      </c>
      <c r="D1309" t="s">
        <v>99</v>
      </c>
      <c r="E1309" s="2" t="str">
        <f>HYPERLINK("https://ibp.a2mac1.com/costing(costing:projects/details/8191/material/5316736)","Aluminum for casting (default, e.g. A380/ADC10/EN-AC46500)")</f>
        <v>Aluminum for casting (default, e.g. A380/ADC10/EN-AC46500)</v>
      </c>
      <c r="F1309" t="s">
        <v>1907</v>
      </c>
    </row>
    <row r="1310" spans="1:6" ht="12.75">
      <c r="A1310">
        <v>6944460</v>
      </c>
      <c r="B1310">
        <v>6971946</v>
      </c>
      <c r="C1310" t="s">
        <v>189</v>
      </c>
      <c r="D1310" t="s">
        <v>99</v>
      </c>
      <c r="E1310" s="2" t="str">
        <f>HYPERLINK("https://ibp.a2mac1.com/costing(costing:projects/details/8191/equipment/6944460)","Machine")</f>
        <v>Machine</v>
      </c>
      <c r="F1310" t="s">
        <v>1907</v>
      </c>
    </row>
    <row r="1311" spans="1:6" ht="12.75">
      <c r="A1311">
        <v>5383363</v>
      </c>
      <c r="B1311">
        <v>5382998</v>
      </c>
      <c r="C1311" t="s">
        <v>12</v>
      </c>
      <c r="D1311" t="s">
        <v>8</v>
      </c>
      <c r="E1311" s="2" t="str">
        <f>HYPERLINK("https://ibp.a2mac1.com/costing(costing:projects/details/8191/part/5383363)"," Top Lid")</f>
        <v xml:space="preserve"> Top Lid</v>
      </c>
      <c r="F1311" t="s">
        <v>1899</v>
      </c>
    </row>
    <row r="1312" spans="1:6" ht="12.75">
      <c r="A1312">
        <v>6971947</v>
      </c>
      <c r="B1312">
        <v>5383363</v>
      </c>
      <c r="C1312" t="s">
        <v>99</v>
      </c>
      <c r="D1312" t="s">
        <v>12</v>
      </c>
      <c r="E1312" s="2" t="str">
        <f>HYPERLINK("https://ibp.a2mac1.com/costing(costing:projects/details/8191/process/6971947)","Process")</f>
        <v>Process</v>
      </c>
      <c r="F1312" t="s">
        <v>1909</v>
      </c>
    </row>
    <row r="1313" spans="1:6" ht="12.75">
      <c r="A1313">
        <v>5316737</v>
      </c>
      <c r="B1313">
        <v>6971947</v>
      </c>
      <c r="C1313" t="s">
        <v>24</v>
      </c>
      <c r="D1313" t="s">
        <v>99</v>
      </c>
      <c r="E1313" s="2" t="str">
        <f>HYPERLINK("https://ibp.a2mac1.com/costing(costing:projects/details/8191/material/5316737)","Aluminum for casting (default, e.g. A380/ADC10/EN-AC46500)")</f>
        <v>Aluminum for casting (default, e.g. A380/ADC10/EN-AC46500)</v>
      </c>
      <c r="F1313" t="s">
        <v>1912</v>
      </c>
    </row>
    <row r="1314" spans="1:6" ht="12.75">
      <c r="A1314">
        <v>6944461</v>
      </c>
      <c r="B1314">
        <v>6971947</v>
      </c>
      <c r="C1314" t="s">
        <v>189</v>
      </c>
      <c r="D1314" t="s">
        <v>99</v>
      </c>
      <c r="E1314" s="2" t="str">
        <f>HYPERLINK("https://ibp.a2mac1.com/costing(costing:projects/details/8191/equipment/6944461)","Machine")</f>
        <v>Machine</v>
      </c>
      <c r="F1314" t="s">
        <v>1912</v>
      </c>
    </row>
    <row r="1315" spans="1:6" ht="12.75">
      <c r="A1315">
        <v>5383364</v>
      </c>
      <c r="B1315">
        <v>5382998</v>
      </c>
      <c r="C1315" t="s">
        <v>12</v>
      </c>
      <c r="D1315" t="s">
        <v>8</v>
      </c>
      <c r="E1315" s="2" t="str">
        <f>HYPERLINK("https://ibp.a2mac1.com/costing(costing:projects/details/8191/part/5383364)"," EMI Shield 1")</f>
        <v xml:space="preserve"> EMI Shield 1</v>
      </c>
      <c r="F1315" t="s">
        <v>1899</v>
      </c>
    </row>
    <row r="1316" spans="1:6" ht="12.75">
      <c r="A1316">
        <v>6971948</v>
      </c>
      <c r="B1316">
        <v>5383364</v>
      </c>
      <c r="C1316" t="s">
        <v>99</v>
      </c>
      <c r="D1316" t="s">
        <v>12</v>
      </c>
      <c r="E1316" s="2" t="str">
        <f>HYPERLINK("https://ibp.a2mac1.com/costing(costing:projects/details/8191/process/6971948)","Process")</f>
        <v>Process</v>
      </c>
      <c r="F1316" t="s">
        <v>1914</v>
      </c>
    </row>
    <row r="1317" spans="1:6" ht="12.75">
      <c r="A1317">
        <v>5316738</v>
      </c>
      <c r="B1317">
        <v>6971948</v>
      </c>
      <c r="C1317" t="s">
        <v>24</v>
      </c>
      <c r="D1317" t="s">
        <v>99</v>
      </c>
      <c r="E1317" s="2" t="str">
        <f>HYPERLINK("https://ibp.a2mac1.com/costing(costing:projects/details/8191/material/5316738)","Aluminum for casting (default, e.g. A380/ADC10/EN-AC46500)")</f>
        <v>Aluminum for casting (default, e.g. A380/ADC10/EN-AC46500)</v>
      </c>
      <c r="F1317" t="s">
        <v>1916</v>
      </c>
    </row>
    <row r="1318" spans="1:6" ht="12.75">
      <c r="A1318">
        <v>6944462</v>
      </c>
      <c r="B1318">
        <v>6971948</v>
      </c>
      <c r="C1318" t="s">
        <v>189</v>
      </c>
      <c r="D1318" t="s">
        <v>99</v>
      </c>
      <c r="E1318" s="2" t="str">
        <f>HYPERLINK("https://ibp.a2mac1.com/costing(costing:projects/details/8191/equipment/6944462)","Machine")</f>
        <v>Machine</v>
      </c>
      <c r="F1318" t="s">
        <v>1916</v>
      </c>
    </row>
    <row r="1319" spans="1:6" ht="12.75">
      <c r="A1319">
        <v>6971731</v>
      </c>
      <c r="B1319">
        <v>5382851</v>
      </c>
      <c r="C1319" t="s">
        <v>99</v>
      </c>
      <c r="D1319" t="s">
        <v>8</v>
      </c>
      <c r="E1319" s="2" t="str">
        <f>HYPERLINK("https://ibp.a2mac1.com/costing(costing:projects/details/8191/process/6971731)","Final Assembly")</f>
        <v>Final Assembly</v>
      </c>
      <c r="F1319" t="s">
        <v>1867</v>
      </c>
    </row>
    <row r="1320" spans="1:6" ht="12.75">
      <c r="A1320">
        <v>6944239</v>
      </c>
      <c r="B1320">
        <v>6971731</v>
      </c>
      <c r="C1320" t="s">
        <v>189</v>
      </c>
      <c r="D1320" t="s">
        <v>99</v>
      </c>
      <c r="E1320" s="2" t="str">
        <f>HYPERLINK("https://ibp.a2mac1.com/costing(costing:projects/details/8191/equipment/6944239)","Machine")</f>
        <v>Machine</v>
      </c>
      <c r="F1320" t="s">
        <v>1919</v>
      </c>
    </row>
    <row r="1321" spans="1:6" ht="12.75">
      <c r="A1321">
        <v>5382796</v>
      </c>
      <c r="B1321">
        <v>5382793</v>
      </c>
      <c r="C1321" t="s">
        <v>8</v>
      </c>
      <c r="D1321" t="s">
        <v>8</v>
      </c>
      <c r="E1321" s="2" t="str">
        <f>HYPERLINK("https://ibp.a2mac1.com/costing(costing:projects/details/8191/assembly/5382796)","e-Motor System")</f>
        <v>e-Motor System</v>
      </c>
      <c r="F1321" t="s">
        <v>1765</v>
      </c>
    </row>
    <row r="1322" spans="1:6" ht="12.75">
      <c r="A1322">
        <v>5382852</v>
      </c>
      <c r="B1322">
        <v>5382796</v>
      </c>
      <c r="C1322" t="s">
        <v>8</v>
      </c>
      <c r="D1322" t="s">
        <v>8</v>
      </c>
      <c r="E1322" s="2" t="str">
        <f>HYPERLINK("https://ibp.a2mac1.com/costing(costing:projects/details/8191/assembly/5382852)","Front Motor")</f>
        <v>Front Motor</v>
      </c>
      <c r="F1322" t="s">
        <v>1922</v>
      </c>
    </row>
    <row r="1323" spans="1:6" ht="12.75">
      <c r="A1323">
        <v>5383015</v>
      </c>
      <c r="B1323">
        <v>5382852</v>
      </c>
      <c r="C1323" t="s">
        <v>8</v>
      </c>
      <c r="D1323" t="s">
        <v>8</v>
      </c>
      <c r="E1323" s="2" t="str">
        <f>HYPERLINK("https://ibp.a2mac1.com/costing(costing:projects/details/8191/assembly/5383015)","Stator")</f>
        <v>Stator</v>
      </c>
      <c r="F1323" t="s">
        <v>1923</v>
      </c>
    </row>
    <row r="1324" spans="1:6" ht="12.75">
      <c r="A1324">
        <v>5383365</v>
      </c>
      <c r="B1324">
        <v>5383015</v>
      </c>
      <c r="C1324" t="s">
        <v>12</v>
      </c>
      <c r="D1324" t="s">
        <v>8</v>
      </c>
      <c r="E1324" s="2" t="str">
        <f>HYPERLINK("https://ibp.a2mac1.com/costing(costing:projects/details/8191/part/5383365)","Lamination stack")</f>
        <v>Lamination stack</v>
      </c>
      <c r="F1324" t="s">
        <v>1924</v>
      </c>
    </row>
    <row r="1325" spans="1:6" ht="12.75">
      <c r="A1325">
        <v>6971949</v>
      </c>
      <c r="B1325">
        <v>5383365</v>
      </c>
      <c r="C1325" t="s">
        <v>99</v>
      </c>
      <c r="D1325" t="s">
        <v>12</v>
      </c>
      <c r="E1325" s="2" t="str">
        <f>HYPERLINK("https://ibp.a2mac1.com/costing(costing:projects/details/8191/process/6971949)","Process")</f>
        <v>Process</v>
      </c>
      <c r="F1325" t="s">
        <v>1925</v>
      </c>
    </row>
    <row r="1326" spans="1:6" ht="12.75">
      <c r="A1326">
        <v>5316739</v>
      </c>
      <c r="B1326">
        <v>6971949</v>
      </c>
      <c r="C1326" t="s">
        <v>24</v>
      </c>
      <c r="D1326" t="s">
        <v>99</v>
      </c>
      <c r="E1326" s="2" t="str">
        <f>HYPERLINK("https://ibp.a2mac1.com/costing(costing:projects/details/8191/material/5316739)","NO-25 (Sheet/Coil)")</f>
        <v>NO-25 (Sheet/Coil)</v>
      </c>
      <c r="F1326" t="s">
        <v>1928</v>
      </c>
    </row>
    <row r="1327" spans="1:6" ht="12.75">
      <c r="A1327">
        <v>6944463</v>
      </c>
      <c r="B1327">
        <v>6971949</v>
      </c>
      <c r="C1327" t="s">
        <v>189</v>
      </c>
      <c r="D1327" t="s">
        <v>99</v>
      </c>
      <c r="E1327" s="2" t="str">
        <f>HYPERLINK("https://ibp.a2mac1.com/costing(costing:projects/details/8191/equipment/6944463)","Machine")</f>
        <v>Machine</v>
      </c>
      <c r="F1327" t="s">
        <v>1928</v>
      </c>
    </row>
    <row r="1328" spans="1:6" ht="12.75">
      <c r="A1328">
        <v>5383366</v>
      </c>
      <c r="B1328">
        <v>5383015</v>
      </c>
      <c r="C1328" t="s">
        <v>12</v>
      </c>
      <c r="D1328" t="s">
        <v>8</v>
      </c>
      <c r="E1328" s="2" t="str">
        <f>HYPERLINK("https://ibp.a2mac1.com/costing(costing:projects/details/8191/part/5383366)","Wire winding")</f>
        <v>Wire winding</v>
      </c>
      <c r="F1328" t="s">
        <v>1924</v>
      </c>
    </row>
    <row r="1329" spans="1:6" ht="12.75">
      <c r="A1329">
        <v>5383367</v>
      </c>
      <c r="B1329">
        <v>5383015</v>
      </c>
      <c r="C1329" t="s">
        <v>12</v>
      </c>
      <c r="D1329" t="s">
        <v>8</v>
      </c>
      <c r="E1329" s="2" t="str">
        <f>HYPERLINK("https://ibp.a2mac1.com/costing(costing:projects/details/8191/part/5383367)","Slot insulation")</f>
        <v>Slot insulation</v>
      </c>
      <c r="F1329" t="s">
        <v>1924</v>
      </c>
    </row>
    <row r="1330" spans="1:6" ht="12.75">
      <c r="A1330">
        <v>5383368</v>
      </c>
      <c r="B1330">
        <v>5383015</v>
      </c>
      <c r="C1330" t="s">
        <v>12</v>
      </c>
      <c r="D1330" t="s">
        <v>8</v>
      </c>
      <c r="E1330" s="2" t="str">
        <f>HYPERLINK("https://ibp.a2mac1.com/costing(costing:projects/details/8191/part/5383368)","Sleeves on the winding end")</f>
        <v>Sleeves on the winding end</v>
      </c>
      <c r="F1330" t="s">
        <v>1924</v>
      </c>
    </row>
    <row r="1331" spans="1:6" ht="12.75">
      <c r="A1331">
        <v>5383369</v>
      </c>
      <c r="B1331">
        <v>5383015</v>
      </c>
      <c r="C1331" t="s">
        <v>12</v>
      </c>
      <c r="D1331" t="s">
        <v>8</v>
      </c>
      <c r="E1331" s="2" t="str">
        <f>HYPERLINK("https://ibp.a2mac1.com/costing(costing:projects/details/8191/part/5383369)","Copper lugs")</f>
        <v>Copper lugs</v>
      </c>
      <c r="F1331" t="s">
        <v>1924</v>
      </c>
    </row>
    <row r="1332" spans="1:6" ht="12.75">
      <c r="A1332">
        <v>5383370</v>
      </c>
      <c r="B1332">
        <v>5383015</v>
      </c>
      <c r="C1332" t="s">
        <v>12</v>
      </c>
      <c r="D1332" t="s">
        <v>8</v>
      </c>
      <c r="E1332" s="2" t="str">
        <f>HYPERLINK("https://ibp.a2mac1.com/costing(costing:projects/details/8191/part/5383370)","Winding stich")</f>
        <v>Winding stich</v>
      </c>
      <c r="F1332" t="s">
        <v>1924</v>
      </c>
    </row>
    <row r="1333" spans="1:6" ht="12.75">
      <c r="A1333">
        <v>6971879</v>
      </c>
      <c r="B1333">
        <v>5383015</v>
      </c>
      <c r="C1333" t="s">
        <v>99</v>
      </c>
      <c r="D1333" t="s">
        <v>8</v>
      </c>
      <c r="E1333" s="2" t="str">
        <f>HYPERLINK("https://ibp.a2mac1.com/costing(costing:projects/details/8191/process/6971879)","Stator assembly")</f>
        <v>Stator assembly</v>
      </c>
      <c r="F1333" t="s">
        <v>1924</v>
      </c>
    </row>
    <row r="1334" spans="1:6" ht="12.75">
      <c r="A1334">
        <v>6944303</v>
      </c>
      <c r="B1334">
        <v>6971879</v>
      </c>
      <c r="C1334" t="s">
        <v>189</v>
      </c>
      <c r="D1334" t="s">
        <v>99</v>
      </c>
      <c r="E1334" s="2" t="str">
        <f>HYPERLINK("https://ibp.a2mac1.com/costing(costing:projects/details/8191/equipment/6944303)","Machine")</f>
        <v>Machine</v>
      </c>
      <c r="F1334" t="s">
        <v>1935</v>
      </c>
    </row>
    <row r="1335" spans="1:6" ht="12.75">
      <c r="A1335">
        <v>5383016</v>
      </c>
      <c r="B1335">
        <v>5382852</v>
      </c>
      <c r="C1335" t="s">
        <v>8</v>
      </c>
      <c r="D1335" t="s">
        <v>8</v>
      </c>
      <c r="E1335" s="2" t="str">
        <f>HYPERLINK("https://ibp.a2mac1.com/costing(costing:projects/details/8191/assembly/5383016)","Rotor")</f>
        <v>Rotor</v>
      </c>
      <c r="F1335" t="s">
        <v>1923</v>
      </c>
    </row>
    <row r="1336" spans="1:6" ht="12.75">
      <c r="A1336">
        <v>5383371</v>
      </c>
      <c r="B1336">
        <v>5383016</v>
      </c>
      <c r="C1336" t="s">
        <v>12</v>
      </c>
      <c r="D1336" t="s">
        <v>8</v>
      </c>
      <c r="E1336" s="2" t="str">
        <f>HYPERLINK("https://ibp.a2mac1.com/costing(costing:projects/details/8191/part/5383371)","Rotor shaft")</f>
        <v>Rotor shaft</v>
      </c>
      <c r="F1336" t="s">
        <v>1938</v>
      </c>
    </row>
    <row r="1337" spans="1:6" ht="12.75">
      <c r="A1337">
        <v>6971950</v>
      </c>
      <c r="B1337">
        <v>5383371</v>
      </c>
      <c r="C1337" t="s">
        <v>99</v>
      </c>
      <c r="D1337" t="s">
        <v>12</v>
      </c>
      <c r="E1337" s="2" t="str">
        <f>HYPERLINK("https://ibp.a2mac1.com/costing(costing:projects/details/8191/process/6971950)","Process")</f>
        <v>Process</v>
      </c>
      <c r="F1337" t="s">
        <v>1939</v>
      </c>
    </row>
    <row r="1338" spans="1:6" ht="12.75">
      <c r="A1338">
        <v>5316740</v>
      </c>
      <c r="B1338">
        <v>6971950</v>
      </c>
      <c r="C1338" t="s">
        <v>24</v>
      </c>
      <c r="D1338" t="s">
        <v>99</v>
      </c>
      <c r="E1338" s="2" t="str">
        <f>HYPERLINK("https://ibp.a2mac1.com/costing(costing:projects/details/8191/material/5316740)","20MnCr5 / SAE5120 / 20MnCr5 / 1.7147 / 20CrMnTi (Billet)")</f>
        <v>20MnCr5 / SAE5120 / 20MnCr5 / 1.7147 / 20CrMnTi (Billet)</v>
      </c>
      <c r="F1338" t="s">
        <v>1942</v>
      </c>
    </row>
    <row r="1339" spans="1:6" ht="12.75">
      <c r="A1339">
        <v>6944464</v>
      </c>
      <c r="B1339">
        <v>6971950</v>
      </c>
      <c r="C1339" t="s">
        <v>189</v>
      </c>
      <c r="D1339" t="s">
        <v>99</v>
      </c>
      <c r="E1339" s="2" t="str">
        <f>HYPERLINK("https://ibp.a2mac1.com/costing(costing:projects/details/8191/equipment/6944464)","Machine")</f>
        <v>Machine</v>
      </c>
      <c r="F1339" t="s">
        <v>1942</v>
      </c>
    </row>
    <row r="1340" spans="1:6" ht="12.75">
      <c r="A1340">
        <v>5383372</v>
      </c>
      <c r="B1340">
        <v>5383016</v>
      </c>
      <c r="C1340" t="s">
        <v>12</v>
      </c>
      <c r="D1340" t="s">
        <v>8</v>
      </c>
      <c r="E1340" s="2" t="str">
        <f>HYPERLINK("https://ibp.a2mac1.com/costing(costing:projects/details/8191/part/5383372)","Squirrel cage")</f>
        <v>Squirrel cage</v>
      </c>
      <c r="F1340" t="s">
        <v>1938</v>
      </c>
    </row>
    <row r="1341" spans="1:6" ht="12.75">
      <c r="A1341">
        <v>6971951</v>
      </c>
      <c r="B1341">
        <v>5383372</v>
      </c>
      <c r="C1341" t="s">
        <v>99</v>
      </c>
      <c r="D1341" t="s">
        <v>12</v>
      </c>
      <c r="E1341" s="2" t="str">
        <f>HYPERLINK("https://ibp.a2mac1.com/costing(costing:projects/details/8191/process/6971951)","Process")</f>
        <v>Process</v>
      </c>
      <c r="F1341" t="s">
        <v>1944</v>
      </c>
    </row>
    <row r="1342" spans="1:6" ht="12.75">
      <c r="A1342">
        <v>5316741</v>
      </c>
      <c r="B1342">
        <v>6971951</v>
      </c>
      <c r="C1342" t="s">
        <v>24</v>
      </c>
      <c r="D1342" t="s">
        <v>99</v>
      </c>
      <c r="E1342" s="2" t="str">
        <f>HYPERLINK("https://ibp.a2mac1.com/costing(costing:projects/details/8191/material/5316741)","NO-25 (Sheet/Coil)")</f>
        <v>NO-25 (Sheet/Coil)</v>
      </c>
      <c r="F1342" t="s">
        <v>1947</v>
      </c>
    </row>
    <row r="1343" spans="1:6" ht="12.75">
      <c r="A1343">
        <v>6944465</v>
      </c>
      <c r="B1343">
        <v>6971951</v>
      </c>
      <c r="C1343" t="s">
        <v>189</v>
      </c>
      <c r="D1343" t="s">
        <v>99</v>
      </c>
      <c r="E1343" s="2" t="str">
        <f>HYPERLINK("https://ibp.a2mac1.com/costing(costing:projects/details/8191/equipment/6944465)","Machine")</f>
        <v>Machine</v>
      </c>
      <c r="F1343" t="s">
        <v>1947</v>
      </c>
    </row>
    <row r="1344" spans="1:6" ht="12.75">
      <c r="A1344">
        <v>5383373</v>
      </c>
      <c r="B1344">
        <v>5383016</v>
      </c>
      <c r="C1344" t="s">
        <v>12</v>
      </c>
      <c r="D1344" t="s">
        <v>8</v>
      </c>
      <c r="E1344" s="2" t="str">
        <f>HYPERLINK("https://ibp.a2mac1.com/costing(costing:projects/details/8191/part/5383373)","Bearing #1")</f>
        <v>Bearing #1</v>
      </c>
      <c r="F1344" t="s">
        <v>1938</v>
      </c>
    </row>
    <row r="1345" spans="1:6" ht="12.75">
      <c r="A1345">
        <v>5383374</v>
      </c>
      <c r="B1345">
        <v>5383016</v>
      </c>
      <c r="C1345" t="s">
        <v>12</v>
      </c>
      <c r="D1345" t="s">
        <v>8</v>
      </c>
      <c r="E1345" s="2" t="str">
        <f>HYPERLINK("https://ibp.a2mac1.com/costing(costing:projects/details/8191/part/5383374)","Bearing #2")</f>
        <v>Bearing #2</v>
      </c>
      <c r="F1345" t="s">
        <v>1938</v>
      </c>
    </row>
    <row r="1346" spans="1:6" ht="12.75">
      <c r="A1346">
        <v>5383375</v>
      </c>
      <c r="B1346">
        <v>5383016</v>
      </c>
      <c r="C1346" t="s">
        <v>12</v>
      </c>
      <c r="D1346" t="s">
        <v>8</v>
      </c>
      <c r="E1346" s="2" t="str">
        <f>HYPERLINK("https://ibp.a2mac1.com/costing(costing:projects/details/8191/part/5383375)","Spacer")</f>
        <v>Spacer</v>
      </c>
      <c r="F1346" t="s">
        <v>1938</v>
      </c>
    </row>
    <row r="1347" spans="1:6" ht="12.75">
      <c r="A1347">
        <v>6971880</v>
      </c>
      <c r="B1347">
        <v>5383016</v>
      </c>
      <c r="C1347" t="s">
        <v>99</v>
      </c>
      <c r="D1347" t="s">
        <v>8</v>
      </c>
      <c r="E1347" s="2" t="str">
        <f>HYPERLINK("https://ibp.a2mac1.com/costing(costing:projects/details/8191/process/6971880)","Rotor assembly")</f>
        <v>Rotor assembly</v>
      </c>
      <c r="F1347" t="s">
        <v>1938</v>
      </c>
    </row>
    <row r="1348" spans="1:6" ht="12.75">
      <c r="A1348">
        <v>6944304</v>
      </c>
      <c r="B1348">
        <v>6971880</v>
      </c>
      <c r="C1348" t="s">
        <v>189</v>
      </c>
      <c r="D1348" t="s">
        <v>99</v>
      </c>
      <c r="E1348" s="2" t="str">
        <f>HYPERLINK("https://ibp.a2mac1.com/costing(costing:projects/details/8191/equipment/6944304)","Machine")</f>
        <v>Machine</v>
      </c>
      <c r="F1348" t="s">
        <v>1953</v>
      </c>
    </row>
    <row r="1349" spans="1:6" ht="12.75">
      <c r="A1349">
        <v>5382999</v>
      </c>
      <c r="B1349">
        <v>5382852</v>
      </c>
      <c r="C1349" t="s">
        <v>12</v>
      </c>
      <c r="D1349" t="s">
        <v>8</v>
      </c>
      <c r="E1349" s="2" t="str">
        <f>HYPERLINK("https://ibp.a2mac1.com/costing(costing:projects/details/8191/part/5382999)","Stator housing")</f>
        <v>Stator housing</v>
      </c>
      <c r="F1349" t="s">
        <v>1923</v>
      </c>
    </row>
    <row r="1350" spans="1:6" ht="12.75">
      <c r="A1350">
        <v>6971877</v>
      </c>
      <c r="B1350">
        <v>5382999</v>
      </c>
      <c r="C1350" t="s">
        <v>99</v>
      </c>
      <c r="D1350" t="s">
        <v>12</v>
      </c>
      <c r="E1350" s="2" t="str">
        <f>HYPERLINK("https://ibp.a2mac1.com/costing(costing:projects/details/8191/process/6971877)","Process")</f>
        <v>Process</v>
      </c>
      <c r="F1350" t="s">
        <v>1956</v>
      </c>
    </row>
    <row r="1351" spans="1:6" ht="12.75">
      <c r="A1351">
        <v>5316568</v>
      </c>
      <c r="B1351">
        <v>6971877</v>
      </c>
      <c r="C1351" t="s">
        <v>24</v>
      </c>
      <c r="D1351" t="s">
        <v>99</v>
      </c>
      <c r="E1351" s="2" t="str">
        <f>HYPERLINK("https://ibp.a2mac1.com/costing(costing:projects/details/8191/material/5316568)","Aluminum for casting (default, e.g. A380/ADC10/EN-AC46500)")</f>
        <v>Aluminum for casting (default, e.g. A380/ADC10/EN-AC46500)</v>
      </c>
      <c r="F1351" t="s">
        <v>1959</v>
      </c>
    </row>
    <row r="1352" spans="1:6" ht="12.75">
      <c r="A1352">
        <v>6944301</v>
      </c>
      <c r="B1352">
        <v>6971877</v>
      </c>
      <c r="C1352" t="s">
        <v>189</v>
      </c>
      <c r="D1352" t="s">
        <v>99</v>
      </c>
      <c r="E1352" s="2" t="str">
        <f>HYPERLINK("https://ibp.a2mac1.com/costing(costing:projects/details/8191/equipment/6944301)","Machine")</f>
        <v>Machine</v>
      </c>
      <c r="F1352" t="s">
        <v>1959</v>
      </c>
    </row>
    <row r="1353" spans="1:6" ht="12.75">
      <c r="A1353">
        <v>5383000</v>
      </c>
      <c r="B1353">
        <v>5382852</v>
      </c>
      <c r="C1353" t="s">
        <v>12</v>
      </c>
      <c r="D1353" t="s">
        <v>8</v>
      </c>
      <c r="E1353" s="2" t="str">
        <f>HYPERLINK("https://ibp.a2mac1.com/costing(costing:projects/details/8191/part/5383000)","Left housing")</f>
        <v>Left housing</v>
      </c>
      <c r="F1353" t="s">
        <v>1923</v>
      </c>
    </row>
    <row r="1354" spans="1:6" ht="12.75">
      <c r="A1354">
        <v>6971878</v>
      </c>
      <c r="B1354">
        <v>5383000</v>
      </c>
      <c r="C1354" t="s">
        <v>99</v>
      </c>
      <c r="D1354" t="s">
        <v>12</v>
      </c>
      <c r="E1354" s="2" t="str">
        <f>HYPERLINK("https://ibp.a2mac1.com/costing(costing:projects/details/8191/process/6971878)","Process")</f>
        <v>Process</v>
      </c>
      <c r="F1354" t="s">
        <v>1961</v>
      </c>
    </row>
    <row r="1355" spans="1:6" ht="12.75">
      <c r="A1355">
        <v>5316569</v>
      </c>
      <c r="B1355">
        <v>6971878</v>
      </c>
      <c r="C1355" t="s">
        <v>24</v>
      </c>
      <c r="D1355" t="s">
        <v>99</v>
      </c>
      <c r="E1355" s="2" t="str">
        <f>HYPERLINK("https://ibp.a2mac1.com/costing(costing:projects/details/8191/material/5316569)","Aluminum for casting (default, e.g. A380/ADC10/EN-AC46500)")</f>
        <v>Aluminum for casting (default, e.g. A380/ADC10/EN-AC46500)</v>
      </c>
      <c r="F1355" t="s">
        <v>1964</v>
      </c>
    </row>
    <row r="1356" spans="1:6" ht="12.75">
      <c r="A1356">
        <v>6944302</v>
      </c>
      <c r="B1356">
        <v>6971878</v>
      </c>
      <c r="C1356" t="s">
        <v>189</v>
      </c>
      <c r="D1356" t="s">
        <v>99</v>
      </c>
      <c r="E1356" s="2" t="str">
        <f>HYPERLINK("https://ibp.a2mac1.com/costing(costing:projects/details/8191/equipment/6944302)","Machine")</f>
        <v>Machine</v>
      </c>
      <c r="F1356" t="s">
        <v>1964</v>
      </c>
    </row>
    <row r="1357" spans="1:6" ht="12.75">
      <c r="A1357">
        <v>5383001</v>
      </c>
      <c r="B1357">
        <v>5382852</v>
      </c>
      <c r="C1357" t="s">
        <v>12</v>
      </c>
      <c r="D1357" t="s">
        <v>8</v>
      </c>
      <c r="E1357" s="2" t="str">
        <f>HYPERLINK("https://ibp.a2mac1.com/costing(costing:projects/details/8191/part/5383001)","Degasser valve")</f>
        <v>Degasser valve</v>
      </c>
      <c r="F1357" t="s">
        <v>1923</v>
      </c>
    </row>
    <row r="1358" spans="1:6" ht="12.75">
      <c r="A1358">
        <v>5383002</v>
      </c>
      <c r="B1358">
        <v>5382852</v>
      </c>
      <c r="C1358" t="s">
        <v>12</v>
      </c>
      <c r="D1358" t="s">
        <v>8</v>
      </c>
      <c r="E1358" s="2" t="str">
        <f>HYPERLINK("https://ibp.a2mac1.com/costing(costing:projects/details/8191/part/5383002)","Degasser valve pipe")</f>
        <v>Degasser valve pipe</v>
      </c>
      <c r="F1358" t="s">
        <v>1923</v>
      </c>
    </row>
    <row r="1359" spans="1:6" ht="12.75">
      <c r="A1359">
        <v>5383003</v>
      </c>
      <c r="B1359">
        <v>5382852</v>
      </c>
      <c r="C1359" t="s">
        <v>12</v>
      </c>
      <c r="D1359" t="s">
        <v>8</v>
      </c>
      <c r="E1359" s="2" t="str">
        <f>HYPERLINK("https://ibp.a2mac1.com/costing(costing:projects/details/8191/part/5383003)","Water inlet")</f>
        <v>Water inlet</v>
      </c>
      <c r="F1359" t="s">
        <v>1923</v>
      </c>
    </row>
    <row r="1360" spans="1:6" ht="12.75">
      <c r="A1360">
        <v>5383004</v>
      </c>
      <c r="B1360">
        <v>5382852</v>
      </c>
      <c r="C1360" t="s">
        <v>12</v>
      </c>
      <c r="D1360" t="s">
        <v>8</v>
      </c>
      <c r="E1360" s="2" t="str">
        <f>HYPERLINK("https://ibp.a2mac1.com/costing(costing:projects/details/8191/part/5383004)","Water outlet")</f>
        <v>Water outlet</v>
      </c>
      <c r="F1360" t="s">
        <v>1923</v>
      </c>
    </row>
    <row r="1361" spans="1:6" ht="12.75">
      <c r="A1361">
        <v>5383005</v>
      </c>
      <c r="B1361">
        <v>5382852</v>
      </c>
      <c r="C1361" t="s">
        <v>12</v>
      </c>
      <c r="D1361" t="s">
        <v>8</v>
      </c>
      <c r="E1361" s="2" t="str">
        <f>HYPERLINK("https://ibp.a2mac1.com/costing(costing:projects/details/8191/part/5383005)","Resolver wire harness")</f>
        <v>Resolver wire harness</v>
      </c>
      <c r="F1361" t="s">
        <v>1923</v>
      </c>
    </row>
    <row r="1362" spans="1:6" ht="12.75">
      <c r="A1362">
        <v>5383006</v>
      </c>
      <c r="B1362">
        <v>5382852</v>
      </c>
      <c r="C1362" t="s">
        <v>12</v>
      </c>
      <c r="D1362" t="s">
        <v>8</v>
      </c>
      <c r="E1362" s="2" t="str">
        <f>HYPERLINK("https://ibp.a2mac1.com/costing(costing:projects/details/8191/part/5383006)","Busbar connector")</f>
        <v>Busbar connector</v>
      </c>
      <c r="F1362" t="s">
        <v>1923</v>
      </c>
    </row>
    <row r="1363" spans="1:6" ht="12.75">
      <c r="A1363">
        <v>5383007</v>
      </c>
      <c r="B1363">
        <v>5382852</v>
      </c>
      <c r="C1363" t="s">
        <v>12</v>
      </c>
      <c r="D1363" t="s">
        <v>8</v>
      </c>
      <c r="E1363" s="2" t="str">
        <f>HYPERLINK("https://ibp.a2mac1.com/costing(costing:projects/details/8191/part/5383007)","Connector ")</f>
        <v xml:space="preserve">Connector </v>
      </c>
      <c r="F1363" t="s">
        <v>1923</v>
      </c>
    </row>
    <row r="1364" spans="1:6" ht="12.75">
      <c r="A1364">
        <v>5383008</v>
      </c>
      <c r="B1364">
        <v>5382852</v>
      </c>
      <c r="C1364" t="s">
        <v>12</v>
      </c>
      <c r="D1364" t="s">
        <v>8</v>
      </c>
      <c r="E1364" s="2" t="str">
        <f>HYPERLINK("https://ibp.a2mac1.com/costing(costing:projects/details/8191/part/5383008)","Shim")</f>
        <v>Shim</v>
      </c>
      <c r="F1364" t="s">
        <v>1923</v>
      </c>
    </row>
    <row r="1365" spans="1:6" ht="12.75">
      <c r="A1365">
        <v>5383009</v>
      </c>
      <c r="B1365">
        <v>5382852</v>
      </c>
      <c r="C1365" t="s">
        <v>12</v>
      </c>
      <c r="D1365" t="s">
        <v>8</v>
      </c>
      <c r="E1365" s="2" t="str">
        <f>HYPERLINK("https://ibp.a2mac1.com/costing(costing:projects/details/8191/part/5383009)","Shim 2")</f>
        <v>Shim 2</v>
      </c>
      <c r="F1365" t="s">
        <v>1923</v>
      </c>
    </row>
    <row r="1366" spans="1:6" ht="12.75">
      <c r="A1366">
        <v>5383010</v>
      </c>
      <c r="B1366">
        <v>5382852</v>
      </c>
      <c r="C1366" t="s">
        <v>12</v>
      </c>
      <c r="D1366" t="s">
        <v>8</v>
      </c>
      <c r="E1366" s="2" t="str">
        <f>HYPERLINK("https://ibp.a2mac1.com/costing(costing:projects/details/8191/part/5383010)","Drain plug")</f>
        <v>Drain plug</v>
      </c>
      <c r="F1366" t="s">
        <v>1923</v>
      </c>
    </row>
    <row r="1367" spans="1:6" ht="12.75">
      <c r="A1367">
        <v>5383011</v>
      </c>
      <c r="B1367">
        <v>5382852</v>
      </c>
      <c r="C1367" t="s">
        <v>12</v>
      </c>
      <c r="D1367" t="s">
        <v>8</v>
      </c>
      <c r="E1367" s="2" t="str">
        <f>HYPERLINK("https://ibp.a2mac1.com/costing(costing:projects/details/8191/part/5383011)","Target sensor")</f>
        <v>Target sensor</v>
      </c>
      <c r="F1367" t="s">
        <v>1923</v>
      </c>
    </row>
    <row r="1368" spans="1:6" ht="12.75">
      <c r="A1368">
        <v>5383012</v>
      </c>
      <c r="B1368">
        <v>5382852</v>
      </c>
      <c r="C1368" t="s">
        <v>12</v>
      </c>
      <c r="D1368" t="s">
        <v>8</v>
      </c>
      <c r="E1368" s="2" t="str">
        <f>HYPERLINK("https://ibp.a2mac1.com/costing(costing:projects/details/8191/part/5383012)","Resolver")</f>
        <v>Resolver</v>
      </c>
      <c r="F1368" t="s">
        <v>1923</v>
      </c>
    </row>
    <row r="1369" spans="1:6" ht="12.75">
      <c r="A1369">
        <v>5383013</v>
      </c>
      <c r="B1369">
        <v>5382852</v>
      </c>
      <c r="C1369" t="s">
        <v>12</v>
      </c>
      <c r="D1369" t="s">
        <v>8</v>
      </c>
      <c r="E1369" s="2" t="str">
        <f>HYPERLINK("https://ibp.a2mac1.com/costing(costing:projects/details/8191/part/5383013)","Lubrication duct")</f>
        <v>Lubrication duct</v>
      </c>
      <c r="F1369" t="s">
        <v>1923</v>
      </c>
    </row>
    <row r="1370" spans="1:6" ht="12.75">
      <c r="A1370">
        <v>5383014</v>
      </c>
      <c r="B1370">
        <v>5382852</v>
      </c>
      <c r="C1370" t="s">
        <v>12</v>
      </c>
      <c r="D1370" t="s">
        <v>8</v>
      </c>
      <c r="E1370" s="2" t="str">
        <f>HYPERLINK("https://ibp.a2mac1.com/costing(costing:projects/details/8191/part/5383014)","Fastener")</f>
        <v>Fastener</v>
      </c>
      <c r="F1370" t="s">
        <v>1923</v>
      </c>
    </row>
    <row r="1371" spans="1:6" ht="12.75">
      <c r="A1371">
        <v>6971732</v>
      </c>
      <c r="B1371">
        <v>5382852</v>
      </c>
      <c r="C1371" t="s">
        <v>99</v>
      </c>
      <c r="D1371" t="s">
        <v>8</v>
      </c>
      <c r="E1371" s="2" t="str">
        <f>HYPERLINK("https://ibp.a2mac1.com/costing(costing:projects/details/8191/process/6971732)","Final assembly")</f>
        <v>Final assembly</v>
      </c>
      <c r="F1371" t="s">
        <v>1923</v>
      </c>
    </row>
    <row r="1372" spans="1:6" ht="12.75">
      <c r="A1372">
        <v>6944240</v>
      </c>
      <c r="B1372">
        <v>6971732</v>
      </c>
      <c r="C1372" t="s">
        <v>189</v>
      </c>
      <c r="D1372" t="s">
        <v>99</v>
      </c>
      <c r="E1372" s="2" t="str">
        <f>HYPERLINK("https://ibp.a2mac1.com/costing(costing:projects/details/8191/equipment/6944240)","Machine")</f>
        <v>Machine</v>
      </c>
      <c r="F1372" t="s">
        <v>1987</v>
      </c>
    </row>
    <row r="1373" spans="1:6" ht="12.75">
      <c r="A1373">
        <v>5382853</v>
      </c>
      <c r="B1373">
        <v>5382796</v>
      </c>
      <c r="C1373" t="s">
        <v>8</v>
      </c>
      <c r="D1373" t="s">
        <v>8</v>
      </c>
      <c r="E1373" s="2" t="str">
        <f>HYPERLINK("https://ibp.a2mac1.com/costing(costing:projects/details/8191/assembly/5382853)","Rear Motor")</f>
        <v>Rear Motor</v>
      </c>
      <c r="F1373" t="s">
        <v>1922</v>
      </c>
    </row>
    <row r="1374" spans="1:6" ht="12.75">
      <c r="A1374">
        <v>5383070</v>
      </c>
      <c r="B1374">
        <v>5382853</v>
      </c>
      <c r="C1374" t="s">
        <v>8</v>
      </c>
      <c r="D1374" t="s">
        <v>8</v>
      </c>
      <c r="E1374" s="2" t="str">
        <f>HYPERLINK("https://ibp.a2mac1.com/costing(costing:projects/details/8191/assembly/5383070)","Stator")</f>
        <v>Stator</v>
      </c>
      <c r="F1374" t="s">
        <v>1989</v>
      </c>
    </row>
    <row r="1375" spans="1:6" ht="12.75">
      <c r="A1375">
        <v>5383376</v>
      </c>
      <c r="B1375">
        <v>5383070</v>
      </c>
      <c r="C1375" t="s">
        <v>12</v>
      </c>
      <c r="D1375" t="s">
        <v>8</v>
      </c>
      <c r="E1375" s="2" t="str">
        <f>HYPERLINK("https://ibp.a2mac1.com/costing(costing:projects/details/8191/part/5383376)","Coupling busbar")</f>
        <v>Coupling busbar</v>
      </c>
      <c r="F1375" t="s">
        <v>1990</v>
      </c>
    </row>
    <row r="1376" spans="1:6" ht="12.75">
      <c r="A1376">
        <v>6971952</v>
      </c>
      <c r="B1376">
        <v>5383376</v>
      </c>
      <c r="C1376" t="s">
        <v>99</v>
      </c>
      <c r="D1376" t="s">
        <v>12</v>
      </c>
      <c r="E1376" s="2" t="str">
        <f>HYPERLINK("https://ibp.a2mac1.com/costing(costing:projects/details/8191/process/6971952)","Process")</f>
        <v>Process</v>
      </c>
      <c r="F1376" t="s">
        <v>1991</v>
      </c>
    </row>
    <row r="1377" spans="1:6" ht="12.75">
      <c r="A1377">
        <v>5316742</v>
      </c>
      <c r="B1377">
        <v>6971952</v>
      </c>
      <c r="C1377" t="s">
        <v>24</v>
      </c>
      <c r="D1377" t="s">
        <v>99</v>
      </c>
      <c r="E1377" s="2" t="str">
        <f>HYPERLINK("https://ibp.a2mac1.com/costing(costing:projects/details/8191/material/5316742)","Copper (default, e.g. CuZn30  / C26000)")</f>
        <v>Copper (default, e.g. CuZn30  / C26000)</v>
      </c>
      <c r="F1377" t="s">
        <v>1994</v>
      </c>
    </row>
    <row r="1378" spans="1:6" ht="12.75">
      <c r="A1378">
        <v>6944466</v>
      </c>
      <c r="B1378">
        <v>6971952</v>
      </c>
      <c r="C1378" t="s">
        <v>189</v>
      </c>
      <c r="D1378" t="s">
        <v>99</v>
      </c>
      <c r="E1378" s="2" t="str">
        <f>HYPERLINK("https://ibp.a2mac1.com/costing(costing:projects/details/8191/equipment/6944466)","Machine")</f>
        <v>Machine</v>
      </c>
      <c r="F1378" t="s">
        <v>1994</v>
      </c>
    </row>
    <row r="1379" spans="1:6" ht="12.75">
      <c r="A1379">
        <v>5383377</v>
      </c>
      <c r="B1379">
        <v>5383070</v>
      </c>
      <c r="C1379" t="s">
        <v>12</v>
      </c>
      <c r="D1379" t="s">
        <v>8</v>
      </c>
      <c r="E1379" s="2" t="str">
        <f>HYPERLINK("https://ibp.a2mac1.com/costing(costing:projects/details/8191/part/5383377)","Coupling busbar protection #1")</f>
        <v>Coupling busbar protection #1</v>
      </c>
      <c r="F1379" t="s">
        <v>1990</v>
      </c>
    </row>
    <row r="1380" spans="1:6" ht="12.75">
      <c r="A1380">
        <v>5383378</v>
      </c>
      <c r="B1380">
        <v>5383070</v>
      </c>
      <c r="C1380" t="s">
        <v>12</v>
      </c>
      <c r="D1380" t="s">
        <v>8</v>
      </c>
      <c r="E1380" s="2" t="str">
        <f>HYPERLINK("https://ibp.a2mac1.com/costing(costing:projects/details/8191/part/5383378)","Coupling busbar protection #2")</f>
        <v>Coupling busbar protection #2</v>
      </c>
      <c r="F1380" t="s">
        <v>1990</v>
      </c>
    </row>
    <row r="1381" spans="1:6" ht="12.75">
      <c r="A1381">
        <v>5383379</v>
      </c>
      <c r="B1381">
        <v>5383070</v>
      </c>
      <c r="C1381" t="s">
        <v>12</v>
      </c>
      <c r="D1381" t="s">
        <v>8</v>
      </c>
      <c r="E1381" s="2" t="str">
        <f>HYPERLINK("https://ibp.a2mac1.com/costing(costing:projects/details/8191/part/5383379)","Connection cover")</f>
        <v>Connection cover</v>
      </c>
      <c r="F1381" t="s">
        <v>1990</v>
      </c>
    </row>
    <row r="1382" spans="1:6" ht="12.75">
      <c r="A1382">
        <v>5383380</v>
      </c>
      <c r="B1382">
        <v>5383070</v>
      </c>
      <c r="C1382" t="s">
        <v>12</v>
      </c>
      <c r="D1382" t="s">
        <v>8</v>
      </c>
      <c r="E1382" s="2" t="str">
        <f>HYPERLINK("https://ibp.a2mac1.com/costing(costing:projects/details/8191/part/5383380)","Phase busbar #1")</f>
        <v>Phase busbar #1</v>
      </c>
      <c r="F1382" t="s">
        <v>1990</v>
      </c>
    </row>
    <row r="1383" spans="1:6" ht="12.75">
      <c r="A1383">
        <v>5383381</v>
      </c>
      <c r="B1383">
        <v>5383070</v>
      </c>
      <c r="C1383" t="s">
        <v>12</v>
      </c>
      <c r="D1383" t="s">
        <v>8</v>
      </c>
      <c r="E1383" s="2" t="str">
        <f>HYPERLINK("https://ibp.a2mac1.com/costing(costing:projects/details/8191/part/5383381)","Phase busbar #2")</f>
        <v>Phase busbar #2</v>
      </c>
      <c r="F1383" t="s">
        <v>1990</v>
      </c>
    </row>
    <row r="1384" spans="1:6" ht="12.75">
      <c r="A1384">
        <v>5383382</v>
      </c>
      <c r="B1384">
        <v>5383070</v>
      </c>
      <c r="C1384" t="s">
        <v>12</v>
      </c>
      <c r="D1384" t="s">
        <v>8</v>
      </c>
      <c r="E1384" s="2" t="str">
        <f>HYPERLINK("https://ibp.a2mac1.com/costing(costing:projects/details/8191/part/5383382)","Phase busbar #3")</f>
        <v>Phase busbar #3</v>
      </c>
      <c r="F1384" t="s">
        <v>1990</v>
      </c>
    </row>
    <row r="1385" spans="1:6" ht="12.75">
      <c r="A1385">
        <v>5383383</v>
      </c>
      <c r="B1385">
        <v>5383070</v>
      </c>
      <c r="C1385" t="s">
        <v>12</v>
      </c>
      <c r="D1385" t="s">
        <v>8</v>
      </c>
      <c r="E1385" s="2" t="str">
        <f>HYPERLINK("https://ibp.a2mac1.com/costing(costing:projects/details/8191/part/5383383)","Hairpin winding")</f>
        <v>Hairpin winding</v>
      </c>
      <c r="F1385" t="s">
        <v>1990</v>
      </c>
    </row>
    <row r="1386" spans="1:6" ht="12.75">
      <c r="A1386">
        <v>5383384</v>
      </c>
      <c r="B1386">
        <v>5383070</v>
      </c>
      <c r="C1386" t="s">
        <v>12</v>
      </c>
      <c r="D1386" t="s">
        <v>8</v>
      </c>
      <c r="E1386" s="2" t="str">
        <f>HYPERLINK("https://ibp.a2mac1.com/costing(costing:projects/details/8191/part/5383384)","Slot insulation")</f>
        <v>Slot insulation</v>
      </c>
      <c r="F1386" t="s">
        <v>1990</v>
      </c>
    </row>
    <row r="1387" spans="1:6" ht="12.75">
      <c r="A1387">
        <v>5383385</v>
      </c>
      <c r="B1387">
        <v>5383070</v>
      </c>
      <c r="C1387" t="s">
        <v>12</v>
      </c>
      <c r="D1387" t="s">
        <v>8</v>
      </c>
      <c r="E1387" s="2" t="str">
        <f>HYPERLINK("https://ibp.a2mac1.com/costing(costing:projects/details/8191/part/5383385)","Lamination stack")</f>
        <v>Lamination stack</v>
      </c>
      <c r="F1387" t="s">
        <v>1990</v>
      </c>
    </row>
    <row r="1388" spans="1:6" ht="12.75">
      <c r="A1388">
        <v>6971953</v>
      </c>
      <c r="B1388">
        <v>5383385</v>
      </c>
      <c r="C1388" t="s">
        <v>99</v>
      </c>
      <c r="D1388" t="s">
        <v>12</v>
      </c>
      <c r="E1388" s="2" t="str">
        <f>HYPERLINK("https://ibp.a2mac1.com/costing(costing:projects/details/8191/process/6971953)","Process")</f>
        <v>Process</v>
      </c>
      <c r="F1388" t="s">
        <v>2004</v>
      </c>
    </row>
    <row r="1389" spans="1:6" ht="12.75">
      <c r="A1389">
        <v>5316743</v>
      </c>
      <c r="B1389">
        <v>6971953</v>
      </c>
      <c r="C1389" t="s">
        <v>24</v>
      </c>
      <c r="D1389" t="s">
        <v>99</v>
      </c>
      <c r="E1389" s="2" t="str">
        <f>HYPERLINK("https://ibp.a2mac1.com/costing(costing:projects/details/8191/material/5316743)","NO-27 (Sheet/Coil)")</f>
        <v>NO-27 (Sheet/Coil)</v>
      </c>
      <c r="F1389" t="s">
        <v>2007</v>
      </c>
    </row>
    <row r="1390" spans="1:6" ht="12.75">
      <c r="A1390">
        <v>6944467</v>
      </c>
      <c r="B1390">
        <v>6971953</v>
      </c>
      <c r="C1390" t="s">
        <v>189</v>
      </c>
      <c r="D1390" t="s">
        <v>99</v>
      </c>
      <c r="E1390" s="2" t="str">
        <f>HYPERLINK("https://ibp.a2mac1.com/costing(costing:projects/details/8191/equipment/6944467)","Machine")</f>
        <v>Machine</v>
      </c>
      <c r="F1390" t="s">
        <v>2007</v>
      </c>
    </row>
    <row r="1391" spans="1:6" ht="12.75">
      <c r="A1391">
        <v>6971884</v>
      </c>
      <c r="B1391">
        <v>5383070</v>
      </c>
      <c r="C1391" t="s">
        <v>99</v>
      </c>
      <c r="D1391" t="s">
        <v>8</v>
      </c>
      <c r="E1391" s="2" t="str">
        <f>HYPERLINK("https://ibp.a2mac1.com/costing(costing:projects/details/8191/process/6971884)","Stator assembly")</f>
        <v>Stator assembly</v>
      </c>
      <c r="F1391" t="s">
        <v>1990</v>
      </c>
    </row>
    <row r="1392" spans="1:6" ht="12.75">
      <c r="A1392">
        <v>6944308</v>
      </c>
      <c r="B1392">
        <v>6971884</v>
      </c>
      <c r="C1392" t="s">
        <v>189</v>
      </c>
      <c r="D1392" t="s">
        <v>99</v>
      </c>
      <c r="E1392" s="2" t="str">
        <f>HYPERLINK("https://ibp.a2mac1.com/costing(costing:projects/details/8191/equipment/6944308)","Machine")</f>
        <v>Machine</v>
      </c>
      <c r="F1392" t="s">
        <v>2009</v>
      </c>
    </row>
    <row r="1393" spans="1:6" ht="12.75">
      <c r="A1393">
        <v>5383072</v>
      </c>
      <c r="B1393">
        <v>5382853</v>
      </c>
      <c r="C1393" t="s">
        <v>8</v>
      </c>
      <c r="D1393" t="s">
        <v>8</v>
      </c>
      <c r="E1393" s="2" t="str">
        <f>HYPERLINK("https://ibp.a2mac1.com/costing(costing:projects/details/8191/assembly/5383072)","Rotor")</f>
        <v>Rotor</v>
      </c>
      <c r="F1393" t="s">
        <v>1989</v>
      </c>
    </row>
    <row r="1394" spans="1:6" ht="12.75">
      <c r="A1394">
        <v>5383386</v>
      </c>
      <c r="B1394">
        <v>5383072</v>
      </c>
      <c r="C1394" t="s">
        <v>12</v>
      </c>
      <c r="D1394" t="s">
        <v>8</v>
      </c>
      <c r="E1394" s="2" t="str">
        <f>HYPERLINK("https://ibp.a2mac1.com/costing(costing:projects/details/8191/part/5383386)","End plates")</f>
        <v>End plates</v>
      </c>
      <c r="F1394" t="s">
        <v>2012</v>
      </c>
    </row>
    <row r="1395" spans="1:6" ht="12.75">
      <c r="A1395">
        <v>6971954</v>
      </c>
      <c r="B1395">
        <v>5383386</v>
      </c>
      <c r="C1395" t="s">
        <v>99</v>
      </c>
      <c r="D1395" t="s">
        <v>12</v>
      </c>
      <c r="E1395" s="2" t="str">
        <f>HYPERLINK("https://ibp.a2mac1.com/costing(costing:projects/details/8191/process/6971954)","Process")</f>
        <v>Process</v>
      </c>
      <c r="F1395" t="s">
        <v>2013</v>
      </c>
    </row>
    <row r="1396" spans="1:6" ht="12.75">
      <c r="A1396">
        <v>5316744</v>
      </c>
      <c r="B1396">
        <v>6971954</v>
      </c>
      <c r="C1396" t="s">
        <v>24</v>
      </c>
      <c r="D1396" t="s">
        <v>99</v>
      </c>
      <c r="E1396" s="2" t="str">
        <f>HYPERLINK("https://ibp.a2mac1.com/costing(costing:projects/details/8191/material/5316744)","Aluminum for casting (default, e.g. A380/ADC10/EN-AC46500)")</f>
        <v>Aluminum for casting (default, e.g. A380/ADC10/EN-AC46500)</v>
      </c>
      <c r="F1396" t="s">
        <v>2016</v>
      </c>
    </row>
    <row r="1397" spans="1:6" ht="12.75">
      <c r="A1397">
        <v>6944468</v>
      </c>
      <c r="B1397">
        <v>6971954</v>
      </c>
      <c r="C1397" t="s">
        <v>189</v>
      </c>
      <c r="D1397" t="s">
        <v>99</v>
      </c>
      <c r="E1397" s="2" t="str">
        <f>HYPERLINK("https://ibp.a2mac1.com/costing(costing:projects/details/8191/equipment/6944468)","Machine")</f>
        <v>Machine</v>
      </c>
      <c r="F1397" t="s">
        <v>2016</v>
      </c>
    </row>
    <row r="1398" spans="1:6" ht="12.75">
      <c r="A1398">
        <v>5383387</v>
      </c>
      <c r="B1398">
        <v>5383072</v>
      </c>
      <c r="C1398" t="s">
        <v>12</v>
      </c>
      <c r="D1398" t="s">
        <v>8</v>
      </c>
      <c r="E1398" s="2" t="str">
        <f>HYPERLINK("https://ibp.a2mac1.com/costing(costing:projects/details/8191/part/5383387)","Magnet #1")</f>
        <v>Magnet #1</v>
      </c>
      <c r="F1398" t="s">
        <v>2012</v>
      </c>
    </row>
    <row r="1399" spans="1:6" ht="12.75">
      <c r="A1399">
        <v>6971955</v>
      </c>
      <c r="B1399">
        <v>5383387</v>
      </c>
      <c r="C1399" t="s">
        <v>99</v>
      </c>
      <c r="D1399" t="s">
        <v>12</v>
      </c>
      <c r="E1399" s="2" t="str">
        <f>HYPERLINK("https://ibp.a2mac1.com/costing(costing:projects/details/8191/process/6971955)","Process")</f>
        <v>Process</v>
      </c>
      <c r="F1399" t="s">
        <v>2018</v>
      </c>
    </row>
    <row r="1400" spans="1:6" ht="12.75">
      <c r="A1400">
        <v>5316745</v>
      </c>
      <c r="B1400">
        <v>6971955</v>
      </c>
      <c r="C1400" t="s">
        <v>24</v>
      </c>
      <c r="D1400" t="s">
        <v>99</v>
      </c>
      <c r="E1400" s="2" t="str">
        <f>HYPERLINK("https://ibp.a2mac1.com/costing(costing:projects/details/8191/material/5316745)","N35EH - assumed")</f>
        <v>N35EH - assumed</v>
      </c>
      <c r="F1400" t="s">
        <v>2021</v>
      </c>
    </row>
    <row r="1401" spans="1:6" ht="12.75">
      <c r="A1401">
        <v>6944469</v>
      </c>
      <c r="B1401">
        <v>6971955</v>
      </c>
      <c r="C1401" t="s">
        <v>189</v>
      </c>
      <c r="D1401" t="s">
        <v>99</v>
      </c>
      <c r="E1401" s="2" t="str">
        <f>HYPERLINK("https://ibp.a2mac1.com/costing(costing:projects/details/8191/equipment/6944469)","Machine")</f>
        <v>Machine</v>
      </c>
      <c r="F1401" t="s">
        <v>2021</v>
      </c>
    </row>
    <row r="1402" spans="1:6" ht="12.75">
      <c r="A1402">
        <v>5383388</v>
      </c>
      <c r="B1402">
        <v>5383072</v>
      </c>
      <c r="C1402" t="s">
        <v>12</v>
      </c>
      <c r="D1402" t="s">
        <v>8</v>
      </c>
      <c r="E1402" s="2" t="str">
        <f>HYPERLINK("https://ibp.a2mac1.com/costing(costing:projects/details/8191/part/5383388)","Magnet #2")</f>
        <v>Magnet #2</v>
      </c>
      <c r="F1402" t="s">
        <v>2012</v>
      </c>
    </row>
    <row r="1403" spans="1:6" ht="12.75">
      <c r="A1403">
        <v>6971956</v>
      </c>
      <c r="B1403">
        <v>5383388</v>
      </c>
      <c r="C1403" t="s">
        <v>99</v>
      </c>
      <c r="D1403" t="s">
        <v>12</v>
      </c>
      <c r="E1403" s="2" t="str">
        <f>HYPERLINK("https://ibp.a2mac1.com/costing(costing:projects/details/8191/process/6971956)","Process")</f>
        <v>Process</v>
      </c>
      <c r="F1403" t="s">
        <v>2023</v>
      </c>
    </row>
    <row r="1404" spans="1:6" ht="12.75">
      <c r="A1404">
        <v>5316746</v>
      </c>
      <c r="B1404">
        <v>6971956</v>
      </c>
      <c r="C1404" t="s">
        <v>24</v>
      </c>
      <c r="D1404" t="s">
        <v>99</v>
      </c>
      <c r="E1404" s="2" t="str">
        <f>HYPERLINK("https://ibp.a2mac1.com/costing(costing:projects/details/8191/material/5316746)","N35EH - assumed")</f>
        <v>N35EH - assumed</v>
      </c>
      <c r="F1404" t="s">
        <v>2026</v>
      </c>
    </row>
    <row r="1405" spans="1:6" ht="12.75">
      <c r="A1405">
        <v>6944470</v>
      </c>
      <c r="B1405">
        <v>6971956</v>
      </c>
      <c r="C1405" t="s">
        <v>189</v>
      </c>
      <c r="D1405" t="s">
        <v>99</v>
      </c>
      <c r="E1405" s="2" t="str">
        <f>HYPERLINK("https://ibp.a2mac1.com/costing(costing:projects/details/8191/equipment/6944470)","Machine")</f>
        <v>Machine</v>
      </c>
      <c r="F1405" t="s">
        <v>2026</v>
      </c>
    </row>
    <row r="1406" spans="1:6" ht="12.75">
      <c r="A1406">
        <v>5383389</v>
      </c>
      <c r="B1406">
        <v>5383072</v>
      </c>
      <c r="C1406" t="s">
        <v>12</v>
      </c>
      <c r="D1406" t="s">
        <v>8</v>
      </c>
      <c r="E1406" s="2" t="str">
        <f>HYPERLINK("https://ibp.a2mac1.com/costing(costing:projects/details/8191/part/5383389)","Lamination stack")</f>
        <v>Lamination stack</v>
      </c>
      <c r="F1406" t="s">
        <v>2012</v>
      </c>
    </row>
    <row r="1407" spans="1:6" ht="12.75">
      <c r="A1407">
        <v>6971957</v>
      </c>
      <c r="B1407">
        <v>5383389</v>
      </c>
      <c r="C1407" t="s">
        <v>99</v>
      </c>
      <c r="D1407" t="s">
        <v>12</v>
      </c>
      <c r="E1407" s="2" t="str">
        <f>HYPERLINK("https://ibp.a2mac1.com/costing(costing:projects/details/8191/process/6971957)","Process")</f>
        <v>Process</v>
      </c>
      <c r="F1407" t="s">
        <v>2028</v>
      </c>
    </row>
    <row r="1408" spans="1:6" ht="12.75">
      <c r="A1408">
        <v>5316747</v>
      </c>
      <c r="B1408">
        <v>6971957</v>
      </c>
      <c r="C1408" t="s">
        <v>24</v>
      </c>
      <c r="D1408" t="s">
        <v>99</v>
      </c>
      <c r="E1408" s="2" t="str">
        <f>HYPERLINK("https://ibp.a2mac1.com/costing(costing:projects/details/8191/material/5316747)","NO-27 (Sheet/Coil)")</f>
        <v>NO-27 (Sheet/Coil)</v>
      </c>
      <c r="F1408" t="s">
        <v>2031</v>
      </c>
    </row>
    <row r="1409" spans="1:6" ht="12.75">
      <c r="A1409">
        <v>6944471</v>
      </c>
      <c r="B1409">
        <v>6971957</v>
      </c>
      <c r="C1409" t="s">
        <v>189</v>
      </c>
      <c r="D1409" t="s">
        <v>99</v>
      </c>
      <c r="E1409" s="2" t="str">
        <f>HYPERLINK("https://ibp.a2mac1.com/costing(costing:projects/details/8191/equipment/6944471)","Machine")</f>
        <v>Machine</v>
      </c>
      <c r="F1409" t="s">
        <v>2031</v>
      </c>
    </row>
    <row r="1410" spans="1:6" ht="12.75">
      <c r="A1410">
        <v>5383390</v>
      </c>
      <c r="B1410">
        <v>5383072</v>
      </c>
      <c r="C1410" t="s">
        <v>12</v>
      </c>
      <c r="D1410" t="s">
        <v>8</v>
      </c>
      <c r="E1410" s="2" t="str">
        <f>HYPERLINK("https://ibp.a2mac1.com/costing(costing:projects/details/8191/part/5383390)","Rotor shaft")</f>
        <v>Rotor shaft</v>
      </c>
      <c r="F1410" t="s">
        <v>2012</v>
      </c>
    </row>
    <row r="1411" spans="1:6" ht="12.75">
      <c r="A1411">
        <v>6971958</v>
      </c>
      <c r="B1411">
        <v>5383390</v>
      </c>
      <c r="C1411" t="s">
        <v>99</v>
      </c>
      <c r="D1411" t="s">
        <v>12</v>
      </c>
      <c r="E1411" s="2" t="str">
        <f>HYPERLINK("https://ibp.a2mac1.com/costing(costing:projects/details/8191/process/6971958)","Process")</f>
        <v>Process</v>
      </c>
      <c r="F1411" t="s">
        <v>2033</v>
      </c>
    </row>
    <row r="1412" spans="1:6" ht="12.75">
      <c r="A1412">
        <v>5316748</v>
      </c>
      <c r="B1412">
        <v>6971958</v>
      </c>
      <c r="C1412" t="s">
        <v>24</v>
      </c>
      <c r="D1412" t="s">
        <v>99</v>
      </c>
      <c r="E1412" s="2" t="str">
        <f>HYPERLINK("https://ibp.a2mac1.com/costing(costing:projects/details/8191/material/5316748)","Steel, 20MnCr5, round bar, 70mm")</f>
        <v>Steel, 20MnCr5, round bar, 70mm</v>
      </c>
      <c r="F1412" t="s">
        <v>2036</v>
      </c>
    </row>
    <row r="1413" spans="1:6" ht="12.75">
      <c r="A1413">
        <v>6944472</v>
      </c>
      <c r="B1413">
        <v>6971958</v>
      </c>
      <c r="C1413" t="s">
        <v>189</v>
      </c>
      <c r="D1413" t="s">
        <v>99</v>
      </c>
      <c r="E1413" s="2" t="str">
        <f>HYPERLINK("https://ibp.a2mac1.com/costing(costing:projects/details/8191/equipment/6944472)","Machine")</f>
        <v>Machine</v>
      </c>
      <c r="F1413" t="s">
        <v>2036</v>
      </c>
    </row>
    <row r="1414" spans="1:6" ht="12.75">
      <c r="A1414">
        <v>5383391</v>
      </c>
      <c r="B1414">
        <v>5383072</v>
      </c>
      <c r="C1414" t="s">
        <v>12</v>
      </c>
      <c r="D1414" t="s">
        <v>8</v>
      </c>
      <c r="E1414" s="2" t="str">
        <f>HYPERLINK("https://ibp.a2mac1.com/costing(costing:projects/details/8191/part/5383391)","Bearing #1")</f>
        <v>Bearing #1</v>
      </c>
      <c r="F1414" t="s">
        <v>2012</v>
      </c>
    </row>
    <row r="1415" spans="1:6" ht="12.75">
      <c r="A1415">
        <v>5383392</v>
      </c>
      <c r="B1415">
        <v>5383072</v>
      </c>
      <c r="C1415" t="s">
        <v>12</v>
      </c>
      <c r="D1415" t="s">
        <v>8</v>
      </c>
      <c r="E1415" s="2" t="str">
        <f>HYPERLINK("https://ibp.a2mac1.com/costing(costing:projects/details/8191/part/5383392)","Bearing #2")</f>
        <v>Bearing #2</v>
      </c>
      <c r="F1415" t="s">
        <v>2012</v>
      </c>
    </row>
    <row r="1416" spans="1:6" ht="12.75">
      <c r="A1416">
        <v>6971885</v>
      </c>
      <c r="B1416">
        <v>5383072</v>
      </c>
      <c r="C1416" t="s">
        <v>99</v>
      </c>
      <c r="D1416" t="s">
        <v>8</v>
      </c>
      <c r="E1416" s="2" t="str">
        <f>HYPERLINK("https://ibp.a2mac1.com/costing(costing:projects/details/8191/process/6971885)","Rotor assembly")</f>
        <v>Rotor assembly</v>
      </c>
      <c r="F1416" t="s">
        <v>2012</v>
      </c>
    </row>
    <row r="1417" spans="1:6" ht="12.75">
      <c r="A1417">
        <v>6944309</v>
      </c>
      <c r="B1417">
        <v>6971885</v>
      </c>
      <c r="C1417" t="s">
        <v>189</v>
      </c>
      <c r="D1417" t="s">
        <v>99</v>
      </c>
      <c r="E1417" s="2" t="str">
        <f>HYPERLINK("https://ibp.a2mac1.com/costing(costing:projects/details/8191/equipment/6944309)","Machine")</f>
        <v>Machine</v>
      </c>
      <c r="F1417" t="s">
        <v>2042</v>
      </c>
    </row>
    <row r="1418" spans="1:6" ht="12.75">
      <c r="A1418">
        <v>5383017</v>
      </c>
      <c r="B1418">
        <v>5382853</v>
      </c>
      <c r="C1418" t="s">
        <v>12</v>
      </c>
      <c r="D1418" t="s">
        <v>8</v>
      </c>
      <c r="E1418" s="2" t="str">
        <f>HYPERLINK("https://ibp.a2mac1.com/costing(costing:projects/details/8191/part/5383017)","Stator housing")</f>
        <v>Stator housing</v>
      </c>
      <c r="F1418" t="s">
        <v>1989</v>
      </c>
    </row>
    <row r="1419" spans="1:6" ht="12.75">
      <c r="A1419">
        <v>6971881</v>
      </c>
      <c r="B1419">
        <v>5383017</v>
      </c>
      <c r="C1419" t="s">
        <v>99</v>
      </c>
      <c r="D1419" t="s">
        <v>12</v>
      </c>
      <c r="E1419" s="2" t="str">
        <f>HYPERLINK("https://ibp.a2mac1.com/costing(costing:projects/details/8191/process/6971881)","Process")</f>
        <v>Process</v>
      </c>
      <c r="F1419" t="s">
        <v>2045</v>
      </c>
    </row>
    <row r="1420" spans="1:6" ht="12.75">
      <c r="A1420">
        <v>5316570</v>
      </c>
      <c r="B1420">
        <v>6971881</v>
      </c>
      <c r="C1420" t="s">
        <v>24</v>
      </c>
      <c r="D1420" t="s">
        <v>99</v>
      </c>
      <c r="E1420" s="2" t="str">
        <f>HYPERLINK("https://ibp.a2mac1.com/costing(costing:projects/details/8191/material/5316570)","Aluminum for casting (default, e.g. A380/ADC10/EN-AC46500)")</f>
        <v>Aluminum for casting (default, e.g. A380/ADC10/EN-AC46500)</v>
      </c>
      <c r="F1420" t="s">
        <v>2048</v>
      </c>
    </row>
    <row r="1421" spans="1:6" ht="12.75">
      <c r="A1421">
        <v>6944305</v>
      </c>
      <c r="B1421">
        <v>6971881</v>
      </c>
      <c r="C1421" t="s">
        <v>189</v>
      </c>
      <c r="D1421" t="s">
        <v>99</v>
      </c>
      <c r="E1421" s="2" t="str">
        <f>HYPERLINK("https://ibp.a2mac1.com/costing(costing:projects/details/8191/equipment/6944305)","Machine")</f>
        <v>Machine</v>
      </c>
      <c r="F1421" t="s">
        <v>2048</v>
      </c>
    </row>
    <row r="1422" spans="1:6" ht="12.75">
      <c r="A1422">
        <v>5383018</v>
      </c>
      <c r="B1422">
        <v>5382853</v>
      </c>
      <c r="C1422" t="s">
        <v>12</v>
      </c>
      <c r="D1422" t="s">
        <v>8</v>
      </c>
      <c r="E1422" s="2" t="str">
        <f>HYPERLINK("https://ibp.a2mac1.com/costing(costing:projects/details/8191/part/5383018)","Right housing")</f>
        <v>Right housing</v>
      </c>
      <c r="F1422" t="s">
        <v>1989</v>
      </c>
    </row>
    <row r="1423" spans="1:6" ht="12.75">
      <c r="A1423">
        <v>6971882</v>
      </c>
      <c r="B1423">
        <v>5383018</v>
      </c>
      <c r="C1423" t="s">
        <v>99</v>
      </c>
      <c r="D1423" t="s">
        <v>12</v>
      </c>
      <c r="E1423" s="2" t="str">
        <f>HYPERLINK("https://ibp.a2mac1.com/costing(costing:projects/details/8191/process/6971882)","Process")</f>
        <v>Process</v>
      </c>
      <c r="F1423" t="s">
        <v>2050</v>
      </c>
    </row>
    <row r="1424" spans="1:6" ht="12.75">
      <c r="A1424">
        <v>5316571</v>
      </c>
      <c r="B1424">
        <v>6971882</v>
      </c>
      <c r="C1424" t="s">
        <v>24</v>
      </c>
      <c r="D1424" t="s">
        <v>99</v>
      </c>
      <c r="E1424" s="2" t="str">
        <f>HYPERLINK("https://ibp.a2mac1.com/costing(costing:projects/details/8191/material/5316571)","Aluminum for casting (default, e.g. A380/ADC10/EN-AC46500)")</f>
        <v>Aluminum for casting (default, e.g. A380/ADC10/EN-AC46500)</v>
      </c>
      <c r="F1424" t="s">
        <v>2053</v>
      </c>
    </row>
    <row r="1425" spans="1:6" ht="12.75">
      <c r="A1425">
        <v>6944306</v>
      </c>
      <c r="B1425">
        <v>6971882</v>
      </c>
      <c r="C1425" t="s">
        <v>189</v>
      </c>
      <c r="D1425" t="s">
        <v>99</v>
      </c>
      <c r="E1425" s="2" t="str">
        <f>HYPERLINK("https://ibp.a2mac1.com/costing(costing:projects/details/8191/equipment/6944306)","Machine")</f>
        <v>Machine</v>
      </c>
      <c r="F1425" t="s">
        <v>2053</v>
      </c>
    </row>
    <row r="1426" spans="1:6" ht="12.75">
      <c r="A1426">
        <v>5383019</v>
      </c>
      <c r="B1426">
        <v>5382853</v>
      </c>
      <c r="C1426" t="s">
        <v>12</v>
      </c>
      <c r="D1426" t="s">
        <v>8</v>
      </c>
      <c r="E1426" s="2" t="str">
        <f>HYPERLINK("https://ibp.a2mac1.com/costing(costing:projects/details/8191/part/5383019)","Target sensor")</f>
        <v>Target sensor</v>
      </c>
      <c r="F1426" t="s">
        <v>1989</v>
      </c>
    </row>
    <row r="1427" spans="1:6" ht="12.75">
      <c r="A1427">
        <v>5383020</v>
      </c>
      <c r="B1427">
        <v>5382853</v>
      </c>
      <c r="C1427" t="s">
        <v>12</v>
      </c>
      <c r="D1427" t="s">
        <v>8</v>
      </c>
      <c r="E1427" s="2" t="str">
        <f>HYPERLINK("https://ibp.a2mac1.com/costing(costing:projects/details/8191/part/5383020)","Busbar connector ")</f>
        <v xml:space="preserve">Busbar connector </v>
      </c>
      <c r="F1427" t="s">
        <v>1989</v>
      </c>
    </row>
    <row r="1428" spans="1:6" ht="12.75">
      <c r="A1428">
        <v>6971883</v>
      </c>
      <c r="B1428">
        <v>5383020</v>
      </c>
      <c r="C1428" t="s">
        <v>99</v>
      </c>
      <c r="D1428" t="s">
        <v>12</v>
      </c>
      <c r="E1428" s="2" t="str">
        <f>HYPERLINK("https://ibp.a2mac1.com/costing(costing:projects/details/8191/process/6971883)","Process")</f>
        <v>Process</v>
      </c>
      <c r="F1428" t="s">
        <v>2056</v>
      </c>
    </row>
    <row r="1429" spans="1:6" ht="12.75">
      <c r="A1429">
        <v>5316573</v>
      </c>
      <c r="B1429">
        <v>6971883</v>
      </c>
      <c r="C1429" t="s">
        <v>574</v>
      </c>
      <c r="D1429" t="s">
        <v>99</v>
      </c>
      <c r="E1429" s="2" t="str">
        <f>HYPERLINK("https://ibp.a2mac1.com/costing(costing:projects/details/8191/component/5316573)","Bushing Steel Small")</f>
        <v>Bushing Steel Small</v>
      </c>
      <c r="F1429" t="s">
        <v>2058</v>
      </c>
    </row>
    <row r="1430" spans="1:6" ht="12.75">
      <c r="A1430">
        <v>5316572</v>
      </c>
      <c r="B1430">
        <v>6971883</v>
      </c>
      <c r="C1430" t="s">
        <v>24</v>
      </c>
      <c r="D1430" t="s">
        <v>99</v>
      </c>
      <c r="E1430" s="2" t="str">
        <f>HYPERLINK("https://ibp.a2mac1.com/costing(costing:projects/details/8191/material/5316572)","PP-GF30")</f>
        <v>PP-GF30</v>
      </c>
      <c r="F1430" t="s">
        <v>2058</v>
      </c>
    </row>
    <row r="1431" spans="1:6" ht="12.75">
      <c r="A1431">
        <v>6944307</v>
      </c>
      <c r="B1431">
        <v>6971883</v>
      </c>
      <c r="C1431" t="s">
        <v>189</v>
      </c>
      <c r="D1431" t="s">
        <v>99</v>
      </c>
      <c r="E1431" s="2" t="str">
        <f>HYPERLINK("https://ibp.a2mac1.com/costing(costing:projects/details/8191/equipment/6944307)","Machine")</f>
        <v>Machine</v>
      </c>
      <c r="F1431" t="s">
        <v>2058</v>
      </c>
    </row>
    <row r="1432" spans="1:6" ht="12.75">
      <c r="A1432">
        <v>5383021</v>
      </c>
      <c r="B1432">
        <v>5382853</v>
      </c>
      <c r="C1432" t="s">
        <v>12</v>
      </c>
      <c r="D1432" t="s">
        <v>8</v>
      </c>
      <c r="E1432" s="2" t="str">
        <f>HYPERLINK("https://ibp.a2mac1.com/costing(costing:projects/details/8191/part/5383021)","Degassing valve")</f>
        <v>Degassing valve</v>
      </c>
      <c r="F1432" t="s">
        <v>1989</v>
      </c>
    </row>
    <row r="1433" spans="1:6" ht="12.75">
      <c r="A1433">
        <v>5383022</v>
      </c>
      <c r="B1433">
        <v>5382853</v>
      </c>
      <c r="C1433" t="s">
        <v>12</v>
      </c>
      <c r="D1433" t="s">
        <v>8</v>
      </c>
      <c r="E1433" s="2" t="str">
        <f>HYPERLINK("https://ibp.a2mac1.com/costing(costing:projects/details/8191/part/5383022)","Water inlet")</f>
        <v>Water inlet</v>
      </c>
      <c r="F1433" t="s">
        <v>1989</v>
      </c>
    </row>
    <row r="1434" spans="1:6" ht="12.75">
      <c r="A1434">
        <v>5383023</v>
      </c>
      <c r="B1434">
        <v>5382853</v>
      </c>
      <c r="C1434" t="s">
        <v>12</v>
      </c>
      <c r="D1434" t="s">
        <v>8</v>
      </c>
      <c r="E1434" s="2" t="str">
        <f>HYPERLINK("https://ibp.a2mac1.com/costing(costing:projects/details/8191/part/5383023)","Water outlet")</f>
        <v>Water outlet</v>
      </c>
      <c r="F1434" t="s">
        <v>1989</v>
      </c>
    </row>
    <row r="1435" spans="1:6" ht="12.75">
      <c r="A1435">
        <v>5383024</v>
      </c>
      <c r="B1435">
        <v>5382853</v>
      </c>
      <c r="C1435" t="s">
        <v>12</v>
      </c>
      <c r="D1435" t="s">
        <v>8</v>
      </c>
      <c r="E1435" s="2" t="str">
        <f>HYPERLINK("https://ibp.a2mac1.com/costing(costing:projects/details/8191/part/5383024)","Spring")</f>
        <v>Spring</v>
      </c>
      <c r="F1435" t="s">
        <v>1989</v>
      </c>
    </row>
    <row r="1436" spans="1:6" ht="12.75">
      <c r="A1436">
        <v>5383057</v>
      </c>
      <c r="B1436">
        <v>5382853</v>
      </c>
      <c r="C1436" t="s">
        <v>12</v>
      </c>
      <c r="D1436" t="s">
        <v>8</v>
      </c>
      <c r="E1436" s="2" t="str">
        <f>HYPERLINK("https://ibp.a2mac1.com/costing(costing:projects/details/8191/part/5383057)","Shim")</f>
        <v>Shim</v>
      </c>
      <c r="F1436" t="s">
        <v>1989</v>
      </c>
    </row>
    <row r="1437" spans="1:6" ht="12.75">
      <c r="A1437">
        <v>5383060</v>
      </c>
      <c r="B1437">
        <v>5382853</v>
      </c>
      <c r="C1437" t="s">
        <v>12</v>
      </c>
      <c r="D1437" t="s">
        <v>8</v>
      </c>
      <c r="E1437" s="2" t="str">
        <f>HYPERLINK("https://ibp.a2mac1.com/costing(costing:projects/details/8191/part/5383060)","Adjustment ring")</f>
        <v>Adjustment ring</v>
      </c>
      <c r="F1437" t="s">
        <v>1989</v>
      </c>
    </row>
    <row r="1438" spans="1:6" ht="12.75">
      <c r="A1438">
        <v>5383062</v>
      </c>
      <c r="B1438">
        <v>5382853</v>
      </c>
      <c r="C1438" t="s">
        <v>12</v>
      </c>
      <c r="D1438" t="s">
        <v>8</v>
      </c>
      <c r="E1438" s="2" t="str">
        <f>HYPERLINK("https://ibp.a2mac1.com/costing(costing:projects/details/8191/part/5383062)","Second adjustment ring")</f>
        <v>Second adjustment ring</v>
      </c>
      <c r="F1438" t="s">
        <v>1989</v>
      </c>
    </row>
    <row r="1439" spans="1:6" ht="12.75">
      <c r="A1439">
        <v>5383064</v>
      </c>
      <c r="B1439">
        <v>5382853</v>
      </c>
      <c r="C1439" t="s">
        <v>12</v>
      </c>
      <c r="D1439" t="s">
        <v>8</v>
      </c>
      <c r="E1439" s="2" t="str">
        <f>HYPERLINK("https://ibp.a2mac1.com/costing(costing:projects/details/8191/part/5383064)","Resolver")</f>
        <v>Resolver</v>
      </c>
      <c r="F1439" t="s">
        <v>1989</v>
      </c>
    </row>
    <row r="1440" spans="1:6" ht="12.75">
      <c r="A1440">
        <v>5383066</v>
      </c>
      <c r="B1440">
        <v>5382853</v>
      </c>
      <c r="C1440" t="s">
        <v>12</v>
      </c>
      <c r="D1440" t="s">
        <v>8</v>
      </c>
      <c r="E1440" s="2" t="str">
        <f>HYPERLINK("https://ibp.a2mac1.com/costing(costing:projects/details/8191/part/5383066)","Housing cover")</f>
        <v>Housing cover</v>
      </c>
      <c r="F1440" t="s">
        <v>1989</v>
      </c>
    </row>
    <row r="1441" spans="1:6" ht="12.75">
      <c r="A1441">
        <v>5383068</v>
      </c>
      <c r="B1441">
        <v>5382853</v>
      </c>
      <c r="C1441" t="s">
        <v>12</v>
      </c>
      <c r="D1441" t="s">
        <v>8</v>
      </c>
      <c r="E1441" s="2" t="str">
        <f>HYPERLINK("https://ibp.a2mac1.com/costing(costing:projects/details/8191/part/5383068)","Fastener")</f>
        <v>Fastener</v>
      </c>
      <c r="F1441" t="s">
        <v>1989</v>
      </c>
    </row>
    <row r="1442" spans="1:6" ht="12.75">
      <c r="A1442">
        <v>6971733</v>
      </c>
      <c r="B1442">
        <v>5382853</v>
      </c>
      <c r="C1442" t="s">
        <v>99</v>
      </c>
      <c r="D1442" t="s">
        <v>8</v>
      </c>
      <c r="E1442" s="2" t="str">
        <f>HYPERLINK("https://ibp.a2mac1.com/costing(costing:projects/details/8191/process/6971733)","Final assembly")</f>
        <v>Final assembly</v>
      </c>
      <c r="F1442" t="s">
        <v>1989</v>
      </c>
    </row>
    <row r="1443" spans="1:6" ht="12.75">
      <c r="A1443">
        <v>6944241</v>
      </c>
      <c r="B1443">
        <v>6971733</v>
      </c>
      <c r="C1443" t="s">
        <v>189</v>
      </c>
      <c r="D1443" t="s">
        <v>99</v>
      </c>
      <c r="E1443" s="2" t="str">
        <f>HYPERLINK("https://ibp.a2mac1.com/costing(costing:projects/details/8191/equipment/6944241)","Machine")</f>
        <v>Machine</v>
      </c>
      <c r="F1443" t="s">
        <v>2075</v>
      </c>
    </row>
    <row r="1444" spans="1:6" ht="12.75">
      <c r="A1444">
        <v>5382797</v>
      </c>
      <c r="B1444">
        <v>5382793</v>
      </c>
      <c r="C1444" t="s">
        <v>8</v>
      </c>
      <c r="D1444" t="s">
        <v>8</v>
      </c>
      <c r="E1444" s="2" t="str">
        <f>HYPERLINK("https://ibp.a2mac1.com/costing(costing:projects/details/8191/assembly/5382797)","Hybrid/Electric Vehicle ECU ")</f>
        <v xml:space="preserve">Hybrid/Electric Vehicle ECU </v>
      </c>
      <c r="F1444" t="s">
        <v>1765</v>
      </c>
    </row>
    <row r="1445" spans="1:6" ht="12.75">
      <c r="A1445">
        <v>5382854</v>
      </c>
      <c r="B1445">
        <v>5382797</v>
      </c>
      <c r="C1445" t="s">
        <v>8</v>
      </c>
      <c r="D1445" t="s">
        <v>8</v>
      </c>
      <c r="E1445" s="2" t="str">
        <f>HYPERLINK("https://ibp.a2mac1.com/costing(costing:projects/details/8191/assembly/5382854)"," Hybrid Electric Vehicle ECU")</f>
        <v xml:space="preserve"> Hybrid Electric Vehicle ECU</v>
      </c>
      <c r="F1445" t="s">
        <v>2079</v>
      </c>
    </row>
    <row r="1446" spans="1:6" ht="12.75">
      <c r="A1446">
        <v>5383074</v>
      </c>
      <c r="B1446">
        <v>5382854</v>
      </c>
      <c r="C1446" t="s">
        <v>8</v>
      </c>
      <c r="D1446" t="s">
        <v>8</v>
      </c>
      <c r="E1446" s="2" t="str">
        <f>HYPERLINK("https://ibp.a2mac1.com/costing(costing:projects/details/8191/assembly/5383074)"," Structural Parts")</f>
        <v xml:space="preserve"> Structural Parts</v>
      </c>
      <c r="F1446" t="s">
        <v>2080</v>
      </c>
    </row>
    <row r="1447" spans="1:6" ht="12.75">
      <c r="A1447">
        <v>5383393</v>
      </c>
      <c r="B1447">
        <v>5383074</v>
      </c>
      <c r="C1447" t="s">
        <v>12</v>
      </c>
      <c r="D1447" t="s">
        <v>8</v>
      </c>
      <c r="E1447" s="2" t="str">
        <f>HYPERLINK("https://ibp.a2mac1.com/costing(costing:projects/details/8191/part/5383393)"," Top Enclosure")</f>
        <v xml:space="preserve"> Top Enclosure</v>
      </c>
      <c r="F1447" t="s">
        <v>2081</v>
      </c>
    </row>
    <row r="1448" spans="1:6" ht="12.75">
      <c r="A1448">
        <v>5383076</v>
      </c>
      <c r="B1448">
        <v>5382854</v>
      </c>
      <c r="C1448" t="s">
        <v>8</v>
      </c>
      <c r="D1448" t="s">
        <v>8</v>
      </c>
      <c r="E1448" s="2" t="str">
        <f>HYPERLINK("https://ibp.a2mac1.com/costing(costing:projects/details/8191/assembly/5383076)"," Electrical Components")</f>
        <v xml:space="preserve"> Electrical Components</v>
      </c>
      <c r="F1448" t="s">
        <v>2080</v>
      </c>
    </row>
    <row r="1449" spans="1:6" ht="12.75">
      <c r="A1449">
        <v>5383394</v>
      </c>
      <c r="B1449">
        <v>5383076</v>
      </c>
      <c r="C1449" t="s">
        <v>12</v>
      </c>
      <c r="D1449" t="s">
        <v>8</v>
      </c>
      <c r="E1449" s="2" t="str">
        <f>HYPERLINK("https://ibp.a2mac1.com/costing(costing:projects/details/8191/part/5383394)"," Circuit Board")</f>
        <v xml:space="preserve"> Circuit Board</v>
      </c>
      <c r="F1449" t="s">
        <v>2084</v>
      </c>
    </row>
    <row r="1450" spans="1:6" ht="12.75">
      <c r="A1450">
        <v>6971734</v>
      </c>
      <c r="B1450">
        <v>5382854</v>
      </c>
      <c r="C1450" t="s">
        <v>99</v>
      </c>
      <c r="D1450" t="s">
        <v>8</v>
      </c>
      <c r="E1450" s="2" t="str">
        <f>HYPERLINK("https://ibp.a2mac1.com/costing(costing:projects/details/8191/process/6971734)","Final Assy")</f>
        <v>Final Assy</v>
      </c>
      <c r="F1450" t="s">
        <v>2080</v>
      </c>
    </row>
    <row r="1451" spans="1:6" ht="12.75">
      <c r="A1451">
        <v>6944242</v>
      </c>
      <c r="B1451">
        <v>6971734</v>
      </c>
      <c r="C1451" t="s">
        <v>189</v>
      </c>
      <c r="D1451" t="s">
        <v>99</v>
      </c>
      <c r="E1451" s="2" t="str">
        <f>HYPERLINK("https://ibp.a2mac1.com/costing(costing:projects/details/8191/equipment/6944242)","Machine 1")</f>
        <v>Machine 1</v>
      </c>
      <c r="F1451" t="s">
        <v>2087</v>
      </c>
    </row>
    <row r="1452" spans="1:6" ht="12.75">
      <c r="A1452">
        <v>5382855</v>
      </c>
      <c r="B1452">
        <v>5382797</v>
      </c>
      <c r="C1452" t="s">
        <v>8</v>
      </c>
      <c r="D1452" t="s">
        <v>8</v>
      </c>
      <c r="E1452" s="2" t="str">
        <f>HYPERLINK("https://ibp.a2mac1.com/costing(costing:projects/details/8191/assembly/5382855)"," External Components")</f>
        <v xml:space="preserve"> External Components</v>
      </c>
      <c r="F1452" t="s">
        <v>2079</v>
      </c>
    </row>
    <row r="1453" spans="1:6" ht="12.75">
      <c r="A1453">
        <v>5383077</v>
      </c>
      <c r="B1453">
        <v>5382855</v>
      </c>
      <c r="C1453" t="s">
        <v>12</v>
      </c>
      <c r="D1453" t="s">
        <v>8</v>
      </c>
      <c r="E1453" s="2" t="str">
        <f>HYPERLINK("https://ibp.a2mac1.com/costing(costing:projects/details/8191/part/5383077)"," Support")</f>
        <v xml:space="preserve"> Support</v>
      </c>
      <c r="F1453" t="s">
        <v>2089</v>
      </c>
    </row>
    <row r="1454" spans="1:6" ht="12.75">
      <c r="A1454">
        <v>5382798</v>
      </c>
      <c r="B1454">
        <v>5382793</v>
      </c>
      <c r="C1454" t="s">
        <v>8</v>
      </c>
      <c r="D1454" t="s">
        <v>8</v>
      </c>
      <c r="E1454" s="2" t="str">
        <f>HYPERLINK("https://ibp.a2mac1.com/costing(costing:projects/details/8191/assembly/5382798)","DC-DC Converter ")</f>
        <v xml:space="preserve">DC-DC Converter </v>
      </c>
      <c r="F1454" t="s">
        <v>1765</v>
      </c>
    </row>
    <row r="1455" spans="1:6" ht="12.75">
      <c r="A1455">
        <v>5382856</v>
      </c>
      <c r="B1455">
        <v>5382798</v>
      </c>
      <c r="C1455" t="s">
        <v>8</v>
      </c>
      <c r="D1455" t="s">
        <v>8</v>
      </c>
      <c r="E1455" s="2" t="str">
        <f>HYPERLINK("https://ibp.a2mac1.com/costing(costing:projects/details/8191/assembly/5382856)"," Connectors &amp; Wire Harnesses")</f>
        <v xml:space="preserve"> Connectors &amp; Wire Harnesses</v>
      </c>
      <c r="F1455" t="s">
        <v>2094</v>
      </c>
    </row>
    <row r="1456" spans="1:6" ht="12.75">
      <c r="A1456">
        <v>5383078</v>
      </c>
      <c r="B1456">
        <v>5382856</v>
      </c>
      <c r="C1456" t="s">
        <v>8</v>
      </c>
      <c r="D1456" t="s">
        <v>8</v>
      </c>
      <c r="E1456" s="2" t="str">
        <f>HYPERLINK("https://ibp.a2mac1.com/costing(costing:projects/details/8191/assembly/5383078)"," Busbars")</f>
        <v xml:space="preserve"> Busbars</v>
      </c>
      <c r="F1456" t="s">
        <v>2095</v>
      </c>
    </row>
    <row r="1457" spans="1:6" ht="12.75">
      <c r="A1457">
        <v>5383395</v>
      </c>
      <c r="B1457">
        <v>5383078</v>
      </c>
      <c r="C1457" t="s">
        <v>12</v>
      </c>
      <c r="D1457" t="s">
        <v>8</v>
      </c>
      <c r="E1457" s="2" t="str">
        <f>HYPERLINK("https://ibp.a2mac1.com/costing(costing:projects/details/8191/part/5383395)","Busbar 1")</f>
        <v>Busbar 1</v>
      </c>
      <c r="F1457" t="s">
        <v>2096</v>
      </c>
    </row>
    <row r="1458" spans="1:6" ht="12.75">
      <c r="A1458">
        <v>5383396</v>
      </c>
      <c r="B1458">
        <v>5383078</v>
      </c>
      <c r="C1458" t="s">
        <v>12</v>
      </c>
      <c r="D1458" t="s">
        <v>8</v>
      </c>
      <c r="E1458" s="2" t="str">
        <f>HYPERLINK("https://ibp.a2mac1.com/costing(costing:projects/details/8191/part/5383396)","Busbar 2")</f>
        <v>Busbar 2</v>
      </c>
      <c r="F1458" t="s">
        <v>2096</v>
      </c>
    </row>
    <row r="1459" spans="1:6" ht="12.75">
      <c r="A1459">
        <v>5383079</v>
      </c>
      <c r="B1459">
        <v>5382856</v>
      </c>
      <c r="C1459" t="s">
        <v>8</v>
      </c>
      <c r="D1459" t="s">
        <v>8</v>
      </c>
      <c r="E1459" s="2" t="str">
        <f>HYPERLINK("https://ibp.a2mac1.com/costing(costing:projects/details/8191/assembly/5383079)"," Connectors")</f>
        <v xml:space="preserve"> Connectors</v>
      </c>
      <c r="F1459" t="s">
        <v>2095</v>
      </c>
    </row>
    <row r="1460" spans="1:6" ht="12.75">
      <c r="A1460">
        <v>5383397</v>
      </c>
      <c r="B1460">
        <v>5383079</v>
      </c>
      <c r="C1460" t="s">
        <v>8</v>
      </c>
      <c r="D1460" t="s">
        <v>8</v>
      </c>
      <c r="E1460" s="2" t="str">
        <f>HYPERLINK("https://ibp.a2mac1.com/costing(costing:projects/details/8191/assembly/5383397)"," HV Connectors")</f>
        <v xml:space="preserve"> HV Connectors</v>
      </c>
      <c r="F1460" t="s">
        <v>2100</v>
      </c>
    </row>
    <row r="1461" spans="1:6" ht="12.75">
      <c r="A1461">
        <v>5383724</v>
      </c>
      <c r="B1461">
        <v>5383397</v>
      </c>
      <c r="C1461" t="s">
        <v>12</v>
      </c>
      <c r="D1461" t="s">
        <v>8</v>
      </c>
      <c r="E1461" s="2" t="str">
        <f>HYPERLINK("https://ibp.a2mac1.com/costing(costing:projects/details/8191/part/5383724)"," HV Connector 1")</f>
        <v xml:space="preserve"> HV Connector 1</v>
      </c>
      <c r="F1461" t="s">
        <v>2101</v>
      </c>
    </row>
    <row r="1462" spans="1:6" ht="12.75">
      <c r="A1462">
        <v>5382857</v>
      </c>
      <c r="B1462">
        <v>5382798</v>
      </c>
      <c r="C1462" t="s">
        <v>8</v>
      </c>
      <c r="D1462" t="s">
        <v>8</v>
      </c>
      <c r="E1462" s="2" t="str">
        <f>HYPERLINK("https://ibp.a2mac1.com/costing(costing:projects/details/8191/assembly/5382857)"," Electrical Parts")</f>
        <v xml:space="preserve"> Electrical Parts</v>
      </c>
      <c r="F1462" t="s">
        <v>2094</v>
      </c>
    </row>
    <row r="1463" spans="1:6" ht="12.75">
      <c r="A1463">
        <v>5383080</v>
      </c>
      <c r="B1463">
        <v>5382857</v>
      </c>
      <c r="C1463" t="s">
        <v>8</v>
      </c>
      <c r="D1463" t="s">
        <v>8</v>
      </c>
      <c r="E1463" s="2" t="str">
        <f>HYPERLINK("https://ibp.a2mac1.com/costing(costing:projects/details/8191/assembly/5383080)"," Ferrites &amp; Cores")</f>
        <v xml:space="preserve"> Ferrites &amp; Cores</v>
      </c>
      <c r="F1463" t="s">
        <v>2106</v>
      </c>
    </row>
    <row r="1464" spans="1:6" ht="12.75">
      <c r="A1464">
        <v>5383398</v>
      </c>
      <c r="B1464">
        <v>5383080</v>
      </c>
      <c r="C1464" t="s">
        <v>12</v>
      </c>
      <c r="D1464" t="s">
        <v>8</v>
      </c>
      <c r="E1464" s="2" t="str">
        <f>HYPERLINK("https://ibp.a2mac1.com/costing(costing:projects/details/8191/part/5383398)"," Ferrite 1")</f>
        <v xml:space="preserve"> Ferrite 1</v>
      </c>
      <c r="F1464" t="s">
        <v>2107</v>
      </c>
    </row>
    <row r="1465" spans="1:6" ht="12.75">
      <c r="A1465">
        <v>5383402</v>
      </c>
      <c r="B1465">
        <v>5383080</v>
      </c>
      <c r="C1465" t="s">
        <v>12</v>
      </c>
      <c r="D1465" t="s">
        <v>8</v>
      </c>
      <c r="E1465" s="2" t="str">
        <f>HYPERLINK("https://ibp.a2mac1.com/costing(costing:projects/details/8191/part/5383402)"," Ferrite 2")</f>
        <v xml:space="preserve"> Ferrite 2</v>
      </c>
      <c r="F1465" t="s">
        <v>2107</v>
      </c>
    </row>
    <row r="1466" spans="1:6" ht="12.75">
      <c r="A1466">
        <v>5383403</v>
      </c>
      <c r="B1466">
        <v>5383080</v>
      </c>
      <c r="C1466" t="s">
        <v>12</v>
      </c>
      <c r="D1466" t="s">
        <v>8</v>
      </c>
      <c r="E1466" s="2" t="str">
        <f>HYPERLINK("https://ibp.a2mac1.com/costing(costing:projects/details/8191/part/5383403)"," Ferrite 5")</f>
        <v xml:space="preserve"> Ferrite 5</v>
      </c>
      <c r="F1466" t="s">
        <v>2107</v>
      </c>
    </row>
    <row r="1467" spans="1:6" ht="12.75">
      <c r="A1467">
        <v>5383404</v>
      </c>
      <c r="B1467">
        <v>5383080</v>
      </c>
      <c r="C1467" t="s">
        <v>12</v>
      </c>
      <c r="D1467" t="s">
        <v>8</v>
      </c>
      <c r="E1467" s="2" t="str">
        <f>HYPERLINK("https://ibp.a2mac1.com/costing(costing:projects/details/8191/part/5383404)"," Ferrite 4")</f>
        <v xml:space="preserve"> Ferrite 4</v>
      </c>
      <c r="F1467" t="s">
        <v>2107</v>
      </c>
    </row>
    <row r="1468" spans="1:6" ht="12.75">
      <c r="A1468">
        <v>5383405</v>
      </c>
      <c r="B1468">
        <v>5383080</v>
      </c>
      <c r="C1468" t="s">
        <v>12</v>
      </c>
      <c r="D1468" t="s">
        <v>8</v>
      </c>
      <c r="E1468" s="2" t="str">
        <f>HYPERLINK("https://ibp.a2mac1.com/costing(costing:projects/details/8191/part/5383405)"," Ferrite 3")</f>
        <v xml:space="preserve"> Ferrite 3</v>
      </c>
      <c r="F1468" t="s">
        <v>2107</v>
      </c>
    </row>
    <row r="1469" spans="1:6" ht="12.75">
      <c r="A1469">
        <v>5383406</v>
      </c>
      <c r="B1469">
        <v>5383080</v>
      </c>
      <c r="C1469" t="s">
        <v>12</v>
      </c>
      <c r="D1469" t="s">
        <v>8</v>
      </c>
      <c r="E1469" s="2" t="str">
        <f>HYPERLINK("https://ibp.a2mac1.com/costing(costing:projects/details/8191/part/5383406)"," Ferrite 6")</f>
        <v xml:space="preserve"> Ferrite 6</v>
      </c>
      <c r="F1469" t="s">
        <v>2107</v>
      </c>
    </row>
    <row r="1470" spans="1:6" ht="12.75">
      <c r="A1470">
        <v>5383407</v>
      </c>
      <c r="B1470">
        <v>5383080</v>
      </c>
      <c r="C1470" t="s">
        <v>12</v>
      </c>
      <c r="D1470" t="s">
        <v>8</v>
      </c>
      <c r="E1470" s="2" t="str">
        <f>HYPERLINK("https://ibp.a2mac1.com/costing(costing:projects/details/8191/part/5383407)"," Ferrite 7")</f>
        <v xml:space="preserve"> Ferrite 7</v>
      </c>
      <c r="F1470" t="s">
        <v>2107</v>
      </c>
    </row>
    <row r="1471" spans="1:6" ht="12.75">
      <c r="A1471">
        <v>5383408</v>
      </c>
      <c r="B1471">
        <v>5383080</v>
      </c>
      <c r="C1471" t="s">
        <v>12</v>
      </c>
      <c r="D1471" t="s">
        <v>8</v>
      </c>
      <c r="E1471" s="2" t="str">
        <f>HYPERLINK("https://ibp.a2mac1.com/costing(costing:projects/details/8191/part/5383408)"," Ferrite 8")</f>
        <v xml:space="preserve"> Ferrite 8</v>
      </c>
      <c r="F1471" t="s">
        <v>2107</v>
      </c>
    </row>
    <row r="1472" spans="1:6" ht="12.75">
      <c r="A1472">
        <v>5383409</v>
      </c>
      <c r="B1472">
        <v>5383080</v>
      </c>
      <c r="C1472" t="s">
        <v>12</v>
      </c>
      <c r="D1472" t="s">
        <v>8</v>
      </c>
      <c r="E1472" s="2" t="str">
        <f>HYPERLINK("https://ibp.a2mac1.com/costing(costing:projects/details/8191/part/5383409)"," Ferrite 9")</f>
        <v xml:space="preserve"> Ferrite 9</v>
      </c>
      <c r="F1472" t="s">
        <v>2107</v>
      </c>
    </row>
    <row r="1473" spans="1:6" ht="12.75">
      <c r="A1473">
        <v>5383410</v>
      </c>
      <c r="B1473">
        <v>5383080</v>
      </c>
      <c r="C1473" t="s">
        <v>12</v>
      </c>
      <c r="D1473" t="s">
        <v>8</v>
      </c>
      <c r="E1473" s="2" t="str">
        <f>HYPERLINK("https://ibp.a2mac1.com/costing(costing:projects/details/8191/part/5383410)"," Ferrite 10")</f>
        <v xml:space="preserve"> Ferrite 10</v>
      </c>
      <c r="F1473" t="s">
        <v>2107</v>
      </c>
    </row>
    <row r="1474" spans="1:6" ht="12.75">
      <c r="A1474">
        <v>5382858</v>
      </c>
      <c r="B1474">
        <v>5382798</v>
      </c>
      <c r="C1474" t="s">
        <v>8</v>
      </c>
      <c r="D1474" t="s">
        <v>8</v>
      </c>
      <c r="E1474" s="2" t="str">
        <f>HYPERLINK("https://ibp.a2mac1.com/costing(costing:projects/details/8191/assembly/5382858)"," Electronic Parts")</f>
        <v xml:space="preserve"> Electronic Parts</v>
      </c>
      <c r="F1474" t="s">
        <v>2094</v>
      </c>
    </row>
    <row r="1475" spans="1:6" ht="12.75">
      <c r="A1475">
        <v>5383081</v>
      </c>
      <c r="B1475">
        <v>5382858</v>
      </c>
      <c r="C1475" t="s">
        <v>12</v>
      </c>
      <c r="D1475" t="s">
        <v>8</v>
      </c>
      <c r="E1475" s="2" t="str">
        <f>HYPERLINK("https://ibp.a2mac1.com/costing(costing:projects/details/8191/part/5383081)"," PCB 1")</f>
        <v xml:space="preserve"> PCB 1</v>
      </c>
      <c r="F1475" t="s">
        <v>2120</v>
      </c>
    </row>
    <row r="1476" spans="1:6" ht="12.75">
      <c r="A1476">
        <v>5382859</v>
      </c>
      <c r="B1476">
        <v>5382798</v>
      </c>
      <c r="C1476" t="s">
        <v>8</v>
      </c>
      <c r="D1476" t="s">
        <v>8</v>
      </c>
      <c r="E1476" s="2" t="str">
        <f>HYPERLINK("https://ibp.a2mac1.com/costing(costing:projects/details/8191/assembly/5382859)"," Mechanical Parts")</f>
        <v xml:space="preserve"> Mechanical Parts</v>
      </c>
      <c r="F1476" t="s">
        <v>2094</v>
      </c>
    </row>
    <row r="1477" spans="1:6" ht="12.75">
      <c r="A1477">
        <v>5383082</v>
      </c>
      <c r="B1477">
        <v>5382859</v>
      </c>
      <c r="C1477" t="s">
        <v>8</v>
      </c>
      <c r="D1477" t="s">
        <v>8</v>
      </c>
      <c r="E1477" s="2" t="str">
        <f>HYPERLINK("https://ibp.a2mac1.com/costing(costing:projects/details/8191/assembly/5383082)"," Adhesives / Foam Pads")</f>
        <v xml:space="preserve"> Adhesives / Foam Pads</v>
      </c>
      <c r="F1477" t="s">
        <v>2123</v>
      </c>
    </row>
    <row r="1478" spans="1:6" ht="12.75">
      <c r="A1478">
        <v>5383411</v>
      </c>
      <c r="B1478">
        <v>5383082</v>
      </c>
      <c r="C1478" t="s">
        <v>12</v>
      </c>
      <c r="D1478" t="s">
        <v>8</v>
      </c>
      <c r="E1478" s="2" t="str">
        <f>HYPERLINK("https://ibp.a2mac1.com/costing(costing:projects/details/8191/part/5383411)"," Foam Pad 1")</f>
        <v xml:space="preserve"> Foam Pad 1</v>
      </c>
      <c r="F1478" t="s">
        <v>2124</v>
      </c>
    </row>
    <row r="1479" spans="1:6" ht="12.75">
      <c r="A1479">
        <v>5383412</v>
      </c>
      <c r="B1479">
        <v>5383082</v>
      </c>
      <c r="C1479" t="s">
        <v>12</v>
      </c>
      <c r="D1479" t="s">
        <v>8</v>
      </c>
      <c r="E1479" s="2" t="str">
        <f>HYPERLINK("https://ibp.a2mac1.com/costing(costing:projects/details/8191/part/5383412)"," Foam Pad 2")</f>
        <v xml:space="preserve"> Foam Pad 2</v>
      </c>
      <c r="F1479" t="s">
        <v>2124</v>
      </c>
    </row>
    <row r="1480" spans="1:6" ht="12.75">
      <c r="A1480">
        <v>5383413</v>
      </c>
      <c r="B1480">
        <v>5383082</v>
      </c>
      <c r="C1480" t="s">
        <v>12</v>
      </c>
      <c r="D1480" t="s">
        <v>8</v>
      </c>
      <c r="E1480" s="2" t="str">
        <f>HYPERLINK("https://ibp.a2mac1.com/costing(costing:projects/details/8191/part/5383413)","Thermal Paste - Cooling Tube")</f>
        <v>Thermal Paste - Cooling Tube</v>
      </c>
      <c r="F1480" t="s">
        <v>2124</v>
      </c>
    </row>
    <row r="1481" spans="1:6" ht="12.75">
      <c r="A1481">
        <v>5383414</v>
      </c>
      <c r="B1481">
        <v>5383082</v>
      </c>
      <c r="C1481" t="s">
        <v>12</v>
      </c>
      <c r="D1481" t="s">
        <v>8</v>
      </c>
      <c r="E1481" s="2" t="str">
        <f>HYPERLINK("https://ibp.a2mac1.com/costing(costing:projects/details/8191/part/5383414)","Thermal Paste - Hosuing")</f>
        <v>Thermal Paste - Hosuing</v>
      </c>
      <c r="F1481" t="s">
        <v>2124</v>
      </c>
    </row>
    <row r="1482" spans="1:6" ht="12.75">
      <c r="A1482">
        <v>5383415</v>
      </c>
      <c r="B1482">
        <v>5383082</v>
      </c>
      <c r="C1482" t="s">
        <v>12</v>
      </c>
      <c r="D1482" t="s">
        <v>8</v>
      </c>
      <c r="E1482" s="2" t="str">
        <f>HYPERLINK("https://ibp.a2mac1.com/costing(costing:projects/details/8191/part/5383415)","Dispense Sealing")</f>
        <v>Dispense Sealing</v>
      </c>
      <c r="F1482" t="s">
        <v>2124</v>
      </c>
    </row>
    <row r="1483" spans="1:6" ht="12.75">
      <c r="A1483">
        <v>5383083</v>
      </c>
      <c r="B1483">
        <v>5382859</v>
      </c>
      <c r="C1483" t="s">
        <v>8</v>
      </c>
      <c r="D1483" t="s">
        <v>8</v>
      </c>
      <c r="E1483" s="2" t="str">
        <f>HYPERLINK("https://ibp.a2mac1.com/costing(costing:projects/details/8191/assembly/5383083)"," Covers")</f>
        <v xml:space="preserve"> Covers</v>
      </c>
      <c r="F1483" t="s">
        <v>2123</v>
      </c>
    </row>
    <row r="1484" spans="1:6" ht="12.75">
      <c r="A1484">
        <v>5383416</v>
      </c>
      <c r="B1484">
        <v>5383083</v>
      </c>
      <c r="C1484" t="s">
        <v>12</v>
      </c>
      <c r="D1484" t="s">
        <v>8</v>
      </c>
      <c r="E1484" s="2" t="str">
        <f>HYPERLINK("https://ibp.a2mac1.com/costing(costing:projects/details/8191/part/5383416)"," Fuse Cover 1")</f>
        <v xml:space="preserve"> Fuse Cover 1</v>
      </c>
      <c r="F1484" t="s">
        <v>2131</v>
      </c>
    </row>
    <row r="1485" spans="1:6" ht="12.75">
      <c r="A1485">
        <v>5383417</v>
      </c>
      <c r="B1485">
        <v>5383083</v>
      </c>
      <c r="C1485" t="s">
        <v>12</v>
      </c>
      <c r="D1485" t="s">
        <v>8</v>
      </c>
      <c r="E1485" s="2" t="str">
        <f>HYPERLINK("https://ibp.a2mac1.com/costing(costing:projects/details/8191/part/5383417)"," Ferrite Cover 1")</f>
        <v xml:space="preserve"> Ferrite Cover 1</v>
      </c>
      <c r="F1485" t="s">
        <v>2131</v>
      </c>
    </row>
    <row r="1486" spans="1:6" ht="12.75">
      <c r="A1486">
        <v>5383084</v>
      </c>
      <c r="B1486">
        <v>5382859</v>
      </c>
      <c r="C1486" t="s">
        <v>8</v>
      </c>
      <c r="D1486" t="s">
        <v>8</v>
      </c>
      <c r="E1486" s="2" t="str">
        <f>HYPERLINK("https://ibp.a2mac1.com/costing(costing:projects/details/8191/assembly/5383084)"," Housing Parts")</f>
        <v xml:space="preserve"> Housing Parts</v>
      </c>
      <c r="F1486" t="s">
        <v>2123</v>
      </c>
    </row>
    <row r="1487" spans="1:6" ht="12.75">
      <c r="A1487">
        <v>5383418</v>
      </c>
      <c r="B1487">
        <v>5383084</v>
      </c>
      <c r="C1487" t="s">
        <v>12</v>
      </c>
      <c r="D1487" t="s">
        <v>8</v>
      </c>
      <c r="E1487" s="2" t="str">
        <f>HYPERLINK("https://ibp.a2mac1.com/costing(costing:projects/details/8191/part/5383418)"," Main Housing")</f>
        <v xml:space="preserve"> Main Housing</v>
      </c>
      <c r="F1487" t="s">
        <v>2135</v>
      </c>
    </row>
    <row r="1488" spans="1:6" ht="12.75">
      <c r="A1488">
        <v>6971959</v>
      </c>
      <c r="B1488">
        <v>5383418</v>
      </c>
      <c r="C1488" t="s">
        <v>99</v>
      </c>
      <c r="D1488" t="s">
        <v>12</v>
      </c>
      <c r="E1488" s="2" t="str">
        <f>HYPERLINK("https://ibp.a2mac1.com/costing(costing:projects/details/8191/process/6971959)","Process")</f>
        <v>Process</v>
      </c>
      <c r="F1488" t="s">
        <v>2136</v>
      </c>
    </row>
    <row r="1489" spans="1:6" ht="12.75">
      <c r="A1489">
        <v>5316791</v>
      </c>
      <c r="B1489">
        <v>6971959</v>
      </c>
      <c r="C1489" t="s">
        <v>24</v>
      </c>
      <c r="D1489" t="s">
        <v>99</v>
      </c>
      <c r="E1489" s="2" t="str">
        <f>HYPERLINK("https://ibp.a2mac1.com/costing(costing:projects/details/8191/material/5316791)","Aluminum for casting (default, e.g. A380/ADC10/EN-AC46500)")</f>
        <v>Aluminum for casting (default, e.g. A380/ADC10/EN-AC46500)</v>
      </c>
      <c r="F1489" t="s">
        <v>2139</v>
      </c>
    </row>
    <row r="1490" spans="1:6" ht="12.75">
      <c r="A1490">
        <v>6944473</v>
      </c>
      <c r="B1490">
        <v>6971959</v>
      </c>
      <c r="C1490" t="s">
        <v>189</v>
      </c>
      <c r="D1490" t="s">
        <v>99</v>
      </c>
      <c r="E1490" s="2" t="str">
        <f>HYPERLINK("https://ibp.a2mac1.com/costing(costing:projects/details/8191/equipment/6944473)","Machine 1")</f>
        <v>Machine 1</v>
      </c>
      <c r="F1490" t="s">
        <v>2139</v>
      </c>
    </row>
    <row r="1491" spans="1:6" ht="12.75">
      <c r="A1491">
        <v>5383419</v>
      </c>
      <c r="B1491">
        <v>5383084</v>
      </c>
      <c r="C1491" t="s">
        <v>12</v>
      </c>
      <c r="D1491" t="s">
        <v>8</v>
      </c>
      <c r="E1491" s="2" t="str">
        <f>HYPERLINK("https://ibp.a2mac1.com/costing(costing:projects/details/8191/part/5383419)"," Top Lid")</f>
        <v xml:space="preserve"> Top Lid</v>
      </c>
      <c r="F1491" t="s">
        <v>2135</v>
      </c>
    </row>
    <row r="1492" spans="1:6" ht="12.75">
      <c r="A1492">
        <v>6971960</v>
      </c>
      <c r="B1492">
        <v>5383419</v>
      </c>
      <c r="C1492" t="s">
        <v>99</v>
      </c>
      <c r="D1492" t="s">
        <v>12</v>
      </c>
      <c r="E1492" s="2" t="str">
        <f>HYPERLINK("https://ibp.a2mac1.com/costing(costing:projects/details/8191/process/6971960)","Process")</f>
        <v>Process</v>
      </c>
      <c r="F1492" t="s">
        <v>2141</v>
      </c>
    </row>
    <row r="1493" spans="1:6" ht="12.75">
      <c r="A1493">
        <v>5316792</v>
      </c>
      <c r="B1493">
        <v>6971960</v>
      </c>
      <c r="C1493" t="s">
        <v>24</v>
      </c>
      <c r="D1493" t="s">
        <v>99</v>
      </c>
      <c r="E1493" s="2" t="str">
        <f>HYPERLINK("https://ibp.a2mac1.com/costing(costing:projects/details/8191/material/5316792)","Aluminum sheet (default, e.g. EN AW1050A)")</f>
        <v>Aluminum sheet (default, e.g. EN AW1050A)</v>
      </c>
      <c r="F1493" t="s">
        <v>2144</v>
      </c>
    </row>
    <row r="1494" spans="1:6" ht="12.75">
      <c r="A1494">
        <v>6944474</v>
      </c>
      <c r="B1494">
        <v>6971960</v>
      </c>
      <c r="C1494" t="s">
        <v>189</v>
      </c>
      <c r="D1494" t="s">
        <v>99</v>
      </c>
      <c r="E1494" s="2" t="str">
        <f>HYPERLINK("https://ibp.a2mac1.com/costing(costing:projects/details/8191/equipment/6944474)","Machine 1")</f>
        <v>Machine 1</v>
      </c>
      <c r="F1494" t="s">
        <v>2144</v>
      </c>
    </row>
    <row r="1495" spans="1:6" ht="12.75">
      <c r="A1495">
        <v>5383420</v>
      </c>
      <c r="B1495">
        <v>5383084</v>
      </c>
      <c r="C1495" t="s">
        <v>12</v>
      </c>
      <c r="D1495" t="s">
        <v>8</v>
      </c>
      <c r="E1495" s="2" t="str">
        <f>HYPERLINK("https://ibp.a2mac1.com/costing(costing:projects/details/8191/part/5383420)"," Cooling Channel")</f>
        <v xml:space="preserve"> Cooling Channel</v>
      </c>
      <c r="F1495" t="s">
        <v>2135</v>
      </c>
    </row>
    <row r="1496" spans="1:6" ht="12.75">
      <c r="A1496">
        <v>6971715</v>
      </c>
      <c r="B1496">
        <v>5382798</v>
      </c>
      <c r="C1496" t="s">
        <v>99</v>
      </c>
      <c r="D1496" t="s">
        <v>8</v>
      </c>
      <c r="E1496" s="2" t="str">
        <f>HYPERLINK("https://ibp.a2mac1.com/costing(costing:projects/details/8191/process/6971715)","Final Assy")</f>
        <v>Final Assy</v>
      </c>
      <c r="F1496" t="s">
        <v>2094</v>
      </c>
    </row>
    <row r="1497" spans="1:6" ht="12.75">
      <c r="A1497">
        <v>6944229</v>
      </c>
      <c r="B1497">
        <v>6971715</v>
      </c>
      <c r="C1497" t="s">
        <v>189</v>
      </c>
      <c r="D1497" t="s">
        <v>99</v>
      </c>
      <c r="E1497" s="2" t="str">
        <f>HYPERLINK("https://ibp.a2mac1.com/costing(costing:projects/details/8191/equipment/6944229)","Machine 1")</f>
        <v>Machine 1</v>
      </c>
      <c r="F1497" t="s">
        <v>2149</v>
      </c>
    </row>
    <row r="1498" spans="1:6" ht="12.75">
      <c r="A1498">
        <v>5382799</v>
      </c>
      <c r="B1498">
        <v>5382793</v>
      </c>
      <c r="C1498" t="s">
        <v>8</v>
      </c>
      <c r="D1498" t="s">
        <v>8</v>
      </c>
      <c r="E1498" s="2" t="str">
        <f>HYPERLINK("https://ibp.a2mac1.com/costing(costing:projects/details/8191/assembly/5382799)","Onboard Charger ")</f>
        <v xml:space="preserve">Onboard Charger </v>
      </c>
      <c r="F1498" t="s">
        <v>1765</v>
      </c>
    </row>
    <row r="1499" spans="1:6" ht="12.75">
      <c r="A1499">
        <v>5382860</v>
      </c>
      <c r="B1499">
        <v>5382799</v>
      </c>
      <c r="C1499" t="s">
        <v>8</v>
      </c>
      <c r="D1499" t="s">
        <v>8</v>
      </c>
      <c r="E1499" s="2" t="str">
        <f>HYPERLINK("https://ibp.a2mac1.com/costing(costing:projects/details/8191/assembly/5382860)"," Connectors &amp; Wire Harnesses")</f>
        <v xml:space="preserve"> Connectors &amp; Wire Harnesses</v>
      </c>
      <c r="F1499" t="s">
        <v>2152</v>
      </c>
    </row>
    <row r="1500" spans="1:6" ht="12.75">
      <c r="A1500">
        <v>5383085</v>
      </c>
      <c r="B1500">
        <v>5382860</v>
      </c>
      <c r="C1500" t="s">
        <v>8</v>
      </c>
      <c r="D1500" t="s">
        <v>8</v>
      </c>
      <c r="E1500" s="2" t="str">
        <f>HYPERLINK("https://ibp.a2mac1.com/costing(costing:projects/details/8191/assembly/5383085)"," Connectors")</f>
        <v xml:space="preserve"> Connectors</v>
      </c>
      <c r="F1500" t="s">
        <v>2153</v>
      </c>
    </row>
    <row r="1501" spans="1:6" ht="12.75">
      <c r="A1501">
        <v>5383422</v>
      </c>
      <c r="B1501">
        <v>5383085</v>
      </c>
      <c r="C1501" t="s">
        <v>8</v>
      </c>
      <c r="D1501" t="s">
        <v>8</v>
      </c>
      <c r="E1501" s="2" t="str">
        <f>HYPERLINK("https://ibp.a2mac1.com/costing(costing:projects/details/8191/assembly/5383422)"," HV Connectors")</f>
        <v xml:space="preserve"> HV Connectors</v>
      </c>
      <c r="F1501" t="s">
        <v>2154</v>
      </c>
    </row>
    <row r="1502" spans="1:6" ht="12.75">
      <c r="A1502">
        <v>5383725</v>
      </c>
      <c r="B1502">
        <v>5383422</v>
      </c>
      <c r="C1502" t="s">
        <v>12</v>
      </c>
      <c r="D1502" t="s">
        <v>8</v>
      </c>
      <c r="E1502" s="2" t="str">
        <f>HYPERLINK("https://ibp.a2mac1.com/costing(costing:projects/details/8191/part/5383725)"," HV Connector 1")</f>
        <v xml:space="preserve"> HV Connector 1</v>
      </c>
      <c r="F1502" t="s">
        <v>2155</v>
      </c>
    </row>
    <row r="1503" spans="1:6" ht="12.75">
      <c r="A1503">
        <v>5383726</v>
      </c>
      <c r="B1503">
        <v>5383422</v>
      </c>
      <c r="C1503" t="s">
        <v>12</v>
      </c>
      <c r="D1503" t="s">
        <v>8</v>
      </c>
      <c r="E1503" s="2" t="str">
        <f>HYPERLINK("https://ibp.a2mac1.com/costing(costing:projects/details/8191/part/5383726)"," HV Connector 2")</f>
        <v xml:space="preserve"> HV Connector 2</v>
      </c>
      <c r="F1503" t="s">
        <v>2155</v>
      </c>
    </row>
    <row r="1504" spans="1:6" ht="12.75">
      <c r="A1504">
        <v>5383421</v>
      </c>
      <c r="B1504">
        <v>5383085</v>
      </c>
      <c r="C1504" t="s">
        <v>12</v>
      </c>
      <c r="D1504" t="s">
        <v>8</v>
      </c>
      <c r="E1504" s="2" t="str">
        <f>HYPERLINK("https://ibp.a2mac1.com/costing(costing:projects/details/8191/part/5383421)"," Board to Board Connectors")</f>
        <v xml:space="preserve"> Board to Board Connectors</v>
      </c>
      <c r="F1504" t="s">
        <v>2154</v>
      </c>
    </row>
    <row r="1505" spans="1:6" ht="12.75">
      <c r="A1505">
        <v>5382861</v>
      </c>
      <c r="B1505">
        <v>5382799</v>
      </c>
      <c r="C1505" t="s">
        <v>8</v>
      </c>
      <c r="D1505" t="s">
        <v>8</v>
      </c>
      <c r="E1505" s="2" t="str">
        <f>HYPERLINK("https://ibp.a2mac1.com/costing(costing:projects/details/8191/assembly/5382861)"," Electrical Parts")</f>
        <v xml:space="preserve"> Electrical Parts</v>
      </c>
      <c r="F1505" t="s">
        <v>2152</v>
      </c>
    </row>
    <row r="1506" spans="1:6" ht="12.75">
      <c r="A1506">
        <v>5383086</v>
      </c>
      <c r="B1506">
        <v>5382861</v>
      </c>
      <c r="C1506" t="s">
        <v>8</v>
      </c>
      <c r="D1506" t="s">
        <v>8</v>
      </c>
      <c r="E1506" s="2" t="str">
        <f>HYPERLINK("https://ibp.a2mac1.com/costing(costing:projects/details/8191/assembly/5383086)"," Inductors")</f>
        <v xml:space="preserve"> Inductors</v>
      </c>
      <c r="F1506" t="s">
        <v>2162</v>
      </c>
    </row>
    <row r="1507" spans="1:6" ht="12.75">
      <c r="A1507">
        <v>5383423</v>
      </c>
      <c r="B1507">
        <v>5383086</v>
      </c>
      <c r="C1507" t="s">
        <v>12</v>
      </c>
      <c r="D1507" t="s">
        <v>8</v>
      </c>
      <c r="E1507" s="2" t="str">
        <f>HYPERLINK("https://ibp.a2mac1.com/costing(costing:projects/details/8191/part/5383423)","PFC Choke")</f>
        <v>PFC Choke</v>
      </c>
      <c r="F1507" t="s">
        <v>2163</v>
      </c>
    </row>
    <row r="1508" spans="1:6" ht="12.75">
      <c r="A1508">
        <v>5383424</v>
      </c>
      <c r="B1508">
        <v>5383086</v>
      </c>
      <c r="C1508" t="s">
        <v>12</v>
      </c>
      <c r="D1508" t="s">
        <v>8</v>
      </c>
      <c r="E1508" s="2" t="str">
        <f>HYPERLINK("https://ibp.a2mac1.com/costing(costing:projects/details/8191/part/5383424)","HV Transformer")</f>
        <v>HV Transformer</v>
      </c>
      <c r="F1508" t="s">
        <v>2163</v>
      </c>
    </row>
    <row r="1509" spans="1:6" ht="12.75">
      <c r="A1509">
        <v>5382862</v>
      </c>
      <c r="B1509">
        <v>5382799</v>
      </c>
      <c r="C1509" t="s">
        <v>8</v>
      </c>
      <c r="D1509" t="s">
        <v>8</v>
      </c>
      <c r="E1509" s="2" t="str">
        <f>HYPERLINK("https://ibp.a2mac1.com/costing(costing:projects/details/8191/assembly/5382862)"," Electronic Parts")</f>
        <v xml:space="preserve"> Electronic Parts</v>
      </c>
      <c r="F1509" t="s">
        <v>2152</v>
      </c>
    </row>
    <row r="1510" spans="1:6" ht="12.75">
      <c r="A1510">
        <v>5383087</v>
      </c>
      <c r="B1510">
        <v>5382862</v>
      </c>
      <c r="C1510" t="s">
        <v>12</v>
      </c>
      <c r="D1510" t="s">
        <v>8</v>
      </c>
      <c r="E1510" s="2" t="str">
        <f>HYPERLINK("https://ibp.a2mac1.com/costing(costing:projects/details/8191/part/5383087)","DC Link PCBA")</f>
        <v>DC Link PCBA</v>
      </c>
      <c r="F1510" t="s">
        <v>2168</v>
      </c>
    </row>
    <row r="1511" spans="1:6" ht="12.75">
      <c r="A1511">
        <v>5383088</v>
      </c>
      <c r="B1511">
        <v>5382862</v>
      </c>
      <c r="C1511" t="s">
        <v>12</v>
      </c>
      <c r="D1511" t="s">
        <v>8</v>
      </c>
      <c r="E1511" s="2" t="str">
        <f>HYPERLINK("https://ibp.a2mac1.com/costing(costing:projects/details/8191/part/5383088)","Power Switching PCBA")</f>
        <v>Power Switching PCBA</v>
      </c>
      <c r="F1511" t="s">
        <v>2168</v>
      </c>
    </row>
    <row r="1512" spans="1:6" ht="12.75">
      <c r="A1512">
        <v>5383089</v>
      </c>
      <c r="B1512">
        <v>5382862</v>
      </c>
      <c r="C1512" t="s">
        <v>12</v>
      </c>
      <c r="D1512" t="s">
        <v>8</v>
      </c>
      <c r="E1512" s="2" t="str">
        <f>HYPERLINK("https://ibp.a2mac1.com/costing(costing:projects/details/8191/part/5383089)","Control PCBA")</f>
        <v>Control PCBA</v>
      </c>
      <c r="F1512" t="s">
        <v>2168</v>
      </c>
    </row>
    <row r="1513" spans="1:6" ht="12.75">
      <c r="A1513">
        <v>5383090</v>
      </c>
      <c r="B1513">
        <v>5382862</v>
      </c>
      <c r="C1513" t="s">
        <v>12</v>
      </c>
      <c r="D1513" t="s">
        <v>8</v>
      </c>
      <c r="E1513" s="2" t="str">
        <f>HYPERLINK("https://ibp.a2mac1.com/costing(costing:projects/details/8191/part/5383090)","PFC Control PCBA")</f>
        <v>PFC Control PCBA</v>
      </c>
      <c r="F1513" t="s">
        <v>2168</v>
      </c>
    </row>
    <row r="1514" spans="1:6" ht="12.75">
      <c r="A1514">
        <v>5383091</v>
      </c>
      <c r="B1514">
        <v>5382862</v>
      </c>
      <c r="C1514" t="s">
        <v>12</v>
      </c>
      <c r="D1514" t="s">
        <v>8</v>
      </c>
      <c r="E1514" s="2" t="str">
        <f>HYPERLINK("https://ibp.a2mac1.com/costing(costing:projects/details/8191/part/5383091)","DCDC Control PCBA")</f>
        <v>DCDC Control PCBA</v>
      </c>
      <c r="F1514" t="s">
        <v>2168</v>
      </c>
    </row>
    <row r="1515" spans="1:6" ht="12.75">
      <c r="A1515">
        <v>5383092</v>
      </c>
      <c r="B1515">
        <v>5382862</v>
      </c>
      <c r="C1515" t="s">
        <v>12</v>
      </c>
      <c r="D1515" t="s">
        <v>8</v>
      </c>
      <c r="E1515" s="2" t="str">
        <f>HYPERLINK("https://ibp.a2mac1.com/costing(costing:projects/details/8191/part/5383092)","AC Input Filter PCBA")</f>
        <v>AC Input Filter PCBA</v>
      </c>
      <c r="F1515" t="s">
        <v>2168</v>
      </c>
    </row>
    <row r="1516" spans="1:6" ht="12.75">
      <c r="A1516">
        <v>5383093</v>
      </c>
      <c r="B1516">
        <v>5382862</v>
      </c>
      <c r="C1516" t="s">
        <v>12</v>
      </c>
      <c r="D1516" t="s">
        <v>8</v>
      </c>
      <c r="E1516" s="2" t="str">
        <f>HYPERLINK("https://ibp.a2mac1.com/costing(costing:projects/details/8191/part/5383093)","DC Output Filter PCBA")</f>
        <v>DC Output Filter PCBA</v>
      </c>
      <c r="F1516" t="s">
        <v>2168</v>
      </c>
    </row>
    <row r="1517" spans="1:6" ht="12.75">
      <c r="A1517">
        <v>5383094</v>
      </c>
      <c r="B1517">
        <v>5382862</v>
      </c>
      <c r="C1517" t="s">
        <v>12</v>
      </c>
      <c r="D1517" t="s">
        <v>8</v>
      </c>
      <c r="E1517" s="2" t="str">
        <f>HYPERLINK("https://ibp.a2mac1.com/costing(costing:projects/details/8191/part/5383094)","Power Supply PCBA")</f>
        <v>Power Supply PCBA</v>
      </c>
      <c r="F1517" t="s">
        <v>2168</v>
      </c>
    </row>
    <row r="1518" spans="1:6" ht="12.75">
      <c r="A1518">
        <v>5383095</v>
      </c>
      <c r="B1518">
        <v>5382862</v>
      </c>
      <c r="C1518" t="s">
        <v>12</v>
      </c>
      <c r="D1518" t="s">
        <v>8</v>
      </c>
      <c r="E1518" s="2" t="str">
        <f>HYPERLINK("https://ibp.a2mac1.com/costing(costing:projects/details/8191/part/5383095)","HV AC Connection PCBA")</f>
        <v>HV AC Connection PCBA</v>
      </c>
      <c r="F1518" t="s">
        <v>2168</v>
      </c>
    </row>
    <row r="1519" spans="1:6" ht="12.75">
      <c r="A1519">
        <v>5383096</v>
      </c>
      <c r="B1519">
        <v>5382862</v>
      </c>
      <c r="C1519" t="s">
        <v>12</v>
      </c>
      <c r="D1519" t="s">
        <v>8</v>
      </c>
      <c r="E1519" s="2" t="str">
        <f>HYPERLINK("https://ibp.a2mac1.com/costing(costing:projects/details/8191/part/5383096)","HV DC Connection PCBA")</f>
        <v>HV DC Connection PCBA</v>
      </c>
      <c r="F1519" t="s">
        <v>2168</v>
      </c>
    </row>
    <row r="1520" spans="1:6" ht="12.75">
      <c r="A1520">
        <v>5382863</v>
      </c>
      <c r="B1520">
        <v>5382799</v>
      </c>
      <c r="C1520" t="s">
        <v>8</v>
      </c>
      <c r="D1520" t="s">
        <v>8</v>
      </c>
      <c r="E1520" s="2" t="str">
        <f>HYPERLINK("https://ibp.a2mac1.com/costing(costing:projects/details/8191/assembly/5382863)"," Mechanical Parts")</f>
        <v xml:space="preserve"> Mechanical Parts</v>
      </c>
      <c r="F1520" t="s">
        <v>2152</v>
      </c>
    </row>
    <row r="1521" spans="1:6" ht="12.75">
      <c r="A1521">
        <v>5383097</v>
      </c>
      <c r="B1521">
        <v>5382863</v>
      </c>
      <c r="C1521" t="s">
        <v>8</v>
      </c>
      <c r="D1521" t="s">
        <v>8</v>
      </c>
      <c r="E1521" s="2" t="str">
        <f>HYPERLINK("https://ibp.a2mac1.com/costing(costing:projects/details/8191/assembly/5383097)"," Covers")</f>
        <v xml:space="preserve"> Covers</v>
      </c>
      <c r="F1521" t="s">
        <v>2180</v>
      </c>
    </row>
    <row r="1522" spans="1:6" ht="12.75">
      <c r="A1522">
        <v>5383425</v>
      </c>
      <c r="B1522">
        <v>5383097</v>
      </c>
      <c r="C1522" t="s">
        <v>12</v>
      </c>
      <c r="D1522" t="s">
        <v>8</v>
      </c>
      <c r="E1522" s="2" t="str">
        <f>HYPERLINK("https://ibp.a2mac1.com/costing(costing:projects/details/8191/part/5383425)"," Inductor Connection Guide 1")</f>
        <v xml:space="preserve"> Inductor Connection Guide 1</v>
      </c>
      <c r="F1522" t="s">
        <v>2181</v>
      </c>
    </row>
    <row r="1523" spans="1:6" ht="12.75">
      <c r="A1523">
        <v>5383426</v>
      </c>
      <c r="B1523">
        <v>5383097</v>
      </c>
      <c r="C1523" t="s">
        <v>12</v>
      </c>
      <c r="D1523" t="s">
        <v>8</v>
      </c>
      <c r="E1523" s="2" t="str">
        <f>HYPERLINK("https://ibp.a2mac1.com/costing(costing:projects/details/8191/part/5383426)"," Inductor Connection Cover")</f>
        <v xml:space="preserve"> Inductor Connection Cover</v>
      </c>
      <c r="F1523" t="s">
        <v>2181</v>
      </c>
    </row>
    <row r="1524" spans="1:6" ht="12.75">
      <c r="A1524">
        <v>5383098</v>
      </c>
      <c r="B1524">
        <v>5382863</v>
      </c>
      <c r="C1524" t="s">
        <v>8</v>
      </c>
      <c r="D1524" t="s">
        <v>8</v>
      </c>
      <c r="E1524" s="2" t="str">
        <f>HYPERLINK("https://ibp.a2mac1.com/costing(costing:projects/details/8191/assembly/5383098)"," Housing Parts")</f>
        <v xml:space="preserve"> Housing Parts</v>
      </c>
      <c r="F1524" t="s">
        <v>2180</v>
      </c>
    </row>
    <row r="1525" spans="1:6" ht="12.75">
      <c r="A1525">
        <v>5383427</v>
      </c>
      <c r="B1525">
        <v>5383098</v>
      </c>
      <c r="C1525" t="s">
        <v>12</v>
      </c>
      <c r="D1525" t="s">
        <v>8</v>
      </c>
      <c r="E1525" s="2" t="str">
        <f>HYPERLINK("https://ibp.a2mac1.com/costing(costing:projects/details/8191/part/5383427)"," Top Lid")</f>
        <v xml:space="preserve"> Top Lid</v>
      </c>
      <c r="F1525" t="s">
        <v>2185</v>
      </c>
    </row>
    <row r="1526" spans="1:6" ht="12.75">
      <c r="A1526">
        <v>6971961</v>
      </c>
      <c r="B1526">
        <v>5383427</v>
      </c>
      <c r="C1526" t="s">
        <v>99</v>
      </c>
      <c r="D1526" t="s">
        <v>12</v>
      </c>
      <c r="E1526" s="2" t="str">
        <f>HYPERLINK("https://ibp.a2mac1.com/costing(costing:projects/details/8191/process/6971961)","Process")</f>
        <v>Process</v>
      </c>
      <c r="F1526" t="s">
        <v>2186</v>
      </c>
    </row>
    <row r="1527" spans="1:6" ht="12.75">
      <c r="A1527">
        <v>5316793</v>
      </c>
      <c r="B1527">
        <v>6971961</v>
      </c>
      <c r="C1527" t="s">
        <v>24</v>
      </c>
      <c r="D1527" t="s">
        <v>99</v>
      </c>
      <c r="E1527" s="2" t="str">
        <f>HYPERLINK("https://ibp.a2mac1.com/costing(costing:projects/details/8191/material/5316793)","Aluminum sheet (default, e.g. EN AW1050A)")</f>
        <v>Aluminum sheet (default, e.g. EN AW1050A)</v>
      </c>
      <c r="F1527" t="s">
        <v>2189</v>
      </c>
    </row>
    <row r="1528" spans="1:6" ht="12.75">
      <c r="A1528">
        <v>6944475</v>
      </c>
      <c r="B1528">
        <v>6971961</v>
      </c>
      <c r="C1528" t="s">
        <v>189</v>
      </c>
      <c r="D1528" t="s">
        <v>99</v>
      </c>
      <c r="E1528" s="2" t="str">
        <f>HYPERLINK("https://ibp.a2mac1.com/costing(costing:projects/details/8191/equipment/6944475)","Machine 1")</f>
        <v>Machine 1</v>
      </c>
      <c r="F1528" t="s">
        <v>2189</v>
      </c>
    </row>
    <row r="1529" spans="1:6" ht="12.75">
      <c r="A1529">
        <v>5383428</v>
      </c>
      <c r="B1529">
        <v>5383098</v>
      </c>
      <c r="C1529" t="s">
        <v>12</v>
      </c>
      <c r="D1529" t="s">
        <v>8</v>
      </c>
      <c r="E1529" s="2" t="str">
        <f>HYPERLINK("https://ibp.a2mac1.com/costing(costing:projects/details/8191/part/5383428)"," Cooling Channel")</f>
        <v xml:space="preserve"> Cooling Channel</v>
      </c>
      <c r="F1529" t="s">
        <v>2185</v>
      </c>
    </row>
    <row r="1530" spans="1:6" ht="12.75">
      <c r="A1530">
        <v>6971962</v>
      </c>
      <c r="B1530">
        <v>5383428</v>
      </c>
      <c r="C1530" t="s">
        <v>99</v>
      </c>
      <c r="D1530" t="s">
        <v>12</v>
      </c>
      <c r="E1530" s="2" t="str">
        <f>HYPERLINK("https://ibp.a2mac1.com/costing(costing:projects/details/8191/process/6971962)","Process")</f>
        <v>Process</v>
      </c>
      <c r="F1530" t="s">
        <v>2191</v>
      </c>
    </row>
    <row r="1531" spans="1:6" ht="12.75">
      <c r="A1531">
        <v>5316794</v>
      </c>
      <c r="B1531">
        <v>6971962</v>
      </c>
      <c r="C1531" t="s">
        <v>24</v>
      </c>
      <c r="D1531" t="s">
        <v>99</v>
      </c>
      <c r="E1531" s="2" t="str">
        <f>HYPERLINK("https://ibp.a2mac1.com/costing(costing:projects/details/8191/material/5316794)","PA6-GF30")</f>
        <v>PA6-GF30</v>
      </c>
      <c r="F1531" t="s">
        <v>2194</v>
      </c>
    </row>
    <row r="1532" spans="1:6" ht="12.75">
      <c r="A1532">
        <v>6944476</v>
      </c>
      <c r="B1532">
        <v>6971962</v>
      </c>
      <c r="C1532" t="s">
        <v>189</v>
      </c>
      <c r="D1532" t="s">
        <v>99</v>
      </c>
      <c r="E1532" s="2" t="str">
        <f>HYPERLINK("https://ibp.a2mac1.com/costing(costing:projects/details/8191/equipment/6944476)","Machine 1")</f>
        <v>Machine 1</v>
      </c>
      <c r="F1532" t="s">
        <v>2194</v>
      </c>
    </row>
    <row r="1533" spans="1:6" ht="12.75">
      <c r="A1533">
        <v>5383429</v>
      </c>
      <c r="B1533">
        <v>5383098</v>
      </c>
      <c r="C1533" t="s">
        <v>12</v>
      </c>
      <c r="D1533" t="s">
        <v>8</v>
      </c>
      <c r="E1533" s="2" t="str">
        <f>HYPERLINK("https://ibp.a2mac1.com/costing(costing:projects/details/8191/part/5383429)"," Main Housing")</f>
        <v xml:space="preserve"> Main Housing</v>
      </c>
      <c r="F1533" t="s">
        <v>2185</v>
      </c>
    </row>
    <row r="1534" spans="1:6" ht="12.75">
      <c r="A1534">
        <v>6971963</v>
      </c>
      <c r="B1534">
        <v>5383429</v>
      </c>
      <c r="C1534" t="s">
        <v>99</v>
      </c>
      <c r="D1534" t="s">
        <v>12</v>
      </c>
      <c r="E1534" s="2" t="str">
        <f>HYPERLINK("https://ibp.a2mac1.com/costing(costing:projects/details/8191/process/6971963)","Process")</f>
        <v>Process</v>
      </c>
      <c r="F1534" t="s">
        <v>2196</v>
      </c>
    </row>
    <row r="1535" spans="1:6" ht="12.75">
      <c r="A1535">
        <v>5316795</v>
      </c>
      <c r="B1535">
        <v>6971963</v>
      </c>
      <c r="C1535" t="s">
        <v>24</v>
      </c>
      <c r="D1535" t="s">
        <v>99</v>
      </c>
      <c r="E1535" s="2" t="str">
        <f>HYPERLINK("https://ibp.a2mac1.com/costing(costing:projects/details/8191/material/5316795)","Aluminum for casting (default, e.g. A380/ADC10/EN-AC46500)")</f>
        <v>Aluminum for casting (default, e.g. A380/ADC10/EN-AC46500)</v>
      </c>
      <c r="F1535" t="s">
        <v>2199</v>
      </c>
    </row>
    <row r="1536" spans="1:6" ht="12.75">
      <c r="A1536">
        <v>6944477</v>
      </c>
      <c r="B1536">
        <v>6971963</v>
      </c>
      <c r="C1536" t="s">
        <v>189</v>
      </c>
      <c r="D1536" t="s">
        <v>99</v>
      </c>
      <c r="E1536" s="2" t="str">
        <f>HYPERLINK("https://ibp.a2mac1.com/costing(costing:projects/details/8191/equipment/6944477)","Machine 1")</f>
        <v>Machine 1</v>
      </c>
      <c r="F1536" t="s">
        <v>2199</v>
      </c>
    </row>
    <row r="1537" spans="1:6" ht="12.75">
      <c r="A1537">
        <v>5383430</v>
      </c>
      <c r="B1537">
        <v>5383098</v>
      </c>
      <c r="C1537" t="s">
        <v>12</v>
      </c>
      <c r="D1537" t="s">
        <v>8</v>
      </c>
      <c r="E1537" s="2" t="str">
        <f>HYPERLINK("https://ibp.a2mac1.com/costing(costing:projects/details/8191/part/5383430)","PCB Insulations")</f>
        <v>PCB Insulations</v>
      </c>
      <c r="F1537" t="s">
        <v>2185</v>
      </c>
    </row>
    <row r="1538" spans="1:6" ht="12.75">
      <c r="A1538">
        <v>5383099</v>
      </c>
      <c r="B1538">
        <v>5382863</v>
      </c>
      <c r="C1538" t="s">
        <v>8</v>
      </c>
      <c r="D1538" t="s">
        <v>8</v>
      </c>
      <c r="E1538" s="2" t="str">
        <f>HYPERLINK("https://ibp.a2mac1.com/costing(costing:projects/details/8191/assembly/5383099)"," Pressure Vents")</f>
        <v xml:space="preserve"> Pressure Vents</v>
      </c>
      <c r="F1538" t="s">
        <v>2180</v>
      </c>
    </row>
    <row r="1539" spans="1:6" ht="12.75">
      <c r="A1539">
        <v>5383431</v>
      </c>
      <c r="B1539">
        <v>5383099</v>
      </c>
      <c r="C1539" t="s">
        <v>12</v>
      </c>
      <c r="D1539" t="s">
        <v>8</v>
      </c>
      <c r="E1539" s="2" t="str">
        <f>HYPERLINK("https://ibp.a2mac1.com/costing(costing:projects/details/8191/part/5383431)"," Pressure Vent 1")</f>
        <v xml:space="preserve"> Pressure Vent 1</v>
      </c>
      <c r="F1539" t="s">
        <v>2203</v>
      </c>
    </row>
    <row r="1540" spans="1:6" ht="12.75">
      <c r="A1540">
        <v>5383100</v>
      </c>
      <c r="B1540">
        <v>5382863</v>
      </c>
      <c r="C1540" t="s">
        <v>8</v>
      </c>
      <c r="D1540" t="s">
        <v>8</v>
      </c>
      <c r="E1540" s="2" t="str">
        <f>HYPERLINK("https://ibp.a2mac1.com/costing(costing:projects/details/8191/assembly/5383100)"," Seals")</f>
        <v xml:space="preserve"> Seals</v>
      </c>
      <c r="F1540" t="s">
        <v>2180</v>
      </c>
    </row>
    <row r="1541" spans="1:6" ht="12.75">
      <c r="A1541">
        <v>5383432</v>
      </c>
      <c r="B1541">
        <v>5383100</v>
      </c>
      <c r="C1541" t="s">
        <v>12</v>
      </c>
      <c r="D1541" t="s">
        <v>8</v>
      </c>
      <c r="E1541" s="2" t="str">
        <f>HYPERLINK("https://ibp.a2mac1.com/costing(costing:projects/details/8191/part/5383432)"," Seal 1")</f>
        <v xml:space="preserve"> Seal 1</v>
      </c>
      <c r="F1541" t="s">
        <v>2206</v>
      </c>
    </row>
    <row r="1542" spans="1:6" ht="12.75">
      <c r="A1542">
        <v>5383101</v>
      </c>
      <c r="B1542">
        <v>5382863</v>
      </c>
      <c r="C1542" t="s">
        <v>8</v>
      </c>
      <c r="D1542" t="s">
        <v>8</v>
      </c>
      <c r="E1542" s="2" t="str">
        <f>HYPERLINK("https://ibp.a2mac1.com/costing(costing:projects/details/8191/assembly/5383101)"," Thermal Paste / Gap Pad")</f>
        <v xml:space="preserve"> Thermal Paste / Gap Pad</v>
      </c>
      <c r="F1542" t="s">
        <v>2180</v>
      </c>
    </row>
    <row r="1543" spans="1:6" ht="12.75">
      <c r="A1543">
        <v>5383433</v>
      </c>
      <c r="B1543">
        <v>5383101</v>
      </c>
      <c r="C1543" t="s">
        <v>12</v>
      </c>
      <c r="D1543" t="s">
        <v>8</v>
      </c>
      <c r="E1543" s="2" t="str">
        <f>HYPERLINK("https://ibp.a2mac1.com/costing(costing:projects/details/8191/part/5383433)"," Thermal Paste DC Link")</f>
        <v xml:space="preserve"> Thermal Paste DC Link</v>
      </c>
      <c r="F1543" t="s">
        <v>2209</v>
      </c>
    </row>
    <row r="1544" spans="1:6" ht="12.75">
      <c r="A1544">
        <v>5383434</v>
      </c>
      <c r="B1544">
        <v>5383101</v>
      </c>
      <c r="C1544" t="s">
        <v>12</v>
      </c>
      <c r="D1544" t="s">
        <v>8</v>
      </c>
      <c r="E1544" s="2" t="str">
        <f>HYPERLINK("https://ibp.a2mac1.com/costing(costing:projects/details/8191/part/5383434)","Thermal Paste Inductors")</f>
        <v>Thermal Paste Inductors</v>
      </c>
      <c r="F1544" t="s">
        <v>2209</v>
      </c>
    </row>
    <row r="1545" spans="1:6" ht="12.75">
      <c r="A1545">
        <v>5383435</v>
      </c>
      <c r="B1545">
        <v>5383101</v>
      </c>
      <c r="C1545" t="s">
        <v>12</v>
      </c>
      <c r="D1545" t="s">
        <v>8</v>
      </c>
      <c r="E1545" s="2" t="str">
        <f>HYPERLINK("https://ibp.a2mac1.com/costing(costing:projects/details/8191/part/5383435)"," Potting")</f>
        <v xml:space="preserve"> Potting</v>
      </c>
      <c r="F1545" t="s">
        <v>2209</v>
      </c>
    </row>
    <row r="1546" spans="1:6" ht="12.75">
      <c r="A1546">
        <v>6971716</v>
      </c>
      <c r="B1546">
        <v>5382799</v>
      </c>
      <c r="C1546" t="s">
        <v>99</v>
      </c>
      <c r="D1546" t="s">
        <v>8</v>
      </c>
      <c r="E1546" s="2" t="str">
        <f>HYPERLINK("https://ibp.a2mac1.com/costing(costing:projects/details/8191/process/6971716)","Final Assy")</f>
        <v>Final Assy</v>
      </c>
      <c r="F1546" t="s">
        <v>2152</v>
      </c>
    </row>
    <row r="1547" spans="1:6" ht="12.75">
      <c r="A1547">
        <v>6944230</v>
      </c>
      <c r="B1547">
        <v>6971716</v>
      </c>
      <c r="C1547" t="s">
        <v>189</v>
      </c>
      <c r="D1547" t="s">
        <v>99</v>
      </c>
      <c r="E1547" s="2" t="str">
        <f>HYPERLINK("https://ibp.a2mac1.com/costing(costing:projects/details/8191/equipment/6944230)","Machine 1")</f>
        <v>Machine 1</v>
      </c>
      <c r="F1547" t="s">
        <v>2213</v>
      </c>
    </row>
    <row r="1548" spans="1:6" ht="12.75">
      <c r="A1548">
        <v>5382800</v>
      </c>
      <c r="B1548">
        <v>5382793</v>
      </c>
      <c r="C1548" t="s">
        <v>8</v>
      </c>
      <c r="D1548" t="s">
        <v>8</v>
      </c>
      <c r="E1548" s="2" t="str">
        <f>HYPERLINK("https://ibp.a2mac1.com/costing(costing:projects/details/8191/assembly/5382800)"," Cable Guide ")</f>
        <v xml:space="preserve"> Cable Guide </v>
      </c>
      <c r="F1548" t="s">
        <v>1765</v>
      </c>
    </row>
    <row r="1549" spans="1:6" ht="12.75">
      <c r="A1549">
        <v>5382864</v>
      </c>
      <c r="B1549">
        <v>5382800</v>
      </c>
      <c r="C1549" t="s">
        <v>12</v>
      </c>
      <c r="D1549" t="s">
        <v>8</v>
      </c>
      <c r="E1549" s="2" t="str">
        <f>HYPERLINK("https://ibp.a2mac1.com/costing(costing:projects/details/8191/part/5382864)"," Guide Under Floor")</f>
        <v xml:space="preserve"> Guide Under Floor</v>
      </c>
      <c r="F1549" t="s">
        <v>2214</v>
      </c>
    </row>
    <row r="1550" spans="1:6" ht="12.75">
      <c r="A1550">
        <v>5382865</v>
      </c>
      <c r="B1550">
        <v>5382800</v>
      </c>
      <c r="C1550" t="s">
        <v>12</v>
      </c>
      <c r="D1550" t="s">
        <v>8</v>
      </c>
      <c r="E1550" s="2" t="str">
        <f>HYPERLINK("https://ibp.a2mac1.com/costing(costing:projects/details/8191/part/5382865)"," Second guide under floor")</f>
        <v xml:space="preserve"> Second guide under floor</v>
      </c>
      <c r="F1550" t="s">
        <v>2214</v>
      </c>
    </row>
    <row r="1551" spans="1:6" ht="12.75">
      <c r="A1551">
        <v>5382866</v>
      </c>
      <c r="B1551">
        <v>5382800</v>
      </c>
      <c r="C1551" t="s">
        <v>12</v>
      </c>
      <c r="D1551" t="s">
        <v>8</v>
      </c>
      <c r="E1551" s="2" t="str">
        <f>HYPERLINK("https://ibp.a2mac1.com/costing(costing:projects/details/8191/part/5382866)"," 3rd guide under floor")</f>
        <v xml:space="preserve"> 3rd guide under floor</v>
      </c>
      <c r="F1551" t="s">
        <v>2214</v>
      </c>
    </row>
    <row r="1552" spans="1:6" ht="12.75">
      <c r="A1552">
        <v>5382867</v>
      </c>
      <c r="B1552">
        <v>5382800</v>
      </c>
      <c r="C1552" t="s">
        <v>12</v>
      </c>
      <c r="D1552" t="s">
        <v>8</v>
      </c>
      <c r="E1552" s="2" t="str">
        <f>HYPERLINK("https://ibp.a2mac1.com/costing(costing:projects/details/8191/part/5382867)"," 4rd guide under floor")</f>
        <v xml:space="preserve"> 4rd guide under floor</v>
      </c>
      <c r="F1552" t="s">
        <v>2214</v>
      </c>
    </row>
    <row r="1553" spans="1:6" ht="12.75">
      <c r="A1553">
        <v>5382868</v>
      </c>
      <c r="B1553">
        <v>5382800</v>
      </c>
      <c r="C1553" t="s">
        <v>12</v>
      </c>
      <c r="D1553" t="s">
        <v>8</v>
      </c>
      <c r="E1553" s="2" t="str">
        <f>HYPERLINK("https://ibp.a2mac1.com/costing(costing:projects/details/8191/part/5382868)"," Rear Wheel Arch Guide")</f>
        <v xml:space="preserve"> Rear Wheel Arch Guide</v>
      </c>
      <c r="F1553" t="s">
        <v>2214</v>
      </c>
    </row>
    <row r="1554" spans="1:6" ht="12.75">
      <c r="A1554">
        <v>5382869</v>
      </c>
      <c r="B1554">
        <v>5382800</v>
      </c>
      <c r="C1554" t="s">
        <v>12</v>
      </c>
      <c r="D1554" t="s">
        <v>8</v>
      </c>
      <c r="E1554" s="2" t="str">
        <f>HYPERLINK("https://ibp.a2mac1.com/costing(costing:projects/details/8191/part/5382869)"," Guide Under Trunk")</f>
        <v xml:space="preserve"> Guide Under Trunk</v>
      </c>
      <c r="F1554" t="s">
        <v>2214</v>
      </c>
    </row>
    <row r="1555" spans="1:6" ht="12.75">
      <c r="A1555">
        <v>5382870</v>
      </c>
      <c r="B1555">
        <v>5382800</v>
      </c>
      <c r="C1555" t="s">
        <v>12</v>
      </c>
      <c r="D1555" t="s">
        <v>8</v>
      </c>
      <c r="E1555" s="2" t="str">
        <f>HYPERLINK("https://ibp.a2mac1.com/costing(costing:projects/details/8191/part/5382870)"," On Rear Axle")</f>
        <v xml:space="preserve"> On Rear Axle</v>
      </c>
      <c r="F1555" t="s">
        <v>2214</v>
      </c>
    </row>
    <row r="1556" spans="1:6" ht="12.75">
      <c r="A1556">
        <v>5382871</v>
      </c>
      <c r="B1556">
        <v>5382800</v>
      </c>
      <c r="C1556" t="s">
        <v>12</v>
      </c>
      <c r="D1556" t="s">
        <v>8</v>
      </c>
      <c r="E1556" s="2" t="str">
        <f>HYPERLINK("https://ibp.a2mac1.com/costing(costing:projects/details/8191/part/5382871)"," Guide on 2nd Engine")</f>
        <v xml:space="preserve"> Guide on 2nd Engine</v>
      </c>
      <c r="F1556" t="s">
        <v>2214</v>
      </c>
    </row>
    <row r="1557" spans="1:6" ht="12.75">
      <c r="A1557">
        <v>5382801</v>
      </c>
      <c r="B1557">
        <v>5382793</v>
      </c>
      <c r="C1557" t="s">
        <v>8</v>
      </c>
      <c r="D1557" t="s">
        <v>8</v>
      </c>
      <c r="E1557" s="2" t="str">
        <f>HYPERLINK("https://ibp.a2mac1.com/costing(costing:projects/details/8191/assembly/5382801)"," Cables System ")</f>
        <v xml:space="preserve"> Cables System </v>
      </c>
      <c r="F1557" t="s">
        <v>1765</v>
      </c>
    </row>
    <row r="1558" spans="1:6" ht="12.75">
      <c r="A1558">
        <v>5382872</v>
      </c>
      <c r="B1558">
        <v>5382801</v>
      </c>
      <c r="C1558" t="s">
        <v>8</v>
      </c>
      <c r="D1558" t="s">
        <v>8</v>
      </c>
      <c r="E1558" s="2" t="str">
        <f>HYPERLINK("https://ibp.a2mac1.com/costing(costing:projects/details/8191/assembly/5382872)"," Cable Battery/Converter")</f>
        <v xml:space="preserve"> Cable Battery/Converter</v>
      </c>
      <c r="F1558" t="s">
        <v>2233</v>
      </c>
    </row>
    <row r="1559" spans="1:6" ht="12.75">
      <c r="A1559">
        <v>5383102</v>
      </c>
      <c r="B1559">
        <v>5382872</v>
      </c>
      <c r="C1559" t="s">
        <v>12</v>
      </c>
      <c r="D1559" t="s">
        <v>8</v>
      </c>
      <c r="E1559" s="2" t="str">
        <f>HYPERLINK("https://ibp.a2mac1.com/costing(costing:projects/details/8191/part/5383102)","Connectors")</f>
        <v>Connectors</v>
      </c>
      <c r="F1559" t="s">
        <v>2234</v>
      </c>
    </row>
    <row r="1560" spans="1:6" ht="12.75">
      <c r="A1560">
        <v>5383103</v>
      </c>
      <c r="B1560">
        <v>5382872</v>
      </c>
      <c r="C1560" t="s">
        <v>12</v>
      </c>
      <c r="D1560" t="s">
        <v>8</v>
      </c>
      <c r="E1560" s="2" t="str">
        <f>HYPERLINK("https://ibp.a2mac1.com/costing(costing:projects/details/8191/part/5383103)","HV Cable")</f>
        <v>HV Cable</v>
      </c>
      <c r="F1560" t="s">
        <v>2234</v>
      </c>
    </row>
    <row r="1561" spans="1:6" ht="12.75">
      <c r="A1561">
        <v>5383104</v>
      </c>
      <c r="B1561">
        <v>5382872</v>
      </c>
      <c r="C1561" t="s">
        <v>12</v>
      </c>
      <c r="D1561" t="s">
        <v>8</v>
      </c>
      <c r="E1561" s="2" t="str">
        <f>HYPERLINK("https://ibp.a2mac1.com/costing(costing:projects/details/8191/part/5383104)","Miscellaneuos")</f>
        <v>Miscellaneuos</v>
      </c>
      <c r="F1561" t="s">
        <v>2234</v>
      </c>
    </row>
    <row r="1562" spans="1:6" ht="12.75">
      <c r="A1562">
        <v>6971735</v>
      </c>
      <c r="B1562">
        <v>5382872</v>
      </c>
      <c r="C1562" t="s">
        <v>99</v>
      </c>
      <c r="D1562" t="s">
        <v>8</v>
      </c>
      <c r="E1562" s="2" t="str">
        <f>HYPERLINK("https://ibp.a2mac1.com/costing(costing:projects/details/8191/process/6971735)","Process")</f>
        <v>Process</v>
      </c>
      <c r="F1562" t="s">
        <v>2234</v>
      </c>
    </row>
    <row r="1563" spans="1:6" ht="12.75">
      <c r="A1563">
        <v>6944243</v>
      </c>
      <c r="B1563">
        <v>6971735</v>
      </c>
      <c r="C1563" t="s">
        <v>189</v>
      </c>
      <c r="D1563" t="s">
        <v>99</v>
      </c>
      <c r="E1563" s="2" t="str">
        <f>HYPERLINK("https://ibp.a2mac1.com/costing(costing:projects/details/8191/equipment/6944243)","Machine 1")</f>
        <v>Machine 1</v>
      </c>
      <c r="F1563" t="s">
        <v>2236</v>
      </c>
    </row>
    <row r="1564" spans="1:6" ht="12.75">
      <c r="A1564">
        <v>5382873</v>
      </c>
      <c r="B1564">
        <v>5382801</v>
      </c>
      <c r="C1564" t="s">
        <v>8</v>
      </c>
      <c r="D1564" t="s">
        <v>8</v>
      </c>
      <c r="E1564" s="2" t="str">
        <f>HYPERLINK("https://ibp.a2mac1.com/costing(costing:projects/details/8191/assembly/5382873)"," Cable HV Charger/Converter")</f>
        <v xml:space="preserve"> Cable HV Charger/Converter</v>
      </c>
      <c r="F1564" t="s">
        <v>2233</v>
      </c>
    </row>
    <row r="1565" spans="1:6" ht="12.75">
      <c r="A1565">
        <v>5383105</v>
      </c>
      <c r="B1565">
        <v>5382873</v>
      </c>
      <c r="C1565" t="s">
        <v>12</v>
      </c>
      <c r="D1565" t="s">
        <v>8</v>
      </c>
      <c r="E1565" s="2" t="str">
        <f>HYPERLINK("https://ibp.a2mac1.com/costing(costing:projects/details/8191/part/5383105)","Connectors")</f>
        <v>Connectors</v>
      </c>
      <c r="F1565" t="s">
        <v>2239</v>
      </c>
    </row>
    <row r="1566" spans="1:6" ht="12.75">
      <c r="A1566">
        <v>5383106</v>
      </c>
      <c r="B1566">
        <v>5382873</v>
      </c>
      <c r="C1566" t="s">
        <v>12</v>
      </c>
      <c r="D1566" t="s">
        <v>8</v>
      </c>
      <c r="E1566" s="2" t="str">
        <f>HYPERLINK("https://ibp.a2mac1.com/costing(costing:projects/details/8191/part/5383106)","HV Cable")</f>
        <v>HV Cable</v>
      </c>
      <c r="F1566" t="s">
        <v>2239</v>
      </c>
    </row>
    <row r="1567" spans="1:6" ht="12.75">
      <c r="A1567">
        <v>5383107</v>
      </c>
      <c r="B1567">
        <v>5382873</v>
      </c>
      <c r="C1567" t="s">
        <v>12</v>
      </c>
      <c r="D1567" t="s">
        <v>8</v>
      </c>
      <c r="E1567" s="2" t="str">
        <f>HYPERLINK("https://ibp.a2mac1.com/costing(costing:projects/details/8191/part/5383107)","Miscellaneuos")</f>
        <v>Miscellaneuos</v>
      </c>
      <c r="F1567" t="s">
        <v>2239</v>
      </c>
    </row>
    <row r="1568" spans="1:6" ht="12.75">
      <c r="A1568">
        <v>6971736</v>
      </c>
      <c r="B1568">
        <v>5382873</v>
      </c>
      <c r="C1568" t="s">
        <v>99</v>
      </c>
      <c r="D1568" t="s">
        <v>8</v>
      </c>
      <c r="E1568" s="2" t="str">
        <f>HYPERLINK("https://ibp.a2mac1.com/costing(costing:projects/details/8191/process/6971736)","Process")</f>
        <v>Process</v>
      </c>
      <c r="F1568" t="s">
        <v>2239</v>
      </c>
    </row>
    <row r="1569" spans="1:6" ht="12.75">
      <c r="A1569">
        <v>6944244</v>
      </c>
      <c r="B1569">
        <v>6971736</v>
      </c>
      <c r="C1569" t="s">
        <v>189</v>
      </c>
      <c r="D1569" t="s">
        <v>99</v>
      </c>
      <c r="E1569" s="2" t="str">
        <f>HYPERLINK("https://ibp.a2mac1.com/costing(costing:projects/details/8191/equipment/6944244)","Machine 1")</f>
        <v>Machine 1</v>
      </c>
      <c r="F1569" t="s">
        <v>2240</v>
      </c>
    </row>
    <row r="1570" spans="1:6" ht="12.75">
      <c r="A1570">
        <v>5382802</v>
      </c>
      <c r="B1570">
        <v>5382793</v>
      </c>
      <c r="C1570" t="s">
        <v>8</v>
      </c>
      <c r="D1570" t="s">
        <v>8</v>
      </c>
      <c r="E1570" s="2" t="str">
        <f>HYPERLINK("https://ibp.a2mac1.com/costing(costing:projects/details/8191/assembly/5382802)"," HV cable cover protection system ")</f>
        <v xml:space="preserve"> HV cable cover protection system </v>
      </c>
      <c r="F1570" t="s">
        <v>1765</v>
      </c>
    </row>
    <row r="1571" spans="1:6" ht="12.75">
      <c r="A1571">
        <v>5382874</v>
      </c>
      <c r="B1571">
        <v>5382802</v>
      </c>
      <c r="C1571" t="s">
        <v>12</v>
      </c>
      <c r="D1571" t="s">
        <v>8</v>
      </c>
      <c r="E1571" s="2" t="str">
        <f>HYPERLINK("https://ibp.a2mac1.com/costing(costing:projects/details/8191/part/5382874)"," HV cable cover")</f>
        <v xml:space="preserve"> HV cable cover</v>
      </c>
      <c r="F1571" t="s">
        <v>2244</v>
      </c>
    </row>
    <row r="1572" spans="1:6" ht="12.75">
      <c r="A1572">
        <v>5382875</v>
      </c>
      <c r="B1572">
        <v>5382802</v>
      </c>
      <c r="C1572" t="s">
        <v>12</v>
      </c>
      <c r="D1572" t="s">
        <v>8</v>
      </c>
      <c r="E1572" s="2" t="str">
        <f>HYPERLINK("https://ibp.a2mac1.com/costing(costing:projects/details/8191/part/5382875)"," Second cover")</f>
        <v xml:space="preserve"> Second cover</v>
      </c>
      <c r="F1572" t="s">
        <v>2244</v>
      </c>
    </row>
    <row r="1573" spans="1:6" ht="12.75">
      <c r="A1573">
        <v>5382803</v>
      </c>
      <c r="B1573">
        <v>5382793</v>
      </c>
      <c r="C1573" t="s">
        <v>8</v>
      </c>
      <c r="D1573" t="s">
        <v>8</v>
      </c>
      <c r="E1573" s="2" t="str">
        <f>HYPERLINK("https://ibp.a2mac1.com/costing(costing:projects/details/8191/assembly/5382803)"," HV cable bracket system ")</f>
        <v xml:space="preserve"> HV cable bracket system </v>
      </c>
      <c r="F1573" t="s">
        <v>1765</v>
      </c>
    </row>
    <row r="1574" spans="1:6" ht="12.75">
      <c r="A1574">
        <v>5382876</v>
      </c>
      <c r="B1574">
        <v>5382803</v>
      </c>
      <c r="C1574" t="s">
        <v>12</v>
      </c>
      <c r="D1574" t="s">
        <v>8</v>
      </c>
      <c r="E1574" s="2" t="str">
        <f>HYPERLINK("https://ibp.a2mac1.com/costing(costing:projects/details/8191/part/5382876)"," HV Cables Support")</f>
        <v xml:space="preserve"> HV Cables Support</v>
      </c>
      <c r="F1574" t="s">
        <v>2250</v>
      </c>
    </row>
    <row r="1575" spans="1:6" ht="12.75">
      <c r="A1575">
        <v>5382877</v>
      </c>
      <c r="B1575">
        <v>5382803</v>
      </c>
      <c r="C1575" t="s">
        <v>12</v>
      </c>
      <c r="D1575" t="s">
        <v>8</v>
      </c>
      <c r="E1575" s="2" t="str">
        <f>HYPERLINK("https://ibp.a2mac1.com/costing(costing:projects/details/8191/part/5382877)"," 2nd HV Cables Support")</f>
        <v xml:space="preserve"> 2nd HV Cables Support</v>
      </c>
      <c r="F1575" t="s">
        <v>2250</v>
      </c>
    </row>
    <row r="1576" spans="1:6" ht="12.75">
      <c r="A1576">
        <v>5382878</v>
      </c>
      <c r="B1576">
        <v>5382803</v>
      </c>
      <c r="C1576" t="s">
        <v>12</v>
      </c>
      <c r="D1576" t="s">
        <v>8</v>
      </c>
      <c r="E1576" s="2" t="str">
        <f>HYPERLINK("https://ibp.a2mac1.com/costing(costing:projects/details/8191/part/5382878)"," 3rd HV Cables Support")</f>
        <v xml:space="preserve"> 3rd HV Cables Support</v>
      </c>
      <c r="F1576" t="s">
        <v>2250</v>
      </c>
    </row>
    <row r="1577" spans="1:6" ht="12.75">
      <c r="A1577">
        <v>5382879</v>
      </c>
      <c r="B1577">
        <v>5382803</v>
      </c>
      <c r="C1577" t="s">
        <v>12</v>
      </c>
      <c r="D1577" t="s">
        <v>8</v>
      </c>
      <c r="E1577" s="2" t="str">
        <f>HYPERLINK("https://ibp.a2mac1.com/costing(costing:projects/details/8191/part/5382879)"," 4th HV Cables Support")</f>
        <v xml:space="preserve"> 4th HV Cables Support</v>
      </c>
      <c r="F1577" t="s">
        <v>2250</v>
      </c>
    </row>
    <row r="1578" spans="1:6" ht="12.75">
      <c r="A1578">
        <v>5382880</v>
      </c>
      <c r="B1578">
        <v>5382803</v>
      </c>
      <c r="C1578" t="s">
        <v>12</v>
      </c>
      <c r="D1578" t="s">
        <v>8</v>
      </c>
      <c r="E1578" s="2" t="str">
        <f>HYPERLINK("https://ibp.a2mac1.com/costing(costing:projects/details/8191/part/5382880)"," 6th HV cable support")</f>
        <v xml:space="preserve"> 6th HV cable support</v>
      </c>
      <c r="F1578" t="s">
        <v>2250</v>
      </c>
    </row>
    <row r="1579" spans="1:6" ht="12.75">
      <c r="A1579">
        <v>5382881</v>
      </c>
      <c r="B1579">
        <v>5382803</v>
      </c>
      <c r="C1579" t="s">
        <v>12</v>
      </c>
      <c r="D1579" t="s">
        <v>8</v>
      </c>
      <c r="E1579" s="2" t="str">
        <f>HYPERLINK("https://ibp.a2mac1.com/costing(costing:projects/details/8191/part/5382881)"," 7th HV cable support")</f>
        <v xml:space="preserve"> 7th HV cable support</v>
      </c>
      <c r="F1579" t="s">
        <v>2250</v>
      </c>
    </row>
    <row r="1580" spans="1:6" ht="12.75">
      <c r="A1580">
        <v>5382882</v>
      </c>
      <c r="B1580">
        <v>5382803</v>
      </c>
      <c r="C1580" t="s">
        <v>12</v>
      </c>
      <c r="D1580" t="s">
        <v>8</v>
      </c>
      <c r="E1580" s="2" t="str">
        <f>HYPERLINK("https://ibp.a2mac1.com/costing(costing:projects/details/8191/part/5382882)"," 5th HV cable support")</f>
        <v xml:space="preserve"> 5th HV cable support</v>
      </c>
      <c r="F1580" t="s">
        <v>2250</v>
      </c>
    </row>
    <row r="1581" spans="1:6" ht="12.75">
      <c r="A1581">
        <v>6971737</v>
      </c>
      <c r="B1581">
        <v>5382882</v>
      </c>
      <c r="C1581" t="s">
        <v>99</v>
      </c>
      <c r="D1581" t="s">
        <v>12</v>
      </c>
      <c r="E1581" s="2" t="str">
        <f>HYPERLINK("https://ibp.a2mac1.com/costing(costing:projects/details/8191/process/6971737)","Process")</f>
        <v>Process</v>
      </c>
      <c r="F1581" t="s">
        <v>2257</v>
      </c>
    </row>
    <row r="1582" spans="1:6" ht="12.75">
      <c r="A1582">
        <v>5316537</v>
      </c>
      <c r="B1582">
        <v>6971737</v>
      </c>
      <c r="C1582" t="s">
        <v>24</v>
      </c>
      <c r="D1582" t="s">
        <v>99</v>
      </c>
      <c r="E1582" s="2" t="str">
        <f>HYPERLINK("https://ibp.a2mac1.com/costing(costing:projects/details/8191/material/5316537)","PP-GF20")</f>
        <v>PP-GF20</v>
      </c>
      <c r="F1582" t="s">
        <v>2260</v>
      </c>
    </row>
    <row r="1583" spans="1:6" ht="12.75">
      <c r="A1583">
        <v>6944245</v>
      </c>
      <c r="B1583">
        <v>6971737</v>
      </c>
      <c r="C1583" t="s">
        <v>189</v>
      </c>
      <c r="D1583" t="s">
        <v>99</v>
      </c>
      <c r="E1583" s="2" t="str">
        <f>HYPERLINK("https://ibp.a2mac1.com/costing(costing:projects/details/8191/equipment/6944245)","Machine")</f>
        <v>Machine</v>
      </c>
      <c r="F1583" t="s">
        <v>2260</v>
      </c>
    </row>
    <row r="1584" spans="1:6" ht="12.75">
      <c r="A1584">
        <v>5382804</v>
      </c>
      <c r="B1584">
        <v>5382793</v>
      </c>
      <c r="C1584" t="s">
        <v>8</v>
      </c>
      <c r="D1584" t="s">
        <v>8</v>
      </c>
      <c r="E1584" s="2" t="str">
        <f>HYPERLINK("https://ibp.a2mac1.com/costing(costing:projects/details/8191/assembly/5382804)","Plug In System")</f>
        <v>Plug In System</v>
      </c>
      <c r="F1584" t="s">
        <v>1765</v>
      </c>
    </row>
    <row r="1585" spans="1:6" ht="12.75">
      <c r="A1585">
        <v>5382886</v>
      </c>
      <c r="B1585">
        <v>5382804</v>
      </c>
      <c r="C1585" t="s">
        <v>8</v>
      </c>
      <c r="D1585" t="s">
        <v>8</v>
      </c>
      <c r="E1585" s="2" t="str">
        <f>HYPERLINK("https://ibp.a2mac1.com/costing(costing:projects/details/8191/assembly/5382886)"," Charging Inlet")</f>
        <v xml:space="preserve"> Charging Inlet</v>
      </c>
      <c r="F1585" t="s">
        <v>2263</v>
      </c>
    </row>
    <row r="1586" spans="1:6" ht="12.75">
      <c r="A1586">
        <v>5383108</v>
      </c>
      <c r="B1586">
        <v>5382886</v>
      </c>
      <c r="C1586" t="s">
        <v>12</v>
      </c>
      <c r="D1586" t="s">
        <v>8</v>
      </c>
      <c r="E1586" s="2" t="str">
        <f>HYPERLINK("https://ibp.a2mac1.com/costing(costing:projects/details/8191/part/5383108)","Charging Port")</f>
        <v>Charging Port</v>
      </c>
      <c r="F1586" t="s">
        <v>2264</v>
      </c>
    </row>
    <row r="1587" spans="1:6" ht="12.75">
      <c r="A1587">
        <v>5383151</v>
      </c>
      <c r="B1587">
        <v>5382886</v>
      </c>
      <c r="C1587" t="s">
        <v>12</v>
      </c>
      <c r="D1587" t="s">
        <v>8</v>
      </c>
      <c r="E1587" s="2" t="str">
        <f>HYPERLINK("https://ibp.a2mac1.com/costing(costing:projects/details/8191/part/5383151)","Connectors")</f>
        <v>Connectors</v>
      </c>
      <c r="F1587" t="s">
        <v>2264</v>
      </c>
    </row>
    <row r="1588" spans="1:6" ht="12.75">
      <c r="A1588">
        <v>5383152</v>
      </c>
      <c r="B1588">
        <v>5382886</v>
      </c>
      <c r="C1588" t="s">
        <v>12</v>
      </c>
      <c r="D1588" t="s">
        <v>8</v>
      </c>
      <c r="E1588" s="2" t="str">
        <f>HYPERLINK("https://ibp.a2mac1.com/costing(costing:projects/details/8191/part/5383152)","HV Cable")</f>
        <v>HV Cable</v>
      </c>
      <c r="F1588" t="s">
        <v>2264</v>
      </c>
    </row>
    <row r="1589" spans="1:6" ht="12.75">
      <c r="A1589">
        <v>5383153</v>
      </c>
      <c r="B1589">
        <v>5382886</v>
      </c>
      <c r="C1589" t="s">
        <v>12</v>
      </c>
      <c r="D1589" t="s">
        <v>8</v>
      </c>
      <c r="E1589" s="2" t="str">
        <f>HYPERLINK("https://ibp.a2mac1.com/costing(costing:projects/details/8191/part/5383153)","Miscellaneuos")</f>
        <v>Miscellaneuos</v>
      </c>
      <c r="F1589" t="s">
        <v>2264</v>
      </c>
    </row>
    <row r="1590" spans="1:6" ht="12.75">
      <c r="A1590">
        <v>6971738</v>
      </c>
      <c r="B1590">
        <v>5382886</v>
      </c>
      <c r="C1590" t="s">
        <v>99</v>
      </c>
      <c r="D1590" t="s">
        <v>8</v>
      </c>
      <c r="E1590" s="2" t="str">
        <f>HYPERLINK("https://ibp.a2mac1.com/costing(costing:projects/details/8191/process/6971738)","Process")</f>
        <v>Process</v>
      </c>
      <c r="F1590" t="s">
        <v>2264</v>
      </c>
    </row>
    <row r="1591" spans="1:6" ht="12.75">
      <c r="A1591">
        <v>6944246</v>
      </c>
      <c r="B1591">
        <v>6971738</v>
      </c>
      <c r="C1591" t="s">
        <v>189</v>
      </c>
      <c r="D1591" t="s">
        <v>99</v>
      </c>
      <c r="E1591" s="2" t="str">
        <f>HYPERLINK("https://ibp.a2mac1.com/costing(costing:projects/details/8191/equipment/6944246)","Machine 1")</f>
        <v>Machine 1</v>
      </c>
      <c r="F1591" t="s">
        <v>2265</v>
      </c>
    </row>
    <row r="1592" spans="1:6" ht="12.75">
      <c r="A1592">
        <v>5382887</v>
      </c>
      <c r="B1592">
        <v>5382804</v>
      </c>
      <c r="C1592" t="s">
        <v>8</v>
      </c>
      <c r="D1592" t="s">
        <v>8</v>
      </c>
      <c r="E1592" s="2" t="str">
        <f>HYPERLINK("https://ibp.a2mac1.com/costing(costing:projects/details/8191/assembly/5382887)"," Exterior Charging Cable")</f>
        <v xml:space="preserve"> Exterior Charging Cable</v>
      </c>
      <c r="F1592" t="s">
        <v>2263</v>
      </c>
    </row>
    <row r="1593" spans="1:6" ht="12.75">
      <c r="A1593">
        <v>5383154</v>
      </c>
      <c r="B1593">
        <v>5382887</v>
      </c>
      <c r="C1593" t="s">
        <v>12</v>
      </c>
      <c r="D1593" t="s">
        <v>8</v>
      </c>
      <c r="E1593" s="2" t="str">
        <f>HYPERLINK("https://ibp.a2mac1.com/costing(costing:projects/details/8191/part/5383154)","Charging Port")</f>
        <v>Charging Port</v>
      </c>
      <c r="F1593" t="s">
        <v>2268</v>
      </c>
    </row>
    <row r="1594" spans="1:6" ht="12.75">
      <c r="A1594">
        <v>5383155</v>
      </c>
      <c r="B1594">
        <v>5382887</v>
      </c>
      <c r="C1594" t="s">
        <v>12</v>
      </c>
      <c r="D1594" t="s">
        <v>8</v>
      </c>
      <c r="E1594" s="2" t="str">
        <f>HYPERLINK("https://ibp.a2mac1.com/costing(costing:projects/details/8191/part/5383155)","Charging Box")</f>
        <v>Charging Box</v>
      </c>
      <c r="F1594" t="s">
        <v>2268</v>
      </c>
    </row>
    <row r="1595" spans="1:6" ht="12.75">
      <c r="A1595">
        <v>5383156</v>
      </c>
      <c r="B1595">
        <v>5382887</v>
      </c>
      <c r="C1595" t="s">
        <v>12</v>
      </c>
      <c r="D1595" t="s">
        <v>8</v>
      </c>
      <c r="E1595" s="2" t="str">
        <f>HYPERLINK("https://ibp.a2mac1.com/costing(costing:projects/details/8191/part/5383156)","HV Cable")</f>
        <v>HV Cable</v>
      </c>
      <c r="F1595" t="s">
        <v>2268</v>
      </c>
    </row>
    <row r="1596" spans="1:6" ht="12.75">
      <c r="A1596">
        <v>5383157</v>
      </c>
      <c r="B1596">
        <v>5382887</v>
      </c>
      <c r="C1596" t="s">
        <v>12</v>
      </c>
      <c r="D1596" t="s">
        <v>8</v>
      </c>
      <c r="E1596" s="2" t="str">
        <f>HYPERLINK("https://ibp.a2mac1.com/costing(costing:projects/details/8191/part/5383157)","Miscellaneuos")</f>
        <v>Miscellaneuos</v>
      </c>
      <c r="F1596" t="s">
        <v>2268</v>
      </c>
    </row>
    <row r="1597" spans="1:6" ht="12.75">
      <c r="A1597">
        <v>6971739</v>
      </c>
      <c r="B1597">
        <v>5382887</v>
      </c>
      <c r="C1597" t="s">
        <v>99</v>
      </c>
      <c r="D1597" t="s">
        <v>8</v>
      </c>
      <c r="E1597" s="2" t="str">
        <f>HYPERLINK("https://ibp.a2mac1.com/costing(costing:projects/details/8191/process/6971739)","Process")</f>
        <v>Process</v>
      </c>
      <c r="F1597" t="s">
        <v>2268</v>
      </c>
    </row>
    <row r="1598" spans="1:6" ht="12.75">
      <c r="A1598">
        <v>6944247</v>
      </c>
      <c r="B1598">
        <v>6971739</v>
      </c>
      <c r="C1598" t="s">
        <v>189</v>
      </c>
      <c r="D1598" t="s">
        <v>99</v>
      </c>
      <c r="E1598" s="2" t="str">
        <f>HYPERLINK("https://ibp.a2mac1.com/costing(costing:projects/details/8191/equipment/6944247)","Machine 1")</f>
        <v>Machine 1</v>
      </c>
      <c r="F1598" t="s">
        <v>2269</v>
      </c>
    </row>
    <row r="1599" spans="1:6" ht="12.75">
      <c r="A1599">
        <v>5382883</v>
      </c>
      <c r="B1599">
        <v>5382804</v>
      </c>
      <c r="C1599" t="s">
        <v>12</v>
      </c>
      <c r="D1599" t="s">
        <v>8</v>
      </c>
      <c r="E1599" s="2" t="str">
        <f>HYPERLINK("https://ibp.a2mac1.com/costing(costing:projects/details/8191/part/5382883)"," Storage Bag")</f>
        <v xml:space="preserve"> Storage Bag</v>
      </c>
      <c r="F1599" t="s">
        <v>2263</v>
      </c>
    </row>
    <row r="1600" spans="1:6" ht="12.75">
      <c r="A1600">
        <v>5382884</v>
      </c>
      <c r="B1600">
        <v>5382804</v>
      </c>
      <c r="C1600" t="s">
        <v>12</v>
      </c>
      <c r="D1600" t="s">
        <v>8</v>
      </c>
      <c r="E1600" s="2" t="str">
        <f>HYPERLINK("https://ibp.a2mac1.com/costing(costing:projects/details/8191/part/5382884)"," Charging Plug 1 Cap")</f>
        <v xml:space="preserve"> Charging Plug 1 Cap</v>
      </c>
      <c r="F1600" t="s">
        <v>2263</v>
      </c>
    </row>
    <row r="1601" spans="1:6" ht="12.75">
      <c r="A1601">
        <v>5382885</v>
      </c>
      <c r="B1601">
        <v>5382804</v>
      </c>
      <c r="C1601" t="s">
        <v>12</v>
      </c>
      <c r="D1601" t="s">
        <v>8</v>
      </c>
      <c r="E1601" s="2" t="str">
        <f>HYPERLINK("https://ibp.a2mac1.com/costing(costing:projects/details/8191/part/5382885)"," Water hose evacuation")</f>
        <v xml:space="preserve"> Water hose evacuation</v>
      </c>
      <c r="F1601" t="s">
        <v>2263</v>
      </c>
    </row>
    <row r="1602" spans="1:6" ht="12.75">
      <c r="A1602">
        <v>5382888</v>
      </c>
      <c r="B1602">
        <v>5382804</v>
      </c>
      <c r="C1602" t="s">
        <v>12</v>
      </c>
      <c r="D1602" t="s">
        <v>8</v>
      </c>
      <c r="E1602" s="2" t="str">
        <f>HYPERLINK("https://ibp.a2mac1.com/costing(costing:projects/details/8191/part/5382888)","Lid Locking")</f>
        <v>Lid Locking</v>
      </c>
      <c r="F1602" t="s">
        <v>2263</v>
      </c>
    </row>
    <row r="1603" spans="1:6" ht="12.75">
      <c r="A1603">
        <v>5382889</v>
      </c>
      <c r="B1603">
        <v>5382804</v>
      </c>
      <c r="C1603" t="s">
        <v>12</v>
      </c>
      <c r="D1603" t="s">
        <v>8</v>
      </c>
      <c r="E1603" s="2" t="str">
        <f>HYPERLINK("https://ibp.a2mac1.com/costing(costing:projects/details/8191/part/5382889)","Charging indicator")</f>
        <v>Charging indicator</v>
      </c>
      <c r="F1603" t="s">
        <v>2263</v>
      </c>
    </row>
    <row r="1604" spans="1:6" ht="12.75">
      <c r="A1604">
        <v>6971740</v>
      </c>
      <c r="B1604">
        <v>5382889</v>
      </c>
      <c r="C1604" t="s">
        <v>99</v>
      </c>
      <c r="D1604" t="s">
        <v>12</v>
      </c>
      <c r="E1604" s="2" t="str">
        <f>HYPERLINK("https://ibp.a2mac1.com/costing(costing:projects/details/8191/process/6971740)","Process")</f>
        <v>Process</v>
      </c>
      <c r="F1604" t="s">
        <v>2280</v>
      </c>
    </row>
    <row r="1605" spans="1:6" ht="12.75">
      <c r="A1605">
        <v>6944248</v>
      </c>
      <c r="B1605">
        <v>6971740</v>
      </c>
      <c r="C1605" t="s">
        <v>189</v>
      </c>
      <c r="D1605" t="s">
        <v>99</v>
      </c>
      <c r="E1605" s="2" t="str">
        <f>HYPERLINK("https://ibp.a2mac1.com/costing(costing:projects/details/8191/equipment/6944248)","Dummy Machine (PCBA+Final Assembly Line)")</f>
        <v>Dummy Machine (PCBA+Final Assembly Line)</v>
      </c>
      <c r="F1605" t="s">
        <v>2281</v>
      </c>
    </row>
    <row r="1606" spans="1:6" ht="12.75">
      <c r="A1606">
        <v>5316523</v>
      </c>
      <c r="B1606">
        <v>5382889</v>
      </c>
      <c r="C1606" t="s">
        <v>574</v>
      </c>
      <c r="D1606" t="s">
        <v>12</v>
      </c>
      <c r="E1606" s="2" t="str">
        <f>HYPERLINK("https://ibp.a2mac1.com/costing(costing:projects/details/8191/component/5316523)","Electronics")</f>
        <v>Electronics</v>
      </c>
      <c r="F1606" t="s">
        <v>2280</v>
      </c>
    </row>
    <row r="1607" spans="1:6" ht="12.75">
      <c r="A1607">
        <v>5316524</v>
      </c>
      <c r="B1607">
        <v>5382889</v>
      </c>
      <c r="C1607" t="s">
        <v>574</v>
      </c>
      <c r="D1607" t="s">
        <v>12</v>
      </c>
      <c r="E1607" s="2" t="str">
        <f>HYPERLINK("https://ibp.a2mac1.com/costing(costing:projects/details/8191/component/5316524)","Mechanics")</f>
        <v>Mechanics</v>
      </c>
      <c r="F1607" t="s">
        <v>2280</v>
      </c>
    </row>
    <row r="1608" spans="1:6" ht="12.75">
      <c r="A1608">
        <v>5382805</v>
      </c>
      <c r="B1608">
        <v>5382793</v>
      </c>
      <c r="C1608" t="s">
        <v>8</v>
      </c>
      <c r="D1608" t="s">
        <v>8</v>
      </c>
      <c r="E1608" s="2" t="str">
        <f>HYPERLINK("https://ibp.a2mac1.com/costing(costing:projects/details/8191/assembly/5382805)"," HV Battery Pack")</f>
        <v xml:space="preserve"> HV Battery Pack</v>
      </c>
      <c r="F1608" t="s">
        <v>1765</v>
      </c>
    </row>
    <row r="1609" spans="1:6" ht="12.75">
      <c r="A1609">
        <v>5382890</v>
      </c>
      <c r="B1609">
        <v>5382805</v>
      </c>
      <c r="C1609" t="s">
        <v>8</v>
      </c>
      <c r="D1609" t="s">
        <v>8</v>
      </c>
      <c r="E1609" s="2" t="str">
        <f>HYPERLINK("https://ibp.a2mac1.com/costing(costing:projects/details/8191/assembly/5382890)","Battery pack: Excluding cells")</f>
        <v>Battery pack: Excluding cells</v>
      </c>
      <c r="F1609" t="s">
        <v>2285</v>
      </c>
    </row>
    <row r="1610" spans="1:6" ht="12.75">
      <c r="A1610">
        <v>5383158</v>
      </c>
      <c r="B1610">
        <v>5382890</v>
      </c>
      <c r="C1610" t="s">
        <v>8</v>
      </c>
      <c r="D1610" t="s">
        <v>8</v>
      </c>
      <c r="E1610" s="2" t="str">
        <f>HYPERLINK("https://ibp.a2mac1.com/costing(costing:projects/details/8191/assembly/5383158)","Cell Module, Large")</f>
        <v>Cell Module, Large</v>
      </c>
      <c r="F1610" t="s">
        <v>2286</v>
      </c>
    </row>
    <row r="1611" spans="1:6" ht="12.75">
      <c r="A1611">
        <v>5383442</v>
      </c>
      <c r="B1611">
        <v>5383158</v>
      </c>
      <c r="C1611" t="s">
        <v>8</v>
      </c>
      <c r="D1611" t="s">
        <v>8</v>
      </c>
      <c r="E1611" s="2" t="str">
        <f>HYPERLINK("https://ibp.a2mac1.com/costing(costing:projects/details/8191/assembly/5383442)","Housing")</f>
        <v>Housing</v>
      </c>
      <c r="F1611" t="s">
        <v>2287</v>
      </c>
    </row>
    <row r="1612" spans="1:6" ht="12.75">
      <c r="A1612">
        <v>5383727</v>
      </c>
      <c r="B1612">
        <v>5383442</v>
      </c>
      <c r="C1612" t="s">
        <v>12</v>
      </c>
      <c r="D1612" t="s">
        <v>8</v>
      </c>
      <c r="E1612" s="2" t="str">
        <f>HYPERLINK("https://ibp.a2mac1.com/costing(costing:projects/details/8191/part/5383727)","Material - Aluminium")</f>
        <v>Material - Aluminium</v>
      </c>
      <c r="F1612" t="s">
        <v>2288</v>
      </c>
    </row>
    <row r="1613" spans="1:6" ht="12.75">
      <c r="A1613">
        <v>6971964</v>
      </c>
      <c r="B1613">
        <v>5383442</v>
      </c>
      <c r="C1613" t="s">
        <v>99</v>
      </c>
      <c r="D1613" t="s">
        <v>8</v>
      </c>
      <c r="E1613" s="2" t="str">
        <f>HYPERLINK("https://ibp.a2mac1.com/costing(costing:projects/details/8191/process/6971964)","Machine")</f>
        <v>Machine</v>
      </c>
      <c r="F1613" t="s">
        <v>2288</v>
      </c>
    </row>
    <row r="1614" spans="1:6" ht="12.75">
      <c r="A1614">
        <v>6971965</v>
      </c>
      <c r="B1614">
        <v>5383442</v>
      </c>
      <c r="C1614" t="s">
        <v>99</v>
      </c>
      <c r="D1614" t="s">
        <v>8</v>
      </c>
      <c r="E1614" s="2" t="str">
        <f>HYPERLINK("https://ibp.a2mac1.com/costing(costing:projects/details/8191/process/6971965)","Labour")</f>
        <v>Labour</v>
      </c>
      <c r="F1614" t="s">
        <v>2288</v>
      </c>
    </row>
    <row r="1615" spans="1:6" ht="12.75">
      <c r="A1615">
        <v>5383436</v>
      </c>
      <c r="B1615">
        <v>5383158</v>
      </c>
      <c r="C1615" t="s">
        <v>12</v>
      </c>
      <c r="D1615" t="s">
        <v>8</v>
      </c>
      <c r="E1615" s="2" t="str">
        <f>HYPERLINK("https://ibp.a2mac1.com/costing(costing:projects/details/8191/part/5383436)","Cell to Cell interconnect 1")</f>
        <v>Cell to Cell interconnect 1</v>
      </c>
      <c r="F1615" t="s">
        <v>2287</v>
      </c>
    </row>
    <row r="1616" spans="1:6" ht="12.75">
      <c r="A1616">
        <v>5383437</v>
      </c>
      <c r="B1616">
        <v>5383158</v>
      </c>
      <c r="C1616" t="s">
        <v>12</v>
      </c>
      <c r="D1616" t="s">
        <v>8</v>
      </c>
      <c r="E1616" s="2" t="str">
        <f>HYPERLINK("https://ibp.a2mac1.com/costing(costing:projects/details/8191/part/5383437)","Terminal 1")</f>
        <v>Terminal 1</v>
      </c>
      <c r="F1616" t="s">
        <v>2287</v>
      </c>
    </row>
    <row r="1617" spans="1:6" ht="12.75">
      <c r="A1617">
        <v>5383438</v>
      </c>
      <c r="B1617">
        <v>5383158</v>
      </c>
      <c r="C1617" t="s">
        <v>12</v>
      </c>
      <c r="D1617" t="s">
        <v>8</v>
      </c>
      <c r="E1617" s="2" t="str">
        <f>HYPERLINK("https://ibp.a2mac1.com/costing(costing:projects/details/8191/part/5383438)","Cell to cell connection 2")</f>
        <v>Cell to cell connection 2</v>
      </c>
      <c r="F1617" t="s">
        <v>2287</v>
      </c>
    </row>
    <row r="1618" spans="1:6" ht="12.75">
      <c r="A1618">
        <v>5383439</v>
      </c>
      <c r="B1618">
        <v>5383158</v>
      </c>
      <c r="C1618" t="s">
        <v>12</v>
      </c>
      <c r="D1618" t="s">
        <v>8</v>
      </c>
      <c r="E1618" s="2" t="str">
        <f>HYPERLINK("https://ibp.a2mac1.com/costing(costing:projects/details/8191/part/5383439)","End Plate")</f>
        <v>End Plate</v>
      </c>
      <c r="F1618" t="s">
        <v>2287</v>
      </c>
    </row>
    <row r="1619" spans="1:6" ht="12.75">
      <c r="A1619">
        <v>5383440</v>
      </c>
      <c r="B1619">
        <v>5383158</v>
      </c>
      <c r="C1619" t="s">
        <v>12</v>
      </c>
      <c r="D1619" t="s">
        <v>8</v>
      </c>
      <c r="E1619" s="2" t="str">
        <f>HYPERLINK("https://ibp.a2mac1.com/costing(costing:projects/details/8191/part/5383440)","Screws")</f>
        <v>Screws</v>
      </c>
      <c r="F1619" t="s">
        <v>2287</v>
      </c>
    </row>
    <row r="1620" spans="1:6" ht="12.75">
      <c r="A1620">
        <v>5383441</v>
      </c>
      <c r="B1620">
        <v>5383158</v>
      </c>
      <c r="C1620" t="s">
        <v>12</v>
      </c>
      <c r="D1620" t="s">
        <v>8</v>
      </c>
      <c r="E1620" s="2" t="str">
        <f>HYPERLINK("https://ibp.a2mac1.com/costing(costing:projects/details/8191/part/5383441)","Insulator 1")</f>
        <v>Insulator 1</v>
      </c>
      <c r="F1620" t="s">
        <v>2287</v>
      </c>
    </row>
    <row r="1621" spans="1:6" ht="12.75">
      <c r="A1621">
        <v>5383443</v>
      </c>
      <c r="B1621">
        <v>5383158</v>
      </c>
      <c r="C1621" t="s">
        <v>12</v>
      </c>
      <c r="D1621" t="s">
        <v>8</v>
      </c>
      <c r="E1621" s="2" t="str">
        <f>HYPERLINK("https://ibp.a2mac1.com/costing(costing:projects/details/8191/part/5383443)","Top Cover")</f>
        <v>Top Cover</v>
      </c>
      <c r="F1621" t="s">
        <v>2287</v>
      </c>
    </row>
    <row r="1622" spans="1:6" ht="12.75">
      <c r="A1622">
        <v>5383444</v>
      </c>
      <c r="B1622">
        <v>5383158</v>
      </c>
      <c r="C1622" t="s">
        <v>12</v>
      </c>
      <c r="D1622" t="s">
        <v>8</v>
      </c>
      <c r="E1622" s="2" t="str">
        <f>HYPERLINK("https://ibp.a2mac1.com/costing(costing:projects/details/8191/part/5383444)","Flex PCB")</f>
        <v>Flex PCB</v>
      </c>
      <c r="F1622" t="s">
        <v>2287</v>
      </c>
    </row>
    <row r="1623" spans="1:6" ht="12.75">
      <c r="A1623">
        <v>5383445</v>
      </c>
      <c r="B1623">
        <v>5383158</v>
      </c>
      <c r="C1623" t="s">
        <v>12</v>
      </c>
      <c r="D1623" t="s">
        <v>8</v>
      </c>
      <c r="E1623" s="2" t="str">
        <f>HYPERLINK("https://ibp.a2mac1.com/costing(costing:projects/details/8191/part/5383445)","Cell to Cell Interconnect Support")</f>
        <v>Cell to Cell Interconnect Support</v>
      </c>
      <c r="F1623" t="s">
        <v>2287</v>
      </c>
    </row>
    <row r="1624" spans="1:6" ht="12.75">
      <c r="A1624">
        <v>5383446</v>
      </c>
      <c r="B1624">
        <v>5383158</v>
      </c>
      <c r="C1624" t="s">
        <v>12</v>
      </c>
      <c r="D1624" t="s">
        <v>8</v>
      </c>
      <c r="E1624" s="2" t="str">
        <f>HYPERLINK("https://ibp.a2mac1.com/costing(costing:projects/details/8191/part/5383446)","Spacer")</f>
        <v>Spacer</v>
      </c>
      <c r="F1624" t="s">
        <v>2287</v>
      </c>
    </row>
    <row r="1625" spans="1:6" ht="12.75">
      <c r="A1625">
        <v>5383447</v>
      </c>
      <c r="B1625">
        <v>5383158</v>
      </c>
      <c r="C1625" t="s">
        <v>12</v>
      </c>
      <c r="D1625" t="s">
        <v>8</v>
      </c>
      <c r="E1625" s="2" t="str">
        <f>HYPERLINK("https://ibp.a2mac1.com/costing(costing:projects/details/8191/part/5383447)","Thermal Paste")</f>
        <v>Thermal Paste</v>
      </c>
      <c r="F1625" t="s">
        <v>2287</v>
      </c>
    </row>
    <row r="1626" spans="1:6" ht="12.75">
      <c r="A1626">
        <v>5383448</v>
      </c>
      <c r="B1626">
        <v>5383158</v>
      </c>
      <c r="C1626" t="s">
        <v>12</v>
      </c>
      <c r="D1626" t="s">
        <v>8</v>
      </c>
      <c r="E1626" s="2" t="str">
        <f>HYPERLINK("https://ibp.a2mac1.com/costing(costing:projects/details/8191/part/5383448)","Screws")</f>
        <v>Screws</v>
      </c>
      <c r="F1626" t="s">
        <v>2287</v>
      </c>
    </row>
    <row r="1627" spans="1:6" ht="12.75">
      <c r="A1627">
        <v>6971886</v>
      </c>
      <c r="B1627">
        <v>5383158</v>
      </c>
      <c r="C1627" t="s">
        <v>99</v>
      </c>
      <c r="D1627" t="s">
        <v>8</v>
      </c>
      <c r="E1627" s="2" t="str">
        <f>HYPERLINK("https://ibp.a2mac1.com/costing(costing:projects/details/8191/process/6971886)","Process")</f>
        <v>Process</v>
      </c>
      <c r="F1627" t="s">
        <v>2287</v>
      </c>
    </row>
    <row r="1628" spans="1:6" ht="12.75">
      <c r="A1628">
        <v>6944310</v>
      </c>
      <c r="B1628">
        <v>6971886</v>
      </c>
      <c r="C1628" t="s">
        <v>189</v>
      </c>
      <c r="D1628" t="s">
        <v>99</v>
      </c>
      <c r="E1628" s="2" t="str">
        <f>HYPERLINK("https://ibp.a2mac1.com/costing(costing:projects/details/8191/equipment/6944310)","Machine 1")</f>
        <v>Machine 1</v>
      </c>
      <c r="F1628" t="s">
        <v>2314</v>
      </c>
    </row>
    <row r="1629" spans="1:6" ht="12.75">
      <c r="A1629">
        <v>5383159</v>
      </c>
      <c r="B1629">
        <v>5382890</v>
      </c>
      <c r="C1629" t="s">
        <v>8</v>
      </c>
      <c r="D1629" t="s">
        <v>8</v>
      </c>
      <c r="E1629" s="2" t="str">
        <f>HYPERLINK("https://ibp.a2mac1.com/costing(costing:projects/details/8191/assembly/5383159)","Electrical Components")</f>
        <v>Electrical Components</v>
      </c>
      <c r="F1629" t="s">
        <v>2286</v>
      </c>
    </row>
    <row r="1630" spans="1:6" ht="12.75">
      <c r="A1630">
        <v>5383449</v>
      </c>
      <c r="B1630">
        <v>5383159</v>
      </c>
      <c r="C1630" t="s">
        <v>8</v>
      </c>
      <c r="D1630" t="s">
        <v>8</v>
      </c>
      <c r="E1630" s="2" t="str">
        <f>HYPERLINK("https://ibp.a2mac1.com/costing(costing:projects/details/8191/assembly/5383449)","BMS Master ECU")</f>
        <v>BMS Master ECU</v>
      </c>
      <c r="F1630" t="s">
        <v>2319</v>
      </c>
    </row>
    <row r="1631" spans="1:6" ht="12.75">
      <c r="A1631">
        <v>5383728</v>
      </c>
      <c r="B1631">
        <v>5383449</v>
      </c>
      <c r="C1631" t="s">
        <v>8</v>
      </c>
      <c r="D1631" t="s">
        <v>8</v>
      </c>
      <c r="E1631" s="2" t="str">
        <f>HYPERLINK("https://ibp.a2mac1.com/costing(costing:projects/details/8191/assembly/5383728)","BMS Master PCBA")</f>
        <v>BMS Master PCBA</v>
      </c>
      <c r="F1631" t="s">
        <v>2320</v>
      </c>
    </row>
    <row r="1632" spans="1:6" ht="12.75">
      <c r="A1632">
        <v>5383972</v>
      </c>
      <c r="B1632">
        <v>5383728</v>
      </c>
      <c r="C1632" t="s">
        <v>12</v>
      </c>
      <c r="D1632" t="s">
        <v>8</v>
      </c>
      <c r="E1632" s="2" t="str">
        <f>HYPERLINK("https://ibp.a2mac1.com/costing(costing:projects/details/8191/part/5383972)","PCB")</f>
        <v>PCB</v>
      </c>
      <c r="F1632" t="s">
        <v>2321</v>
      </c>
    </row>
    <row r="1633" spans="1:6" ht="12.75">
      <c r="A1633">
        <v>5383729</v>
      </c>
      <c r="B1633">
        <v>5383449</v>
      </c>
      <c r="C1633" t="s">
        <v>8</v>
      </c>
      <c r="D1633" t="s">
        <v>8</v>
      </c>
      <c r="E1633" s="2" t="str">
        <f>HYPERLINK("https://ibp.a2mac1.com/costing(costing:projects/details/8191/assembly/5383729)","BMS Master ECU Mechanical Components")</f>
        <v>BMS Master ECU Mechanical Components</v>
      </c>
      <c r="F1633" t="s">
        <v>2320</v>
      </c>
    </row>
    <row r="1634" spans="1:6" ht="12.75">
      <c r="A1634">
        <v>5383973</v>
      </c>
      <c r="B1634">
        <v>5383729</v>
      </c>
      <c r="C1634" t="s">
        <v>12</v>
      </c>
      <c r="D1634" t="s">
        <v>8</v>
      </c>
      <c r="E1634" s="2" t="str">
        <f>HYPERLINK("https://ibp.a2mac1.com/costing(costing:projects/details/8191/part/5383973)","Housing Top")</f>
        <v>Housing Top</v>
      </c>
      <c r="F1634" t="s">
        <v>2326</v>
      </c>
    </row>
    <row r="1635" spans="1:6" ht="12.75">
      <c r="A1635">
        <v>5383974</v>
      </c>
      <c r="B1635">
        <v>5383729</v>
      </c>
      <c r="C1635" t="s">
        <v>12</v>
      </c>
      <c r="D1635" t="s">
        <v>8</v>
      </c>
      <c r="E1635" s="2" t="str">
        <f>HYPERLINK("https://ibp.a2mac1.com/costing(costing:projects/details/8191/part/5383974)","Housing Bottom")</f>
        <v>Housing Bottom</v>
      </c>
      <c r="F1635" t="s">
        <v>2326</v>
      </c>
    </row>
    <row r="1636" spans="1:6" ht="12.75">
      <c r="A1636">
        <v>5383975</v>
      </c>
      <c r="B1636">
        <v>5383729</v>
      </c>
      <c r="C1636" t="s">
        <v>12</v>
      </c>
      <c r="D1636" t="s">
        <v>8</v>
      </c>
      <c r="E1636" s="2" t="str">
        <f>HYPERLINK("https://ibp.a2mac1.com/costing(costing:projects/details/8191/part/5383975)","Screws")</f>
        <v>Screws</v>
      </c>
      <c r="F1636" t="s">
        <v>2326</v>
      </c>
    </row>
    <row r="1637" spans="1:6" ht="12.75">
      <c r="A1637">
        <v>6971966</v>
      </c>
      <c r="B1637">
        <v>5383449</v>
      </c>
      <c r="C1637" t="s">
        <v>99</v>
      </c>
      <c r="D1637" t="s">
        <v>8</v>
      </c>
      <c r="E1637" s="2" t="str">
        <f>HYPERLINK("https://ibp.a2mac1.com/costing(costing:projects/details/8191/process/6971966)","Assembly")</f>
        <v>Assembly</v>
      </c>
      <c r="F1637" t="s">
        <v>2320</v>
      </c>
    </row>
    <row r="1638" spans="1:6" ht="12.75">
      <c r="A1638">
        <v>5383450</v>
      </c>
      <c r="B1638">
        <v>5383159</v>
      </c>
      <c r="C1638" t="s">
        <v>8</v>
      </c>
      <c r="D1638" t="s">
        <v>8</v>
      </c>
      <c r="E1638" s="2" t="str">
        <f>HYPERLINK("https://ibp.a2mac1.com/costing(costing:projects/details/8191/assembly/5383450)","Slave BMS ECU")</f>
        <v>Slave BMS ECU</v>
      </c>
      <c r="F1638" t="s">
        <v>2319</v>
      </c>
    </row>
    <row r="1639" spans="1:6" ht="12.75">
      <c r="A1639">
        <v>5383730</v>
      </c>
      <c r="B1639">
        <v>5383450</v>
      </c>
      <c r="C1639" t="s">
        <v>8</v>
      </c>
      <c r="D1639" t="s">
        <v>8</v>
      </c>
      <c r="E1639" s="2" t="str">
        <f>HYPERLINK("https://ibp.a2mac1.com/costing(costing:projects/details/8191/assembly/5383730)","Slave BMS PCBA")</f>
        <v>Slave BMS PCBA</v>
      </c>
      <c r="F1639" t="s">
        <v>2337</v>
      </c>
    </row>
    <row r="1640" spans="1:6" ht="12.75">
      <c r="A1640">
        <v>5383976</v>
      </c>
      <c r="B1640">
        <v>5383730</v>
      </c>
      <c r="C1640" t="s">
        <v>12</v>
      </c>
      <c r="D1640" t="s">
        <v>8</v>
      </c>
      <c r="E1640" s="2" t="str">
        <f>HYPERLINK("https://ibp.a2mac1.com/costing(costing:projects/details/8191/part/5383976)","PCB")</f>
        <v>PCB</v>
      </c>
      <c r="F1640" t="s">
        <v>2338</v>
      </c>
    </row>
    <row r="1641" spans="1:6" ht="12.75">
      <c r="A1641">
        <v>5383731</v>
      </c>
      <c r="B1641">
        <v>5383450</v>
      </c>
      <c r="C1641" t="s">
        <v>8</v>
      </c>
      <c r="D1641" t="s">
        <v>8</v>
      </c>
      <c r="E1641" s="2" t="str">
        <f>HYPERLINK("https://ibp.a2mac1.com/costing(costing:projects/details/8191/assembly/5383731)","Slave BMS ECU Mechanical Components")</f>
        <v>Slave BMS ECU Mechanical Components</v>
      </c>
      <c r="F1641" t="s">
        <v>2337</v>
      </c>
    </row>
    <row r="1642" spans="1:6" ht="12.75">
      <c r="A1642">
        <v>5383977</v>
      </c>
      <c r="B1642">
        <v>5383731</v>
      </c>
      <c r="C1642" t="s">
        <v>12</v>
      </c>
      <c r="D1642" t="s">
        <v>8</v>
      </c>
      <c r="E1642" s="2" t="str">
        <f>HYPERLINK("https://ibp.a2mac1.com/costing(costing:projects/details/8191/part/5383977)","Housing Top")</f>
        <v>Housing Top</v>
      </c>
      <c r="F1642" t="s">
        <v>2343</v>
      </c>
    </row>
    <row r="1643" spans="1:6" ht="12.75">
      <c r="A1643">
        <v>5383978</v>
      </c>
      <c r="B1643">
        <v>5383731</v>
      </c>
      <c r="C1643" t="s">
        <v>12</v>
      </c>
      <c r="D1643" t="s">
        <v>8</v>
      </c>
      <c r="E1643" s="2" t="str">
        <f>HYPERLINK("https://ibp.a2mac1.com/costing(costing:projects/details/8191/part/5383978)","Housing Bottom")</f>
        <v>Housing Bottom</v>
      </c>
      <c r="F1643" t="s">
        <v>2343</v>
      </c>
    </row>
    <row r="1644" spans="1:6" ht="12.75">
      <c r="A1644">
        <v>5383979</v>
      </c>
      <c r="B1644">
        <v>5383731</v>
      </c>
      <c r="C1644" t="s">
        <v>12</v>
      </c>
      <c r="D1644" t="s">
        <v>8</v>
      </c>
      <c r="E1644" s="2" t="str">
        <f>HYPERLINK("https://ibp.a2mac1.com/costing(costing:projects/details/8191/part/5383979)","Screws")</f>
        <v>Screws</v>
      </c>
      <c r="F1644" t="s">
        <v>2343</v>
      </c>
    </row>
    <row r="1645" spans="1:6" ht="12.75">
      <c r="A1645">
        <v>6971967</v>
      </c>
      <c r="B1645">
        <v>5383450</v>
      </c>
      <c r="C1645" t="s">
        <v>99</v>
      </c>
      <c r="D1645" t="s">
        <v>8</v>
      </c>
      <c r="E1645" s="2" t="str">
        <f>HYPERLINK("https://ibp.a2mac1.com/costing(costing:projects/details/8191/process/6971967)","Assembly")</f>
        <v>Assembly</v>
      </c>
      <c r="F1645" t="s">
        <v>2337</v>
      </c>
    </row>
    <row r="1646" spans="1:6" ht="12.75">
      <c r="A1646">
        <v>5383451</v>
      </c>
      <c r="B1646">
        <v>5383159</v>
      </c>
      <c r="C1646" t="s">
        <v>8</v>
      </c>
      <c r="D1646" t="s">
        <v>8</v>
      </c>
      <c r="E1646" s="2" t="str">
        <f>HYPERLINK("https://ibp.a2mac1.com/costing(costing:projects/details/8191/assembly/5383451)","Relay Box #1")</f>
        <v>Relay Box #1</v>
      </c>
      <c r="F1646" t="s">
        <v>2319</v>
      </c>
    </row>
    <row r="1647" spans="1:6" ht="12.75">
      <c r="A1647">
        <v>5383742</v>
      </c>
      <c r="B1647">
        <v>5383451</v>
      </c>
      <c r="C1647" t="s">
        <v>8</v>
      </c>
      <c r="D1647" t="s">
        <v>8</v>
      </c>
      <c r="E1647" s="2" t="str">
        <f>HYPERLINK("https://ibp.a2mac1.com/costing(costing:projects/details/8191/assembly/5383742)","Housing Bottom")</f>
        <v>Housing Bottom</v>
      </c>
      <c r="F1647" t="s">
        <v>2354</v>
      </c>
    </row>
    <row r="1648" spans="1:6" ht="12.75">
      <c r="A1648">
        <v>5383980</v>
      </c>
      <c r="B1648">
        <v>5383742</v>
      </c>
      <c r="C1648" t="s">
        <v>12</v>
      </c>
      <c r="D1648" t="s">
        <v>8</v>
      </c>
      <c r="E1648" s="2" t="str">
        <f>HYPERLINK("https://ibp.a2mac1.com/costing(costing:projects/details/8191/part/5383980)","Material")</f>
        <v>Material</v>
      </c>
      <c r="F1648" t="s">
        <v>2355</v>
      </c>
    </row>
    <row r="1649" spans="1:6" ht="12.75">
      <c r="A1649">
        <v>6972160</v>
      </c>
      <c r="B1649">
        <v>5383742</v>
      </c>
      <c r="C1649" t="s">
        <v>99</v>
      </c>
      <c r="D1649" t="s">
        <v>8</v>
      </c>
      <c r="E1649" s="2" t="str">
        <f>HYPERLINK("https://ibp.a2mac1.com/costing(costing:projects/details/8191/process/6972160)","Machine")</f>
        <v>Machine</v>
      </c>
      <c r="F1649" t="s">
        <v>2355</v>
      </c>
    </row>
    <row r="1650" spans="1:6" ht="12.75">
      <c r="A1650">
        <v>6972161</v>
      </c>
      <c r="B1650">
        <v>5383742</v>
      </c>
      <c r="C1650" t="s">
        <v>99</v>
      </c>
      <c r="D1650" t="s">
        <v>8</v>
      </c>
      <c r="E1650" s="2" t="str">
        <f>HYPERLINK("https://ibp.a2mac1.com/costing(costing:projects/details/8191/process/6972161)","Labour")</f>
        <v>Labour</v>
      </c>
      <c r="F1650" t="s">
        <v>2355</v>
      </c>
    </row>
    <row r="1651" spans="1:6" ht="12.75">
      <c r="A1651">
        <v>5383732</v>
      </c>
      <c r="B1651">
        <v>5383451</v>
      </c>
      <c r="C1651" t="s">
        <v>12</v>
      </c>
      <c r="D1651" t="s">
        <v>8</v>
      </c>
      <c r="E1651" s="2" t="str">
        <f>HYPERLINK("https://ibp.a2mac1.com/costing(costing:projects/details/8191/part/5383732)","Current Sensor")</f>
        <v>Current Sensor</v>
      </c>
      <c r="F1651" t="s">
        <v>2354</v>
      </c>
    </row>
    <row r="1652" spans="1:6" ht="12.75">
      <c r="A1652">
        <v>5383733</v>
      </c>
      <c r="B1652">
        <v>5383451</v>
      </c>
      <c r="C1652" t="s">
        <v>12</v>
      </c>
      <c r="D1652" t="s">
        <v>8</v>
      </c>
      <c r="E1652" s="2" t="str">
        <f>HYPERLINK("https://ibp.a2mac1.com/costing(costing:projects/details/8191/part/5383733)","Nuts")</f>
        <v>Nuts</v>
      </c>
      <c r="F1652" t="s">
        <v>2354</v>
      </c>
    </row>
    <row r="1653" spans="1:6" ht="12.75">
      <c r="A1653">
        <v>5383734</v>
      </c>
      <c r="B1653">
        <v>5383451</v>
      </c>
      <c r="C1653" t="s">
        <v>12</v>
      </c>
      <c r="D1653" t="s">
        <v>8</v>
      </c>
      <c r="E1653" s="2" t="str">
        <f>HYPERLINK("https://ibp.a2mac1.com/costing(costing:projects/details/8191/part/5383734)","Mian Positive Relay")</f>
        <v>Mian Positive Relay</v>
      </c>
      <c r="F1653" t="s">
        <v>2354</v>
      </c>
    </row>
    <row r="1654" spans="1:6" ht="12.75">
      <c r="A1654">
        <v>5383735</v>
      </c>
      <c r="B1654">
        <v>5383451</v>
      </c>
      <c r="C1654" t="s">
        <v>12</v>
      </c>
      <c r="D1654" t="s">
        <v>8</v>
      </c>
      <c r="E1654" s="2" t="str">
        <f>HYPERLINK("https://ibp.a2mac1.com/costing(costing:projects/details/8191/part/5383735)","Screw, Main Replay")</f>
        <v>Screw, Main Replay</v>
      </c>
      <c r="F1654" t="s">
        <v>2354</v>
      </c>
    </row>
    <row r="1655" spans="1:6" ht="12.75">
      <c r="A1655">
        <v>5383736</v>
      </c>
      <c r="B1655">
        <v>5383451</v>
      </c>
      <c r="C1655" t="s">
        <v>12</v>
      </c>
      <c r="D1655" t="s">
        <v>8</v>
      </c>
      <c r="E1655" s="2" t="str">
        <f>HYPERLINK("https://ibp.a2mac1.com/costing(costing:projects/details/8191/part/5383736)","Relay Box Cover")</f>
        <v>Relay Box Cover</v>
      </c>
      <c r="F1655" t="s">
        <v>2354</v>
      </c>
    </row>
    <row r="1656" spans="1:6" ht="12.75">
      <c r="A1656">
        <v>5383737</v>
      </c>
      <c r="B1656">
        <v>5383451</v>
      </c>
      <c r="C1656" t="s">
        <v>12</v>
      </c>
      <c r="D1656" t="s">
        <v>8</v>
      </c>
      <c r="E1656" s="2" t="str">
        <f>HYPERLINK("https://ibp.a2mac1.com/costing(costing:projects/details/8191/part/5383737)","Bus Bar Assembly")</f>
        <v>Bus Bar Assembly</v>
      </c>
      <c r="F1656" t="s">
        <v>2354</v>
      </c>
    </row>
    <row r="1657" spans="1:6" ht="12.75">
      <c r="A1657">
        <v>5383738</v>
      </c>
      <c r="B1657">
        <v>5383451</v>
      </c>
      <c r="C1657" t="s">
        <v>12</v>
      </c>
      <c r="D1657" t="s">
        <v>8</v>
      </c>
      <c r="E1657" s="2" t="str">
        <f>HYPERLINK("https://ibp.a2mac1.com/costing(costing:projects/details/8191/part/5383738)","Bus Bar 1")</f>
        <v>Bus Bar 1</v>
      </c>
      <c r="F1657" t="s">
        <v>2354</v>
      </c>
    </row>
    <row r="1658" spans="1:6" ht="12.75">
      <c r="A1658">
        <v>5383739</v>
      </c>
      <c r="B1658">
        <v>5383451</v>
      </c>
      <c r="C1658" t="s">
        <v>12</v>
      </c>
      <c r="D1658" t="s">
        <v>8</v>
      </c>
      <c r="E1658" s="2" t="str">
        <f>HYPERLINK("https://ibp.a2mac1.com/costing(costing:projects/details/8191/part/5383739)","P.S.S Switch")</f>
        <v>P.S.S Switch</v>
      </c>
      <c r="F1658" t="s">
        <v>2354</v>
      </c>
    </row>
    <row r="1659" spans="1:6" ht="12.75">
      <c r="A1659">
        <v>5383740</v>
      </c>
      <c r="B1659">
        <v>5383451</v>
      </c>
      <c r="C1659" t="s">
        <v>12</v>
      </c>
      <c r="D1659" t="s">
        <v>8</v>
      </c>
      <c r="E1659" s="2" t="str">
        <f>HYPERLINK("https://ibp.a2mac1.com/costing(costing:projects/details/8191/part/5383740)","Screws")</f>
        <v>Screws</v>
      </c>
      <c r="F1659" t="s">
        <v>2354</v>
      </c>
    </row>
    <row r="1660" spans="1:6" ht="12.75">
      <c r="A1660">
        <v>5383741</v>
      </c>
      <c r="B1660">
        <v>5383451</v>
      </c>
      <c r="C1660" t="s">
        <v>12</v>
      </c>
      <c r="D1660" t="s">
        <v>8</v>
      </c>
      <c r="E1660" s="2" t="str">
        <f>HYPERLINK("https://ibp.a2mac1.com/costing(costing:projects/details/8191/part/5383741)","Housing top")</f>
        <v>Housing top</v>
      </c>
      <c r="F1660" t="s">
        <v>2354</v>
      </c>
    </row>
    <row r="1661" spans="1:6" ht="12.75">
      <c r="A1661">
        <v>5383743</v>
      </c>
      <c r="B1661">
        <v>5383451</v>
      </c>
      <c r="C1661" t="s">
        <v>12</v>
      </c>
      <c r="D1661" t="s">
        <v>8</v>
      </c>
      <c r="E1661" s="2" t="str">
        <f>HYPERLINK("https://ibp.a2mac1.com/costing(costing:projects/details/8191/part/5383743)","Screws")</f>
        <v>Screws</v>
      </c>
      <c r="F1661" t="s">
        <v>2354</v>
      </c>
    </row>
    <row r="1662" spans="1:6" ht="12.75">
      <c r="A1662">
        <v>5383744</v>
      </c>
      <c r="B1662">
        <v>5383451</v>
      </c>
      <c r="C1662" t="s">
        <v>12</v>
      </c>
      <c r="D1662" t="s">
        <v>8</v>
      </c>
      <c r="E1662" s="2" t="str">
        <f>HYPERLINK("https://ibp.a2mac1.com/costing(costing:projects/details/8191/part/5383744)","Insulation Foil")</f>
        <v>Insulation Foil</v>
      </c>
      <c r="F1662" t="s">
        <v>2354</v>
      </c>
    </row>
    <row r="1663" spans="1:6" ht="12.75">
      <c r="A1663">
        <v>5383745</v>
      </c>
      <c r="B1663">
        <v>5383451</v>
      </c>
      <c r="C1663" t="s">
        <v>12</v>
      </c>
      <c r="D1663" t="s">
        <v>8</v>
      </c>
      <c r="E1663" s="2" t="str">
        <f>HYPERLINK("https://ibp.a2mac1.com/costing(costing:projects/details/8191/part/5383745)","Thermal Pad")</f>
        <v>Thermal Pad</v>
      </c>
      <c r="F1663" t="s">
        <v>2354</v>
      </c>
    </row>
    <row r="1664" spans="1:6" ht="12.75">
      <c r="A1664">
        <v>5383452</v>
      </c>
      <c r="B1664">
        <v>5383159</v>
      </c>
      <c r="C1664" t="s">
        <v>8</v>
      </c>
      <c r="D1664" t="s">
        <v>8</v>
      </c>
      <c r="E1664" s="2" t="str">
        <f>HYPERLINK("https://ibp.a2mac1.com/costing(costing:projects/details/8191/assembly/5383452)","Relay Box #2")</f>
        <v>Relay Box #2</v>
      </c>
      <c r="F1664" t="s">
        <v>2319</v>
      </c>
    </row>
    <row r="1665" spans="1:6" ht="12.75">
      <c r="A1665">
        <v>5383746</v>
      </c>
      <c r="B1665">
        <v>5383452</v>
      </c>
      <c r="C1665" t="s">
        <v>12</v>
      </c>
      <c r="D1665" t="s">
        <v>8</v>
      </c>
      <c r="E1665" s="2" t="str">
        <f>HYPERLINK("https://ibp.a2mac1.com/costing(costing:projects/details/8191/part/5383746)","Fuse")</f>
        <v>Fuse</v>
      </c>
      <c r="F1665" t="s">
        <v>2383</v>
      </c>
    </row>
    <row r="1666" spans="1:6" ht="12.75">
      <c r="A1666">
        <v>5383747</v>
      </c>
      <c r="B1666">
        <v>5383452</v>
      </c>
      <c r="C1666" t="s">
        <v>12</v>
      </c>
      <c r="D1666" t="s">
        <v>8</v>
      </c>
      <c r="E1666" s="2" t="str">
        <f>HYPERLINK("https://ibp.a2mac1.com/costing(costing:projects/details/8191/part/5383747)","Screws")</f>
        <v>Screws</v>
      </c>
      <c r="F1666" t="s">
        <v>2383</v>
      </c>
    </row>
    <row r="1667" spans="1:6" ht="12.75">
      <c r="A1667">
        <v>5383748</v>
      </c>
      <c r="B1667">
        <v>5383452</v>
      </c>
      <c r="C1667" t="s">
        <v>12</v>
      </c>
      <c r="D1667" t="s">
        <v>8</v>
      </c>
      <c r="E1667" s="2" t="str">
        <f>HYPERLINK("https://ibp.a2mac1.com/costing(costing:projects/details/8191/part/5383748)","Main Negative Relay")</f>
        <v>Main Negative Relay</v>
      </c>
      <c r="F1667" t="s">
        <v>2383</v>
      </c>
    </row>
    <row r="1668" spans="1:6" ht="12.75">
      <c r="A1668">
        <v>5383749</v>
      </c>
      <c r="B1668">
        <v>5383452</v>
      </c>
      <c r="C1668" t="s">
        <v>12</v>
      </c>
      <c r="D1668" t="s">
        <v>8</v>
      </c>
      <c r="E1668" s="2" t="str">
        <f>HYPERLINK("https://ibp.a2mac1.com/costing(costing:projects/details/8191/part/5383749)","Screws")</f>
        <v>Screws</v>
      </c>
      <c r="F1668" t="s">
        <v>2383</v>
      </c>
    </row>
    <row r="1669" spans="1:6" ht="12.75">
      <c r="A1669">
        <v>5383750</v>
      </c>
      <c r="B1669">
        <v>5383452</v>
      </c>
      <c r="C1669" t="s">
        <v>12</v>
      </c>
      <c r="D1669" t="s">
        <v>8</v>
      </c>
      <c r="E1669" s="2" t="str">
        <f>HYPERLINK("https://ibp.a2mac1.com/costing(costing:projects/details/8191/part/5383750)","Relay Box Cover")</f>
        <v>Relay Box Cover</v>
      </c>
      <c r="F1669" t="s">
        <v>2383</v>
      </c>
    </row>
    <row r="1670" spans="1:6" ht="12.75">
      <c r="A1670">
        <v>5383751</v>
      </c>
      <c r="B1670">
        <v>5383452</v>
      </c>
      <c r="C1670" t="s">
        <v>12</v>
      </c>
      <c r="D1670" t="s">
        <v>8</v>
      </c>
      <c r="E1670" s="2" t="str">
        <f>HYPERLINK("https://ibp.a2mac1.com/costing(costing:projects/details/8191/part/5383751)","Bus Bar Assembly")</f>
        <v>Bus Bar Assembly</v>
      </c>
      <c r="F1670" t="s">
        <v>2383</v>
      </c>
    </row>
    <row r="1671" spans="1:6" ht="12.75">
      <c r="A1671">
        <v>5383752</v>
      </c>
      <c r="B1671">
        <v>5383452</v>
      </c>
      <c r="C1671" t="s">
        <v>12</v>
      </c>
      <c r="D1671" t="s">
        <v>8</v>
      </c>
      <c r="E1671" s="2" t="str">
        <f>HYPERLINK("https://ibp.a2mac1.com/costing(costing:projects/details/8191/part/5383752)","Top Housing")</f>
        <v>Top Housing</v>
      </c>
      <c r="F1671" t="s">
        <v>2383</v>
      </c>
    </row>
    <row r="1672" spans="1:6" ht="12.75">
      <c r="A1672">
        <v>5383753</v>
      </c>
      <c r="B1672">
        <v>5383452</v>
      </c>
      <c r="C1672" t="s">
        <v>12</v>
      </c>
      <c r="D1672" t="s">
        <v>8</v>
      </c>
      <c r="E1672" s="2" t="str">
        <f>HYPERLINK("https://ibp.a2mac1.com/costing(costing:projects/details/8191/part/5383753)","Bottom Housing")</f>
        <v>Bottom Housing</v>
      </c>
      <c r="F1672" t="s">
        <v>2383</v>
      </c>
    </row>
    <row r="1673" spans="1:6" ht="12.75">
      <c r="A1673">
        <v>5383754</v>
      </c>
      <c r="B1673">
        <v>5383452</v>
      </c>
      <c r="C1673" t="s">
        <v>12</v>
      </c>
      <c r="D1673" t="s">
        <v>8</v>
      </c>
      <c r="E1673" s="2" t="str">
        <f>HYPERLINK("https://ibp.a2mac1.com/costing(costing:projects/details/8191/part/5383754)","Screws")</f>
        <v>Screws</v>
      </c>
      <c r="F1673" t="s">
        <v>2383</v>
      </c>
    </row>
    <row r="1674" spans="1:6" ht="12.75">
      <c r="A1674">
        <v>5383755</v>
      </c>
      <c r="B1674">
        <v>5383452</v>
      </c>
      <c r="C1674" t="s">
        <v>12</v>
      </c>
      <c r="D1674" t="s">
        <v>8</v>
      </c>
      <c r="E1674" s="2" t="str">
        <f>HYPERLINK("https://ibp.a2mac1.com/costing(costing:projects/details/8191/part/5383755)","Insulation Foil")</f>
        <v>Insulation Foil</v>
      </c>
      <c r="F1674" t="s">
        <v>2383</v>
      </c>
    </row>
    <row r="1675" spans="1:6" ht="12.75">
      <c r="A1675">
        <v>5383756</v>
      </c>
      <c r="B1675">
        <v>5383452</v>
      </c>
      <c r="C1675" t="s">
        <v>12</v>
      </c>
      <c r="D1675" t="s">
        <v>8</v>
      </c>
      <c r="E1675" s="2" t="str">
        <f>HYPERLINK("https://ibp.a2mac1.com/costing(costing:projects/details/8191/part/5383756)","Thermal Paste")</f>
        <v>Thermal Paste</v>
      </c>
      <c r="F1675" t="s">
        <v>2383</v>
      </c>
    </row>
    <row r="1676" spans="1:6" ht="12.75">
      <c r="A1676">
        <v>5383453</v>
      </c>
      <c r="B1676">
        <v>5383159</v>
      </c>
      <c r="C1676" t="s">
        <v>8</v>
      </c>
      <c r="D1676" t="s">
        <v>8</v>
      </c>
      <c r="E1676" s="2" t="str">
        <f>HYPERLINK("https://ibp.a2mac1.com/costing(costing:projects/details/8191/assembly/5383453)","Power Connection")</f>
        <v>Power Connection</v>
      </c>
      <c r="F1676" t="s">
        <v>2319</v>
      </c>
    </row>
    <row r="1677" spans="1:6" ht="12.75">
      <c r="A1677">
        <v>5383757</v>
      </c>
      <c r="B1677">
        <v>5383453</v>
      </c>
      <c r="C1677" t="s">
        <v>12</v>
      </c>
      <c r="D1677" t="s">
        <v>8</v>
      </c>
      <c r="E1677" s="2" t="str">
        <f>HYPERLINK("https://ibp.a2mac1.com/costing(costing:projects/details/8191/part/5383757)","Bus Bar 1")</f>
        <v>Bus Bar 1</v>
      </c>
      <c r="F1677" t="s">
        <v>2405</v>
      </c>
    </row>
    <row r="1678" spans="1:6" ht="12.75">
      <c r="A1678">
        <v>5383758</v>
      </c>
      <c r="B1678">
        <v>5383453</v>
      </c>
      <c r="C1678" t="s">
        <v>12</v>
      </c>
      <c r="D1678" t="s">
        <v>8</v>
      </c>
      <c r="E1678" s="2" t="str">
        <f>HYPERLINK("https://ibp.a2mac1.com/costing(costing:projects/details/8191/part/5383758)","Bus Bar 2")</f>
        <v>Bus Bar 2</v>
      </c>
      <c r="F1678" t="s">
        <v>2405</v>
      </c>
    </row>
    <row r="1679" spans="1:6" ht="12.75">
      <c r="A1679">
        <v>5383759</v>
      </c>
      <c r="B1679">
        <v>5383453</v>
      </c>
      <c r="C1679" t="s">
        <v>12</v>
      </c>
      <c r="D1679" t="s">
        <v>8</v>
      </c>
      <c r="E1679" s="2" t="str">
        <f>HYPERLINK("https://ibp.a2mac1.com/costing(costing:projects/details/8191/part/5383759)","Bus Bar 3")</f>
        <v>Bus Bar 3</v>
      </c>
      <c r="F1679" t="s">
        <v>2405</v>
      </c>
    </row>
    <row r="1680" spans="1:6" ht="12.75">
      <c r="A1680">
        <v>5383760</v>
      </c>
      <c r="B1680">
        <v>5383453</v>
      </c>
      <c r="C1680" t="s">
        <v>12</v>
      </c>
      <c r="D1680" t="s">
        <v>8</v>
      </c>
      <c r="E1680" s="2" t="str">
        <f>HYPERLINK("https://ibp.a2mac1.com/costing(costing:projects/details/8191/part/5383760)","Screws")</f>
        <v>Screws</v>
      </c>
      <c r="F1680" t="s">
        <v>2405</v>
      </c>
    </row>
    <row r="1681" spans="1:6" ht="12.75">
      <c r="A1681">
        <v>5383761</v>
      </c>
      <c r="B1681">
        <v>5383453</v>
      </c>
      <c r="C1681" t="s">
        <v>12</v>
      </c>
      <c r="D1681" t="s">
        <v>8</v>
      </c>
      <c r="E1681" s="2" t="str">
        <f>HYPERLINK("https://ibp.a2mac1.com/costing(costing:projects/details/8191/part/5383761)","Screws")</f>
        <v>Screws</v>
      </c>
      <c r="F1681" t="s">
        <v>2405</v>
      </c>
    </row>
    <row r="1682" spans="1:6" ht="12.75">
      <c r="A1682">
        <v>5383762</v>
      </c>
      <c r="B1682">
        <v>5383453</v>
      </c>
      <c r="C1682" t="s">
        <v>12</v>
      </c>
      <c r="D1682" t="s">
        <v>8</v>
      </c>
      <c r="E1682" s="2" t="str">
        <f>HYPERLINK("https://ibp.a2mac1.com/costing(costing:projects/details/8191/part/5383762)","Receptacle 1")</f>
        <v>Receptacle 1</v>
      </c>
      <c r="F1682" t="s">
        <v>2405</v>
      </c>
    </row>
    <row r="1683" spans="1:6" ht="12.75">
      <c r="A1683">
        <v>5383763</v>
      </c>
      <c r="B1683">
        <v>5383453</v>
      </c>
      <c r="C1683" t="s">
        <v>12</v>
      </c>
      <c r="D1683" t="s">
        <v>8</v>
      </c>
      <c r="E1683" s="2" t="str">
        <f>HYPERLINK("https://ibp.a2mac1.com/costing(costing:projects/details/8191/part/5383763)","Screws")</f>
        <v>Screws</v>
      </c>
      <c r="F1683" t="s">
        <v>2405</v>
      </c>
    </row>
    <row r="1684" spans="1:6" ht="12.75">
      <c r="A1684">
        <v>5383764</v>
      </c>
      <c r="B1684">
        <v>5383453</v>
      </c>
      <c r="C1684" t="s">
        <v>12</v>
      </c>
      <c r="D1684" t="s">
        <v>8</v>
      </c>
      <c r="E1684" s="2" t="str">
        <f>HYPERLINK("https://ibp.a2mac1.com/costing(costing:projects/details/8191/part/5383764)","Screws")</f>
        <v>Screws</v>
      </c>
      <c r="F1684" t="s">
        <v>2405</v>
      </c>
    </row>
    <row r="1685" spans="1:6" ht="12.75">
      <c r="A1685">
        <v>5383765</v>
      </c>
      <c r="B1685">
        <v>5383453</v>
      </c>
      <c r="C1685" t="s">
        <v>12</v>
      </c>
      <c r="D1685" t="s">
        <v>8</v>
      </c>
      <c r="E1685" s="2" t="str">
        <f>HYPERLINK("https://ibp.a2mac1.com/costing(costing:projects/details/8191/part/5383765)","Seal")</f>
        <v>Seal</v>
      </c>
      <c r="F1685" t="s">
        <v>2405</v>
      </c>
    </row>
    <row r="1686" spans="1:6" ht="12.75">
      <c r="A1686">
        <v>5383454</v>
      </c>
      <c r="B1686">
        <v>5383159</v>
      </c>
      <c r="C1686" t="s">
        <v>8</v>
      </c>
      <c r="D1686" t="s">
        <v>8</v>
      </c>
      <c r="E1686" s="2" t="str">
        <f>HYPERLINK("https://ibp.a2mac1.com/costing(costing:projects/details/8191/assembly/5383454)","Signal Connection")</f>
        <v>Signal Connection</v>
      </c>
      <c r="F1686" t="s">
        <v>2319</v>
      </c>
    </row>
    <row r="1687" spans="1:6" ht="12.75">
      <c r="A1687">
        <v>5383766</v>
      </c>
      <c r="B1687">
        <v>5383454</v>
      </c>
      <c r="C1687" t="s">
        <v>12</v>
      </c>
      <c r="D1687" t="s">
        <v>8</v>
      </c>
      <c r="E1687" s="2" t="str">
        <f>HYPERLINK("https://ibp.a2mac1.com/costing(costing:projects/details/8191/part/5383766)","Main Wiring Harness")</f>
        <v>Main Wiring Harness</v>
      </c>
      <c r="F1687" t="s">
        <v>2420</v>
      </c>
    </row>
    <row r="1688" spans="1:6" ht="12.75">
      <c r="A1688">
        <v>5383767</v>
      </c>
      <c r="B1688">
        <v>5383454</v>
      </c>
      <c r="C1688" t="s">
        <v>12</v>
      </c>
      <c r="D1688" t="s">
        <v>8</v>
      </c>
      <c r="E1688" s="2" t="str">
        <f>HYPERLINK("https://ibp.a2mac1.com/costing(costing:projects/details/8191/part/5383767)","Wire Harness 2")</f>
        <v>Wire Harness 2</v>
      </c>
      <c r="F1688" t="s">
        <v>2420</v>
      </c>
    </row>
    <row r="1689" spans="1:6" ht="12.75">
      <c r="A1689">
        <v>5383768</v>
      </c>
      <c r="B1689">
        <v>5383454</v>
      </c>
      <c r="C1689" t="s">
        <v>12</v>
      </c>
      <c r="D1689" t="s">
        <v>8</v>
      </c>
      <c r="E1689" s="2" t="str">
        <f>HYPERLINK("https://ibp.a2mac1.com/costing(costing:projects/details/8191/part/5383768)","Cell Voltage Monitoring Harness")</f>
        <v>Cell Voltage Monitoring Harness</v>
      </c>
      <c r="F1689" t="s">
        <v>2420</v>
      </c>
    </row>
    <row r="1690" spans="1:6" ht="12.75">
      <c r="A1690">
        <v>5383769</v>
      </c>
      <c r="B1690">
        <v>5383454</v>
      </c>
      <c r="C1690" t="s">
        <v>12</v>
      </c>
      <c r="D1690" t="s">
        <v>8</v>
      </c>
      <c r="E1690" s="2" t="str">
        <f>HYPERLINK("https://ibp.a2mac1.com/costing(costing:projects/details/8191/part/5383769)","Cell Voltage Monitoring Harness")</f>
        <v>Cell Voltage Monitoring Harness</v>
      </c>
      <c r="F1690" t="s">
        <v>2420</v>
      </c>
    </row>
    <row r="1691" spans="1:6" ht="12.75">
      <c r="A1691">
        <v>5383160</v>
      </c>
      <c r="B1691">
        <v>5382890</v>
      </c>
      <c r="C1691" t="s">
        <v>8</v>
      </c>
      <c r="D1691" t="s">
        <v>8</v>
      </c>
      <c r="E1691" s="2" t="str">
        <f>HYPERLINK("https://ibp.a2mac1.com/costing(costing:projects/details/8191/assembly/5383160)","Structural Components")</f>
        <v>Structural Components</v>
      </c>
      <c r="F1691" t="s">
        <v>2286</v>
      </c>
    </row>
    <row r="1692" spans="1:6" ht="12.75">
      <c r="A1692">
        <v>5383455</v>
      </c>
      <c r="B1692">
        <v>5383160</v>
      </c>
      <c r="C1692" t="s">
        <v>8</v>
      </c>
      <c r="D1692" t="s">
        <v>8</v>
      </c>
      <c r="E1692" s="2" t="str">
        <f>HYPERLINK("https://ibp.a2mac1.com/costing(costing:projects/details/8191/assembly/5383455)","Enclosure Bottom")</f>
        <v>Enclosure Bottom</v>
      </c>
      <c r="F1692" t="s">
        <v>2432</v>
      </c>
    </row>
    <row r="1693" spans="1:6" ht="12.75">
      <c r="A1693">
        <v>5383770</v>
      </c>
      <c r="B1693">
        <v>5383455</v>
      </c>
      <c r="C1693" t="s">
        <v>12</v>
      </c>
      <c r="D1693" t="s">
        <v>8</v>
      </c>
      <c r="E1693" s="2" t="str">
        <f>HYPERLINK("https://ibp.a2mac1.com/costing(costing:projects/details/8191/part/5383770)","Material")</f>
        <v>Material</v>
      </c>
      <c r="F1693" t="s">
        <v>2433</v>
      </c>
    </row>
    <row r="1694" spans="1:6" ht="12.75">
      <c r="A1694">
        <v>6971968</v>
      </c>
      <c r="B1694">
        <v>5383455</v>
      </c>
      <c r="C1694" t="s">
        <v>99</v>
      </c>
      <c r="D1694" t="s">
        <v>8</v>
      </c>
      <c r="E1694" s="2" t="str">
        <f>HYPERLINK("https://ibp.a2mac1.com/costing(costing:projects/details/8191/process/6971968)","Machine")</f>
        <v>Machine</v>
      </c>
      <c r="F1694" t="s">
        <v>2433</v>
      </c>
    </row>
    <row r="1695" spans="1:6" ht="12.75">
      <c r="A1695">
        <v>6971969</v>
      </c>
      <c r="B1695">
        <v>5383455</v>
      </c>
      <c r="C1695" t="s">
        <v>99</v>
      </c>
      <c r="D1695" t="s">
        <v>8</v>
      </c>
      <c r="E1695" s="2" t="str">
        <f>HYPERLINK("https://ibp.a2mac1.com/costing(costing:projects/details/8191/process/6971969)","Labour")</f>
        <v>Labour</v>
      </c>
      <c r="F1695" t="s">
        <v>2433</v>
      </c>
    </row>
    <row r="1696" spans="1:6" ht="12.75">
      <c r="A1696">
        <v>5383458</v>
      </c>
      <c r="B1696">
        <v>5383160</v>
      </c>
      <c r="C1696" t="s">
        <v>8</v>
      </c>
      <c r="D1696" t="s">
        <v>8</v>
      </c>
      <c r="E1696" s="2" t="str">
        <f>HYPERLINK("https://ibp.a2mac1.com/costing(costing:projects/details/8191/assembly/5383458)","Second Enclosure Bottom")</f>
        <v>Second Enclosure Bottom</v>
      </c>
      <c r="F1696" t="s">
        <v>2432</v>
      </c>
    </row>
    <row r="1697" spans="1:6" ht="12.75">
      <c r="A1697">
        <v>5383771</v>
      </c>
      <c r="B1697">
        <v>5383458</v>
      </c>
      <c r="C1697" t="s">
        <v>12</v>
      </c>
      <c r="D1697" t="s">
        <v>8</v>
      </c>
      <c r="E1697" s="2" t="str">
        <f>HYPERLINK("https://ibp.a2mac1.com/costing(costing:projects/details/8191/part/5383771)","Material")</f>
        <v>Material</v>
      </c>
      <c r="F1697" t="s">
        <v>2437</v>
      </c>
    </row>
    <row r="1698" spans="1:6" ht="12.75">
      <c r="A1698">
        <v>6971970</v>
      </c>
      <c r="B1698">
        <v>5383458</v>
      </c>
      <c r="C1698" t="s">
        <v>99</v>
      </c>
      <c r="D1698" t="s">
        <v>8</v>
      </c>
      <c r="E1698" s="2" t="str">
        <f>HYPERLINK("https://ibp.a2mac1.com/costing(costing:projects/details/8191/process/6971970)","Machine")</f>
        <v>Machine</v>
      </c>
      <c r="F1698" t="s">
        <v>2437</v>
      </c>
    </row>
    <row r="1699" spans="1:6" ht="12.75">
      <c r="A1699">
        <v>6971971</v>
      </c>
      <c r="B1699">
        <v>5383458</v>
      </c>
      <c r="C1699" t="s">
        <v>99</v>
      </c>
      <c r="D1699" t="s">
        <v>8</v>
      </c>
      <c r="E1699" s="2" t="str">
        <f>HYPERLINK("https://ibp.a2mac1.com/costing(costing:projects/details/8191/process/6971971)","Labour")</f>
        <v>Labour</v>
      </c>
      <c r="F1699" t="s">
        <v>2437</v>
      </c>
    </row>
    <row r="1700" spans="1:6" ht="12.75">
      <c r="A1700">
        <v>5383461</v>
      </c>
      <c r="B1700">
        <v>5383160</v>
      </c>
      <c r="C1700" t="s">
        <v>8</v>
      </c>
      <c r="D1700" t="s">
        <v>8</v>
      </c>
      <c r="E1700" s="2" t="str">
        <f>HYPERLINK("https://ibp.a2mac1.com/costing(costing:projects/details/8191/assembly/5383461)","Enclosure Top")</f>
        <v>Enclosure Top</v>
      </c>
      <c r="F1700" t="s">
        <v>2432</v>
      </c>
    </row>
    <row r="1701" spans="1:6" ht="12.75">
      <c r="A1701">
        <v>5383772</v>
      </c>
      <c r="B1701">
        <v>5383461</v>
      </c>
      <c r="C1701" t="s">
        <v>12</v>
      </c>
      <c r="D1701" t="s">
        <v>8</v>
      </c>
      <c r="E1701" s="2" t="str">
        <f>HYPERLINK("https://ibp.a2mac1.com/costing(costing:projects/details/8191/part/5383772)","Material")</f>
        <v>Material</v>
      </c>
      <c r="F1701" t="s">
        <v>2440</v>
      </c>
    </row>
    <row r="1702" spans="1:6" ht="12.75">
      <c r="A1702">
        <v>6971972</v>
      </c>
      <c r="B1702">
        <v>5383461</v>
      </c>
      <c r="C1702" t="s">
        <v>99</v>
      </c>
      <c r="D1702" t="s">
        <v>8</v>
      </c>
      <c r="E1702" s="2" t="str">
        <f>HYPERLINK("https://ibp.a2mac1.com/costing(costing:projects/details/8191/process/6971972)","Machine")</f>
        <v>Machine</v>
      </c>
      <c r="F1702" t="s">
        <v>2440</v>
      </c>
    </row>
    <row r="1703" spans="1:6" ht="12.75">
      <c r="A1703">
        <v>6971973</v>
      </c>
      <c r="B1703">
        <v>5383461</v>
      </c>
      <c r="C1703" t="s">
        <v>99</v>
      </c>
      <c r="D1703" t="s">
        <v>8</v>
      </c>
      <c r="E1703" s="2" t="str">
        <f>HYPERLINK("https://ibp.a2mac1.com/costing(costing:projects/details/8191/process/6971973)","Labour")</f>
        <v>Labour</v>
      </c>
      <c r="F1703" t="s">
        <v>2440</v>
      </c>
    </row>
    <row r="1704" spans="1:6" ht="12.75">
      <c r="A1704">
        <v>5383456</v>
      </c>
      <c r="B1704">
        <v>5383160</v>
      </c>
      <c r="C1704" t="s">
        <v>12</v>
      </c>
      <c r="D1704" t="s">
        <v>8</v>
      </c>
      <c r="E1704" s="2" t="str">
        <f>HYPERLINK("https://ibp.a2mac1.com/costing(costing:projects/details/8191/part/5383456)","Screws")</f>
        <v>Screws</v>
      </c>
      <c r="F1704" t="s">
        <v>2432</v>
      </c>
    </row>
    <row r="1705" spans="1:6" ht="12.75">
      <c r="A1705">
        <v>5383457</v>
      </c>
      <c r="B1705">
        <v>5383160</v>
      </c>
      <c r="C1705" t="s">
        <v>12</v>
      </c>
      <c r="D1705" t="s">
        <v>8</v>
      </c>
      <c r="E1705" s="2" t="str">
        <f>HYPERLINK("https://ibp.a2mac1.com/costing(costing:projects/details/8191/part/5383457)","Screws")</f>
        <v>Screws</v>
      </c>
      <c r="F1705" t="s">
        <v>2432</v>
      </c>
    </row>
    <row r="1706" spans="1:6" ht="12.75">
      <c r="A1706">
        <v>5383459</v>
      </c>
      <c r="B1706">
        <v>5383160</v>
      </c>
      <c r="C1706" t="s">
        <v>12</v>
      </c>
      <c r="D1706" t="s">
        <v>8</v>
      </c>
      <c r="E1706" s="2" t="str">
        <f>HYPERLINK("https://ibp.a2mac1.com/costing(costing:projects/details/8191/part/5383459)","Screws")</f>
        <v>Screws</v>
      </c>
      <c r="F1706" t="s">
        <v>2432</v>
      </c>
    </row>
    <row r="1707" spans="1:6" ht="12.75">
      <c r="A1707">
        <v>5383460</v>
      </c>
      <c r="B1707">
        <v>5383160</v>
      </c>
      <c r="C1707" t="s">
        <v>12</v>
      </c>
      <c r="D1707" t="s">
        <v>8</v>
      </c>
      <c r="E1707" s="2" t="str">
        <f>HYPERLINK("https://ibp.a2mac1.com/costing(costing:projects/details/8191/part/5383460)","Screws")</f>
        <v>Screws</v>
      </c>
      <c r="F1707" t="s">
        <v>2432</v>
      </c>
    </row>
    <row r="1708" spans="1:6" ht="12.75">
      <c r="A1708">
        <v>5383462</v>
      </c>
      <c r="B1708">
        <v>5383160</v>
      </c>
      <c r="C1708" t="s">
        <v>12</v>
      </c>
      <c r="D1708" t="s">
        <v>8</v>
      </c>
      <c r="E1708" s="2" t="str">
        <f>HYPERLINK("https://ibp.a2mac1.com/costing(costing:projects/details/8191/part/5383462)","Enclosure Top, Dispensed material")</f>
        <v>Enclosure Top, Dispensed material</v>
      </c>
      <c r="F1708" t="s">
        <v>2432</v>
      </c>
    </row>
    <row r="1709" spans="1:6" ht="12.75">
      <c r="A1709">
        <v>5383463</v>
      </c>
      <c r="B1709">
        <v>5383160</v>
      </c>
      <c r="C1709" t="s">
        <v>12</v>
      </c>
      <c r="D1709" t="s">
        <v>8</v>
      </c>
      <c r="E1709" s="2" t="str">
        <f>HYPERLINK("https://ibp.a2mac1.com/costing(costing:projects/details/8191/part/5383463)","Screws")</f>
        <v>Screws</v>
      </c>
      <c r="F1709" t="s">
        <v>2432</v>
      </c>
    </row>
    <row r="1710" spans="1:6" ht="12.75">
      <c r="A1710">
        <v>5383464</v>
      </c>
      <c r="B1710">
        <v>5383160</v>
      </c>
      <c r="C1710" t="s">
        <v>12</v>
      </c>
      <c r="D1710" t="s">
        <v>8</v>
      </c>
      <c r="E1710" s="2" t="str">
        <f>HYPERLINK("https://ibp.a2mac1.com/costing(costing:projects/details/8191/part/5383464)","Screws")</f>
        <v>Screws</v>
      </c>
      <c r="F1710" t="s">
        <v>2432</v>
      </c>
    </row>
    <row r="1711" spans="1:6" ht="12.75">
      <c r="A1711">
        <v>5383465</v>
      </c>
      <c r="B1711">
        <v>5383160</v>
      </c>
      <c r="C1711" t="s">
        <v>12</v>
      </c>
      <c r="D1711" t="s">
        <v>8</v>
      </c>
      <c r="E1711" s="2" t="str">
        <f>HYPERLINK("https://ibp.a2mac1.com/costing(costing:projects/details/8191/part/5383465)","Screws")</f>
        <v>Screws</v>
      </c>
      <c r="F1711" t="s">
        <v>2432</v>
      </c>
    </row>
    <row r="1712" spans="1:6" ht="12.75">
      <c r="A1712">
        <v>5383466</v>
      </c>
      <c r="B1712">
        <v>5383160</v>
      </c>
      <c r="C1712" t="s">
        <v>12</v>
      </c>
      <c r="D1712" t="s">
        <v>8</v>
      </c>
      <c r="E1712" s="2" t="str">
        <f>HYPERLINK("https://ibp.a2mac1.com/costing(costing:projects/details/8191/part/5383466)","Screws")</f>
        <v>Screws</v>
      </c>
      <c r="F1712" t="s">
        <v>2432</v>
      </c>
    </row>
    <row r="1713" spans="1:6" ht="12.75">
      <c r="A1713">
        <v>5383161</v>
      </c>
      <c r="B1713">
        <v>5382890</v>
      </c>
      <c r="C1713" t="s">
        <v>8</v>
      </c>
      <c r="D1713" t="s">
        <v>8</v>
      </c>
      <c r="E1713" s="2" t="str">
        <f>HYPERLINK("https://ibp.a2mac1.com/costing(costing:projects/details/8191/assembly/5383161)","Thermal Control system (air/Liquid)")</f>
        <v>Thermal Control system (air/Liquid)</v>
      </c>
      <c r="F1713" t="s">
        <v>2286</v>
      </c>
    </row>
    <row r="1714" spans="1:6" ht="12.75">
      <c r="A1714">
        <v>5383467</v>
      </c>
      <c r="B1714">
        <v>5383161</v>
      </c>
      <c r="C1714" t="s">
        <v>8</v>
      </c>
      <c r="D1714" t="s">
        <v>8</v>
      </c>
      <c r="E1714" s="2" t="str">
        <f>HYPERLINK("https://ibp.a2mac1.com/costing(costing:projects/details/8191/assembly/5383467)","Cooling Plate 1")</f>
        <v>Cooling Plate 1</v>
      </c>
      <c r="F1714" t="s">
        <v>2454</v>
      </c>
    </row>
    <row r="1715" spans="1:6" ht="12.75">
      <c r="A1715">
        <v>5383773</v>
      </c>
      <c r="B1715">
        <v>5383467</v>
      </c>
      <c r="C1715" t="s">
        <v>12</v>
      </c>
      <c r="D1715" t="s">
        <v>8</v>
      </c>
      <c r="E1715" s="2" t="str">
        <f>HYPERLINK("https://ibp.a2mac1.com/costing(costing:projects/details/8191/part/5383773)","Material")</f>
        <v>Material</v>
      </c>
      <c r="F1715" t="s">
        <v>2455</v>
      </c>
    </row>
    <row r="1716" spans="1:6" ht="12.75">
      <c r="A1716">
        <v>6971974</v>
      </c>
      <c r="B1716">
        <v>5383467</v>
      </c>
      <c r="C1716" t="s">
        <v>99</v>
      </c>
      <c r="D1716" t="s">
        <v>8</v>
      </c>
      <c r="E1716" s="2" t="str">
        <f>HYPERLINK("https://ibp.a2mac1.com/costing(costing:projects/details/8191/process/6971974)","Machine")</f>
        <v>Machine</v>
      </c>
      <c r="F1716" t="s">
        <v>2455</v>
      </c>
    </row>
    <row r="1717" spans="1:6" ht="12.75">
      <c r="A1717">
        <v>6971975</v>
      </c>
      <c r="B1717">
        <v>5383467</v>
      </c>
      <c r="C1717" t="s">
        <v>99</v>
      </c>
      <c r="D1717" t="s">
        <v>8</v>
      </c>
      <c r="E1717" s="2" t="str">
        <f>HYPERLINK("https://ibp.a2mac1.com/costing(costing:projects/details/8191/process/6971975)","Labour")</f>
        <v>Labour</v>
      </c>
      <c r="F1717" t="s">
        <v>2455</v>
      </c>
    </row>
    <row r="1718" spans="1:6" ht="12.75">
      <c r="A1718">
        <v>5383468</v>
      </c>
      <c r="B1718">
        <v>5383161</v>
      </c>
      <c r="C1718" t="s">
        <v>12</v>
      </c>
      <c r="D1718" t="s">
        <v>8</v>
      </c>
      <c r="E1718" s="2" t="str">
        <f>HYPERLINK("https://ibp.a2mac1.com/costing(costing:projects/details/8191/part/5383468)","Screws")</f>
        <v>Screws</v>
      </c>
      <c r="F1718" t="s">
        <v>2454</v>
      </c>
    </row>
    <row r="1719" spans="1:6" ht="12.75">
      <c r="A1719">
        <v>5383469</v>
      </c>
      <c r="B1719">
        <v>5383161</v>
      </c>
      <c r="C1719" t="s">
        <v>12</v>
      </c>
      <c r="D1719" t="s">
        <v>8</v>
      </c>
      <c r="E1719" s="2" t="str">
        <f>HYPERLINK("https://ibp.a2mac1.com/costing(costing:projects/details/8191/part/5383469)","Screws")</f>
        <v>Screws</v>
      </c>
      <c r="F1719" t="s">
        <v>2454</v>
      </c>
    </row>
    <row r="1720" spans="1:6" ht="12.75">
      <c r="A1720">
        <v>5383470</v>
      </c>
      <c r="B1720">
        <v>5383161</v>
      </c>
      <c r="C1720" t="s">
        <v>12</v>
      </c>
      <c r="D1720" t="s">
        <v>8</v>
      </c>
      <c r="E1720" s="2" t="str">
        <f>HYPERLINK("https://ibp.a2mac1.com/costing(costing:projects/details/8191/part/5383470)","Screws")</f>
        <v>Screws</v>
      </c>
      <c r="F1720" t="s">
        <v>2454</v>
      </c>
    </row>
    <row r="1721" spans="1:6" ht="12.75">
      <c r="A1721">
        <v>5383471</v>
      </c>
      <c r="B1721">
        <v>5383161</v>
      </c>
      <c r="C1721" t="s">
        <v>12</v>
      </c>
      <c r="D1721" t="s">
        <v>8</v>
      </c>
      <c r="E1721" s="2" t="str">
        <f>HYPERLINK("https://ibp.a2mac1.com/costing(costing:projects/details/8191/part/5383471)","Coolant Quick Disconnect")</f>
        <v>Coolant Quick Disconnect</v>
      </c>
      <c r="F1721" t="s">
        <v>2454</v>
      </c>
    </row>
    <row r="1722" spans="1:6" ht="12.75">
      <c r="A1722">
        <v>5383472</v>
      </c>
      <c r="B1722">
        <v>5383161</v>
      </c>
      <c r="C1722" t="s">
        <v>12</v>
      </c>
      <c r="D1722" t="s">
        <v>8</v>
      </c>
      <c r="E1722" s="2" t="str">
        <f>HYPERLINK("https://ibp.a2mac1.com/costing(costing:projects/details/8191/part/5383472)","O-Ring")</f>
        <v>O-Ring</v>
      </c>
      <c r="F1722" t="s">
        <v>2454</v>
      </c>
    </row>
    <row r="1723" spans="1:6" ht="12.75">
      <c r="A1723">
        <v>5383473</v>
      </c>
      <c r="B1723">
        <v>5383161</v>
      </c>
      <c r="C1723" t="s">
        <v>12</v>
      </c>
      <c r="D1723" t="s">
        <v>8</v>
      </c>
      <c r="E1723" s="2" t="str">
        <f>HYPERLINK("https://ibp.a2mac1.com/costing(costing:projects/details/8191/part/5383473)","Screws")</f>
        <v>Screws</v>
      </c>
      <c r="F1723" t="s">
        <v>2454</v>
      </c>
    </row>
    <row r="1724" spans="1:6" ht="12.75">
      <c r="A1724">
        <v>5383474</v>
      </c>
      <c r="B1724">
        <v>5383161</v>
      </c>
      <c r="C1724" t="s">
        <v>12</v>
      </c>
      <c r="D1724" t="s">
        <v>8</v>
      </c>
      <c r="E1724" s="2" t="str">
        <f>HYPERLINK("https://ibp.a2mac1.com/costing(costing:projects/details/8191/part/5383474)","Thermal Paste")</f>
        <v>Thermal Paste</v>
      </c>
      <c r="F1724" t="s">
        <v>2454</v>
      </c>
    </row>
    <row r="1725" spans="1:6" ht="12.75">
      <c r="A1725">
        <v>5383162</v>
      </c>
      <c r="B1725">
        <v>5382890</v>
      </c>
      <c r="C1725" t="s">
        <v>8</v>
      </c>
      <c r="D1725" t="s">
        <v>8</v>
      </c>
      <c r="E1725" s="2" t="str">
        <f>HYPERLINK("https://ibp.a2mac1.com/costing(costing:projects/details/8191/assembly/5383162)","Off-Gas Vent System")</f>
        <v>Off-Gas Vent System</v>
      </c>
      <c r="F1725" t="s">
        <v>2286</v>
      </c>
    </row>
    <row r="1726" spans="1:6" ht="12.75">
      <c r="A1726">
        <v>5383475</v>
      </c>
      <c r="B1726">
        <v>5383162</v>
      </c>
      <c r="C1726" t="s">
        <v>12</v>
      </c>
      <c r="D1726" t="s">
        <v>8</v>
      </c>
      <c r="E1726" s="2" t="str">
        <f>HYPERLINK("https://ibp.a2mac1.com/costing(costing:projects/details/8191/part/5383475)","Pressure Vent")</f>
        <v>Pressure Vent</v>
      </c>
      <c r="F1726" t="s">
        <v>2469</v>
      </c>
    </row>
    <row r="1727" spans="1:6" ht="12.75">
      <c r="A1727">
        <v>5382891</v>
      </c>
      <c r="B1727">
        <v>5382805</v>
      </c>
      <c r="C1727" t="s">
        <v>8</v>
      </c>
      <c r="D1727" t="s">
        <v>8</v>
      </c>
      <c r="E1727" s="2" t="str">
        <f>HYPERLINK("https://ibp.a2mac1.com/costing(costing:projects/details/8191/assembly/5382891)","External Components")</f>
        <v>External Components</v>
      </c>
      <c r="F1727" t="s">
        <v>2285</v>
      </c>
    </row>
    <row r="1728" spans="1:6" ht="12.75">
      <c r="A1728">
        <v>5383163</v>
      </c>
      <c r="B1728">
        <v>5382891</v>
      </c>
      <c r="C1728" t="s">
        <v>12</v>
      </c>
      <c r="D1728" t="s">
        <v>8</v>
      </c>
      <c r="E1728" s="2" t="str">
        <f>HYPERLINK("https://ibp.a2mac1.com/costing(costing:projects/details/8191/part/5383163)","Front/single Cover Protection")</f>
        <v>Front/single Cover Protection</v>
      </c>
      <c r="F1728" t="s">
        <v>2476</v>
      </c>
    </row>
    <row r="1729" spans="1:6" ht="12.75">
      <c r="A1729">
        <v>6971887</v>
      </c>
      <c r="B1729">
        <v>5383163</v>
      </c>
      <c r="C1729" t="s">
        <v>99</v>
      </c>
      <c r="D1729" t="s">
        <v>12</v>
      </c>
      <c r="E1729" s="2" t="str">
        <f>HYPERLINK("https://ibp.a2mac1.com/costing(costing:projects/details/8191/process/6971887)","Process")</f>
        <v>Process</v>
      </c>
      <c r="F1729" t="s">
        <v>2477</v>
      </c>
    </row>
    <row r="1730" spans="1:6" ht="12.75">
      <c r="A1730">
        <v>5316574</v>
      </c>
      <c r="B1730">
        <v>6971887</v>
      </c>
      <c r="C1730" t="s">
        <v>24</v>
      </c>
      <c r="D1730" t="s">
        <v>99</v>
      </c>
      <c r="E1730" s="2" t="str">
        <f>HYPERLINK("https://ibp.a2mac1.com/costing(costing:projects/details/8191/material/5316574)","PP")</f>
        <v>PP</v>
      </c>
      <c r="F1730" t="s">
        <v>2480</v>
      </c>
    </row>
    <row r="1731" spans="1:6" ht="12.75">
      <c r="A1731">
        <v>6944311</v>
      </c>
      <c r="B1731">
        <v>6971887</v>
      </c>
      <c r="C1731" t="s">
        <v>189</v>
      </c>
      <c r="D1731" t="s">
        <v>99</v>
      </c>
      <c r="E1731" s="2" t="str">
        <f>HYPERLINK("https://ibp.a2mac1.com/costing(costing:projects/details/8191/equipment/6944311)","Machine")</f>
        <v>Machine</v>
      </c>
      <c r="F1731" t="s">
        <v>2480</v>
      </c>
    </row>
    <row r="1732" spans="1:6" ht="12.75">
      <c r="A1732">
        <v>5383164</v>
      </c>
      <c r="B1732">
        <v>5382891</v>
      </c>
      <c r="C1732" t="s">
        <v>12</v>
      </c>
      <c r="D1732" t="s">
        <v>8</v>
      </c>
      <c r="E1732" s="2" t="str">
        <f>HYPERLINK("https://ibp.a2mac1.com/costing(costing:projects/details/8191/part/5383164)","Screws")</f>
        <v>Screws</v>
      </c>
      <c r="F1732" t="s">
        <v>2476</v>
      </c>
    </row>
    <row r="1733" spans="1:6" ht="12.75">
      <c r="A1733">
        <v>5383165</v>
      </c>
      <c r="B1733">
        <v>5382891</v>
      </c>
      <c r="C1733" t="s">
        <v>12</v>
      </c>
      <c r="D1733" t="s">
        <v>8</v>
      </c>
      <c r="E1733" s="2" t="str">
        <f>HYPERLINK("https://ibp.a2mac1.com/costing(costing:projects/details/8191/part/5383165)","Screws")</f>
        <v>Screws</v>
      </c>
      <c r="F1733" t="s">
        <v>2476</v>
      </c>
    </row>
    <row r="1734" spans="1:6" ht="12.75">
      <c r="A1734">
        <v>5383166</v>
      </c>
      <c r="B1734">
        <v>5382891</v>
      </c>
      <c r="C1734" t="s">
        <v>12</v>
      </c>
      <c r="D1734" t="s">
        <v>8</v>
      </c>
      <c r="E1734" s="2" t="str">
        <f>HYPERLINK("https://ibp.a2mac1.com/costing(costing:projects/details/8191/part/5383166)","Rear Cover Protection")</f>
        <v>Rear Cover Protection</v>
      </c>
      <c r="F1734" t="s">
        <v>2476</v>
      </c>
    </row>
    <row r="1735" spans="1:6" ht="12.75">
      <c r="A1735">
        <v>5383167</v>
      </c>
      <c r="B1735">
        <v>5382891</v>
      </c>
      <c r="C1735" t="s">
        <v>12</v>
      </c>
      <c r="D1735" t="s">
        <v>8</v>
      </c>
      <c r="E1735" s="2" t="str">
        <f>HYPERLINK("https://ibp.a2mac1.com/costing(costing:projects/details/8191/part/5383167)","Screws")</f>
        <v>Screws</v>
      </c>
      <c r="F1735" t="s">
        <v>2476</v>
      </c>
    </row>
    <row r="1736" spans="1:6" ht="12.75">
      <c r="A1736">
        <v>5383168</v>
      </c>
      <c r="B1736">
        <v>5382891</v>
      </c>
      <c r="C1736" t="s">
        <v>12</v>
      </c>
      <c r="D1736" t="s">
        <v>8</v>
      </c>
      <c r="E1736" s="2" t="str">
        <f>HYPERLINK("https://ibp.a2mac1.com/costing(costing:projects/details/8191/part/5383168)","Screws")</f>
        <v>Screws</v>
      </c>
      <c r="F1736" t="s">
        <v>2476</v>
      </c>
    </row>
    <row r="1737" spans="1:6" ht="12.75">
      <c r="A1737">
        <v>5383169</v>
      </c>
      <c r="B1737">
        <v>5382891</v>
      </c>
      <c r="C1737" t="s">
        <v>12</v>
      </c>
      <c r="D1737" t="s">
        <v>8</v>
      </c>
      <c r="E1737" s="2" t="str">
        <f>HYPERLINK("https://ibp.a2mac1.com/costing(costing:projects/details/8191/part/5383169)","Screws")</f>
        <v>Screws</v>
      </c>
      <c r="F1737" t="s">
        <v>2476</v>
      </c>
    </row>
    <row r="1738" spans="1:6" ht="12.75">
      <c r="A1738">
        <v>5382892</v>
      </c>
      <c r="B1738">
        <v>5382805</v>
      </c>
      <c r="C1738" t="s">
        <v>8</v>
      </c>
      <c r="D1738" t="s">
        <v>8</v>
      </c>
      <c r="E1738" s="2" t="str">
        <f>HYPERLINK("https://ibp.a2mac1.com/costing(costing:projects/details/8191/assembly/5382892)","Cells - Pack")</f>
        <v>Cells - Pack</v>
      </c>
      <c r="F1738" t="s">
        <v>2285</v>
      </c>
    </row>
    <row r="1739" spans="1:6" ht="12.75">
      <c r="A1739">
        <v>5383170</v>
      </c>
      <c r="B1739">
        <v>5382892</v>
      </c>
      <c r="C1739" t="s">
        <v>8</v>
      </c>
      <c r="D1739" t="s">
        <v>8</v>
      </c>
      <c r="E1739" s="2" t="str">
        <f>HYPERLINK("https://ibp.a2mac1.com/costing(costing:projects/details/8191/assembly/5383170)","Cells - per module")</f>
        <v>Cells - per module</v>
      </c>
      <c r="F1739" t="s">
        <v>2489</v>
      </c>
    </row>
    <row r="1740" spans="1:6" ht="12.75">
      <c r="A1740">
        <v>5383476</v>
      </c>
      <c r="B1740">
        <v>5383170</v>
      </c>
      <c r="C1740" t="s">
        <v>12</v>
      </c>
      <c r="D1740" t="s">
        <v>8</v>
      </c>
      <c r="E1740" s="2" t="str">
        <f>HYPERLINK("https://ibp.a2mac1.com/costing(costing:projects/details/8191/part/5383476)","Cell")</f>
        <v>Cell</v>
      </c>
      <c r="F1740" t="s">
        <v>2490</v>
      </c>
    </row>
    <row r="1741" spans="1:6" ht="12.75">
      <c r="A1741">
        <v>6971717</v>
      </c>
      <c r="B1741">
        <v>5382805</v>
      </c>
      <c r="C1741" t="s">
        <v>99</v>
      </c>
      <c r="D1741" t="s">
        <v>8</v>
      </c>
      <c r="E1741" s="2" t="str">
        <f>HYPERLINK("https://ibp.a2mac1.com/costing(costing:projects/details/8191/process/6971717)","Final assembly")</f>
        <v>Final assembly</v>
      </c>
      <c r="F1741" t="s">
        <v>2285</v>
      </c>
    </row>
    <row r="1742" spans="1:6" ht="12.75">
      <c r="A1742">
        <v>6944231</v>
      </c>
      <c r="B1742">
        <v>6971717</v>
      </c>
      <c r="C1742" t="s">
        <v>189</v>
      </c>
      <c r="D1742" t="s">
        <v>99</v>
      </c>
      <c r="E1742" s="2" t="str">
        <f>HYPERLINK("https://ibp.a2mac1.com/costing(costing:projects/details/8191/equipment/6944231)","Machine 1")</f>
        <v>Machine 1</v>
      </c>
      <c r="F1742" t="s">
        <v>2498</v>
      </c>
    </row>
    <row r="1743" spans="1:6" ht="12.75">
      <c r="A1743">
        <v>5382806</v>
      </c>
      <c r="B1743">
        <v>5382793</v>
      </c>
      <c r="C1743" t="s">
        <v>8</v>
      </c>
      <c r="D1743" t="s">
        <v>8</v>
      </c>
      <c r="E1743" s="2" t="str">
        <f>HYPERLINK("https://ibp.a2mac1.com/costing(costing:projects/details/8191/assembly/5382806)","Cooling System")</f>
        <v>Cooling System</v>
      </c>
      <c r="F1743" t="s">
        <v>1765</v>
      </c>
    </row>
    <row r="1744" spans="1:6" ht="12.75">
      <c r="A1744">
        <v>5382906</v>
      </c>
      <c r="B1744">
        <v>5382806</v>
      </c>
      <c r="C1744" t="s">
        <v>8</v>
      </c>
      <c r="D1744" t="s">
        <v>8</v>
      </c>
      <c r="E1744" s="2" t="str">
        <f>HYPERLINK("https://ibp.a2mac1.com/costing(costing:projects/details/8191/assembly/5382906)"," Expansion Bottle System")</f>
        <v xml:space="preserve"> Expansion Bottle System</v>
      </c>
      <c r="F1744" t="s">
        <v>2500</v>
      </c>
    </row>
    <row r="1745" spans="1:6" ht="12.75">
      <c r="A1745">
        <v>5383171</v>
      </c>
      <c r="B1745">
        <v>5382906</v>
      </c>
      <c r="C1745" t="s">
        <v>12</v>
      </c>
      <c r="D1745" t="s">
        <v>8</v>
      </c>
      <c r="E1745" s="2" t="str">
        <f>HYPERLINK("https://ibp.a2mac1.com/costing(costing:projects/details/8191/part/5383171)"," Expansion bottle")</f>
        <v xml:space="preserve"> Expansion bottle</v>
      </c>
      <c r="F1745" t="s">
        <v>2501</v>
      </c>
    </row>
    <row r="1746" spans="1:6" ht="12.75">
      <c r="A1746">
        <v>5383172</v>
      </c>
      <c r="B1746">
        <v>5382906</v>
      </c>
      <c r="C1746" t="s">
        <v>12</v>
      </c>
      <c r="D1746" t="s">
        <v>8</v>
      </c>
      <c r="E1746" s="2" t="str">
        <f>HYPERLINK("https://ibp.a2mac1.com/costing(costing:projects/details/8191/part/5383172)"," Expansion Tank Cap")</f>
        <v xml:space="preserve"> Expansion Tank Cap</v>
      </c>
      <c r="F1746" t="s">
        <v>2501</v>
      </c>
    </row>
    <row r="1747" spans="1:6" ht="12.75">
      <c r="A1747">
        <v>5382907</v>
      </c>
      <c r="B1747">
        <v>5382806</v>
      </c>
      <c r="C1747" t="s">
        <v>8</v>
      </c>
      <c r="D1747" t="s">
        <v>8</v>
      </c>
      <c r="E1747" s="2" t="str">
        <f>HYPERLINK("https://ibp.a2mac1.com/costing(costing:projects/details/8191/assembly/5382907)"," Cooling System for Battery")</f>
        <v xml:space="preserve"> Cooling System for Battery</v>
      </c>
      <c r="F1747" t="s">
        <v>2500</v>
      </c>
    </row>
    <row r="1748" spans="1:6" ht="12.75">
      <c r="A1748">
        <v>5383173</v>
      </c>
      <c r="B1748">
        <v>5382907</v>
      </c>
      <c r="C1748" t="s">
        <v>12</v>
      </c>
      <c r="D1748" t="s">
        <v>8</v>
      </c>
      <c r="E1748" s="2" t="str">
        <f>HYPERLINK("https://ibp.a2mac1.com/costing(costing:projects/details/8191/part/5383173)"," Exchanger With Air Conditioning")</f>
        <v xml:space="preserve"> Exchanger With Air Conditioning</v>
      </c>
      <c r="F1748" t="s">
        <v>2508</v>
      </c>
    </row>
    <row r="1749" spans="1:6" ht="12.75">
      <c r="A1749">
        <v>6971888</v>
      </c>
      <c r="B1749">
        <v>5383173</v>
      </c>
      <c r="C1749" t="s">
        <v>99</v>
      </c>
      <c r="D1749" t="s">
        <v>12</v>
      </c>
      <c r="E1749" s="2" t="str">
        <f>HYPERLINK("https://ibp.a2mac1.com/costing(costing:projects/details/8191/process/6971888)","Process")</f>
        <v>Process</v>
      </c>
      <c r="F1749" t="s">
        <v>2509</v>
      </c>
    </row>
    <row r="1750" spans="1:6" ht="12.75">
      <c r="A1750">
        <v>5316575</v>
      </c>
      <c r="B1750">
        <v>6971888</v>
      </c>
      <c r="C1750" t="s">
        <v>24</v>
      </c>
      <c r="D1750" t="s">
        <v>99</v>
      </c>
      <c r="E1750" s="2" t="str">
        <f>HYPERLINK("https://ibp.a2mac1.com/costing(costing:projects/details/8191/material/5316575)","Aluminum sheet with brazing layer (default)")</f>
        <v>Aluminum sheet with brazing layer (default)</v>
      </c>
      <c r="F1750" t="s">
        <v>2512</v>
      </c>
    </row>
    <row r="1751" spans="1:6" ht="12.75">
      <c r="A1751">
        <v>6944312</v>
      </c>
      <c r="B1751">
        <v>6971888</v>
      </c>
      <c r="C1751" t="s">
        <v>189</v>
      </c>
      <c r="D1751" t="s">
        <v>99</v>
      </c>
      <c r="E1751" s="2" t="str">
        <f>HYPERLINK("https://ibp.a2mac1.com/costing(costing:projects/details/8191/equipment/6944312)","Machine")</f>
        <v>Machine</v>
      </c>
      <c r="F1751" t="s">
        <v>2512</v>
      </c>
    </row>
    <row r="1752" spans="1:6" ht="12.75">
      <c r="A1752">
        <v>5383174</v>
      </c>
      <c r="B1752">
        <v>5382907</v>
      </c>
      <c r="C1752" t="s">
        <v>12</v>
      </c>
      <c r="D1752" t="s">
        <v>8</v>
      </c>
      <c r="E1752" s="2" t="str">
        <f>HYPERLINK("https://ibp.a2mac1.com/costing(costing:projects/details/8191/part/5383174)"," Exhanger with climatisation support")</f>
        <v xml:space="preserve"> Exhanger with climatisation support</v>
      </c>
      <c r="F1752" t="s">
        <v>2508</v>
      </c>
    </row>
    <row r="1753" spans="1:6" ht="12.75">
      <c r="A1753">
        <v>5383175</v>
      </c>
      <c r="B1753">
        <v>5382907</v>
      </c>
      <c r="C1753" t="s">
        <v>12</v>
      </c>
      <c r="D1753" t="s">
        <v>8</v>
      </c>
      <c r="E1753" s="2" t="str">
        <f>HYPERLINK("https://ibp.a2mac1.com/costing(costing:projects/details/8191/part/5383175)"," IN pipe")</f>
        <v xml:space="preserve"> IN pipe</v>
      </c>
      <c r="F1753" t="s">
        <v>2508</v>
      </c>
    </row>
    <row r="1754" spans="1:6" ht="12.75">
      <c r="A1754">
        <v>5383176</v>
      </c>
      <c r="B1754">
        <v>5382907</v>
      </c>
      <c r="C1754" t="s">
        <v>12</v>
      </c>
      <c r="D1754" t="s">
        <v>8</v>
      </c>
      <c r="E1754" s="2" t="str">
        <f>HYPERLINK("https://ibp.a2mac1.com/costing(costing:projects/details/8191/part/5383176)"," Return pipe")</f>
        <v xml:space="preserve"> Return pipe</v>
      </c>
      <c r="F1754" t="s">
        <v>2508</v>
      </c>
    </row>
    <row r="1755" spans="1:6" ht="12.75">
      <c r="A1755">
        <v>5383177</v>
      </c>
      <c r="B1755">
        <v>5382907</v>
      </c>
      <c r="C1755" t="s">
        <v>12</v>
      </c>
      <c r="D1755" t="s">
        <v>8</v>
      </c>
      <c r="E1755" s="2" t="str">
        <f>HYPERLINK("https://ibp.a2mac1.com/costing(costing:projects/details/8191/part/5383177)"," Expansion bottle pipe return")</f>
        <v xml:space="preserve"> Expansion bottle pipe return</v>
      </c>
      <c r="F1755" t="s">
        <v>2508</v>
      </c>
    </row>
    <row r="1756" spans="1:6" ht="12.75">
      <c r="A1756">
        <v>5383178</v>
      </c>
      <c r="B1756">
        <v>5382907</v>
      </c>
      <c r="C1756" t="s">
        <v>12</v>
      </c>
      <c r="D1756" t="s">
        <v>8</v>
      </c>
      <c r="E1756" s="2" t="str">
        <f>HYPERLINK("https://ibp.a2mac1.com/costing(costing:projects/details/8191/part/5383178)"," Set of Pipes")</f>
        <v xml:space="preserve"> Set of Pipes</v>
      </c>
      <c r="F1756" t="s">
        <v>2508</v>
      </c>
    </row>
    <row r="1757" spans="1:6" ht="12.75">
      <c r="A1757">
        <v>5383179</v>
      </c>
      <c r="B1757">
        <v>5382907</v>
      </c>
      <c r="C1757" t="s">
        <v>12</v>
      </c>
      <c r="D1757" t="s">
        <v>8</v>
      </c>
      <c r="E1757" s="2" t="str">
        <f>HYPERLINK("https://ibp.a2mac1.com/costing(costing:projects/details/8191/part/5383179)"," Return pipe heating / pumpe auxiliary")</f>
        <v xml:space="preserve"> Return pipe heating / pumpe auxiliary</v>
      </c>
      <c r="F1757" t="s">
        <v>2508</v>
      </c>
    </row>
    <row r="1758" spans="1:6" ht="12.75">
      <c r="A1758">
        <v>5383180</v>
      </c>
      <c r="B1758">
        <v>5382907</v>
      </c>
      <c r="C1758" t="s">
        <v>12</v>
      </c>
      <c r="D1758" t="s">
        <v>8</v>
      </c>
      <c r="E1758" s="2" t="str">
        <f>HYPERLINK("https://ibp.a2mac1.com/costing(costing:projects/details/8191/part/5383180)"," In Pipe Steady Heating")</f>
        <v xml:space="preserve"> In Pipe Steady Heating</v>
      </c>
      <c r="F1758" t="s">
        <v>2508</v>
      </c>
    </row>
    <row r="1759" spans="1:6" ht="12.75">
      <c r="A1759">
        <v>5382908</v>
      </c>
      <c r="B1759">
        <v>5382806</v>
      </c>
      <c r="C1759" t="s">
        <v>8</v>
      </c>
      <c r="D1759" t="s">
        <v>8</v>
      </c>
      <c r="E1759" s="2" t="str">
        <f>HYPERLINK("https://ibp.a2mac1.com/costing(costing:projects/details/8191/assembly/5382908)"," Pipe System/Duct")</f>
        <v xml:space="preserve"> Pipe System/Duct</v>
      </c>
      <c r="F1759" t="s">
        <v>2500</v>
      </c>
    </row>
    <row r="1760" spans="1:6" ht="12.75">
      <c r="A1760">
        <v>5383181</v>
      </c>
      <c r="B1760">
        <v>5382908</v>
      </c>
      <c r="C1760" t="s">
        <v>12</v>
      </c>
      <c r="D1760" t="s">
        <v>8</v>
      </c>
      <c r="E1760" s="2" t="str">
        <f>HYPERLINK("https://ibp.a2mac1.com/costing(costing:projects/details/8191/part/5383181)"," Pipe HV Charge/Power Inverter Module")</f>
        <v xml:space="preserve"> Pipe HV Charge/Power Inverter Module</v>
      </c>
      <c r="F1760" t="s">
        <v>2531</v>
      </c>
    </row>
    <row r="1761" spans="1:6" ht="12.75">
      <c r="A1761">
        <v>5383182</v>
      </c>
      <c r="B1761">
        <v>5382908</v>
      </c>
      <c r="C1761" t="s">
        <v>12</v>
      </c>
      <c r="D1761" t="s">
        <v>8</v>
      </c>
      <c r="E1761" s="2" t="str">
        <f>HYPERLINK("https://ibp.a2mac1.com/costing(costing:projects/details/8191/part/5383182)"," Pipe auxiliary pump / converter")</f>
        <v xml:space="preserve"> Pipe auxiliary pump / converter</v>
      </c>
      <c r="F1761" t="s">
        <v>2531</v>
      </c>
    </row>
    <row r="1762" spans="1:6" ht="12.75">
      <c r="A1762">
        <v>5383183</v>
      </c>
      <c r="B1762">
        <v>5382908</v>
      </c>
      <c r="C1762" t="s">
        <v>12</v>
      </c>
      <c r="D1762" t="s">
        <v>8</v>
      </c>
      <c r="E1762" s="2" t="str">
        <f>HYPERLINK("https://ibp.a2mac1.com/costing(costing:projects/details/8191/part/5383183)"," 2nd Pipe auxiliary pump / Converter-Inverter")</f>
        <v xml:space="preserve"> 2nd Pipe auxiliary pump / Converter-Inverter</v>
      </c>
      <c r="F1762" t="s">
        <v>2531</v>
      </c>
    </row>
    <row r="1763" spans="1:6" ht="12.75">
      <c r="A1763">
        <v>5383184</v>
      </c>
      <c r="B1763">
        <v>5382908</v>
      </c>
      <c r="C1763" t="s">
        <v>12</v>
      </c>
      <c r="D1763" t="s">
        <v>8</v>
      </c>
      <c r="E1763" s="2" t="str">
        <f>HYPERLINK("https://ibp.a2mac1.com/costing(costing:projects/details/8191/part/5383184)"," Set of Pipes")</f>
        <v xml:space="preserve"> Set of Pipes</v>
      </c>
      <c r="F1763" t="s">
        <v>2531</v>
      </c>
    </row>
    <row r="1764" spans="1:6" ht="12.75">
      <c r="A1764">
        <v>5383185</v>
      </c>
      <c r="B1764">
        <v>5382908</v>
      </c>
      <c r="C1764" t="s">
        <v>12</v>
      </c>
      <c r="D1764" t="s">
        <v>8</v>
      </c>
      <c r="E1764" s="2" t="str">
        <f>HYPERLINK("https://ibp.a2mac1.com/costing(costing:projects/details/8191/part/5383185)"," 2nd Set of Pipes")</f>
        <v xml:space="preserve"> 2nd Set of Pipes</v>
      </c>
      <c r="F1764" t="s">
        <v>2531</v>
      </c>
    </row>
    <row r="1765" spans="1:6" ht="12.75">
      <c r="A1765">
        <v>5383186</v>
      </c>
      <c r="B1765">
        <v>5382908</v>
      </c>
      <c r="C1765" t="s">
        <v>12</v>
      </c>
      <c r="D1765" t="s">
        <v>8</v>
      </c>
      <c r="E1765" s="2" t="str">
        <f>HYPERLINK("https://ibp.a2mac1.com/costing(costing:projects/details/8191/part/5383186)"," Pipe pump / radiator")</f>
        <v xml:space="preserve"> Pipe pump / radiator</v>
      </c>
      <c r="F1765" t="s">
        <v>2531</v>
      </c>
    </row>
    <row r="1766" spans="1:6" ht="12.75">
      <c r="A1766">
        <v>5383187</v>
      </c>
      <c r="B1766">
        <v>5382908</v>
      </c>
      <c r="C1766" t="s">
        <v>12</v>
      </c>
      <c r="D1766" t="s">
        <v>8</v>
      </c>
      <c r="E1766" s="2" t="str">
        <f>HYPERLINK("https://ibp.a2mac1.com/costing(costing:projects/details/8191/part/5383187)"," Radiator / motor pipe")</f>
        <v xml:space="preserve"> Radiator / motor pipe</v>
      </c>
      <c r="F1766" t="s">
        <v>2531</v>
      </c>
    </row>
    <row r="1767" spans="1:6" ht="12.75">
      <c r="A1767">
        <v>5383188</v>
      </c>
      <c r="B1767">
        <v>5382908</v>
      </c>
      <c r="C1767" t="s">
        <v>12</v>
      </c>
      <c r="D1767" t="s">
        <v>8</v>
      </c>
      <c r="E1767" s="2" t="str">
        <f>HYPERLINK("https://ibp.a2mac1.com/costing(costing:projects/details/8191/part/5383188)"," Radiator / motor 2nd pipe")</f>
        <v xml:space="preserve"> Radiator / motor 2nd pipe</v>
      </c>
      <c r="F1767" t="s">
        <v>2531</v>
      </c>
    </row>
    <row r="1768" spans="1:6" ht="12.75">
      <c r="A1768">
        <v>5383189</v>
      </c>
      <c r="B1768">
        <v>5382908</v>
      </c>
      <c r="C1768" t="s">
        <v>12</v>
      </c>
      <c r="D1768" t="s">
        <v>8</v>
      </c>
      <c r="E1768" s="2" t="str">
        <f>HYPERLINK("https://ibp.a2mac1.com/costing(costing:projects/details/8191/part/5383189)"," Radiator / motor 3rd pipe")</f>
        <v xml:space="preserve"> Radiator / motor 3rd pipe</v>
      </c>
      <c r="F1768" t="s">
        <v>2531</v>
      </c>
    </row>
    <row r="1769" spans="1:6" ht="12.75">
      <c r="A1769">
        <v>5383190</v>
      </c>
      <c r="B1769">
        <v>5382908</v>
      </c>
      <c r="C1769" t="s">
        <v>12</v>
      </c>
      <c r="D1769" t="s">
        <v>8</v>
      </c>
      <c r="E1769" s="2" t="str">
        <f>HYPERLINK("https://ibp.a2mac1.com/costing(costing:projects/details/8191/part/5383190)"," In / Out 2nd power inverter module pipe")</f>
        <v xml:space="preserve"> In / Out 2nd power inverter module pipe</v>
      </c>
      <c r="F1769" t="s">
        <v>2531</v>
      </c>
    </row>
    <row r="1770" spans="1:6" ht="12.75">
      <c r="A1770">
        <v>5383191</v>
      </c>
      <c r="B1770">
        <v>5382908</v>
      </c>
      <c r="C1770" t="s">
        <v>12</v>
      </c>
      <c r="D1770" t="s">
        <v>8</v>
      </c>
      <c r="E1770" s="2" t="str">
        <f>HYPERLINK("https://ibp.a2mac1.com/costing(costing:projects/details/8191/part/5383191)"," DC-DC-Power Inverter Module Pipe")</f>
        <v xml:space="preserve"> DC-DC-Power Inverter Module Pipe</v>
      </c>
      <c r="F1770" t="s">
        <v>2531</v>
      </c>
    </row>
    <row r="1771" spans="1:6" ht="12.75">
      <c r="A1771">
        <v>5383192</v>
      </c>
      <c r="B1771">
        <v>5382908</v>
      </c>
      <c r="C1771" t="s">
        <v>12</v>
      </c>
      <c r="D1771" t="s">
        <v>8</v>
      </c>
      <c r="E1771" s="2" t="str">
        <f>HYPERLINK("https://ibp.a2mac1.com/costing(costing:projects/details/8191/part/5383192)"," 2nd DC-DC - Power Inverter Module Pipe")</f>
        <v xml:space="preserve"> 2nd DC-DC - Power Inverter Module Pipe</v>
      </c>
      <c r="F1771" t="s">
        <v>2531</v>
      </c>
    </row>
    <row r="1772" spans="1:6" ht="12.75">
      <c r="A1772">
        <v>5383193</v>
      </c>
      <c r="B1772">
        <v>5382908</v>
      </c>
      <c r="C1772" t="s">
        <v>12</v>
      </c>
      <c r="D1772" t="s">
        <v>8</v>
      </c>
      <c r="E1772" s="2" t="str">
        <f>HYPERLINK("https://ibp.a2mac1.com/costing(costing:projects/details/8191/part/5383193)"," Pipe AC Exchanger to Distributor")</f>
        <v xml:space="preserve"> Pipe AC Exchanger to Distributor</v>
      </c>
      <c r="F1772" t="s">
        <v>2531</v>
      </c>
    </row>
    <row r="1773" spans="1:6" ht="12.75">
      <c r="A1773">
        <v>5382909</v>
      </c>
      <c r="B1773">
        <v>5382806</v>
      </c>
      <c r="C1773" t="s">
        <v>8</v>
      </c>
      <c r="D1773" t="s">
        <v>8</v>
      </c>
      <c r="E1773" s="2" t="str">
        <f>HYPERLINK("https://ibp.a2mac1.com/costing(costing:projects/details/8191/assembly/5382909)"," Fan System")</f>
        <v xml:space="preserve"> Fan System</v>
      </c>
      <c r="F1773" t="s">
        <v>2500</v>
      </c>
    </row>
    <row r="1774" spans="1:6" ht="12.75">
      <c r="A1774">
        <v>5383194</v>
      </c>
      <c r="B1774">
        <v>5382909</v>
      </c>
      <c r="C1774" t="s">
        <v>8</v>
      </c>
      <c r="D1774" t="s">
        <v>8</v>
      </c>
      <c r="E1774" s="2" t="str">
        <f>HYPERLINK("https://ibp.a2mac1.com/costing(costing:projects/details/8191/assembly/5383194)"," Radiator Fan")</f>
        <v xml:space="preserve"> Radiator Fan</v>
      </c>
      <c r="F1774" t="s">
        <v>2560</v>
      </c>
    </row>
    <row r="1775" spans="1:6" ht="12.75">
      <c r="A1775">
        <v>5383477</v>
      </c>
      <c r="B1775">
        <v>5383194</v>
      </c>
      <c r="C1775" t="s">
        <v>12</v>
      </c>
      <c r="D1775" t="s">
        <v>8</v>
      </c>
      <c r="E1775" s="2" t="str">
        <f>HYPERLINK("https://ibp.a2mac1.com/costing(costing:projects/details/8191/part/5383477)"," Radiator Fan Left/Single")</f>
        <v xml:space="preserve"> Radiator Fan Left/Single</v>
      </c>
      <c r="F1775" t="s">
        <v>2561</v>
      </c>
    </row>
    <row r="1776" spans="1:6" ht="12.75">
      <c r="A1776">
        <v>6971976</v>
      </c>
      <c r="B1776">
        <v>5383477</v>
      </c>
      <c r="C1776" t="s">
        <v>99</v>
      </c>
      <c r="D1776" t="s">
        <v>12</v>
      </c>
      <c r="E1776" s="2" t="str">
        <f>HYPERLINK("https://ibp.a2mac1.com/costing(costing:projects/details/8191/process/6971976)","Process")</f>
        <v>Process</v>
      </c>
      <c r="F1776" t="s">
        <v>2562</v>
      </c>
    </row>
    <row r="1777" spans="1:6" ht="12.75">
      <c r="A1777">
        <v>5316796</v>
      </c>
      <c r="B1777">
        <v>6971976</v>
      </c>
      <c r="C1777" t="s">
        <v>24</v>
      </c>
      <c r="D1777" t="s">
        <v>99</v>
      </c>
      <c r="E1777" s="2" t="str">
        <f>HYPERLINK("https://ibp.a2mac1.com/costing(costing:projects/details/8191/material/5316796)","PA6-GF30")</f>
        <v>PA6-GF30</v>
      </c>
      <c r="F1777" t="s">
        <v>2565</v>
      </c>
    </row>
    <row r="1778" spans="1:6" ht="12.75">
      <c r="A1778">
        <v>6944478</v>
      </c>
      <c r="B1778">
        <v>6971976</v>
      </c>
      <c r="C1778" t="s">
        <v>189</v>
      </c>
      <c r="D1778" t="s">
        <v>99</v>
      </c>
      <c r="E1778" s="2" t="str">
        <f>HYPERLINK("https://ibp.a2mac1.com/costing(costing:projects/details/8191/equipment/6944478)","Machine")</f>
        <v>Machine</v>
      </c>
      <c r="F1778" t="s">
        <v>2565</v>
      </c>
    </row>
    <row r="1779" spans="1:6" ht="12.75">
      <c r="A1779">
        <v>5383195</v>
      </c>
      <c r="B1779">
        <v>5382909</v>
      </c>
      <c r="C1779" t="s">
        <v>8</v>
      </c>
      <c r="D1779" t="s">
        <v>8</v>
      </c>
      <c r="E1779" s="2" t="str">
        <f>HYPERLINK("https://ibp.a2mac1.com/costing(costing:projects/details/8191/assembly/5383195)"," Motor System")</f>
        <v xml:space="preserve"> Motor System</v>
      </c>
      <c r="F1779" t="s">
        <v>2560</v>
      </c>
    </row>
    <row r="1780" spans="1:6" ht="12.75">
      <c r="A1780">
        <v>5383478</v>
      </c>
      <c r="B1780">
        <v>5383195</v>
      </c>
      <c r="C1780" t="s">
        <v>12</v>
      </c>
      <c r="D1780" t="s">
        <v>8</v>
      </c>
      <c r="E1780" s="2" t="str">
        <f>HYPERLINK("https://ibp.a2mac1.com/costing(costing:projects/details/8191/part/5383478)"," Motor Left/Single")</f>
        <v xml:space="preserve"> Motor Left/Single</v>
      </c>
      <c r="F1780" t="s">
        <v>2570</v>
      </c>
    </row>
    <row r="1781" spans="1:6" ht="12.75">
      <c r="A1781">
        <v>5383479</v>
      </c>
      <c r="B1781">
        <v>5383195</v>
      </c>
      <c r="C1781" t="s">
        <v>12</v>
      </c>
      <c r="D1781" t="s">
        <v>8</v>
      </c>
      <c r="E1781" s="2" t="str">
        <f>HYPERLINK("https://ibp.a2mac1.com/costing(costing:projects/details/8191/part/5383479)"," Front cooling module")</f>
        <v xml:space="preserve"> Front cooling module</v>
      </c>
      <c r="F1781" t="s">
        <v>2570</v>
      </c>
    </row>
    <row r="1782" spans="1:6" ht="12.75">
      <c r="A1782">
        <v>6971977</v>
      </c>
      <c r="B1782">
        <v>5383479</v>
      </c>
      <c r="C1782" t="s">
        <v>99</v>
      </c>
      <c r="D1782" t="s">
        <v>12</v>
      </c>
      <c r="E1782" s="2" t="str">
        <f>HYPERLINK("https://ibp.a2mac1.com/costing(costing:projects/details/8191/process/6971977)","Process")</f>
        <v>Process</v>
      </c>
      <c r="F1782" t="s">
        <v>2573</v>
      </c>
    </row>
    <row r="1783" spans="1:6" ht="12.75">
      <c r="A1783">
        <v>5316797</v>
      </c>
      <c r="B1783">
        <v>6971977</v>
      </c>
      <c r="C1783" t="s">
        <v>24</v>
      </c>
      <c r="D1783" t="s">
        <v>99</v>
      </c>
      <c r="E1783" s="2" t="str">
        <f>HYPERLINK("https://ibp.a2mac1.com/costing(costing:projects/details/8191/material/5316797)","PA6-GF30")</f>
        <v>PA6-GF30</v>
      </c>
      <c r="F1783" t="s">
        <v>2576</v>
      </c>
    </row>
    <row r="1784" spans="1:6" ht="12.75">
      <c r="A1784">
        <v>6944479</v>
      </c>
      <c r="B1784">
        <v>6971977</v>
      </c>
      <c r="C1784" t="s">
        <v>189</v>
      </c>
      <c r="D1784" t="s">
        <v>99</v>
      </c>
      <c r="E1784" s="2" t="str">
        <f>HYPERLINK("https://ibp.a2mac1.com/costing(costing:projects/details/8191/equipment/6944479)","Machine")</f>
        <v>Machine</v>
      </c>
      <c r="F1784" t="s">
        <v>2576</v>
      </c>
    </row>
    <row r="1785" spans="1:6" ht="12.75">
      <c r="A1785">
        <v>5382910</v>
      </c>
      <c r="B1785">
        <v>5382806</v>
      </c>
      <c r="C1785" t="s">
        <v>8</v>
      </c>
      <c r="D1785" t="s">
        <v>8</v>
      </c>
      <c r="E1785" s="2" t="str">
        <f>HYPERLINK("https://ibp.a2mac1.com/costing(costing:projects/details/8191/assembly/5382910)"," Dynamic Flaps System")</f>
        <v xml:space="preserve"> Dynamic Flaps System</v>
      </c>
      <c r="F1785" t="s">
        <v>2500</v>
      </c>
    </row>
    <row r="1786" spans="1:6" ht="12.75">
      <c r="A1786">
        <v>5383196</v>
      </c>
      <c r="B1786">
        <v>5382910</v>
      </c>
      <c r="C1786" t="s">
        <v>8</v>
      </c>
      <c r="D1786" t="s">
        <v>8</v>
      </c>
      <c r="E1786" s="2" t="str">
        <f>HYPERLINK("https://ibp.a2mac1.com/costing(costing:projects/details/8191/assembly/5383196)"," Dynamics Flaps Upper / Single")</f>
        <v xml:space="preserve"> Dynamics Flaps Upper / Single</v>
      </c>
      <c r="F1786" t="s">
        <v>2583</v>
      </c>
    </row>
    <row r="1787" spans="1:6" ht="12.75">
      <c r="A1787">
        <v>5383480</v>
      </c>
      <c r="B1787">
        <v>5383196</v>
      </c>
      <c r="C1787" t="s">
        <v>12</v>
      </c>
      <c r="D1787" t="s">
        <v>8</v>
      </c>
      <c r="E1787" s="2" t="str">
        <f>HYPERLINK("https://ibp.a2mac1.com/costing(costing:projects/details/8191/part/5383480)"," Motor/Valve")</f>
        <v xml:space="preserve"> Motor/Valve</v>
      </c>
      <c r="F1787" t="s">
        <v>2584</v>
      </c>
    </row>
    <row r="1788" spans="1:6" ht="12.75">
      <c r="A1788">
        <v>5383481</v>
      </c>
      <c r="B1788">
        <v>5383196</v>
      </c>
      <c r="C1788" t="s">
        <v>12</v>
      </c>
      <c r="D1788" t="s">
        <v>8</v>
      </c>
      <c r="E1788" s="2" t="str">
        <f>HYPERLINK("https://ibp.a2mac1.com/costing(costing:projects/details/8191/part/5383481)"," Flaps Module")</f>
        <v xml:space="preserve"> Flaps Module</v>
      </c>
      <c r="F1788" t="s">
        <v>2584</v>
      </c>
    </row>
    <row r="1789" spans="1:6" ht="12.75">
      <c r="A1789">
        <v>5383482</v>
      </c>
      <c r="B1789">
        <v>5383196</v>
      </c>
      <c r="C1789" t="s">
        <v>12</v>
      </c>
      <c r="D1789" t="s">
        <v>8</v>
      </c>
      <c r="E1789" s="2" t="str">
        <f>HYPERLINK("https://ibp.a2mac1.com/costing(costing:projects/details/8191/part/5383482)"," Flaps")</f>
        <v xml:space="preserve"> Flaps</v>
      </c>
      <c r="F1789" t="s">
        <v>2584</v>
      </c>
    </row>
    <row r="1790" spans="1:6" ht="12.75">
      <c r="A1790">
        <v>5383483</v>
      </c>
      <c r="B1790">
        <v>5383196</v>
      </c>
      <c r="C1790" t="s">
        <v>12</v>
      </c>
      <c r="D1790" t="s">
        <v>8</v>
      </c>
      <c r="E1790" s="2" t="str">
        <f>HYPERLINK("https://ibp.a2mac1.com/costing(costing:projects/details/8191/part/5383483)"," Flaps Mechanism")</f>
        <v xml:space="preserve"> Flaps Mechanism</v>
      </c>
      <c r="F1790" t="s">
        <v>2584</v>
      </c>
    </row>
    <row r="1791" spans="1:6" ht="12.75">
      <c r="A1791">
        <v>5383484</v>
      </c>
      <c r="B1791">
        <v>5383196</v>
      </c>
      <c r="C1791" t="s">
        <v>12</v>
      </c>
      <c r="D1791" t="s">
        <v>8</v>
      </c>
      <c r="E1791" s="2" t="str">
        <f>HYPERLINK("https://ibp.a2mac1.com/costing(costing:projects/details/8191/part/5383484)"," Flaps Cable Guide")</f>
        <v xml:space="preserve"> Flaps Cable Guide</v>
      </c>
      <c r="F1791" t="s">
        <v>2584</v>
      </c>
    </row>
    <row r="1792" spans="1:6" ht="12.75">
      <c r="A1792">
        <v>5382911</v>
      </c>
      <c r="B1792">
        <v>5382806</v>
      </c>
      <c r="C1792" t="s">
        <v>8</v>
      </c>
      <c r="D1792" t="s">
        <v>8</v>
      </c>
      <c r="E1792" s="2" t="str">
        <f>HYPERLINK("https://ibp.a2mac1.com/costing(costing:projects/details/8191/assembly/5382911)"," Air Intake radiator")</f>
        <v xml:space="preserve"> Air Intake radiator</v>
      </c>
      <c r="F1792" t="s">
        <v>2500</v>
      </c>
    </row>
    <row r="1793" spans="1:6" ht="12.75">
      <c r="A1793">
        <v>5383197</v>
      </c>
      <c r="B1793">
        <v>5382911</v>
      </c>
      <c r="C1793" t="s">
        <v>12</v>
      </c>
      <c r="D1793" t="s">
        <v>8</v>
      </c>
      <c r="E1793" s="2" t="str">
        <f>HYPERLINK("https://ibp.a2mac1.com/costing(costing:projects/details/8191/part/5383197)"," Main/Single")</f>
        <v xml:space="preserve"> Main/Single</v>
      </c>
      <c r="F1793" t="s">
        <v>2599</v>
      </c>
    </row>
    <row r="1794" spans="1:6" ht="12.75">
      <c r="A1794">
        <v>6971889</v>
      </c>
      <c r="B1794">
        <v>5383197</v>
      </c>
      <c r="C1794" t="s">
        <v>99</v>
      </c>
      <c r="D1794" t="s">
        <v>12</v>
      </c>
      <c r="E1794" s="2" t="str">
        <f>HYPERLINK("https://ibp.a2mac1.com/costing(costing:projects/details/8191/process/6971889)","Process")</f>
        <v>Process</v>
      </c>
      <c r="F1794" t="s">
        <v>2600</v>
      </c>
    </row>
    <row r="1795" spans="1:6" ht="12.75">
      <c r="A1795">
        <v>5316576</v>
      </c>
      <c r="B1795">
        <v>6971889</v>
      </c>
      <c r="C1795" t="s">
        <v>24</v>
      </c>
      <c r="D1795" t="s">
        <v>99</v>
      </c>
      <c r="E1795" s="2" t="str">
        <f>HYPERLINK("https://ibp.a2mac1.com/costing(costing:projects/details/8191/material/5316576)","PP")</f>
        <v>PP</v>
      </c>
      <c r="F1795" t="s">
        <v>2603</v>
      </c>
    </row>
    <row r="1796" spans="1:6" ht="12.75">
      <c r="A1796">
        <v>6944313</v>
      </c>
      <c r="B1796">
        <v>6971889</v>
      </c>
      <c r="C1796" t="s">
        <v>189</v>
      </c>
      <c r="D1796" t="s">
        <v>99</v>
      </c>
      <c r="E1796" s="2" t="str">
        <f>HYPERLINK("https://ibp.a2mac1.com/costing(costing:projects/details/8191/equipment/6944313)","Machine")</f>
        <v>Machine</v>
      </c>
      <c r="F1796" t="s">
        <v>2603</v>
      </c>
    </row>
    <row r="1797" spans="1:6" ht="12.75">
      <c r="A1797">
        <v>5382893</v>
      </c>
      <c r="B1797">
        <v>5382806</v>
      </c>
      <c r="C1797" t="s">
        <v>12</v>
      </c>
      <c r="D1797" t="s">
        <v>8</v>
      </c>
      <c r="E1797" s="2" t="str">
        <f>HYPERLINK("https://ibp.a2mac1.com/costing(costing:projects/details/8191/part/5382893)"," Pipe Support")</f>
        <v xml:space="preserve"> Pipe Support</v>
      </c>
      <c r="F1797" t="s">
        <v>2500</v>
      </c>
    </row>
    <row r="1798" spans="1:6" ht="12.75">
      <c r="A1798">
        <v>5382894</v>
      </c>
      <c r="B1798">
        <v>5382806</v>
      </c>
      <c r="C1798" t="s">
        <v>12</v>
      </c>
      <c r="D1798" t="s">
        <v>8</v>
      </c>
      <c r="E1798" s="2" t="str">
        <f>HYPERLINK("https://ibp.a2mac1.com/costing(costing:projects/details/8191/part/5382894)"," Water Input IN Water Outlet")</f>
        <v xml:space="preserve"> Water Input IN Water Outlet</v>
      </c>
      <c r="F1798" t="s">
        <v>2500</v>
      </c>
    </row>
    <row r="1799" spans="1:6" ht="12.75">
      <c r="A1799">
        <v>5382895</v>
      </c>
      <c r="B1799">
        <v>5382806</v>
      </c>
      <c r="C1799" t="s">
        <v>12</v>
      </c>
      <c r="D1799" t="s">
        <v>8</v>
      </c>
      <c r="E1799" s="2" t="str">
        <f>HYPERLINK("https://ibp.a2mac1.com/costing(costing:projects/details/8191/part/5382895)"," Radiator for Hybrid /Electric system")</f>
        <v xml:space="preserve"> Radiator for Hybrid /Electric system</v>
      </c>
      <c r="F1799" t="s">
        <v>2500</v>
      </c>
    </row>
    <row r="1800" spans="1:6" ht="12.75">
      <c r="A1800">
        <v>6971741</v>
      </c>
      <c r="B1800">
        <v>5382895</v>
      </c>
      <c r="C1800" t="s">
        <v>99</v>
      </c>
      <c r="D1800" t="s">
        <v>12</v>
      </c>
      <c r="E1800" s="2" t="str">
        <f>HYPERLINK("https://ibp.a2mac1.com/costing(costing:projects/details/8191/process/6971741)","Process")</f>
        <v>Process</v>
      </c>
      <c r="F1800" t="s">
        <v>2612</v>
      </c>
    </row>
    <row r="1801" spans="1:6" ht="12.75">
      <c r="A1801">
        <v>5316538</v>
      </c>
      <c r="B1801">
        <v>6971741</v>
      </c>
      <c r="C1801" t="s">
        <v>24</v>
      </c>
      <c r="D1801" t="s">
        <v>99</v>
      </c>
      <c r="E1801" s="2" t="str">
        <f>HYPERLINK("https://ibp.a2mac1.com/costing(costing:projects/details/8191/material/5316538)","Aluminum sheet with brazing layer (default)")</f>
        <v>Aluminum sheet with brazing layer (default)</v>
      </c>
      <c r="F1801" t="s">
        <v>2615</v>
      </c>
    </row>
    <row r="1802" spans="1:6" ht="12.75">
      <c r="A1802">
        <v>5316539</v>
      </c>
      <c r="B1802">
        <v>6971741</v>
      </c>
      <c r="C1802" t="s">
        <v>24</v>
      </c>
      <c r="D1802" t="s">
        <v>99</v>
      </c>
      <c r="E1802" s="2" t="str">
        <f>HYPERLINK("https://ibp.a2mac1.com/costing(costing:projects/details/8191/material/5316539)","PA6-GF30")</f>
        <v>PA6-GF30</v>
      </c>
      <c r="F1802" t="s">
        <v>2615</v>
      </c>
    </row>
    <row r="1803" spans="1:6" ht="12.75">
      <c r="A1803">
        <v>6944249</v>
      </c>
      <c r="B1803">
        <v>6971741</v>
      </c>
      <c r="C1803" t="s">
        <v>189</v>
      </c>
      <c r="D1803" t="s">
        <v>99</v>
      </c>
      <c r="E1803" s="2" t="str">
        <f>HYPERLINK("https://ibp.a2mac1.com/costing(costing:projects/details/8191/equipment/6944249)","Machine")</f>
        <v>Machine</v>
      </c>
      <c r="F1803" t="s">
        <v>2615</v>
      </c>
    </row>
    <row r="1804" spans="1:6" ht="12.75">
      <c r="A1804">
        <v>5382896</v>
      </c>
      <c r="B1804">
        <v>5382806</v>
      </c>
      <c r="C1804" t="s">
        <v>12</v>
      </c>
      <c r="D1804" t="s">
        <v>8</v>
      </c>
      <c r="E1804" s="2" t="str">
        <f>HYPERLINK("https://ibp.a2mac1.com/costing(costing:projects/details/8191/part/5382896)"," Lower Radiator Support")</f>
        <v xml:space="preserve"> Lower Radiator Support</v>
      </c>
      <c r="F1804" t="s">
        <v>2500</v>
      </c>
    </row>
    <row r="1805" spans="1:6" ht="12.75">
      <c r="A1805">
        <v>5382897</v>
      </c>
      <c r="B1805">
        <v>5382806</v>
      </c>
      <c r="C1805" t="s">
        <v>12</v>
      </c>
      <c r="D1805" t="s">
        <v>8</v>
      </c>
      <c r="E1805" s="2" t="str">
        <f>HYPERLINK("https://ibp.a2mac1.com/costing(costing:projects/details/8191/part/5382897)"," Radiator grill protection")</f>
        <v xml:space="preserve"> Radiator grill protection</v>
      </c>
      <c r="F1805" t="s">
        <v>2500</v>
      </c>
    </row>
    <row r="1806" spans="1:6" ht="12.75">
      <c r="A1806">
        <v>6971742</v>
      </c>
      <c r="B1806">
        <v>5382897</v>
      </c>
      <c r="C1806" t="s">
        <v>99</v>
      </c>
      <c r="D1806" t="s">
        <v>12</v>
      </c>
      <c r="E1806" s="2" t="str">
        <f>HYPERLINK("https://ibp.a2mac1.com/costing(costing:projects/details/8191/process/6971742)","Process")</f>
        <v>Process</v>
      </c>
      <c r="F1806" t="s">
        <v>2622</v>
      </c>
    </row>
    <row r="1807" spans="1:6" ht="12.75">
      <c r="A1807">
        <v>5316540</v>
      </c>
      <c r="B1807">
        <v>6971742</v>
      </c>
      <c r="C1807" t="s">
        <v>24</v>
      </c>
      <c r="D1807" t="s">
        <v>99</v>
      </c>
      <c r="E1807" s="2" t="str">
        <f>HYPERLINK("https://ibp.a2mac1.com/costing(costing:projects/details/8191/material/5316540)","PA6-GF30")</f>
        <v>PA6-GF30</v>
      </c>
      <c r="F1807" t="s">
        <v>2625</v>
      </c>
    </row>
    <row r="1808" spans="1:6" ht="12.75">
      <c r="A1808">
        <v>6944250</v>
      </c>
      <c r="B1808">
        <v>6971742</v>
      </c>
      <c r="C1808" t="s">
        <v>189</v>
      </c>
      <c r="D1808" t="s">
        <v>99</v>
      </c>
      <c r="E1808" s="2" t="str">
        <f>HYPERLINK("https://ibp.a2mac1.com/costing(costing:projects/details/8191/equipment/6944250)","Machine")</f>
        <v>Machine</v>
      </c>
      <c r="F1808" t="s">
        <v>2625</v>
      </c>
    </row>
    <row r="1809" spans="1:6" ht="12.75">
      <c r="A1809">
        <v>5382898</v>
      </c>
      <c r="B1809">
        <v>5382806</v>
      </c>
      <c r="C1809" t="s">
        <v>12</v>
      </c>
      <c r="D1809" t="s">
        <v>8</v>
      </c>
      <c r="E1809" s="2" t="str">
        <f>HYPERLINK("https://ibp.a2mac1.com/costing(costing:projects/details/8191/part/5382898)"," Distributor")</f>
        <v xml:space="preserve"> Distributor</v>
      </c>
      <c r="F1809" t="s">
        <v>2500</v>
      </c>
    </row>
    <row r="1810" spans="1:6" ht="12.75">
      <c r="A1810">
        <v>5382899</v>
      </c>
      <c r="B1810">
        <v>5382806</v>
      </c>
      <c r="C1810" t="s">
        <v>12</v>
      </c>
      <c r="D1810" t="s">
        <v>8</v>
      </c>
      <c r="E1810" s="2" t="str">
        <f>HYPERLINK("https://ibp.a2mac1.com/costing(costing:projects/details/8191/part/5382899)"," Distributor Support")</f>
        <v xml:space="preserve"> Distributor Support</v>
      </c>
      <c r="F1810" t="s">
        <v>2500</v>
      </c>
    </row>
    <row r="1811" spans="1:6" ht="12.75">
      <c r="A1811">
        <v>5382900</v>
      </c>
      <c r="B1811">
        <v>5382806</v>
      </c>
      <c r="C1811" t="s">
        <v>12</v>
      </c>
      <c r="D1811" t="s">
        <v>8</v>
      </c>
      <c r="E1811" s="2" t="str">
        <f>HYPERLINK("https://ibp.a2mac1.com/costing(costing:projects/details/8191/part/5382900)"," Electric Pump")</f>
        <v xml:space="preserve"> Electric Pump</v>
      </c>
      <c r="F1811" t="s">
        <v>2500</v>
      </c>
    </row>
    <row r="1812" spans="1:6" ht="12.75">
      <c r="A1812">
        <v>5382901</v>
      </c>
      <c r="B1812">
        <v>5382806</v>
      </c>
      <c r="C1812" t="s">
        <v>12</v>
      </c>
      <c r="D1812" t="s">
        <v>8</v>
      </c>
      <c r="E1812" s="2" t="str">
        <f>HYPERLINK("https://ibp.a2mac1.com/costing(costing:projects/details/8191/part/5382901)"," Electric Pump Support")</f>
        <v xml:space="preserve"> Electric Pump Support</v>
      </c>
      <c r="F1812" t="s">
        <v>2500</v>
      </c>
    </row>
    <row r="1813" spans="1:6" ht="12.75">
      <c r="A1813">
        <v>5382902</v>
      </c>
      <c r="B1813">
        <v>5382806</v>
      </c>
      <c r="C1813" t="s">
        <v>12</v>
      </c>
      <c r="D1813" t="s">
        <v>8</v>
      </c>
      <c r="E1813" s="2" t="str">
        <f>HYPERLINK("https://ibp.a2mac1.com/costing(costing:projects/details/8191/part/5382902)"," 2nd Electric Pump")</f>
        <v xml:space="preserve"> 2nd Electric Pump</v>
      </c>
      <c r="F1813" t="s">
        <v>2500</v>
      </c>
    </row>
    <row r="1814" spans="1:6" ht="12.75">
      <c r="A1814">
        <v>5382903</v>
      </c>
      <c r="B1814">
        <v>5382806</v>
      </c>
      <c r="C1814" t="s">
        <v>12</v>
      </c>
      <c r="D1814" t="s">
        <v>8</v>
      </c>
      <c r="E1814" s="2" t="str">
        <f>HYPERLINK("https://ibp.a2mac1.com/costing(costing:projects/details/8191/part/5382903)"," 2nd Electric Pump Support")</f>
        <v xml:space="preserve"> 2nd Electric Pump Support</v>
      </c>
      <c r="F1814" t="s">
        <v>2500</v>
      </c>
    </row>
    <row r="1815" spans="1:6" ht="12.75">
      <c r="A1815">
        <v>5382904</v>
      </c>
      <c r="B1815">
        <v>5382806</v>
      </c>
      <c r="C1815" t="s">
        <v>12</v>
      </c>
      <c r="D1815" t="s">
        <v>8</v>
      </c>
      <c r="E1815" s="2" t="str">
        <f>HYPERLINK("https://ibp.a2mac1.com/costing(costing:projects/details/8191/part/5382904)"," Water Temperature Sensor")</f>
        <v xml:space="preserve"> Water Temperature Sensor</v>
      </c>
      <c r="F1815" t="s">
        <v>2500</v>
      </c>
    </row>
    <row r="1816" spans="1:6" ht="12.75">
      <c r="A1816">
        <v>5382905</v>
      </c>
      <c r="B1816">
        <v>5382806</v>
      </c>
      <c r="C1816" t="s">
        <v>12</v>
      </c>
      <c r="D1816" t="s">
        <v>8</v>
      </c>
      <c r="E1816" s="2" t="str">
        <f>HYPERLINK("https://ibp.a2mac1.com/costing(costing:projects/details/8191/part/5382905)"," 2nd Water Temperature Sensor")</f>
        <v xml:space="preserve"> 2nd Water Temperature Sensor</v>
      </c>
      <c r="F1816" t="s">
        <v>2500</v>
      </c>
    </row>
    <row r="1817" spans="1:6" ht="12.75">
      <c r="A1817">
        <v>5382807</v>
      </c>
      <c r="B1817">
        <v>5382793</v>
      </c>
      <c r="C1817" t="s">
        <v>12</v>
      </c>
      <c r="D1817" t="s">
        <v>8</v>
      </c>
      <c r="E1817" s="2" t="str">
        <f>HYPERLINK("https://ibp.a2mac1.com/costing(costing:projects/details/8191/part/5382807)","Hybrid/Electric Unit Control")</f>
        <v>Hybrid/Electric Unit Control</v>
      </c>
      <c r="F1817" t="s">
        <v>1765</v>
      </c>
    </row>
    <row r="1818" spans="1:6" ht="12.75">
      <c r="A1818">
        <v>6971718</v>
      </c>
      <c r="B1818">
        <v>5382807</v>
      </c>
      <c r="C1818" t="s">
        <v>99</v>
      </c>
      <c r="D1818" t="s">
        <v>12</v>
      </c>
      <c r="E1818" s="2" t="str">
        <f>HYPERLINK("https://ibp.a2mac1.com/costing(costing:projects/details/8191/process/6971718)","Process")</f>
        <v>Process</v>
      </c>
      <c r="F1818" t="s">
        <v>2646</v>
      </c>
    </row>
    <row r="1819" spans="1:6" ht="12.75">
      <c r="A1819">
        <v>6944232</v>
      </c>
      <c r="B1819">
        <v>6971718</v>
      </c>
      <c r="C1819" t="s">
        <v>189</v>
      </c>
      <c r="D1819" t="s">
        <v>99</v>
      </c>
      <c r="E1819" s="2" t="str">
        <f>HYPERLINK("https://ibp.a2mac1.com/costing(costing:projects/details/8191/equipment/6944232)","Dummy Machine (PCBA+Final Assembly Line)")</f>
        <v>Dummy Machine (PCBA+Final Assembly Line)</v>
      </c>
      <c r="F1819" t="s">
        <v>2647</v>
      </c>
    </row>
    <row r="1820" spans="1:6" ht="12.75">
      <c r="A1820">
        <v>5316521</v>
      </c>
      <c r="B1820">
        <v>5382807</v>
      </c>
      <c r="C1820" t="s">
        <v>574</v>
      </c>
      <c r="D1820" t="s">
        <v>12</v>
      </c>
      <c r="E1820" s="2" t="str">
        <f>HYPERLINK("https://ibp.a2mac1.com/costing(costing:projects/details/8191/component/5316521)","Electronics")</f>
        <v>Electronics</v>
      </c>
      <c r="F1820" t="s">
        <v>2646</v>
      </c>
    </row>
    <row r="1821" spans="1:6" ht="12.75">
      <c r="A1821">
        <v>5316522</v>
      </c>
      <c r="B1821">
        <v>5382807</v>
      </c>
      <c r="C1821" t="s">
        <v>574</v>
      </c>
      <c r="D1821" t="s">
        <v>12</v>
      </c>
      <c r="E1821" s="2" t="str">
        <f>HYPERLINK("https://ibp.a2mac1.com/costing(costing:projects/details/8191/component/5316522)","Mechanics")</f>
        <v>Mechanics</v>
      </c>
      <c r="F1821" t="s">
        <v>2646</v>
      </c>
    </row>
    <row r="1822" spans="1:6" ht="12.75">
      <c r="A1822">
        <v>5382808</v>
      </c>
      <c r="B1822">
        <v>5382793</v>
      </c>
      <c r="C1822" t="s">
        <v>12</v>
      </c>
      <c r="D1822" t="s">
        <v>8</v>
      </c>
      <c r="E1822" s="2" t="str">
        <f>HYPERLINK("https://ibp.a2mac1.com/costing(costing:projects/details/8191/part/5382808)","Hybrid/Electric Unit Control support")</f>
        <v>Hybrid/Electric Unit Control support</v>
      </c>
      <c r="F1822" t="s">
        <v>1765</v>
      </c>
    </row>
    <row r="1823" spans="1:6" ht="12.75">
      <c r="A1823">
        <v>5382794</v>
      </c>
      <c r="B1823">
        <v>5382792</v>
      </c>
      <c r="C1823" t="s">
        <v>8</v>
      </c>
      <c r="D1823" t="s">
        <v>8</v>
      </c>
      <c r="E1823" s="2" t="str">
        <f>HYPERLINK("https://ibp.a2mac1.com/costing(costing:projects/details/8191/assembly/5382794)","Engine mounts ")</f>
        <v xml:space="preserve">Engine mounts </v>
      </c>
      <c r="F1823" t="s">
        <v>1764</v>
      </c>
    </row>
    <row r="1824" spans="1:6" ht="12.75">
      <c r="A1824">
        <v>5382809</v>
      </c>
      <c r="B1824">
        <v>5382794</v>
      </c>
      <c r="C1824" t="s">
        <v>12</v>
      </c>
      <c r="D1824" t="s">
        <v>8</v>
      </c>
      <c r="E1824" s="2" t="str">
        <f>HYPERLINK("https://ibp.a2mac1.com/costing(costing:projects/details/8191/part/5382809)","Support on gearbox")</f>
        <v>Support on gearbox</v>
      </c>
      <c r="F1824" t="s">
        <v>2650</v>
      </c>
    </row>
    <row r="1825" spans="1:6" ht="12.75">
      <c r="A1825">
        <v>6971719</v>
      </c>
      <c r="B1825">
        <v>5382809</v>
      </c>
      <c r="C1825" t="s">
        <v>99</v>
      </c>
      <c r="D1825" t="s">
        <v>12</v>
      </c>
      <c r="E1825" s="2" t="str">
        <f>HYPERLINK("https://ibp.a2mac1.com/costing(costing:projects/details/8191/process/6971719)","Process")</f>
        <v>Process</v>
      </c>
      <c r="F1825" t="s">
        <v>2651</v>
      </c>
    </row>
    <row r="1826" spans="1:6" ht="12.75">
      <c r="A1826">
        <v>5316525</v>
      </c>
      <c r="B1826">
        <v>6971719</v>
      </c>
      <c r="C1826" t="s">
        <v>24</v>
      </c>
      <c r="D1826" t="s">
        <v>99</v>
      </c>
      <c r="E1826" s="2" t="str">
        <f>HYPERLINK("https://ibp.a2mac1.com/costing(costing:projects/details/8191/material/5316525)","Aluminum for casting (default, e.g. A380/ADC10/EN-AC46500)")</f>
        <v>Aluminum for casting (default, e.g. A380/ADC10/EN-AC46500)</v>
      </c>
      <c r="F1826" t="s">
        <v>2654</v>
      </c>
    </row>
    <row r="1827" spans="1:6" ht="12.75">
      <c r="A1827">
        <v>6944233</v>
      </c>
      <c r="B1827">
        <v>6971719</v>
      </c>
      <c r="C1827" t="s">
        <v>189</v>
      </c>
      <c r="D1827" t="s">
        <v>99</v>
      </c>
      <c r="E1827" s="2" t="str">
        <f>HYPERLINK("https://ibp.a2mac1.com/costing(costing:projects/details/8191/equipment/6944233)","Machine")</f>
        <v>Machine</v>
      </c>
      <c r="F1827" t="s">
        <v>2654</v>
      </c>
    </row>
    <row r="1828" spans="1:6" ht="12.75">
      <c r="A1828">
        <v>5382810</v>
      </c>
      <c r="B1828">
        <v>5382794</v>
      </c>
      <c r="C1828" t="s">
        <v>12</v>
      </c>
      <c r="D1828" t="s">
        <v>8</v>
      </c>
      <c r="E1828" s="2" t="str">
        <f>HYPERLINK("https://ibp.a2mac1.com/costing(costing:projects/details/8191/part/5382810)","Support 1")</f>
        <v>Support 1</v>
      </c>
      <c r="F1828" t="s">
        <v>2650</v>
      </c>
    </row>
    <row r="1829" spans="1:6" ht="12.75">
      <c r="A1829">
        <v>6971720</v>
      </c>
      <c r="B1829">
        <v>5382810</v>
      </c>
      <c r="C1829" t="s">
        <v>99</v>
      </c>
      <c r="D1829" t="s">
        <v>12</v>
      </c>
      <c r="E1829" s="2" t="str">
        <f>HYPERLINK("https://ibp.a2mac1.com/costing(costing:projects/details/8191/process/6971720)","Process")</f>
        <v>Process</v>
      </c>
      <c r="F1829" t="s">
        <v>2657</v>
      </c>
    </row>
    <row r="1830" spans="1:6" ht="12.75">
      <c r="A1830">
        <v>5316526</v>
      </c>
      <c r="B1830">
        <v>6971720</v>
      </c>
      <c r="C1830" t="s">
        <v>24</v>
      </c>
      <c r="D1830" t="s">
        <v>99</v>
      </c>
      <c r="E1830" s="2" t="str">
        <f>HYPERLINK("https://ibp.a2mac1.com/costing(costing:projects/details/8191/material/5316526)","Aluminum for casting (default, e.g. A380/ADC10/EN-AC46500)")</f>
        <v>Aluminum for casting (default, e.g. A380/ADC10/EN-AC46500)</v>
      </c>
      <c r="F1830" t="s">
        <v>2660</v>
      </c>
    </row>
    <row r="1831" spans="1:6" ht="12.75">
      <c r="A1831">
        <v>6944234</v>
      </c>
      <c r="B1831">
        <v>6971720</v>
      </c>
      <c r="C1831" t="s">
        <v>189</v>
      </c>
      <c r="D1831" t="s">
        <v>99</v>
      </c>
      <c r="E1831" s="2" t="str">
        <f>HYPERLINK("https://ibp.a2mac1.com/costing(costing:projects/details/8191/equipment/6944234)","Machine")</f>
        <v>Machine</v>
      </c>
      <c r="F1831" t="s">
        <v>2660</v>
      </c>
    </row>
    <row r="1832" spans="1:6" ht="12.75">
      <c r="A1832">
        <v>5382811</v>
      </c>
      <c r="B1832">
        <v>5382794</v>
      </c>
      <c r="C1832" t="s">
        <v>12</v>
      </c>
      <c r="D1832" t="s">
        <v>8</v>
      </c>
      <c r="E1832" s="2" t="str">
        <f>HYPERLINK("https://ibp.a2mac1.com/costing(costing:projects/details/8191/part/5382811)","Support 2")</f>
        <v>Support 2</v>
      </c>
      <c r="F1832" t="s">
        <v>2650</v>
      </c>
    </row>
    <row r="1833" spans="1:6" ht="12.75">
      <c r="A1833">
        <v>6971721</v>
      </c>
      <c r="B1833">
        <v>5382811</v>
      </c>
      <c r="C1833" t="s">
        <v>99</v>
      </c>
      <c r="D1833" t="s">
        <v>12</v>
      </c>
      <c r="E1833" s="2" t="str">
        <f>HYPERLINK("https://ibp.a2mac1.com/costing(costing:projects/details/8191/process/6971721)","Process")</f>
        <v>Process</v>
      </c>
      <c r="F1833" t="s">
        <v>2663</v>
      </c>
    </row>
    <row r="1834" spans="1:6" ht="12.75">
      <c r="A1834">
        <v>5316527</v>
      </c>
      <c r="B1834">
        <v>6971721</v>
      </c>
      <c r="C1834" t="s">
        <v>24</v>
      </c>
      <c r="D1834" t="s">
        <v>99</v>
      </c>
      <c r="E1834" s="2" t="str">
        <f>HYPERLINK("https://ibp.a2mac1.com/costing(costing:projects/details/8191/material/5316527)","Aluminum for casting (default, e.g. A380/ADC10/EN-AC46500)")</f>
        <v>Aluminum for casting (default, e.g. A380/ADC10/EN-AC46500)</v>
      </c>
      <c r="F1834" t="s">
        <v>2666</v>
      </c>
    </row>
    <row r="1835" spans="1:6" ht="12.75">
      <c r="A1835">
        <v>6944235</v>
      </c>
      <c r="B1835">
        <v>6971721</v>
      </c>
      <c r="C1835" t="s">
        <v>189</v>
      </c>
      <c r="D1835" t="s">
        <v>99</v>
      </c>
      <c r="E1835" s="2" t="str">
        <f>HYPERLINK("https://ibp.a2mac1.com/costing(costing:projects/details/8191/equipment/6944235)","Machine")</f>
        <v>Machine</v>
      </c>
      <c r="F1835" t="s">
        <v>2666</v>
      </c>
    </row>
    <row r="1836" spans="1:6" ht="12.75">
      <c r="A1836">
        <v>5382812</v>
      </c>
      <c r="B1836">
        <v>5382794</v>
      </c>
      <c r="C1836" t="s">
        <v>12</v>
      </c>
      <c r="D1836" t="s">
        <v>8</v>
      </c>
      <c r="E1836" s="2" t="str">
        <f>HYPERLINK("https://ibp.a2mac1.com/costing(costing:projects/details/8191/part/5382812)","Support 3")</f>
        <v>Support 3</v>
      </c>
      <c r="F1836" t="s">
        <v>2650</v>
      </c>
    </row>
    <row r="1837" spans="1:6" ht="12.75">
      <c r="A1837">
        <v>6971722</v>
      </c>
      <c r="B1837">
        <v>5382812</v>
      </c>
      <c r="C1837" t="s">
        <v>99</v>
      </c>
      <c r="D1837" t="s">
        <v>12</v>
      </c>
      <c r="E1837" s="2" t="str">
        <f>HYPERLINK("https://ibp.a2mac1.com/costing(costing:projects/details/8191/process/6971722)","Process")</f>
        <v>Process</v>
      </c>
      <c r="F1837" t="s">
        <v>2669</v>
      </c>
    </row>
    <row r="1838" spans="1:6" ht="12.75">
      <c r="A1838">
        <v>5316528</v>
      </c>
      <c r="B1838">
        <v>6971722</v>
      </c>
      <c r="C1838" t="s">
        <v>24</v>
      </c>
      <c r="D1838" t="s">
        <v>99</v>
      </c>
      <c r="E1838" s="2" t="str">
        <f>HYPERLINK("https://ibp.a2mac1.com/costing(costing:projects/details/8191/material/5316528)","Aluminum for casting (default, e.g. A380/ADC10/EN-AC46500)")</f>
        <v>Aluminum for casting (default, e.g. A380/ADC10/EN-AC46500)</v>
      </c>
      <c r="F1838" t="s">
        <v>2672</v>
      </c>
    </row>
    <row r="1839" spans="1:6" ht="12.75">
      <c r="A1839">
        <v>6944236</v>
      </c>
      <c r="B1839">
        <v>6971722</v>
      </c>
      <c r="C1839" t="s">
        <v>189</v>
      </c>
      <c r="D1839" t="s">
        <v>99</v>
      </c>
      <c r="E1839" s="2" t="str">
        <f>HYPERLINK("https://ibp.a2mac1.com/costing(costing:projects/details/8191/equipment/6944236)","Machine")</f>
        <v>Machine</v>
      </c>
      <c r="F1839" t="s">
        <v>2672</v>
      </c>
    </row>
    <row r="1840" spans="1:6" ht="12.75">
      <c r="A1840">
        <v>5382813</v>
      </c>
      <c r="B1840">
        <v>5382794</v>
      </c>
      <c r="C1840" t="s">
        <v>12</v>
      </c>
      <c r="D1840" t="s">
        <v>8</v>
      </c>
      <c r="E1840" s="2" t="str">
        <f>HYPERLINK("https://ibp.a2mac1.com/costing(costing:projects/details/8191/part/5382813)","Support 4")</f>
        <v>Support 4</v>
      </c>
      <c r="F1840" t="s">
        <v>2650</v>
      </c>
    </row>
    <row r="1841" spans="1:6" ht="12.75">
      <c r="A1841">
        <v>5382814</v>
      </c>
      <c r="B1841">
        <v>5382794</v>
      </c>
      <c r="C1841" t="s">
        <v>12</v>
      </c>
      <c r="D1841" t="s">
        <v>8</v>
      </c>
      <c r="E1841" s="2" t="str">
        <f>HYPERLINK("https://ibp.a2mac1.com/costing(costing:projects/details/8191/part/5382814)","Rubber Mount")</f>
        <v>Rubber Mount</v>
      </c>
      <c r="F1841" t="s">
        <v>2650</v>
      </c>
    </row>
    <row r="1842" spans="1:6" ht="12.75">
      <c r="A1842">
        <v>6971723</v>
      </c>
      <c r="B1842">
        <v>5382814</v>
      </c>
      <c r="C1842" t="s">
        <v>99</v>
      </c>
      <c r="D1842" t="s">
        <v>12</v>
      </c>
      <c r="E1842" s="2" t="str">
        <f>HYPERLINK("https://ibp.a2mac1.com/costing(costing:projects/details/8191/process/6971723)","Process")</f>
        <v>Process</v>
      </c>
      <c r="F1842" t="s">
        <v>2677</v>
      </c>
    </row>
    <row r="1843" spans="1:6" ht="12.75">
      <c r="A1843">
        <v>5316529</v>
      </c>
      <c r="B1843">
        <v>6971723</v>
      </c>
      <c r="C1843" t="s">
        <v>24</v>
      </c>
      <c r="D1843" t="s">
        <v>99</v>
      </c>
      <c r="E1843" s="2" t="str">
        <f>HYPERLINK("https://ibp.a2mac1.com/costing(costing:projects/details/8191/material/5316529)","Aluminum for casting (default, e.g. A380/ADC10/EN-AC46500)")</f>
        <v>Aluminum for casting (default, e.g. A380/ADC10/EN-AC46500)</v>
      </c>
      <c r="F1843" t="s">
        <v>2680</v>
      </c>
    </row>
    <row r="1844" spans="1:6" ht="12.75">
      <c r="A1844">
        <v>6944237</v>
      </c>
      <c r="B1844">
        <v>6971723</v>
      </c>
      <c r="C1844" t="s">
        <v>189</v>
      </c>
      <c r="D1844" t="s">
        <v>99</v>
      </c>
      <c r="E1844" s="2" t="str">
        <f>HYPERLINK("https://ibp.a2mac1.com/costing(costing:projects/details/8191/equipment/6944237)","Machine")</f>
        <v>Machine</v>
      </c>
      <c r="F1844" t="s">
        <v>2680</v>
      </c>
    </row>
    <row r="1845" spans="1:6" ht="12.75">
      <c r="A1845">
        <v>5382815</v>
      </c>
      <c r="B1845">
        <v>5382794</v>
      </c>
      <c r="C1845" t="s">
        <v>12</v>
      </c>
      <c r="D1845" t="s">
        <v>8</v>
      </c>
      <c r="E1845" s="2" t="str">
        <f>HYPERLINK("https://ibp.a2mac1.com/costing(costing:projects/details/8191/part/5382815)","Fastener")</f>
        <v>Fastener</v>
      </c>
      <c r="F1845" t="s">
        <v>2650</v>
      </c>
    </row>
    <row r="1846" spans="1:6" ht="12.75">
      <c r="A1846">
        <v>5383339</v>
      </c>
      <c r="B1846">
        <v>8191</v>
      </c>
      <c r="C1846" t="s">
        <v>8</v>
      </c>
      <c r="D1846" t="s">
        <v>6</v>
      </c>
      <c r="E1846" s="2" t="str">
        <f>HYPERLINK("https://ibp.a2mac1.com/costing(costing:projects/details/8191/assembly/5383339)","Seats")</f>
        <v>Seats</v>
      </c>
      <c r="F1846" t="s">
        <v>9</v>
      </c>
    </row>
    <row r="1847" spans="1:6" ht="12.75">
      <c r="A1847">
        <v>5383399</v>
      </c>
      <c r="B1847">
        <v>5383339</v>
      </c>
      <c r="C1847" t="s">
        <v>8</v>
      </c>
      <c r="D1847" t="s">
        <v>8</v>
      </c>
      <c r="E1847" s="2" t="str">
        <f>HYPERLINK("https://ibp.a2mac1.com/costing(costing:projects/details/8191/assembly/5383399)","Driver")</f>
        <v>Driver</v>
      </c>
      <c r="F1847" t="s">
        <v>2686</v>
      </c>
    </row>
    <row r="1848" spans="1:6" ht="12.75">
      <c r="A1848">
        <v>5383530</v>
      </c>
      <c r="B1848">
        <v>5383399</v>
      </c>
      <c r="C1848" t="s">
        <v>8</v>
      </c>
      <c r="D1848" t="s">
        <v>8</v>
      </c>
      <c r="E1848" s="2" t="str">
        <f>HYPERLINK("https://ibp.a2mac1.com/costing(costing:projects/details/8191/assembly/5383530)","Head Rest")</f>
        <v>Head Rest</v>
      </c>
      <c r="F1848" t="s">
        <v>2687</v>
      </c>
    </row>
    <row r="1849" spans="1:6" ht="12.75">
      <c r="A1849">
        <v>5383621</v>
      </c>
      <c r="B1849">
        <v>5383530</v>
      </c>
      <c r="C1849" t="s">
        <v>12</v>
      </c>
      <c r="D1849" t="s">
        <v>8</v>
      </c>
      <c r="E1849" s="2" t="str">
        <f>HYPERLINK("https://ibp.a2mac1.com/costing(costing:projects/details/8191/part/5383621)","Cover")</f>
        <v>Cover</v>
      </c>
      <c r="F1849" t="s">
        <v>2688</v>
      </c>
    </row>
    <row r="1850" spans="1:6" ht="12.75">
      <c r="A1850">
        <v>6972073</v>
      </c>
      <c r="B1850">
        <v>5383621</v>
      </c>
      <c r="C1850" t="s">
        <v>99</v>
      </c>
      <c r="D1850" t="s">
        <v>12</v>
      </c>
      <c r="E1850" s="2" t="str">
        <f>HYPERLINK("https://ibp.a2mac1.com/costing(costing:projects/details/8191/process/6972073)","Cutting")</f>
        <v>Cutting</v>
      </c>
      <c r="F1850" t="s">
        <v>2689</v>
      </c>
    </row>
    <row r="1851" spans="1:6" ht="12.75">
      <c r="A1851">
        <v>5316831</v>
      </c>
      <c r="B1851">
        <v>6972073</v>
      </c>
      <c r="C1851" t="s">
        <v>24</v>
      </c>
      <c r="D1851" t="s">
        <v>99</v>
      </c>
      <c r="E1851" s="2" t="str">
        <f>HYPERLINK("https://ibp.a2mac1.com/costing(costing:projects/details/8191/material/5316831)","Mix Vinyl (80%)")</f>
        <v>Mix Vinyl (80%)</v>
      </c>
      <c r="F1851" t="s">
        <v>2694</v>
      </c>
    </row>
    <row r="1852" spans="1:6" ht="12.75">
      <c r="A1852">
        <v>6944565</v>
      </c>
      <c r="B1852">
        <v>6972073</v>
      </c>
      <c r="C1852" t="s">
        <v>189</v>
      </c>
      <c r="D1852" t="s">
        <v>99</v>
      </c>
      <c r="E1852" s="2" t="str">
        <f>HYPERLINK("https://ibp.a2mac1.com/costing(costing:projects/details/8191/equipment/6944565)","No.01 - Fabric Cutting")</f>
        <v>No.01 - Fabric Cutting</v>
      </c>
      <c r="F1852" t="s">
        <v>2694</v>
      </c>
    </row>
    <row r="1853" spans="1:6" ht="12.75">
      <c r="A1853">
        <v>6972074</v>
      </c>
      <c r="B1853">
        <v>5383621</v>
      </c>
      <c r="C1853" t="s">
        <v>99</v>
      </c>
      <c r="D1853" t="s">
        <v>12</v>
      </c>
      <c r="E1853" s="2" t="str">
        <f>HYPERLINK("https://ibp.a2mac1.com/costing(costing:projects/details/8191/process/6972074)","Sewing")</f>
        <v>Sewing</v>
      </c>
      <c r="F1853" t="s">
        <v>2689</v>
      </c>
    </row>
    <row r="1854" spans="1:6" ht="12.75">
      <c r="A1854">
        <v>6944566</v>
      </c>
      <c r="B1854">
        <v>6972074</v>
      </c>
      <c r="C1854" t="s">
        <v>189</v>
      </c>
      <c r="D1854" t="s">
        <v>99</v>
      </c>
      <c r="E1854" s="2" t="str">
        <f>HYPERLINK("https://ibp.a2mac1.com/costing(costing:projects/details/8191/equipment/6944566)","No.02 - Fabric Sewing")</f>
        <v>No.02 - Fabric Sewing</v>
      </c>
      <c r="F1854" t="s">
        <v>2696</v>
      </c>
    </row>
    <row r="1855" spans="1:6" ht="12.75">
      <c r="A1855">
        <v>5383622</v>
      </c>
      <c r="B1855">
        <v>5383530</v>
      </c>
      <c r="C1855" t="s">
        <v>12</v>
      </c>
      <c r="D1855" t="s">
        <v>8</v>
      </c>
      <c r="E1855" s="2" t="str">
        <f>HYPERLINK("https://ibp.a2mac1.com/costing(costing:projects/details/8191/part/5383622)","Padding")</f>
        <v>Padding</v>
      </c>
      <c r="F1855" t="s">
        <v>2688</v>
      </c>
    </row>
    <row r="1856" spans="1:6" ht="12.75">
      <c r="A1856">
        <v>6972075</v>
      </c>
      <c r="B1856">
        <v>5383622</v>
      </c>
      <c r="C1856" t="s">
        <v>99</v>
      </c>
      <c r="D1856" t="s">
        <v>12</v>
      </c>
      <c r="E1856" s="2" t="str">
        <f>HYPERLINK("https://ibp.a2mac1.com/costing(costing:projects/details/8191/process/6972075)","Automated Process")</f>
        <v>Automated Process</v>
      </c>
      <c r="F1856" t="s">
        <v>2699</v>
      </c>
    </row>
    <row r="1857" spans="1:6" ht="12.75">
      <c r="A1857">
        <v>5316832</v>
      </c>
      <c r="B1857">
        <v>6972075</v>
      </c>
      <c r="C1857" t="s">
        <v>24</v>
      </c>
      <c r="D1857" t="s">
        <v>99</v>
      </c>
      <c r="E1857" s="2" t="str">
        <f>HYPERLINK("https://ibp.a2mac1.com/costing(costing:projects/details/8191/material/5316832)","PUR")</f>
        <v>PUR</v>
      </c>
      <c r="F1857" t="s">
        <v>2702</v>
      </c>
    </row>
    <row r="1858" spans="1:6" ht="12.75">
      <c r="A1858">
        <v>6944567</v>
      </c>
      <c r="B1858">
        <v>6972075</v>
      </c>
      <c r="C1858" t="s">
        <v>189</v>
      </c>
      <c r="D1858" t="s">
        <v>99</v>
      </c>
      <c r="E1858" s="2" t="str">
        <f>HYPERLINK("https://ibp.a2mac1.com/costing(costing:projects/details/8191/equipment/6944567)","Equipment (Injection Molding)")</f>
        <v>Equipment (Injection Molding)</v>
      </c>
      <c r="F1858" t="s">
        <v>2702</v>
      </c>
    </row>
    <row r="1859" spans="1:6" ht="12.75">
      <c r="A1859">
        <v>5383623</v>
      </c>
      <c r="B1859">
        <v>5383530</v>
      </c>
      <c r="C1859" t="s">
        <v>12</v>
      </c>
      <c r="D1859" t="s">
        <v>8</v>
      </c>
      <c r="E1859" s="2" t="str">
        <f>HYPERLINK("https://ibp.a2mac1.com/costing(costing:projects/details/8191/part/5383623)","Frame / Reinforcement Mechanism")</f>
        <v>Frame / Reinforcement Mechanism</v>
      </c>
      <c r="F1859" t="s">
        <v>2688</v>
      </c>
    </row>
    <row r="1860" spans="1:6" ht="12.75">
      <c r="A1860">
        <v>6972076</v>
      </c>
      <c r="B1860">
        <v>5383623</v>
      </c>
      <c r="C1860" t="s">
        <v>99</v>
      </c>
      <c r="D1860" t="s">
        <v>12</v>
      </c>
      <c r="E1860" s="2" t="str">
        <f>HYPERLINK("https://ibp.a2mac1.com/costing(costing:projects/details/8191/process/6972076)","Automated Process ")</f>
        <v xml:space="preserve">Automated Process </v>
      </c>
      <c r="F1860" t="s">
        <v>2705</v>
      </c>
    </row>
    <row r="1861" spans="1:6" ht="12.75">
      <c r="A1861">
        <v>5316833</v>
      </c>
      <c r="B1861">
        <v>6972076</v>
      </c>
      <c r="C1861" t="s">
        <v>24</v>
      </c>
      <c r="D1861" t="s">
        <v>99</v>
      </c>
      <c r="E1861" s="2" t="str">
        <f>HYPERLINK("https://ibp.a2mac1.com/costing(costing:projects/details/8191/material/5316833)","HDPE")</f>
        <v>HDPE</v>
      </c>
      <c r="F1861" t="s">
        <v>2708</v>
      </c>
    </row>
    <row r="1862" spans="1:6" ht="12.75">
      <c r="A1862">
        <v>5316834</v>
      </c>
      <c r="B1862">
        <v>6972076</v>
      </c>
      <c r="C1862" t="s">
        <v>24</v>
      </c>
      <c r="D1862" t="s">
        <v>99</v>
      </c>
      <c r="E1862" s="2" t="str">
        <f>HYPERLINK("https://ibp.a2mac1.com/costing(costing:projects/details/8191/material/5316834)","Steel Tube (default, chromed)")</f>
        <v>Steel Tube (default, chromed)</v>
      </c>
      <c r="F1862" t="s">
        <v>2708</v>
      </c>
    </row>
    <row r="1863" spans="1:6" ht="12.75">
      <c r="A1863">
        <v>6944568</v>
      </c>
      <c r="B1863">
        <v>6972076</v>
      </c>
      <c r="C1863" t="s">
        <v>189</v>
      </c>
      <c r="D1863" t="s">
        <v>99</v>
      </c>
      <c r="E1863" s="2" t="str">
        <f>HYPERLINK("https://ibp.a2mac1.com/costing(costing:projects/details/8191/equipment/6944568)","Equipment")</f>
        <v>Equipment</v>
      </c>
      <c r="F1863" t="s">
        <v>2708</v>
      </c>
    </row>
    <row r="1864" spans="1:6" ht="12.75">
      <c r="A1864">
        <v>5383531</v>
      </c>
      <c r="B1864">
        <v>5383399</v>
      </c>
      <c r="C1864" t="s">
        <v>8</v>
      </c>
      <c r="D1864" t="s">
        <v>8</v>
      </c>
      <c r="E1864" s="2" t="str">
        <f>HYPERLINK("https://ibp.a2mac1.com/costing(costing:projects/details/8191/assembly/5383531)","Back")</f>
        <v>Back</v>
      </c>
      <c r="F1864" t="s">
        <v>2687</v>
      </c>
    </row>
    <row r="1865" spans="1:6" ht="12.75">
      <c r="A1865">
        <v>5383628</v>
      </c>
      <c r="B1865">
        <v>5383531</v>
      </c>
      <c r="C1865" t="s">
        <v>8</v>
      </c>
      <c r="D1865" t="s">
        <v>8</v>
      </c>
      <c r="E1865" s="2" t="str">
        <f>HYPERLINK("https://ibp.a2mac1.com/costing(costing:projects/details/8191/assembly/5383628)","Armrest System")</f>
        <v>Armrest System</v>
      </c>
      <c r="F1865" t="s">
        <v>2713</v>
      </c>
    </row>
    <row r="1866" spans="1:6" ht="12.75">
      <c r="A1866">
        <v>5383883</v>
      </c>
      <c r="B1866">
        <v>5383628</v>
      </c>
      <c r="C1866" t="s">
        <v>12</v>
      </c>
      <c r="D1866" t="s">
        <v>8</v>
      </c>
      <c r="E1866" s="2" t="str">
        <f>HYPERLINK("https://ibp.a2mac1.com/costing(costing:projects/details/8191/part/5383883)","Cover")</f>
        <v>Cover</v>
      </c>
      <c r="F1866" t="s">
        <v>2714</v>
      </c>
    </row>
    <row r="1867" spans="1:6" ht="12.75">
      <c r="A1867">
        <v>6972162</v>
      </c>
      <c r="B1867">
        <v>5383883</v>
      </c>
      <c r="C1867" t="s">
        <v>99</v>
      </c>
      <c r="D1867" t="s">
        <v>12</v>
      </c>
      <c r="E1867" s="2" t="str">
        <f>HYPERLINK("https://ibp.a2mac1.com/costing(costing:projects/details/8191/process/6972162)","Cutting")</f>
        <v>Cutting</v>
      </c>
      <c r="F1867" t="s">
        <v>2715</v>
      </c>
    </row>
    <row r="1868" spans="1:6" ht="12.75">
      <c r="A1868">
        <v>5317037</v>
      </c>
      <c r="B1868">
        <v>6972162</v>
      </c>
      <c r="C1868" t="s">
        <v>24</v>
      </c>
      <c r="D1868" t="s">
        <v>99</v>
      </c>
      <c r="E1868" s="2" t="str">
        <f>HYPERLINK("https://ibp.a2mac1.com/costing(costing:projects/details/8191/material/5317037)","Mix Vinyl (80%)")</f>
        <v>Mix Vinyl (80%)</v>
      </c>
      <c r="F1868" t="s">
        <v>2717</v>
      </c>
    </row>
    <row r="1869" spans="1:6" ht="12.75">
      <c r="A1869">
        <v>6944657</v>
      </c>
      <c r="B1869">
        <v>6972162</v>
      </c>
      <c r="C1869" t="s">
        <v>189</v>
      </c>
      <c r="D1869" t="s">
        <v>99</v>
      </c>
      <c r="E1869" s="2" t="str">
        <f>HYPERLINK("https://ibp.a2mac1.com/costing(costing:projects/details/8191/equipment/6944657)","No.01 - Fabric Cutting")</f>
        <v>No.01 - Fabric Cutting</v>
      </c>
      <c r="F1869" t="s">
        <v>2717</v>
      </c>
    </row>
    <row r="1870" spans="1:6" ht="12.75">
      <c r="A1870">
        <v>6972163</v>
      </c>
      <c r="B1870">
        <v>5383883</v>
      </c>
      <c r="C1870" t="s">
        <v>99</v>
      </c>
      <c r="D1870" t="s">
        <v>12</v>
      </c>
      <c r="E1870" s="2" t="str">
        <f>HYPERLINK("https://ibp.a2mac1.com/costing(costing:projects/details/8191/process/6972163)","Sewing")</f>
        <v>Sewing</v>
      </c>
      <c r="F1870" t="s">
        <v>2715</v>
      </c>
    </row>
    <row r="1871" spans="1:6" ht="12.75">
      <c r="A1871">
        <v>6944658</v>
      </c>
      <c r="B1871">
        <v>6972163</v>
      </c>
      <c r="C1871" t="s">
        <v>189</v>
      </c>
      <c r="D1871" t="s">
        <v>99</v>
      </c>
      <c r="E1871" s="2" t="str">
        <f>HYPERLINK("https://ibp.a2mac1.com/costing(costing:projects/details/8191/equipment/6944658)","No.02 - Fabric Sewing")</f>
        <v>No.02 - Fabric Sewing</v>
      </c>
      <c r="F1871" t="s">
        <v>2718</v>
      </c>
    </row>
    <row r="1872" spans="1:6" ht="12.75">
      <c r="A1872">
        <v>5383884</v>
      </c>
      <c r="B1872">
        <v>5383628</v>
      </c>
      <c r="C1872" t="s">
        <v>12</v>
      </c>
      <c r="D1872" t="s">
        <v>8</v>
      </c>
      <c r="E1872" s="2" t="str">
        <f>HYPERLINK("https://ibp.a2mac1.com/costing(costing:projects/details/8191/part/5383884)","Pad")</f>
        <v>Pad</v>
      </c>
      <c r="F1872" t="s">
        <v>2714</v>
      </c>
    </row>
    <row r="1873" spans="1:6" ht="12.75">
      <c r="A1873">
        <v>6972164</v>
      </c>
      <c r="B1873">
        <v>5383884</v>
      </c>
      <c r="C1873" t="s">
        <v>99</v>
      </c>
      <c r="D1873" t="s">
        <v>12</v>
      </c>
      <c r="E1873" s="2" t="str">
        <f>HYPERLINK("https://ibp.a2mac1.com/costing(costing:projects/details/8191/process/6972164)","Automated Process")</f>
        <v>Automated Process</v>
      </c>
      <c r="F1873" t="s">
        <v>2720</v>
      </c>
    </row>
    <row r="1874" spans="1:6" ht="12.75">
      <c r="A1874">
        <v>5317038</v>
      </c>
      <c r="B1874">
        <v>6972164</v>
      </c>
      <c r="C1874" t="s">
        <v>24</v>
      </c>
      <c r="D1874" t="s">
        <v>99</v>
      </c>
      <c r="E1874" s="2" t="str">
        <f>HYPERLINK("https://ibp.a2mac1.com/costing(costing:projects/details/8191/material/5317038)","PUR")</f>
        <v>PUR</v>
      </c>
      <c r="F1874" t="s">
        <v>2722</v>
      </c>
    </row>
    <row r="1875" spans="1:6" ht="12.75">
      <c r="A1875">
        <v>6944659</v>
      </c>
      <c r="B1875">
        <v>6972164</v>
      </c>
      <c r="C1875" t="s">
        <v>189</v>
      </c>
      <c r="D1875" t="s">
        <v>99</v>
      </c>
      <c r="E1875" s="2" t="str">
        <f>HYPERLINK("https://ibp.a2mac1.com/costing(costing:projects/details/8191/equipment/6944659)","Equipment (Injection Molding)")</f>
        <v>Equipment (Injection Molding)</v>
      </c>
      <c r="F1875" t="s">
        <v>2722</v>
      </c>
    </row>
    <row r="1876" spans="1:6" ht="12.75">
      <c r="A1876">
        <v>5383885</v>
      </c>
      <c r="B1876">
        <v>5383628</v>
      </c>
      <c r="C1876" t="s">
        <v>12</v>
      </c>
      <c r="D1876" t="s">
        <v>8</v>
      </c>
      <c r="E1876" s="2" t="str">
        <f>HYPERLINK("https://ibp.a2mac1.com/costing(costing:projects/details/8191/part/5383885)","Frame")</f>
        <v>Frame</v>
      </c>
      <c r="F1876" t="s">
        <v>2714</v>
      </c>
    </row>
    <row r="1877" spans="1:6" ht="12.75">
      <c r="A1877">
        <v>6972165</v>
      </c>
      <c r="B1877">
        <v>5383885</v>
      </c>
      <c r="C1877" t="s">
        <v>99</v>
      </c>
      <c r="D1877" t="s">
        <v>12</v>
      </c>
      <c r="E1877" s="2" t="str">
        <f>HYPERLINK("https://ibp.a2mac1.com/costing(costing:projects/details/8191/process/6972165)","Automated Process")</f>
        <v>Automated Process</v>
      </c>
      <c r="F1877" t="s">
        <v>2724</v>
      </c>
    </row>
    <row r="1878" spans="1:6" ht="12.75">
      <c r="A1878">
        <v>5317039</v>
      </c>
      <c r="B1878">
        <v>6972165</v>
      </c>
      <c r="C1878" t="s">
        <v>24</v>
      </c>
      <c r="D1878" t="s">
        <v>99</v>
      </c>
      <c r="E1878" s="2" t="str">
        <f>HYPERLINK("https://ibp.a2mac1.com/costing(costing:projects/details/8191/material/5317039)","PA6")</f>
        <v>PA6</v>
      </c>
      <c r="F1878" t="s">
        <v>2727</v>
      </c>
    </row>
    <row r="1879" spans="1:6" ht="12.75">
      <c r="A1879">
        <v>6944660</v>
      </c>
      <c r="B1879">
        <v>6972165</v>
      </c>
      <c r="C1879" t="s">
        <v>189</v>
      </c>
      <c r="D1879" t="s">
        <v>99</v>
      </c>
      <c r="E1879" s="2" t="str">
        <f>HYPERLINK("https://ibp.a2mac1.com/costing(costing:projects/details/8191/equipment/6944660)","Equipment (Injection Molding)")</f>
        <v>Equipment (Injection Molding)</v>
      </c>
      <c r="F1879" t="s">
        <v>2727</v>
      </c>
    </row>
    <row r="1880" spans="1:6" ht="12.75">
      <c r="A1880">
        <v>5316843</v>
      </c>
      <c r="B1880">
        <v>5383885</v>
      </c>
      <c r="C1880" t="s">
        <v>574</v>
      </c>
      <c r="D1880" t="s">
        <v>12</v>
      </c>
      <c r="E1880" s="2" t="str">
        <f>HYPERLINK("https://ibp.a2mac1.com/costing(costing:projects/details/8191/component/5316843)","Spacer / bushing / washer; steel; &gt;5g")</f>
        <v>Spacer / bushing / washer; steel; &gt;5g</v>
      </c>
      <c r="F1880" t="s">
        <v>2724</v>
      </c>
    </row>
    <row r="1881" spans="1:6" ht="12.75">
      <c r="A1881">
        <v>5383886</v>
      </c>
      <c r="B1881">
        <v>5383628</v>
      </c>
      <c r="C1881" t="s">
        <v>12</v>
      </c>
      <c r="D1881" t="s">
        <v>8</v>
      </c>
      <c r="E1881" s="2" t="str">
        <f>HYPERLINK("https://ibp.a2mac1.com/costing(costing:projects/details/8191/part/5383886)","Armrest Inner Trim")</f>
        <v>Armrest Inner Trim</v>
      </c>
      <c r="F1881" t="s">
        <v>2714</v>
      </c>
    </row>
    <row r="1882" spans="1:6" ht="12.75">
      <c r="A1882">
        <v>6972166</v>
      </c>
      <c r="B1882">
        <v>5383886</v>
      </c>
      <c r="C1882" t="s">
        <v>99</v>
      </c>
      <c r="D1882" t="s">
        <v>12</v>
      </c>
      <c r="E1882" s="2" t="str">
        <f>HYPERLINK("https://ibp.a2mac1.com/costing(costing:projects/details/8191/process/6972166)","Automated Process")</f>
        <v>Automated Process</v>
      </c>
      <c r="F1882" t="s">
        <v>2732</v>
      </c>
    </row>
    <row r="1883" spans="1:6" ht="12.75">
      <c r="A1883">
        <v>5317040</v>
      </c>
      <c r="B1883">
        <v>6972166</v>
      </c>
      <c r="C1883" t="s">
        <v>24</v>
      </c>
      <c r="D1883" t="s">
        <v>99</v>
      </c>
      <c r="E1883" s="2" t="str">
        <f>HYPERLINK("https://ibp.a2mac1.com/costing(costing:projects/details/8191/material/5317040)","PC-ABS")</f>
        <v>PC-ABS</v>
      </c>
      <c r="F1883" t="s">
        <v>2734</v>
      </c>
    </row>
    <row r="1884" spans="1:6" ht="12.75">
      <c r="A1884">
        <v>6944661</v>
      </c>
      <c r="B1884">
        <v>6972166</v>
      </c>
      <c r="C1884" t="s">
        <v>189</v>
      </c>
      <c r="D1884" t="s">
        <v>99</v>
      </c>
      <c r="E1884" s="2" t="str">
        <f>HYPERLINK("https://ibp.a2mac1.com/costing(costing:projects/details/8191/equipment/6944661)","Equipment (Injection Molding)")</f>
        <v>Equipment (Injection Molding)</v>
      </c>
      <c r="F1884" t="s">
        <v>2734</v>
      </c>
    </row>
    <row r="1885" spans="1:6" ht="12.75">
      <c r="A1885">
        <v>5316844</v>
      </c>
      <c r="B1885">
        <v>5383886</v>
      </c>
      <c r="C1885" t="s">
        <v>574</v>
      </c>
      <c r="D1885" t="s">
        <v>12</v>
      </c>
      <c r="E1885" s="2" t="str">
        <f>HYPERLINK("https://ibp.a2mac1.com/costing(costing:projects/details/8191/component/5316844)","Spacer / bushing / washer; steel; &gt;5g")</f>
        <v>Spacer / bushing / washer; steel; &gt;5g</v>
      </c>
      <c r="F1885" t="s">
        <v>2732</v>
      </c>
    </row>
    <row r="1886" spans="1:6" ht="12.75">
      <c r="A1886">
        <v>5383887</v>
      </c>
      <c r="B1886">
        <v>5383628</v>
      </c>
      <c r="C1886" t="s">
        <v>12</v>
      </c>
      <c r="D1886" t="s">
        <v>8</v>
      </c>
      <c r="E1886" s="2" t="str">
        <f>HYPERLINK("https://ibp.a2mac1.com/costing(costing:projects/details/8191/part/5383887)","Armrest Adjuster Shaft")</f>
        <v>Armrest Adjuster Shaft</v>
      </c>
      <c r="F1886" t="s">
        <v>2714</v>
      </c>
    </row>
    <row r="1887" spans="1:6" ht="12.75">
      <c r="A1887">
        <v>6972167</v>
      </c>
      <c r="B1887">
        <v>5383887</v>
      </c>
      <c r="C1887" t="s">
        <v>99</v>
      </c>
      <c r="D1887" t="s">
        <v>12</v>
      </c>
      <c r="E1887" s="2" t="str">
        <f>HYPERLINK("https://ibp.a2mac1.com/costing(costing:projects/details/8191/process/6972167)","Automated Process")</f>
        <v>Automated Process</v>
      </c>
      <c r="F1887" t="s">
        <v>2736</v>
      </c>
    </row>
    <row r="1888" spans="1:6" ht="12.75">
      <c r="A1888">
        <v>5317041</v>
      </c>
      <c r="B1888">
        <v>6972167</v>
      </c>
      <c r="C1888" t="s">
        <v>24</v>
      </c>
      <c r="D1888" t="s">
        <v>99</v>
      </c>
      <c r="E1888" s="2" t="str">
        <f>HYPERLINK("https://ibp.a2mac1.com/costing(costing:projects/details/8191/material/5317041)","PA6")</f>
        <v>PA6</v>
      </c>
      <c r="F1888" t="s">
        <v>2739</v>
      </c>
    </row>
    <row r="1889" spans="1:6" ht="12.75">
      <c r="A1889">
        <v>6944662</v>
      </c>
      <c r="B1889">
        <v>6972167</v>
      </c>
      <c r="C1889" t="s">
        <v>189</v>
      </c>
      <c r="D1889" t="s">
        <v>99</v>
      </c>
      <c r="E1889" s="2" t="str">
        <f>HYPERLINK("https://ibp.a2mac1.com/costing(costing:projects/details/8191/equipment/6944662)","Equipment (Injection Molding)")</f>
        <v>Equipment (Injection Molding)</v>
      </c>
      <c r="F1889" t="s">
        <v>2739</v>
      </c>
    </row>
    <row r="1890" spans="1:6" ht="12.75">
      <c r="A1890">
        <v>5383888</v>
      </c>
      <c r="B1890">
        <v>5383628</v>
      </c>
      <c r="C1890" t="s">
        <v>12</v>
      </c>
      <c r="D1890" t="s">
        <v>8</v>
      </c>
      <c r="E1890" s="2" t="str">
        <f>HYPERLINK("https://ibp.a2mac1.com/costing(costing:projects/details/8191/part/5383888)","Fastener Cover")</f>
        <v>Fastener Cover</v>
      </c>
      <c r="F1890" t="s">
        <v>2714</v>
      </c>
    </row>
    <row r="1891" spans="1:6" ht="12.75">
      <c r="A1891">
        <v>6972168</v>
      </c>
      <c r="B1891">
        <v>5383888</v>
      </c>
      <c r="C1891" t="s">
        <v>99</v>
      </c>
      <c r="D1891" t="s">
        <v>12</v>
      </c>
      <c r="E1891" s="2" t="str">
        <f>HYPERLINK("https://ibp.a2mac1.com/costing(costing:projects/details/8191/process/6972168)","Automated Process")</f>
        <v>Automated Process</v>
      </c>
      <c r="F1891" t="s">
        <v>2742</v>
      </c>
    </row>
    <row r="1892" spans="1:6" ht="12.75">
      <c r="A1892">
        <v>5317042</v>
      </c>
      <c r="B1892">
        <v>6972168</v>
      </c>
      <c r="C1892" t="s">
        <v>24</v>
      </c>
      <c r="D1892" t="s">
        <v>99</v>
      </c>
      <c r="E1892" s="2" t="str">
        <f>HYPERLINK("https://ibp.a2mac1.com/costing(costing:projects/details/8191/material/5317042)","PA6")</f>
        <v>PA6</v>
      </c>
      <c r="F1892" t="s">
        <v>2745</v>
      </c>
    </row>
    <row r="1893" spans="1:6" ht="12.75">
      <c r="A1893">
        <v>6944663</v>
      </c>
      <c r="B1893">
        <v>6972168</v>
      </c>
      <c r="C1893" t="s">
        <v>189</v>
      </c>
      <c r="D1893" t="s">
        <v>99</v>
      </c>
      <c r="E1893" s="2" t="str">
        <f>HYPERLINK("https://ibp.a2mac1.com/costing(costing:projects/details/8191/equipment/6944663)","Equipment (Injection Molding)")</f>
        <v>Equipment (Injection Molding)</v>
      </c>
      <c r="F1893" t="s">
        <v>2745</v>
      </c>
    </row>
    <row r="1894" spans="1:6" ht="12.75">
      <c r="A1894">
        <v>5316647</v>
      </c>
      <c r="B1894">
        <v>5383628</v>
      </c>
      <c r="C1894" t="s">
        <v>574</v>
      </c>
      <c r="D1894" t="s">
        <v>8</v>
      </c>
      <c r="E1894" s="2" t="str">
        <f>HYPERLINK("https://ibp.a2mac1.com/costing(costing:projects/details/8191/component/5316647)","Screw &gt; 12 point socket head cap screw")</f>
        <v>Screw &gt; 12 point socket head cap screw</v>
      </c>
      <c r="F1894" t="s">
        <v>2714</v>
      </c>
    </row>
    <row r="1895" spans="1:6" ht="12.75">
      <c r="A1895">
        <v>5316648</v>
      </c>
      <c r="B1895">
        <v>5383628</v>
      </c>
      <c r="C1895" t="s">
        <v>574</v>
      </c>
      <c r="D1895" t="s">
        <v>8</v>
      </c>
      <c r="E1895" s="2" t="str">
        <f>HYPERLINK("https://ibp.a2mac1.com/costing(costing:projects/details/8191/component/5316648)","Screw &gt; Various shape screw with flange")</f>
        <v>Screw &gt; Various shape screw with flange</v>
      </c>
      <c r="F1895" t="s">
        <v>2714</v>
      </c>
    </row>
    <row r="1896" spans="1:6" ht="12.75">
      <c r="A1896">
        <v>5383629</v>
      </c>
      <c r="B1896">
        <v>5383531</v>
      </c>
      <c r="C1896" t="s">
        <v>8</v>
      </c>
      <c r="D1896" t="s">
        <v>8</v>
      </c>
      <c r="E1896" s="2" t="str">
        <f>HYPERLINK("https://ibp.a2mac1.com/costing(costing:projects/details/8191/assembly/5383629)","Head Rest Support Bracket")</f>
        <v>Head Rest Support Bracket</v>
      </c>
      <c r="F1896" t="s">
        <v>2713</v>
      </c>
    </row>
    <row r="1897" spans="1:6" ht="12.75">
      <c r="A1897">
        <v>5383889</v>
      </c>
      <c r="B1897">
        <v>5383629</v>
      </c>
      <c r="C1897" t="s">
        <v>12</v>
      </c>
      <c r="D1897" t="s">
        <v>8</v>
      </c>
      <c r="E1897" s="2" t="str">
        <f>HYPERLINK("https://ibp.a2mac1.com/costing(costing:projects/details/8191/part/5383889)","Lock Support")</f>
        <v>Lock Support</v>
      </c>
      <c r="F1897" t="s">
        <v>2748</v>
      </c>
    </row>
    <row r="1898" spans="1:6" ht="12.75">
      <c r="A1898">
        <v>6972169</v>
      </c>
      <c r="B1898">
        <v>5383889</v>
      </c>
      <c r="C1898" t="s">
        <v>99</v>
      </c>
      <c r="D1898" t="s">
        <v>12</v>
      </c>
      <c r="E1898" s="2" t="str">
        <f>HYPERLINK("https://ibp.a2mac1.com/costing(costing:projects/details/8191/process/6972169)","Automated Process")</f>
        <v>Automated Process</v>
      </c>
      <c r="F1898" t="s">
        <v>2749</v>
      </c>
    </row>
    <row r="1899" spans="1:6" ht="12.75">
      <c r="A1899">
        <v>5317043</v>
      </c>
      <c r="B1899">
        <v>6972169</v>
      </c>
      <c r="C1899" t="s">
        <v>24</v>
      </c>
      <c r="D1899" t="s">
        <v>99</v>
      </c>
      <c r="E1899" s="2" t="str">
        <f>HYPERLINK("https://ibp.a2mac1.com/costing(costing:projects/details/8191/material/5317043)","PP-PE")</f>
        <v>PP-PE</v>
      </c>
      <c r="F1899" t="s">
        <v>2752</v>
      </c>
    </row>
    <row r="1900" spans="1:6" ht="12.75">
      <c r="A1900">
        <v>6944664</v>
      </c>
      <c r="B1900">
        <v>6972169</v>
      </c>
      <c r="C1900" t="s">
        <v>189</v>
      </c>
      <c r="D1900" t="s">
        <v>99</v>
      </c>
      <c r="E1900" s="2" t="str">
        <f>HYPERLINK("https://ibp.a2mac1.com/costing(costing:projects/details/8191/equipment/6944664)","Equipment (Injection Molding)")</f>
        <v>Equipment (Injection Molding)</v>
      </c>
      <c r="F1900" t="s">
        <v>2752</v>
      </c>
    </row>
    <row r="1901" spans="1:6" ht="12.75">
      <c r="A1901">
        <v>5383890</v>
      </c>
      <c r="B1901">
        <v>5383629</v>
      </c>
      <c r="C1901" t="s">
        <v>12</v>
      </c>
      <c r="D1901" t="s">
        <v>8</v>
      </c>
      <c r="E1901" s="2" t="str">
        <f>HYPERLINK("https://ibp.a2mac1.com/costing(costing:projects/details/8191/part/5383890)","Simple Guide Support")</f>
        <v>Simple Guide Support</v>
      </c>
      <c r="F1901" t="s">
        <v>2748</v>
      </c>
    </row>
    <row r="1902" spans="1:6" ht="12.75">
      <c r="A1902">
        <v>6972170</v>
      </c>
      <c r="B1902">
        <v>5383890</v>
      </c>
      <c r="C1902" t="s">
        <v>99</v>
      </c>
      <c r="D1902" t="s">
        <v>12</v>
      </c>
      <c r="E1902" s="2" t="str">
        <f>HYPERLINK("https://ibp.a2mac1.com/costing(costing:projects/details/8191/process/6972170)","Automated Process")</f>
        <v>Automated Process</v>
      </c>
      <c r="F1902" t="s">
        <v>2754</v>
      </c>
    </row>
    <row r="1903" spans="1:6" ht="12.75">
      <c r="A1903">
        <v>5317044</v>
      </c>
      <c r="B1903">
        <v>6972170</v>
      </c>
      <c r="C1903" t="s">
        <v>24</v>
      </c>
      <c r="D1903" t="s">
        <v>99</v>
      </c>
      <c r="E1903" s="2" t="str">
        <f>HYPERLINK("https://ibp.a2mac1.com/costing(costing:projects/details/8191/material/5317044)","PP-PE")</f>
        <v>PP-PE</v>
      </c>
      <c r="F1903" t="s">
        <v>2757</v>
      </c>
    </row>
    <row r="1904" spans="1:6" ht="12.75">
      <c r="A1904">
        <v>6944665</v>
      </c>
      <c r="B1904">
        <v>6972170</v>
      </c>
      <c r="C1904" t="s">
        <v>189</v>
      </c>
      <c r="D1904" t="s">
        <v>99</v>
      </c>
      <c r="E1904" s="2" t="str">
        <f>HYPERLINK("https://ibp.a2mac1.com/costing(costing:projects/details/8191/equipment/6944665)","Equipment (Injection Molding)")</f>
        <v>Equipment (Injection Molding)</v>
      </c>
      <c r="F1904" t="s">
        <v>2757</v>
      </c>
    </row>
    <row r="1905" spans="1:6" ht="12.75">
      <c r="A1905">
        <v>5383624</v>
      </c>
      <c r="B1905">
        <v>5383531</v>
      </c>
      <c r="C1905" t="s">
        <v>12</v>
      </c>
      <c r="D1905" t="s">
        <v>8</v>
      </c>
      <c r="E1905" s="2" t="str">
        <f>HYPERLINK("https://ibp.a2mac1.com/costing(costing:projects/details/8191/part/5383624)","Cover")</f>
        <v>Cover</v>
      </c>
      <c r="F1905" t="s">
        <v>2713</v>
      </c>
    </row>
    <row r="1906" spans="1:6" ht="12.75">
      <c r="A1906">
        <v>6972077</v>
      </c>
      <c r="B1906">
        <v>5383624</v>
      </c>
      <c r="C1906" t="s">
        <v>99</v>
      </c>
      <c r="D1906" t="s">
        <v>12</v>
      </c>
      <c r="E1906" s="2" t="str">
        <f>HYPERLINK("https://ibp.a2mac1.com/costing(costing:projects/details/8191/process/6972077)","Cutting")</f>
        <v>Cutting</v>
      </c>
      <c r="F1906" t="s">
        <v>2760</v>
      </c>
    </row>
    <row r="1907" spans="1:6" ht="12.75">
      <c r="A1907">
        <v>5316835</v>
      </c>
      <c r="B1907">
        <v>6972077</v>
      </c>
      <c r="C1907" t="s">
        <v>24</v>
      </c>
      <c r="D1907" t="s">
        <v>99</v>
      </c>
      <c r="E1907" s="2" t="str">
        <f>HYPERLINK("https://ibp.a2mac1.com/costing(costing:projects/details/8191/material/5316835)","Fabric")</f>
        <v>Fabric</v>
      </c>
      <c r="F1907" t="s">
        <v>2763</v>
      </c>
    </row>
    <row r="1908" spans="1:6" ht="12.75">
      <c r="A1908">
        <v>5316836</v>
      </c>
      <c r="B1908">
        <v>6972077</v>
      </c>
      <c r="C1908" t="s">
        <v>24</v>
      </c>
      <c r="D1908" t="s">
        <v>99</v>
      </c>
      <c r="E1908" s="2" t="str">
        <f>HYPERLINK("https://ibp.a2mac1.com/costing(costing:projects/details/8191/material/5316836)","Vinyl Perforated")</f>
        <v>Vinyl Perforated</v>
      </c>
      <c r="F1908" t="s">
        <v>2763</v>
      </c>
    </row>
    <row r="1909" spans="1:6" ht="12.75">
      <c r="A1909">
        <v>5316837</v>
      </c>
      <c r="B1909">
        <v>6972077</v>
      </c>
      <c r="C1909" t="s">
        <v>24</v>
      </c>
      <c r="D1909" t="s">
        <v>99</v>
      </c>
      <c r="E1909" s="2" t="str">
        <f>HYPERLINK("https://ibp.a2mac1.com/costing(costing:projects/details/8191/material/5316837)","Mix Vinyl (80%)")</f>
        <v>Mix Vinyl (80%)</v>
      </c>
      <c r="F1909" t="s">
        <v>2763</v>
      </c>
    </row>
    <row r="1910" spans="1:6" ht="12.75">
      <c r="A1910">
        <v>6944569</v>
      </c>
      <c r="B1910">
        <v>6972077</v>
      </c>
      <c r="C1910" t="s">
        <v>189</v>
      </c>
      <c r="D1910" t="s">
        <v>99</v>
      </c>
      <c r="E1910" s="2" t="str">
        <f>HYPERLINK("https://ibp.a2mac1.com/costing(costing:projects/details/8191/equipment/6944569)","No.01 - Fabric Cutting")</f>
        <v>No.01 - Fabric Cutting</v>
      </c>
      <c r="F1910" t="s">
        <v>2763</v>
      </c>
    </row>
    <row r="1911" spans="1:6" ht="12.75">
      <c r="A1911">
        <v>6972078</v>
      </c>
      <c r="B1911">
        <v>5383624</v>
      </c>
      <c r="C1911" t="s">
        <v>99</v>
      </c>
      <c r="D1911" t="s">
        <v>12</v>
      </c>
      <c r="E1911" s="2" t="str">
        <f>HYPERLINK("https://ibp.a2mac1.com/costing(costing:projects/details/8191/process/6972078)","Sewing")</f>
        <v>Sewing</v>
      </c>
      <c r="F1911" t="s">
        <v>2760</v>
      </c>
    </row>
    <row r="1912" spans="1:6" ht="12.75">
      <c r="A1912">
        <v>6944570</v>
      </c>
      <c r="B1912">
        <v>6972078</v>
      </c>
      <c r="C1912" t="s">
        <v>189</v>
      </c>
      <c r="D1912" t="s">
        <v>99</v>
      </c>
      <c r="E1912" s="2" t="str">
        <f>HYPERLINK("https://ibp.a2mac1.com/costing(costing:projects/details/8191/equipment/6944570)","No.02 - Fabric Sewing")</f>
        <v>No.02 - Fabric Sewing</v>
      </c>
      <c r="F1912" t="s">
        <v>2768</v>
      </c>
    </row>
    <row r="1913" spans="1:6" ht="12.75">
      <c r="A1913">
        <v>5383625</v>
      </c>
      <c r="B1913">
        <v>5383531</v>
      </c>
      <c r="C1913" t="s">
        <v>12</v>
      </c>
      <c r="D1913" t="s">
        <v>8</v>
      </c>
      <c r="E1913" s="2" t="str">
        <f>HYPERLINK("https://ibp.a2mac1.com/costing(costing:projects/details/8191/part/5383625)","Pad")</f>
        <v>Pad</v>
      </c>
      <c r="F1913" t="s">
        <v>2713</v>
      </c>
    </row>
    <row r="1914" spans="1:6" ht="12.75">
      <c r="A1914">
        <v>6972079</v>
      </c>
      <c r="B1914">
        <v>5383625</v>
      </c>
      <c r="C1914" t="s">
        <v>99</v>
      </c>
      <c r="D1914" t="s">
        <v>12</v>
      </c>
      <c r="E1914" s="2" t="str">
        <f>HYPERLINK("https://ibp.a2mac1.com/costing(costing:projects/details/8191/process/6972079)","Automated Process")</f>
        <v>Automated Process</v>
      </c>
      <c r="F1914" t="s">
        <v>2771</v>
      </c>
    </row>
    <row r="1915" spans="1:6" ht="12.75">
      <c r="A1915">
        <v>5316838</v>
      </c>
      <c r="B1915">
        <v>6972079</v>
      </c>
      <c r="C1915" t="s">
        <v>24</v>
      </c>
      <c r="D1915" t="s">
        <v>99</v>
      </c>
      <c r="E1915" s="2" t="str">
        <f>HYPERLINK("https://ibp.a2mac1.com/costing(costing:projects/details/8191/material/5316838)","PUR")</f>
        <v>PUR</v>
      </c>
      <c r="F1915" t="s">
        <v>2774</v>
      </c>
    </row>
    <row r="1916" spans="1:6" ht="12.75">
      <c r="A1916">
        <v>6944571</v>
      </c>
      <c r="B1916">
        <v>6972079</v>
      </c>
      <c r="C1916" t="s">
        <v>189</v>
      </c>
      <c r="D1916" t="s">
        <v>99</v>
      </c>
      <c r="E1916" s="2" t="str">
        <f>HYPERLINK("https://ibp.a2mac1.com/costing(costing:projects/details/8191/equipment/6944571)","Equipment (Injection Molding)")</f>
        <v>Equipment (Injection Molding)</v>
      </c>
      <c r="F1916" t="s">
        <v>2774</v>
      </c>
    </row>
    <row r="1917" spans="1:6" ht="12.75">
      <c r="A1917">
        <v>5383626</v>
      </c>
      <c r="B1917">
        <v>5383531</v>
      </c>
      <c r="C1917" t="s">
        <v>12</v>
      </c>
      <c r="D1917" t="s">
        <v>8</v>
      </c>
      <c r="E1917" s="2" t="str">
        <f>HYPERLINK("https://ibp.a2mac1.com/costing(costing:projects/details/8191/part/5383626)","Frame")</f>
        <v>Frame</v>
      </c>
      <c r="F1917" t="s">
        <v>2713</v>
      </c>
    </row>
    <row r="1918" spans="1:6" ht="12.75">
      <c r="A1918">
        <v>6972113</v>
      </c>
      <c r="B1918">
        <v>5383626</v>
      </c>
      <c r="C1918" t="s">
        <v>99</v>
      </c>
      <c r="D1918" t="s">
        <v>12</v>
      </c>
      <c r="E1918" s="2" t="str">
        <f>HYPERLINK("https://ibp.a2mac1.com/costing(costing:projects/details/8191/process/6972113)","Automated Process")</f>
        <v>Automated Process</v>
      </c>
      <c r="F1918" t="s">
        <v>2777</v>
      </c>
    </row>
    <row r="1919" spans="1:6" ht="12.75">
      <c r="A1919">
        <v>5316840</v>
      </c>
      <c r="B1919">
        <v>6972113</v>
      </c>
      <c r="C1919" t="s">
        <v>574</v>
      </c>
      <c r="D1919" t="s">
        <v>99</v>
      </c>
      <c r="E1919" s="2" t="str">
        <f>HYPERLINK("https://ibp.a2mac1.com/costing(costing:projects/details/8191/component/5316840)","Recliners")</f>
        <v>Recliners</v>
      </c>
      <c r="F1919" t="s">
        <v>2778</v>
      </c>
    </row>
    <row r="1920" spans="1:6" ht="12.75">
      <c r="A1920">
        <v>5316839</v>
      </c>
      <c r="B1920">
        <v>6972113</v>
      </c>
      <c r="C1920" t="s">
        <v>24</v>
      </c>
      <c r="D1920" t="s">
        <v>99</v>
      </c>
      <c r="E1920" s="2" t="str">
        <f>HYPERLINK("https://ibp.a2mac1.com/costing(costing:projects/details/8191/material/5316839)","Steel sheet (default)")</f>
        <v>Steel sheet (default)</v>
      </c>
      <c r="F1920" t="s">
        <v>2778</v>
      </c>
    </row>
    <row r="1921" spans="1:6" ht="12.75">
      <c r="A1921">
        <v>5316841</v>
      </c>
      <c r="B1921">
        <v>6972113</v>
      </c>
      <c r="C1921" t="s">
        <v>24</v>
      </c>
      <c r="D1921" t="s">
        <v>99</v>
      </c>
      <c r="E1921" s="2" t="str">
        <f>HYPERLINK("https://ibp.a2mac1.com/costing(costing:projects/details/8191/material/5316841)","Cataphoresis paint")</f>
        <v>Cataphoresis paint</v>
      </c>
      <c r="F1921" t="s">
        <v>2778</v>
      </c>
    </row>
    <row r="1922" spans="1:6" ht="12.75">
      <c r="A1922">
        <v>6944572</v>
      </c>
      <c r="B1922">
        <v>6972113</v>
      </c>
      <c r="C1922" t="s">
        <v>189</v>
      </c>
      <c r="D1922" t="s">
        <v>99</v>
      </c>
      <c r="E1922" s="2" t="str">
        <f>HYPERLINK("https://ibp.a2mac1.com/costing(costing:projects/details/8191/equipment/6944572)","Equipment")</f>
        <v>Equipment</v>
      </c>
      <c r="F1922" t="s">
        <v>2778</v>
      </c>
    </row>
    <row r="1923" spans="1:6" ht="12.75">
      <c r="A1923">
        <v>5383627</v>
      </c>
      <c r="B1923">
        <v>5383531</v>
      </c>
      <c r="C1923" t="s">
        <v>12</v>
      </c>
      <c r="D1923" t="s">
        <v>8</v>
      </c>
      <c r="E1923" s="2" t="str">
        <f>HYPERLINK("https://ibp.a2mac1.com/costing(costing:projects/details/8191/part/5383627)","Sound Insulation Sheet")</f>
        <v>Sound Insulation Sheet</v>
      </c>
      <c r="F1923" t="s">
        <v>2713</v>
      </c>
    </row>
    <row r="1924" spans="1:6" ht="12.75">
      <c r="A1924">
        <v>6972114</v>
      </c>
      <c r="B1924">
        <v>5383627</v>
      </c>
      <c r="C1924" t="s">
        <v>99</v>
      </c>
      <c r="D1924" t="s">
        <v>12</v>
      </c>
      <c r="E1924" s="2" t="str">
        <f>HYPERLINK("https://ibp.a2mac1.com/costing(costing:projects/details/8191/process/6972114)","Automated Process")</f>
        <v>Automated Process</v>
      </c>
      <c r="F1924" t="s">
        <v>2784</v>
      </c>
    </row>
    <row r="1925" spans="1:6" ht="12.75">
      <c r="A1925">
        <v>5316842</v>
      </c>
      <c r="B1925">
        <v>6972114</v>
      </c>
      <c r="C1925" t="s">
        <v>24</v>
      </c>
      <c r="D1925" t="s">
        <v>99</v>
      </c>
      <c r="E1925" s="2" t="str">
        <f>HYPERLINK("https://ibp.a2mac1.com/costing(costing:projects/details/8191/material/5316842)","EPP")</f>
        <v>EPP</v>
      </c>
      <c r="F1925" t="s">
        <v>2787</v>
      </c>
    </row>
    <row r="1926" spans="1:6" ht="12.75">
      <c r="A1926">
        <v>6944573</v>
      </c>
      <c r="B1926">
        <v>6972114</v>
      </c>
      <c r="C1926" t="s">
        <v>189</v>
      </c>
      <c r="D1926" t="s">
        <v>99</v>
      </c>
      <c r="E1926" s="2" t="str">
        <f>HYPERLINK("https://ibp.a2mac1.com/costing(costing:projects/details/8191/equipment/6944573)","Equipment")</f>
        <v>Equipment</v>
      </c>
      <c r="F1926" t="s">
        <v>2787</v>
      </c>
    </row>
    <row r="1927" spans="1:6" ht="12.75">
      <c r="A1927">
        <v>5316552</v>
      </c>
      <c r="B1927">
        <v>5383531</v>
      </c>
      <c r="C1927" t="s">
        <v>574</v>
      </c>
      <c r="D1927" t="s">
        <v>8</v>
      </c>
      <c r="E1927" s="2" t="str">
        <f>HYPERLINK("https://ibp.a2mac1.com/costing(costing:projects/details/8191/component/5316552)","Other fastener &gt; Hog ring")</f>
        <v>Other fastener &gt; Hog ring</v>
      </c>
      <c r="F1927" t="s">
        <v>2713</v>
      </c>
    </row>
    <row r="1928" spans="1:6" ht="12.75">
      <c r="A1928">
        <v>5316553</v>
      </c>
      <c r="B1928">
        <v>5383531</v>
      </c>
      <c r="C1928" t="s">
        <v>574</v>
      </c>
      <c r="D1928" t="s">
        <v>8</v>
      </c>
      <c r="E1928" s="2" t="str">
        <f>HYPERLINK("https://ibp.a2mac1.com/costing(costing:projects/details/8191/component/5316553)","Screw &gt; Hexagon socket head cap screw")</f>
        <v>Screw &gt; Hexagon socket head cap screw</v>
      </c>
      <c r="F1928" t="s">
        <v>2713</v>
      </c>
    </row>
    <row r="1929" spans="1:6" ht="12.75">
      <c r="A1929">
        <v>5383532</v>
      </c>
      <c r="B1929">
        <v>5383399</v>
      </c>
      <c r="C1929" t="s">
        <v>8</v>
      </c>
      <c r="D1929" t="s">
        <v>8</v>
      </c>
      <c r="E1929" s="2" t="str">
        <f>HYPERLINK("https://ibp.a2mac1.com/costing(costing:projects/details/8191/assembly/5383532)","Cushion")</f>
        <v>Cushion</v>
      </c>
      <c r="F1929" t="s">
        <v>2687</v>
      </c>
    </row>
    <row r="1930" spans="1:6" ht="12.75">
      <c r="A1930">
        <v>5383635</v>
      </c>
      <c r="B1930">
        <v>5383532</v>
      </c>
      <c r="C1930" t="s">
        <v>8</v>
      </c>
      <c r="D1930" t="s">
        <v>8</v>
      </c>
      <c r="E1930" s="2" t="str">
        <f>HYPERLINK("https://ibp.a2mac1.com/costing(costing:projects/details/8191/assembly/5383635)","Garnish")</f>
        <v>Garnish</v>
      </c>
      <c r="F1930" t="s">
        <v>2791</v>
      </c>
    </row>
    <row r="1931" spans="1:6" ht="12.75">
      <c r="A1931">
        <v>5383891</v>
      </c>
      <c r="B1931">
        <v>5383635</v>
      </c>
      <c r="C1931" t="s">
        <v>12</v>
      </c>
      <c r="D1931" t="s">
        <v>8</v>
      </c>
      <c r="E1931" s="2" t="str">
        <f>HYPERLINK("https://ibp.a2mac1.com/costing(costing:projects/details/8191/part/5383891)","Outer Side")</f>
        <v>Outer Side</v>
      </c>
      <c r="F1931" t="s">
        <v>2792</v>
      </c>
    </row>
    <row r="1932" spans="1:6" ht="12.75">
      <c r="A1932">
        <v>6972171</v>
      </c>
      <c r="B1932">
        <v>5383891</v>
      </c>
      <c r="C1932" t="s">
        <v>99</v>
      </c>
      <c r="D1932" t="s">
        <v>12</v>
      </c>
      <c r="E1932" s="2" t="str">
        <f>HYPERLINK("https://ibp.a2mac1.com/costing(costing:projects/details/8191/process/6972171)","Automated Process")</f>
        <v>Automated Process</v>
      </c>
      <c r="F1932" t="s">
        <v>2793</v>
      </c>
    </row>
    <row r="1933" spans="1:6" ht="12.75">
      <c r="A1933">
        <v>5317045</v>
      </c>
      <c r="B1933">
        <v>6972171</v>
      </c>
      <c r="C1933" t="s">
        <v>24</v>
      </c>
      <c r="D1933" t="s">
        <v>99</v>
      </c>
      <c r="E1933" s="2" t="str">
        <f>HYPERLINK("https://ibp.a2mac1.com/costing(costing:projects/details/8191/material/5317045)","PP-PE")</f>
        <v>PP-PE</v>
      </c>
      <c r="F1933" t="s">
        <v>2796</v>
      </c>
    </row>
    <row r="1934" spans="1:6" ht="12.75">
      <c r="A1934">
        <v>6944666</v>
      </c>
      <c r="B1934">
        <v>6972171</v>
      </c>
      <c r="C1934" t="s">
        <v>189</v>
      </c>
      <c r="D1934" t="s">
        <v>99</v>
      </c>
      <c r="E1934" s="2" t="str">
        <f>HYPERLINK("https://ibp.a2mac1.com/costing(costing:projects/details/8191/equipment/6944666)","Equipment (Injection Molding)")</f>
        <v>Equipment (Injection Molding)</v>
      </c>
      <c r="F1934" t="s">
        <v>2796</v>
      </c>
    </row>
    <row r="1935" spans="1:6" ht="12.75">
      <c r="A1935">
        <v>5383892</v>
      </c>
      <c r="B1935">
        <v>5383635</v>
      </c>
      <c r="C1935" t="s">
        <v>12</v>
      </c>
      <c r="D1935" t="s">
        <v>8</v>
      </c>
      <c r="E1935" s="2" t="str">
        <f>HYPERLINK("https://ibp.a2mac1.com/costing(costing:projects/details/8191/part/5383892)","Exterior Trim Support")</f>
        <v>Exterior Trim Support</v>
      </c>
      <c r="F1935" t="s">
        <v>2792</v>
      </c>
    </row>
    <row r="1936" spans="1:6" ht="12.75">
      <c r="A1936">
        <v>6972172</v>
      </c>
      <c r="B1936">
        <v>5383892</v>
      </c>
      <c r="C1936" t="s">
        <v>99</v>
      </c>
      <c r="D1936" t="s">
        <v>12</v>
      </c>
      <c r="E1936" s="2" t="str">
        <f>HYPERLINK("https://ibp.a2mac1.com/costing(costing:projects/details/8191/process/6972172)","Automated Process")</f>
        <v>Automated Process</v>
      </c>
      <c r="F1936" t="s">
        <v>2799</v>
      </c>
    </row>
    <row r="1937" spans="1:6" ht="12.75">
      <c r="A1937">
        <v>5317046</v>
      </c>
      <c r="B1937">
        <v>6972172</v>
      </c>
      <c r="C1937" t="s">
        <v>24</v>
      </c>
      <c r="D1937" t="s">
        <v>99</v>
      </c>
      <c r="E1937" s="2" t="str">
        <f>HYPERLINK("https://ibp.a2mac1.com/costing(costing:projects/details/8191/material/5317046)","PP")</f>
        <v>PP</v>
      </c>
      <c r="F1937" t="s">
        <v>2802</v>
      </c>
    </row>
    <row r="1938" spans="1:6" ht="12.75">
      <c r="A1938">
        <v>6944667</v>
      </c>
      <c r="B1938">
        <v>6972172</v>
      </c>
      <c r="C1938" t="s">
        <v>189</v>
      </c>
      <c r="D1938" t="s">
        <v>99</v>
      </c>
      <c r="E1938" s="2" t="str">
        <f>HYPERLINK("https://ibp.a2mac1.com/costing(costing:projects/details/8191/equipment/6944667)","Equipment (Injection Molding)")</f>
        <v>Equipment (Injection Molding)</v>
      </c>
      <c r="F1938" t="s">
        <v>2802</v>
      </c>
    </row>
    <row r="1939" spans="1:6" ht="12.75">
      <c r="A1939">
        <v>5383893</v>
      </c>
      <c r="B1939">
        <v>5383635</v>
      </c>
      <c r="C1939" t="s">
        <v>12</v>
      </c>
      <c r="D1939" t="s">
        <v>8</v>
      </c>
      <c r="E1939" s="2" t="str">
        <f>HYPERLINK("https://ibp.a2mac1.com/costing(costing:projects/details/8191/part/5383893)","Inner Side")</f>
        <v>Inner Side</v>
      </c>
      <c r="F1939" t="s">
        <v>2792</v>
      </c>
    </row>
    <row r="1940" spans="1:6" ht="12.75">
      <c r="A1940">
        <v>6972173</v>
      </c>
      <c r="B1940">
        <v>5383893</v>
      </c>
      <c r="C1940" t="s">
        <v>99</v>
      </c>
      <c r="D1940" t="s">
        <v>12</v>
      </c>
      <c r="E1940" s="2" t="str">
        <f>HYPERLINK("https://ibp.a2mac1.com/costing(costing:projects/details/8191/process/6972173)","Automated Process")</f>
        <v>Automated Process</v>
      </c>
      <c r="F1940" t="s">
        <v>2804</v>
      </c>
    </row>
    <row r="1941" spans="1:6" ht="12.75">
      <c r="A1941">
        <v>5317047</v>
      </c>
      <c r="B1941">
        <v>6972173</v>
      </c>
      <c r="C1941" t="s">
        <v>24</v>
      </c>
      <c r="D1941" t="s">
        <v>99</v>
      </c>
      <c r="E1941" s="2" t="str">
        <f>HYPERLINK("https://ibp.a2mac1.com/costing(costing:projects/details/8191/material/5317047)","PP-PE")</f>
        <v>PP-PE</v>
      </c>
      <c r="F1941" t="s">
        <v>2807</v>
      </c>
    </row>
    <row r="1942" spans="1:6" ht="12.75">
      <c r="A1942">
        <v>6944668</v>
      </c>
      <c r="B1942">
        <v>6972173</v>
      </c>
      <c r="C1942" t="s">
        <v>189</v>
      </c>
      <c r="D1942" t="s">
        <v>99</v>
      </c>
      <c r="E1942" s="2" t="str">
        <f>HYPERLINK("https://ibp.a2mac1.com/costing(costing:projects/details/8191/equipment/6944668)","Equipment (Injection Molding)")</f>
        <v>Equipment (Injection Molding)</v>
      </c>
      <c r="F1942" t="s">
        <v>2807</v>
      </c>
    </row>
    <row r="1943" spans="1:6" ht="12.75">
      <c r="A1943">
        <v>5316649</v>
      </c>
      <c r="B1943">
        <v>5383635</v>
      </c>
      <c r="C1943" t="s">
        <v>574</v>
      </c>
      <c r="D1943" t="s">
        <v>8</v>
      </c>
      <c r="E1943" s="2" t="str">
        <f>HYPERLINK("https://ibp.a2mac1.com/costing(costing:projects/details/8191/component/5316649)","Rivet &gt; Push-in rivet")</f>
        <v>Rivet &gt; Push-in rivet</v>
      </c>
      <c r="F1943" t="s">
        <v>2792</v>
      </c>
    </row>
    <row r="1944" spans="1:6" ht="12.75">
      <c r="A1944">
        <v>5316650</v>
      </c>
      <c r="B1944">
        <v>5383635</v>
      </c>
      <c r="C1944" t="s">
        <v>574</v>
      </c>
      <c r="D1944" t="s">
        <v>8</v>
      </c>
      <c r="E1944" s="2" t="str">
        <f>HYPERLINK("https://ibp.a2mac1.com/costing(costing:projects/details/8191/component/5316650)","Screw &gt; Torx socket head cap screw with flange")</f>
        <v>Screw &gt; Torx socket head cap screw with flange</v>
      </c>
      <c r="F1944" t="s">
        <v>2792</v>
      </c>
    </row>
    <row r="1945" spans="1:6" ht="12.75">
      <c r="A1945">
        <v>5316651</v>
      </c>
      <c r="B1945">
        <v>5383635</v>
      </c>
      <c r="C1945" t="s">
        <v>574</v>
      </c>
      <c r="D1945" t="s">
        <v>8</v>
      </c>
      <c r="E1945" s="2" t="str">
        <f>HYPERLINK("https://ibp.a2mac1.com/costing(costing:projects/details/8191/component/5316651)","Rivet &gt; Push-in rivet")</f>
        <v>Rivet &gt; Push-in rivet</v>
      </c>
      <c r="F1945" t="s">
        <v>2792</v>
      </c>
    </row>
    <row r="1946" spans="1:6" ht="12.75">
      <c r="A1946">
        <v>5383636</v>
      </c>
      <c r="B1946">
        <v>5383532</v>
      </c>
      <c r="C1946" t="s">
        <v>8</v>
      </c>
      <c r="D1946" t="s">
        <v>8</v>
      </c>
      <c r="E1946" s="2" t="str">
        <f>HYPERLINK("https://ibp.a2mac1.com/costing(costing:projects/details/8191/assembly/5383636)","Lower Lighting")</f>
        <v>Lower Lighting</v>
      </c>
      <c r="F1946" t="s">
        <v>2791</v>
      </c>
    </row>
    <row r="1947" spans="1:6" ht="12.75">
      <c r="A1947">
        <v>5383894</v>
      </c>
      <c r="B1947">
        <v>5383636</v>
      </c>
      <c r="C1947" t="s">
        <v>12</v>
      </c>
      <c r="D1947" t="s">
        <v>8</v>
      </c>
      <c r="E1947" s="2" t="str">
        <f>HYPERLINK("https://ibp.a2mac1.com/costing(costing:projects/details/8191/part/5383894)","Lighting")</f>
        <v>Lighting</v>
      </c>
      <c r="F1947" t="s">
        <v>2810</v>
      </c>
    </row>
    <row r="1948" spans="1:6" ht="12.75">
      <c r="A1948">
        <v>5383895</v>
      </c>
      <c r="B1948">
        <v>5383636</v>
      </c>
      <c r="C1948" t="s">
        <v>12</v>
      </c>
      <c r="D1948" t="s">
        <v>8</v>
      </c>
      <c r="E1948" s="2" t="str">
        <f>HYPERLINK("https://ibp.a2mac1.com/costing(costing:projects/details/8191/part/5383895)","Support")</f>
        <v>Support</v>
      </c>
      <c r="F1948" t="s">
        <v>2810</v>
      </c>
    </row>
    <row r="1949" spans="1:6" ht="12.75">
      <c r="A1949">
        <v>5383630</v>
      </c>
      <c r="B1949">
        <v>5383532</v>
      </c>
      <c r="C1949" t="s">
        <v>12</v>
      </c>
      <c r="D1949" t="s">
        <v>8</v>
      </c>
      <c r="E1949" s="2" t="str">
        <f>HYPERLINK("https://ibp.a2mac1.com/costing(costing:projects/details/8191/part/5383630)","Cover")</f>
        <v>Cover</v>
      </c>
      <c r="F1949" t="s">
        <v>2791</v>
      </c>
    </row>
    <row r="1950" spans="1:6" ht="12.75">
      <c r="A1950">
        <v>6972115</v>
      </c>
      <c r="B1950">
        <v>5383630</v>
      </c>
      <c r="C1950" t="s">
        <v>99</v>
      </c>
      <c r="D1950" t="s">
        <v>12</v>
      </c>
      <c r="E1950" s="2" t="str">
        <f>HYPERLINK("https://ibp.a2mac1.com/costing(costing:projects/details/8191/process/6972115)","Cutting")</f>
        <v>Cutting</v>
      </c>
      <c r="F1950" t="s">
        <v>2815</v>
      </c>
    </row>
    <row r="1951" spans="1:6" ht="12.75">
      <c r="A1951">
        <v>5316845</v>
      </c>
      <c r="B1951">
        <v>6972115</v>
      </c>
      <c r="C1951" t="s">
        <v>24</v>
      </c>
      <c r="D1951" t="s">
        <v>99</v>
      </c>
      <c r="E1951" s="2" t="str">
        <f>HYPERLINK("https://ibp.a2mac1.com/costing(costing:projects/details/8191/material/5316845)","Fabric")</f>
        <v>Fabric</v>
      </c>
      <c r="F1951" t="s">
        <v>2818</v>
      </c>
    </row>
    <row r="1952" spans="1:6" ht="12.75">
      <c r="A1952">
        <v>5316846</v>
      </c>
      <c r="B1952">
        <v>6972115</v>
      </c>
      <c r="C1952" t="s">
        <v>24</v>
      </c>
      <c r="D1952" t="s">
        <v>99</v>
      </c>
      <c r="E1952" s="2" t="str">
        <f>HYPERLINK("https://ibp.a2mac1.com/costing(costing:projects/details/8191/material/5316846)","Vinyl Perforated")</f>
        <v>Vinyl Perforated</v>
      </c>
      <c r="F1952" t="s">
        <v>2818</v>
      </c>
    </row>
    <row r="1953" spans="1:6" ht="12.75">
      <c r="A1953">
        <v>5316847</v>
      </c>
      <c r="B1953">
        <v>6972115</v>
      </c>
      <c r="C1953" t="s">
        <v>24</v>
      </c>
      <c r="D1953" t="s">
        <v>99</v>
      </c>
      <c r="E1953" s="2" t="str">
        <f>HYPERLINK("https://ibp.a2mac1.com/costing(costing:projects/details/8191/material/5316847)","Mix Vinyl (80%)")</f>
        <v>Mix Vinyl (80%)</v>
      </c>
      <c r="F1953" t="s">
        <v>2818</v>
      </c>
    </row>
    <row r="1954" spans="1:6" ht="12.75">
      <c r="A1954">
        <v>5316848</v>
      </c>
      <c r="B1954">
        <v>6972115</v>
      </c>
      <c r="C1954" t="s">
        <v>24</v>
      </c>
      <c r="D1954" t="s">
        <v>99</v>
      </c>
      <c r="E1954" s="2" t="str">
        <f>HYPERLINK("https://ibp.a2mac1.com/costing(costing:projects/details/8191/material/5316848)","Carpet")</f>
        <v>Carpet</v>
      </c>
      <c r="F1954" t="s">
        <v>2818</v>
      </c>
    </row>
    <row r="1955" spans="1:6" ht="12.75">
      <c r="A1955">
        <v>6944574</v>
      </c>
      <c r="B1955">
        <v>6972115</v>
      </c>
      <c r="C1955" t="s">
        <v>189</v>
      </c>
      <c r="D1955" t="s">
        <v>99</v>
      </c>
      <c r="E1955" s="2" t="str">
        <f>HYPERLINK("https://ibp.a2mac1.com/costing(costing:projects/details/8191/equipment/6944574)","No.01 - Fabric Cutting")</f>
        <v>No.01 - Fabric Cutting</v>
      </c>
      <c r="F1955" t="s">
        <v>2818</v>
      </c>
    </row>
    <row r="1956" spans="1:6" ht="12.75">
      <c r="A1956">
        <v>6972116</v>
      </c>
      <c r="B1956">
        <v>5383630</v>
      </c>
      <c r="C1956" t="s">
        <v>99</v>
      </c>
      <c r="D1956" t="s">
        <v>12</v>
      </c>
      <c r="E1956" s="2" t="str">
        <f>HYPERLINK("https://ibp.a2mac1.com/costing(costing:projects/details/8191/process/6972116)","Sewing")</f>
        <v>Sewing</v>
      </c>
      <c r="F1956" t="s">
        <v>2815</v>
      </c>
    </row>
    <row r="1957" spans="1:6" ht="12.75">
      <c r="A1957">
        <v>6944575</v>
      </c>
      <c r="B1957">
        <v>6972116</v>
      </c>
      <c r="C1957" t="s">
        <v>189</v>
      </c>
      <c r="D1957" t="s">
        <v>99</v>
      </c>
      <c r="E1957" s="2" t="str">
        <f>HYPERLINK("https://ibp.a2mac1.com/costing(costing:projects/details/8191/equipment/6944575)","No.02 - Fabric Sewing")</f>
        <v>No.02 - Fabric Sewing</v>
      </c>
      <c r="F1957" t="s">
        <v>2824</v>
      </c>
    </row>
    <row r="1958" spans="1:6" ht="12.75">
      <c r="A1958">
        <v>5383631</v>
      </c>
      <c r="B1958">
        <v>5383532</v>
      </c>
      <c r="C1958" t="s">
        <v>12</v>
      </c>
      <c r="D1958" t="s">
        <v>8</v>
      </c>
      <c r="E1958" s="2" t="str">
        <f>HYPERLINK("https://ibp.a2mac1.com/costing(costing:projects/details/8191/part/5383631)","Pad")</f>
        <v>Pad</v>
      </c>
      <c r="F1958" t="s">
        <v>2791</v>
      </c>
    </row>
    <row r="1959" spans="1:6" ht="12.75">
      <c r="A1959">
        <v>6972117</v>
      </c>
      <c r="B1959">
        <v>5383631</v>
      </c>
      <c r="C1959" t="s">
        <v>99</v>
      </c>
      <c r="D1959" t="s">
        <v>12</v>
      </c>
      <c r="E1959" s="2" t="str">
        <f>HYPERLINK("https://ibp.a2mac1.com/costing(costing:projects/details/8191/process/6972117)","Automated Process")</f>
        <v>Automated Process</v>
      </c>
      <c r="F1959" t="s">
        <v>2826</v>
      </c>
    </row>
    <row r="1960" spans="1:6" ht="12.75">
      <c r="A1960">
        <v>5316849</v>
      </c>
      <c r="B1960">
        <v>6972117</v>
      </c>
      <c r="C1960" t="s">
        <v>24</v>
      </c>
      <c r="D1960" t="s">
        <v>99</v>
      </c>
      <c r="E1960" s="2" t="str">
        <f>HYPERLINK("https://ibp.a2mac1.com/costing(costing:projects/details/8191/material/5316849)","PUR")</f>
        <v>PUR</v>
      </c>
      <c r="F1960" t="s">
        <v>2829</v>
      </c>
    </row>
    <row r="1961" spans="1:6" ht="12.75">
      <c r="A1961">
        <v>6944576</v>
      </c>
      <c r="B1961">
        <v>6972117</v>
      </c>
      <c r="C1961" t="s">
        <v>189</v>
      </c>
      <c r="D1961" t="s">
        <v>99</v>
      </c>
      <c r="E1961" s="2" t="str">
        <f>HYPERLINK("https://ibp.a2mac1.com/costing(costing:projects/details/8191/equipment/6944576)","Equipment (Injection Molding)")</f>
        <v>Equipment (Injection Molding)</v>
      </c>
      <c r="F1961" t="s">
        <v>2829</v>
      </c>
    </row>
    <row r="1962" spans="1:6" ht="12.75">
      <c r="A1962">
        <v>5383632</v>
      </c>
      <c r="B1962">
        <v>5383532</v>
      </c>
      <c r="C1962" t="s">
        <v>12</v>
      </c>
      <c r="D1962" t="s">
        <v>8</v>
      </c>
      <c r="E1962" s="2" t="str">
        <f>HYPERLINK("https://ibp.a2mac1.com/costing(costing:projects/details/8191/part/5383632)","Frame")</f>
        <v>Frame</v>
      </c>
      <c r="F1962" t="s">
        <v>2791</v>
      </c>
    </row>
    <row r="1963" spans="1:6" ht="12.75">
      <c r="A1963">
        <v>6972118</v>
      </c>
      <c r="B1963">
        <v>5383632</v>
      </c>
      <c r="C1963" t="s">
        <v>99</v>
      </c>
      <c r="D1963" t="s">
        <v>12</v>
      </c>
      <c r="E1963" s="2" t="str">
        <f>HYPERLINK("https://ibp.a2mac1.com/costing(costing:projects/details/8191/process/6972118)","Automated Process")</f>
        <v>Automated Process</v>
      </c>
      <c r="F1963" t="s">
        <v>2831</v>
      </c>
    </row>
    <row r="1964" spans="1:6" ht="12.75">
      <c r="A1964">
        <v>5316850</v>
      </c>
      <c r="B1964">
        <v>6972118</v>
      </c>
      <c r="C1964" t="s">
        <v>24</v>
      </c>
      <c r="D1964" t="s">
        <v>99</v>
      </c>
      <c r="E1964" s="2" t="str">
        <f>HYPERLINK("https://ibp.a2mac1.com/costing(costing:projects/details/8191/material/5316850)","Steel sheet (default)")</f>
        <v>Steel sheet (default)</v>
      </c>
      <c r="F1964" t="s">
        <v>2834</v>
      </c>
    </row>
    <row r="1965" spans="1:6" ht="12.75">
      <c r="A1965">
        <v>5316851</v>
      </c>
      <c r="B1965">
        <v>6972118</v>
      </c>
      <c r="C1965" t="s">
        <v>24</v>
      </c>
      <c r="D1965" t="s">
        <v>99</v>
      </c>
      <c r="E1965" s="2" t="str">
        <f>HYPERLINK("https://ibp.a2mac1.com/costing(costing:projects/details/8191/material/5316851)","Cataphoresis paint")</f>
        <v>Cataphoresis paint</v>
      </c>
      <c r="F1965" t="s">
        <v>2834</v>
      </c>
    </row>
    <row r="1966" spans="1:6" ht="12.75">
      <c r="A1966">
        <v>6944577</v>
      </c>
      <c r="B1966">
        <v>6972118</v>
      </c>
      <c r="C1966" t="s">
        <v>189</v>
      </c>
      <c r="D1966" t="s">
        <v>99</v>
      </c>
      <c r="E1966" s="2" t="str">
        <f>HYPERLINK("https://ibp.a2mac1.com/costing(costing:projects/details/8191/equipment/6944577)","Equipment")</f>
        <v>Equipment</v>
      </c>
      <c r="F1966" t="s">
        <v>2834</v>
      </c>
    </row>
    <row r="1967" spans="1:6" ht="12.75">
      <c r="A1967">
        <v>5383633</v>
      </c>
      <c r="B1967">
        <v>5383532</v>
      </c>
      <c r="C1967" t="s">
        <v>12</v>
      </c>
      <c r="D1967" t="s">
        <v>8</v>
      </c>
      <c r="E1967" s="2" t="str">
        <f>HYPERLINK("https://ibp.a2mac1.com/costing(costing:projects/details/8191/part/5383633)","Base Assembly")</f>
        <v>Base Assembly</v>
      </c>
      <c r="F1967" t="s">
        <v>2791</v>
      </c>
    </row>
    <row r="1968" spans="1:6" ht="12.75">
      <c r="A1968">
        <v>6972119</v>
      </c>
      <c r="B1968">
        <v>5383633</v>
      </c>
      <c r="C1968" t="s">
        <v>99</v>
      </c>
      <c r="D1968" t="s">
        <v>12</v>
      </c>
      <c r="E1968" s="2" t="str">
        <f>HYPERLINK("https://ibp.a2mac1.com/costing(costing:projects/details/8191/process/6972119)","Automated Process")</f>
        <v>Automated Process</v>
      </c>
      <c r="F1968" t="s">
        <v>2836</v>
      </c>
    </row>
    <row r="1969" spans="1:6" ht="12.75">
      <c r="A1969">
        <v>5316852</v>
      </c>
      <c r="B1969">
        <v>6972119</v>
      </c>
      <c r="C1969" t="s">
        <v>24</v>
      </c>
      <c r="D1969" t="s">
        <v>99</v>
      </c>
      <c r="E1969" s="2" t="str">
        <f>HYPERLINK("https://ibp.a2mac1.com/costing(costing:projects/details/8191/material/5316852)","Steel sheet (default)")</f>
        <v>Steel sheet (default)</v>
      </c>
      <c r="F1969" t="s">
        <v>2839</v>
      </c>
    </row>
    <row r="1970" spans="1:6" ht="12.75">
      <c r="A1970">
        <v>5316853</v>
      </c>
      <c r="B1970">
        <v>6972119</v>
      </c>
      <c r="C1970" t="s">
        <v>24</v>
      </c>
      <c r="D1970" t="s">
        <v>99</v>
      </c>
      <c r="E1970" s="2" t="str">
        <f>HYPERLINK("https://ibp.a2mac1.com/costing(costing:projects/details/8191/material/5316853)","Cataphoresis paint")</f>
        <v>Cataphoresis paint</v>
      </c>
      <c r="F1970" t="s">
        <v>2839</v>
      </c>
    </row>
    <row r="1971" spans="1:6" ht="12.75">
      <c r="A1971">
        <v>6944578</v>
      </c>
      <c r="B1971">
        <v>6972119</v>
      </c>
      <c r="C1971" t="s">
        <v>189</v>
      </c>
      <c r="D1971" t="s">
        <v>99</v>
      </c>
      <c r="E1971" s="2" t="str">
        <f>HYPERLINK("https://ibp.a2mac1.com/costing(costing:projects/details/8191/equipment/6944578)","Equipment")</f>
        <v>Equipment</v>
      </c>
      <c r="F1971" t="s">
        <v>2839</v>
      </c>
    </row>
    <row r="1972" spans="1:6" ht="12.75">
      <c r="A1972">
        <v>5383634</v>
      </c>
      <c r="B1972">
        <v>5383532</v>
      </c>
      <c r="C1972" t="s">
        <v>12</v>
      </c>
      <c r="D1972" t="s">
        <v>8</v>
      </c>
      <c r="E1972" s="2" t="str">
        <f>HYPERLINK("https://ibp.a2mac1.com/costing(costing:projects/details/8191/part/5383634)","Suspension")</f>
        <v>Suspension</v>
      </c>
      <c r="F1972" t="s">
        <v>2791</v>
      </c>
    </row>
    <row r="1973" spans="1:6" ht="12.75">
      <c r="A1973">
        <v>5316554</v>
      </c>
      <c r="B1973">
        <v>5383532</v>
      </c>
      <c r="C1973" t="s">
        <v>574</v>
      </c>
      <c r="D1973" t="s">
        <v>8</v>
      </c>
      <c r="E1973" s="2" t="str">
        <f>HYPERLINK("https://ibp.a2mac1.com/costing(costing:projects/details/8191/component/5316554)","Screw &gt; Torx socket head cap screw")</f>
        <v>Screw &gt; Torx socket head cap screw</v>
      </c>
      <c r="F1973" t="s">
        <v>2791</v>
      </c>
    </row>
    <row r="1974" spans="1:6" ht="12.75">
      <c r="A1974">
        <v>5316555</v>
      </c>
      <c r="B1974">
        <v>5383532</v>
      </c>
      <c r="C1974" t="s">
        <v>574</v>
      </c>
      <c r="D1974" t="s">
        <v>8</v>
      </c>
      <c r="E1974" s="2" t="str">
        <f>HYPERLINK("https://ibp.a2mac1.com/costing(costing:projects/details/8191/component/5316555)","Screw &gt; Torx socket head cap screw with flange")</f>
        <v>Screw &gt; Torx socket head cap screw with flange</v>
      </c>
      <c r="F1974" t="s">
        <v>2791</v>
      </c>
    </row>
    <row r="1975" spans="1:6" ht="12.75">
      <c r="A1975">
        <v>5383533</v>
      </c>
      <c r="B1975">
        <v>5383399</v>
      </c>
      <c r="C1975" t="s">
        <v>8</v>
      </c>
      <c r="D1975" t="s">
        <v>8</v>
      </c>
      <c r="E1975" s="2" t="str">
        <f>HYPERLINK("https://ibp.a2mac1.com/costing(costing:projects/details/8191/assembly/5383533)","Safety")</f>
        <v>Safety</v>
      </c>
      <c r="F1975" t="s">
        <v>2687</v>
      </c>
    </row>
    <row r="1976" spans="1:6" ht="12.75">
      <c r="A1976">
        <v>5383640</v>
      </c>
      <c r="B1976">
        <v>5383533</v>
      </c>
      <c r="C1976" t="s">
        <v>8</v>
      </c>
      <c r="D1976" t="s">
        <v>8</v>
      </c>
      <c r="E1976" s="2" t="str">
        <f>HYPERLINK("https://ibp.a2mac1.com/costing(costing:projects/details/8191/assembly/5383640)","Outer Side Airbag System")</f>
        <v>Outer Side Airbag System</v>
      </c>
      <c r="F1976" t="s">
        <v>2846</v>
      </c>
    </row>
    <row r="1977" spans="1:6" ht="12.75">
      <c r="A1977">
        <v>5383896</v>
      </c>
      <c r="B1977">
        <v>5383640</v>
      </c>
      <c r="C1977" t="s">
        <v>12</v>
      </c>
      <c r="D1977" t="s">
        <v>8</v>
      </c>
      <c r="E1977" s="2" t="str">
        <f>HYPERLINK("https://ibp.a2mac1.com/costing(costing:projects/details/8191/part/5383896)","Airbag Support")</f>
        <v>Airbag Support</v>
      </c>
      <c r="F1977" t="s">
        <v>2847</v>
      </c>
    </row>
    <row r="1978" spans="1:6" ht="12.75">
      <c r="A1978">
        <v>6972174</v>
      </c>
      <c r="B1978">
        <v>5383896</v>
      </c>
      <c r="C1978" t="s">
        <v>99</v>
      </c>
      <c r="D1978" t="s">
        <v>12</v>
      </c>
      <c r="E1978" s="2" t="str">
        <f>HYPERLINK("https://ibp.a2mac1.com/costing(costing:projects/details/8191/process/6972174)","Stamping")</f>
        <v>Stamping</v>
      </c>
      <c r="F1978" t="s">
        <v>2848</v>
      </c>
    </row>
    <row r="1979" spans="1:6" ht="12.75">
      <c r="A1979">
        <v>5317048</v>
      </c>
      <c r="B1979">
        <v>6972174</v>
      </c>
      <c r="C1979" t="s">
        <v>24</v>
      </c>
      <c r="D1979" t="s">
        <v>99</v>
      </c>
      <c r="E1979" s="2" t="str">
        <f>HYPERLINK("https://ibp.a2mac1.com/costing(costing:projects/details/8191/material/5317048)","Steel sheet (default)")</f>
        <v>Steel sheet (default)</v>
      </c>
      <c r="F1979" t="s">
        <v>2850</v>
      </c>
    </row>
    <row r="1980" spans="1:6" ht="12.75">
      <c r="A1980">
        <v>6944669</v>
      </c>
      <c r="B1980">
        <v>6972174</v>
      </c>
      <c r="C1980" t="s">
        <v>189</v>
      </c>
      <c r="D1980" t="s">
        <v>99</v>
      </c>
      <c r="E1980" s="2" t="str">
        <f>HYPERLINK("https://ibp.a2mac1.com/costing(costing:projects/details/8191/equipment/6944669)","No.01 - Progressive Press - 250T ")</f>
        <v xml:space="preserve">No.01 - Progressive Press - 250T </v>
      </c>
      <c r="F1980" t="s">
        <v>2850</v>
      </c>
    </row>
    <row r="1981" spans="1:6" ht="12.75">
      <c r="A1981">
        <v>6972175</v>
      </c>
      <c r="B1981">
        <v>5383896</v>
      </c>
      <c r="C1981" t="s">
        <v>99</v>
      </c>
      <c r="D1981" t="s">
        <v>12</v>
      </c>
      <c r="E1981" s="2" t="str">
        <f>HYPERLINK("https://ibp.a2mac1.com/costing(costing:projects/details/8191/process/6972175)","Cleaning")</f>
        <v>Cleaning</v>
      </c>
      <c r="F1981" t="s">
        <v>2848</v>
      </c>
    </row>
    <row r="1982" spans="1:6" ht="12.75">
      <c r="A1982">
        <v>6944670</v>
      </c>
      <c r="B1982">
        <v>6972175</v>
      </c>
      <c r="C1982" t="s">
        <v>189</v>
      </c>
      <c r="D1982" t="s">
        <v>99</v>
      </c>
      <c r="E1982" s="2" t="str">
        <f>HYPERLINK("https://ibp.a2mac1.com/costing(costing:projects/details/8191/equipment/6944670)","No.05 - Cleaning - Batch - 2000x2000x1200 - 500kg/batch - 3000kg/h ")</f>
        <v xml:space="preserve">No.05 - Cleaning - Batch - 2000x2000x1200 - 500kg/batch - 3000kg/h </v>
      </c>
      <c r="F1982" t="s">
        <v>2851</v>
      </c>
    </row>
    <row r="1983" spans="1:6" ht="12.75">
      <c r="A1983">
        <v>6972176</v>
      </c>
      <c r="B1983">
        <v>5383896</v>
      </c>
      <c r="C1983" t="s">
        <v>99</v>
      </c>
      <c r="D1983" t="s">
        <v>12</v>
      </c>
      <c r="E1983" s="2" t="str">
        <f>HYPERLINK("https://ibp.a2mac1.com/costing(costing:projects/details/8191/process/6972176)","Packaging")</f>
        <v>Packaging</v>
      </c>
      <c r="F1983" t="s">
        <v>2848</v>
      </c>
    </row>
    <row r="1984" spans="1:6" ht="12.75">
      <c r="A1984">
        <v>6944671</v>
      </c>
      <c r="B1984">
        <v>6972176</v>
      </c>
      <c r="C1984" t="s">
        <v>189</v>
      </c>
      <c r="D1984" t="s">
        <v>99</v>
      </c>
      <c r="E1984" s="2" t="str">
        <f>HYPERLINK("https://ibp.a2mac1.com/costing(costing:projects/details/8191/equipment/6944671)","Packaging ")</f>
        <v xml:space="preserve">Packaging </v>
      </c>
      <c r="F1984" t="s">
        <v>2852</v>
      </c>
    </row>
    <row r="1985" spans="1:6" ht="12.75">
      <c r="A1985">
        <v>5316855</v>
      </c>
      <c r="B1985">
        <v>5383896</v>
      </c>
      <c r="C1985" t="s">
        <v>574</v>
      </c>
      <c r="D1985" t="s">
        <v>12</v>
      </c>
      <c r="E1985" s="2" t="str">
        <f>HYPERLINK("https://ibp.a2mac1.com/costing(costing:projects/details/8191/component/5316855)","Screw &gt; Torx socket head cap screw with flange")</f>
        <v>Screw &gt; Torx socket head cap screw with flange</v>
      </c>
      <c r="F1985" t="s">
        <v>2848</v>
      </c>
    </row>
    <row r="1986" spans="1:6" ht="12.75">
      <c r="A1986">
        <v>5383897</v>
      </c>
      <c r="B1986">
        <v>5383640</v>
      </c>
      <c r="C1986" t="s">
        <v>12</v>
      </c>
      <c r="D1986" t="s">
        <v>8</v>
      </c>
      <c r="E1986" s="2" t="str">
        <f>HYPERLINK("https://ibp.a2mac1.com/costing(costing:projects/details/8191/part/5383897)","Airbag Cylinder")</f>
        <v>Airbag Cylinder</v>
      </c>
      <c r="F1986" t="s">
        <v>2847</v>
      </c>
    </row>
    <row r="1987" spans="1:6" ht="12.75">
      <c r="A1987">
        <v>5383898</v>
      </c>
      <c r="B1987">
        <v>5383640</v>
      </c>
      <c r="C1987" t="s">
        <v>12</v>
      </c>
      <c r="D1987" t="s">
        <v>8</v>
      </c>
      <c r="E1987" s="2" t="str">
        <f>HYPERLINK("https://ibp.a2mac1.com/costing(costing:projects/details/8191/part/5383898)","Side Airbag")</f>
        <v>Side Airbag</v>
      </c>
      <c r="F1987" t="s">
        <v>2847</v>
      </c>
    </row>
    <row r="1988" spans="1:6" ht="12.75">
      <c r="A1988">
        <v>6972177</v>
      </c>
      <c r="B1988">
        <v>5383898</v>
      </c>
      <c r="C1988" t="s">
        <v>99</v>
      </c>
      <c r="D1988" t="s">
        <v>12</v>
      </c>
      <c r="E1988" s="2" t="str">
        <f>HYPERLINK("https://ibp.a2mac1.com/costing(costing:projects/details/8191/process/6972177)","Top Layer Cutting")</f>
        <v>Top Layer Cutting</v>
      </c>
      <c r="F1988" t="s">
        <v>2857</v>
      </c>
    </row>
    <row r="1989" spans="1:6" ht="12.75">
      <c r="A1989">
        <v>5317049</v>
      </c>
      <c r="B1989">
        <v>6972177</v>
      </c>
      <c r="C1989" t="s">
        <v>24</v>
      </c>
      <c r="D1989" t="s">
        <v>99</v>
      </c>
      <c r="E1989" s="2" t="str">
        <f>HYPERLINK("https://ibp.a2mac1.com/costing(costing:projects/details/8191/material/5317049)","PA66/VMQ")</f>
        <v>PA66/VMQ</v>
      </c>
      <c r="F1989" t="s">
        <v>2860</v>
      </c>
    </row>
    <row r="1990" spans="1:6" ht="12.75">
      <c r="A1990">
        <v>6944672</v>
      </c>
      <c r="B1990">
        <v>6972177</v>
      </c>
      <c r="C1990" t="s">
        <v>189</v>
      </c>
      <c r="D1990" t="s">
        <v>99</v>
      </c>
      <c r="E1990" s="2" t="str">
        <f>HYPERLINK("https://ibp.a2mac1.com/costing(costing:projects/details/8191/equipment/6944672)","No.05 - Laser Cutting Fiber - 3kW - Turntable - 2D ")</f>
        <v xml:space="preserve">No.05 - Laser Cutting Fiber - 3kW - Turntable - 2D </v>
      </c>
      <c r="F1990" t="s">
        <v>2860</v>
      </c>
    </row>
    <row r="1991" spans="1:6" ht="12.75">
      <c r="A1991">
        <v>6972178</v>
      </c>
      <c r="B1991">
        <v>5383898</v>
      </c>
      <c r="C1991" t="s">
        <v>99</v>
      </c>
      <c r="D1991" t="s">
        <v>12</v>
      </c>
      <c r="E1991" s="2" t="str">
        <f>HYPERLINK("https://ibp.a2mac1.com/costing(costing:projects/details/8191/process/6972178)","Bottom Layer Cutting")</f>
        <v>Bottom Layer Cutting</v>
      </c>
      <c r="F1991" t="s">
        <v>2857</v>
      </c>
    </row>
    <row r="1992" spans="1:6" ht="12.75">
      <c r="A1992">
        <v>5317050</v>
      </c>
      <c r="B1992">
        <v>6972178</v>
      </c>
      <c r="C1992" t="s">
        <v>24</v>
      </c>
      <c r="D1992" t="s">
        <v>99</v>
      </c>
      <c r="E1992" s="2" t="str">
        <f>HYPERLINK("https://ibp.a2mac1.com/costing(costing:projects/details/8191/material/5317050)","PA66/VMQ")</f>
        <v>PA66/VMQ</v>
      </c>
      <c r="F1992" t="s">
        <v>2862</v>
      </c>
    </row>
    <row r="1993" spans="1:6" ht="12.75">
      <c r="A1993">
        <v>6944673</v>
      </c>
      <c r="B1993">
        <v>6972178</v>
      </c>
      <c r="C1993" t="s">
        <v>189</v>
      </c>
      <c r="D1993" t="s">
        <v>99</v>
      </c>
      <c r="E1993" s="2" t="str">
        <f>HYPERLINK("https://ibp.a2mac1.com/costing(costing:projects/details/8191/equipment/6944673)","No.05 - Laser Cutting Fiber - 3kW - Turntable - 2D ")</f>
        <v xml:space="preserve">No.05 - Laser Cutting Fiber - 3kW - Turntable - 2D </v>
      </c>
      <c r="F1993" t="s">
        <v>2862</v>
      </c>
    </row>
    <row r="1994" spans="1:6" ht="12.75">
      <c r="A1994">
        <v>6972179</v>
      </c>
      <c r="B1994">
        <v>5383898</v>
      </c>
      <c r="C1994" t="s">
        <v>99</v>
      </c>
      <c r="D1994" t="s">
        <v>12</v>
      </c>
      <c r="E1994" s="2" t="str">
        <f>HYPERLINK("https://ibp.a2mac1.com/costing(costing:projects/details/8191/process/6972179)","Cushion Laying")</f>
        <v>Cushion Laying</v>
      </c>
      <c r="F1994" t="s">
        <v>2857</v>
      </c>
    </row>
    <row r="1995" spans="1:6" ht="12.75">
      <c r="A1995">
        <v>6944674</v>
      </c>
      <c r="B1995">
        <v>6972179</v>
      </c>
      <c r="C1995" t="s">
        <v>189</v>
      </c>
      <c r="D1995" t="s">
        <v>99</v>
      </c>
      <c r="E1995" s="2" t="str">
        <f>HYPERLINK("https://ibp.a2mac1.com/costing(costing:projects/details/8191/equipment/6944674)"," Manual Assembly Station Medium")</f>
        <v xml:space="preserve"> Manual Assembly Station Medium</v>
      </c>
      <c r="F1995" t="s">
        <v>2864</v>
      </c>
    </row>
    <row r="1996" spans="1:6" ht="12.75">
      <c r="A1996">
        <v>6972180</v>
      </c>
      <c r="B1996">
        <v>5383898</v>
      </c>
      <c r="C1996" t="s">
        <v>99</v>
      </c>
      <c r="D1996" t="s">
        <v>12</v>
      </c>
      <c r="E1996" s="2" t="str">
        <f>HYPERLINK("https://ibp.a2mac1.com/costing(costing:projects/details/8191/process/6972180)","Sewing bag")</f>
        <v>Sewing bag</v>
      </c>
      <c r="F1996" t="s">
        <v>2857</v>
      </c>
    </row>
    <row r="1997" spans="1:6" ht="12.75">
      <c r="A1997">
        <v>6944675</v>
      </c>
      <c r="B1997">
        <v>6972180</v>
      </c>
      <c r="C1997" t="s">
        <v>189</v>
      </c>
      <c r="D1997" t="s">
        <v>99</v>
      </c>
      <c r="E1997" s="2" t="str">
        <f>HYPERLINK("https://ibp.a2mac1.com/costing(costing:projects/details/8191/equipment/6944675)","Sewing-No.01 - Simple station - HCC")</f>
        <v>Sewing-No.01 - Simple station - HCC</v>
      </c>
      <c r="F1997" t="s">
        <v>2866</v>
      </c>
    </row>
    <row r="1998" spans="1:6" ht="12.75">
      <c r="A1998">
        <v>6972121</v>
      </c>
      <c r="B1998">
        <v>5383640</v>
      </c>
      <c r="C1998" t="s">
        <v>99</v>
      </c>
      <c r="D1998" t="s">
        <v>8</v>
      </c>
      <c r="E1998" s="2" t="str">
        <f>HYPERLINK("https://ibp.a2mac1.com/costing(costing:projects/details/8191/process/6972121)","Assembly ")</f>
        <v xml:space="preserve">Assembly </v>
      </c>
      <c r="F1998" t="s">
        <v>2847</v>
      </c>
    </row>
    <row r="1999" spans="1:6" ht="12.75">
      <c r="A1999">
        <v>6944580</v>
      </c>
      <c r="B1999">
        <v>6972121</v>
      </c>
      <c r="C1999" t="s">
        <v>189</v>
      </c>
      <c r="D1999" t="s">
        <v>99</v>
      </c>
      <c r="E1999" s="2" t="str">
        <f>HYPERLINK("https://ibp.a2mac1.com/costing(costing:projects/details/8191/equipment/6944580)","Assembly line for Airbags")</f>
        <v>Assembly line for Airbags</v>
      </c>
      <c r="F1999" t="s">
        <v>2872</v>
      </c>
    </row>
    <row r="2000" spans="1:6" ht="12.75">
      <c r="A2000">
        <v>5316652</v>
      </c>
      <c r="B2000">
        <v>5383640</v>
      </c>
      <c r="C2000" t="s">
        <v>574</v>
      </c>
      <c r="D2000" t="s">
        <v>8</v>
      </c>
      <c r="E2000" s="2" t="str">
        <f>HYPERLINK("https://ibp.a2mac1.com/costing(costing:projects/details/8191/component/5316652)","Nut &gt; Hexagonal nut with collar")</f>
        <v>Nut &gt; Hexagonal nut with collar</v>
      </c>
      <c r="F2000" t="s">
        <v>2847</v>
      </c>
    </row>
    <row r="2001" spans="1:6" ht="12.75">
      <c r="A2001">
        <v>5316653</v>
      </c>
      <c r="B2001">
        <v>5383640</v>
      </c>
      <c r="C2001" t="s">
        <v>574</v>
      </c>
      <c r="D2001" t="s">
        <v>8</v>
      </c>
      <c r="E2001" s="2" t="str">
        <f>HYPERLINK("https://ibp.a2mac1.com/costing(costing:projects/details/8191/component/5316653)","Other fastener &gt; Attachment")</f>
        <v>Other fastener &gt; Attachment</v>
      </c>
      <c r="F2001" t="s">
        <v>2847</v>
      </c>
    </row>
    <row r="2002" spans="1:6" ht="12.75">
      <c r="A2002">
        <v>5383637</v>
      </c>
      <c r="B2002">
        <v>5383533</v>
      </c>
      <c r="C2002" t="s">
        <v>12</v>
      </c>
      <c r="D2002" t="s">
        <v>8</v>
      </c>
      <c r="E2002" s="2" t="str">
        <f>HYPERLINK("https://ibp.a2mac1.com/costing(costing:projects/details/8191/part/5383637)","Airbag Garnish")</f>
        <v>Airbag Garnish</v>
      </c>
      <c r="F2002" t="s">
        <v>2846</v>
      </c>
    </row>
    <row r="2003" spans="1:6" ht="12.75">
      <c r="A2003">
        <v>5383638</v>
      </c>
      <c r="B2003">
        <v>5383533</v>
      </c>
      <c r="C2003" t="s">
        <v>12</v>
      </c>
      <c r="D2003" t="s">
        <v>8</v>
      </c>
      <c r="E2003" s="2" t="str">
        <f>HYPERLINK("https://ibp.a2mac1.com/costing(costing:projects/details/8191/part/5383638)","Occupant Detection")</f>
        <v>Occupant Detection</v>
      </c>
      <c r="F2003" t="s">
        <v>2846</v>
      </c>
    </row>
    <row r="2004" spans="1:6" ht="12.75">
      <c r="A2004">
        <v>5383639</v>
      </c>
      <c r="B2004">
        <v>5383533</v>
      </c>
      <c r="C2004" t="s">
        <v>12</v>
      </c>
      <c r="D2004" t="s">
        <v>8</v>
      </c>
      <c r="E2004" s="2" t="str">
        <f>HYPERLINK("https://ibp.a2mac1.com/costing(costing:projects/details/8191/part/5383639)","Occupant Detection Support")</f>
        <v>Occupant Detection Support</v>
      </c>
      <c r="F2004" t="s">
        <v>2846</v>
      </c>
    </row>
    <row r="2005" spans="1:6" ht="12.75">
      <c r="A2005">
        <v>6972120</v>
      </c>
      <c r="B2005">
        <v>5383639</v>
      </c>
      <c r="C2005" t="s">
        <v>99</v>
      </c>
      <c r="D2005" t="s">
        <v>12</v>
      </c>
      <c r="E2005" s="2" t="str">
        <f>HYPERLINK("https://ibp.a2mac1.com/costing(costing:projects/details/8191/process/6972120)","Automated Process")</f>
        <v>Automated Process</v>
      </c>
      <c r="F2005" t="s">
        <v>2878</v>
      </c>
    </row>
    <row r="2006" spans="1:6" ht="12.75">
      <c r="A2006">
        <v>5316854</v>
      </c>
      <c r="B2006">
        <v>6972120</v>
      </c>
      <c r="C2006" t="s">
        <v>24</v>
      </c>
      <c r="D2006" t="s">
        <v>99</v>
      </c>
      <c r="E2006" s="2" t="str">
        <f>HYPERLINK("https://ibp.a2mac1.com/costing(costing:projects/details/8191/material/5316854)","POM")</f>
        <v>POM</v>
      </c>
      <c r="F2006" t="s">
        <v>2881</v>
      </c>
    </row>
    <row r="2007" spans="1:6" ht="12.75">
      <c r="A2007">
        <v>6944579</v>
      </c>
      <c r="B2007">
        <v>6972120</v>
      </c>
      <c r="C2007" t="s">
        <v>189</v>
      </c>
      <c r="D2007" t="s">
        <v>99</v>
      </c>
      <c r="E2007" s="2" t="str">
        <f>HYPERLINK("https://ibp.a2mac1.com/costing(costing:projects/details/8191/equipment/6944579)","Equipment (Injection Molding)")</f>
        <v>Equipment (Injection Molding)</v>
      </c>
      <c r="F2007" t="s">
        <v>2881</v>
      </c>
    </row>
    <row r="2008" spans="1:6" ht="12.75">
      <c r="A2008">
        <v>5383534</v>
      </c>
      <c r="B2008">
        <v>5383399</v>
      </c>
      <c r="C2008" t="s">
        <v>8</v>
      </c>
      <c r="D2008" t="s">
        <v>8</v>
      </c>
      <c r="E2008" s="2" t="str">
        <f>HYPERLINK("https://ibp.a2mac1.com/costing(costing:projects/details/8191/assembly/5383534)","Power Adjusters")</f>
        <v>Power Adjusters</v>
      </c>
      <c r="F2008" t="s">
        <v>2687</v>
      </c>
    </row>
    <row r="2009" spans="1:6" ht="12.75">
      <c r="A2009">
        <v>5383644</v>
      </c>
      <c r="B2009">
        <v>5383534</v>
      </c>
      <c r="C2009" t="s">
        <v>8</v>
      </c>
      <c r="D2009" t="s">
        <v>8</v>
      </c>
      <c r="E2009" s="2" t="str">
        <f>HYPERLINK("https://ibp.a2mac1.com/costing(costing:projects/details/8191/assembly/5383644)","Longitudinal")</f>
        <v>Longitudinal</v>
      </c>
      <c r="F2009" t="s">
        <v>2884</v>
      </c>
    </row>
    <row r="2010" spans="1:6" ht="12.75">
      <c r="A2010">
        <v>5383904</v>
      </c>
      <c r="B2010">
        <v>5383644</v>
      </c>
      <c r="C2010" t="s">
        <v>8</v>
      </c>
      <c r="D2010" t="s">
        <v>8</v>
      </c>
      <c r="E2010" s="2" t="str">
        <f>HYPERLINK("https://ibp.a2mac1.com/costing(costing:projects/details/8191/assembly/5383904)","Rails")</f>
        <v>Rails</v>
      </c>
      <c r="F2010" t="s">
        <v>2885</v>
      </c>
    </row>
    <row r="2011" spans="1:6" ht="12.75">
      <c r="A2011">
        <v>5384056</v>
      </c>
      <c r="B2011">
        <v>5383904</v>
      </c>
      <c r="C2011" t="s">
        <v>12</v>
      </c>
      <c r="D2011" t="s">
        <v>8</v>
      </c>
      <c r="E2011" s="2" t="str">
        <f>HYPERLINK("https://ibp.a2mac1.com/costing(costing:projects/details/8191/part/5384056)","Inner Side")</f>
        <v>Inner Side</v>
      </c>
      <c r="F2011" t="s">
        <v>2886</v>
      </c>
    </row>
    <row r="2012" spans="1:6" ht="12.75">
      <c r="A2012">
        <v>6972329</v>
      </c>
      <c r="B2012">
        <v>5384056</v>
      </c>
      <c r="C2012" t="s">
        <v>99</v>
      </c>
      <c r="D2012" t="s">
        <v>12</v>
      </c>
      <c r="E2012" s="2" t="str">
        <f>HYPERLINK("https://ibp.a2mac1.com/costing(costing:projects/details/8191/process/6972329)","Automated Process")</f>
        <v>Automated Process</v>
      </c>
      <c r="F2012" t="s">
        <v>2887</v>
      </c>
    </row>
    <row r="2013" spans="1:6" ht="12.75">
      <c r="A2013">
        <v>5317093</v>
      </c>
      <c r="B2013">
        <v>6972329</v>
      </c>
      <c r="C2013" t="s">
        <v>24</v>
      </c>
      <c r="D2013" t="s">
        <v>99</v>
      </c>
      <c r="E2013" s="2" t="str">
        <f>HYPERLINK("https://ibp.a2mac1.com/costing(costing:projects/details/8191/material/5317093)","Steel sheet (default)")</f>
        <v>Steel sheet (default)</v>
      </c>
      <c r="F2013" t="s">
        <v>2890</v>
      </c>
    </row>
    <row r="2014" spans="1:6" ht="12.75">
      <c r="A2014">
        <v>6944830</v>
      </c>
      <c r="B2014">
        <v>6972329</v>
      </c>
      <c r="C2014" t="s">
        <v>189</v>
      </c>
      <c r="D2014" t="s">
        <v>99</v>
      </c>
      <c r="E2014" s="2" t="str">
        <f>HYPERLINK("https://ibp.a2mac1.com/costing(costing:projects/details/8191/equipment/6944830)","Equipment")</f>
        <v>Equipment</v>
      </c>
      <c r="F2014" t="s">
        <v>2890</v>
      </c>
    </row>
    <row r="2015" spans="1:6" ht="12.75">
      <c r="A2015">
        <v>5384057</v>
      </c>
      <c r="B2015">
        <v>5383904</v>
      </c>
      <c r="C2015" t="s">
        <v>12</v>
      </c>
      <c r="D2015" t="s">
        <v>8</v>
      </c>
      <c r="E2015" s="2" t="str">
        <f>HYPERLINK("https://ibp.a2mac1.com/costing(costing:projects/details/8191/part/5384057)","Outer Side")</f>
        <v>Outer Side</v>
      </c>
      <c r="F2015" t="s">
        <v>2886</v>
      </c>
    </row>
    <row r="2016" spans="1:6" ht="12.75">
      <c r="A2016">
        <v>6972330</v>
      </c>
      <c r="B2016">
        <v>5384057</v>
      </c>
      <c r="C2016" t="s">
        <v>99</v>
      </c>
      <c r="D2016" t="s">
        <v>12</v>
      </c>
      <c r="E2016" s="2" t="str">
        <f>HYPERLINK("https://ibp.a2mac1.com/costing(costing:projects/details/8191/process/6972330)","Automated Process")</f>
        <v>Automated Process</v>
      </c>
      <c r="F2016" t="s">
        <v>2892</v>
      </c>
    </row>
    <row r="2017" spans="1:6" ht="12.75">
      <c r="A2017">
        <v>5317094</v>
      </c>
      <c r="B2017">
        <v>6972330</v>
      </c>
      <c r="C2017" t="s">
        <v>24</v>
      </c>
      <c r="D2017" t="s">
        <v>99</v>
      </c>
      <c r="E2017" s="2" t="str">
        <f>HYPERLINK("https://ibp.a2mac1.com/costing(costing:projects/details/8191/material/5317094)","Steel sheet (default)")</f>
        <v>Steel sheet (default)</v>
      </c>
      <c r="F2017" t="s">
        <v>2895</v>
      </c>
    </row>
    <row r="2018" spans="1:6" ht="12.75">
      <c r="A2018">
        <v>6944831</v>
      </c>
      <c r="B2018">
        <v>6972330</v>
      </c>
      <c r="C2018" t="s">
        <v>189</v>
      </c>
      <c r="D2018" t="s">
        <v>99</v>
      </c>
      <c r="E2018" s="2" t="str">
        <f>HYPERLINK("https://ibp.a2mac1.com/costing(costing:projects/details/8191/equipment/6944831)","Equipment")</f>
        <v>Equipment</v>
      </c>
      <c r="F2018" t="s">
        <v>2895</v>
      </c>
    </row>
    <row r="2019" spans="1:6" ht="12.75">
      <c r="A2019">
        <v>5316857</v>
      </c>
      <c r="B2019">
        <v>5383904</v>
      </c>
      <c r="C2019" t="s">
        <v>574</v>
      </c>
      <c r="D2019" t="s">
        <v>8</v>
      </c>
      <c r="E2019" s="2" t="str">
        <f>HYPERLINK("https://ibp.a2mac1.com/costing(costing:projects/details/8191/component/5316857)","Screw &gt; Torx socket head cap screw with flange")</f>
        <v>Screw &gt; Torx socket head cap screw with flange</v>
      </c>
      <c r="F2019" t="s">
        <v>2886</v>
      </c>
    </row>
    <row r="2020" spans="1:6" ht="12.75">
      <c r="A2020">
        <v>5316858</v>
      </c>
      <c r="B2020">
        <v>5383904</v>
      </c>
      <c r="C2020" t="s">
        <v>574</v>
      </c>
      <c r="D2020" t="s">
        <v>8</v>
      </c>
      <c r="E2020" s="2" t="str">
        <f>HYPERLINK("https://ibp.a2mac1.com/costing(costing:projects/details/8191/component/5316858)","Screw &gt; Hexagon socket head cap screw with flange")</f>
        <v>Screw &gt; Hexagon socket head cap screw with flange</v>
      </c>
      <c r="F2020" t="s">
        <v>2886</v>
      </c>
    </row>
    <row r="2021" spans="1:6" ht="12.75">
      <c r="A2021">
        <v>5383899</v>
      </c>
      <c r="B2021">
        <v>5383644</v>
      </c>
      <c r="C2021" t="s">
        <v>12</v>
      </c>
      <c r="D2021" t="s">
        <v>8</v>
      </c>
      <c r="E2021" s="2" t="str">
        <f>HYPERLINK("https://ibp.a2mac1.com/costing(costing:projects/details/8191/part/5383899)","Motor")</f>
        <v>Motor</v>
      </c>
      <c r="F2021" t="s">
        <v>2885</v>
      </c>
    </row>
    <row r="2022" spans="1:6" ht="12.75">
      <c r="A2022">
        <v>5383900</v>
      </c>
      <c r="B2022">
        <v>5383644</v>
      </c>
      <c r="C2022" t="s">
        <v>12</v>
      </c>
      <c r="D2022" t="s">
        <v>8</v>
      </c>
      <c r="E2022" s="2" t="str">
        <f>HYPERLINK("https://ibp.a2mac1.com/costing(costing:projects/details/8191/part/5383900)","Mount Bracket")</f>
        <v>Mount Bracket</v>
      </c>
      <c r="F2022" t="s">
        <v>2885</v>
      </c>
    </row>
    <row r="2023" spans="1:6" ht="12.75">
      <c r="A2023">
        <v>6972181</v>
      </c>
      <c r="B2023">
        <v>5383900</v>
      </c>
      <c r="C2023" t="s">
        <v>99</v>
      </c>
      <c r="D2023" t="s">
        <v>12</v>
      </c>
      <c r="E2023" s="2" t="str">
        <f>HYPERLINK("https://ibp.a2mac1.com/costing(costing:projects/details/8191/process/6972181)","Automated Process")</f>
        <v>Automated Process</v>
      </c>
      <c r="F2023" t="s">
        <v>2901</v>
      </c>
    </row>
    <row r="2024" spans="1:6" ht="12.75">
      <c r="A2024">
        <v>5317051</v>
      </c>
      <c r="B2024">
        <v>6972181</v>
      </c>
      <c r="C2024" t="s">
        <v>24</v>
      </c>
      <c r="D2024" t="s">
        <v>99</v>
      </c>
      <c r="E2024" s="2" t="str">
        <f>HYPERLINK("https://ibp.a2mac1.com/costing(costing:projects/details/8191/material/5317051)","Steel sheet (default)")</f>
        <v>Steel sheet (default)</v>
      </c>
      <c r="F2024" t="s">
        <v>2904</v>
      </c>
    </row>
    <row r="2025" spans="1:6" ht="12.75">
      <c r="A2025">
        <v>6944676</v>
      </c>
      <c r="B2025">
        <v>6972181</v>
      </c>
      <c r="C2025" t="s">
        <v>189</v>
      </c>
      <c r="D2025" t="s">
        <v>99</v>
      </c>
      <c r="E2025" s="2" t="str">
        <f>HYPERLINK("https://ibp.a2mac1.com/costing(costing:projects/details/8191/equipment/6944676)","Equipment")</f>
        <v>Equipment</v>
      </c>
      <c r="F2025" t="s">
        <v>2904</v>
      </c>
    </row>
    <row r="2026" spans="1:6" ht="12.75">
      <c r="A2026">
        <v>5383901</v>
      </c>
      <c r="B2026">
        <v>5383644</v>
      </c>
      <c r="C2026" t="s">
        <v>12</v>
      </c>
      <c r="D2026" t="s">
        <v>8</v>
      </c>
      <c r="E2026" s="2" t="str">
        <f>HYPERLINK("https://ibp.a2mac1.com/costing(costing:projects/details/8191/part/5383901)","Crosstalk Shaft Inner")</f>
        <v>Crosstalk Shaft Inner</v>
      </c>
      <c r="F2026" t="s">
        <v>2885</v>
      </c>
    </row>
    <row r="2027" spans="1:6" ht="12.75">
      <c r="A2027">
        <v>5316856</v>
      </c>
      <c r="B2027">
        <v>5383901</v>
      </c>
      <c r="C2027" t="s">
        <v>574</v>
      </c>
      <c r="D2027" t="s">
        <v>12</v>
      </c>
      <c r="E2027" s="2" t="str">
        <f>HYPERLINK("https://ibp.a2mac1.com/costing(costing:projects/details/8191/component/5316856)","Screw M3x75")</f>
        <v>Screw M3x75</v>
      </c>
      <c r="F2027" t="s">
        <v>2907</v>
      </c>
    </row>
    <row r="2028" spans="1:6" ht="12.75">
      <c r="A2028">
        <v>5383902</v>
      </c>
      <c r="B2028">
        <v>5383644</v>
      </c>
      <c r="C2028" t="s">
        <v>12</v>
      </c>
      <c r="D2028" t="s">
        <v>8</v>
      </c>
      <c r="E2028" s="2" t="str">
        <f>HYPERLINK("https://ibp.a2mac1.com/costing(costing:projects/details/8191/part/5383902)","Crosstalk Shaft Outer")</f>
        <v>Crosstalk Shaft Outer</v>
      </c>
      <c r="F2028" t="s">
        <v>2885</v>
      </c>
    </row>
    <row r="2029" spans="1:6" ht="12.75">
      <c r="A2029">
        <v>5383903</v>
      </c>
      <c r="B2029">
        <v>5383644</v>
      </c>
      <c r="C2029" t="s">
        <v>12</v>
      </c>
      <c r="D2029" t="s">
        <v>8</v>
      </c>
      <c r="E2029" s="2" t="str">
        <f>HYPERLINK("https://ibp.a2mac1.com/costing(costing:projects/details/8191/part/5383903)","Crosstalk Shaft Cover")</f>
        <v>Crosstalk Shaft Cover</v>
      </c>
      <c r="F2029" t="s">
        <v>2885</v>
      </c>
    </row>
    <row r="2030" spans="1:6" ht="12.75">
      <c r="A2030">
        <v>6972182</v>
      </c>
      <c r="B2030">
        <v>5383903</v>
      </c>
      <c r="C2030" t="s">
        <v>99</v>
      </c>
      <c r="D2030" t="s">
        <v>12</v>
      </c>
      <c r="E2030" s="2" t="str">
        <f>HYPERLINK("https://ibp.a2mac1.com/costing(costing:projects/details/8191/process/6972182)","Automated Process")</f>
        <v>Automated Process</v>
      </c>
      <c r="F2030" t="s">
        <v>2910</v>
      </c>
    </row>
    <row r="2031" spans="1:6" ht="12.75">
      <c r="A2031">
        <v>5317052</v>
      </c>
      <c r="B2031">
        <v>6972182</v>
      </c>
      <c r="C2031" t="s">
        <v>24</v>
      </c>
      <c r="D2031" t="s">
        <v>99</v>
      </c>
      <c r="E2031" s="2" t="str">
        <f>HYPERLINK("https://ibp.a2mac1.com/costing(costing:projects/details/8191/material/5317052)","POM")</f>
        <v>POM</v>
      </c>
      <c r="F2031" t="s">
        <v>2913</v>
      </c>
    </row>
    <row r="2032" spans="1:6" ht="12.75">
      <c r="A2032">
        <v>6944677</v>
      </c>
      <c r="B2032">
        <v>6972182</v>
      </c>
      <c r="C2032" t="s">
        <v>189</v>
      </c>
      <c r="D2032" t="s">
        <v>99</v>
      </c>
      <c r="E2032" s="2" t="str">
        <f>HYPERLINK("https://ibp.a2mac1.com/costing(costing:projects/details/8191/equipment/6944677)","Equipment (Injection Molding)")</f>
        <v>Equipment (Injection Molding)</v>
      </c>
      <c r="F2032" t="s">
        <v>2913</v>
      </c>
    </row>
    <row r="2033" spans="1:6" ht="12.75">
      <c r="A2033">
        <v>5316658</v>
      </c>
      <c r="B2033">
        <v>5383644</v>
      </c>
      <c r="C2033" t="s">
        <v>574</v>
      </c>
      <c r="D2033" t="s">
        <v>8</v>
      </c>
      <c r="E2033" s="2" t="str">
        <f>HYPERLINK("https://ibp.a2mac1.com/costing(costing:projects/details/8191/component/5316658)","Screw &gt; Torx socket head cap screw")</f>
        <v>Screw &gt; Torx socket head cap screw</v>
      </c>
      <c r="F2033" t="s">
        <v>2885</v>
      </c>
    </row>
    <row r="2034" spans="1:6" ht="12.75">
      <c r="A2034">
        <v>5316659</v>
      </c>
      <c r="B2034">
        <v>5383644</v>
      </c>
      <c r="C2034" t="s">
        <v>574</v>
      </c>
      <c r="D2034" t="s">
        <v>8</v>
      </c>
      <c r="E2034" s="2" t="str">
        <f>HYPERLINK("https://ibp.a2mac1.com/costing(costing:projects/details/8191/component/5316659)","Screw &gt; Hexagon socket head cap screw")</f>
        <v>Screw &gt; Hexagon socket head cap screw</v>
      </c>
      <c r="F2034" t="s">
        <v>2885</v>
      </c>
    </row>
    <row r="2035" spans="1:6" ht="12.75">
      <c r="A2035">
        <v>5383645</v>
      </c>
      <c r="B2035">
        <v>5383534</v>
      </c>
      <c r="C2035" t="s">
        <v>8</v>
      </c>
      <c r="D2035" t="s">
        <v>8</v>
      </c>
      <c r="E2035" s="2" t="str">
        <f>HYPERLINK("https://ibp.a2mac1.com/costing(costing:projects/details/8191/assembly/5383645)","Height")</f>
        <v>Height</v>
      </c>
      <c r="F2035" t="s">
        <v>2884</v>
      </c>
    </row>
    <row r="2036" spans="1:6" ht="12.75">
      <c r="A2036">
        <v>5383906</v>
      </c>
      <c r="B2036">
        <v>5383645</v>
      </c>
      <c r="C2036" t="s">
        <v>8</v>
      </c>
      <c r="D2036" t="s">
        <v>8</v>
      </c>
      <c r="E2036" s="2" t="str">
        <f>HYPERLINK("https://ibp.a2mac1.com/costing(costing:projects/details/8191/assembly/5383906)","Front")</f>
        <v>Front</v>
      </c>
      <c r="F2036" t="s">
        <v>2916</v>
      </c>
    </row>
    <row r="2037" spans="1:6" ht="12.75">
      <c r="A2037">
        <v>5384058</v>
      </c>
      <c r="B2037">
        <v>5383906</v>
      </c>
      <c r="C2037" t="s">
        <v>12</v>
      </c>
      <c r="D2037" t="s">
        <v>8</v>
      </c>
      <c r="E2037" s="2" t="str">
        <f>HYPERLINK("https://ibp.a2mac1.com/costing(costing:projects/details/8191/part/5384058)","Motor")</f>
        <v>Motor</v>
      </c>
      <c r="F2037" t="s">
        <v>2917</v>
      </c>
    </row>
    <row r="2038" spans="1:6" ht="12.75">
      <c r="A2038">
        <v>5316859</v>
      </c>
      <c r="B2038">
        <v>5383906</v>
      </c>
      <c r="C2038" t="s">
        <v>574</v>
      </c>
      <c r="D2038" t="s">
        <v>8</v>
      </c>
      <c r="E2038" s="2" t="str">
        <f>HYPERLINK("https://ibp.a2mac1.com/costing(costing:projects/details/8191/component/5316859)","Screw &gt; Torx socket head cap screw")</f>
        <v>Screw &gt; Torx socket head cap screw</v>
      </c>
      <c r="F2038" t="s">
        <v>2917</v>
      </c>
    </row>
    <row r="2039" spans="1:6" ht="12.75">
      <c r="A2039">
        <v>5383907</v>
      </c>
      <c r="B2039">
        <v>5383645</v>
      </c>
      <c r="C2039" t="s">
        <v>8</v>
      </c>
      <c r="D2039" t="s">
        <v>8</v>
      </c>
      <c r="E2039" s="2" t="str">
        <f>HYPERLINK("https://ibp.a2mac1.com/costing(costing:projects/details/8191/assembly/5383907)","Rear")</f>
        <v>Rear</v>
      </c>
      <c r="F2039" t="s">
        <v>2916</v>
      </c>
    </row>
    <row r="2040" spans="1:6" ht="12.75">
      <c r="A2040">
        <v>5384059</v>
      </c>
      <c r="B2040">
        <v>5383907</v>
      </c>
      <c r="C2040" t="s">
        <v>12</v>
      </c>
      <c r="D2040" t="s">
        <v>8</v>
      </c>
      <c r="E2040" s="2" t="str">
        <f>HYPERLINK("https://ibp.a2mac1.com/costing(costing:projects/details/8191/part/5384059)","Motor")</f>
        <v>Motor</v>
      </c>
      <c r="F2040" t="s">
        <v>2921</v>
      </c>
    </row>
    <row r="2041" spans="1:6" ht="12.75">
      <c r="A2041">
        <v>5384060</v>
      </c>
      <c r="B2041">
        <v>5383907</v>
      </c>
      <c r="C2041" t="s">
        <v>12</v>
      </c>
      <c r="D2041" t="s">
        <v>8</v>
      </c>
      <c r="E2041" s="2" t="str">
        <f>HYPERLINK("https://ibp.a2mac1.com/costing(costing:projects/details/8191/part/5384060)","Motor Support")</f>
        <v>Motor Support</v>
      </c>
      <c r="F2041" t="s">
        <v>2921</v>
      </c>
    </row>
    <row r="2042" spans="1:6" ht="12.75">
      <c r="A2042">
        <v>6972331</v>
      </c>
      <c r="B2042">
        <v>5384060</v>
      </c>
      <c r="C2042" t="s">
        <v>99</v>
      </c>
      <c r="D2042" t="s">
        <v>12</v>
      </c>
      <c r="E2042" s="2" t="str">
        <f>HYPERLINK("https://ibp.a2mac1.com/costing(costing:projects/details/8191/process/6972331)","Stamping")</f>
        <v>Stamping</v>
      </c>
      <c r="F2042" t="s">
        <v>2924</v>
      </c>
    </row>
    <row r="2043" spans="1:6" ht="12.75">
      <c r="A2043">
        <v>5317095</v>
      </c>
      <c r="B2043">
        <v>6972331</v>
      </c>
      <c r="C2043" t="s">
        <v>24</v>
      </c>
      <c r="D2043" t="s">
        <v>99</v>
      </c>
      <c r="E2043" s="2" t="str">
        <f>HYPERLINK("https://ibp.a2mac1.com/costing(costing:projects/details/8191/material/5317095)","Steel sheet (default)")</f>
        <v>Steel sheet (default)</v>
      </c>
      <c r="F2043" t="s">
        <v>2927</v>
      </c>
    </row>
    <row r="2044" spans="1:6" ht="12.75">
      <c r="A2044">
        <v>6944832</v>
      </c>
      <c r="B2044">
        <v>6972331</v>
      </c>
      <c r="C2044" t="s">
        <v>189</v>
      </c>
      <c r="D2044" t="s">
        <v>99</v>
      </c>
      <c r="E2044" s="2" t="str">
        <f>HYPERLINK("https://ibp.a2mac1.com/costing(costing:projects/details/8191/equipment/6944832)","No.01 - Progressive Press - 250T ")</f>
        <v xml:space="preserve">No.01 - Progressive Press - 250T </v>
      </c>
      <c r="F2044" t="s">
        <v>2927</v>
      </c>
    </row>
    <row r="2045" spans="1:6" ht="12.75">
      <c r="A2045">
        <v>6972332</v>
      </c>
      <c r="B2045">
        <v>5384060</v>
      </c>
      <c r="C2045" t="s">
        <v>99</v>
      </c>
      <c r="D2045" t="s">
        <v>12</v>
      </c>
      <c r="E2045" s="2" t="str">
        <f>HYPERLINK("https://ibp.a2mac1.com/costing(costing:projects/details/8191/process/6972332)","Cleaning")</f>
        <v>Cleaning</v>
      </c>
      <c r="F2045" t="s">
        <v>2924</v>
      </c>
    </row>
    <row r="2046" spans="1:6" ht="12.75">
      <c r="A2046">
        <v>6944833</v>
      </c>
      <c r="B2046">
        <v>6972332</v>
      </c>
      <c r="C2046" t="s">
        <v>189</v>
      </c>
      <c r="D2046" t="s">
        <v>99</v>
      </c>
      <c r="E2046" s="2" t="str">
        <f>HYPERLINK("https://ibp.a2mac1.com/costing(costing:projects/details/8191/equipment/6944833)","No.05 - Cleaning - Batch - 2000x2000x1200 - 500kg/batch - 3000kg/h ")</f>
        <v xml:space="preserve">No.05 - Cleaning - Batch - 2000x2000x1200 - 500kg/batch - 3000kg/h </v>
      </c>
      <c r="F2046" t="s">
        <v>2928</v>
      </c>
    </row>
    <row r="2047" spans="1:6" ht="12.75">
      <c r="A2047">
        <v>6972333</v>
      </c>
      <c r="B2047">
        <v>5384060</v>
      </c>
      <c r="C2047" t="s">
        <v>99</v>
      </c>
      <c r="D2047" t="s">
        <v>12</v>
      </c>
      <c r="E2047" s="2" t="str">
        <f>HYPERLINK("https://ibp.a2mac1.com/costing(costing:projects/details/8191/process/6972333)","Cataphoresis")</f>
        <v>Cataphoresis</v>
      </c>
      <c r="F2047" t="s">
        <v>2924</v>
      </c>
    </row>
    <row r="2048" spans="1:6" ht="12.75">
      <c r="A2048">
        <v>5317096</v>
      </c>
      <c r="B2048">
        <v>6972333</v>
      </c>
      <c r="C2048" t="s">
        <v>24</v>
      </c>
      <c r="D2048" t="s">
        <v>99</v>
      </c>
      <c r="E2048" s="2" t="str">
        <f>HYPERLINK("https://ibp.a2mac1.com/costing(costing:projects/details/8191/material/5317096)","Cataphoresis paint")</f>
        <v>Cataphoresis paint</v>
      </c>
      <c r="F2048" t="s">
        <v>2931</v>
      </c>
    </row>
    <row r="2049" spans="1:6" ht="12.75">
      <c r="A2049">
        <v>6944834</v>
      </c>
      <c r="B2049">
        <v>6972333</v>
      </c>
      <c r="C2049" t="s">
        <v>189</v>
      </c>
      <c r="D2049" t="s">
        <v>99</v>
      </c>
      <c r="E2049" s="2" t="str">
        <f>HYPERLINK("https://ibp.a2mac1.com/costing(costing:projects/details/8191/equipment/6944834)","No.02 - cataphoresis line - tank : 1500x1000x1500 ")</f>
        <v xml:space="preserve">No.02 - cataphoresis line - tank : 1500x1000x1500 </v>
      </c>
      <c r="F2049" t="s">
        <v>2931</v>
      </c>
    </row>
    <row r="2050" spans="1:6" ht="12.75">
      <c r="A2050">
        <v>5316860</v>
      </c>
      <c r="B2050">
        <v>5383907</v>
      </c>
      <c r="C2050" t="s">
        <v>574</v>
      </c>
      <c r="D2050" t="s">
        <v>8</v>
      </c>
      <c r="E2050" s="2" t="str">
        <f>HYPERLINK("https://ibp.a2mac1.com/costing(costing:projects/details/8191/component/5316860)","Screw &gt; Torx socket head cap screw")</f>
        <v>Screw &gt; Torx socket head cap screw</v>
      </c>
      <c r="F2050" t="s">
        <v>2921</v>
      </c>
    </row>
    <row r="2051" spans="1:6" ht="12.75">
      <c r="A2051">
        <v>5316861</v>
      </c>
      <c r="B2051">
        <v>5383907</v>
      </c>
      <c r="C2051" t="s">
        <v>574</v>
      </c>
      <c r="D2051" t="s">
        <v>8</v>
      </c>
      <c r="E2051" s="2" t="str">
        <f>HYPERLINK("https://ibp.a2mac1.com/costing(costing:projects/details/8191/component/5316861)","Nut &gt; Hexagonal nut with collar")</f>
        <v>Nut &gt; Hexagonal nut with collar</v>
      </c>
      <c r="F2051" t="s">
        <v>2921</v>
      </c>
    </row>
    <row r="2052" spans="1:6" ht="12.75">
      <c r="A2052">
        <v>5383905</v>
      </c>
      <c r="B2052">
        <v>5383645</v>
      </c>
      <c r="C2052" t="s">
        <v>12</v>
      </c>
      <c r="D2052" t="s">
        <v>8</v>
      </c>
      <c r="E2052" s="2" t="str">
        <f>HYPERLINK("https://ibp.a2mac1.com/costing(costing:projects/details/8191/part/5383905)","Return Spring")</f>
        <v>Return Spring</v>
      </c>
      <c r="F2052" t="s">
        <v>2916</v>
      </c>
    </row>
    <row r="2053" spans="1:6" ht="12.75">
      <c r="A2053">
        <v>5316660</v>
      </c>
      <c r="B2053">
        <v>5383645</v>
      </c>
      <c r="C2053" t="s">
        <v>574</v>
      </c>
      <c r="D2053" t="s">
        <v>8</v>
      </c>
      <c r="E2053" s="2" t="str">
        <f>HYPERLINK("https://ibp.a2mac1.com/costing(costing:projects/details/8191/component/5316660)","Spacer/Axle &gt; Axle")</f>
        <v>Spacer/Axle &gt; Axle</v>
      </c>
      <c r="F2053" t="s">
        <v>2916</v>
      </c>
    </row>
    <row r="2054" spans="1:6" ht="12.75">
      <c r="A2054">
        <v>5383646</v>
      </c>
      <c r="B2054">
        <v>5383534</v>
      </c>
      <c r="C2054" t="s">
        <v>8</v>
      </c>
      <c r="D2054" t="s">
        <v>8</v>
      </c>
      <c r="E2054" s="2" t="str">
        <f>HYPERLINK("https://ibp.a2mac1.com/costing(costing:projects/details/8191/assembly/5383646)","Recliner")</f>
        <v>Recliner</v>
      </c>
      <c r="F2054" t="s">
        <v>2884</v>
      </c>
    </row>
    <row r="2055" spans="1:6" ht="12.75">
      <c r="A2055">
        <v>5383909</v>
      </c>
      <c r="B2055">
        <v>5383646</v>
      </c>
      <c r="C2055" t="s">
        <v>8</v>
      </c>
      <c r="D2055" t="s">
        <v>8</v>
      </c>
      <c r="E2055" s="2" t="str">
        <f>HYPERLINK("https://ibp.a2mac1.com/costing(costing:projects/details/8191/assembly/5383909)","Mechanism")</f>
        <v>Mechanism</v>
      </c>
      <c r="F2055" t="s">
        <v>2937</v>
      </c>
    </row>
    <row r="2056" spans="1:6" ht="12.75">
      <c r="A2056">
        <v>5384061</v>
      </c>
      <c r="B2056">
        <v>5383909</v>
      </c>
      <c r="C2056" t="s">
        <v>12</v>
      </c>
      <c r="D2056" t="s">
        <v>8</v>
      </c>
      <c r="E2056" s="2" t="str">
        <f>HYPERLINK("https://ibp.a2mac1.com/costing(costing:projects/details/8191/part/5384061)","Linking Bar")</f>
        <v>Linking Bar</v>
      </c>
      <c r="F2056" t="s">
        <v>2938</v>
      </c>
    </row>
    <row r="2057" spans="1:6" ht="12.75">
      <c r="A2057">
        <v>5316862</v>
      </c>
      <c r="B2057">
        <v>5383909</v>
      </c>
      <c r="C2057" t="s">
        <v>574</v>
      </c>
      <c r="D2057" t="s">
        <v>8</v>
      </c>
      <c r="E2057" s="2" t="str">
        <f>HYPERLINK("https://ibp.a2mac1.com/costing(costing:projects/details/8191/component/5316862)","Screw &gt; 12 point socket head cap screw")</f>
        <v>Screw &gt; 12 point socket head cap screw</v>
      </c>
      <c r="F2057" t="s">
        <v>2938</v>
      </c>
    </row>
    <row r="2058" spans="1:6" ht="12.75">
      <c r="A2058">
        <v>5383908</v>
      </c>
      <c r="B2058">
        <v>5383646</v>
      </c>
      <c r="C2058" t="s">
        <v>12</v>
      </c>
      <c r="D2058" t="s">
        <v>8</v>
      </c>
      <c r="E2058" s="2" t="str">
        <f>HYPERLINK("https://ibp.a2mac1.com/costing(costing:projects/details/8191/part/5383908)","Motor")</f>
        <v>Motor</v>
      </c>
      <c r="F2058" t="s">
        <v>2937</v>
      </c>
    </row>
    <row r="2059" spans="1:6" ht="12.75">
      <c r="A2059">
        <v>5316661</v>
      </c>
      <c r="B2059">
        <v>5383646</v>
      </c>
      <c r="C2059" t="s">
        <v>574</v>
      </c>
      <c r="D2059" t="s">
        <v>8</v>
      </c>
      <c r="E2059" s="2" t="str">
        <f>HYPERLINK("https://ibp.a2mac1.com/costing(costing:projects/details/8191/component/5316661)","Screw &gt; Torx socket head cap screw")</f>
        <v>Screw &gt; Torx socket head cap screw</v>
      </c>
      <c r="F2059" t="s">
        <v>2937</v>
      </c>
    </row>
    <row r="2060" spans="1:6" ht="12.75">
      <c r="A2060">
        <v>5383647</v>
      </c>
      <c r="B2060">
        <v>5383534</v>
      </c>
      <c r="C2060" t="s">
        <v>8</v>
      </c>
      <c r="D2060" t="s">
        <v>8</v>
      </c>
      <c r="E2060" s="2" t="str">
        <f>HYPERLINK("https://ibp.a2mac1.com/costing(costing:projects/details/8191/assembly/5383647)","Lumbar")</f>
        <v>Lumbar</v>
      </c>
      <c r="F2060" t="s">
        <v>2884</v>
      </c>
    </row>
    <row r="2061" spans="1:6" ht="12.75">
      <c r="A2061">
        <v>5383913</v>
      </c>
      <c r="B2061">
        <v>5383647</v>
      </c>
      <c r="C2061" t="s">
        <v>8</v>
      </c>
      <c r="D2061" t="s">
        <v>8</v>
      </c>
      <c r="E2061" s="2" t="str">
        <f>HYPERLINK("https://ibp.a2mac1.com/costing(costing:projects/details/8191/assembly/5383913)","Mechanism")</f>
        <v>Mechanism</v>
      </c>
      <c r="F2061" t="s">
        <v>2943</v>
      </c>
    </row>
    <row r="2062" spans="1:6" ht="12.75">
      <c r="A2062">
        <v>5384062</v>
      </c>
      <c r="B2062">
        <v>5383913</v>
      </c>
      <c r="C2062" t="s">
        <v>12</v>
      </c>
      <c r="D2062" t="s">
        <v>8</v>
      </c>
      <c r="E2062" s="2" t="str">
        <f>HYPERLINK("https://ibp.a2mac1.com/costing(costing:projects/details/8191/part/5384062)","Pressure Knob")</f>
        <v>Pressure Knob</v>
      </c>
      <c r="F2062" t="s">
        <v>2944</v>
      </c>
    </row>
    <row r="2063" spans="1:6" ht="12.75">
      <c r="A2063">
        <v>6972334</v>
      </c>
      <c r="B2063">
        <v>5384062</v>
      </c>
      <c r="C2063" t="s">
        <v>99</v>
      </c>
      <c r="D2063" t="s">
        <v>12</v>
      </c>
      <c r="E2063" s="2" t="str">
        <f>HYPERLINK("https://ibp.a2mac1.com/costing(costing:projects/details/8191/process/6972334)","Automated Process")</f>
        <v>Automated Process</v>
      </c>
      <c r="F2063" t="s">
        <v>2945</v>
      </c>
    </row>
    <row r="2064" spans="1:6" ht="12.75">
      <c r="A2064">
        <v>5317097</v>
      </c>
      <c r="B2064">
        <v>6972334</v>
      </c>
      <c r="C2064" t="s">
        <v>24</v>
      </c>
      <c r="D2064" t="s">
        <v>99</v>
      </c>
      <c r="E2064" s="2" t="str">
        <f>HYPERLINK("https://ibp.a2mac1.com/costing(costing:projects/details/8191/material/5317097)","TPU")</f>
        <v>TPU</v>
      </c>
      <c r="F2064" t="s">
        <v>2948</v>
      </c>
    </row>
    <row r="2065" spans="1:6" ht="12.75">
      <c r="A2065">
        <v>6944835</v>
      </c>
      <c r="B2065">
        <v>6972334</v>
      </c>
      <c r="C2065" t="s">
        <v>189</v>
      </c>
      <c r="D2065" t="s">
        <v>99</v>
      </c>
      <c r="E2065" s="2" t="str">
        <f>HYPERLINK("https://ibp.a2mac1.com/costing(costing:projects/details/8191/equipment/6944835)","Equipment")</f>
        <v>Equipment</v>
      </c>
      <c r="F2065" t="s">
        <v>2948</v>
      </c>
    </row>
    <row r="2066" spans="1:6" ht="12.75">
      <c r="A2066">
        <v>5384063</v>
      </c>
      <c r="B2066">
        <v>5383913</v>
      </c>
      <c r="C2066" t="s">
        <v>12</v>
      </c>
      <c r="D2066" t="s">
        <v>8</v>
      </c>
      <c r="E2066" s="2" t="str">
        <f>HYPERLINK("https://ibp.a2mac1.com/costing(costing:projects/details/8191/part/5384063)","Pressure Knob Support")</f>
        <v>Pressure Knob Support</v>
      </c>
      <c r="F2066" t="s">
        <v>2944</v>
      </c>
    </row>
    <row r="2067" spans="1:6" ht="12.75">
      <c r="A2067">
        <v>6972335</v>
      </c>
      <c r="B2067">
        <v>5384063</v>
      </c>
      <c r="C2067" t="s">
        <v>99</v>
      </c>
      <c r="D2067" t="s">
        <v>12</v>
      </c>
      <c r="E2067" s="2" t="str">
        <f>HYPERLINK("https://ibp.a2mac1.com/costing(costing:projects/details/8191/process/6972335)","Automated Process")</f>
        <v>Automated Process</v>
      </c>
      <c r="F2067" t="s">
        <v>2951</v>
      </c>
    </row>
    <row r="2068" spans="1:6" ht="12.75">
      <c r="A2068">
        <v>5317098</v>
      </c>
      <c r="B2068">
        <v>6972335</v>
      </c>
      <c r="C2068" t="s">
        <v>24</v>
      </c>
      <c r="D2068" t="s">
        <v>99</v>
      </c>
      <c r="E2068" s="2" t="str">
        <f>HYPERLINK("https://ibp.a2mac1.com/costing(costing:projects/details/8191/material/5317098)","PA6")</f>
        <v>PA6</v>
      </c>
      <c r="F2068" t="s">
        <v>2954</v>
      </c>
    </row>
    <row r="2069" spans="1:6" ht="12.75">
      <c r="A2069">
        <v>6944836</v>
      </c>
      <c r="B2069">
        <v>6972335</v>
      </c>
      <c r="C2069" t="s">
        <v>189</v>
      </c>
      <c r="D2069" t="s">
        <v>99</v>
      </c>
      <c r="E2069" s="2" t="str">
        <f>HYPERLINK("https://ibp.a2mac1.com/costing(costing:projects/details/8191/equipment/6944836)","Equipment (Injection Molding)")</f>
        <v>Equipment (Injection Molding)</v>
      </c>
      <c r="F2069" t="s">
        <v>2954</v>
      </c>
    </row>
    <row r="2070" spans="1:6" ht="12.75">
      <c r="A2070">
        <v>5316865</v>
      </c>
      <c r="B2070">
        <v>5383913</v>
      </c>
      <c r="C2070" t="s">
        <v>574</v>
      </c>
      <c r="D2070" t="s">
        <v>8</v>
      </c>
      <c r="E2070" s="2" t="str">
        <f>HYPERLINK("https://ibp.a2mac1.com/costing(costing:projects/details/8191/component/5316865)","Screw &gt; Torx socket head cap screw with flange")</f>
        <v>Screw &gt; Torx socket head cap screw with flange</v>
      </c>
      <c r="F2070" t="s">
        <v>2944</v>
      </c>
    </row>
    <row r="2071" spans="1:6" ht="12.75">
      <c r="A2071">
        <v>5383910</v>
      </c>
      <c r="B2071">
        <v>5383647</v>
      </c>
      <c r="C2071" t="s">
        <v>12</v>
      </c>
      <c r="D2071" t="s">
        <v>8</v>
      </c>
      <c r="E2071" s="2" t="str">
        <f>HYPERLINK("https://ibp.a2mac1.com/costing(costing:projects/details/8191/part/5383910)","Control")</f>
        <v>Control</v>
      </c>
      <c r="F2071" t="s">
        <v>2943</v>
      </c>
    </row>
    <row r="2072" spans="1:6" ht="12.75">
      <c r="A2072">
        <v>5383911</v>
      </c>
      <c r="B2072">
        <v>5383647</v>
      </c>
      <c r="C2072" t="s">
        <v>12</v>
      </c>
      <c r="D2072" t="s">
        <v>8</v>
      </c>
      <c r="E2072" s="2" t="str">
        <f>HYPERLINK("https://ibp.a2mac1.com/costing(costing:projects/details/8191/part/5383911)","Compressor")</f>
        <v>Compressor</v>
      </c>
      <c r="F2072" t="s">
        <v>2943</v>
      </c>
    </row>
    <row r="2073" spans="1:6" ht="12.75">
      <c r="A2073">
        <v>5383912</v>
      </c>
      <c r="B2073">
        <v>5383647</v>
      </c>
      <c r="C2073" t="s">
        <v>12</v>
      </c>
      <c r="D2073" t="s">
        <v>8</v>
      </c>
      <c r="E2073" s="2" t="str">
        <f>HYPERLINK("https://ibp.a2mac1.com/costing(costing:projects/details/8191/part/5383912)","Air Distributor")</f>
        <v>Air Distributor</v>
      </c>
      <c r="F2073" t="s">
        <v>2943</v>
      </c>
    </row>
    <row r="2074" spans="1:6" ht="12.75">
      <c r="A2074">
        <v>6972183</v>
      </c>
      <c r="B2074">
        <v>5383912</v>
      </c>
      <c r="C2074" t="s">
        <v>99</v>
      </c>
      <c r="D2074" t="s">
        <v>12</v>
      </c>
      <c r="E2074" s="2" t="str">
        <f>HYPERLINK("https://ibp.a2mac1.com/costing(costing:projects/details/8191/process/6972183)","Process")</f>
        <v>Process</v>
      </c>
      <c r="F2074" t="s">
        <v>2962</v>
      </c>
    </row>
    <row r="2075" spans="1:6" ht="12.75">
      <c r="A2075">
        <v>6944678</v>
      </c>
      <c r="B2075">
        <v>6972183</v>
      </c>
      <c r="C2075" t="s">
        <v>189</v>
      </c>
      <c r="D2075" t="s">
        <v>99</v>
      </c>
      <c r="E2075" s="2" t="str">
        <f>HYPERLINK("https://ibp.a2mac1.com/costing(costing:projects/details/8191/equipment/6944678)","Dummy Machine (PCBA+Final Assembly Line)")</f>
        <v>Dummy Machine (PCBA+Final Assembly Line)</v>
      </c>
      <c r="F2075" t="s">
        <v>2963</v>
      </c>
    </row>
    <row r="2076" spans="1:6" ht="12.75">
      <c r="A2076">
        <v>5316863</v>
      </c>
      <c r="B2076">
        <v>5383912</v>
      </c>
      <c r="C2076" t="s">
        <v>574</v>
      </c>
      <c r="D2076" t="s">
        <v>12</v>
      </c>
      <c r="E2076" s="2" t="str">
        <f>HYPERLINK("https://ibp.a2mac1.com/costing(costing:projects/details/8191/component/5316863)","Electronics")</f>
        <v>Electronics</v>
      </c>
      <c r="F2076" t="s">
        <v>2962</v>
      </c>
    </row>
    <row r="2077" spans="1:6" ht="12.75">
      <c r="A2077">
        <v>5316864</v>
      </c>
      <c r="B2077">
        <v>5383912</v>
      </c>
      <c r="C2077" t="s">
        <v>574</v>
      </c>
      <c r="D2077" t="s">
        <v>12</v>
      </c>
      <c r="E2077" s="2" t="str">
        <f>HYPERLINK("https://ibp.a2mac1.com/costing(costing:projects/details/8191/component/5316864)","Mechanics")</f>
        <v>Mechanics</v>
      </c>
      <c r="F2077" t="s">
        <v>2962</v>
      </c>
    </row>
    <row r="2078" spans="1:6" ht="12.75">
      <c r="A2078">
        <v>5316662</v>
      </c>
      <c r="B2078">
        <v>5383647</v>
      </c>
      <c r="C2078" t="s">
        <v>574</v>
      </c>
      <c r="D2078" t="s">
        <v>8</v>
      </c>
      <c r="E2078" s="2" t="str">
        <f>HYPERLINK("https://ibp.a2mac1.com/costing(costing:projects/details/8191/component/5316662)","Screw &gt; Torx socket head cap screw with flange")</f>
        <v>Screw &gt; Torx socket head cap screw with flange</v>
      </c>
      <c r="F2078" t="s">
        <v>2943</v>
      </c>
    </row>
    <row r="2079" spans="1:6" ht="12.75">
      <c r="A2079">
        <v>5316663</v>
      </c>
      <c r="B2079">
        <v>5383647</v>
      </c>
      <c r="C2079" t="s">
        <v>574</v>
      </c>
      <c r="D2079" t="s">
        <v>8</v>
      </c>
      <c r="E2079" s="2" t="str">
        <f>HYPERLINK("https://ibp.a2mac1.com/costing(costing:projects/details/8191/component/5316663)","Screw &gt; Torx socket head cap screw with flange")</f>
        <v>Screw &gt; Torx socket head cap screw with flange</v>
      </c>
      <c r="F2079" t="s">
        <v>2943</v>
      </c>
    </row>
    <row r="2080" spans="1:6" ht="12.75">
      <c r="A2080">
        <v>5383648</v>
      </c>
      <c r="B2080">
        <v>5383534</v>
      </c>
      <c r="C2080" t="s">
        <v>8</v>
      </c>
      <c r="D2080" t="s">
        <v>8</v>
      </c>
      <c r="E2080" s="2" t="str">
        <f>HYPERLINK("https://ibp.a2mac1.com/costing(costing:projects/details/8191/assembly/5383648)","Presetting System")</f>
        <v>Presetting System</v>
      </c>
      <c r="F2080" t="s">
        <v>2884</v>
      </c>
    </row>
    <row r="2081" spans="1:6" ht="12.75">
      <c r="A2081">
        <v>5383914</v>
      </c>
      <c r="B2081">
        <v>5383648</v>
      </c>
      <c r="C2081" t="s">
        <v>12</v>
      </c>
      <c r="D2081" t="s">
        <v>8</v>
      </c>
      <c r="E2081" s="2" t="str">
        <f>HYPERLINK("https://ibp.a2mac1.com/costing(costing:projects/details/8191/part/5383914)","Control")</f>
        <v>Control</v>
      </c>
      <c r="F2081" t="s">
        <v>2966</v>
      </c>
    </row>
    <row r="2082" spans="1:6" ht="12.75">
      <c r="A2082">
        <v>5383641</v>
      </c>
      <c r="B2082">
        <v>5383534</v>
      </c>
      <c r="C2082" t="s">
        <v>12</v>
      </c>
      <c r="D2082" t="s">
        <v>8</v>
      </c>
      <c r="E2082" s="2" t="str">
        <f>HYPERLINK("https://ibp.a2mac1.com/costing(costing:projects/details/8191/part/5383641)","Adjustment Control")</f>
        <v>Adjustment Control</v>
      </c>
      <c r="F2082" t="s">
        <v>2884</v>
      </c>
    </row>
    <row r="2083" spans="1:6" ht="12.75">
      <c r="A2083">
        <v>6972122</v>
      </c>
      <c r="B2083">
        <v>5383641</v>
      </c>
      <c r="C2083" t="s">
        <v>99</v>
      </c>
      <c r="D2083" t="s">
        <v>12</v>
      </c>
      <c r="E2083" s="2" t="str">
        <f>HYPERLINK("https://ibp.a2mac1.com/costing(costing:projects/details/8191/process/6972122)","Process")</f>
        <v>Process</v>
      </c>
      <c r="F2083" t="s">
        <v>2970</v>
      </c>
    </row>
    <row r="2084" spans="1:6" ht="12.75">
      <c r="A2084">
        <v>6944581</v>
      </c>
      <c r="B2084">
        <v>6972122</v>
      </c>
      <c r="C2084" t="s">
        <v>189</v>
      </c>
      <c r="D2084" t="s">
        <v>99</v>
      </c>
      <c r="E2084" s="2" t="str">
        <f>HYPERLINK("https://ibp.a2mac1.com/costing(costing:projects/details/8191/equipment/6944581)","Dummy Machine (PCBA+Final Assembly Line)")</f>
        <v>Dummy Machine (PCBA+Final Assembly Line)</v>
      </c>
      <c r="F2084" t="s">
        <v>2971</v>
      </c>
    </row>
    <row r="2085" spans="1:6" ht="12.75">
      <c r="A2085">
        <v>5316654</v>
      </c>
      <c r="B2085">
        <v>5383641</v>
      </c>
      <c r="C2085" t="s">
        <v>574</v>
      </c>
      <c r="D2085" t="s">
        <v>12</v>
      </c>
      <c r="E2085" s="2" t="str">
        <f>HYPERLINK("https://ibp.a2mac1.com/costing(costing:projects/details/8191/component/5316654)","Mechanics")</f>
        <v>Mechanics</v>
      </c>
      <c r="F2085" t="s">
        <v>2970</v>
      </c>
    </row>
    <row r="2086" spans="1:6" ht="12.75">
      <c r="A2086">
        <v>5316655</v>
      </c>
      <c r="B2086">
        <v>5383641</v>
      </c>
      <c r="C2086" t="s">
        <v>574</v>
      </c>
      <c r="D2086" t="s">
        <v>12</v>
      </c>
      <c r="E2086" s="2" t="str">
        <f>HYPERLINK("https://ibp.a2mac1.com/costing(costing:projects/details/8191/component/5316655)","Electronics")</f>
        <v>Electronics</v>
      </c>
      <c r="F2086" t="s">
        <v>2970</v>
      </c>
    </row>
    <row r="2087" spans="1:6" ht="12.75">
      <c r="A2087">
        <v>5383642</v>
      </c>
      <c r="B2087">
        <v>5383534</v>
      </c>
      <c r="C2087" t="s">
        <v>12</v>
      </c>
      <c r="D2087" t="s">
        <v>8</v>
      </c>
      <c r="E2087" s="2" t="str">
        <f>HYPERLINK("https://ibp.a2mac1.com/costing(costing:projects/details/8191/part/5383642)","Driver Seat ECU")</f>
        <v>Driver Seat ECU</v>
      </c>
      <c r="F2087" t="s">
        <v>2884</v>
      </c>
    </row>
    <row r="2088" spans="1:6" ht="12.75">
      <c r="A2088">
        <v>6972123</v>
      </c>
      <c r="B2088">
        <v>5383642</v>
      </c>
      <c r="C2088" t="s">
        <v>99</v>
      </c>
      <c r="D2088" t="s">
        <v>12</v>
      </c>
      <c r="E2088" s="2" t="str">
        <f>HYPERLINK("https://ibp.a2mac1.com/costing(costing:projects/details/8191/process/6972123)","Process")</f>
        <v>Process</v>
      </c>
      <c r="F2088" t="s">
        <v>2973</v>
      </c>
    </row>
    <row r="2089" spans="1:6" ht="12.75">
      <c r="A2089">
        <v>6944582</v>
      </c>
      <c r="B2089">
        <v>6972123</v>
      </c>
      <c r="C2089" t="s">
        <v>189</v>
      </c>
      <c r="D2089" t="s">
        <v>99</v>
      </c>
      <c r="E2089" s="2" t="str">
        <f>HYPERLINK("https://ibp.a2mac1.com/costing(costing:projects/details/8191/equipment/6944582)","Dummy Machine (PCBA+Final Assembly Line)")</f>
        <v>Dummy Machine (PCBA+Final Assembly Line)</v>
      </c>
      <c r="F2089" t="s">
        <v>2974</v>
      </c>
    </row>
    <row r="2090" spans="1:6" ht="12.75">
      <c r="A2090">
        <v>5316656</v>
      </c>
      <c r="B2090">
        <v>5383642</v>
      </c>
      <c r="C2090" t="s">
        <v>574</v>
      </c>
      <c r="D2090" t="s">
        <v>12</v>
      </c>
      <c r="E2090" s="2" t="str">
        <f>HYPERLINK("https://ibp.a2mac1.com/costing(costing:projects/details/8191/component/5316656)","Electronics")</f>
        <v>Electronics</v>
      </c>
      <c r="F2090" t="s">
        <v>2973</v>
      </c>
    </row>
    <row r="2091" spans="1:6" ht="12.75">
      <c r="A2091">
        <v>5316657</v>
      </c>
      <c r="B2091">
        <v>5383642</v>
      </c>
      <c r="C2091" t="s">
        <v>574</v>
      </c>
      <c r="D2091" t="s">
        <v>12</v>
      </c>
      <c r="E2091" s="2" t="str">
        <f>HYPERLINK("https://ibp.a2mac1.com/costing(costing:projects/details/8191/component/5316657)","Mechanics")</f>
        <v>Mechanics</v>
      </c>
      <c r="F2091" t="s">
        <v>2973</v>
      </c>
    </row>
    <row r="2092" spans="1:6" ht="12.75">
      <c r="A2092">
        <v>5383643</v>
      </c>
      <c r="B2092">
        <v>5383534</v>
      </c>
      <c r="C2092" t="s">
        <v>12</v>
      </c>
      <c r="D2092" t="s">
        <v>8</v>
      </c>
      <c r="E2092" s="2" t="str">
        <f>HYPERLINK("https://ibp.a2mac1.com/costing(costing:projects/details/8191/part/5383643)","Driver Seat ECU Support")</f>
        <v>Driver Seat ECU Support</v>
      </c>
      <c r="F2092" t="s">
        <v>2884</v>
      </c>
    </row>
    <row r="2093" spans="1:6" ht="12.75">
      <c r="A2093">
        <v>5316556</v>
      </c>
      <c r="B2093">
        <v>5383534</v>
      </c>
      <c r="C2093" t="s">
        <v>574</v>
      </c>
      <c r="D2093" t="s">
        <v>8</v>
      </c>
      <c r="E2093" s="2" t="str">
        <f>HYPERLINK("https://ibp.a2mac1.com/costing(costing:projects/details/8191/component/5316556)","Screw &gt; Torx socket head cap screw with flange")</f>
        <v>Screw &gt; Torx socket head cap screw with flange</v>
      </c>
      <c r="F2093" t="s">
        <v>2884</v>
      </c>
    </row>
    <row r="2094" spans="1:6" ht="12.75">
      <c r="A2094">
        <v>5383535</v>
      </c>
      <c r="B2094">
        <v>5383399</v>
      </c>
      <c r="C2094" t="s">
        <v>8</v>
      </c>
      <c r="D2094" t="s">
        <v>8</v>
      </c>
      <c r="E2094" s="2" t="str">
        <f>HYPERLINK("https://ibp.a2mac1.com/costing(costing:projects/details/8191/assembly/5383535)","Support System")</f>
        <v>Support System</v>
      </c>
      <c r="F2094" t="s">
        <v>2687</v>
      </c>
    </row>
    <row r="2095" spans="1:6" ht="12.75">
      <c r="A2095">
        <v>5383649</v>
      </c>
      <c r="B2095">
        <v>5383535</v>
      </c>
      <c r="C2095" t="s">
        <v>12</v>
      </c>
      <c r="D2095" t="s">
        <v>8</v>
      </c>
      <c r="E2095" s="2" t="str">
        <f>HYPERLINK("https://ibp.a2mac1.com/costing(costing:projects/details/8191/part/5383649)","Front Inner Trim and Outer if the Same")</f>
        <v>Front Inner Trim and Outer if the Same</v>
      </c>
      <c r="F2095" t="s">
        <v>2978</v>
      </c>
    </row>
    <row r="2096" spans="1:6" ht="12.75">
      <c r="A2096">
        <v>6972124</v>
      </c>
      <c r="B2096">
        <v>5383649</v>
      </c>
      <c r="C2096" t="s">
        <v>99</v>
      </c>
      <c r="D2096" t="s">
        <v>12</v>
      </c>
      <c r="E2096" s="2" t="str">
        <f>HYPERLINK("https://ibp.a2mac1.com/costing(costing:projects/details/8191/process/6972124)","Automated Process")</f>
        <v>Automated Process</v>
      </c>
      <c r="F2096" t="s">
        <v>2979</v>
      </c>
    </row>
    <row r="2097" spans="1:6" ht="12.75">
      <c r="A2097">
        <v>5316866</v>
      </c>
      <c r="B2097">
        <v>6972124</v>
      </c>
      <c r="C2097" t="s">
        <v>24</v>
      </c>
      <c r="D2097" t="s">
        <v>99</v>
      </c>
      <c r="E2097" s="2" t="str">
        <f>HYPERLINK("https://ibp.a2mac1.com/costing(costing:projects/details/8191/material/5316866)","ABS")</f>
        <v>ABS</v>
      </c>
      <c r="F2097" t="s">
        <v>2982</v>
      </c>
    </row>
    <row r="2098" spans="1:6" ht="12.75">
      <c r="A2098">
        <v>6944583</v>
      </c>
      <c r="B2098">
        <v>6972124</v>
      </c>
      <c r="C2098" t="s">
        <v>189</v>
      </c>
      <c r="D2098" t="s">
        <v>99</v>
      </c>
      <c r="E2098" s="2" t="str">
        <f>HYPERLINK("https://ibp.a2mac1.com/costing(costing:projects/details/8191/equipment/6944583)","Equipment (Injection Molding)")</f>
        <v>Equipment (Injection Molding)</v>
      </c>
      <c r="F2098" t="s">
        <v>2982</v>
      </c>
    </row>
    <row r="2099" spans="1:6" ht="12.75">
      <c r="A2099">
        <v>5383650</v>
      </c>
      <c r="B2099">
        <v>5383535</v>
      </c>
      <c r="C2099" t="s">
        <v>12</v>
      </c>
      <c r="D2099" t="s">
        <v>8</v>
      </c>
      <c r="E2099" s="2" t="str">
        <f>HYPERLINK("https://ibp.a2mac1.com/costing(costing:projects/details/8191/part/5383650)","Front Outer Trim")</f>
        <v>Front Outer Trim</v>
      </c>
      <c r="F2099" t="s">
        <v>2978</v>
      </c>
    </row>
    <row r="2100" spans="1:6" ht="12.75">
      <c r="A2100">
        <v>6972125</v>
      </c>
      <c r="B2100">
        <v>5383650</v>
      </c>
      <c r="C2100" t="s">
        <v>99</v>
      </c>
      <c r="D2100" t="s">
        <v>12</v>
      </c>
      <c r="E2100" s="2" t="str">
        <f>HYPERLINK("https://ibp.a2mac1.com/costing(costing:projects/details/8191/process/6972125)","Automated Process")</f>
        <v>Automated Process</v>
      </c>
      <c r="F2100" t="s">
        <v>2985</v>
      </c>
    </row>
    <row r="2101" spans="1:6" ht="12.75">
      <c r="A2101">
        <v>5316867</v>
      </c>
      <c r="B2101">
        <v>6972125</v>
      </c>
      <c r="C2101" t="s">
        <v>24</v>
      </c>
      <c r="D2101" t="s">
        <v>99</v>
      </c>
      <c r="E2101" s="2" t="str">
        <f>HYPERLINK("https://ibp.a2mac1.com/costing(costing:projects/details/8191/material/5316867)","ABS")</f>
        <v>ABS</v>
      </c>
      <c r="F2101" t="s">
        <v>2986</v>
      </c>
    </row>
    <row r="2102" spans="1:6" ht="12.75">
      <c r="A2102">
        <v>6944584</v>
      </c>
      <c r="B2102">
        <v>6972125</v>
      </c>
      <c r="C2102" t="s">
        <v>189</v>
      </c>
      <c r="D2102" t="s">
        <v>99</v>
      </c>
      <c r="E2102" s="2" t="str">
        <f>HYPERLINK("https://ibp.a2mac1.com/costing(costing:projects/details/8191/equipment/6944584)","Equipment (Injection Molding)")</f>
        <v>Equipment (Injection Molding)</v>
      </c>
      <c r="F2102" t="s">
        <v>2986</v>
      </c>
    </row>
    <row r="2103" spans="1:6" ht="12.75">
      <c r="A2103">
        <v>5383536</v>
      </c>
      <c r="B2103">
        <v>5383399</v>
      </c>
      <c r="C2103" t="s">
        <v>8</v>
      </c>
      <c r="D2103" t="s">
        <v>8</v>
      </c>
      <c r="E2103" s="2" t="str">
        <f>HYPERLINK("https://ibp.a2mac1.com/costing(costing:projects/details/8191/assembly/5383536)","Heating System")</f>
        <v>Heating System</v>
      </c>
      <c r="F2103" t="s">
        <v>2687</v>
      </c>
    </row>
    <row r="2104" spans="1:6" ht="12.75">
      <c r="A2104">
        <v>5383651</v>
      </c>
      <c r="B2104">
        <v>5383536</v>
      </c>
      <c r="C2104" t="s">
        <v>12</v>
      </c>
      <c r="D2104" t="s">
        <v>8</v>
      </c>
      <c r="E2104" s="2" t="str">
        <f>HYPERLINK("https://ibp.a2mac1.com/costing(costing:projects/details/8191/part/5383651)","Cushion Heating")</f>
        <v>Cushion Heating</v>
      </c>
      <c r="F2104" t="s">
        <v>2989</v>
      </c>
    </row>
    <row r="2105" spans="1:6" ht="12.75">
      <c r="A2105">
        <v>5383652</v>
      </c>
      <c r="B2105">
        <v>5383536</v>
      </c>
      <c r="C2105" t="s">
        <v>12</v>
      </c>
      <c r="D2105" t="s">
        <v>8</v>
      </c>
      <c r="E2105" s="2" t="str">
        <f>HYPERLINK("https://ibp.a2mac1.com/costing(costing:projects/details/8191/part/5383652)","Back Heating")</f>
        <v>Back Heating</v>
      </c>
      <c r="F2105" t="s">
        <v>2989</v>
      </c>
    </row>
    <row r="2106" spans="1:6" ht="12.75">
      <c r="A2106">
        <v>5383527</v>
      </c>
      <c r="B2106">
        <v>5383399</v>
      </c>
      <c r="C2106" t="s">
        <v>12</v>
      </c>
      <c r="D2106" t="s">
        <v>8</v>
      </c>
      <c r="E2106" s="2" t="str">
        <f>HYPERLINK("https://ibp.a2mac1.com/costing(costing:projects/details/8191/part/5383527)","Wiring Harness")</f>
        <v>Wiring Harness</v>
      </c>
      <c r="F2106" t="s">
        <v>2687</v>
      </c>
    </row>
    <row r="2107" spans="1:6" ht="12.75">
      <c r="A2107">
        <v>6971940</v>
      </c>
      <c r="B2107">
        <v>5383527</v>
      </c>
      <c r="C2107" t="s">
        <v>99</v>
      </c>
      <c r="D2107" t="s">
        <v>12</v>
      </c>
      <c r="E2107" s="2" t="str">
        <f>HYPERLINK("https://ibp.a2mac1.com/costing(costing:projects/details/8191/process/6971940)","Process")</f>
        <v>Process</v>
      </c>
      <c r="F2107" t="s">
        <v>2995</v>
      </c>
    </row>
    <row r="2108" spans="1:6" ht="12.75">
      <c r="A2108">
        <v>6944439</v>
      </c>
      <c r="B2108">
        <v>6971940</v>
      </c>
      <c r="C2108" t="s">
        <v>189</v>
      </c>
      <c r="D2108" t="s">
        <v>99</v>
      </c>
      <c r="E2108" s="2" t="str">
        <f>HYPERLINK("https://ibp.a2mac1.com/costing(costing:projects/details/8191/equipment/6944439)","Dummy Machine (Wireharness production line)")</f>
        <v>Dummy Machine (Wireharness production line)</v>
      </c>
      <c r="F2108" t="s">
        <v>2996</v>
      </c>
    </row>
    <row r="2109" spans="1:6" ht="12.75">
      <c r="A2109">
        <v>5316550</v>
      </c>
      <c r="B2109">
        <v>5383527</v>
      </c>
      <c r="C2109" t="s">
        <v>574</v>
      </c>
      <c r="D2109" t="s">
        <v>12</v>
      </c>
      <c r="E2109" s="2" t="str">
        <f>HYPERLINK("https://ibp.a2mac1.com/costing(costing:projects/details/8191/component/5316550)","Copper")</f>
        <v>Copper</v>
      </c>
      <c r="F2109" t="s">
        <v>2995</v>
      </c>
    </row>
    <row r="2110" spans="1:6" ht="12.75">
      <c r="A2110">
        <v>5316551</v>
      </c>
      <c r="B2110">
        <v>5383527</v>
      </c>
      <c r="C2110" t="s">
        <v>574</v>
      </c>
      <c r="D2110" t="s">
        <v>12</v>
      </c>
      <c r="E2110" s="2" t="str">
        <f>HYPERLINK("https://ibp.a2mac1.com/costing(costing:projects/details/8191/component/5316551)","Material")</f>
        <v>Material</v>
      </c>
      <c r="F2110" t="s">
        <v>2995</v>
      </c>
    </row>
    <row r="2111" spans="1:6" ht="12.75">
      <c r="A2111">
        <v>5383528</v>
      </c>
      <c r="B2111">
        <v>5383399</v>
      </c>
      <c r="C2111" t="s">
        <v>12</v>
      </c>
      <c r="D2111" t="s">
        <v>8</v>
      </c>
      <c r="E2111" s="2" t="str">
        <f>HYPERLINK("https://ibp.a2mac1.com/costing(costing:projects/details/8191/part/5383528)","Position Sensor")</f>
        <v>Position Sensor</v>
      </c>
      <c r="F2111" t="s">
        <v>2687</v>
      </c>
    </row>
    <row r="2112" spans="1:6" ht="12.75">
      <c r="A2112">
        <v>5383529</v>
      </c>
      <c r="B2112">
        <v>5383399</v>
      </c>
      <c r="C2112" t="s">
        <v>12</v>
      </c>
      <c r="D2112" t="s">
        <v>8</v>
      </c>
      <c r="E2112" s="2" t="str">
        <f>HYPERLINK("https://ibp.a2mac1.com/costing(costing:projects/details/8191/part/5383529)","Position Sensor Support")</f>
        <v>Position Sensor Support</v>
      </c>
      <c r="F2112" t="s">
        <v>2687</v>
      </c>
    </row>
    <row r="2113" spans="1:6" ht="12.75">
      <c r="A2113">
        <v>6971941</v>
      </c>
      <c r="B2113">
        <v>5383529</v>
      </c>
      <c r="C2113" t="s">
        <v>99</v>
      </c>
      <c r="D2113" t="s">
        <v>12</v>
      </c>
      <c r="E2113" s="2" t="str">
        <f>HYPERLINK("https://ibp.a2mac1.com/costing(costing:projects/details/8191/process/6971941)","Injection molding")</f>
        <v>Injection molding</v>
      </c>
      <c r="F2113" t="s">
        <v>2999</v>
      </c>
    </row>
    <row r="2114" spans="1:6" ht="12.75">
      <c r="A2114">
        <v>5316646</v>
      </c>
      <c r="B2114">
        <v>6971941</v>
      </c>
      <c r="C2114" t="s">
        <v>24</v>
      </c>
      <c r="D2114" t="s">
        <v>99</v>
      </c>
      <c r="E2114" s="2" t="str">
        <f>HYPERLINK("https://ibp.a2mac1.com/costing(costing:projects/details/8191/material/5316646)","PA66-GF15")</f>
        <v>PA66-GF15</v>
      </c>
      <c r="F2114" t="s">
        <v>3002</v>
      </c>
    </row>
    <row r="2115" spans="1:6" ht="12.75">
      <c r="A2115">
        <v>6944440</v>
      </c>
      <c r="B2115">
        <v>6971941</v>
      </c>
      <c r="C2115" t="s">
        <v>189</v>
      </c>
      <c r="D2115" t="s">
        <v>99</v>
      </c>
      <c r="E2115" s="2" t="str">
        <f>HYPERLINK("https://ibp.a2mac1.com/costing(costing:projects/details/8191/equipment/6944440)","No.01 - Injection Press - 40T - 18kW - 270x270 - Max Volume 128cm3 ")</f>
        <v xml:space="preserve">No.01 - Injection Press - 40T - 18kW - 270x270 - Max Volume 128cm3 </v>
      </c>
      <c r="F2115" t="s">
        <v>3002</v>
      </c>
    </row>
    <row r="2116" spans="1:6" ht="12.75">
      <c r="A2116">
        <v>6971832</v>
      </c>
      <c r="B2116">
        <v>5383399</v>
      </c>
      <c r="C2116" t="s">
        <v>99</v>
      </c>
      <c r="D2116" t="s">
        <v>8</v>
      </c>
      <c r="E2116" s="2" t="str">
        <f>HYPERLINK("https://ibp.a2mac1.com/costing(costing:projects/details/8191/process/6971832)","J.I.T. Assembly")</f>
        <v>J.I.T. Assembly</v>
      </c>
      <c r="F2116" t="s">
        <v>2687</v>
      </c>
    </row>
    <row r="2117" spans="1:6" ht="12.75">
      <c r="A2117">
        <v>6944260</v>
      </c>
      <c r="B2117">
        <v>6971832</v>
      </c>
      <c r="C2117" t="s">
        <v>189</v>
      </c>
      <c r="D2117" t="s">
        <v>99</v>
      </c>
      <c r="E2117" s="2" t="str">
        <f>HYPERLINK("https://ibp.a2mac1.com/costing(costing:projects/details/8191/equipment/6944260)","DC Machine")</f>
        <v>DC Machine</v>
      </c>
      <c r="F2117" t="s">
        <v>3005</v>
      </c>
    </row>
    <row r="2118" spans="1:6" ht="12.75">
      <c r="A2118">
        <v>5316534</v>
      </c>
      <c r="B2118">
        <v>5383399</v>
      </c>
      <c r="C2118" t="s">
        <v>574</v>
      </c>
      <c r="D2118" t="s">
        <v>8</v>
      </c>
      <c r="E2118" s="2" t="str">
        <f>HYPERLINK("https://ibp.a2mac1.com/costing(costing:projects/details/8191/component/5316534)","Screw &gt; Torx socket head cap screw with flange")</f>
        <v>Screw &gt; Torx socket head cap screw with flange</v>
      </c>
      <c r="F2118" t="s">
        <v>2687</v>
      </c>
    </row>
    <row r="2119" spans="1:6" ht="12.75">
      <c r="A2119">
        <v>5316535</v>
      </c>
      <c r="B2119">
        <v>5383399</v>
      </c>
      <c r="C2119" t="s">
        <v>574</v>
      </c>
      <c r="D2119" t="s">
        <v>8</v>
      </c>
      <c r="E2119" s="2" t="str">
        <f>HYPERLINK("https://ibp.a2mac1.com/costing(costing:projects/details/8191/component/5316535)","Tube/cluster support &gt; Tube/cluster beribboned support in hole")</f>
        <v>Tube/cluster support &gt; Tube/cluster beribboned support in hole</v>
      </c>
      <c r="F2119" t="s">
        <v>2687</v>
      </c>
    </row>
    <row r="2120" spans="1:6" ht="12.75">
      <c r="A2120">
        <v>5383400</v>
      </c>
      <c r="B2120">
        <v>5383339</v>
      </c>
      <c r="C2120" t="s">
        <v>8</v>
      </c>
      <c r="D2120" t="s">
        <v>8</v>
      </c>
      <c r="E2120" s="2" t="str">
        <f>HYPERLINK("https://ibp.a2mac1.com/costing(costing:projects/details/8191/assembly/5383400)","Passenger")</f>
        <v>Passenger</v>
      </c>
      <c r="F2120" t="s">
        <v>2686</v>
      </c>
    </row>
    <row r="2121" spans="1:6" ht="12.75">
      <c r="A2121">
        <v>5383538</v>
      </c>
      <c r="B2121">
        <v>5383400</v>
      </c>
      <c r="C2121" t="s">
        <v>8</v>
      </c>
      <c r="D2121" t="s">
        <v>8</v>
      </c>
      <c r="E2121" s="2" t="str">
        <f>HYPERLINK("https://ibp.a2mac1.com/costing(costing:projects/details/8191/assembly/5383538)","Back")</f>
        <v>Back</v>
      </c>
      <c r="F2121" t="s">
        <v>3007</v>
      </c>
    </row>
    <row r="2122" spans="1:6" ht="12.75">
      <c r="A2122">
        <v>5383655</v>
      </c>
      <c r="B2122">
        <v>5383538</v>
      </c>
      <c r="C2122" t="s">
        <v>8</v>
      </c>
      <c r="D2122" t="s">
        <v>8</v>
      </c>
      <c r="E2122" s="2" t="str">
        <f>HYPERLINK("https://ibp.a2mac1.com/costing(costing:projects/details/8191/assembly/5383655)","Head Rest Support Bracket")</f>
        <v>Head Rest Support Bracket</v>
      </c>
      <c r="F2122" t="s">
        <v>3008</v>
      </c>
    </row>
    <row r="2123" spans="1:6" ht="12.75">
      <c r="A2123">
        <v>5383915</v>
      </c>
      <c r="B2123">
        <v>5383655</v>
      </c>
      <c r="C2123" t="s">
        <v>12</v>
      </c>
      <c r="D2123" t="s">
        <v>8</v>
      </c>
      <c r="E2123" s="2" t="str">
        <f>HYPERLINK("https://ibp.a2mac1.com/costing(costing:projects/details/8191/part/5383915)","Lock Support")</f>
        <v>Lock Support</v>
      </c>
      <c r="F2123" t="s">
        <v>3009</v>
      </c>
    </row>
    <row r="2124" spans="1:6" ht="12.75">
      <c r="A2124">
        <v>6972184</v>
      </c>
      <c r="B2124">
        <v>5383915</v>
      </c>
      <c r="C2124" t="s">
        <v>99</v>
      </c>
      <c r="D2124" t="s">
        <v>12</v>
      </c>
      <c r="E2124" s="2" t="str">
        <f>HYPERLINK("https://ibp.a2mac1.com/costing(costing:projects/details/8191/process/6972184)","Automated Process")</f>
        <v>Automated Process</v>
      </c>
      <c r="F2124" t="s">
        <v>3010</v>
      </c>
    </row>
    <row r="2125" spans="1:6" ht="12.75">
      <c r="A2125">
        <v>5317053</v>
      </c>
      <c r="B2125">
        <v>6972184</v>
      </c>
      <c r="C2125" t="s">
        <v>24</v>
      </c>
      <c r="D2125" t="s">
        <v>99</v>
      </c>
      <c r="E2125" s="2" t="str">
        <f>HYPERLINK("https://ibp.a2mac1.com/costing(costing:projects/details/8191/material/5317053)","PP-PE")</f>
        <v>PP-PE</v>
      </c>
      <c r="F2125" t="s">
        <v>3011</v>
      </c>
    </row>
    <row r="2126" spans="1:6" ht="12.75">
      <c r="A2126">
        <v>6944679</v>
      </c>
      <c r="B2126">
        <v>6972184</v>
      </c>
      <c r="C2126" t="s">
        <v>189</v>
      </c>
      <c r="D2126" t="s">
        <v>99</v>
      </c>
      <c r="E2126" s="2" t="str">
        <f>HYPERLINK("https://ibp.a2mac1.com/costing(costing:projects/details/8191/equipment/6944679)","Equipment (Injection Molding)")</f>
        <v>Equipment (Injection Molding)</v>
      </c>
      <c r="F2126" t="s">
        <v>3011</v>
      </c>
    </row>
    <row r="2127" spans="1:6" ht="12.75">
      <c r="A2127">
        <v>5383916</v>
      </c>
      <c r="B2127">
        <v>5383655</v>
      </c>
      <c r="C2127" t="s">
        <v>12</v>
      </c>
      <c r="D2127" t="s">
        <v>8</v>
      </c>
      <c r="E2127" s="2" t="str">
        <f>HYPERLINK("https://ibp.a2mac1.com/costing(costing:projects/details/8191/part/5383916)","Simple Guide Support")</f>
        <v>Simple Guide Support</v>
      </c>
      <c r="F2127" t="s">
        <v>3009</v>
      </c>
    </row>
    <row r="2128" spans="1:6" ht="12.75">
      <c r="A2128">
        <v>6972185</v>
      </c>
      <c r="B2128">
        <v>5383916</v>
      </c>
      <c r="C2128" t="s">
        <v>99</v>
      </c>
      <c r="D2128" t="s">
        <v>12</v>
      </c>
      <c r="E2128" s="2" t="str">
        <f>HYPERLINK("https://ibp.a2mac1.com/costing(costing:projects/details/8191/process/6972185)","Automated Process")</f>
        <v>Automated Process</v>
      </c>
      <c r="F2128" t="s">
        <v>3013</v>
      </c>
    </row>
    <row r="2129" spans="1:6" ht="12.75">
      <c r="A2129">
        <v>5317054</v>
      </c>
      <c r="B2129">
        <v>6972185</v>
      </c>
      <c r="C2129" t="s">
        <v>24</v>
      </c>
      <c r="D2129" t="s">
        <v>99</v>
      </c>
      <c r="E2129" s="2" t="str">
        <f>HYPERLINK("https://ibp.a2mac1.com/costing(costing:projects/details/8191/material/5317054)","PP-PE")</f>
        <v>PP-PE</v>
      </c>
      <c r="F2129" t="s">
        <v>3014</v>
      </c>
    </row>
    <row r="2130" spans="1:6" ht="12.75">
      <c r="A2130">
        <v>6944680</v>
      </c>
      <c r="B2130">
        <v>6972185</v>
      </c>
      <c r="C2130" t="s">
        <v>189</v>
      </c>
      <c r="D2130" t="s">
        <v>99</v>
      </c>
      <c r="E2130" s="2" t="str">
        <f>HYPERLINK("https://ibp.a2mac1.com/costing(costing:projects/details/8191/equipment/6944680)","Equipment (Injection Molding)")</f>
        <v>Equipment (Injection Molding)</v>
      </c>
      <c r="F2130" t="s">
        <v>3014</v>
      </c>
    </row>
    <row r="2131" spans="1:6" ht="12.75">
      <c r="A2131">
        <v>5383658</v>
      </c>
      <c r="B2131">
        <v>5383538</v>
      </c>
      <c r="C2131" t="s">
        <v>8</v>
      </c>
      <c r="D2131" t="s">
        <v>8</v>
      </c>
      <c r="E2131" s="2" t="str">
        <f>HYPERLINK("https://ibp.a2mac1.com/costing(costing:projects/details/8191/assembly/5383658)","Armrest System")</f>
        <v>Armrest System</v>
      </c>
      <c r="F2131" t="s">
        <v>3008</v>
      </c>
    </row>
    <row r="2132" spans="1:6" ht="12.75">
      <c r="A2132">
        <v>5383917</v>
      </c>
      <c r="B2132">
        <v>5383658</v>
      </c>
      <c r="C2132" t="s">
        <v>12</v>
      </c>
      <c r="D2132" t="s">
        <v>8</v>
      </c>
      <c r="E2132" s="2" t="str">
        <f>HYPERLINK("https://ibp.a2mac1.com/costing(costing:projects/details/8191/part/5383917)","Cover")</f>
        <v>Cover</v>
      </c>
      <c r="F2132" t="s">
        <v>3017</v>
      </c>
    </row>
    <row r="2133" spans="1:6" ht="12.75">
      <c r="A2133">
        <v>6972186</v>
      </c>
      <c r="B2133">
        <v>5383917</v>
      </c>
      <c r="C2133" t="s">
        <v>99</v>
      </c>
      <c r="D2133" t="s">
        <v>12</v>
      </c>
      <c r="E2133" s="2" t="str">
        <f>HYPERLINK("https://ibp.a2mac1.com/costing(costing:projects/details/8191/process/6972186)","Cutting")</f>
        <v>Cutting</v>
      </c>
      <c r="F2133" t="s">
        <v>3018</v>
      </c>
    </row>
    <row r="2134" spans="1:6" ht="12.75">
      <c r="A2134">
        <v>5317055</v>
      </c>
      <c r="B2134">
        <v>6972186</v>
      </c>
      <c r="C2134" t="s">
        <v>24</v>
      </c>
      <c r="D2134" t="s">
        <v>99</v>
      </c>
      <c r="E2134" s="2" t="str">
        <f>HYPERLINK("https://ibp.a2mac1.com/costing(costing:projects/details/8191/material/5317055)","Mix Vinyl (80%)")</f>
        <v>Mix Vinyl (80%)</v>
      </c>
      <c r="F2134" t="s">
        <v>3019</v>
      </c>
    </row>
    <row r="2135" spans="1:6" ht="12.75">
      <c r="A2135">
        <v>6944681</v>
      </c>
      <c r="B2135">
        <v>6972186</v>
      </c>
      <c r="C2135" t="s">
        <v>189</v>
      </c>
      <c r="D2135" t="s">
        <v>99</v>
      </c>
      <c r="E2135" s="2" t="str">
        <f>HYPERLINK("https://ibp.a2mac1.com/costing(costing:projects/details/8191/equipment/6944681)","No.01 - Fabric Cutting")</f>
        <v>No.01 - Fabric Cutting</v>
      </c>
      <c r="F2135" t="s">
        <v>3019</v>
      </c>
    </row>
    <row r="2136" spans="1:6" ht="12.75">
      <c r="A2136">
        <v>6972187</v>
      </c>
      <c r="B2136">
        <v>5383917</v>
      </c>
      <c r="C2136" t="s">
        <v>99</v>
      </c>
      <c r="D2136" t="s">
        <v>12</v>
      </c>
      <c r="E2136" s="2" t="str">
        <f>HYPERLINK("https://ibp.a2mac1.com/costing(costing:projects/details/8191/process/6972187)","Sewing")</f>
        <v>Sewing</v>
      </c>
      <c r="F2136" t="s">
        <v>3018</v>
      </c>
    </row>
    <row r="2137" spans="1:6" ht="12.75">
      <c r="A2137">
        <v>6944682</v>
      </c>
      <c r="B2137">
        <v>6972187</v>
      </c>
      <c r="C2137" t="s">
        <v>189</v>
      </c>
      <c r="D2137" t="s">
        <v>99</v>
      </c>
      <c r="E2137" s="2" t="str">
        <f>HYPERLINK("https://ibp.a2mac1.com/costing(costing:projects/details/8191/equipment/6944682)","No.02 - Fabric Sewing")</f>
        <v>No.02 - Fabric Sewing</v>
      </c>
      <c r="F2137" t="s">
        <v>3020</v>
      </c>
    </row>
    <row r="2138" spans="1:6" ht="12.75">
      <c r="A2138">
        <v>5383918</v>
      </c>
      <c r="B2138">
        <v>5383658</v>
      </c>
      <c r="C2138" t="s">
        <v>12</v>
      </c>
      <c r="D2138" t="s">
        <v>8</v>
      </c>
      <c r="E2138" s="2" t="str">
        <f>HYPERLINK("https://ibp.a2mac1.com/costing(costing:projects/details/8191/part/5383918)","Pad")</f>
        <v>Pad</v>
      </c>
      <c r="F2138" t="s">
        <v>3017</v>
      </c>
    </row>
    <row r="2139" spans="1:6" ht="12.75">
      <c r="A2139">
        <v>6972188</v>
      </c>
      <c r="B2139">
        <v>5383918</v>
      </c>
      <c r="C2139" t="s">
        <v>99</v>
      </c>
      <c r="D2139" t="s">
        <v>12</v>
      </c>
      <c r="E2139" s="2" t="str">
        <f>HYPERLINK("https://ibp.a2mac1.com/costing(costing:projects/details/8191/process/6972188)","Automated Process")</f>
        <v>Automated Process</v>
      </c>
      <c r="F2139" t="s">
        <v>3022</v>
      </c>
    </row>
    <row r="2140" spans="1:6" ht="12.75">
      <c r="A2140">
        <v>5317056</v>
      </c>
      <c r="B2140">
        <v>6972188</v>
      </c>
      <c r="C2140" t="s">
        <v>24</v>
      </c>
      <c r="D2140" t="s">
        <v>99</v>
      </c>
      <c r="E2140" s="2" t="str">
        <f>HYPERLINK("https://ibp.a2mac1.com/costing(costing:projects/details/8191/material/5317056)","PUR")</f>
        <v>PUR</v>
      </c>
      <c r="F2140" t="s">
        <v>3023</v>
      </c>
    </row>
    <row r="2141" spans="1:6" ht="12.75">
      <c r="A2141">
        <v>6944683</v>
      </c>
      <c r="B2141">
        <v>6972188</v>
      </c>
      <c r="C2141" t="s">
        <v>189</v>
      </c>
      <c r="D2141" t="s">
        <v>99</v>
      </c>
      <c r="E2141" s="2" t="str">
        <f>HYPERLINK("https://ibp.a2mac1.com/costing(costing:projects/details/8191/equipment/6944683)","Equipment (Injection Molding)")</f>
        <v>Equipment (Injection Molding)</v>
      </c>
      <c r="F2141" t="s">
        <v>3023</v>
      </c>
    </row>
    <row r="2142" spans="1:6" ht="12.75">
      <c r="A2142">
        <v>5383919</v>
      </c>
      <c r="B2142">
        <v>5383658</v>
      </c>
      <c r="C2142" t="s">
        <v>12</v>
      </c>
      <c r="D2142" t="s">
        <v>8</v>
      </c>
      <c r="E2142" s="2" t="str">
        <f>HYPERLINK("https://ibp.a2mac1.com/costing(costing:projects/details/8191/part/5383919)","Frame")</f>
        <v>Frame</v>
      </c>
      <c r="F2142" t="s">
        <v>3017</v>
      </c>
    </row>
    <row r="2143" spans="1:6" ht="12.75">
      <c r="A2143">
        <v>6972189</v>
      </c>
      <c r="B2143">
        <v>5383919</v>
      </c>
      <c r="C2143" t="s">
        <v>99</v>
      </c>
      <c r="D2143" t="s">
        <v>12</v>
      </c>
      <c r="E2143" s="2" t="str">
        <f>HYPERLINK("https://ibp.a2mac1.com/costing(costing:projects/details/8191/process/6972189)","Automated Process")</f>
        <v>Automated Process</v>
      </c>
      <c r="F2143" t="s">
        <v>3024</v>
      </c>
    </row>
    <row r="2144" spans="1:6" ht="12.75">
      <c r="A2144">
        <v>5317057</v>
      </c>
      <c r="B2144">
        <v>6972189</v>
      </c>
      <c r="C2144" t="s">
        <v>24</v>
      </c>
      <c r="D2144" t="s">
        <v>99</v>
      </c>
      <c r="E2144" s="2" t="str">
        <f>HYPERLINK("https://ibp.a2mac1.com/costing(costing:projects/details/8191/material/5317057)","PA6")</f>
        <v>PA6</v>
      </c>
      <c r="F2144" t="s">
        <v>3025</v>
      </c>
    </row>
    <row r="2145" spans="1:6" ht="12.75">
      <c r="A2145">
        <v>6944684</v>
      </c>
      <c r="B2145">
        <v>6972189</v>
      </c>
      <c r="C2145" t="s">
        <v>189</v>
      </c>
      <c r="D2145" t="s">
        <v>99</v>
      </c>
      <c r="E2145" s="2" t="str">
        <f>HYPERLINK("https://ibp.a2mac1.com/costing(costing:projects/details/8191/equipment/6944684)","Equipment (Injection Molding)")</f>
        <v>Equipment (Injection Molding)</v>
      </c>
      <c r="F2145" t="s">
        <v>3025</v>
      </c>
    </row>
    <row r="2146" spans="1:6" ht="12.75">
      <c r="A2146">
        <v>5316876</v>
      </c>
      <c r="B2146">
        <v>5383919</v>
      </c>
      <c r="C2146" t="s">
        <v>574</v>
      </c>
      <c r="D2146" t="s">
        <v>12</v>
      </c>
      <c r="E2146" s="2" t="str">
        <f>HYPERLINK("https://ibp.a2mac1.com/costing(costing:projects/details/8191/component/5316876)","Spacer / bushing / washer; steel; &gt;5g")</f>
        <v>Spacer / bushing / washer; steel; &gt;5g</v>
      </c>
      <c r="F2146" t="s">
        <v>3024</v>
      </c>
    </row>
    <row r="2147" spans="1:6" ht="12.75">
      <c r="A2147">
        <v>5383920</v>
      </c>
      <c r="B2147">
        <v>5383658</v>
      </c>
      <c r="C2147" t="s">
        <v>12</v>
      </c>
      <c r="D2147" t="s">
        <v>8</v>
      </c>
      <c r="E2147" s="2" t="str">
        <f>HYPERLINK("https://ibp.a2mac1.com/costing(costing:projects/details/8191/part/5383920)","Armrest Inner Trim")</f>
        <v>Armrest Inner Trim</v>
      </c>
      <c r="F2147" t="s">
        <v>3017</v>
      </c>
    </row>
    <row r="2148" spans="1:6" ht="12.75">
      <c r="A2148">
        <v>6972190</v>
      </c>
      <c r="B2148">
        <v>5383920</v>
      </c>
      <c r="C2148" t="s">
        <v>99</v>
      </c>
      <c r="D2148" t="s">
        <v>12</v>
      </c>
      <c r="E2148" s="2" t="str">
        <f>HYPERLINK("https://ibp.a2mac1.com/costing(costing:projects/details/8191/process/6972190)","Automated Process")</f>
        <v>Automated Process</v>
      </c>
      <c r="F2148" t="s">
        <v>3026</v>
      </c>
    </row>
    <row r="2149" spans="1:6" ht="12.75">
      <c r="A2149">
        <v>5317058</v>
      </c>
      <c r="B2149">
        <v>6972190</v>
      </c>
      <c r="C2149" t="s">
        <v>24</v>
      </c>
      <c r="D2149" t="s">
        <v>99</v>
      </c>
      <c r="E2149" s="2" t="str">
        <f>HYPERLINK("https://ibp.a2mac1.com/costing(costing:projects/details/8191/material/5317058)","PC-ABS")</f>
        <v>PC-ABS</v>
      </c>
      <c r="F2149" t="s">
        <v>3027</v>
      </c>
    </row>
    <row r="2150" spans="1:6" ht="12.75">
      <c r="A2150">
        <v>6944685</v>
      </c>
      <c r="B2150">
        <v>6972190</v>
      </c>
      <c r="C2150" t="s">
        <v>189</v>
      </c>
      <c r="D2150" t="s">
        <v>99</v>
      </c>
      <c r="E2150" s="2" t="str">
        <f>HYPERLINK("https://ibp.a2mac1.com/costing(costing:projects/details/8191/equipment/6944685)","Equipment (Injection Molding)")</f>
        <v>Equipment (Injection Molding)</v>
      </c>
      <c r="F2150" t="s">
        <v>3027</v>
      </c>
    </row>
    <row r="2151" spans="1:6" ht="12.75">
      <c r="A2151">
        <v>5316877</v>
      </c>
      <c r="B2151">
        <v>5383920</v>
      </c>
      <c r="C2151" t="s">
        <v>574</v>
      </c>
      <c r="D2151" t="s">
        <v>12</v>
      </c>
      <c r="E2151" s="2" t="str">
        <f>HYPERLINK("https://ibp.a2mac1.com/costing(costing:projects/details/8191/component/5316877)","Spacer / bushing / washer; steel; &gt;5g")</f>
        <v>Spacer / bushing / washer; steel; &gt;5g</v>
      </c>
      <c r="F2151" t="s">
        <v>3026</v>
      </c>
    </row>
    <row r="2152" spans="1:6" ht="12.75">
      <c r="A2152">
        <v>5383922</v>
      </c>
      <c r="B2152">
        <v>5383658</v>
      </c>
      <c r="C2152" t="s">
        <v>12</v>
      </c>
      <c r="D2152" t="s">
        <v>8</v>
      </c>
      <c r="E2152" s="2" t="str">
        <f>HYPERLINK("https://ibp.a2mac1.com/costing(costing:projects/details/8191/part/5383922)","Armrest Adjuster Shaft")</f>
        <v>Armrest Adjuster Shaft</v>
      </c>
      <c r="F2152" t="s">
        <v>3017</v>
      </c>
    </row>
    <row r="2153" spans="1:6" ht="12.75">
      <c r="A2153">
        <v>6972191</v>
      </c>
      <c r="B2153">
        <v>5383922</v>
      </c>
      <c r="C2153" t="s">
        <v>99</v>
      </c>
      <c r="D2153" t="s">
        <v>12</v>
      </c>
      <c r="E2153" s="2" t="str">
        <f>HYPERLINK("https://ibp.a2mac1.com/costing(costing:projects/details/8191/process/6972191)","Automated Process")</f>
        <v>Automated Process</v>
      </c>
      <c r="F2153" t="s">
        <v>3028</v>
      </c>
    </row>
    <row r="2154" spans="1:6" ht="12.75">
      <c r="A2154">
        <v>5317059</v>
      </c>
      <c r="B2154">
        <v>6972191</v>
      </c>
      <c r="C2154" t="s">
        <v>24</v>
      </c>
      <c r="D2154" t="s">
        <v>99</v>
      </c>
      <c r="E2154" s="2" t="str">
        <f>HYPERLINK("https://ibp.a2mac1.com/costing(costing:projects/details/8191/material/5317059)","PA6")</f>
        <v>PA6</v>
      </c>
      <c r="F2154" t="s">
        <v>3029</v>
      </c>
    </row>
    <row r="2155" spans="1:6" ht="12.75">
      <c r="A2155">
        <v>6944686</v>
      </c>
      <c r="B2155">
        <v>6972191</v>
      </c>
      <c r="C2155" t="s">
        <v>189</v>
      </c>
      <c r="D2155" t="s">
        <v>99</v>
      </c>
      <c r="E2155" s="2" t="str">
        <f>HYPERLINK("https://ibp.a2mac1.com/costing(costing:projects/details/8191/equipment/6944686)","Equipment (Injection Molding)")</f>
        <v>Equipment (Injection Molding)</v>
      </c>
      <c r="F2155" t="s">
        <v>3029</v>
      </c>
    </row>
    <row r="2156" spans="1:6" ht="12.75">
      <c r="A2156">
        <v>5383923</v>
      </c>
      <c r="B2156">
        <v>5383658</v>
      </c>
      <c r="C2156" t="s">
        <v>12</v>
      </c>
      <c r="D2156" t="s">
        <v>8</v>
      </c>
      <c r="E2156" s="2" t="str">
        <f>HYPERLINK("https://ibp.a2mac1.com/costing(costing:projects/details/8191/part/5383923)","Fastener Cover")</f>
        <v>Fastener Cover</v>
      </c>
      <c r="F2156" t="s">
        <v>3017</v>
      </c>
    </row>
    <row r="2157" spans="1:6" ht="12.75">
      <c r="A2157">
        <v>6972192</v>
      </c>
      <c r="B2157">
        <v>5383923</v>
      </c>
      <c r="C2157" t="s">
        <v>99</v>
      </c>
      <c r="D2157" t="s">
        <v>12</v>
      </c>
      <c r="E2157" s="2" t="str">
        <f>HYPERLINK("https://ibp.a2mac1.com/costing(costing:projects/details/8191/process/6972192)","Automated Process")</f>
        <v>Automated Process</v>
      </c>
      <c r="F2157" t="s">
        <v>3030</v>
      </c>
    </row>
    <row r="2158" spans="1:6" ht="12.75">
      <c r="A2158">
        <v>5317060</v>
      </c>
      <c r="B2158">
        <v>6972192</v>
      </c>
      <c r="C2158" t="s">
        <v>24</v>
      </c>
      <c r="D2158" t="s">
        <v>99</v>
      </c>
      <c r="E2158" s="2" t="str">
        <f>HYPERLINK("https://ibp.a2mac1.com/costing(costing:projects/details/8191/material/5317060)","PA6")</f>
        <v>PA6</v>
      </c>
      <c r="F2158" t="s">
        <v>3031</v>
      </c>
    </row>
    <row r="2159" spans="1:6" ht="12.75">
      <c r="A2159">
        <v>6944687</v>
      </c>
      <c r="B2159">
        <v>6972192</v>
      </c>
      <c r="C2159" t="s">
        <v>189</v>
      </c>
      <c r="D2159" t="s">
        <v>99</v>
      </c>
      <c r="E2159" s="2" t="str">
        <f>HYPERLINK("https://ibp.a2mac1.com/costing(costing:projects/details/8191/equipment/6944687)","Equipment (Injection Molding)")</f>
        <v>Equipment (Injection Molding)</v>
      </c>
      <c r="F2159" t="s">
        <v>3031</v>
      </c>
    </row>
    <row r="2160" spans="1:6" ht="12.75">
      <c r="A2160">
        <v>5316664</v>
      </c>
      <c r="B2160">
        <v>5383658</v>
      </c>
      <c r="C2160" t="s">
        <v>574</v>
      </c>
      <c r="D2160" t="s">
        <v>8</v>
      </c>
      <c r="E2160" s="2" t="str">
        <f>HYPERLINK("https://ibp.a2mac1.com/costing(costing:projects/details/8191/component/5316664)","Screw &gt; 12 point socket head cap screw")</f>
        <v>Screw &gt; 12 point socket head cap screw</v>
      </c>
      <c r="F2160" t="s">
        <v>3017</v>
      </c>
    </row>
    <row r="2161" spans="1:6" ht="12.75">
      <c r="A2161">
        <v>5316665</v>
      </c>
      <c r="B2161">
        <v>5383658</v>
      </c>
      <c r="C2161" t="s">
        <v>574</v>
      </c>
      <c r="D2161" t="s">
        <v>8</v>
      </c>
      <c r="E2161" s="2" t="str">
        <f>HYPERLINK("https://ibp.a2mac1.com/costing(costing:projects/details/8191/component/5316665)","Screw &gt; Various shape screw with flange")</f>
        <v>Screw &gt; Various shape screw with flange</v>
      </c>
      <c r="F2161" t="s">
        <v>3017</v>
      </c>
    </row>
    <row r="2162" spans="1:6" ht="12.75">
      <c r="A2162">
        <v>5383653</v>
      </c>
      <c r="B2162">
        <v>5383538</v>
      </c>
      <c r="C2162" t="s">
        <v>12</v>
      </c>
      <c r="D2162" t="s">
        <v>8</v>
      </c>
      <c r="E2162" s="2" t="str">
        <f>HYPERLINK("https://ibp.a2mac1.com/costing(costing:projects/details/8191/part/5383653)","Frame Protection")</f>
        <v>Frame Protection</v>
      </c>
      <c r="F2162" t="s">
        <v>3008</v>
      </c>
    </row>
    <row r="2163" spans="1:6" ht="12.75">
      <c r="A2163">
        <v>6972126</v>
      </c>
      <c r="B2163">
        <v>5383653</v>
      </c>
      <c r="C2163" t="s">
        <v>99</v>
      </c>
      <c r="D2163" t="s">
        <v>12</v>
      </c>
      <c r="E2163" s="2" t="str">
        <f>HYPERLINK("https://ibp.a2mac1.com/costing(costing:projects/details/8191/process/6972126)","Automated Process")</f>
        <v>Automated Process</v>
      </c>
      <c r="F2163" t="s">
        <v>3034</v>
      </c>
    </row>
    <row r="2164" spans="1:6" ht="12.75">
      <c r="A2164">
        <v>5316868</v>
      </c>
      <c r="B2164">
        <v>6972126</v>
      </c>
      <c r="C2164" t="s">
        <v>24</v>
      </c>
      <c r="D2164" t="s">
        <v>99</v>
      </c>
      <c r="E2164" s="2" t="str">
        <f>HYPERLINK("https://ibp.a2mac1.com/costing(costing:projects/details/8191/material/5316868)","PA66")</f>
        <v>PA66</v>
      </c>
      <c r="F2164" t="s">
        <v>3037</v>
      </c>
    </row>
    <row r="2165" spans="1:6" ht="12.75">
      <c r="A2165">
        <v>6944585</v>
      </c>
      <c r="B2165">
        <v>6972126</v>
      </c>
      <c r="C2165" t="s">
        <v>189</v>
      </c>
      <c r="D2165" t="s">
        <v>99</v>
      </c>
      <c r="E2165" s="2" t="str">
        <f>HYPERLINK("https://ibp.a2mac1.com/costing(costing:projects/details/8191/equipment/6944585)","Equipment (Injection Molding)")</f>
        <v>Equipment (Injection Molding)</v>
      </c>
      <c r="F2165" t="s">
        <v>3037</v>
      </c>
    </row>
    <row r="2166" spans="1:6" ht="12.75">
      <c r="A2166">
        <v>5383654</v>
      </c>
      <c r="B2166">
        <v>5383538</v>
      </c>
      <c r="C2166" t="s">
        <v>12</v>
      </c>
      <c r="D2166" t="s">
        <v>8</v>
      </c>
      <c r="E2166" s="2" t="str">
        <f>HYPERLINK("https://ibp.a2mac1.com/costing(costing:projects/details/8191/part/5383654)","Sound Insulation Sheet")</f>
        <v>Sound Insulation Sheet</v>
      </c>
      <c r="F2166" t="s">
        <v>3008</v>
      </c>
    </row>
    <row r="2167" spans="1:6" ht="12.75">
      <c r="A2167">
        <v>6972127</v>
      </c>
      <c r="B2167">
        <v>5383654</v>
      </c>
      <c r="C2167" t="s">
        <v>99</v>
      </c>
      <c r="D2167" t="s">
        <v>12</v>
      </c>
      <c r="E2167" s="2" t="str">
        <f>HYPERLINK("https://ibp.a2mac1.com/costing(costing:projects/details/8191/process/6972127)","Automated Process")</f>
        <v>Automated Process</v>
      </c>
      <c r="F2167" t="s">
        <v>3039</v>
      </c>
    </row>
    <row r="2168" spans="1:6" ht="12.75">
      <c r="A2168">
        <v>5316869</v>
      </c>
      <c r="B2168">
        <v>6972127</v>
      </c>
      <c r="C2168" t="s">
        <v>24</v>
      </c>
      <c r="D2168" t="s">
        <v>99</v>
      </c>
      <c r="E2168" s="2" t="str">
        <f>HYPERLINK("https://ibp.a2mac1.com/costing(costing:projects/details/8191/material/5316869)","PP-PE")</f>
        <v>PP-PE</v>
      </c>
      <c r="F2168" t="s">
        <v>3042</v>
      </c>
    </row>
    <row r="2169" spans="1:6" ht="12.75">
      <c r="A2169">
        <v>6944586</v>
      </c>
      <c r="B2169">
        <v>6972127</v>
      </c>
      <c r="C2169" t="s">
        <v>189</v>
      </c>
      <c r="D2169" t="s">
        <v>99</v>
      </c>
      <c r="E2169" s="2" t="str">
        <f>HYPERLINK("https://ibp.a2mac1.com/costing(costing:projects/details/8191/equipment/6944586)","Equipment (Injection Molding)")</f>
        <v>Equipment (Injection Molding)</v>
      </c>
      <c r="F2169" t="s">
        <v>3042</v>
      </c>
    </row>
    <row r="2170" spans="1:6" ht="12.75">
      <c r="A2170">
        <v>5383656</v>
      </c>
      <c r="B2170">
        <v>5383538</v>
      </c>
      <c r="C2170" t="s">
        <v>12</v>
      </c>
      <c r="D2170" t="s">
        <v>8</v>
      </c>
      <c r="E2170" s="2" t="str">
        <f>HYPERLINK("https://ibp.a2mac1.com/costing(costing:projects/details/8191/part/5383656)","Frame")</f>
        <v>Frame</v>
      </c>
      <c r="F2170" t="s">
        <v>3008</v>
      </c>
    </row>
    <row r="2171" spans="1:6" ht="12.75">
      <c r="A2171">
        <v>6972128</v>
      </c>
      <c r="B2171">
        <v>5383656</v>
      </c>
      <c r="C2171" t="s">
        <v>99</v>
      </c>
      <c r="D2171" t="s">
        <v>12</v>
      </c>
      <c r="E2171" s="2" t="str">
        <f>HYPERLINK("https://ibp.a2mac1.com/costing(costing:projects/details/8191/process/6972128)","Automated Process")</f>
        <v>Automated Process</v>
      </c>
      <c r="F2171" t="s">
        <v>3044</v>
      </c>
    </row>
    <row r="2172" spans="1:6" ht="12.75">
      <c r="A2172">
        <v>5316871</v>
      </c>
      <c r="B2172">
        <v>6972128</v>
      </c>
      <c r="C2172" t="s">
        <v>574</v>
      </c>
      <c r="D2172" t="s">
        <v>99</v>
      </c>
      <c r="E2172" s="2" t="str">
        <f>HYPERLINK("https://ibp.a2mac1.com/costing(costing:projects/details/8191/component/5316871)","Recliners")</f>
        <v>Recliners</v>
      </c>
      <c r="F2172" t="s">
        <v>3045</v>
      </c>
    </row>
    <row r="2173" spans="1:6" ht="12.75">
      <c r="A2173">
        <v>5316870</v>
      </c>
      <c r="B2173">
        <v>6972128</v>
      </c>
      <c r="C2173" t="s">
        <v>24</v>
      </c>
      <c r="D2173" t="s">
        <v>99</v>
      </c>
      <c r="E2173" s="2" t="str">
        <f>HYPERLINK("https://ibp.a2mac1.com/costing(costing:projects/details/8191/material/5316870)","Steel sheet (default)")</f>
        <v>Steel sheet (default)</v>
      </c>
      <c r="F2173" t="s">
        <v>3045</v>
      </c>
    </row>
    <row r="2174" spans="1:6" ht="12.75">
      <c r="A2174">
        <v>5316872</v>
      </c>
      <c r="B2174">
        <v>6972128</v>
      </c>
      <c r="C2174" t="s">
        <v>24</v>
      </c>
      <c r="D2174" t="s">
        <v>99</v>
      </c>
      <c r="E2174" s="2" t="str">
        <f>HYPERLINK("https://ibp.a2mac1.com/costing(costing:projects/details/8191/material/5316872)","Cataphoresis paint")</f>
        <v>Cataphoresis paint</v>
      </c>
      <c r="F2174" t="s">
        <v>3045</v>
      </c>
    </row>
    <row r="2175" spans="1:6" ht="12.75">
      <c r="A2175">
        <v>6944587</v>
      </c>
      <c r="B2175">
        <v>6972128</v>
      </c>
      <c r="C2175" t="s">
        <v>189</v>
      </c>
      <c r="D2175" t="s">
        <v>99</v>
      </c>
      <c r="E2175" s="2" t="str">
        <f>HYPERLINK("https://ibp.a2mac1.com/costing(costing:projects/details/8191/equipment/6944587)","Equipment")</f>
        <v>Equipment</v>
      </c>
      <c r="F2175" t="s">
        <v>3045</v>
      </c>
    </row>
    <row r="2176" spans="1:6" ht="12.75">
      <c r="A2176">
        <v>5383657</v>
      </c>
      <c r="B2176">
        <v>5383538</v>
      </c>
      <c r="C2176" t="s">
        <v>12</v>
      </c>
      <c r="D2176" t="s">
        <v>8</v>
      </c>
      <c r="E2176" s="2" t="str">
        <f>HYPERLINK("https://ibp.a2mac1.com/costing(costing:projects/details/8191/part/5383657)","Cover")</f>
        <v>Cover</v>
      </c>
      <c r="F2176" t="s">
        <v>3008</v>
      </c>
    </row>
    <row r="2177" spans="1:6" ht="12.75">
      <c r="A2177">
        <v>6972129</v>
      </c>
      <c r="B2177">
        <v>5383657</v>
      </c>
      <c r="C2177" t="s">
        <v>99</v>
      </c>
      <c r="D2177" t="s">
        <v>12</v>
      </c>
      <c r="E2177" s="2" t="str">
        <f>HYPERLINK("https://ibp.a2mac1.com/costing(costing:projects/details/8191/process/6972129)","Cutting")</f>
        <v>Cutting</v>
      </c>
      <c r="F2177" t="s">
        <v>3047</v>
      </c>
    </row>
    <row r="2178" spans="1:6" ht="12.75">
      <c r="A2178">
        <v>5316873</v>
      </c>
      <c r="B2178">
        <v>6972129</v>
      </c>
      <c r="C2178" t="s">
        <v>24</v>
      </c>
      <c r="D2178" t="s">
        <v>99</v>
      </c>
      <c r="E2178" s="2" t="str">
        <f>HYPERLINK("https://ibp.a2mac1.com/costing(costing:projects/details/8191/material/5316873)","Fabric")</f>
        <v>Fabric</v>
      </c>
      <c r="F2178" t="s">
        <v>3048</v>
      </c>
    </row>
    <row r="2179" spans="1:6" ht="12.75">
      <c r="A2179">
        <v>5316874</v>
      </c>
      <c r="B2179">
        <v>6972129</v>
      </c>
      <c r="C2179" t="s">
        <v>24</v>
      </c>
      <c r="D2179" t="s">
        <v>99</v>
      </c>
      <c r="E2179" s="2" t="str">
        <f>HYPERLINK("https://ibp.a2mac1.com/costing(costing:projects/details/8191/material/5316874)","Vinyl Perforated")</f>
        <v>Vinyl Perforated</v>
      </c>
      <c r="F2179" t="s">
        <v>3048</v>
      </c>
    </row>
    <row r="2180" spans="1:6" ht="12.75">
      <c r="A2180">
        <v>5316875</v>
      </c>
      <c r="B2180">
        <v>6972129</v>
      </c>
      <c r="C2180" t="s">
        <v>24</v>
      </c>
      <c r="D2180" t="s">
        <v>99</v>
      </c>
      <c r="E2180" s="2" t="str">
        <f>HYPERLINK("https://ibp.a2mac1.com/costing(costing:projects/details/8191/material/5316875)","Mix Vinyl (80%)")</f>
        <v>Mix Vinyl (80%)</v>
      </c>
      <c r="F2180" t="s">
        <v>3048</v>
      </c>
    </row>
    <row r="2181" spans="1:6" ht="12.75">
      <c r="A2181">
        <v>6944588</v>
      </c>
      <c r="B2181">
        <v>6972129</v>
      </c>
      <c r="C2181" t="s">
        <v>189</v>
      </c>
      <c r="D2181" t="s">
        <v>99</v>
      </c>
      <c r="E2181" s="2" t="str">
        <f>HYPERLINK("https://ibp.a2mac1.com/costing(costing:projects/details/8191/equipment/6944588)","No.01 - Fabric Cutting")</f>
        <v>No.01 - Fabric Cutting</v>
      </c>
      <c r="F2181" t="s">
        <v>3048</v>
      </c>
    </row>
    <row r="2182" spans="1:6" ht="12.75">
      <c r="A2182">
        <v>6972130</v>
      </c>
      <c r="B2182">
        <v>5383657</v>
      </c>
      <c r="C2182" t="s">
        <v>99</v>
      </c>
      <c r="D2182" t="s">
        <v>12</v>
      </c>
      <c r="E2182" s="2" t="str">
        <f>HYPERLINK("https://ibp.a2mac1.com/costing(costing:projects/details/8191/process/6972130)","Sewing")</f>
        <v>Sewing</v>
      </c>
      <c r="F2182" t="s">
        <v>3047</v>
      </c>
    </row>
    <row r="2183" spans="1:6" ht="12.75">
      <c r="A2183">
        <v>6944589</v>
      </c>
      <c r="B2183">
        <v>6972130</v>
      </c>
      <c r="C2183" t="s">
        <v>189</v>
      </c>
      <c r="D2183" t="s">
        <v>99</v>
      </c>
      <c r="E2183" s="2" t="str">
        <f>HYPERLINK("https://ibp.a2mac1.com/costing(costing:projects/details/8191/equipment/6944589)","No.02 - Fabric Sewing")</f>
        <v>No.02 - Fabric Sewing</v>
      </c>
      <c r="F2183" t="s">
        <v>3049</v>
      </c>
    </row>
    <row r="2184" spans="1:6" ht="12.75">
      <c r="A2184">
        <v>5383659</v>
      </c>
      <c r="B2184">
        <v>5383538</v>
      </c>
      <c r="C2184" t="s">
        <v>12</v>
      </c>
      <c r="D2184" t="s">
        <v>8</v>
      </c>
      <c r="E2184" s="2" t="str">
        <f>HYPERLINK("https://ibp.a2mac1.com/costing(costing:projects/details/8191/part/5383659)","Pad")</f>
        <v>Pad</v>
      </c>
      <c r="F2184" t="s">
        <v>3008</v>
      </c>
    </row>
    <row r="2185" spans="1:6" ht="12.75">
      <c r="A2185">
        <v>6972131</v>
      </c>
      <c r="B2185">
        <v>5383659</v>
      </c>
      <c r="C2185" t="s">
        <v>99</v>
      </c>
      <c r="D2185" t="s">
        <v>12</v>
      </c>
      <c r="E2185" s="2" t="str">
        <f>HYPERLINK("https://ibp.a2mac1.com/costing(costing:projects/details/8191/process/6972131)","Automated Process")</f>
        <v>Automated Process</v>
      </c>
      <c r="F2185" t="s">
        <v>3051</v>
      </c>
    </row>
    <row r="2186" spans="1:6" ht="12.75">
      <c r="A2186">
        <v>5316878</v>
      </c>
      <c r="B2186">
        <v>6972131</v>
      </c>
      <c r="C2186" t="s">
        <v>24</v>
      </c>
      <c r="D2186" t="s">
        <v>99</v>
      </c>
      <c r="E2186" s="2" t="str">
        <f>HYPERLINK("https://ibp.a2mac1.com/costing(costing:projects/details/8191/material/5316878)","PUR")</f>
        <v>PUR</v>
      </c>
      <c r="F2186" t="s">
        <v>3054</v>
      </c>
    </row>
    <row r="2187" spans="1:6" ht="12.75">
      <c r="A2187">
        <v>6944590</v>
      </c>
      <c r="B2187">
        <v>6972131</v>
      </c>
      <c r="C2187" t="s">
        <v>189</v>
      </c>
      <c r="D2187" t="s">
        <v>99</v>
      </c>
      <c r="E2187" s="2" t="str">
        <f>HYPERLINK("https://ibp.a2mac1.com/costing(costing:projects/details/8191/equipment/6944590)","Equipment (Injection Molding)")</f>
        <v>Equipment (Injection Molding)</v>
      </c>
      <c r="F2187" t="s">
        <v>3054</v>
      </c>
    </row>
    <row r="2188" spans="1:6" ht="12.75">
      <c r="A2188">
        <v>5316559</v>
      </c>
      <c r="B2188">
        <v>5383538</v>
      </c>
      <c r="C2188" t="s">
        <v>574</v>
      </c>
      <c r="D2188" t="s">
        <v>8</v>
      </c>
      <c r="E2188" s="2" t="str">
        <f>HYPERLINK("https://ibp.a2mac1.com/costing(costing:projects/details/8191/component/5316559)","Other fastener &gt; Hog ring")</f>
        <v>Other fastener &gt; Hog ring</v>
      </c>
      <c r="F2188" t="s">
        <v>3008</v>
      </c>
    </row>
    <row r="2189" spans="1:6" ht="12.75">
      <c r="A2189">
        <v>5316560</v>
      </c>
      <c r="B2189">
        <v>5383538</v>
      </c>
      <c r="C2189" t="s">
        <v>574</v>
      </c>
      <c r="D2189" t="s">
        <v>8</v>
      </c>
      <c r="E2189" s="2" t="str">
        <f>HYPERLINK("https://ibp.a2mac1.com/costing(costing:projects/details/8191/component/5316560)","Screw &gt; Torx socket head cap screw")</f>
        <v>Screw &gt; Torx socket head cap screw</v>
      </c>
      <c r="F2189" t="s">
        <v>3008</v>
      </c>
    </row>
    <row r="2190" spans="1:6" ht="12.75">
      <c r="A2190">
        <v>5383539</v>
      </c>
      <c r="B2190">
        <v>5383400</v>
      </c>
      <c r="C2190" t="s">
        <v>8</v>
      </c>
      <c r="D2190" t="s">
        <v>8</v>
      </c>
      <c r="E2190" s="2" t="str">
        <f>HYPERLINK("https://ibp.a2mac1.com/costing(costing:projects/details/8191/assembly/5383539)","Cushion")</f>
        <v>Cushion</v>
      </c>
      <c r="F2190" t="s">
        <v>3007</v>
      </c>
    </row>
    <row r="2191" spans="1:6" ht="12.75">
      <c r="A2191">
        <v>5383661</v>
      </c>
      <c r="B2191">
        <v>5383539</v>
      </c>
      <c r="C2191" t="s">
        <v>8</v>
      </c>
      <c r="D2191" t="s">
        <v>8</v>
      </c>
      <c r="E2191" s="2" t="str">
        <f>HYPERLINK("https://ibp.a2mac1.com/costing(costing:projects/details/8191/assembly/5383661)","Garnish")</f>
        <v>Garnish</v>
      </c>
      <c r="F2191" t="s">
        <v>3057</v>
      </c>
    </row>
    <row r="2192" spans="1:6" ht="12.75">
      <c r="A2192">
        <v>5383924</v>
      </c>
      <c r="B2192">
        <v>5383661</v>
      </c>
      <c r="C2192" t="s">
        <v>12</v>
      </c>
      <c r="D2192" t="s">
        <v>8</v>
      </c>
      <c r="E2192" s="2" t="str">
        <f>HYPERLINK("https://ibp.a2mac1.com/costing(costing:projects/details/8191/part/5383924)","Outer Side")</f>
        <v>Outer Side</v>
      </c>
      <c r="F2192" t="s">
        <v>3058</v>
      </c>
    </row>
    <row r="2193" spans="1:6" ht="12.75">
      <c r="A2193">
        <v>6972193</v>
      </c>
      <c r="B2193">
        <v>5383924</v>
      </c>
      <c r="C2193" t="s">
        <v>99</v>
      </c>
      <c r="D2193" t="s">
        <v>12</v>
      </c>
      <c r="E2193" s="2" t="str">
        <f>HYPERLINK("https://ibp.a2mac1.com/costing(costing:projects/details/8191/process/6972193)","Automated Process")</f>
        <v>Automated Process</v>
      </c>
      <c r="F2193" t="s">
        <v>3059</v>
      </c>
    </row>
    <row r="2194" spans="1:6" ht="12.75">
      <c r="A2194">
        <v>5317061</v>
      </c>
      <c r="B2194">
        <v>6972193</v>
      </c>
      <c r="C2194" t="s">
        <v>24</v>
      </c>
      <c r="D2194" t="s">
        <v>99</v>
      </c>
      <c r="E2194" s="2" t="str">
        <f>HYPERLINK("https://ibp.a2mac1.com/costing(costing:projects/details/8191/material/5317061)","PP-PE")</f>
        <v>PP-PE</v>
      </c>
      <c r="F2194" t="s">
        <v>3062</v>
      </c>
    </row>
    <row r="2195" spans="1:6" ht="12.75">
      <c r="A2195">
        <v>6944688</v>
      </c>
      <c r="B2195">
        <v>6972193</v>
      </c>
      <c r="C2195" t="s">
        <v>189</v>
      </c>
      <c r="D2195" t="s">
        <v>99</v>
      </c>
      <c r="E2195" s="2" t="str">
        <f>HYPERLINK("https://ibp.a2mac1.com/costing(costing:projects/details/8191/equipment/6944688)","Equipment (Injection Molding)")</f>
        <v>Equipment (Injection Molding)</v>
      </c>
      <c r="F2195" t="s">
        <v>3062</v>
      </c>
    </row>
    <row r="2196" spans="1:6" ht="12.75">
      <c r="A2196">
        <v>5383925</v>
      </c>
      <c r="B2196">
        <v>5383661</v>
      </c>
      <c r="C2196" t="s">
        <v>12</v>
      </c>
      <c r="D2196" t="s">
        <v>8</v>
      </c>
      <c r="E2196" s="2" t="str">
        <f>HYPERLINK("https://ibp.a2mac1.com/costing(costing:projects/details/8191/part/5383925)","Inner Side")</f>
        <v>Inner Side</v>
      </c>
      <c r="F2196" t="s">
        <v>3058</v>
      </c>
    </row>
    <row r="2197" spans="1:6" ht="12.75">
      <c r="A2197">
        <v>6972194</v>
      </c>
      <c r="B2197">
        <v>5383925</v>
      </c>
      <c r="C2197" t="s">
        <v>99</v>
      </c>
      <c r="D2197" t="s">
        <v>12</v>
      </c>
      <c r="E2197" s="2" t="str">
        <f>HYPERLINK("https://ibp.a2mac1.com/costing(costing:projects/details/8191/process/6972194)","Automated Process")</f>
        <v>Automated Process</v>
      </c>
      <c r="F2197" t="s">
        <v>3064</v>
      </c>
    </row>
    <row r="2198" spans="1:6" ht="12.75">
      <c r="A2198">
        <v>5317062</v>
      </c>
      <c r="B2198">
        <v>6972194</v>
      </c>
      <c r="C2198" t="s">
        <v>24</v>
      </c>
      <c r="D2198" t="s">
        <v>99</v>
      </c>
      <c r="E2198" s="2" t="str">
        <f>HYPERLINK("https://ibp.a2mac1.com/costing(costing:projects/details/8191/material/5317062)","PP-PE")</f>
        <v>PP-PE</v>
      </c>
      <c r="F2198" t="s">
        <v>3067</v>
      </c>
    </row>
    <row r="2199" spans="1:6" ht="12.75">
      <c r="A2199">
        <v>6944689</v>
      </c>
      <c r="B2199">
        <v>6972194</v>
      </c>
      <c r="C2199" t="s">
        <v>189</v>
      </c>
      <c r="D2199" t="s">
        <v>99</v>
      </c>
      <c r="E2199" s="2" t="str">
        <f>HYPERLINK("https://ibp.a2mac1.com/costing(costing:projects/details/8191/equipment/6944689)","Equipment (Injection Molding)")</f>
        <v>Equipment (Injection Molding)</v>
      </c>
      <c r="F2199" t="s">
        <v>3067</v>
      </c>
    </row>
    <row r="2200" spans="1:6" ht="12.75">
      <c r="A2200">
        <v>5383926</v>
      </c>
      <c r="B2200">
        <v>5383661</v>
      </c>
      <c r="C2200" t="s">
        <v>12</v>
      </c>
      <c r="D2200" t="s">
        <v>8</v>
      </c>
      <c r="E2200" s="2" t="str">
        <f>HYPERLINK("https://ibp.a2mac1.com/costing(costing:projects/details/8191/part/5383926)","Exterior Trim Support")</f>
        <v>Exterior Trim Support</v>
      </c>
      <c r="F2200" t="s">
        <v>3058</v>
      </c>
    </row>
    <row r="2201" spans="1:6" ht="12.75">
      <c r="A2201">
        <v>6972195</v>
      </c>
      <c r="B2201">
        <v>5383926</v>
      </c>
      <c r="C2201" t="s">
        <v>99</v>
      </c>
      <c r="D2201" t="s">
        <v>12</v>
      </c>
      <c r="E2201" s="2" t="str">
        <f>HYPERLINK("https://ibp.a2mac1.com/costing(costing:projects/details/8191/process/6972195)","Automated Process")</f>
        <v>Automated Process</v>
      </c>
      <c r="F2201" t="s">
        <v>3069</v>
      </c>
    </row>
    <row r="2202" spans="1:6" ht="12.75">
      <c r="A2202">
        <v>5317063</v>
      </c>
      <c r="B2202">
        <v>6972195</v>
      </c>
      <c r="C2202" t="s">
        <v>24</v>
      </c>
      <c r="D2202" t="s">
        <v>99</v>
      </c>
      <c r="E2202" s="2" t="str">
        <f>HYPERLINK("https://ibp.a2mac1.com/costing(costing:projects/details/8191/material/5317063)","PP")</f>
        <v>PP</v>
      </c>
      <c r="F2202" t="s">
        <v>3072</v>
      </c>
    </row>
    <row r="2203" spans="1:6" ht="12.75">
      <c r="A2203">
        <v>6944690</v>
      </c>
      <c r="B2203">
        <v>6972195</v>
      </c>
      <c r="C2203" t="s">
        <v>189</v>
      </c>
      <c r="D2203" t="s">
        <v>99</v>
      </c>
      <c r="E2203" s="2" t="str">
        <f>HYPERLINK("https://ibp.a2mac1.com/costing(costing:projects/details/8191/equipment/6944690)","Equipment (Injection Molding)")</f>
        <v>Equipment (Injection Molding)</v>
      </c>
      <c r="F2203" t="s">
        <v>3072</v>
      </c>
    </row>
    <row r="2204" spans="1:6" ht="12.75">
      <c r="A2204">
        <v>5316666</v>
      </c>
      <c r="B2204">
        <v>5383661</v>
      </c>
      <c r="C2204" t="s">
        <v>574</v>
      </c>
      <c r="D2204" t="s">
        <v>8</v>
      </c>
      <c r="E2204" s="2" t="str">
        <f>HYPERLINK("https://ibp.a2mac1.com/costing(costing:projects/details/8191/component/5316666)","Rivet &gt; Push-in rivet")</f>
        <v>Rivet &gt; Push-in rivet</v>
      </c>
      <c r="F2204" t="s">
        <v>3058</v>
      </c>
    </row>
    <row r="2205" spans="1:6" ht="12.75">
      <c r="A2205">
        <v>5316667</v>
      </c>
      <c r="B2205">
        <v>5383661</v>
      </c>
      <c r="C2205" t="s">
        <v>574</v>
      </c>
      <c r="D2205" t="s">
        <v>8</v>
      </c>
      <c r="E2205" s="2" t="str">
        <f>HYPERLINK("https://ibp.a2mac1.com/costing(costing:projects/details/8191/component/5316667)","Rivet &gt; Push-in rivet")</f>
        <v>Rivet &gt; Push-in rivet</v>
      </c>
      <c r="F2205" t="s">
        <v>3058</v>
      </c>
    </row>
    <row r="2206" spans="1:6" ht="12.75">
      <c r="A2206">
        <v>5316668</v>
      </c>
      <c r="B2206">
        <v>5383661</v>
      </c>
      <c r="C2206" t="s">
        <v>574</v>
      </c>
      <c r="D2206" t="s">
        <v>8</v>
      </c>
      <c r="E2206" s="2" t="str">
        <f>HYPERLINK("https://ibp.a2mac1.com/costing(costing:projects/details/8191/component/5316668)","Screw &gt; Torx socket head cap screw with flange")</f>
        <v>Screw &gt; Torx socket head cap screw with flange</v>
      </c>
      <c r="F2206" t="s">
        <v>3058</v>
      </c>
    </row>
    <row r="2207" spans="1:6" ht="12.75">
      <c r="A2207">
        <v>5383662</v>
      </c>
      <c r="B2207">
        <v>5383539</v>
      </c>
      <c r="C2207" t="s">
        <v>8</v>
      </c>
      <c r="D2207" t="s">
        <v>8</v>
      </c>
      <c r="E2207" s="2" t="str">
        <f>HYPERLINK("https://ibp.a2mac1.com/costing(costing:projects/details/8191/assembly/5383662)","Lower Lighting")</f>
        <v>Lower Lighting</v>
      </c>
      <c r="F2207" t="s">
        <v>3057</v>
      </c>
    </row>
    <row r="2208" spans="1:6" ht="12.75">
      <c r="A2208">
        <v>5383927</v>
      </c>
      <c r="B2208">
        <v>5383662</v>
      </c>
      <c r="C2208" t="s">
        <v>12</v>
      </c>
      <c r="D2208" t="s">
        <v>8</v>
      </c>
      <c r="E2208" s="2" t="str">
        <f>HYPERLINK("https://ibp.a2mac1.com/costing(costing:projects/details/8191/part/5383927)","Lighting")</f>
        <v>Lighting</v>
      </c>
      <c r="F2208" t="s">
        <v>3075</v>
      </c>
    </row>
    <row r="2209" spans="1:6" ht="12.75">
      <c r="A2209">
        <v>5383928</v>
      </c>
      <c r="B2209">
        <v>5383662</v>
      </c>
      <c r="C2209" t="s">
        <v>12</v>
      </c>
      <c r="D2209" t="s">
        <v>8</v>
      </c>
      <c r="E2209" s="2" t="str">
        <f>HYPERLINK("https://ibp.a2mac1.com/costing(costing:projects/details/8191/part/5383928)","Support ")</f>
        <v xml:space="preserve">Support </v>
      </c>
      <c r="F2209" t="s">
        <v>3075</v>
      </c>
    </row>
    <row r="2210" spans="1:6" ht="12.75">
      <c r="A2210">
        <v>5383660</v>
      </c>
      <c r="B2210">
        <v>5383539</v>
      </c>
      <c r="C2210" t="s">
        <v>12</v>
      </c>
      <c r="D2210" t="s">
        <v>8</v>
      </c>
      <c r="E2210" s="2" t="str">
        <f>HYPERLINK("https://ibp.a2mac1.com/costing(costing:projects/details/8191/part/5383660)","Pad")</f>
        <v>Pad</v>
      </c>
      <c r="F2210" t="s">
        <v>3057</v>
      </c>
    </row>
    <row r="2211" spans="1:6" ht="12.75">
      <c r="A2211">
        <v>6972132</v>
      </c>
      <c r="B2211">
        <v>5383660</v>
      </c>
      <c r="C2211" t="s">
        <v>99</v>
      </c>
      <c r="D2211" t="s">
        <v>12</v>
      </c>
      <c r="E2211" s="2" t="str">
        <f>HYPERLINK("https://ibp.a2mac1.com/costing(costing:projects/details/8191/process/6972132)","Automated Process")</f>
        <v>Automated Process</v>
      </c>
      <c r="F2211" t="s">
        <v>3079</v>
      </c>
    </row>
    <row r="2212" spans="1:6" ht="12.75">
      <c r="A2212">
        <v>5316879</v>
      </c>
      <c r="B2212">
        <v>6972132</v>
      </c>
      <c r="C2212" t="s">
        <v>24</v>
      </c>
      <c r="D2212" t="s">
        <v>99</v>
      </c>
      <c r="E2212" s="2" t="str">
        <f>HYPERLINK("https://ibp.a2mac1.com/costing(costing:projects/details/8191/material/5316879)","PUR")</f>
        <v>PUR</v>
      </c>
      <c r="F2212" t="s">
        <v>3080</v>
      </c>
    </row>
    <row r="2213" spans="1:6" ht="12.75">
      <c r="A2213">
        <v>6944591</v>
      </c>
      <c r="B2213">
        <v>6972132</v>
      </c>
      <c r="C2213" t="s">
        <v>189</v>
      </c>
      <c r="D2213" t="s">
        <v>99</v>
      </c>
      <c r="E2213" s="2" t="str">
        <f>HYPERLINK("https://ibp.a2mac1.com/costing(costing:projects/details/8191/equipment/6944591)","Equipment (Injection Molding)")</f>
        <v>Equipment (Injection Molding)</v>
      </c>
      <c r="F2213" t="s">
        <v>3080</v>
      </c>
    </row>
    <row r="2214" spans="1:6" ht="12.75">
      <c r="A2214">
        <v>5383663</v>
      </c>
      <c r="B2214">
        <v>5383539</v>
      </c>
      <c r="C2214" t="s">
        <v>12</v>
      </c>
      <c r="D2214" t="s">
        <v>8</v>
      </c>
      <c r="E2214" s="2" t="str">
        <f>HYPERLINK("https://ibp.a2mac1.com/costing(costing:projects/details/8191/part/5383663)","Cover")</f>
        <v>Cover</v>
      </c>
      <c r="F2214" t="s">
        <v>3057</v>
      </c>
    </row>
    <row r="2215" spans="1:6" ht="12.75">
      <c r="A2215">
        <v>6972133</v>
      </c>
      <c r="B2215">
        <v>5383663</v>
      </c>
      <c r="C2215" t="s">
        <v>99</v>
      </c>
      <c r="D2215" t="s">
        <v>12</v>
      </c>
      <c r="E2215" s="2" t="str">
        <f>HYPERLINK("https://ibp.a2mac1.com/costing(costing:projects/details/8191/process/6972133)","Cutting")</f>
        <v>Cutting</v>
      </c>
      <c r="F2215" t="s">
        <v>3082</v>
      </c>
    </row>
    <row r="2216" spans="1:6" ht="12.75">
      <c r="A2216">
        <v>5316880</v>
      </c>
      <c r="B2216">
        <v>6972133</v>
      </c>
      <c r="C2216" t="s">
        <v>24</v>
      </c>
      <c r="D2216" t="s">
        <v>99</v>
      </c>
      <c r="E2216" s="2" t="str">
        <f>HYPERLINK("https://ibp.a2mac1.com/costing(costing:projects/details/8191/material/5316880)","Fabric")</f>
        <v>Fabric</v>
      </c>
      <c r="F2216" t="s">
        <v>3083</v>
      </c>
    </row>
    <row r="2217" spans="1:6" ht="12.75">
      <c r="A2217">
        <v>5316883</v>
      </c>
      <c r="B2217">
        <v>6972133</v>
      </c>
      <c r="C2217" t="s">
        <v>24</v>
      </c>
      <c r="D2217" t="s">
        <v>99</v>
      </c>
      <c r="E2217" s="2" t="str">
        <f>HYPERLINK("https://ibp.a2mac1.com/costing(costing:projects/details/8191/material/5316883)","Vinyl Perforated")</f>
        <v>Vinyl Perforated</v>
      </c>
      <c r="F2217" t="s">
        <v>3083</v>
      </c>
    </row>
    <row r="2218" spans="1:6" ht="12.75">
      <c r="A2218">
        <v>5316886</v>
      </c>
      <c r="B2218">
        <v>6972133</v>
      </c>
      <c r="C2218" t="s">
        <v>24</v>
      </c>
      <c r="D2218" t="s">
        <v>99</v>
      </c>
      <c r="E2218" s="2" t="str">
        <f>HYPERLINK("https://ibp.a2mac1.com/costing(costing:projects/details/8191/material/5316886)","Mix Vinyl (80%)")</f>
        <v>Mix Vinyl (80%)</v>
      </c>
      <c r="F2218" t="s">
        <v>3083</v>
      </c>
    </row>
    <row r="2219" spans="1:6" ht="12.75">
      <c r="A2219">
        <v>5316888</v>
      </c>
      <c r="B2219">
        <v>6972133</v>
      </c>
      <c r="C2219" t="s">
        <v>24</v>
      </c>
      <c r="D2219" t="s">
        <v>99</v>
      </c>
      <c r="E2219" s="2" t="str">
        <f>HYPERLINK("https://ibp.a2mac1.com/costing(costing:projects/details/8191/material/5316888)","Carpet")</f>
        <v>Carpet</v>
      </c>
      <c r="F2219" t="s">
        <v>3083</v>
      </c>
    </row>
    <row r="2220" spans="1:6" ht="12.75">
      <c r="A2220">
        <v>6944592</v>
      </c>
      <c r="B2220">
        <v>6972133</v>
      </c>
      <c r="C2220" t="s">
        <v>189</v>
      </c>
      <c r="D2220" t="s">
        <v>99</v>
      </c>
      <c r="E2220" s="2" t="str">
        <f>HYPERLINK("https://ibp.a2mac1.com/costing(costing:projects/details/8191/equipment/6944592)","No.01 - Fabric Cutting")</f>
        <v>No.01 - Fabric Cutting</v>
      </c>
      <c r="F2220" t="s">
        <v>3083</v>
      </c>
    </row>
    <row r="2221" spans="1:6" ht="12.75">
      <c r="A2221">
        <v>6972134</v>
      </c>
      <c r="B2221">
        <v>5383663</v>
      </c>
      <c r="C2221" t="s">
        <v>99</v>
      </c>
      <c r="D2221" t="s">
        <v>12</v>
      </c>
      <c r="E2221" s="2" t="str">
        <f>HYPERLINK("https://ibp.a2mac1.com/costing(costing:projects/details/8191/process/6972134)","Sewing")</f>
        <v>Sewing</v>
      </c>
      <c r="F2221" t="s">
        <v>3082</v>
      </c>
    </row>
    <row r="2222" spans="1:6" ht="12.75">
      <c r="A2222">
        <v>6944593</v>
      </c>
      <c r="B2222">
        <v>6972134</v>
      </c>
      <c r="C2222" t="s">
        <v>189</v>
      </c>
      <c r="D2222" t="s">
        <v>99</v>
      </c>
      <c r="E2222" s="2" t="str">
        <f>HYPERLINK("https://ibp.a2mac1.com/costing(costing:projects/details/8191/equipment/6944593)","No.02 - Fabric Sewing")</f>
        <v>No.02 - Fabric Sewing</v>
      </c>
      <c r="F2222" t="s">
        <v>3084</v>
      </c>
    </row>
    <row r="2223" spans="1:6" ht="12.75">
      <c r="A2223">
        <v>5383664</v>
      </c>
      <c r="B2223">
        <v>5383539</v>
      </c>
      <c r="C2223" t="s">
        <v>12</v>
      </c>
      <c r="D2223" t="s">
        <v>8</v>
      </c>
      <c r="E2223" s="2" t="str">
        <f>HYPERLINK("https://ibp.a2mac1.com/costing(costing:projects/details/8191/part/5383664)","Frame")</f>
        <v>Frame</v>
      </c>
      <c r="F2223" t="s">
        <v>3057</v>
      </c>
    </row>
    <row r="2224" spans="1:6" ht="12.75">
      <c r="A2224">
        <v>6972135</v>
      </c>
      <c r="B2224">
        <v>5383664</v>
      </c>
      <c r="C2224" t="s">
        <v>99</v>
      </c>
      <c r="D2224" t="s">
        <v>12</v>
      </c>
      <c r="E2224" s="2" t="str">
        <f>HYPERLINK("https://ibp.a2mac1.com/costing(costing:projects/details/8191/process/6972135)","Automated Process")</f>
        <v>Automated Process</v>
      </c>
      <c r="F2224" t="s">
        <v>3086</v>
      </c>
    </row>
    <row r="2225" spans="1:6" ht="12.75">
      <c r="A2225">
        <v>5316890</v>
      </c>
      <c r="B2225">
        <v>6972135</v>
      </c>
      <c r="C2225" t="s">
        <v>24</v>
      </c>
      <c r="D2225" t="s">
        <v>99</v>
      </c>
      <c r="E2225" s="2" t="str">
        <f>HYPERLINK("https://ibp.a2mac1.com/costing(costing:projects/details/8191/material/5316890)","Steel sheet (default)")</f>
        <v>Steel sheet (default)</v>
      </c>
      <c r="F2225" t="s">
        <v>3087</v>
      </c>
    </row>
    <row r="2226" spans="1:6" ht="12.75">
      <c r="A2226">
        <v>5316892</v>
      </c>
      <c r="B2226">
        <v>6972135</v>
      </c>
      <c r="C2226" t="s">
        <v>24</v>
      </c>
      <c r="D2226" t="s">
        <v>99</v>
      </c>
      <c r="E2226" s="2" t="str">
        <f>HYPERLINK("https://ibp.a2mac1.com/costing(costing:projects/details/8191/material/5316892)","Cataphoresis paint")</f>
        <v>Cataphoresis paint</v>
      </c>
      <c r="F2226" t="s">
        <v>3087</v>
      </c>
    </row>
    <row r="2227" spans="1:6" ht="12.75">
      <c r="A2227">
        <v>6944594</v>
      </c>
      <c r="B2227">
        <v>6972135</v>
      </c>
      <c r="C2227" t="s">
        <v>189</v>
      </c>
      <c r="D2227" t="s">
        <v>99</v>
      </c>
      <c r="E2227" s="2" t="str">
        <f>HYPERLINK("https://ibp.a2mac1.com/costing(costing:projects/details/8191/equipment/6944594)","Equipment")</f>
        <v>Equipment</v>
      </c>
      <c r="F2227" t="s">
        <v>3087</v>
      </c>
    </row>
    <row r="2228" spans="1:6" ht="12.75">
      <c r="A2228">
        <v>5383665</v>
      </c>
      <c r="B2228">
        <v>5383539</v>
      </c>
      <c r="C2228" t="s">
        <v>12</v>
      </c>
      <c r="D2228" t="s">
        <v>8</v>
      </c>
      <c r="E2228" s="2" t="str">
        <f>HYPERLINK("https://ibp.a2mac1.com/costing(costing:projects/details/8191/part/5383665)","Base Assembly")</f>
        <v>Base Assembly</v>
      </c>
      <c r="F2228" t="s">
        <v>3057</v>
      </c>
    </row>
    <row r="2229" spans="1:6" ht="12.75">
      <c r="A2229">
        <v>6972136</v>
      </c>
      <c r="B2229">
        <v>5383665</v>
      </c>
      <c r="C2229" t="s">
        <v>99</v>
      </c>
      <c r="D2229" t="s">
        <v>12</v>
      </c>
      <c r="E2229" s="2" t="str">
        <f>HYPERLINK("https://ibp.a2mac1.com/costing(costing:projects/details/8191/process/6972136)","Automated Process")</f>
        <v>Automated Process</v>
      </c>
      <c r="F2229" t="s">
        <v>3089</v>
      </c>
    </row>
    <row r="2230" spans="1:6" ht="12.75">
      <c r="A2230">
        <v>5316894</v>
      </c>
      <c r="B2230">
        <v>6972136</v>
      </c>
      <c r="C2230" t="s">
        <v>24</v>
      </c>
      <c r="D2230" t="s">
        <v>99</v>
      </c>
      <c r="E2230" s="2" t="str">
        <f>HYPERLINK("https://ibp.a2mac1.com/costing(costing:projects/details/8191/material/5316894)","Steel sheet (default)")</f>
        <v>Steel sheet (default)</v>
      </c>
      <c r="F2230" t="s">
        <v>3090</v>
      </c>
    </row>
    <row r="2231" spans="1:6" ht="12.75">
      <c r="A2231">
        <v>5316895</v>
      </c>
      <c r="B2231">
        <v>6972136</v>
      </c>
      <c r="C2231" t="s">
        <v>24</v>
      </c>
      <c r="D2231" t="s">
        <v>99</v>
      </c>
      <c r="E2231" s="2" t="str">
        <f>HYPERLINK("https://ibp.a2mac1.com/costing(costing:projects/details/8191/material/5316895)","Cataphoresis paint")</f>
        <v>Cataphoresis paint</v>
      </c>
      <c r="F2231" t="s">
        <v>3090</v>
      </c>
    </row>
    <row r="2232" spans="1:6" ht="12.75">
      <c r="A2232">
        <v>6944595</v>
      </c>
      <c r="B2232">
        <v>6972136</v>
      </c>
      <c r="C2232" t="s">
        <v>189</v>
      </c>
      <c r="D2232" t="s">
        <v>99</v>
      </c>
      <c r="E2232" s="2" t="str">
        <f>HYPERLINK("https://ibp.a2mac1.com/costing(costing:projects/details/8191/equipment/6944595)","Equipment")</f>
        <v>Equipment</v>
      </c>
      <c r="F2232" t="s">
        <v>3090</v>
      </c>
    </row>
    <row r="2233" spans="1:6" ht="12.75">
      <c r="A2233">
        <v>5383666</v>
      </c>
      <c r="B2233">
        <v>5383539</v>
      </c>
      <c r="C2233" t="s">
        <v>12</v>
      </c>
      <c r="D2233" t="s">
        <v>8</v>
      </c>
      <c r="E2233" s="2" t="str">
        <f>HYPERLINK("https://ibp.a2mac1.com/costing(costing:projects/details/8191/part/5383666)","Suspension")</f>
        <v>Suspension</v>
      </c>
      <c r="F2233" t="s">
        <v>3057</v>
      </c>
    </row>
    <row r="2234" spans="1:6" ht="12.75">
      <c r="A2234">
        <v>5316561</v>
      </c>
      <c r="B2234">
        <v>5383539</v>
      </c>
      <c r="C2234" t="s">
        <v>574</v>
      </c>
      <c r="D2234" t="s">
        <v>8</v>
      </c>
      <c r="E2234" s="2" t="str">
        <f>HYPERLINK("https://ibp.a2mac1.com/costing(costing:projects/details/8191/component/5316561)","Other fastener &gt; Hog ring")</f>
        <v>Other fastener &gt; Hog ring</v>
      </c>
      <c r="F2234" t="s">
        <v>3057</v>
      </c>
    </row>
    <row r="2235" spans="1:6" ht="12.75">
      <c r="A2235">
        <v>5316562</v>
      </c>
      <c r="B2235">
        <v>5383539</v>
      </c>
      <c r="C2235" t="s">
        <v>574</v>
      </c>
      <c r="D2235" t="s">
        <v>8</v>
      </c>
      <c r="E2235" s="2" t="str">
        <f>HYPERLINK("https://ibp.a2mac1.com/costing(costing:projects/details/8191/component/5316562)","Screw &gt; Torx socket head cap screw")</f>
        <v>Screw &gt; Torx socket head cap screw</v>
      </c>
      <c r="F2235" t="s">
        <v>3057</v>
      </c>
    </row>
    <row r="2236" spans="1:6" ht="12.75">
      <c r="A2236">
        <v>5316563</v>
      </c>
      <c r="B2236">
        <v>5383539</v>
      </c>
      <c r="C2236" t="s">
        <v>574</v>
      </c>
      <c r="D2236" t="s">
        <v>8</v>
      </c>
      <c r="E2236" s="2" t="str">
        <f>HYPERLINK("https://ibp.a2mac1.com/costing(costing:projects/details/8191/component/5316563)","Other fastener &gt; Attachment")</f>
        <v>Other fastener &gt; Attachment</v>
      </c>
      <c r="F2236" t="s">
        <v>3057</v>
      </c>
    </row>
    <row r="2237" spans="1:6" ht="12.75">
      <c r="A2237">
        <v>5383540</v>
      </c>
      <c r="B2237">
        <v>5383400</v>
      </c>
      <c r="C2237" t="s">
        <v>8</v>
      </c>
      <c r="D2237" t="s">
        <v>8</v>
      </c>
      <c r="E2237" s="2" t="str">
        <f>HYPERLINK("https://ibp.a2mac1.com/costing(costing:projects/details/8191/assembly/5383540)","Safety")</f>
        <v>Safety</v>
      </c>
      <c r="F2237" t="s">
        <v>3007</v>
      </c>
    </row>
    <row r="2238" spans="1:6" ht="12.75">
      <c r="A2238">
        <v>5383668</v>
      </c>
      <c r="B2238">
        <v>5383540</v>
      </c>
      <c r="C2238" t="s">
        <v>8</v>
      </c>
      <c r="D2238" t="s">
        <v>8</v>
      </c>
      <c r="E2238" s="2" t="str">
        <f>HYPERLINK("https://ibp.a2mac1.com/costing(costing:projects/details/8191/assembly/5383668)","Detection of Position System")</f>
        <v>Detection of Position System</v>
      </c>
      <c r="F2238" t="s">
        <v>3094</v>
      </c>
    </row>
    <row r="2239" spans="1:6" ht="12.75">
      <c r="A2239">
        <v>5383929</v>
      </c>
      <c r="B2239">
        <v>5383668</v>
      </c>
      <c r="C2239" t="s">
        <v>12</v>
      </c>
      <c r="D2239" t="s">
        <v>8</v>
      </c>
      <c r="E2239" s="2" t="str">
        <f>HYPERLINK("https://ibp.a2mac1.com/costing(costing:projects/details/8191/part/5383929)","Sensor")</f>
        <v>Sensor</v>
      </c>
      <c r="F2239" t="s">
        <v>3095</v>
      </c>
    </row>
    <row r="2240" spans="1:6" ht="12.75">
      <c r="A2240">
        <v>5383930</v>
      </c>
      <c r="B2240">
        <v>5383668</v>
      </c>
      <c r="C2240" t="s">
        <v>12</v>
      </c>
      <c r="D2240" t="s">
        <v>8</v>
      </c>
      <c r="E2240" s="2" t="str">
        <f>HYPERLINK("https://ibp.a2mac1.com/costing(costing:projects/details/8191/part/5383930)","Sensor Support")</f>
        <v>Sensor Support</v>
      </c>
      <c r="F2240" t="s">
        <v>3095</v>
      </c>
    </row>
    <row r="2241" spans="1:6" ht="12.75">
      <c r="A2241">
        <v>6972196</v>
      </c>
      <c r="B2241">
        <v>5383930</v>
      </c>
      <c r="C2241" t="s">
        <v>99</v>
      </c>
      <c r="D2241" t="s">
        <v>12</v>
      </c>
      <c r="E2241" s="2" t="str">
        <f>HYPERLINK("https://ibp.a2mac1.com/costing(costing:projects/details/8191/process/6972196)","Automated Process")</f>
        <v>Automated Process</v>
      </c>
      <c r="F2241" t="s">
        <v>3097</v>
      </c>
    </row>
    <row r="2242" spans="1:6" ht="12.75">
      <c r="A2242">
        <v>5317064</v>
      </c>
      <c r="B2242">
        <v>6972196</v>
      </c>
      <c r="C2242" t="s">
        <v>24</v>
      </c>
      <c r="D2242" t="s">
        <v>99</v>
      </c>
      <c r="E2242" s="2" t="str">
        <f>HYPERLINK("https://ibp.a2mac1.com/costing(costing:projects/details/8191/material/5317064)","PA66")</f>
        <v>PA66</v>
      </c>
      <c r="F2242" t="s">
        <v>3099</v>
      </c>
    </row>
    <row r="2243" spans="1:6" ht="12.75">
      <c r="A2243">
        <v>6944691</v>
      </c>
      <c r="B2243">
        <v>6972196</v>
      </c>
      <c r="C2243" t="s">
        <v>189</v>
      </c>
      <c r="D2243" t="s">
        <v>99</v>
      </c>
      <c r="E2243" s="2" t="str">
        <f>HYPERLINK("https://ibp.a2mac1.com/costing(costing:projects/details/8191/equipment/6944691)","Equipment (Injection Molding)")</f>
        <v>Equipment (Injection Molding)</v>
      </c>
      <c r="F2243" t="s">
        <v>3099</v>
      </c>
    </row>
    <row r="2244" spans="1:6" ht="12.75">
      <c r="A2244">
        <v>5383931</v>
      </c>
      <c r="B2244">
        <v>5383668</v>
      </c>
      <c r="C2244" t="s">
        <v>12</v>
      </c>
      <c r="D2244" t="s">
        <v>8</v>
      </c>
      <c r="E2244" s="2" t="str">
        <f>HYPERLINK("https://ibp.a2mac1.com/costing(costing:projects/details/8191/part/5383931)","Occupant Detection Module")</f>
        <v>Occupant Detection Module</v>
      </c>
      <c r="F2244" t="s">
        <v>3095</v>
      </c>
    </row>
    <row r="2245" spans="1:6" ht="12.75">
      <c r="A2245">
        <v>5383932</v>
      </c>
      <c r="B2245">
        <v>5383668</v>
      </c>
      <c r="C2245" t="s">
        <v>12</v>
      </c>
      <c r="D2245" t="s">
        <v>8</v>
      </c>
      <c r="E2245" s="2" t="str">
        <f>HYPERLINK("https://ibp.a2mac1.com/costing(costing:projects/details/8191/part/5383932)","Detection of Position System Module Support")</f>
        <v>Detection of Position System Module Support</v>
      </c>
      <c r="F2245" t="s">
        <v>3095</v>
      </c>
    </row>
    <row r="2246" spans="1:6" ht="12.75">
      <c r="A2246">
        <v>6972197</v>
      </c>
      <c r="B2246">
        <v>5383932</v>
      </c>
      <c r="C2246" t="s">
        <v>99</v>
      </c>
      <c r="D2246" t="s">
        <v>12</v>
      </c>
      <c r="E2246" s="2" t="str">
        <f>HYPERLINK("https://ibp.a2mac1.com/costing(costing:projects/details/8191/process/6972197)","Automated Process")</f>
        <v>Automated Process</v>
      </c>
      <c r="F2246" t="s">
        <v>3102</v>
      </c>
    </row>
    <row r="2247" spans="1:6" ht="12.75">
      <c r="A2247">
        <v>5317065</v>
      </c>
      <c r="B2247">
        <v>6972197</v>
      </c>
      <c r="C2247" t="s">
        <v>24</v>
      </c>
      <c r="D2247" t="s">
        <v>99</v>
      </c>
      <c r="E2247" s="2" t="str">
        <f>HYPERLINK("https://ibp.a2mac1.com/costing(costing:projects/details/8191/material/5317065)","PA6")</f>
        <v>PA6</v>
      </c>
      <c r="F2247" t="s">
        <v>3105</v>
      </c>
    </row>
    <row r="2248" spans="1:6" ht="12.75">
      <c r="A2248">
        <v>6944692</v>
      </c>
      <c r="B2248">
        <v>6972197</v>
      </c>
      <c r="C2248" t="s">
        <v>189</v>
      </c>
      <c r="D2248" t="s">
        <v>99</v>
      </c>
      <c r="E2248" s="2" t="str">
        <f>HYPERLINK("https://ibp.a2mac1.com/costing(costing:projects/details/8191/equipment/6944692)","Equipment (Injection Molding)")</f>
        <v>Equipment (Injection Molding)</v>
      </c>
      <c r="F2248" t="s">
        <v>3105</v>
      </c>
    </row>
    <row r="2249" spans="1:6" ht="12.75">
      <c r="A2249">
        <v>5316669</v>
      </c>
      <c r="B2249">
        <v>5383668</v>
      </c>
      <c r="C2249" t="s">
        <v>574</v>
      </c>
      <c r="D2249" t="s">
        <v>8</v>
      </c>
      <c r="E2249" s="2" t="str">
        <f>HYPERLINK("https://ibp.a2mac1.com/costing(costing:projects/details/8191/component/5316669)","Screw &gt; Torx socket head cap screw with flange")</f>
        <v>Screw &gt; Torx socket head cap screw with flange</v>
      </c>
      <c r="F2249" t="s">
        <v>3095</v>
      </c>
    </row>
    <row r="2250" spans="1:6" ht="12.75">
      <c r="A2250">
        <v>5383667</v>
      </c>
      <c r="B2250">
        <v>5383540</v>
      </c>
      <c r="C2250" t="s">
        <v>12</v>
      </c>
      <c r="D2250" t="s">
        <v>8</v>
      </c>
      <c r="E2250" s="2" t="str">
        <f>HYPERLINK("https://ibp.a2mac1.com/costing(costing:projects/details/8191/part/5383667)","Side Airbag")</f>
        <v>Side Airbag</v>
      </c>
      <c r="F2250" t="s">
        <v>3094</v>
      </c>
    </row>
    <row r="2251" spans="1:6" ht="12.75">
      <c r="A2251">
        <v>5383669</v>
      </c>
      <c r="B2251">
        <v>5383540</v>
      </c>
      <c r="C2251" t="s">
        <v>12</v>
      </c>
      <c r="D2251" t="s">
        <v>8</v>
      </c>
      <c r="E2251" s="2" t="str">
        <f>HYPERLINK("https://ibp.a2mac1.com/costing(costing:projects/details/8191/part/5383669)","Airbag Support")</f>
        <v>Airbag Support</v>
      </c>
      <c r="F2251" t="s">
        <v>3094</v>
      </c>
    </row>
    <row r="2252" spans="1:6" ht="12.75">
      <c r="A2252">
        <v>6972137</v>
      </c>
      <c r="B2252">
        <v>5383669</v>
      </c>
      <c r="C2252" t="s">
        <v>99</v>
      </c>
      <c r="D2252" t="s">
        <v>12</v>
      </c>
      <c r="E2252" s="2" t="str">
        <f>HYPERLINK("https://ibp.a2mac1.com/costing(costing:projects/details/8191/process/6972137)","Cleaning")</f>
        <v>Cleaning</v>
      </c>
      <c r="F2252" t="s">
        <v>3110</v>
      </c>
    </row>
    <row r="2253" spans="1:6" ht="12.75">
      <c r="A2253">
        <v>6944596</v>
      </c>
      <c r="B2253">
        <v>6972137</v>
      </c>
      <c r="C2253" t="s">
        <v>189</v>
      </c>
      <c r="D2253" t="s">
        <v>99</v>
      </c>
      <c r="E2253" s="2" t="str">
        <f>HYPERLINK("https://ibp.a2mac1.com/costing(costing:projects/details/8191/equipment/6944596)","No.05 - Cleaning - Batch - 2000x2000x1200 - 500kg/batch - 3000kg/h ")</f>
        <v xml:space="preserve">No.05 - Cleaning - Batch - 2000x2000x1200 - 500kg/batch - 3000kg/h </v>
      </c>
      <c r="F2253" t="s">
        <v>3111</v>
      </c>
    </row>
    <row r="2254" spans="1:6" ht="12.75">
      <c r="A2254">
        <v>6972138</v>
      </c>
      <c r="B2254">
        <v>5383669</v>
      </c>
      <c r="C2254" t="s">
        <v>99</v>
      </c>
      <c r="D2254" t="s">
        <v>12</v>
      </c>
      <c r="E2254" s="2" t="str">
        <f>HYPERLINK("https://ibp.a2mac1.com/costing(costing:projects/details/8191/process/6972138)","Stamping")</f>
        <v>Stamping</v>
      </c>
      <c r="F2254" t="s">
        <v>3110</v>
      </c>
    </row>
    <row r="2255" spans="1:6" ht="12.75">
      <c r="A2255">
        <v>5316896</v>
      </c>
      <c r="B2255">
        <v>6972138</v>
      </c>
      <c r="C2255" t="s">
        <v>24</v>
      </c>
      <c r="D2255" t="s">
        <v>99</v>
      </c>
      <c r="E2255" s="2" t="str">
        <f>HYPERLINK("https://ibp.a2mac1.com/costing(costing:projects/details/8191/material/5316896)","Steel sheet (default)")</f>
        <v>Steel sheet (default)</v>
      </c>
      <c r="F2255" t="s">
        <v>3112</v>
      </c>
    </row>
    <row r="2256" spans="1:6" ht="12.75">
      <c r="A2256">
        <v>6944597</v>
      </c>
      <c r="B2256">
        <v>6972138</v>
      </c>
      <c r="C2256" t="s">
        <v>189</v>
      </c>
      <c r="D2256" t="s">
        <v>99</v>
      </c>
      <c r="E2256" s="2" t="str">
        <f>HYPERLINK("https://ibp.a2mac1.com/costing(costing:projects/details/8191/equipment/6944597)","No.01 - Progressive Press - 250T ")</f>
        <v xml:space="preserve">No.01 - Progressive Press - 250T </v>
      </c>
      <c r="F2256" t="s">
        <v>3112</v>
      </c>
    </row>
    <row r="2257" spans="1:6" ht="12.75">
      <c r="A2257">
        <v>6972139</v>
      </c>
      <c r="B2257">
        <v>5383669</v>
      </c>
      <c r="C2257" t="s">
        <v>99</v>
      </c>
      <c r="D2257" t="s">
        <v>12</v>
      </c>
      <c r="E2257" s="2" t="str">
        <f>HYPERLINK("https://ibp.a2mac1.com/costing(costing:projects/details/8191/process/6972139)","Packaging")</f>
        <v>Packaging</v>
      </c>
      <c r="F2257" t="s">
        <v>3110</v>
      </c>
    </row>
    <row r="2258" spans="1:6" ht="12.75">
      <c r="A2258">
        <v>6944598</v>
      </c>
      <c r="B2258">
        <v>6972139</v>
      </c>
      <c r="C2258" t="s">
        <v>189</v>
      </c>
      <c r="D2258" t="s">
        <v>99</v>
      </c>
      <c r="E2258" s="2" t="str">
        <f>HYPERLINK("https://ibp.a2mac1.com/costing(costing:projects/details/8191/equipment/6944598)","Packaging ")</f>
        <v xml:space="preserve">Packaging </v>
      </c>
      <c r="F2258" t="s">
        <v>3113</v>
      </c>
    </row>
    <row r="2259" spans="1:6" ht="12.75">
      <c r="A2259">
        <v>5316670</v>
      </c>
      <c r="B2259">
        <v>5383669</v>
      </c>
      <c r="C2259" t="s">
        <v>574</v>
      </c>
      <c r="D2259" t="s">
        <v>12</v>
      </c>
      <c r="E2259" s="2" t="str">
        <f>HYPERLINK("https://ibp.a2mac1.com/costing(costing:projects/details/8191/component/5316670)","Screw &gt; Torx socket head cap screw with flange")</f>
        <v>Screw &gt; Torx socket head cap screw with flange</v>
      </c>
      <c r="F2259" t="s">
        <v>3110</v>
      </c>
    </row>
    <row r="2260" spans="1:6" ht="12.75">
      <c r="A2260">
        <v>5383541</v>
      </c>
      <c r="B2260">
        <v>5383400</v>
      </c>
      <c r="C2260" t="s">
        <v>8</v>
      </c>
      <c r="D2260" t="s">
        <v>8</v>
      </c>
      <c r="E2260" s="2" t="str">
        <f>HYPERLINK("https://ibp.a2mac1.com/costing(costing:projects/details/8191/assembly/5383541)","Power Adjusters")</f>
        <v>Power Adjusters</v>
      </c>
      <c r="F2260" t="s">
        <v>3007</v>
      </c>
    </row>
    <row r="2261" spans="1:6" ht="12.75">
      <c r="A2261">
        <v>5383674</v>
      </c>
      <c r="B2261">
        <v>5383541</v>
      </c>
      <c r="C2261" t="s">
        <v>8</v>
      </c>
      <c r="D2261" t="s">
        <v>8</v>
      </c>
      <c r="E2261" s="2" t="str">
        <f>HYPERLINK("https://ibp.a2mac1.com/costing(costing:projects/details/8191/assembly/5383674)","Longitudinal")</f>
        <v>Longitudinal</v>
      </c>
      <c r="F2261" t="s">
        <v>3116</v>
      </c>
    </row>
    <row r="2262" spans="1:6" ht="12.75">
      <c r="A2262">
        <v>5383938</v>
      </c>
      <c r="B2262">
        <v>5383674</v>
      </c>
      <c r="C2262" t="s">
        <v>8</v>
      </c>
      <c r="D2262" t="s">
        <v>8</v>
      </c>
      <c r="E2262" s="2" t="str">
        <f>HYPERLINK("https://ibp.a2mac1.com/costing(costing:projects/details/8191/assembly/5383938)","Rails")</f>
        <v>Rails</v>
      </c>
      <c r="F2262" t="s">
        <v>3117</v>
      </c>
    </row>
    <row r="2263" spans="1:6" ht="12.75">
      <c r="A2263">
        <v>5384064</v>
      </c>
      <c r="B2263">
        <v>5383938</v>
      </c>
      <c r="C2263" t="s">
        <v>12</v>
      </c>
      <c r="D2263" t="s">
        <v>8</v>
      </c>
      <c r="E2263" s="2" t="str">
        <f>HYPERLINK("https://ibp.a2mac1.com/costing(costing:projects/details/8191/part/5384064)","Inner Side")</f>
        <v>Inner Side</v>
      </c>
      <c r="F2263" t="s">
        <v>3118</v>
      </c>
    </row>
    <row r="2264" spans="1:6" ht="12.75">
      <c r="A2264">
        <v>6972336</v>
      </c>
      <c r="B2264">
        <v>5384064</v>
      </c>
      <c r="C2264" t="s">
        <v>99</v>
      </c>
      <c r="D2264" t="s">
        <v>12</v>
      </c>
      <c r="E2264" s="2" t="str">
        <f>HYPERLINK("https://ibp.a2mac1.com/costing(costing:projects/details/8191/process/6972336)","Automated Process ")</f>
        <v xml:space="preserve">Automated Process </v>
      </c>
      <c r="F2264" t="s">
        <v>3119</v>
      </c>
    </row>
    <row r="2265" spans="1:6" ht="12.75">
      <c r="A2265">
        <v>5317099</v>
      </c>
      <c r="B2265">
        <v>6972336</v>
      </c>
      <c r="C2265" t="s">
        <v>24</v>
      </c>
      <c r="D2265" t="s">
        <v>99</v>
      </c>
      <c r="E2265" s="2" t="str">
        <f>HYPERLINK("https://ibp.a2mac1.com/costing(costing:projects/details/8191/material/5317099)","Steel sheet (default)")</f>
        <v>Steel sheet (default)</v>
      </c>
      <c r="F2265" t="s">
        <v>3120</v>
      </c>
    </row>
    <row r="2266" spans="1:6" ht="12.75">
      <c r="A2266">
        <v>6944837</v>
      </c>
      <c r="B2266">
        <v>6972336</v>
      </c>
      <c r="C2266" t="s">
        <v>189</v>
      </c>
      <c r="D2266" t="s">
        <v>99</v>
      </c>
      <c r="E2266" s="2" t="str">
        <f>HYPERLINK("https://ibp.a2mac1.com/costing(costing:projects/details/8191/equipment/6944837)","Equipment")</f>
        <v>Equipment</v>
      </c>
      <c r="F2266" t="s">
        <v>3120</v>
      </c>
    </row>
    <row r="2267" spans="1:6" ht="12.75">
      <c r="A2267">
        <v>5384065</v>
      </c>
      <c r="B2267">
        <v>5383938</v>
      </c>
      <c r="C2267" t="s">
        <v>12</v>
      </c>
      <c r="D2267" t="s">
        <v>8</v>
      </c>
      <c r="E2267" s="2" t="str">
        <f>HYPERLINK("https://ibp.a2mac1.com/costing(costing:projects/details/8191/part/5384065)","Outer Side")</f>
        <v>Outer Side</v>
      </c>
      <c r="F2267" t="s">
        <v>3118</v>
      </c>
    </row>
    <row r="2268" spans="1:6" ht="12.75">
      <c r="A2268">
        <v>6972337</v>
      </c>
      <c r="B2268">
        <v>5384065</v>
      </c>
      <c r="C2268" t="s">
        <v>99</v>
      </c>
      <c r="D2268" t="s">
        <v>12</v>
      </c>
      <c r="E2268" s="2" t="str">
        <f>HYPERLINK("https://ibp.a2mac1.com/costing(costing:projects/details/8191/process/6972337)","Automated Process")</f>
        <v>Automated Process</v>
      </c>
      <c r="F2268" t="s">
        <v>3122</v>
      </c>
    </row>
    <row r="2269" spans="1:6" ht="12.75">
      <c r="A2269">
        <v>5317100</v>
      </c>
      <c r="B2269">
        <v>6972337</v>
      </c>
      <c r="C2269" t="s">
        <v>24</v>
      </c>
      <c r="D2269" t="s">
        <v>99</v>
      </c>
      <c r="E2269" s="2" t="str">
        <f>HYPERLINK("https://ibp.a2mac1.com/costing(costing:projects/details/8191/material/5317100)","Steel sheet (default)")</f>
        <v>Steel sheet (default)</v>
      </c>
      <c r="F2269" t="s">
        <v>3123</v>
      </c>
    </row>
    <row r="2270" spans="1:6" ht="12.75">
      <c r="A2270">
        <v>6944838</v>
      </c>
      <c r="B2270">
        <v>6972337</v>
      </c>
      <c r="C2270" t="s">
        <v>189</v>
      </c>
      <c r="D2270" t="s">
        <v>99</v>
      </c>
      <c r="E2270" s="2" t="str">
        <f>HYPERLINK("https://ibp.a2mac1.com/costing(costing:projects/details/8191/equipment/6944838)","Equipment")</f>
        <v>Equipment</v>
      </c>
      <c r="F2270" t="s">
        <v>3123</v>
      </c>
    </row>
    <row r="2271" spans="1:6" ht="12.75">
      <c r="A2271">
        <v>5316898</v>
      </c>
      <c r="B2271">
        <v>5383938</v>
      </c>
      <c r="C2271" t="s">
        <v>574</v>
      </c>
      <c r="D2271" t="s">
        <v>8</v>
      </c>
      <c r="E2271" s="2" t="str">
        <f>HYPERLINK("https://ibp.a2mac1.com/costing(costing:projects/details/8191/component/5316898)","Screw &gt; 12 point socket head cap screw with flange")</f>
        <v>Screw &gt; 12 point socket head cap screw with flange</v>
      </c>
      <c r="F2271" t="s">
        <v>3118</v>
      </c>
    </row>
    <row r="2272" spans="1:6" ht="12.75">
      <c r="A2272">
        <v>5316899</v>
      </c>
      <c r="B2272">
        <v>5383938</v>
      </c>
      <c r="C2272" t="s">
        <v>574</v>
      </c>
      <c r="D2272" t="s">
        <v>8</v>
      </c>
      <c r="E2272" s="2" t="str">
        <f>HYPERLINK("https://ibp.a2mac1.com/costing(costing:projects/details/8191/component/5316899)","Screw &gt; 12 point socket head cap screw with flange")</f>
        <v>Screw &gt; 12 point socket head cap screw with flange</v>
      </c>
      <c r="F2272" t="s">
        <v>3118</v>
      </c>
    </row>
    <row r="2273" spans="1:6" ht="12.75">
      <c r="A2273">
        <v>5383933</v>
      </c>
      <c r="B2273">
        <v>5383674</v>
      </c>
      <c r="C2273" t="s">
        <v>12</v>
      </c>
      <c r="D2273" t="s">
        <v>8</v>
      </c>
      <c r="E2273" s="2" t="str">
        <f>HYPERLINK("https://ibp.a2mac1.com/costing(costing:projects/details/8191/part/5383933)","Motor")</f>
        <v>Motor</v>
      </c>
      <c r="F2273" t="s">
        <v>3117</v>
      </c>
    </row>
    <row r="2274" spans="1:6" ht="12.75">
      <c r="A2274">
        <v>5383934</v>
      </c>
      <c r="B2274">
        <v>5383674</v>
      </c>
      <c r="C2274" t="s">
        <v>12</v>
      </c>
      <c r="D2274" t="s">
        <v>8</v>
      </c>
      <c r="E2274" s="2" t="str">
        <f>HYPERLINK("https://ibp.a2mac1.com/costing(costing:projects/details/8191/part/5383934)","Mount Bracket")</f>
        <v>Mount Bracket</v>
      </c>
      <c r="F2274" t="s">
        <v>3117</v>
      </c>
    </row>
    <row r="2275" spans="1:6" ht="12.75">
      <c r="A2275">
        <v>6972198</v>
      </c>
      <c r="B2275">
        <v>5383934</v>
      </c>
      <c r="C2275" t="s">
        <v>99</v>
      </c>
      <c r="D2275" t="s">
        <v>12</v>
      </c>
      <c r="E2275" s="2" t="str">
        <f>HYPERLINK("https://ibp.a2mac1.com/costing(costing:projects/details/8191/process/6972198)","Automated Process")</f>
        <v>Automated Process</v>
      </c>
      <c r="F2275" t="s">
        <v>3128</v>
      </c>
    </row>
    <row r="2276" spans="1:6" ht="12.75">
      <c r="A2276">
        <v>5317066</v>
      </c>
      <c r="B2276">
        <v>6972198</v>
      </c>
      <c r="C2276" t="s">
        <v>24</v>
      </c>
      <c r="D2276" t="s">
        <v>99</v>
      </c>
      <c r="E2276" s="2" t="str">
        <f>HYPERLINK("https://ibp.a2mac1.com/costing(costing:projects/details/8191/material/5317066)","Steel sheet (default)")</f>
        <v>Steel sheet (default)</v>
      </c>
      <c r="F2276" t="s">
        <v>3129</v>
      </c>
    </row>
    <row r="2277" spans="1:6" ht="12.75">
      <c r="A2277">
        <v>6944693</v>
      </c>
      <c r="B2277">
        <v>6972198</v>
      </c>
      <c r="C2277" t="s">
        <v>189</v>
      </c>
      <c r="D2277" t="s">
        <v>99</v>
      </c>
      <c r="E2277" s="2" t="str">
        <f>HYPERLINK("https://ibp.a2mac1.com/costing(costing:projects/details/8191/equipment/6944693)","Equipment")</f>
        <v>Equipment</v>
      </c>
      <c r="F2277" t="s">
        <v>3129</v>
      </c>
    </row>
    <row r="2278" spans="1:6" ht="12.75">
      <c r="A2278">
        <v>5383935</v>
      </c>
      <c r="B2278">
        <v>5383674</v>
      </c>
      <c r="C2278" t="s">
        <v>12</v>
      </c>
      <c r="D2278" t="s">
        <v>8</v>
      </c>
      <c r="E2278" s="2" t="str">
        <f>HYPERLINK("https://ibp.a2mac1.com/costing(costing:projects/details/8191/part/5383935)","Crosstalk Shaft Inner")</f>
        <v>Crosstalk Shaft Inner</v>
      </c>
      <c r="F2278" t="s">
        <v>3117</v>
      </c>
    </row>
    <row r="2279" spans="1:6" ht="12.75">
      <c r="A2279">
        <v>6972199</v>
      </c>
      <c r="B2279">
        <v>5383935</v>
      </c>
      <c r="C2279" t="s">
        <v>99</v>
      </c>
      <c r="D2279" t="s">
        <v>12</v>
      </c>
      <c r="E2279" s="2" t="str">
        <f>HYPERLINK("https://ibp.a2mac1.com/costing(costing:projects/details/8191/process/6972199)","Automated Process")</f>
        <v>Automated Process</v>
      </c>
      <c r="F2279" t="s">
        <v>3131</v>
      </c>
    </row>
    <row r="2280" spans="1:6" ht="12.75">
      <c r="A2280">
        <v>5317067</v>
      </c>
      <c r="B2280">
        <v>6972199</v>
      </c>
      <c r="C2280" t="s">
        <v>24</v>
      </c>
      <c r="D2280" t="s">
        <v>99</v>
      </c>
      <c r="E2280" s="2" t="str">
        <f>HYPERLINK("https://ibp.a2mac1.com/costing(costing:projects/details/8191/material/5317067)","PLASTIC UNKNOWN")</f>
        <v>PLASTIC UNKNOWN</v>
      </c>
      <c r="F2280" t="s">
        <v>3134</v>
      </c>
    </row>
    <row r="2281" spans="1:6" ht="12.75">
      <c r="A2281">
        <v>6944694</v>
      </c>
      <c r="B2281">
        <v>6972199</v>
      </c>
      <c r="C2281" t="s">
        <v>189</v>
      </c>
      <c r="D2281" t="s">
        <v>99</v>
      </c>
      <c r="E2281" s="2" t="str">
        <f>HYPERLINK("https://ibp.a2mac1.com/costing(costing:projects/details/8191/equipment/6944694)","Equipment (Injection Molding)")</f>
        <v>Equipment (Injection Molding)</v>
      </c>
      <c r="F2281" t="s">
        <v>3134</v>
      </c>
    </row>
    <row r="2282" spans="1:6" ht="12.75">
      <c r="A2282">
        <v>5383936</v>
      </c>
      <c r="B2282">
        <v>5383674</v>
      </c>
      <c r="C2282" t="s">
        <v>12</v>
      </c>
      <c r="D2282" t="s">
        <v>8</v>
      </c>
      <c r="E2282" s="2" t="str">
        <f>HYPERLINK("https://ibp.a2mac1.com/costing(costing:projects/details/8191/part/5383936)","Crosstalk Shaft Outer")</f>
        <v>Crosstalk Shaft Outer</v>
      </c>
      <c r="F2282" t="s">
        <v>3117</v>
      </c>
    </row>
    <row r="2283" spans="1:6" ht="12.75">
      <c r="A2283">
        <v>6972200</v>
      </c>
      <c r="B2283">
        <v>5383936</v>
      </c>
      <c r="C2283" t="s">
        <v>99</v>
      </c>
      <c r="D2283" t="s">
        <v>12</v>
      </c>
      <c r="E2283" s="2" t="str">
        <f>HYPERLINK("https://ibp.a2mac1.com/costing(costing:projects/details/8191/process/6972200)","Automated Process")</f>
        <v>Automated Process</v>
      </c>
      <c r="F2283" t="s">
        <v>3136</v>
      </c>
    </row>
    <row r="2284" spans="1:6" ht="12.75">
      <c r="A2284">
        <v>5317068</v>
      </c>
      <c r="B2284">
        <v>6972200</v>
      </c>
      <c r="C2284" t="s">
        <v>24</v>
      </c>
      <c r="D2284" t="s">
        <v>99</v>
      </c>
      <c r="E2284" s="2" t="str">
        <f>HYPERLINK("https://ibp.a2mac1.com/costing(costing:projects/details/8191/material/5317068)","PLASTIC UNKNOWN")</f>
        <v>PLASTIC UNKNOWN</v>
      </c>
      <c r="F2284" t="s">
        <v>3139</v>
      </c>
    </row>
    <row r="2285" spans="1:6" ht="12.75">
      <c r="A2285">
        <v>6944739</v>
      </c>
      <c r="B2285">
        <v>6972200</v>
      </c>
      <c r="C2285" t="s">
        <v>189</v>
      </c>
      <c r="D2285" t="s">
        <v>99</v>
      </c>
      <c r="E2285" s="2" t="str">
        <f>HYPERLINK("https://ibp.a2mac1.com/costing(costing:projects/details/8191/equipment/6944739)","Equipment (Injection Molding)")</f>
        <v>Equipment (Injection Molding)</v>
      </c>
      <c r="F2285" t="s">
        <v>3139</v>
      </c>
    </row>
    <row r="2286" spans="1:6" ht="12.75">
      <c r="A2286">
        <v>5383937</v>
      </c>
      <c r="B2286">
        <v>5383674</v>
      </c>
      <c r="C2286" t="s">
        <v>12</v>
      </c>
      <c r="D2286" t="s">
        <v>8</v>
      </c>
      <c r="E2286" s="2" t="str">
        <f>HYPERLINK("https://ibp.a2mac1.com/costing(costing:projects/details/8191/part/5383937)","Crosstalk Shaft Cover")</f>
        <v>Crosstalk Shaft Cover</v>
      </c>
      <c r="F2286" t="s">
        <v>3117</v>
      </c>
    </row>
    <row r="2287" spans="1:6" ht="12.75">
      <c r="A2287">
        <v>6972201</v>
      </c>
      <c r="B2287">
        <v>5383937</v>
      </c>
      <c r="C2287" t="s">
        <v>99</v>
      </c>
      <c r="D2287" t="s">
        <v>12</v>
      </c>
      <c r="E2287" s="2" t="str">
        <f>HYPERLINK("https://ibp.a2mac1.com/costing(costing:projects/details/8191/process/6972201)","Automated Process")</f>
        <v>Automated Process</v>
      </c>
      <c r="F2287" t="s">
        <v>3141</v>
      </c>
    </row>
    <row r="2288" spans="1:6" ht="12.75">
      <c r="A2288">
        <v>5317069</v>
      </c>
      <c r="B2288">
        <v>6972201</v>
      </c>
      <c r="C2288" t="s">
        <v>24</v>
      </c>
      <c r="D2288" t="s">
        <v>99</v>
      </c>
      <c r="E2288" s="2" t="str">
        <f>HYPERLINK("https://ibp.a2mac1.com/costing(costing:projects/details/8191/material/5317069)","POM")</f>
        <v>POM</v>
      </c>
      <c r="F2288" t="s">
        <v>3144</v>
      </c>
    </row>
    <row r="2289" spans="1:6" ht="12.75">
      <c r="A2289">
        <v>6944740</v>
      </c>
      <c r="B2289">
        <v>6972201</v>
      </c>
      <c r="C2289" t="s">
        <v>189</v>
      </c>
      <c r="D2289" t="s">
        <v>99</v>
      </c>
      <c r="E2289" s="2" t="str">
        <f>HYPERLINK("https://ibp.a2mac1.com/costing(costing:projects/details/8191/equipment/6944740)","Equipment (Injection Molding)")</f>
        <v>Equipment (Injection Molding)</v>
      </c>
      <c r="F2289" t="s">
        <v>3144</v>
      </c>
    </row>
    <row r="2290" spans="1:6" ht="12.75">
      <c r="A2290">
        <v>5316675</v>
      </c>
      <c r="B2290">
        <v>5383674</v>
      </c>
      <c r="C2290" t="s">
        <v>574</v>
      </c>
      <c r="D2290" t="s">
        <v>8</v>
      </c>
      <c r="E2290" s="2" t="str">
        <f>HYPERLINK("https://ibp.a2mac1.com/costing(costing:projects/details/8191/component/5316675)","Screw &gt; Torx socket head cap screw")</f>
        <v>Screw &gt; Torx socket head cap screw</v>
      </c>
      <c r="F2290" t="s">
        <v>3117</v>
      </c>
    </row>
    <row r="2291" spans="1:6" ht="12.75">
      <c r="A2291">
        <v>5316676</v>
      </c>
      <c r="B2291">
        <v>5383674</v>
      </c>
      <c r="C2291" t="s">
        <v>574</v>
      </c>
      <c r="D2291" t="s">
        <v>8</v>
      </c>
      <c r="E2291" s="2" t="str">
        <f>HYPERLINK("https://ibp.a2mac1.com/costing(costing:projects/details/8191/component/5316676)","Screw &gt; Torx socket head cap screw")</f>
        <v>Screw &gt; Torx socket head cap screw</v>
      </c>
      <c r="F2291" t="s">
        <v>3117</v>
      </c>
    </row>
    <row r="2292" spans="1:6" ht="12.75">
      <c r="A2292">
        <v>5383675</v>
      </c>
      <c r="B2292">
        <v>5383541</v>
      </c>
      <c r="C2292" t="s">
        <v>8</v>
      </c>
      <c r="D2292" t="s">
        <v>8</v>
      </c>
      <c r="E2292" s="2" t="str">
        <f>HYPERLINK("https://ibp.a2mac1.com/costing(costing:projects/details/8191/assembly/5383675)","Height")</f>
        <v>Height</v>
      </c>
      <c r="F2292" t="s">
        <v>3116</v>
      </c>
    </row>
    <row r="2293" spans="1:6" ht="12.75">
      <c r="A2293">
        <v>5383940</v>
      </c>
      <c r="B2293">
        <v>5383675</v>
      </c>
      <c r="C2293" t="s">
        <v>8</v>
      </c>
      <c r="D2293" t="s">
        <v>8</v>
      </c>
      <c r="E2293" s="2" t="str">
        <f>HYPERLINK("https://ibp.a2mac1.com/costing(costing:projects/details/8191/assembly/5383940)","Front")</f>
        <v>Front</v>
      </c>
      <c r="F2293" t="s">
        <v>3147</v>
      </c>
    </row>
    <row r="2294" spans="1:6" ht="12.75">
      <c r="A2294">
        <v>5384066</v>
      </c>
      <c r="B2294">
        <v>5383940</v>
      </c>
      <c r="C2294" t="s">
        <v>12</v>
      </c>
      <c r="D2294" t="s">
        <v>8</v>
      </c>
      <c r="E2294" s="2" t="str">
        <f>HYPERLINK("https://ibp.a2mac1.com/costing(costing:projects/details/8191/part/5384066)","Motor")</f>
        <v>Motor</v>
      </c>
      <c r="F2294" t="s">
        <v>3148</v>
      </c>
    </row>
    <row r="2295" spans="1:6" ht="12.75">
      <c r="A2295">
        <v>5316900</v>
      </c>
      <c r="B2295">
        <v>5383940</v>
      </c>
      <c r="C2295" t="s">
        <v>574</v>
      </c>
      <c r="D2295" t="s">
        <v>8</v>
      </c>
      <c r="E2295" s="2" t="str">
        <f>HYPERLINK("https://ibp.a2mac1.com/costing(costing:projects/details/8191/component/5316900)","Screw &gt; Torx socket head cap screw")</f>
        <v>Screw &gt; Torx socket head cap screw</v>
      </c>
      <c r="F2295" t="s">
        <v>3148</v>
      </c>
    </row>
    <row r="2296" spans="1:6" ht="12.75">
      <c r="A2296">
        <v>5383941</v>
      </c>
      <c r="B2296">
        <v>5383675</v>
      </c>
      <c r="C2296" t="s">
        <v>8</v>
      </c>
      <c r="D2296" t="s">
        <v>8</v>
      </c>
      <c r="E2296" s="2" t="str">
        <f>HYPERLINK("https://ibp.a2mac1.com/costing(costing:projects/details/8191/assembly/5383941)","Rear")</f>
        <v>Rear</v>
      </c>
      <c r="F2296" t="s">
        <v>3147</v>
      </c>
    </row>
    <row r="2297" spans="1:6" ht="12.75">
      <c r="A2297">
        <v>5384067</v>
      </c>
      <c r="B2297">
        <v>5383941</v>
      </c>
      <c r="C2297" t="s">
        <v>12</v>
      </c>
      <c r="D2297" t="s">
        <v>8</v>
      </c>
      <c r="E2297" s="2" t="str">
        <f>HYPERLINK("https://ibp.a2mac1.com/costing(costing:projects/details/8191/part/5384067)","Motor")</f>
        <v>Motor</v>
      </c>
      <c r="F2297" t="s">
        <v>3152</v>
      </c>
    </row>
    <row r="2298" spans="1:6" ht="12.75">
      <c r="A2298">
        <v>5384068</v>
      </c>
      <c r="B2298">
        <v>5383941</v>
      </c>
      <c r="C2298" t="s">
        <v>12</v>
      </c>
      <c r="D2298" t="s">
        <v>8</v>
      </c>
      <c r="E2298" s="2" t="str">
        <f>HYPERLINK("https://ibp.a2mac1.com/costing(costing:projects/details/8191/part/5384068)","Motor Support")</f>
        <v>Motor Support</v>
      </c>
      <c r="F2298" t="s">
        <v>3152</v>
      </c>
    </row>
    <row r="2299" spans="1:6" ht="12.75">
      <c r="A2299">
        <v>6972338</v>
      </c>
      <c r="B2299">
        <v>5384068</v>
      </c>
      <c r="C2299" t="s">
        <v>99</v>
      </c>
      <c r="D2299" t="s">
        <v>12</v>
      </c>
      <c r="E2299" s="2" t="str">
        <f>HYPERLINK("https://ibp.a2mac1.com/costing(costing:projects/details/8191/process/6972338)","Stamping")</f>
        <v>Stamping</v>
      </c>
      <c r="F2299" t="s">
        <v>3155</v>
      </c>
    </row>
    <row r="2300" spans="1:6" ht="12.75">
      <c r="A2300">
        <v>5317101</v>
      </c>
      <c r="B2300">
        <v>6972338</v>
      </c>
      <c r="C2300" t="s">
        <v>24</v>
      </c>
      <c r="D2300" t="s">
        <v>99</v>
      </c>
      <c r="E2300" s="2" t="str">
        <f>HYPERLINK("https://ibp.a2mac1.com/costing(costing:projects/details/8191/material/5317101)","Steel sheet (default)")</f>
        <v>Steel sheet (default)</v>
      </c>
      <c r="F2300" t="s">
        <v>3156</v>
      </c>
    </row>
    <row r="2301" spans="1:6" ht="12.75">
      <c r="A2301">
        <v>6944839</v>
      </c>
      <c r="B2301">
        <v>6972338</v>
      </c>
      <c r="C2301" t="s">
        <v>189</v>
      </c>
      <c r="D2301" t="s">
        <v>99</v>
      </c>
      <c r="E2301" s="2" t="str">
        <f>HYPERLINK("https://ibp.a2mac1.com/costing(costing:projects/details/8191/equipment/6944839)","No.01 - Progressive Press - 250T ")</f>
        <v xml:space="preserve">No.01 - Progressive Press - 250T </v>
      </c>
      <c r="F2301" t="s">
        <v>3156</v>
      </c>
    </row>
    <row r="2302" spans="1:6" ht="12.75">
      <c r="A2302">
        <v>6972339</v>
      </c>
      <c r="B2302">
        <v>5384068</v>
      </c>
      <c r="C2302" t="s">
        <v>99</v>
      </c>
      <c r="D2302" t="s">
        <v>12</v>
      </c>
      <c r="E2302" s="2" t="str">
        <f>HYPERLINK("https://ibp.a2mac1.com/costing(costing:projects/details/8191/process/6972339)","Cleaning")</f>
        <v>Cleaning</v>
      </c>
      <c r="F2302" t="s">
        <v>3155</v>
      </c>
    </row>
    <row r="2303" spans="1:6" ht="12.75">
      <c r="A2303">
        <v>6944840</v>
      </c>
      <c r="B2303">
        <v>6972339</v>
      </c>
      <c r="C2303" t="s">
        <v>189</v>
      </c>
      <c r="D2303" t="s">
        <v>99</v>
      </c>
      <c r="E2303" s="2" t="str">
        <f>HYPERLINK("https://ibp.a2mac1.com/costing(costing:projects/details/8191/equipment/6944840)","No.05 - Cleaning - Batch - 2000x2000x1200 - 500kg/batch - 3000kg/h ")</f>
        <v xml:space="preserve">No.05 - Cleaning - Batch - 2000x2000x1200 - 500kg/batch - 3000kg/h </v>
      </c>
      <c r="F2303" t="s">
        <v>3157</v>
      </c>
    </row>
    <row r="2304" spans="1:6" ht="12.75">
      <c r="A2304">
        <v>6972340</v>
      </c>
      <c r="B2304">
        <v>5384068</v>
      </c>
      <c r="C2304" t="s">
        <v>99</v>
      </c>
      <c r="D2304" t="s">
        <v>12</v>
      </c>
      <c r="E2304" s="2" t="str">
        <f>HYPERLINK("https://ibp.a2mac1.com/costing(costing:projects/details/8191/process/6972340)","Cataphoresis")</f>
        <v>Cataphoresis</v>
      </c>
      <c r="F2304" t="s">
        <v>3155</v>
      </c>
    </row>
    <row r="2305" spans="1:6" ht="12.75">
      <c r="A2305">
        <v>5317102</v>
      </c>
      <c r="B2305">
        <v>6972340</v>
      </c>
      <c r="C2305" t="s">
        <v>24</v>
      </c>
      <c r="D2305" t="s">
        <v>99</v>
      </c>
      <c r="E2305" s="2" t="str">
        <f>HYPERLINK("https://ibp.a2mac1.com/costing(costing:projects/details/8191/material/5317102)","Cataphoresis paint")</f>
        <v>Cataphoresis paint</v>
      </c>
      <c r="F2305" t="s">
        <v>3158</v>
      </c>
    </row>
    <row r="2306" spans="1:6" ht="12.75">
      <c r="A2306">
        <v>6944841</v>
      </c>
      <c r="B2306">
        <v>6972340</v>
      </c>
      <c r="C2306" t="s">
        <v>189</v>
      </c>
      <c r="D2306" t="s">
        <v>99</v>
      </c>
      <c r="E2306" s="2" t="str">
        <f>HYPERLINK("https://ibp.a2mac1.com/costing(costing:projects/details/8191/equipment/6944841)","No.02 - cataphoresis line - tank : 1500x1000x1500 ")</f>
        <v xml:space="preserve">No.02 - cataphoresis line - tank : 1500x1000x1500 </v>
      </c>
      <c r="F2306" t="s">
        <v>3158</v>
      </c>
    </row>
    <row r="2307" spans="1:6" ht="12.75">
      <c r="A2307">
        <v>5316901</v>
      </c>
      <c r="B2307">
        <v>5383941</v>
      </c>
      <c r="C2307" t="s">
        <v>574</v>
      </c>
      <c r="D2307" t="s">
        <v>8</v>
      </c>
      <c r="E2307" s="2" t="str">
        <f>HYPERLINK("https://ibp.a2mac1.com/costing(costing:projects/details/8191/component/5316901)","Screw &gt; Torx socket head cap screw")</f>
        <v>Screw &gt; Torx socket head cap screw</v>
      </c>
      <c r="F2307" t="s">
        <v>3152</v>
      </c>
    </row>
    <row r="2308" spans="1:6" ht="12.75">
      <c r="A2308">
        <v>5316902</v>
      </c>
      <c r="B2308">
        <v>5383941</v>
      </c>
      <c r="C2308" t="s">
        <v>574</v>
      </c>
      <c r="D2308" t="s">
        <v>8</v>
      </c>
      <c r="E2308" s="2" t="str">
        <f>HYPERLINK("https://ibp.a2mac1.com/costing(costing:projects/details/8191/component/5316902)","Nut &gt; Hexagonal nut with collar")</f>
        <v>Nut &gt; Hexagonal nut with collar</v>
      </c>
      <c r="F2308" t="s">
        <v>3152</v>
      </c>
    </row>
    <row r="2309" spans="1:6" ht="12.75">
      <c r="A2309">
        <v>5383939</v>
      </c>
      <c r="B2309">
        <v>5383675</v>
      </c>
      <c r="C2309" t="s">
        <v>12</v>
      </c>
      <c r="D2309" t="s">
        <v>8</v>
      </c>
      <c r="E2309" s="2" t="str">
        <f>HYPERLINK("https://ibp.a2mac1.com/costing(costing:projects/details/8191/part/5383939)","Return Spring")</f>
        <v>Return Spring</v>
      </c>
      <c r="F2309" t="s">
        <v>3147</v>
      </c>
    </row>
    <row r="2310" spans="1:6" ht="12.75">
      <c r="A2310">
        <v>5316677</v>
      </c>
      <c r="B2310">
        <v>5383675</v>
      </c>
      <c r="C2310" t="s">
        <v>574</v>
      </c>
      <c r="D2310" t="s">
        <v>8</v>
      </c>
      <c r="E2310" s="2" t="str">
        <f>HYPERLINK("https://ibp.a2mac1.com/costing(costing:projects/details/8191/component/5316677)","Spacer/Axle &gt; Flange")</f>
        <v>Spacer/Axle &gt; Flange</v>
      </c>
      <c r="F2310" t="s">
        <v>3147</v>
      </c>
    </row>
    <row r="2311" spans="1:6" ht="12.75">
      <c r="A2311">
        <v>5383676</v>
      </c>
      <c r="B2311">
        <v>5383541</v>
      </c>
      <c r="C2311" t="s">
        <v>8</v>
      </c>
      <c r="D2311" t="s">
        <v>8</v>
      </c>
      <c r="E2311" s="2" t="str">
        <f>HYPERLINK("https://ibp.a2mac1.com/costing(costing:projects/details/8191/assembly/5383676)","Recliner")</f>
        <v>Recliner</v>
      </c>
      <c r="F2311" t="s">
        <v>3116</v>
      </c>
    </row>
    <row r="2312" spans="1:6" ht="12.75">
      <c r="A2312">
        <v>5383943</v>
      </c>
      <c r="B2312">
        <v>5383676</v>
      </c>
      <c r="C2312" t="s">
        <v>8</v>
      </c>
      <c r="D2312" t="s">
        <v>8</v>
      </c>
      <c r="E2312" s="2" t="str">
        <f>HYPERLINK("https://ibp.a2mac1.com/costing(costing:projects/details/8191/assembly/5383943)","Mechanism")</f>
        <v>Mechanism</v>
      </c>
      <c r="F2312" t="s">
        <v>3163</v>
      </c>
    </row>
    <row r="2313" spans="1:6" ht="12.75">
      <c r="A2313">
        <v>5384069</v>
      </c>
      <c r="B2313">
        <v>5383943</v>
      </c>
      <c r="C2313" t="s">
        <v>12</v>
      </c>
      <c r="D2313" t="s">
        <v>8</v>
      </c>
      <c r="E2313" s="2" t="str">
        <f>HYPERLINK("https://ibp.a2mac1.com/costing(costing:projects/details/8191/part/5384069)","Linking Bar")</f>
        <v>Linking Bar</v>
      </c>
      <c r="F2313" t="s">
        <v>3164</v>
      </c>
    </row>
    <row r="2314" spans="1:6" ht="12.75">
      <c r="A2314">
        <v>5316903</v>
      </c>
      <c r="B2314">
        <v>5383943</v>
      </c>
      <c r="C2314" t="s">
        <v>574</v>
      </c>
      <c r="D2314" t="s">
        <v>8</v>
      </c>
      <c r="E2314" s="2" t="str">
        <f>HYPERLINK("https://ibp.a2mac1.com/costing(costing:projects/details/8191/component/5316903)","Screw &gt; Torx socket head cap screw")</f>
        <v>Screw &gt; Torx socket head cap screw</v>
      </c>
      <c r="F2314" t="s">
        <v>3164</v>
      </c>
    </row>
    <row r="2315" spans="1:6" ht="12.75">
      <c r="A2315">
        <v>5383942</v>
      </c>
      <c r="B2315">
        <v>5383676</v>
      </c>
      <c r="C2315" t="s">
        <v>12</v>
      </c>
      <c r="D2315" t="s">
        <v>8</v>
      </c>
      <c r="E2315" s="2" t="str">
        <f>HYPERLINK("https://ibp.a2mac1.com/costing(costing:projects/details/8191/part/5383942)","Motor")</f>
        <v>Motor</v>
      </c>
      <c r="F2315" t="s">
        <v>3163</v>
      </c>
    </row>
    <row r="2316" spans="1:6" ht="12.75">
      <c r="A2316">
        <v>5316678</v>
      </c>
      <c r="B2316">
        <v>5383676</v>
      </c>
      <c r="C2316" t="s">
        <v>574</v>
      </c>
      <c r="D2316" t="s">
        <v>8</v>
      </c>
      <c r="E2316" s="2" t="str">
        <f>HYPERLINK("https://ibp.a2mac1.com/costing(costing:projects/details/8191/component/5316678)","Screw &gt; Torx socket head cap screw")</f>
        <v>Screw &gt; Torx socket head cap screw</v>
      </c>
      <c r="F2316" t="s">
        <v>3163</v>
      </c>
    </row>
    <row r="2317" spans="1:6" ht="12.75">
      <c r="A2317">
        <v>5383677</v>
      </c>
      <c r="B2317">
        <v>5383541</v>
      </c>
      <c r="C2317" t="s">
        <v>8</v>
      </c>
      <c r="D2317" t="s">
        <v>8</v>
      </c>
      <c r="E2317" s="2" t="str">
        <f>HYPERLINK("https://ibp.a2mac1.com/costing(costing:projects/details/8191/assembly/5383677)","Lumbar")</f>
        <v>Lumbar</v>
      </c>
      <c r="F2317" t="s">
        <v>3116</v>
      </c>
    </row>
    <row r="2318" spans="1:6" ht="12.75">
      <c r="A2318">
        <v>5383947</v>
      </c>
      <c r="B2318">
        <v>5383677</v>
      </c>
      <c r="C2318" t="s">
        <v>8</v>
      </c>
      <c r="D2318" t="s">
        <v>8</v>
      </c>
      <c r="E2318" s="2" t="str">
        <f>HYPERLINK("https://ibp.a2mac1.com/costing(costing:projects/details/8191/assembly/5383947)","Mechanism")</f>
        <v>Mechanism</v>
      </c>
      <c r="F2318" t="s">
        <v>3170</v>
      </c>
    </row>
    <row r="2319" spans="1:6" ht="12.75">
      <c r="A2319">
        <v>5384070</v>
      </c>
      <c r="B2319">
        <v>5383947</v>
      </c>
      <c r="C2319" t="s">
        <v>12</v>
      </c>
      <c r="D2319" t="s">
        <v>8</v>
      </c>
      <c r="E2319" s="2" t="str">
        <f>HYPERLINK("https://ibp.a2mac1.com/costing(costing:projects/details/8191/part/5384070)","Pressure Knob Support")</f>
        <v>Pressure Knob Support</v>
      </c>
      <c r="F2319" t="s">
        <v>3171</v>
      </c>
    </row>
    <row r="2320" spans="1:6" ht="12.75">
      <c r="A2320">
        <v>6972341</v>
      </c>
      <c r="B2320">
        <v>5384070</v>
      </c>
      <c r="C2320" t="s">
        <v>99</v>
      </c>
      <c r="D2320" t="s">
        <v>12</v>
      </c>
      <c r="E2320" s="2" t="str">
        <f>HYPERLINK("https://ibp.a2mac1.com/costing(costing:projects/details/8191/process/6972341)","Automated Process")</f>
        <v>Automated Process</v>
      </c>
      <c r="F2320" t="s">
        <v>3172</v>
      </c>
    </row>
    <row r="2321" spans="1:6" ht="12.75">
      <c r="A2321">
        <v>5317103</v>
      </c>
      <c r="B2321">
        <v>6972341</v>
      </c>
      <c r="C2321" t="s">
        <v>24</v>
      </c>
      <c r="D2321" t="s">
        <v>99</v>
      </c>
      <c r="E2321" s="2" t="str">
        <f>HYPERLINK("https://ibp.a2mac1.com/costing(costing:projects/details/8191/material/5317103)","PA6")</f>
        <v>PA6</v>
      </c>
      <c r="F2321" t="s">
        <v>3173</v>
      </c>
    </row>
    <row r="2322" spans="1:6" ht="12.75">
      <c r="A2322">
        <v>6944842</v>
      </c>
      <c r="B2322">
        <v>6972341</v>
      </c>
      <c r="C2322" t="s">
        <v>189</v>
      </c>
      <c r="D2322" t="s">
        <v>99</v>
      </c>
      <c r="E2322" s="2" t="str">
        <f>HYPERLINK("https://ibp.a2mac1.com/costing(costing:projects/details/8191/equipment/6944842)","Equipment (Injection Molding)")</f>
        <v>Equipment (Injection Molding)</v>
      </c>
      <c r="F2322" t="s">
        <v>3173</v>
      </c>
    </row>
    <row r="2323" spans="1:6" ht="12.75">
      <c r="A2323">
        <v>5384071</v>
      </c>
      <c r="B2323">
        <v>5383947</v>
      </c>
      <c r="C2323" t="s">
        <v>12</v>
      </c>
      <c r="D2323" t="s">
        <v>8</v>
      </c>
      <c r="E2323" s="2" t="str">
        <f>HYPERLINK("https://ibp.a2mac1.com/costing(costing:projects/details/8191/part/5384071)","Pressure Knob")</f>
        <v>Pressure Knob</v>
      </c>
      <c r="F2323" t="s">
        <v>3171</v>
      </c>
    </row>
    <row r="2324" spans="1:6" ht="12.75">
      <c r="A2324">
        <v>6972342</v>
      </c>
      <c r="B2324">
        <v>5384071</v>
      </c>
      <c r="C2324" t="s">
        <v>99</v>
      </c>
      <c r="D2324" t="s">
        <v>12</v>
      </c>
      <c r="E2324" s="2" t="str">
        <f>HYPERLINK("https://ibp.a2mac1.com/costing(costing:projects/details/8191/process/6972342)","Automated Process")</f>
        <v>Automated Process</v>
      </c>
      <c r="F2324" t="s">
        <v>3175</v>
      </c>
    </row>
    <row r="2325" spans="1:6" ht="12.75">
      <c r="A2325">
        <v>5317104</v>
      </c>
      <c r="B2325">
        <v>6972342</v>
      </c>
      <c r="C2325" t="s">
        <v>24</v>
      </c>
      <c r="D2325" t="s">
        <v>99</v>
      </c>
      <c r="E2325" s="2" t="str">
        <f>HYPERLINK("https://ibp.a2mac1.com/costing(costing:projects/details/8191/material/5317104)","TPU")</f>
        <v>TPU</v>
      </c>
      <c r="F2325" t="s">
        <v>3176</v>
      </c>
    </row>
    <row r="2326" spans="1:6" ht="12.75">
      <c r="A2326">
        <v>6944843</v>
      </c>
      <c r="B2326">
        <v>6972342</v>
      </c>
      <c r="C2326" t="s">
        <v>189</v>
      </c>
      <c r="D2326" t="s">
        <v>99</v>
      </c>
      <c r="E2326" s="2" t="str">
        <f>HYPERLINK("https://ibp.a2mac1.com/costing(costing:projects/details/8191/equipment/6944843)","Equipment")</f>
        <v>Equipment</v>
      </c>
      <c r="F2326" t="s">
        <v>3176</v>
      </c>
    </row>
    <row r="2327" spans="1:6" ht="12.75">
      <c r="A2327">
        <v>5316906</v>
      </c>
      <c r="B2327">
        <v>5383947</v>
      </c>
      <c r="C2327" t="s">
        <v>574</v>
      </c>
      <c r="D2327" t="s">
        <v>8</v>
      </c>
      <c r="E2327" s="2" t="str">
        <f>HYPERLINK("https://ibp.a2mac1.com/costing(costing:projects/details/8191/component/5316906)","Screw &gt; Torx socket head cap screw with flange")</f>
        <v>Screw &gt; Torx socket head cap screw with flange</v>
      </c>
      <c r="F2327" t="s">
        <v>3171</v>
      </c>
    </row>
    <row r="2328" spans="1:6" ht="12.75">
      <c r="A2328">
        <v>5383944</v>
      </c>
      <c r="B2328">
        <v>5383677</v>
      </c>
      <c r="C2328" t="s">
        <v>12</v>
      </c>
      <c r="D2328" t="s">
        <v>8</v>
      </c>
      <c r="E2328" s="2" t="str">
        <f>HYPERLINK("https://ibp.a2mac1.com/costing(costing:projects/details/8191/part/5383944)","Control")</f>
        <v>Control</v>
      </c>
      <c r="F2328" t="s">
        <v>3170</v>
      </c>
    </row>
    <row r="2329" spans="1:6" ht="12.75">
      <c r="A2329">
        <v>5383945</v>
      </c>
      <c r="B2329">
        <v>5383677</v>
      </c>
      <c r="C2329" t="s">
        <v>12</v>
      </c>
      <c r="D2329" t="s">
        <v>8</v>
      </c>
      <c r="E2329" s="2" t="str">
        <f>HYPERLINK("https://ibp.a2mac1.com/costing(costing:projects/details/8191/part/5383945)","Compressor")</f>
        <v>Compressor</v>
      </c>
      <c r="F2329" t="s">
        <v>3170</v>
      </c>
    </row>
    <row r="2330" spans="1:6" ht="12.75">
      <c r="A2330">
        <v>5383946</v>
      </c>
      <c r="B2330">
        <v>5383677</v>
      </c>
      <c r="C2330" t="s">
        <v>12</v>
      </c>
      <c r="D2330" t="s">
        <v>8</v>
      </c>
      <c r="E2330" s="2" t="str">
        <f>HYPERLINK("https://ibp.a2mac1.com/costing(costing:projects/details/8191/part/5383946)","Air Distributor")</f>
        <v>Air Distributor</v>
      </c>
      <c r="F2330" t="s">
        <v>3170</v>
      </c>
    </row>
    <row r="2331" spans="1:6" ht="12.75">
      <c r="A2331">
        <v>6972202</v>
      </c>
      <c r="B2331">
        <v>5383946</v>
      </c>
      <c r="C2331" t="s">
        <v>99</v>
      </c>
      <c r="D2331" t="s">
        <v>12</v>
      </c>
      <c r="E2331" s="2" t="str">
        <f>HYPERLINK("https://ibp.a2mac1.com/costing(costing:projects/details/8191/process/6972202)","Process")</f>
        <v>Process</v>
      </c>
      <c r="F2331" t="s">
        <v>3183</v>
      </c>
    </row>
    <row r="2332" spans="1:6" ht="12.75">
      <c r="A2332">
        <v>6944741</v>
      </c>
      <c r="B2332">
        <v>6972202</v>
      </c>
      <c r="C2332" t="s">
        <v>189</v>
      </c>
      <c r="D2332" t="s">
        <v>99</v>
      </c>
      <c r="E2332" s="2" t="str">
        <f>HYPERLINK("https://ibp.a2mac1.com/costing(costing:projects/details/8191/equipment/6944741)","Dummy Machine (PCBA+Final Assembly Line)")</f>
        <v>Dummy Machine (PCBA+Final Assembly Line)</v>
      </c>
      <c r="F2332" t="s">
        <v>3184</v>
      </c>
    </row>
    <row r="2333" spans="1:6" ht="12.75">
      <c r="A2333">
        <v>5316904</v>
      </c>
      <c r="B2333">
        <v>5383946</v>
      </c>
      <c r="C2333" t="s">
        <v>574</v>
      </c>
      <c r="D2333" t="s">
        <v>12</v>
      </c>
      <c r="E2333" s="2" t="str">
        <f>HYPERLINK("https://ibp.a2mac1.com/costing(costing:projects/details/8191/component/5316904)","Electronics")</f>
        <v>Electronics</v>
      </c>
      <c r="F2333" t="s">
        <v>3183</v>
      </c>
    </row>
    <row r="2334" spans="1:6" ht="12.75">
      <c r="A2334">
        <v>5316905</v>
      </c>
      <c r="B2334">
        <v>5383946</v>
      </c>
      <c r="C2334" t="s">
        <v>574</v>
      </c>
      <c r="D2334" t="s">
        <v>12</v>
      </c>
      <c r="E2334" s="2" t="str">
        <f>HYPERLINK("https://ibp.a2mac1.com/costing(costing:projects/details/8191/component/5316905)","Mechanics")</f>
        <v>Mechanics</v>
      </c>
      <c r="F2334" t="s">
        <v>3183</v>
      </c>
    </row>
    <row r="2335" spans="1:6" ht="12.75">
      <c r="A2335">
        <v>5316679</v>
      </c>
      <c r="B2335">
        <v>5383677</v>
      </c>
      <c r="C2335" t="s">
        <v>574</v>
      </c>
      <c r="D2335" t="s">
        <v>8</v>
      </c>
      <c r="E2335" s="2" t="str">
        <f>HYPERLINK("https://ibp.a2mac1.com/costing(costing:projects/details/8191/component/5316679)","Screw &gt; Torx socket head cap screw with flange")</f>
        <v>Screw &gt; Torx socket head cap screw with flange</v>
      </c>
      <c r="F2335" t="s">
        <v>3170</v>
      </c>
    </row>
    <row r="2336" spans="1:6" ht="12.75">
      <c r="A2336">
        <v>5316680</v>
      </c>
      <c r="B2336">
        <v>5383677</v>
      </c>
      <c r="C2336" t="s">
        <v>574</v>
      </c>
      <c r="D2336" t="s">
        <v>8</v>
      </c>
      <c r="E2336" s="2" t="str">
        <f>HYPERLINK("https://ibp.a2mac1.com/costing(costing:projects/details/8191/component/5316680)","Screw &gt; Torx socket head cap screw with flange")</f>
        <v>Screw &gt; Torx socket head cap screw with flange</v>
      </c>
      <c r="F2336" t="s">
        <v>3170</v>
      </c>
    </row>
    <row r="2337" spans="1:6" ht="12.75">
      <c r="A2337">
        <v>5383670</v>
      </c>
      <c r="B2337">
        <v>5383541</v>
      </c>
      <c r="C2337" t="s">
        <v>12</v>
      </c>
      <c r="D2337" t="s">
        <v>8</v>
      </c>
      <c r="E2337" s="2" t="str">
        <f>HYPERLINK("https://ibp.a2mac1.com/costing(costing:projects/details/8191/part/5383670)","Passenger Seat button")</f>
        <v>Passenger Seat button</v>
      </c>
      <c r="F2337" t="s">
        <v>3116</v>
      </c>
    </row>
    <row r="2338" spans="1:6" ht="12.75">
      <c r="A2338">
        <v>5383671</v>
      </c>
      <c r="B2338">
        <v>5383541</v>
      </c>
      <c r="C2338" t="s">
        <v>12</v>
      </c>
      <c r="D2338" t="s">
        <v>8</v>
      </c>
      <c r="E2338" s="2" t="str">
        <f>HYPERLINK("https://ibp.a2mac1.com/costing(costing:projects/details/8191/part/5383671)","Passenger Seat ECU Support")</f>
        <v>Passenger Seat ECU Support</v>
      </c>
      <c r="F2338" t="s">
        <v>3116</v>
      </c>
    </row>
    <row r="2339" spans="1:6" ht="12.75">
      <c r="A2339">
        <v>5383672</v>
      </c>
      <c r="B2339">
        <v>5383541</v>
      </c>
      <c r="C2339" t="s">
        <v>12</v>
      </c>
      <c r="D2339" t="s">
        <v>8</v>
      </c>
      <c r="E2339" s="2" t="str">
        <f>HYPERLINK("https://ibp.a2mac1.com/costing(costing:projects/details/8191/part/5383672)","Adjustment Control")</f>
        <v>Adjustment Control</v>
      </c>
      <c r="F2339" t="s">
        <v>3116</v>
      </c>
    </row>
    <row r="2340" spans="1:6" ht="12.75">
      <c r="A2340">
        <v>6972140</v>
      </c>
      <c r="B2340">
        <v>5383672</v>
      </c>
      <c r="C2340" t="s">
        <v>99</v>
      </c>
      <c r="D2340" t="s">
        <v>12</v>
      </c>
      <c r="E2340" s="2" t="str">
        <f>HYPERLINK("https://ibp.a2mac1.com/costing(costing:projects/details/8191/process/6972140)","Process")</f>
        <v>Process</v>
      </c>
      <c r="F2340" t="s">
        <v>3190</v>
      </c>
    </row>
    <row r="2341" spans="1:6" ht="12.75">
      <c r="A2341">
        <v>6944599</v>
      </c>
      <c r="B2341">
        <v>6972140</v>
      </c>
      <c r="C2341" t="s">
        <v>189</v>
      </c>
      <c r="D2341" t="s">
        <v>99</v>
      </c>
      <c r="E2341" s="2" t="str">
        <f>HYPERLINK("https://ibp.a2mac1.com/costing(costing:projects/details/8191/equipment/6944599)","Dummy Machine (PCBA+Final Assembly Line)")</f>
        <v>Dummy Machine (PCBA+Final Assembly Line)</v>
      </c>
      <c r="F2341" t="s">
        <v>3191</v>
      </c>
    </row>
    <row r="2342" spans="1:6" ht="12.75">
      <c r="A2342">
        <v>5316671</v>
      </c>
      <c r="B2342">
        <v>5383672</v>
      </c>
      <c r="C2342" t="s">
        <v>574</v>
      </c>
      <c r="D2342" t="s">
        <v>12</v>
      </c>
      <c r="E2342" s="2" t="str">
        <f>HYPERLINK("https://ibp.a2mac1.com/costing(costing:projects/details/8191/component/5316671)","Mechanics")</f>
        <v>Mechanics</v>
      </c>
      <c r="F2342" t="s">
        <v>3190</v>
      </c>
    </row>
    <row r="2343" spans="1:6" ht="12.75">
      <c r="A2343">
        <v>5316672</v>
      </c>
      <c r="B2343">
        <v>5383672</v>
      </c>
      <c r="C2343" t="s">
        <v>574</v>
      </c>
      <c r="D2343" t="s">
        <v>12</v>
      </c>
      <c r="E2343" s="2" t="str">
        <f>HYPERLINK("https://ibp.a2mac1.com/costing(costing:projects/details/8191/component/5316672)","Electronics")</f>
        <v>Electronics</v>
      </c>
      <c r="F2343" t="s">
        <v>3190</v>
      </c>
    </row>
    <row r="2344" spans="1:6" ht="12.75">
      <c r="A2344">
        <v>5383673</v>
      </c>
      <c r="B2344">
        <v>5383541</v>
      </c>
      <c r="C2344" t="s">
        <v>12</v>
      </c>
      <c r="D2344" t="s">
        <v>8</v>
      </c>
      <c r="E2344" s="2" t="str">
        <f>HYPERLINK("https://ibp.a2mac1.com/costing(costing:projects/details/8191/part/5383673)","Presetting Control")</f>
        <v>Presetting Control</v>
      </c>
      <c r="F2344" t="s">
        <v>3116</v>
      </c>
    </row>
    <row r="2345" spans="1:6" ht="12.75">
      <c r="A2345">
        <v>6972141</v>
      </c>
      <c r="B2345">
        <v>5383673</v>
      </c>
      <c r="C2345" t="s">
        <v>99</v>
      </c>
      <c r="D2345" t="s">
        <v>12</v>
      </c>
      <c r="E2345" s="2" t="str">
        <f>HYPERLINK("https://ibp.a2mac1.com/costing(costing:projects/details/8191/process/6972141)","Process")</f>
        <v>Process</v>
      </c>
      <c r="F2345" t="s">
        <v>3193</v>
      </c>
    </row>
    <row r="2346" spans="1:6" ht="12.75">
      <c r="A2346">
        <v>6944600</v>
      </c>
      <c r="B2346">
        <v>6972141</v>
      </c>
      <c r="C2346" t="s">
        <v>189</v>
      </c>
      <c r="D2346" t="s">
        <v>99</v>
      </c>
      <c r="E2346" s="2" t="str">
        <f>HYPERLINK("https://ibp.a2mac1.com/costing(costing:projects/details/8191/equipment/6944600)","Dummy Machine (PCBA+Final Assembly Line)")</f>
        <v>Dummy Machine (PCBA+Final Assembly Line)</v>
      </c>
      <c r="F2346" t="s">
        <v>3194</v>
      </c>
    </row>
    <row r="2347" spans="1:6" ht="12.75">
      <c r="A2347">
        <v>5316673</v>
      </c>
      <c r="B2347">
        <v>5383673</v>
      </c>
      <c r="C2347" t="s">
        <v>574</v>
      </c>
      <c r="D2347" t="s">
        <v>12</v>
      </c>
      <c r="E2347" s="2" t="str">
        <f>HYPERLINK("https://ibp.a2mac1.com/costing(costing:projects/details/8191/component/5316673)","Mechanics")</f>
        <v>Mechanics</v>
      </c>
      <c r="F2347" t="s">
        <v>3193</v>
      </c>
    </row>
    <row r="2348" spans="1:6" ht="12.75">
      <c r="A2348">
        <v>5316674</v>
      </c>
      <c r="B2348">
        <v>5383673</v>
      </c>
      <c r="C2348" t="s">
        <v>574</v>
      </c>
      <c r="D2348" t="s">
        <v>12</v>
      </c>
      <c r="E2348" s="2" t="str">
        <f>HYPERLINK("https://ibp.a2mac1.com/costing(costing:projects/details/8191/component/5316674)","Electronics")</f>
        <v>Electronics</v>
      </c>
      <c r="F2348" t="s">
        <v>3193</v>
      </c>
    </row>
    <row r="2349" spans="1:6" ht="12.75">
      <c r="A2349">
        <v>5383678</v>
      </c>
      <c r="B2349">
        <v>5383541</v>
      </c>
      <c r="C2349" t="s">
        <v>12</v>
      </c>
      <c r="D2349" t="s">
        <v>8</v>
      </c>
      <c r="E2349" s="2" t="str">
        <f>HYPERLINK("https://ibp.a2mac1.com/costing(costing:projects/details/8191/part/5383678)","Passenger Seat ECU")</f>
        <v>Passenger Seat ECU</v>
      </c>
      <c r="F2349" t="s">
        <v>3116</v>
      </c>
    </row>
    <row r="2350" spans="1:6" ht="12.75">
      <c r="A2350">
        <v>6972142</v>
      </c>
      <c r="B2350">
        <v>5383678</v>
      </c>
      <c r="C2350" t="s">
        <v>99</v>
      </c>
      <c r="D2350" t="s">
        <v>12</v>
      </c>
      <c r="E2350" s="2" t="str">
        <f>HYPERLINK("https://ibp.a2mac1.com/costing(costing:projects/details/8191/process/6972142)","Process")</f>
        <v>Process</v>
      </c>
      <c r="F2350" t="s">
        <v>3196</v>
      </c>
    </row>
    <row r="2351" spans="1:6" ht="12.75">
      <c r="A2351">
        <v>6944601</v>
      </c>
      <c r="B2351">
        <v>6972142</v>
      </c>
      <c r="C2351" t="s">
        <v>189</v>
      </c>
      <c r="D2351" t="s">
        <v>99</v>
      </c>
      <c r="E2351" s="2" t="str">
        <f>HYPERLINK("https://ibp.a2mac1.com/costing(costing:projects/details/8191/equipment/6944601)","Dummy Machine (PCBA+Final Assembly Line)")</f>
        <v>Dummy Machine (PCBA+Final Assembly Line)</v>
      </c>
      <c r="F2351" t="s">
        <v>3197</v>
      </c>
    </row>
    <row r="2352" spans="1:6" ht="12.75">
      <c r="A2352">
        <v>5316681</v>
      </c>
      <c r="B2352">
        <v>5383678</v>
      </c>
      <c r="C2352" t="s">
        <v>574</v>
      </c>
      <c r="D2352" t="s">
        <v>12</v>
      </c>
      <c r="E2352" s="2" t="str">
        <f>HYPERLINK("https://ibp.a2mac1.com/costing(costing:projects/details/8191/component/5316681)","Electronics")</f>
        <v>Electronics</v>
      </c>
      <c r="F2352" t="s">
        <v>3196</v>
      </c>
    </row>
    <row r="2353" spans="1:6" ht="12.75">
      <c r="A2353">
        <v>5316682</v>
      </c>
      <c r="B2353">
        <v>5383678</v>
      </c>
      <c r="C2353" t="s">
        <v>574</v>
      </c>
      <c r="D2353" t="s">
        <v>12</v>
      </c>
      <c r="E2353" s="2" t="str">
        <f>HYPERLINK("https://ibp.a2mac1.com/costing(costing:projects/details/8191/component/5316682)","Mechanics")</f>
        <v>Mechanics</v>
      </c>
      <c r="F2353" t="s">
        <v>3196</v>
      </c>
    </row>
    <row r="2354" spans="1:6" ht="12.75">
      <c r="A2354">
        <v>5316564</v>
      </c>
      <c r="B2354">
        <v>5383541</v>
      </c>
      <c r="C2354" t="s">
        <v>574</v>
      </c>
      <c r="D2354" t="s">
        <v>8</v>
      </c>
      <c r="E2354" s="2" t="str">
        <f>HYPERLINK("https://ibp.a2mac1.com/costing(costing:projects/details/8191/component/5316564)","Screw &gt; Torx socket head cap screw with flange")</f>
        <v>Screw &gt; Torx socket head cap screw with flange</v>
      </c>
      <c r="F2354" t="s">
        <v>3116</v>
      </c>
    </row>
    <row r="2355" spans="1:6" ht="12.75">
      <c r="A2355">
        <v>5383542</v>
      </c>
      <c r="B2355">
        <v>5383400</v>
      </c>
      <c r="C2355" t="s">
        <v>8</v>
      </c>
      <c r="D2355" t="s">
        <v>8</v>
      </c>
      <c r="E2355" s="2" t="str">
        <f>HYPERLINK("https://ibp.a2mac1.com/costing(costing:projects/details/8191/assembly/5383542)","Support System")</f>
        <v>Support System</v>
      </c>
      <c r="F2355" t="s">
        <v>3007</v>
      </c>
    </row>
    <row r="2356" spans="1:6" ht="12.75">
      <c r="A2356">
        <v>5383679</v>
      </c>
      <c r="B2356">
        <v>5383542</v>
      </c>
      <c r="C2356" t="s">
        <v>12</v>
      </c>
      <c r="D2356" t="s">
        <v>8</v>
      </c>
      <c r="E2356" s="2" t="str">
        <f>HYPERLINK("https://ibp.a2mac1.com/costing(costing:projects/details/8191/part/5383679)","Front Inner Trim and Outer if Similar")</f>
        <v>Front Inner Trim and Outer if Similar</v>
      </c>
      <c r="F2356" t="s">
        <v>3200</v>
      </c>
    </row>
    <row r="2357" spans="1:6" ht="12.75">
      <c r="A2357">
        <v>6972143</v>
      </c>
      <c r="B2357">
        <v>5383679</v>
      </c>
      <c r="C2357" t="s">
        <v>99</v>
      </c>
      <c r="D2357" t="s">
        <v>12</v>
      </c>
      <c r="E2357" s="2" t="str">
        <f>HYPERLINK("https://ibp.a2mac1.com/costing(costing:projects/details/8191/process/6972143)","Automated Process")</f>
        <v>Automated Process</v>
      </c>
      <c r="F2357" t="s">
        <v>3201</v>
      </c>
    </row>
    <row r="2358" spans="1:6" ht="12.75">
      <c r="A2358">
        <v>5316907</v>
      </c>
      <c r="B2358">
        <v>6972143</v>
      </c>
      <c r="C2358" t="s">
        <v>24</v>
      </c>
      <c r="D2358" t="s">
        <v>99</v>
      </c>
      <c r="E2358" s="2" t="str">
        <f>HYPERLINK("https://ibp.a2mac1.com/costing(costing:projects/details/8191/material/5316907)","ABS")</f>
        <v>ABS</v>
      </c>
      <c r="F2358" t="s">
        <v>3202</v>
      </c>
    </row>
    <row r="2359" spans="1:6" ht="12.75">
      <c r="A2359">
        <v>6944602</v>
      </c>
      <c r="B2359">
        <v>6972143</v>
      </c>
      <c r="C2359" t="s">
        <v>189</v>
      </c>
      <c r="D2359" t="s">
        <v>99</v>
      </c>
      <c r="E2359" s="2" t="str">
        <f>HYPERLINK("https://ibp.a2mac1.com/costing(costing:projects/details/8191/equipment/6944602)","Equipment (Injection Molding)")</f>
        <v>Equipment (Injection Molding)</v>
      </c>
      <c r="F2359" t="s">
        <v>3202</v>
      </c>
    </row>
    <row r="2360" spans="1:6" ht="12.75">
      <c r="A2360">
        <v>5383680</v>
      </c>
      <c r="B2360">
        <v>5383542</v>
      </c>
      <c r="C2360" t="s">
        <v>12</v>
      </c>
      <c r="D2360" t="s">
        <v>8</v>
      </c>
      <c r="E2360" s="2" t="str">
        <f>HYPERLINK("https://ibp.a2mac1.com/costing(costing:projects/details/8191/part/5383680)","Front Outer Trim")</f>
        <v>Front Outer Trim</v>
      </c>
      <c r="F2360" t="s">
        <v>3200</v>
      </c>
    </row>
    <row r="2361" spans="1:6" ht="12.75">
      <c r="A2361">
        <v>6972144</v>
      </c>
      <c r="B2361">
        <v>5383680</v>
      </c>
      <c r="C2361" t="s">
        <v>99</v>
      </c>
      <c r="D2361" t="s">
        <v>12</v>
      </c>
      <c r="E2361" s="2" t="str">
        <f>HYPERLINK("https://ibp.a2mac1.com/costing(costing:projects/details/8191/process/6972144)","Automated Process")</f>
        <v>Automated Process</v>
      </c>
      <c r="F2361" t="s">
        <v>3204</v>
      </c>
    </row>
    <row r="2362" spans="1:6" ht="12.75">
      <c r="A2362">
        <v>5316908</v>
      </c>
      <c r="B2362">
        <v>6972144</v>
      </c>
      <c r="C2362" t="s">
        <v>24</v>
      </c>
      <c r="D2362" t="s">
        <v>99</v>
      </c>
      <c r="E2362" s="2" t="str">
        <f>HYPERLINK("https://ibp.a2mac1.com/costing(costing:projects/details/8191/material/5316908)","ABS")</f>
        <v>ABS</v>
      </c>
      <c r="F2362" t="s">
        <v>3205</v>
      </c>
    </row>
    <row r="2363" spans="1:6" ht="12.75">
      <c r="A2363">
        <v>6944603</v>
      </c>
      <c r="B2363">
        <v>6972144</v>
      </c>
      <c r="C2363" t="s">
        <v>189</v>
      </c>
      <c r="D2363" t="s">
        <v>99</v>
      </c>
      <c r="E2363" s="2" t="str">
        <f>HYPERLINK("https://ibp.a2mac1.com/costing(costing:projects/details/8191/equipment/6944603)","Equipment (Injection Molding)")</f>
        <v>Equipment (Injection Molding)</v>
      </c>
      <c r="F2363" t="s">
        <v>3205</v>
      </c>
    </row>
    <row r="2364" spans="1:6" ht="12.75">
      <c r="A2364">
        <v>5383543</v>
      </c>
      <c r="B2364">
        <v>5383400</v>
      </c>
      <c r="C2364" t="s">
        <v>8</v>
      </c>
      <c r="D2364" t="s">
        <v>8</v>
      </c>
      <c r="E2364" s="2" t="str">
        <f>HYPERLINK("https://ibp.a2mac1.com/costing(costing:projects/details/8191/assembly/5383543)","Head Rest")</f>
        <v>Head Rest</v>
      </c>
      <c r="F2364" t="s">
        <v>3007</v>
      </c>
    </row>
    <row r="2365" spans="1:6" ht="12.75">
      <c r="A2365">
        <v>5383681</v>
      </c>
      <c r="B2365">
        <v>5383543</v>
      </c>
      <c r="C2365" t="s">
        <v>12</v>
      </c>
      <c r="D2365" t="s">
        <v>8</v>
      </c>
      <c r="E2365" s="2" t="str">
        <f>HYPERLINK("https://ibp.a2mac1.com/costing(costing:projects/details/8191/part/5383681)","Cover")</f>
        <v>Cover</v>
      </c>
      <c r="F2365" t="s">
        <v>3208</v>
      </c>
    </row>
    <row r="2366" spans="1:6" ht="12.75">
      <c r="A2366">
        <v>6972145</v>
      </c>
      <c r="B2366">
        <v>5383681</v>
      </c>
      <c r="C2366" t="s">
        <v>99</v>
      </c>
      <c r="D2366" t="s">
        <v>12</v>
      </c>
      <c r="E2366" s="2" t="str">
        <f>HYPERLINK("https://ibp.a2mac1.com/costing(costing:projects/details/8191/process/6972145)","Cutting")</f>
        <v>Cutting</v>
      </c>
      <c r="F2366" t="s">
        <v>3209</v>
      </c>
    </row>
    <row r="2367" spans="1:6" ht="12.75">
      <c r="A2367">
        <v>5316909</v>
      </c>
      <c r="B2367">
        <v>6972145</v>
      </c>
      <c r="C2367" t="s">
        <v>24</v>
      </c>
      <c r="D2367" t="s">
        <v>99</v>
      </c>
      <c r="E2367" s="2" t="str">
        <f>HYPERLINK("https://ibp.a2mac1.com/costing(costing:projects/details/8191/material/5316909)","Mix Vinyl (80%)")</f>
        <v>Mix Vinyl (80%)</v>
      </c>
      <c r="F2367" t="s">
        <v>3210</v>
      </c>
    </row>
    <row r="2368" spans="1:6" ht="12.75">
      <c r="A2368">
        <v>6944604</v>
      </c>
      <c r="B2368">
        <v>6972145</v>
      </c>
      <c r="C2368" t="s">
        <v>189</v>
      </c>
      <c r="D2368" t="s">
        <v>99</v>
      </c>
      <c r="E2368" s="2" t="str">
        <f>HYPERLINK("https://ibp.a2mac1.com/costing(costing:projects/details/8191/equipment/6944604)","No.01 - Fabric Cutting")</f>
        <v>No.01 - Fabric Cutting</v>
      </c>
      <c r="F2368" t="s">
        <v>3210</v>
      </c>
    </row>
    <row r="2369" spans="1:6" ht="12.75">
      <c r="A2369">
        <v>6972146</v>
      </c>
      <c r="B2369">
        <v>5383681</v>
      </c>
      <c r="C2369" t="s">
        <v>99</v>
      </c>
      <c r="D2369" t="s">
        <v>12</v>
      </c>
      <c r="E2369" s="2" t="str">
        <f>HYPERLINK("https://ibp.a2mac1.com/costing(costing:projects/details/8191/process/6972146)","Sewing")</f>
        <v>Sewing</v>
      </c>
      <c r="F2369" t="s">
        <v>3209</v>
      </c>
    </row>
    <row r="2370" spans="1:6" ht="12.75">
      <c r="A2370">
        <v>6944605</v>
      </c>
      <c r="B2370">
        <v>6972146</v>
      </c>
      <c r="C2370" t="s">
        <v>189</v>
      </c>
      <c r="D2370" t="s">
        <v>99</v>
      </c>
      <c r="E2370" s="2" t="str">
        <f>HYPERLINK("https://ibp.a2mac1.com/costing(costing:projects/details/8191/equipment/6944605)","No.02 - Fabric Sewing")</f>
        <v>No.02 - Fabric Sewing</v>
      </c>
      <c r="F2370" t="s">
        <v>3211</v>
      </c>
    </row>
    <row r="2371" spans="1:6" ht="12.75">
      <c r="A2371">
        <v>5383682</v>
      </c>
      <c r="B2371">
        <v>5383543</v>
      </c>
      <c r="C2371" t="s">
        <v>12</v>
      </c>
      <c r="D2371" t="s">
        <v>8</v>
      </c>
      <c r="E2371" s="2" t="str">
        <f>HYPERLINK("https://ibp.a2mac1.com/costing(costing:projects/details/8191/part/5383682)","Padding")</f>
        <v>Padding</v>
      </c>
      <c r="F2371" t="s">
        <v>3208</v>
      </c>
    </row>
    <row r="2372" spans="1:6" ht="12.75">
      <c r="A2372">
        <v>6972147</v>
      </c>
      <c r="B2372">
        <v>5383682</v>
      </c>
      <c r="C2372" t="s">
        <v>99</v>
      </c>
      <c r="D2372" t="s">
        <v>12</v>
      </c>
      <c r="E2372" s="2" t="str">
        <f>HYPERLINK("https://ibp.a2mac1.com/costing(costing:projects/details/8191/process/6972147)","Automated Process")</f>
        <v>Automated Process</v>
      </c>
      <c r="F2372" t="s">
        <v>3213</v>
      </c>
    </row>
    <row r="2373" spans="1:6" ht="12.75">
      <c r="A2373">
        <v>5316910</v>
      </c>
      <c r="B2373">
        <v>6972147</v>
      </c>
      <c r="C2373" t="s">
        <v>24</v>
      </c>
      <c r="D2373" t="s">
        <v>99</v>
      </c>
      <c r="E2373" s="2" t="str">
        <f>HYPERLINK("https://ibp.a2mac1.com/costing(costing:projects/details/8191/material/5316910)","PUR")</f>
        <v>PUR</v>
      </c>
      <c r="F2373" t="s">
        <v>3214</v>
      </c>
    </row>
    <row r="2374" spans="1:6" ht="12.75">
      <c r="A2374">
        <v>6944606</v>
      </c>
      <c r="B2374">
        <v>6972147</v>
      </c>
      <c r="C2374" t="s">
        <v>189</v>
      </c>
      <c r="D2374" t="s">
        <v>99</v>
      </c>
      <c r="E2374" s="2" t="str">
        <f>HYPERLINK("https://ibp.a2mac1.com/costing(costing:projects/details/8191/equipment/6944606)","Equipment (Injection Molding)")</f>
        <v>Equipment (Injection Molding)</v>
      </c>
      <c r="F2374" t="s">
        <v>3214</v>
      </c>
    </row>
    <row r="2375" spans="1:6" ht="12.75">
      <c r="A2375">
        <v>5383683</v>
      </c>
      <c r="B2375">
        <v>5383543</v>
      </c>
      <c r="C2375" t="s">
        <v>12</v>
      </c>
      <c r="D2375" t="s">
        <v>8</v>
      </c>
      <c r="E2375" s="2" t="str">
        <f>HYPERLINK("https://ibp.a2mac1.com/costing(costing:projects/details/8191/part/5383683)","Frame / Reinforcement Mechanism")</f>
        <v>Frame / Reinforcement Mechanism</v>
      </c>
      <c r="F2375" t="s">
        <v>3208</v>
      </c>
    </row>
    <row r="2376" spans="1:6" ht="12.75">
      <c r="A2376">
        <v>6972148</v>
      </c>
      <c r="B2376">
        <v>5383683</v>
      </c>
      <c r="C2376" t="s">
        <v>99</v>
      </c>
      <c r="D2376" t="s">
        <v>12</v>
      </c>
      <c r="E2376" s="2" t="str">
        <f>HYPERLINK("https://ibp.a2mac1.com/costing(costing:projects/details/8191/process/6972148)","Automated Process ")</f>
        <v xml:space="preserve">Automated Process </v>
      </c>
      <c r="F2376" t="s">
        <v>3215</v>
      </c>
    </row>
    <row r="2377" spans="1:6" ht="12.75">
      <c r="A2377">
        <v>5316911</v>
      </c>
      <c r="B2377">
        <v>6972148</v>
      </c>
      <c r="C2377" t="s">
        <v>24</v>
      </c>
      <c r="D2377" t="s">
        <v>99</v>
      </c>
      <c r="E2377" s="2" t="str">
        <f>HYPERLINK("https://ibp.a2mac1.com/costing(costing:projects/details/8191/material/5316911)","HDPE")</f>
        <v>HDPE</v>
      </c>
      <c r="F2377" t="s">
        <v>3216</v>
      </c>
    </row>
    <row r="2378" spans="1:6" ht="12.75">
      <c r="A2378">
        <v>5316912</v>
      </c>
      <c r="B2378">
        <v>6972148</v>
      </c>
      <c r="C2378" t="s">
        <v>24</v>
      </c>
      <c r="D2378" t="s">
        <v>99</v>
      </c>
      <c r="E2378" s="2" t="str">
        <f>HYPERLINK("https://ibp.a2mac1.com/costing(costing:projects/details/8191/material/5316912)","Steel Tube (default, chromed)")</f>
        <v>Steel Tube (default, chromed)</v>
      </c>
      <c r="F2378" t="s">
        <v>3216</v>
      </c>
    </row>
    <row r="2379" spans="1:6" ht="12.75">
      <c r="A2379">
        <v>6944607</v>
      </c>
      <c r="B2379">
        <v>6972148</v>
      </c>
      <c r="C2379" t="s">
        <v>189</v>
      </c>
      <c r="D2379" t="s">
        <v>99</v>
      </c>
      <c r="E2379" s="2" t="str">
        <f>HYPERLINK("https://ibp.a2mac1.com/costing(costing:projects/details/8191/equipment/6944607)","Equipment")</f>
        <v>Equipment</v>
      </c>
      <c r="F2379" t="s">
        <v>3216</v>
      </c>
    </row>
    <row r="2380" spans="1:6" ht="12.75">
      <c r="A2380">
        <v>5383544</v>
      </c>
      <c r="B2380">
        <v>5383400</v>
      </c>
      <c r="C2380" t="s">
        <v>8</v>
      </c>
      <c r="D2380" t="s">
        <v>8</v>
      </c>
      <c r="E2380" s="2" t="str">
        <f>HYPERLINK("https://ibp.a2mac1.com/costing(costing:projects/details/8191/assembly/5383544)","Heating System")</f>
        <v>Heating System</v>
      </c>
      <c r="F2380" t="s">
        <v>3007</v>
      </c>
    </row>
    <row r="2381" spans="1:6" ht="12.75">
      <c r="A2381">
        <v>5383684</v>
      </c>
      <c r="B2381">
        <v>5383544</v>
      </c>
      <c r="C2381" t="s">
        <v>12</v>
      </c>
      <c r="D2381" t="s">
        <v>8</v>
      </c>
      <c r="E2381" s="2" t="str">
        <f>HYPERLINK("https://ibp.a2mac1.com/costing(costing:projects/details/8191/part/5383684)","Cushion Heating")</f>
        <v>Cushion Heating</v>
      </c>
      <c r="F2381" t="s">
        <v>3218</v>
      </c>
    </row>
    <row r="2382" spans="1:6" ht="12.75">
      <c r="A2382">
        <v>5383685</v>
      </c>
      <c r="B2382">
        <v>5383544</v>
      </c>
      <c r="C2382" t="s">
        <v>12</v>
      </c>
      <c r="D2382" t="s">
        <v>8</v>
      </c>
      <c r="E2382" s="2" t="str">
        <f>HYPERLINK("https://ibp.a2mac1.com/costing(costing:projects/details/8191/part/5383685)","Back Heating")</f>
        <v>Back Heating</v>
      </c>
      <c r="F2382" t="s">
        <v>3218</v>
      </c>
    </row>
    <row r="2383" spans="1:6" ht="12.75">
      <c r="A2383">
        <v>5383537</v>
      </c>
      <c r="B2383">
        <v>5383400</v>
      </c>
      <c r="C2383" t="s">
        <v>12</v>
      </c>
      <c r="D2383" t="s">
        <v>8</v>
      </c>
      <c r="E2383" s="2" t="str">
        <f>HYPERLINK("https://ibp.a2mac1.com/costing(costing:projects/details/8191/part/5383537)","Wiring Harness")</f>
        <v>Wiring Harness</v>
      </c>
      <c r="F2383" t="s">
        <v>3007</v>
      </c>
    </row>
    <row r="2384" spans="1:6" ht="12.75">
      <c r="A2384">
        <v>6971942</v>
      </c>
      <c r="B2384">
        <v>5383537</v>
      </c>
      <c r="C2384" t="s">
        <v>99</v>
      </c>
      <c r="D2384" t="s">
        <v>12</v>
      </c>
      <c r="E2384" s="2" t="str">
        <f>HYPERLINK("https://ibp.a2mac1.com/costing(costing:projects/details/8191/process/6971942)","Process")</f>
        <v>Process</v>
      </c>
      <c r="F2384" t="s">
        <v>3222</v>
      </c>
    </row>
    <row r="2385" spans="1:6" ht="12.75">
      <c r="A2385">
        <v>6944441</v>
      </c>
      <c r="B2385">
        <v>6971942</v>
      </c>
      <c r="C2385" t="s">
        <v>189</v>
      </c>
      <c r="D2385" t="s">
        <v>99</v>
      </c>
      <c r="E2385" s="2" t="str">
        <f>HYPERLINK("https://ibp.a2mac1.com/costing(costing:projects/details/8191/equipment/6944441)","Dummy Machine (Wireharness production line)")</f>
        <v>Dummy Machine (Wireharness production line)</v>
      </c>
      <c r="F2385" t="s">
        <v>3223</v>
      </c>
    </row>
    <row r="2386" spans="1:6" ht="12.75">
      <c r="A2386">
        <v>5316557</v>
      </c>
      <c r="B2386">
        <v>5383537</v>
      </c>
      <c r="C2386" t="s">
        <v>574</v>
      </c>
      <c r="D2386" t="s">
        <v>12</v>
      </c>
      <c r="E2386" s="2" t="str">
        <f>HYPERLINK("https://ibp.a2mac1.com/costing(costing:projects/details/8191/component/5316557)","Material")</f>
        <v>Material</v>
      </c>
      <c r="F2386" t="s">
        <v>3222</v>
      </c>
    </row>
    <row r="2387" spans="1:6" ht="12.75">
      <c r="A2387">
        <v>5316558</v>
      </c>
      <c r="B2387">
        <v>5383537</v>
      </c>
      <c r="C2387" t="s">
        <v>574</v>
      </c>
      <c r="D2387" t="s">
        <v>12</v>
      </c>
      <c r="E2387" s="2" t="str">
        <f>HYPERLINK("https://ibp.a2mac1.com/costing(costing:projects/details/8191/component/5316558)","Copper")</f>
        <v>Copper</v>
      </c>
      <c r="F2387" t="s">
        <v>3222</v>
      </c>
    </row>
    <row r="2388" spans="1:6" ht="12.75">
      <c r="A2388">
        <v>6971833</v>
      </c>
      <c r="B2388">
        <v>5383400</v>
      </c>
      <c r="C2388" t="s">
        <v>99</v>
      </c>
      <c r="D2388" t="s">
        <v>8</v>
      </c>
      <c r="E2388" s="2" t="str">
        <f>HYPERLINK("https://ibp.a2mac1.com/costing(costing:projects/details/8191/process/6971833)","J.I.T. Assembly")</f>
        <v>J.I.T. Assembly</v>
      </c>
      <c r="F2388" t="s">
        <v>3007</v>
      </c>
    </row>
    <row r="2389" spans="1:6" ht="12.75">
      <c r="A2389">
        <v>6944261</v>
      </c>
      <c r="B2389">
        <v>6971833</v>
      </c>
      <c r="C2389" t="s">
        <v>189</v>
      </c>
      <c r="D2389" t="s">
        <v>99</v>
      </c>
      <c r="E2389" s="2" t="str">
        <f>HYPERLINK("https://ibp.a2mac1.com/costing(costing:projects/details/8191/equipment/6944261)","DC Machine")</f>
        <v>DC Machine</v>
      </c>
      <c r="F2389" t="s">
        <v>3226</v>
      </c>
    </row>
    <row r="2390" spans="1:6" ht="12.75">
      <c r="A2390">
        <v>5316536</v>
      </c>
      <c r="B2390">
        <v>5383400</v>
      </c>
      <c r="C2390" t="s">
        <v>574</v>
      </c>
      <c r="D2390" t="s">
        <v>8</v>
      </c>
      <c r="E2390" s="2" t="str">
        <f>HYPERLINK("https://ibp.a2mac1.com/costing(costing:projects/details/8191/component/5316536)","Tube/cluster support &gt; Tube/cluster strap support in hole")</f>
        <v>Tube/cluster support &gt; Tube/cluster strap support in hole</v>
      </c>
      <c r="F2390" t="s">
        <v>3007</v>
      </c>
    </row>
    <row r="2391" spans="1:6" ht="12.75">
      <c r="A2391">
        <v>5383401</v>
      </c>
      <c r="B2391">
        <v>5383339</v>
      </c>
      <c r="C2391" t="s">
        <v>8</v>
      </c>
      <c r="D2391" t="s">
        <v>8</v>
      </c>
      <c r="E2391" s="2" t="str">
        <f>HYPERLINK("https://ibp.a2mac1.com/costing(costing:projects/details/8191/assembly/5383401)","Rear Seat")</f>
        <v>Rear Seat</v>
      </c>
      <c r="F2391" t="s">
        <v>2686</v>
      </c>
    </row>
    <row r="2392" spans="1:6" ht="12.75">
      <c r="A2392">
        <v>5383546</v>
      </c>
      <c r="B2392">
        <v>5383401</v>
      </c>
      <c r="C2392" t="s">
        <v>8</v>
      </c>
      <c r="D2392" t="s">
        <v>8</v>
      </c>
      <c r="E2392" s="2" t="str">
        <f>HYPERLINK("https://ibp.a2mac1.com/costing(costing:projects/details/8191/assembly/5383546)","Seat 1-3")</f>
        <v>Seat 1-3</v>
      </c>
      <c r="F2392" t="s">
        <v>3228</v>
      </c>
    </row>
    <row r="2393" spans="1:6" ht="12.75">
      <c r="A2393">
        <v>5383686</v>
      </c>
      <c r="B2393">
        <v>5383546</v>
      </c>
      <c r="C2393" t="s">
        <v>8</v>
      </c>
      <c r="D2393" t="s">
        <v>8</v>
      </c>
      <c r="E2393" s="2" t="str">
        <f>HYPERLINK("https://ibp.a2mac1.com/costing(costing:projects/details/8191/assembly/5383686)","Head Rest")</f>
        <v>Head Rest</v>
      </c>
      <c r="F2393" t="s">
        <v>3229</v>
      </c>
    </row>
    <row r="2394" spans="1:6" ht="12.75">
      <c r="A2394">
        <v>5383948</v>
      </c>
      <c r="B2394">
        <v>5383686</v>
      </c>
      <c r="C2394" t="s">
        <v>12</v>
      </c>
      <c r="D2394" t="s">
        <v>8</v>
      </c>
      <c r="E2394" s="2" t="str">
        <f>HYPERLINK("https://ibp.a2mac1.com/costing(costing:projects/details/8191/part/5383948)","Cover")</f>
        <v>Cover</v>
      </c>
      <c r="F2394" t="s">
        <v>3230</v>
      </c>
    </row>
    <row r="2395" spans="1:6" ht="12.75">
      <c r="A2395">
        <v>6972203</v>
      </c>
      <c r="B2395">
        <v>5383948</v>
      </c>
      <c r="C2395" t="s">
        <v>99</v>
      </c>
      <c r="D2395" t="s">
        <v>12</v>
      </c>
      <c r="E2395" s="2" t="str">
        <f>HYPERLINK("https://ibp.a2mac1.com/costing(costing:projects/details/8191/process/6972203)","Cutting")</f>
        <v>Cutting</v>
      </c>
      <c r="F2395" t="s">
        <v>3231</v>
      </c>
    </row>
    <row r="2396" spans="1:6" ht="12.75">
      <c r="A2396">
        <v>5317070</v>
      </c>
      <c r="B2396">
        <v>6972203</v>
      </c>
      <c r="C2396" t="s">
        <v>24</v>
      </c>
      <c r="D2396" t="s">
        <v>99</v>
      </c>
      <c r="E2396" s="2" t="str">
        <f>HYPERLINK("https://ibp.a2mac1.com/costing(costing:projects/details/8191/material/5317070)","Mix Vinyl (80%)")</f>
        <v>Mix Vinyl (80%)</v>
      </c>
      <c r="F2396" t="s">
        <v>3233</v>
      </c>
    </row>
    <row r="2397" spans="1:6" ht="12.75">
      <c r="A2397">
        <v>6944742</v>
      </c>
      <c r="B2397">
        <v>6972203</v>
      </c>
      <c r="C2397" t="s">
        <v>189</v>
      </c>
      <c r="D2397" t="s">
        <v>99</v>
      </c>
      <c r="E2397" s="2" t="str">
        <f>HYPERLINK("https://ibp.a2mac1.com/costing(costing:projects/details/8191/equipment/6944742)","No.01 - Fabric Cutting")</f>
        <v>No.01 - Fabric Cutting</v>
      </c>
      <c r="F2397" t="s">
        <v>3233</v>
      </c>
    </row>
    <row r="2398" spans="1:6" ht="12.75">
      <c r="A2398">
        <v>6972204</v>
      </c>
      <c r="B2398">
        <v>5383948</v>
      </c>
      <c r="C2398" t="s">
        <v>99</v>
      </c>
      <c r="D2398" t="s">
        <v>12</v>
      </c>
      <c r="E2398" s="2" t="str">
        <f>HYPERLINK("https://ibp.a2mac1.com/costing(costing:projects/details/8191/process/6972204)","Sewing")</f>
        <v>Sewing</v>
      </c>
      <c r="F2398" t="s">
        <v>3231</v>
      </c>
    </row>
    <row r="2399" spans="1:6" ht="12.75">
      <c r="A2399">
        <v>6944743</v>
      </c>
      <c r="B2399">
        <v>6972204</v>
      </c>
      <c r="C2399" t="s">
        <v>189</v>
      </c>
      <c r="D2399" t="s">
        <v>99</v>
      </c>
      <c r="E2399" s="2" t="str">
        <f>HYPERLINK("https://ibp.a2mac1.com/costing(costing:projects/details/8191/equipment/6944743)","No.02 - Fabric Sewing")</f>
        <v>No.02 - Fabric Sewing</v>
      </c>
      <c r="F2399" t="s">
        <v>3234</v>
      </c>
    </row>
    <row r="2400" spans="1:6" ht="12.75">
      <c r="A2400">
        <v>5383949</v>
      </c>
      <c r="B2400">
        <v>5383686</v>
      </c>
      <c r="C2400" t="s">
        <v>12</v>
      </c>
      <c r="D2400" t="s">
        <v>8</v>
      </c>
      <c r="E2400" s="2" t="str">
        <f>HYPERLINK("https://ibp.a2mac1.com/costing(costing:projects/details/8191/part/5383949)","Padding")</f>
        <v>Padding</v>
      </c>
      <c r="F2400" t="s">
        <v>3230</v>
      </c>
    </row>
    <row r="2401" spans="1:6" ht="12.75">
      <c r="A2401">
        <v>6972205</v>
      </c>
      <c r="B2401">
        <v>5383949</v>
      </c>
      <c r="C2401" t="s">
        <v>99</v>
      </c>
      <c r="D2401" t="s">
        <v>12</v>
      </c>
      <c r="E2401" s="2" t="str">
        <f>HYPERLINK("https://ibp.a2mac1.com/costing(costing:projects/details/8191/process/6972205)","Automated Process")</f>
        <v>Automated Process</v>
      </c>
      <c r="F2401" t="s">
        <v>3236</v>
      </c>
    </row>
    <row r="2402" spans="1:6" ht="12.75">
      <c r="A2402">
        <v>5317071</v>
      </c>
      <c r="B2402">
        <v>6972205</v>
      </c>
      <c r="C2402" t="s">
        <v>24</v>
      </c>
      <c r="D2402" t="s">
        <v>99</v>
      </c>
      <c r="E2402" s="2" t="str">
        <f>HYPERLINK("https://ibp.a2mac1.com/costing(costing:projects/details/8191/material/5317071)","PUR")</f>
        <v>PUR</v>
      </c>
      <c r="F2402" t="s">
        <v>3239</v>
      </c>
    </row>
    <row r="2403" spans="1:6" ht="12.75">
      <c r="A2403">
        <v>6944744</v>
      </c>
      <c r="B2403">
        <v>6972205</v>
      </c>
      <c r="C2403" t="s">
        <v>189</v>
      </c>
      <c r="D2403" t="s">
        <v>99</v>
      </c>
      <c r="E2403" s="2" t="str">
        <f>HYPERLINK("https://ibp.a2mac1.com/costing(costing:projects/details/8191/equipment/6944744)","Equipment (Injection Molding)")</f>
        <v>Equipment (Injection Molding)</v>
      </c>
      <c r="F2403" t="s">
        <v>3239</v>
      </c>
    </row>
    <row r="2404" spans="1:6" ht="12.75">
      <c r="A2404">
        <v>5383950</v>
      </c>
      <c r="B2404">
        <v>5383686</v>
      </c>
      <c r="C2404" t="s">
        <v>12</v>
      </c>
      <c r="D2404" t="s">
        <v>8</v>
      </c>
      <c r="E2404" s="2" t="str">
        <f>HYPERLINK("https://ibp.a2mac1.com/costing(costing:projects/details/8191/part/5383950)","Frame")</f>
        <v>Frame</v>
      </c>
      <c r="F2404" t="s">
        <v>3230</v>
      </c>
    </row>
    <row r="2405" spans="1:6" ht="12.75">
      <c r="A2405">
        <v>6972206</v>
      </c>
      <c r="B2405">
        <v>5383950</v>
      </c>
      <c r="C2405" t="s">
        <v>99</v>
      </c>
      <c r="D2405" t="s">
        <v>12</v>
      </c>
      <c r="E2405" s="2" t="str">
        <f>HYPERLINK("https://ibp.a2mac1.com/costing(costing:projects/details/8191/process/6972206)","Automated Process")</f>
        <v>Automated Process</v>
      </c>
      <c r="F2405" t="s">
        <v>3241</v>
      </c>
    </row>
    <row r="2406" spans="1:6" ht="12.75">
      <c r="A2406">
        <v>5317072</v>
      </c>
      <c r="B2406">
        <v>6972206</v>
      </c>
      <c r="C2406" t="s">
        <v>24</v>
      </c>
      <c r="D2406" t="s">
        <v>99</v>
      </c>
      <c r="E2406" s="2" t="str">
        <f>HYPERLINK("https://ibp.a2mac1.com/costing(costing:projects/details/8191/material/5317072)","Steel Tube (default, chromed)")</f>
        <v>Steel Tube (default, chromed)</v>
      </c>
      <c r="F2406" t="s">
        <v>3243</v>
      </c>
    </row>
    <row r="2407" spans="1:6" ht="12.75">
      <c r="A2407">
        <v>6944745</v>
      </c>
      <c r="B2407">
        <v>6972206</v>
      </c>
      <c r="C2407" t="s">
        <v>189</v>
      </c>
      <c r="D2407" t="s">
        <v>99</v>
      </c>
      <c r="E2407" s="2" t="str">
        <f>HYPERLINK("https://ibp.a2mac1.com/costing(costing:projects/details/8191/equipment/6944745)","Equipment")</f>
        <v>Equipment</v>
      </c>
      <c r="F2407" t="s">
        <v>3243</v>
      </c>
    </row>
    <row r="2408" spans="1:6" ht="12.75">
      <c r="A2408">
        <v>5383951</v>
      </c>
      <c r="B2408">
        <v>5383686</v>
      </c>
      <c r="C2408" t="s">
        <v>12</v>
      </c>
      <c r="D2408" t="s">
        <v>8</v>
      </c>
      <c r="E2408" s="2" t="str">
        <f>HYPERLINK("https://ibp.a2mac1.com/costing(costing:projects/details/8191/part/5383951)","Reinforcement")</f>
        <v>Reinforcement</v>
      </c>
      <c r="F2408" t="s">
        <v>3230</v>
      </c>
    </row>
    <row r="2409" spans="1:6" ht="12.75">
      <c r="A2409">
        <v>6972207</v>
      </c>
      <c r="B2409">
        <v>5383951</v>
      </c>
      <c r="C2409" t="s">
        <v>99</v>
      </c>
      <c r="D2409" t="s">
        <v>12</v>
      </c>
      <c r="E2409" s="2" t="str">
        <f>HYPERLINK("https://ibp.a2mac1.com/costing(costing:projects/details/8191/process/6972207)","Automated Process")</f>
        <v>Automated Process</v>
      </c>
      <c r="F2409" t="s">
        <v>3245</v>
      </c>
    </row>
    <row r="2410" spans="1:6" ht="12.75">
      <c r="A2410">
        <v>5317073</v>
      </c>
      <c r="B2410">
        <v>6972207</v>
      </c>
      <c r="C2410" t="s">
        <v>24</v>
      </c>
      <c r="D2410" t="s">
        <v>99</v>
      </c>
      <c r="E2410" s="2" t="str">
        <f>HYPERLINK("https://ibp.a2mac1.com/costing(costing:projects/details/8191/material/5317073)","HDPE")</f>
        <v>HDPE</v>
      </c>
      <c r="F2410" t="s">
        <v>3248</v>
      </c>
    </row>
    <row r="2411" spans="1:6" ht="12.75">
      <c r="A2411">
        <v>6944746</v>
      </c>
      <c r="B2411">
        <v>6972207</v>
      </c>
      <c r="C2411" t="s">
        <v>189</v>
      </c>
      <c r="D2411" t="s">
        <v>99</v>
      </c>
      <c r="E2411" s="2" t="str">
        <f>HYPERLINK("https://ibp.a2mac1.com/costing(costing:projects/details/8191/equipment/6944746)","Equipment (Injection Molding)")</f>
        <v>Equipment (Injection Molding)</v>
      </c>
      <c r="F2411" t="s">
        <v>3248</v>
      </c>
    </row>
    <row r="2412" spans="1:6" ht="12.75">
      <c r="A2412">
        <v>5316684</v>
      </c>
      <c r="B2412">
        <v>5383686</v>
      </c>
      <c r="C2412" t="s">
        <v>574</v>
      </c>
      <c r="D2412" t="s">
        <v>8</v>
      </c>
      <c r="E2412" s="2" t="str">
        <f>HYPERLINK("https://ibp.a2mac1.com/costing(costing:projects/details/8191/component/5316684)","Pin clip &gt; Elastic pin")</f>
        <v>Pin clip &gt; Elastic pin</v>
      </c>
      <c r="F2412" t="s">
        <v>3230</v>
      </c>
    </row>
    <row r="2413" spans="1:6" ht="12.75">
      <c r="A2413">
        <v>5383687</v>
      </c>
      <c r="B2413">
        <v>5383546</v>
      </c>
      <c r="C2413" t="s">
        <v>8</v>
      </c>
      <c r="D2413" t="s">
        <v>8</v>
      </c>
      <c r="E2413" s="2" t="str">
        <f>HYPERLINK("https://ibp.a2mac1.com/costing(costing:projects/details/8191/assembly/5383687)","Back")</f>
        <v>Back</v>
      </c>
      <c r="F2413" t="s">
        <v>3229</v>
      </c>
    </row>
    <row r="2414" spans="1:6" ht="12.75">
      <c r="A2414">
        <v>5383956</v>
      </c>
      <c r="B2414">
        <v>5383687</v>
      </c>
      <c r="C2414" t="s">
        <v>8</v>
      </c>
      <c r="D2414" t="s">
        <v>8</v>
      </c>
      <c r="E2414" s="2" t="str">
        <f>HYPERLINK("https://ibp.a2mac1.com/costing(costing:projects/details/8191/assembly/5383956)","Head Rest Support")</f>
        <v>Head Rest Support</v>
      </c>
      <c r="F2414" t="s">
        <v>3252</v>
      </c>
    </row>
    <row r="2415" spans="1:6" ht="12.75">
      <c r="A2415">
        <v>5384072</v>
      </c>
      <c r="B2415">
        <v>5383956</v>
      </c>
      <c r="C2415" t="s">
        <v>12</v>
      </c>
      <c r="D2415" t="s">
        <v>8</v>
      </c>
      <c r="E2415" s="2" t="str">
        <f>HYPERLINK("https://ibp.a2mac1.com/costing(costing:projects/details/8191/part/5384072)","Lock Support")</f>
        <v>Lock Support</v>
      </c>
      <c r="F2415" t="s">
        <v>3253</v>
      </c>
    </row>
    <row r="2416" spans="1:6" ht="12.75">
      <c r="A2416">
        <v>6972343</v>
      </c>
      <c r="B2416">
        <v>5384072</v>
      </c>
      <c r="C2416" t="s">
        <v>99</v>
      </c>
      <c r="D2416" t="s">
        <v>12</v>
      </c>
      <c r="E2416" s="2" t="str">
        <f>HYPERLINK("https://ibp.a2mac1.com/costing(costing:projects/details/8191/process/6972343)","Automated Process")</f>
        <v>Automated Process</v>
      </c>
      <c r="F2416" t="s">
        <v>3254</v>
      </c>
    </row>
    <row r="2417" spans="1:6" ht="12.75">
      <c r="A2417">
        <v>5317105</v>
      </c>
      <c r="B2417">
        <v>6972343</v>
      </c>
      <c r="C2417" t="s">
        <v>24</v>
      </c>
      <c r="D2417" t="s">
        <v>99</v>
      </c>
      <c r="E2417" s="2" t="str">
        <f>HYPERLINK("https://ibp.a2mac1.com/costing(costing:projects/details/8191/material/5317105)","PP-PE")</f>
        <v>PP-PE</v>
      </c>
      <c r="F2417" t="s">
        <v>3257</v>
      </c>
    </row>
    <row r="2418" spans="1:6" ht="12.75">
      <c r="A2418">
        <v>6944844</v>
      </c>
      <c r="B2418">
        <v>6972343</v>
      </c>
      <c r="C2418" t="s">
        <v>189</v>
      </c>
      <c r="D2418" t="s">
        <v>99</v>
      </c>
      <c r="E2418" s="2" t="str">
        <f>HYPERLINK("https://ibp.a2mac1.com/costing(costing:projects/details/8191/equipment/6944844)","Equipment (Injection Molding)")</f>
        <v>Equipment (Injection Molding)</v>
      </c>
      <c r="F2418" t="s">
        <v>3257</v>
      </c>
    </row>
    <row r="2419" spans="1:6" ht="12.75">
      <c r="A2419">
        <v>5384073</v>
      </c>
      <c r="B2419">
        <v>5383956</v>
      </c>
      <c r="C2419" t="s">
        <v>12</v>
      </c>
      <c r="D2419" t="s">
        <v>8</v>
      </c>
      <c r="E2419" s="2" t="str">
        <f>HYPERLINK("https://ibp.a2mac1.com/costing(costing:projects/details/8191/part/5384073)","Simple Guide Support")</f>
        <v>Simple Guide Support</v>
      </c>
      <c r="F2419" t="s">
        <v>3253</v>
      </c>
    </row>
    <row r="2420" spans="1:6" ht="12.75">
      <c r="A2420">
        <v>6972344</v>
      </c>
      <c r="B2420">
        <v>5384073</v>
      </c>
      <c r="C2420" t="s">
        <v>99</v>
      </c>
      <c r="D2420" t="s">
        <v>12</v>
      </c>
      <c r="E2420" s="2" t="str">
        <f>HYPERLINK("https://ibp.a2mac1.com/costing(costing:projects/details/8191/process/6972344)","Automated Process")</f>
        <v>Automated Process</v>
      </c>
      <c r="F2420" t="s">
        <v>3260</v>
      </c>
    </row>
    <row r="2421" spans="1:6" ht="12.75">
      <c r="A2421">
        <v>5317106</v>
      </c>
      <c r="B2421">
        <v>6972344</v>
      </c>
      <c r="C2421" t="s">
        <v>24</v>
      </c>
      <c r="D2421" t="s">
        <v>99</v>
      </c>
      <c r="E2421" s="2" t="str">
        <f>HYPERLINK("https://ibp.a2mac1.com/costing(costing:projects/details/8191/material/5317106)","PP-PE")</f>
        <v>PP-PE</v>
      </c>
      <c r="F2421" t="s">
        <v>3261</v>
      </c>
    </row>
    <row r="2422" spans="1:6" ht="12.75">
      <c r="A2422">
        <v>6944845</v>
      </c>
      <c r="B2422">
        <v>6972344</v>
      </c>
      <c r="C2422" t="s">
        <v>189</v>
      </c>
      <c r="D2422" t="s">
        <v>99</v>
      </c>
      <c r="E2422" s="2" t="str">
        <f>HYPERLINK("https://ibp.a2mac1.com/costing(costing:projects/details/8191/equipment/6944845)","Equipment (Injection Molding)")</f>
        <v>Equipment (Injection Molding)</v>
      </c>
      <c r="F2422" t="s">
        <v>3261</v>
      </c>
    </row>
    <row r="2423" spans="1:6" ht="12.75">
      <c r="A2423">
        <v>5383957</v>
      </c>
      <c r="B2423">
        <v>5383687</v>
      </c>
      <c r="C2423" t="s">
        <v>8</v>
      </c>
      <c r="D2423" t="s">
        <v>8</v>
      </c>
      <c r="E2423" s="2" t="str">
        <f>HYPERLINK("https://ibp.a2mac1.com/costing(costing:projects/details/8191/assembly/5383957)","Locking System")</f>
        <v>Locking System</v>
      </c>
      <c r="F2423" t="s">
        <v>3252</v>
      </c>
    </row>
    <row r="2424" spans="1:6" ht="12.75">
      <c r="A2424">
        <v>5384074</v>
      </c>
      <c r="B2424">
        <v>5383957</v>
      </c>
      <c r="C2424" t="s">
        <v>12</v>
      </c>
      <c r="D2424" t="s">
        <v>8</v>
      </c>
      <c r="E2424" s="2" t="str">
        <f>HYPERLINK("https://ibp.a2mac1.com/costing(costing:projects/details/8191/part/5384074)","Lock")</f>
        <v>Lock</v>
      </c>
      <c r="F2424" t="s">
        <v>3264</v>
      </c>
    </row>
    <row r="2425" spans="1:6" ht="12.75">
      <c r="A2425">
        <v>5384075</v>
      </c>
      <c r="B2425">
        <v>5383957</v>
      </c>
      <c r="C2425" t="s">
        <v>12</v>
      </c>
      <c r="D2425" t="s">
        <v>8</v>
      </c>
      <c r="E2425" s="2" t="str">
        <f>HYPERLINK("https://ibp.a2mac1.com/costing(costing:projects/details/8191/part/5384075)","Lock cover")</f>
        <v>Lock cover</v>
      </c>
      <c r="F2425" t="s">
        <v>3264</v>
      </c>
    </row>
    <row r="2426" spans="1:6" ht="12.75">
      <c r="A2426">
        <v>6972345</v>
      </c>
      <c r="B2426">
        <v>5384075</v>
      </c>
      <c r="C2426" t="s">
        <v>99</v>
      </c>
      <c r="D2426" t="s">
        <v>12</v>
      </c>
      <c r="E2426" s="2" t="str">
        <f>HYPERLINK("https://ibp.a2mac1.com/costing(costing:projects/details/8191/process/6972345)","Automated Process")</f>
        <v>Automated Process</v>
      </c>
      <c r="F2426" t="s">
        <v>3267</v>
      </c>
    </row>
    <row r="2427" spans="1:6" ht="12.75">
      <c r="A2427">
        <v>5317107</v>
      </c>
      <c r="B2427">
        <v>6972345</v>
      </c>
      <c r="C2427" t="s">
        <v>24</v>
      </c>
      <c r="D2427" t="s">
        <v>99</v>
      </c>
      <c r="E2427" s="2" t="str">
        <f>HYPERLINK("https://ibp.a2mac1.com/costing(costing:projects/details/8191/material/5317107)","PC-ABS")</f>
        <v>PC-ABS</v>
      </c>
      <c r="F2427" t="s">
        <v>3270</v>
      </c>
    </row>
    <row r="2428" spans="1:6" ht="12.75">
      <c r="A2428">
        <v>6944846</v>
      </c>
      <c r="B2428">
        <v>6972345</v>
      </c>
      <c r="C2428" t="s">
        <v>189</v>
      </c>
      <c r="D2428" t="s">
        <v>99</v>
      </c>
      <c r="E2428" s="2" t="str">
        <f>HYPERLINK("https://ibp.a2mac1.com/costing(costing:projects/details/8191/equipment/6944846)","Equipment (Injection Molding)")</f>
        <v>Equipment (Injection Molding)</v>
      </c>
      <c r="F2428" t="s">
        <v>3270</v>
      </c>
    </row>
    <row r="2429" spans="1:6" ht="12.75">
      <c r="A2429">
        <v>5316913</v>
      </c>
      <c r="B2429">
        <v>5383957</v>
      </c>
      <c r="C2429" t="s">
        <v>574</v>
      </c>
      <c r="D2429" t="s">
        <v>8</v>
      </c>
      <c r="E2429" s="2" t="str">
        <f>HYPERLINK("https://ibp.a2mac1.com/costing(costing:projects/details/8191/component/5316913)","Screw &gt; 12 point socket head cap screw")</f>
        <v>Screw &gt; 12 point socket head cap screw</v>
      </c>
      <c r="F2429" t="s">
        <v>3264</v>
      </c>
    </row>
    <row r="2430" spans="1:6" ht="12.75">
      <c r="A2430">
        <v>5383952</v>
      </c>
      <c r="B2430">
        <v>5383687</v>
      </c>
      <c r="C2430" t="s">
        <v>12</v>
      </c>
      <c r="D2430" t="s">
        <v>8</v>
      </c>
      <c r="E2430" s="2" t="str">
        <f>HYPERLINK("https://ibp.a2mac1.com/costing(costing:projects/details/8191/part/5383952)","Cover")</f>
        <v>Cover</v>
      </c>
      <c r="F2430" t="s">
        <v>3252</v>
      </c>
    </row>
    <row r="2431" spans="1:6" ht="12.75">
      <c r="A2431">
        <v>6972208</v>
      </c>
      <c r="B2431">
        <v>5383952</v>
      </c>
      <c r="C2431" t="s">
        <v>99</v>
      </c>
      <c r="D2431" t="s">
        <v>12</v>
      </c>
      <c r="E2431" s="2" t="str">
        <f>HYPERLINK("https://ibp.a2mac1.com/costing(costing:projects/details/8191/process/6972208)","Cutting")</f>
        <v>Cutting</v>
      </c>
      <c r="F2431" t="s">
        <v>3273</v>
      </c>
    </row>
    <row r="2432" spans="1:6" ht="12.75">
      <c r="A2432">
        <v>5317074</v>
      </c>
      <c r="B2432">
        <v>6972208</v>
      </c>
      <c r="C2432" t="s">
        <v>24</v>
      </c>
      <c r="D2432" t="s">
        <v>99</v>
      </c>
      <c r="E2432" s="2" t="str">
        <f>HYPERLINK("https://ibp.a2mac1.com/costing(costing:projects/details/8191/material/5317074)","Vinyl Perforated")</f>
        <v>Vinyl Perforated</v>
      </c>
      <c r="F2432" t="s">
        <v>3276</v>
      </c>
    </row>
    <row r="2433" spans="1:6" ht="12.75">
      <c r="A2433">
        <v>5317075</v>
      </c>
      <c r="B2433">
        <v>6972208</v>
      </c>
      <c r="C2433" t="s">
        <v>24</v>
      </c>
      <c r="D2433" t="s">
        <v>99</v>
      </c>
      <c r="E2433" s="2" t="str">
        <f>HYPERLINK("https://ibp.a2mac1.com/costing(costing:projects/details/8191/material/5317075)","Mix Vinyl (80%)")</f>
        <v>Mix Vinyl (80%)</v>
      </c>
      <c r="F2433" t="s">
        <v>3276</v>
      </c>
    </row>
    <row r="2434" spans="1:6" ht="12.75">
      <c r="A2434">
        <v>5317076</v>
      </c>
      <c r="B2434">
        <v>6972208</v>
      </c>
      <c r="C2434" t="s">
        <v>24</v>
      </c>
      <c r="D2434" t="s">
        <v>99</v>
      </c>
      <c r="E2434" s="2" t="str">
        <f>HYPERLINK("https://ibp.a2mac1.com/costing(costing:projects/details/8191/material/5317076)","Carpet")</f>
        <v>Carpet</v>
      </c>
      <c r="F2434" t="s">
        <v>3276</v>
      </c>
    </row>
    <row r="2435" spans="1:6" ht="12.75">
      <c r="A2435">
        <v>6944747</v>
      </c>
      <c r="B2435">
        <v>6972208</v>
      </c>
      <c r="C2435" t="s">
        <v>189</v>
      </c>
      <c r="D2435" t="s">
        <v>99</v>
      </c>
      <c r="E2435" s="2" t="str">
        <f>HYPERLINK("https://ibp.a2mac1.com/costing(costing:projects/details/8191/equipment/6944747)","No.01 - Fabric Cutting")</f>
        <v>No.01 - Fabric Cutting</v>
      </c>
      <c r="F2435" t="s">
        <v>3276</v>
      </c>
    </row>
    <row r="2436" spans="1:6" ht="12.75">
      <c r="A2436">
        <v>6972209</v>
      </c>
      <c r="B2436">
        <v>5383952</v>
      </c>
      <c r="C2436" t="s">
        <v>99</v>
      </c>
      <c r="D2436" t="s">
        <v>12</v>
      </c>
      <c r="E2436" s="2" t="str">
        <f>HYPERLINK("https://ibp.a2mac1.com/costing(costing:projects/details/8191/process/6972209)","Sewing")</f>
        <v>Sewing</v>
      </c>
      <c r="F2436" t="s">
        <v>3273</v>
      </c>
    </row>
    <row r="2437" spans="1:6" ht="12.75">
      <c r="A2437">
        <v>6944748</v>
      </c>
      <c r="B2437">
        <v>6972209</v>
      </c>
      <c r="C2437" t="s">
        <v>189</v>
      </c>
      <c r="D2437" t="s">
        <v>99</v>
      </c>
      <c r="E2437" s="2" t="str">
        <f>HYPERLINK("https://ibp.a2mac1.com/costing(costing:projects/details/8191/equipment/6944748)","No.02 - Fabric Sewing")</f>
        <v>No.02 - Fabric Sewing</v>
      </c>
      <c r="F2437" t="s">
        <v>3280</v>
      </c>
    </row>
    <row r="2438" spans="1:6" ht="12.75">
      <c r="A2438">
        <v>5383953</v>
      </c>
      <c r="B2438">
        <v>5383687</v>
      </c>
      <c r="C2438" t="s">
        <v>12</v>
      </c>
      <c r="D2438" t="s">
        <v>8</v>
      </c>
      <c r="E2438" s="2" t="str">
        <f>HYPERLINK("https://ibp.a2mac1.com/costing(costing:projects/details/8191/part/5383953)","Pad")</f>
        <v>Pad</v>
      </c>
      <c r="F2438" t="s">
        <v>3252</v>
      </c>
    </row>
    <row r="2439" spans="1:6" ht="12.75">
      <c r="A2439">
        <v>6972210</v>
      </c>
      <c r="B2439">
        <v>5383953</v>
      </c>
      <c r="C2439" t="s">
        <v>99</v>
      </c>
      <c r="D2439" t="s">
        <v>12</v>
      </c>
      <c r="E2439" s="2" t="str">
        <f>HYPERLINK("https://ibp.a2mac1.com/costing(costing:projects/details/8191/process/6972210)","Automated Process")</f>
        <v>Automated Process</v>
      </c>
      <c r="F2439" t="s">
        <v>3283</v>
      </c>
    </row>
    <row r="2440" spans="1:6" ht="12.75">
      <c r="A2440">
        <v>5317077</v>
      </c>
      <c r="B2440">
        <v>6972210</v>
      </c>
      <c r="C2440" t="s">
        <v>24</v>
      </c>
      <c r="D2440" t="s">
        <v>99</v>
      </c>
      <c r="E2440" s="2" t="str">
        <f>HYPERLINK("https://ibp.a2mac1.com/costing(costing:projects/details/8191/material/5317077)","PUR")</f>
        <v>PUR</v>
      </c>
      <c r="F2440" t="s">
        <v>3286</v>
      </c>
    </row>
    <row r="2441" spans="1:6" ht="12.75">
      <c r="A2441">
        <v>6944749</v>
      </c>
      <c r="B2441">
        <v>6972210</v>
      </c>
      <c r="C2441" t="s">
        <v>189</v>
      </c>
      <c r="D2441" t="s">
        <v>99</v>
      </c>
      <c r="E2441" s="2" t="str">
        <f>HYPERLINK("https://ibp.a2mac1.com/costing(costing:projects/details/8191/equipment/6944749)","Equipment (Injection Molding)")</f>
        <v>Equipment (Injection Molding)</v>
      </c>
      <c r="F2441" t="s">
        <v>3286</v>
      </c>
    </row>
    <row r="2442" spans="1:6" ht="12.75">
      <c r="A2442">
        <v>5383954</v>
      </c>
      <c r="B2442">
        <v>5383687</v>
      </c>
      <c r="C2442" t="s">
        <v>12</v>
      </c>
      <c r="D2442" t="s">
        <v>8</v>
      </c>
      <c r="E2442" s="2" t="str">
        <f>HYPERLINK("https://ibp.a2mac1.com/costing(costing:projects/details/8191/part/5383954)","Frame")</f>
        <v>Frame</v>
      </c>
      <c r="F2442" t="s">
        <v>3252</v>
      </c>
    </row>
    <row r="2443" spans="1:6" ht="12.75">
      <c r="A2443">
        <v>6972211</v>
      </c>
      <c r="B2443">
        <v>5383954</v>
      </c>
      <c r="C2443" t="s">
        <v>99</v>
      </c>
      <c r="D2443" t="s">
        <v>12</v>
      </c>
      <c r="E2443" s="2" t="str">
        <f>HYPERLINK("https://ibp.a2mac1.com/costing(costing:projects/details/8191/process/6972211)","Automated Process")</f>
        <v>Automated Process</v>
      </c>
      <c r="F2443" t="s">
        <v>3288</v>
      </c>
    </row>
    <row r="2444" spans="1:6" ht="12.75">
      <c r="A2444">
        <v>5317078</v>
      </c>
      <c r="B2444">
        <v>6972211</v>
      </c>
      <c r="C2444" t="s">
        <v>24</v>
      </c>
      <c r="D2444" t="s">
        <v>99</v>
      </c>
      <c r="E2444" s="2" t="str">
        <f>HYPERLINK("https://ibp.a2mac1.com/costing(costing:projects/details/8191/material/5317078)","Steel sheet (default)")</f>
        <v>Steel sheet (default)</v>
      </c>
      <c r="F2444" t="s">
        <v>3291</v>
      </c>
    </row>
    <row r="2445" spans="1:6" ht="12.75">
      <c r="A2445">
        <v>5317079</v>
      </c>
      <c r="B2445">
        <v>6972211</v>
      </c>
      <c r="C2445" t="s">
        <v>24</v>
      </c>
      <c r="D2445" t="s">
        <v>99</v>
      </c>
      <c r="E2445" s="2" t="str">
        <f>HYPERLINK("https://ibp.a2mac1.com/costing(costing:projects/details/8191/material/5317079)","Cataphoresis paint")</f>
        <v>Cataphoresis paint</v>
      </c>
      <c r="F2445" t="s">
        <v>3291</v>
      </c>
    </row>
    <row r="2446" spans="1:6" ht="12.75">
      <c r="A2446">
        <v>6944750</v>
      </c>
      <c r="B2446">
        <v>6972211</v>
      </c>
      <c r="C2446" t="s">
        <v>189</v>
      </c>
      <c r="D2446" t="s">
        <v>99</v>
      </c>
      <c r="E2446" s="2" t="str">
        <f>HYPERLINK("https://ibp.a2mac1.com/costing(costing:projects/details/8191/equipment/6944750)","Equipment")</f>
        <v>Equipment</v>
      </c>
      <c r="F2446" t="s">
        <v>3291</v>
      </c>
    </row>
    <row r="2447" spans="1:6" ht="12.75">
      <c r="A2447">
        <v>5383955</v>
      </c>
      <c r="B2447">
        <v>5383687</v>
      </c>
      <c r="C2447" t="s">
        <v>12</v>
      </c>
      <c r="D2447" t="s">
        <v>8</v>
      </c>
      <c r="E2447" s="2" t="str">
        <f>HYPERLINK("https://ibp.a2mac1.com/costing(costing:projects/details/8191/part/5383955)","Rear Panel")</f>
        <v>Rear Panel</v>
      </c>
      <c r="F2447" t="s">
        <v>3252</v>
      </c>
    </row>
    <row r="2448" spans="1:6" ht="12.75">
      <c r="A2448">
        <v>6972212</v>
      </c>
      <c r="B2448">
        <v>5383955</v>
      </c>
      <c r="C2448" t="s">
        <v>99</v>
      </c>
      <c r="D2448" t="s">
        <v>12</v>
      </c>
      <c r="E2448" s="2" t="str">
        <f>HYPERLINK("https://ibp.a2mac1.com/costing(costing:projects/details/8191/process/6972212)","Automated Process")</f>
        <v>Automated Process</v>
      </c>
      <c r="F2448" t="s">
        <v>3295</v>
      </c>
    </row>
    <row r="2449" spans="1:6" ht="12.75">
      <c r="A2449">
        <v>5317080</v>
      </c>
      <c r="B2449">
        <v>6972212</v>
      </c>
      <c r="C2449" t="s">
        <v>24</v>
      </c>
      <c r="D2449" t="s">
        <v>99</v>
      </c>
      <c r="E2449" s="2" t="str">
        <f>HYPERLINK("https://ibp.a2mac1.com/costing(costing:projects/details/8191/material/5317080)","Carpet")</f>
        <v>Carpet</v>
      </c>
      <c r="F2449" t="s">
        <v>3296</v>
      </c>
    </row>
    <row r="2450" spans="1:6" ht="12.75">
      <c r="A2450">
        <v>6944751</v>
      </c>
      <c r="B2450">
        <v>6972212</v>
      </c>
      <c r="C2450" t="s">
        <v>189</v>
      </c>
      <c r="D2450" t="s">
        <v>99</v>
      </c>
      <c r="E2450" s="2" t="str">
        <f>HYPERLINK("https://ibp.a2mac1.com/costing(costing:projects/details/8191/equipment/6944751)","Equipment (Injection Molding)")</f>
        <v>Equipment (Injection Molding)</v>
      </c>
      <c r="F2450" t="s">
        <v>3296</v>
      </c>
    </row>
    <row r="2451" spans="1:6" ht="12.75">
      <c r="A2451">
        <v>5316685</v>
      </c>
      <c r="B2451">
        <v>5383687</v>
      </c>
      <c r="C2451" t="s">
        <v>574</v>
      </c>
      <c r="D2451" t="s">
        <v>8</v>
      </c>
      <c r="E2451" s="2" t="str">
        <f>HYPERLINK("https://ibp.a2mac1.com/costing(costing:projects/details/8191/component/5316685)","Tube/cluster support &gt; Tube/cluster beribboned support in hole")</f>
        <v>Tube/cluster support &gt; Tube/cluster beribboned support in hole</v>
      </c>
      <c r="F2451" t="s">
        <v>3252</v>
      </c>
    </row>
    <row r="2452" spans="1:6" ht="12.75">
      <c r="A2452">
        <v>5316686</v>
      </c>
      <c r="B2452">
        <v>5383687</v>
      </c>
      <c r="C2452" t="s">
        <v>574</v>
      </c>
      <c r="D2452" t="s">
        <v>8</v>
      </c>
      <c r="E2452" s="2" t="str">
        <f>HYPERLINK("https://ibp.a2mac1.com/costing(costing:projects/details/8191/component/5316686)","Spacer/Axle &gt; Flange")</f>
        <v>Spacer/Axle &gt; Flange</v>
      </c>
      <c r="F2452" t="s">
        <v>3252</v>
      </c>
    </row>
    <row r="2453" spans="1:6" ht="12.75">
      <c r="A2453">
        <v>5383547</v>
      </c>
      <c r="B2453">
        <v>5383401</v>
      </c>
      <c r="C2453" t="s">
        <v>8</v>
      </c>
      <c r="D2453" t="s">
        <v>8</v>
      </c>
      <c r="E2453" s="2" t="str">
        <f>HYPERLINK("https://ibp.a2mac1.com/costing(costing:projects/details/8191/assembly/5383547)","Seat 2-3")</f>
        <v>Seat 2-3</v>
      </c>
      <c r="F2453" t="s">
        <v>3228</v>
      </c>
    </row>
    <row r="2454" spans="1:6" ht="12.75">
      <c r="A2454">
        <v>5383688</v>
      </c>
      <c r="B2454">
        <v>5383547</v>
      </c>
      <c r="C2454" t="s">
        <v>8</v>
      </c>
      <c r="D2454" t="s">
        <v>8</v>
      </c>
      <c r="E2454" s="2" t="str">
        <f>HYPERLINK("https://ibp.a2mac1.com/costing(costing:projects/details/8191/assembly/5383688)","Head Rest")</f>
        <v>Head Rest</v>
      </c>
      <c r="F2454" t="s">
        <v>3300</v>
      </c>
    </row>
    <row r="2455" spans="1:6" ht="12.75">
      <c r="A2455">
        <v>5383958</v>
      </c>
      <c r="B2455">
        <v>5383688</v>
      </c>
      <c r="C2455" t="s">
        <v>8</v>
      </c>
      <c r="D2455" t="s">
        <v>8</v>
      </c>
      <c r="E2455" s="2" t="str">
        <f>HYPERLINK("https://ibp.a2mac1.com/costing(costing:projects/details/8191/assembly/5383958)","Inner Side")</f>
        <v>Inner Side</v>
      </c>
      <c r="F2455" t="s">
        <v>3301</v>
      </c>
    </row>
    <row r="2456" spans="1:6" ht="12.75">
      <c r="A2456">
        <v>5384076</v>
      </c>
      <c r="B2456">
        <v>5383958</v>
      </c>
      <c r="C2456" t="s">
        <v>12</v>
      </c>
      <c r="D2456" t="s">
        <v>8</v>
      </c>
      <c r="E2456" s="2" t="str">
        <f>HYPERLINK("https://ibp.a2mac1.com/costing(costing:projects/details/8191/part/5384076)","Cover")</f>
        <v>Cover</v>
      </c>
      <c r="F2456" t="s">
        <v>3302</v>
      </c>
    </row>
    <row r="2457" spans="1:6" ht="12.75">
      <c r="A2457">
        <v>6972346</v>
      </c>
      <c r="B2457">
        <v>5384076</v>
      </c>
      <c r="C2457" t="s">
        <v>99</v>
      </c>
      <c r="D2457" t="s">
        <v>12</v>
      </c>
      <c r="E2457" s="2" t="str">
        <f>HYPERLINK("https://ibp.a2mac1.com/costing(costing:projects/details/8191/process/6972346)","Cutting")</f>
        <v>Cutting</v>
      </c>
      <c r="F2457" t="s">
        <v>3303</v>
      </c>
    </row>
    <row r="2458" spans="1:6" ht="12.75">
      <c r="A2458">
        <v>5317108</v>
      </c>
      <c r="B2458">
        <v>6972346</v>
      </c>
      <c r="C2458" t="s">
        <v>24</v>
      </c>
      <c r="D2458" t="s">
        <v>99</v>
      </c>
      <c r="E2458" s="2" t="str">
        <f>HYPERLINK("https://ibp.a2mac1.com/costing(costing:projects/details/8191/material/5317108)","Mix Vinyl (80%)")</f>
        <v>Mix Vinyl (80%)</v>
      </c>
      <c r="F2458" t="s">
        <v>3306</v>
      </c>
    </row>
    <row r="2459" spans="1:6" ht="12.75">
      <c r="A2459">
        <v>6944847</v>
      </c>
      <c r="B2459">
        <v>6972346</v>
      </c>
      <c r="C2459" t="s">
        <v>189</v>
      </c>
      <c r="D2459" t="s">
        <v>99</v>
      </c>
      <c r="E2459" s="2" t="str">
        <f>HYPERLINK("https://ibp.a2mac1.com/costing(costing:projects/details/8191/equipment/6944847)","No.01 - Fabric Cutting")</f>
        <v>No.01 - Fabric Cutting</v>
      </c>
      <c r="F2459" t="s">
        <v>3306</v>
      </c>
    </row>
    <row r="2460" spans="1:6" ht="12.75">
      <c r="A2460">
        <v>6972347</v>
      </c>
      <c r="B2460">
        <v>5384076</v>
      </c>
      <c r="C2460" t="s">
        <v>99</v>
      </c>
      <c r="D2460" t="s">
        <v>12</v>
      </c>
      <c r="E2460" s="2" t="str">
        <f>HYPERLINK("https://ibp.a2mac1.com/costing(costing:projects/details/8191/process/6972347)","Sewing")</f>
        <v>Sewing</v>
      </c>
      <c r="F2460" t="s">
        <v>3303</v>
      </c>
    </row>
    <row r="2461" spans="1:6" ht="12.75">
      <c r="A2461">
        <v>6944848</v>
      </c>
      <c r="B2461">
        <v>6972347</v>
      </c>
      <c r="C2461" t="s">
        <v>189</v>
      </c>
      <c r="D2461" t="s">
        <v>99</v>
      </c>
      <c r="E2461" s="2" t="str">
        <f>HYPERLINK("https://ibp.a2mac1.com/costing(costing:projects/details/8191/equipment/6944848)","No.02 - Fabric Sewing")</f>
        <v>No.02 - Fabric Sewing</v>
      </c>
      <c r="F2461" t="s">
        <v>3307</v>
      </c>
    </row>
    <row r="2462" spans="1:6" ht="12.75">
      <c r="A2462">
        <v>5384077</v>
      </c>
      <c r="B2462">
        <v>5383958</v>
      </c>
      <c r="C2462" t="s">
        <v>12</v>
      </c>
      <c r="D2462" t="s">
        <v>8</v>
      </c>
      <c r="E2462" s="2" t="str">
        <f>HYPERLINK("https://ibp.a2mac1.com/costing(costing:projects/details/8191/part/5384077)","Padding")</f>
        <v>Padding</v>
      </c>
      <c r="F2462" t="s">
        <v>3302</v>
      </c>
    </row>
    <row r="2463" spans="1:6" ht="12.75">
      <c r="A2463">
        <v>6972348</v>
      </c>
      <c r="B2463">
        <v>5384077</v>
      </c>
      <c r="C2463" t="s">
        <v>99</v>
      </c>
      <c r="D2463" t="s">
        <v>12</v>
      </c>
      <c r="E2463" s="2" t="str">
        <f>HYPERLINK("https://ibp.a2mac1.com/costing(costing:projects/details/8191/process/6972348)","Automated Process")</f>
        <v>Automated Process</v>
      </c>
      <c r="F2463" t="s">
        <v>3309</v>
      </c>
    </row>
    <row r="2464" spans="1:6" ht="12.75">
      <c r="A2464">
        <v>5317109</v>
      </c>
      <c r="B2464">
        <v>6972348</v>
      </c>
      <c r="C2464" t="s">
        <v>24</v>
      </c>
      <c r="D2464" t="s">
        <v>99</v>
      </c>
      <c r="E2464" s="2" t="str">
        <f>HYPERLINK("https://ibp.a2mac1.com/costing(costing:projects/details/8191/material/5317109)","PUR")</f>
        <v>PUR</v>
      </c>
      <c r="F2464" t="s">
        <v>3310</v>
      </c>
    </row>
    <row r="2465" spans="1:6" ht="12.75">
      <c r="A2465">
        <v>6944849</v>
      </c>
      <c r="B2465">
        <v>6972348</v>
      </c>
      <c r="C2465" t="s">
        <v>189</v>
      </c>
      <c r="D2465" t="s">
        <v>99</v>
      </c>
      <c r="E2465" s="2" t="str">
        <f>HYPERLINK("https://ibp.a2mac1.com/costing(costing:projects/details/8191/equipment/6944849)","Equipment (Injection Molding)")</f>
        <v>Equipment (Injection Molding)</v>
      </c>
      <c r="F2465" t="s">
        <v>3310</v>
      </c>
    </row>
    <row r="2466" spans="1:6" ht="12.75">
      <c r="A2466">
        <v>5384078</v>
      </c>
      <c r="B2466">
        <v>5383958</v>
      </c>
      <c r="C2466" t="s">
        <v>12</v>
      </c>
      <c r="D2466" t="s">
        <v>8</v>
      </c>
      <c r="E2466" s="2" t="str">
        <f>HYPERLINK("https://ibp.a2mac1.com/costing(costing:projects/details/8191/part/5384078)","Frame")</f>
        <v>Frame</v>
      </c>
      <c r="F2466" t="s">
        <v>3302</v>
      </c>
    </row>
    <row r="2467" spans="1:6" ht="12.75">
      <c r="A2467">
        <v>6972349</v>
      </c>
      <c r="B2467">
        <v>5384078</v>
      </c>
      <c r="C2467" t="s">
        <v>99</v>
      </c>
      <c r="D2467" t="s">
        <v>12</v>
      </c>
      <c r="E2467" s="2" t="str">
        <f>HYPERLINK("https://ibp.a2mac1.com/costing(costing:projects/details/8191/process/6972349)","Automated Process")</f>
        <v>Automated Process</v>
      </c>
      <c r="F2467" t="s">
        <v>3312</v>
      </c>
    </row>
    <row r="2468" spans="1:6" ht="12.75">
      <c r="A2468">
        <v>5317110</v>
      </c>
      <c r="B2468">
        <v>6972349</v>
      </c>
      <c r="C2468" t="s">
        <v>24</v>
      </c>
      <c r="D2468" t="s">
        <v>99</v>
      </c>
      <c r="E2468" s="2" t="str">
        <f>HYPERLINK("https://ibp.a2mac1.com/costing(costing:projects/details/8191/material/5317110)","Steel Tube (default, chromed)")</f>
        <v>Steel Tube (default, chromed)</v>
      </c>
      <c r="F2468" t="s">
        <v>3315</v>
      </c>
    </row>
    <row r="2469" spans="1:6" ht="12.75">
      <c r="A2469">
        <v>6944850</v>
      </c>
      <c r="B2469">
        <v>6972349</v>
      </c>
      <c r="C2469" t="s">
        <v>189</v>
      </c>
      <c r="D2469" t="s">
        <v>99</v>
      </c>
      <c r="E2469" s="2" t="str">
        <f>HYPERLINK("https://ibp.a2mac1.com/costing(costing:projects/details/8191/equipment/6944850)","Equipment")</f>
        <v>Equipment</v>
      </c>
      <c r="F2469" t="s">
        <v>3315</v>
      </c>
    </row>
    <row r="2470" spans="1:6" ht="12.75">
      <c r="A2470">
        <v>5384079</v>
      </c>
      <c r="B2470">
        <v>5383958</v>
      </c>
      <c r="C2470" t="s">
        <v>12</v>
      </c>
      <c r="D2470" t="s">
        <v>8</v>
      </c>
      <c r="E2470" s="2" t="str">
        <f>HYPERLINK("https://ibp.a2mac1.com/costing(costing:projects/details/8191/part/5384079)","Reinforcement")</f>
        <v>Reinforcement</v>
      </c>
      <c r="F2470" t="s">
        <v>3302</v>
      </c>
    </row>
    <row r="2471" spans="1:6" ht="12.75">
      <c r="A2471">
        <v>6972350</v>
      </c>
      <c r="B2471">
        <v>5384079</v>
      </c>
      <c r="C2471" t="s">
        <v>99</v>
      </c>
      <c r="D2471" t="s">
        <v>12</v>
      </c>
      <c r="E2471" s="2" t="str">
        <f>HYPERLINK("https://ibp.a2mac1.com/costing(costing:projects/details/8191/process/6972350)","Automated Process")</f>
        <v>Automated Process</v>
      </c>
      <c r="F2471" t="s">
        <v>3317</v>
      </c>
    </row>
    <row r="2472" spans="1:6" ht="12.75">
      <c r="A2472">
        <v>5317111</v>
      </c>
      <c r="B2472">
        <v>6972350</v>
      </c>
      <c r="C2472" t="s">
        <v>24</v>
      </c>
      <c r="D2472" t="s">
        <v>99</v>
      </c>
      <c r="E2472" s="2" t="str">
        <f>HYPERLINK("https://ibp.a2mac1.com/costing(costing:projects/details/8191/material/5317111)","HDPE")</f>
        <v>HDPE</v>
      </c>
      <c r="F2472" t="s">
        <v>3320</v>
      </c>
    </row>
    <row r="2473" spans="1:6" ht="12.75">
      <c r="A2473">
        <v>6944851</v>
      </c>
      <c r="B2473">
        <v>6972350</v>
      </c>
      <c r="C2473" t="s">
        <v>189</v>
      </c>
      <c r="D2473" t="s">
        <v>99</v>
      </c>
      <c r="E2473" s="2" t="str">
        <f>HYPERLINK("https://ibp.a2mac1.com/costing(costing:projects/details/8191/equipment/6944851)","Equipment (Injection Molding)")</f>
        <v>Equipment (Injection Molding)</v>
      </c>
      <c r="F2473" t="s">
        <v>3320</v>
      </c>
    </row>
    <row r="2474" spans="1:6" ht="12.75">
      <c r="A2474">
        <v>5316914</v>
      </c>
      <c r="B2474">
        <v>5383958</v>
      </c>
      <c r="C2474" t="s">
        <v>574</v>
      </c>
      <c r="D2474" t="s">
        <v>8</v>
      </c>
      <c r="E2474" s="2" t="str">
        <f>HYPERLINK("https://ibp.a2mac1.com/costing(costing:projects/details/8191/component/5316914)","Pin clip &gt; Elastic pin")</f>
        <v>Pin clip &gt; Elastic pin</v>
      </c>
      <c r="F2474" t="s">
        <v>3302</v>
      </c>
    </row>
    <row r="2475" spans="1:6" ht="12.75">
      <c r="A2475">
        <v>5383959</v>
      </c>
      <c r="B2475">
        <v>5383688</v>
      </c>
      <c r="C2475" t="s">
        <v>8</v>
      </c>
      <c r="D2475" t="s">
        <v>8</v>
      </c>
      <c r="E2475" s="2" t="str">
        <f>HYPERLINK("https://ibp.a2mac1.com/costing(costing:projects/details/8191/assembly/5383959)","Outer Side")</f>
        <v>Outer Side</v>
      </c>
      <c r="F2475" t="s">
        <v>3301</v>
      </c>
    </row>
    <row r="2476" spans="1:6" ht="12.75">
      <c r="A2476">
        <v>5384080</v>
      </c>
      <c r="B2476">
        <v>5383959</v>
      </c>
      <c r="C2476" t="s">
        <v>12</v>
      </c>
      <c r="D2476" t="s">
        <v>8</v>
      </c>
      <c r="E2476" s="2" t="str">
        <f>HYPERLINK("https://ibp.a2mac1.com/costing(costing:projects/details/8191/part/5384080)","Cover")</f>
        <v>Cover</v>
      </c>
      <c r="F2476" t="s">
        <v>3323</v>
      </c>
    </row>
    <row r="2477" spans="1:6" ht="12.75">
      <c r="A2477">
        <v>6972351</v>
      </c>
      <c r="B2477">
        <v>5384080</v>
      </c>
      <c r="C2477" t="s">
        <v>99</v>
      </c>
      <c r="D2477" t="s">
        <v>12</v>
      </c>
      <c r="E2477" s="2" t="str">
        <f>HYPERLINK("https://ibp.a2mac1.com/costing(costing:projects/details/8191/process/6972351)","Cutting")</f>
        <v>Cutting</v>
      </c>
      <c r="F2477" t="s">
        <v>3324</v>
      </c>
    </row>
    <row r="2478" spans="1:6" ht="12.75">
      <c r="A2478">
        <v>5317112</v>
      </c>
      <c r="B2478">
        <v>6972351</v>
      </c>
      <c r="C2478" t="s">
        <v>24</v>
      </c>
      <c r="D2478" t="s">
        <v>99</v>
      </c>
      <c r="E2478" s="2" t="str">
        <f>HYPERLINK("https://ibp.a2mac1.com/costing(costing:projects/details/8191/material/5317112)","Mix Vinyl (80%)")</f>
        <v>Mix Vinyl (80%)</v>
      </c>
      <c r="F2478" t="s">
        <v>3325</v>
      </c>
    </row>
    <row r="2479" spans="1:6" ht="12.75">
      <c r="A2479">
        <v>6944852</v>
      </c>
      <c r="B2479">
        <v>6972351</v>
      </c>
      <c r="C2479" t="s">
        <v>189</v>
      </c>
      <c r="D2479" t="s">
        <v>99</v>
      </c>
      <c r="E2479" s="2" t="str">
        <f>HYPERLINK("https://ibp.a2mac1.com/costing(costing:projects/details/8191/equipment/6944852)","No.01 - Fabric Cutting")</f>
        <v>No.01 - Fabric Cutting</v>
      </c>
      <c r="F2479" t="s">
        <v>3325</v>
      </c>
    </row>
    <row r="2480" spans="1:6" ht="12.75">
      <c r="A2480">
        <v>6972352</v>
      </c>
      <c r="B2480">
        <v>5384080</v>
      </c>
      <c r="C2480" t="s">
        <v>99</v>
      </c>
      <c r="D2480" t="s">
        <v>12</v>
      </c>
      <c r="E2480" s="2" t="str">
        <f>HYPERLINK("https://ibp.a2mac1.com/costing(costing:projects/details/8191/process/6972352)","Sewing")</f>
        <v>Sewing</v>
      </c>
      <c r="F2480" t="s">
        <v>3324</v>
      </c>
    </row>
    <row r="2481" spans="1:6" ht="12.75">
      <c r="A2481">
        <v>6944853</v>
      </c>
      <c r="B2481">
        <v>6972352</v>
      </c>
      <c r="C2481" t="s">
        <v>189</v>
      </c>
      <c r="D2481" t="s">
        <v>99</v>
      </c>
      <c r="E2481" s="2" t="str">
        <f>HYPERLINK("https://ibp.a2mac1.com/costing(costing:projects/details/8191/equipment/6944853)","No.02 - Fabric Sewing")</f>
        <v>No.02 - Fabric Sewing</v>
      </c>
      <c r="F2481" t="s">
        <v>3326</v>
      </c>
    </row>
    <row r="2482" spans="1:6" ht="12.75">
      <c r="A2482">
        <v>5384081</v>
      </c>
      <c r="B2482">
        <v>5383959</v>
      </c>
      <c r="C2482" t="s">
        <v>12</v>
      </c>
      <c r="D2482" t="s">
        <v>8</v>
      </c>
      <c r="E2482" s="2" t="str">
        <f>HYPERLINK("https://ibp.a2mac1.com/costing(costing:projects/details/8191/part/5384081)","Padding")</f>
        <v>Padding</v>
      </c>
      <c r="F2482" t="s">
        <v>3323</v>
      </c>
    </row>
    <row r="2483" spans="1:6" ht="12.75">
      <c r="A2483">
        <v>6972353</v>
      </c>
      <c r="B2483">
        <v>5384081</v>
      </c>
      <c r="C2483" t="s">
        <v>99</v>
      </c>
      <c r="D2483" t="s">
        <v>12</v>
      </c>
      <c r="E2483" s="2" t="str">
        <f>HYPERLINK("https://ibp.a2mac1.com/costing(costing:projects/details/8191/process/6972353)","Automated Process")</f>
        <v>Automated Process</v>
      </c>
      <c r="F2483" t="s">
        <v>3327</v>
      </c>
    </row>
    <row r="2484" spans="1:6" ht="12.75">
      <c r="A2484">
        <v>5317113</v>
      </c>
      <c r="B2484">
        <v>6972353</v>
      </c>
      <c r="C2484" t="s">
        <v>24</v>
      </c>
      <c r="D2484" t="s">
        <v>99</v>
      </c>
      <c r="E2484" s="2" t="str">
        <f>HYPERLINK("https://ibp.a2mac1.com/costing(costing:projects/details/8191/material/5317113)","PUR")</f>
        <v>PUR</v>
      </c>
      <c r="F2484" t="s">
        <v>3328</v>
      </c>
    </row>
    <row r="2485" spans="1:6" ht="12.75">
      <c r="A2485">
        <v>6944854</v>
      </c>
      <c r="B2485">
        <v>6972353</v>
      </c>
      <c r="C2485" t="s">
        <v>189</v>
      </c>
      <c r="D2485" t="s">
        <v>99</v>
      </c>
      <c r="E2485" s="2" t="str">
        <f>HYPERLINK("https://ibp.a2mac1.com/costing(costing:projects/details/8191/equipment/6944854)","Equipment (Injection Molding)")</f>
        <v>Equipment (Injection Molding)</v>
      </c>
      <c r="F2485" t="s">
        <v>3328</v>
      </c>
    </row>
    <row r="2486" spans="1:6" ht="12.75">
      <c r="A2486">
        <v>5384082</v>
      </c>
      <c r="B2486">
        <v>5383959</v>
      </c>
      <c r="C2486" t="s">
        <v>12</v>
      </c>
      <c r="D2486" t="s">
        <v>8</v>
      </c>
      <c r="E2486" s="2" t="str">
        <f>HYPERLINK("https://ibp.a2mac1.com/costing(costing:projects/details/8191/part/5384082)","Frame")</f>
        <v>Frame</v>
      </c>
      <c r="F2486" t="s">
        <v>3323</v>
      </c>
    </row>
    <row r="2487" spans="1:6" ht="12.75">
      <c r="A2487">
        <v>6972354</v>
      </c>
      <c r="B2487">
        <v>5384082</v>
      </c>
      <c r="C2487" t="s">
        <v>99</v>
      </c>
      <c r="D2487" t="s">
        <v>12</v>
      </c>
      <c r="E2487" s="2" t="str">
        <f>HYPERLINK("https://ibp.a2mac1.com/costing(costing:projects/details/8191/process/6972354)","Automated Process")</f>
        <v>Automated Process</v>
      </c>
      <c r="F2487" t="s">
        <v>3329</v>
      </c>
    </row>
    <row r="2488" spans="1:6" ht="12.75">
      <c r="A2488">
        <v>5317158</v>
      </c>
      <c r="B2488">
        <v>6972354</v>
      </c>
      <c r="C2488" t="s">
        <v>24</v>
      </c>
      <c r="D2488" t="s">
        <v>99</v>
      </c>
      <c r="E2488" s="2" t="str">
        <f>HYPERLINK("https://ibp.a2mac1.com/costing(costing:projects/details/8191/material/5317158)","Steel Tube (default, chromed)")</f>
        <v>Steel Tube (default, chromed)</v>
      </c>
      <c r="F2488" t="s">
        <v>3330</v>
      </c>
    </row>
    <row r="2489" spans="1:6" ht="12.75">
      <c r="A2489">
        <v>6944855</v>
      </c>
      <c r="B2489">
        <v>6972354</v>
      </c>
      <c r="C2489" t="s">
        <v>189</v>
      </c>
      <c r="D2489" t="s">
        <v>99</v>
      </c>
      <c r="E2489" s="2" t="str">
        <f>HYPERLINK("https://ibp.a2mac1.com/costing(costing:projects/details/8191/equipment/6944855)","Equipment")</f>
        <v>Equipment</v>
      </c>
      <c r="F2489" t="s">
        <v>3330</v>
      </c>
    </row>
    <row r="2490" spans="1:6" ht="12.75">
      <c r="A2490">
        <v>5384083</v>
      </c>
      <c r="B2490">
        <v>5383959</v>
      </c>
      <c r="C2490" t="s">
        <v>12</v>
      </c>
      <c r="D2490" t="s">
        <v>8</v>
      </c>
      <c r="E2490" s="2" t="str">
        <f>HYPERLINK("https://ibp.a2mac1.com/costing(costing:projects/details/8191/part/5384083)","Reinforcement")</f>
        <v>Reinforcement</v>
      </c>
      <c r="F2490" t="s">
        <v>3323</v>
      </c>
    </row>
    <row r="2491" spans="1:6" ht="12.75">
      <c r="A2491">
        <v>6972355</v>
      </c>
      <c r="B2491">
        <v>5384083</v>
      </c>
      <c r="C2491" t="s">
        <v>99</v>
      </c>
      <c r="D2491" t="s">
        <v>12</v>
      </c>
      <c r="E2491" s="2" t="str">
        <f>HYPERLINK("https://ibp.a2mac1.com/costing(costing:projects/details/8191/process/6972355)","Automated Process")</f>
        <v>Automated Process</v>
      </c>
      <c r="F2491" t="s">
        <v>3331</v>
      </c>
    </row>
    <row r="2492" spans="1:6" ht="12.75">
      <c r="A2492">
        <v>5317159</v>
      </c>
      <c r="B2492">
        <v>6972355</v>
      </c>
      <c r="C2492" t="s">
        <v>24</v>
      </c>
      <c r="D2492" t="s">
        <v>99</v>
      </c>
      <c r="E2492" s="2" t="str">
        <f>HYPERLINK("https://ibp.a2mac1.com/costing(costing:projects/details/8191/material/5317159)","HDPE")</f>
        <v>HDPE</v>
      </c>
      <c r="F2492" t="s">
        <v>3332</v>
      </c>
    </row>
    <row r="2493" spans="1:6" ht="12.75">
      <c r="A2493">
        <v>6944856</v>
      </c>
      <c r="B2493">
        <v>6972355</v>
      </c>
      <c r="C2493" t="s">
        <v>189</v>
      </c>
      <c r="D2493" t="s">
        <v>99</v>
      </c>
      <c r="E2493" s="2" t="str">
        <f>HYPERLINK("https://ibp.a2mac1.com/costing(costing:projects/details/8191/equipment/6944856)","Equipment (Injection Molding)")</f>
        <v>Equipment (Injection Molding)</v>
      </c>
      <c r="F2493" t="s">
        <v>3332</v>
      </c>
    </row>
    <row r="2494" spans="1:6" ht="12.75">
      <c r="A2494">
        <v>5316915</v>
      </c>
      <c r="B2494">
        <v>5383959</v>
      </c>
      <c r="C2494" t="s">
        <v>574</v>
      </c>
      <c r="D2494" t="s">
        <v>8</v>
      </c>
      <c r="E2494" s="2" t="str">
        <f>HYPERLINK("https://ibp.a2mac1.com/costing(costing:projects/details/8191/component/5316915)","Pin clip &gt; Elastic pin")</f>
        <v>Pin clip &gt; Elastic pin</v>
      </c>
      <c r="F2494" t="s">
        <v>3323</v>
      </c>
    </row>
    <row r="2495" spans="1:6" ht="12.75">
      <c r="A2495">
        <v>5383689</v>
      </c>
      <c r="B2495">
        <v>5383547</v>
      </c>
      <c r="C2495" t="s">
        <v>8</v>
      </c>
      <c r="D2495" t="s">
        <v>8</v>
      </c>
      <c r="E2495" s="2" t="str">
        <f>HYPERLINK("https://ibp.a2mac1.com/costing(costing:projects/details/8191/assembly/5383689)","Back")</f>
        <v>Back</v>
      </c>
      <c r="F2495" t="s">
        <v>3300</v>
      </c>
    </row>
    <row r="2496" spans="1:6" ht="12.75">
      <c r="A2496">
        <v>5383965</v>
      </c>
      <c r="B2496">
        <v>5383689</v>
      </c>
      <c r="C2496" t="s">
        <v>8</v>
      </c>
      <c r="D2496" t="s">
        <v>8</v>
      </c>
      <c r="E2496" s="2" t="str">
        <f>HYPERLINK("https://ibp.a2mac1.com/costing(costing:projects/details/8191/assembly/5383965)","Head Rest Support")</f>
        <v>Head Rest Support</v>
      </c>
      <c r="F2496" t="s">
        <v>3335</v>
      </c>
    </row>
    <row r="2497" spans="1:6" ht="12.75">
      <c r="A2497">
        <v>5384084</v>
      </c>
      <c r="B2497">
        <v>5383965</v>
      </c>
      <c r="C2497" t="s">
        <v>12</v>
      </c>
      <c r="D2497" t="s">
        <v>8</v>
      </c>
      <c r="E2497" s="2" t="str">
        <f>HYPERLINK("https://ibp.a2mac1.com/costing(costing:projects/details/8191/part/5384084)","Lock Support")</f>
        <v>Lock Support</v>
      </c>
      <c r="F2497" t="s">
        <v>3336</v>
      </c>
    </row>
    <row r="2498" spans="1:6" ht="12.75">
      <c r="A2498">
        <v>6972356</v>
      </c>
      <c r="B2498">
        <v>5384084</v>
      </c>
      <c r="C2498" t="s">
        <v>99</v>
      </c>
      <c r="D2498" t="s">
        <v>12</v>
      </c>
      <c r="E2498" s="2" t="str">
        <f>HYPERLINK("https://ibp.a2mac1.com/costing(costing:projects/details/8191/process/6972356)","Automated Process")</f>
        <v>Automated Process</v>
      </c>
      <c r="F2498" t="s">
        <v>3337</v>
      </c>
    </row>
    <row r="2499" spans="1:6" ht="12.75">
      <c r="A2499">
        <v>5317160</v>
      </c>
      <c r="B2499">
        <v>6972356</v>
      </c>
      <c r="C2499" t="s">
        <v>24</v>
      </c>
      <c r="D2499" t="s">
        <v>99</v>
      </c>
      <c r="E2499" s="2" t="str">
        <f>HYPERLINK("https://ibp.a2mac1.com/costing(costing:projects/details/8191/material/5317160)","PP-PE")</f>
        <v>PP-PE</v>
      </c>
      <c r="F2499" t="s">
        <v>3338</v>
      </c>
    </row>
    <row r="2500" spans="1:6" ht="12.75">
      <c r="A2500">
        <v>6944857</v>
      </c>
      <c r="B2500">
        <v>6972356</v>
      </c>
      <c r="C2500" t="s">
        <v>189</v>
      </c>
      <c r="D2500" t="s">
        <v>99</v>
      </c>
      <c r="E2500" s="2" t="str">
        <f>HYPERLINK("https://ibp.a2mac1.com/costing(costing:projects/details/8191/equipment/6944857)","Equipment (Injection Molding)")</f>
        <v>Equipment (Injection Molding)</v>
      </c>
      <c r="F2500" t="s">
        <v>3338</v>
      </c>
    </row>
    <row r="2501" spans="1:6" ht="12.75">
      <c r="A2501">
        <v>5384085</v>
      </c>
      <c r="B2501">
        <v>5383965</v>
      </c>
      <c r="C2501" t="s">
        <v>12</v>
      </c>
      <c r="D2501" t="s">
        <v>8</v>
      </c>
      <c r="E2501" s="2" t="str">
        <f>HYPERLINK("https://ibp.a2mac1.com/costing(costing:projects/details/8191/part/5384085)","Simple Guide Support")</f>
        <v>Simple Guide Support</v>
      </c>
      <c r="F2501" t="s">
        <v>3336</v>
      </c>
    </row>
    <row r="2502" spans="1:6" ht="12.75">
      <c r="A2502">
        <v>6972357</v>
      </c>
      <c r="B2502">
        <v>5384085</v>
      </c>
      <c r="C2502" t="s">
        <v>99</v>
      </c>
      <c r="D2502" t="s">
        <v>12</v>
      </c>
      <c r="E2502" s="2" t="str">
        <f>HYPERLINK("https://ibp.a2mac1.com/costing(costing:projects/details/8191/process/6972357)","Automated Process")</f>
        <v>Automated Process</v>
      </c>
      <c r="F2502" t="s">
        <v>3340</v>
      </c>
    </row>
    <row r="2503" spans="1:6" ht="12.75">
      <c r="A2503">
        <v>5317161</v>
      </c>
      <c r="B2503">
        <v>6972357</v>
      </c>
      <c r="C2503" t="s">
        <v>24</v>
      </c>
      <c r="D2503" t="s">
        <v>99</v>
      </c>
      <c r="E2503" s="2" t="str">
        <f>HYPERLINK("https://ibp.a2mac1.com/costing(costing:projects/details/8191/material/5317161)","PP-PE")</f>
        <v>PP-PE</v>
      </c>
      <c r="F2503" t="s">
        <v>3341</v>
      </c>
    </row>
    <row r="2504" spans="1:6" ht="12.75">
      <c r="A2504">
        <v>6944858</v>
      </c>
      <c r="B2504">
        <v>6972357</v>
      </c>
      <c r="C2504" t="s">
        <v>189</v>
      </c>
      <c r="D2504" t="s">
        <v>99</v>
      </c>
      <c r="E2504" s="2" t="str">
        <f>HYPERLINK("https://ibp.a2mac1.com/costing(costing:projects/details/8191/equipment/6944858)","Equipment (Injection Molding)")</f>
        <v>Equipment (Injection Molding)</v>
      </c>
      <c r="F2504" t="s">
        <v>3341</v>
      </c>
    </row>
    <row r="2505" spans="1:6" ht="12.75">
      <c r="A2505">
        <v>5384086</v>
      </c>
      <c r="B2505">
        <v>5383965</v>
      </c>
      <c r="C2505" t="s">
        <v>12</v>
      </c>
      <c r="D2505" t="s">
        <v>8</v>
      </c>
      <c r="E2505" s="2" t="str">
        <f>HYPERLINK("https://ibp.a2mac1.com/costing(costing:projects/details/8191/part/5384086)","Center Lock Support if Different")</f>
        <v>Center Lock Support if Different</v>
      </c>
      <c r="F2505" t="s">
        <v>3336</v>
      </c>
    </row>
    <row r="2506" spans="1:6" ht="12.75">
      <c r="A2506">
        <v>6972358</v>
      </c>
      <c r="B2506">
        <v>5384086</v>
      </c>
      <c r="C2506" t="s">
        <v>99</v>
      </c>
      <c r="D2506" t="s">
        <v>12</v>
      </c>
      <c r="E2506" s="2" t="str">
        <f>HYPERLINK("https://ibp.a2mac1.com/costing(costing:projects/details/8191/process/6972358)","Automated Process")</f>
        <v>Automated Process</v>
      </c>
      <c r="F2506" t="s">
        <v>3343</v>
      </c>
    </row>
    <row r="2507" spans="1:6" ht="12.75">
      <c r="A2507">
        <v>5317162</v>
      </c>
      <c r="B2507">
        <v>6972358</v>
      </c>
      <c r="C2507" t="s">
        <v>24</v>
      </c>
      <c r="D2507" t="s">
        <v>99</v>
      </c>
      <c r="E2507" s="2" t="str">
        <f>HYPERLINK("https://ibp.a2mac1.com/costing(costing:projects/details/8191/material/5317162)","PP-PE")</f>
        <v>PP-PE</v>
      </c>
      <c r="F2507" t="s">
        <v>3344</v>
      </c>
    </row>
    <row r="2508" spans="1:6" ht="12.75">
      <c r="A2508">
        <v>6944859</v>
      </c>
      <c r="B2508">
        <v>6972358</v>
      </c>
      <c r="C2508" t="s">
        <v>189</v>
      </c>
      <c r="D2508" t="s">
        <v>99</v>
      </c>
      <c r="E2508" s="2" t="str">
        <f>HYPERLINK("https://ibp.a2mac1.com/costing(costing:projects/details/8191/equipment/6944859)","Equipment (Injection Molding)")</f>
        <v>Equipment (Injection Molding)</v>
      </c>
      <c r="F2508" t="s">
        <v>3344</v>
      </c>
    </row>
    <row r="2509" spans="1:6" ht="12.75">
      <c r="A2509">
        <v>5384087</v>
      </c>
      <c r="B2509">
        <v>5383965</v>
      </c>
      <c r="C2509" t="s">
        <v>12</v>
      </c>
      <c r="D2509" t="s">
        <v>8</v>
      </c>
      <c r="E2509" s="2" t="str">
        <f>HYPERLINK("https://ibp.a2mac1.com/costing(costing:projects/details/8191/part/5384087)","Center Simple Guide Support if Different")</f>
        <v>Center Simple Guide Support if Different</v>
      </c>
      <c r="F2509" t="s">
        <v>3336</v>
      </c>
    </row>
    <row r="2510" spans="1:6" ht="12.75">
      <c r="A2510">
        <v>6972359</v>
      </c>
      <c r="B2510">
        <v>5384087</v>
      </c>
      <c r="C2510" t="s">
        <v>99</v>
      </c>
      <c r="D2510" t="s">
        <v>12</v>
      </c>
      <c r="E2510" s="2" t="str">
        <f>HYPERLINK("https://ibp.a2mac1.com/costing(costing:projects/details/8191/process/6972359)","Automated Process")</f>
        <v>Automated Process</v>
      </c>
      <c r="F2510" t="s">
        <v>3346</v>
      </c>
    </row>
    <row r="2511" spans="1:6" ht="12.75">
      <c r="A2511">
        <v>5317163</v>
      </c>
      <c r="B2511">
        <v>6972359</v>
      </c>
      <c r="C2511" t="s">
        <v>24</v>
      </c>
      <c r="D2511" t="s">
        <v>99</v>
      </c>
      <c r="E2511" s="2" t="str">
        <f>HYPERLINK("https://ibp.a2mac1.com/costing(costing:projects/details/8191/material/5317163)","PP-PE")</f>
        <v>PP-PE</v>
      </c>
      <c r="F2511" t="s">
        <v>3347</v>
      </c>
    </row>
    <row r="2512" spans="1:6" ht="12.75">
      <c r="A2512">
        <v>6944860</v>
      </c>
      <c r="B2512">
        <v>6972359</v>
      </c>
      <c r="C2512" t="s">
        <v>189</v>
      </c>
      <c r="D2512" t="s">
        <v>99</v>
      </c>
      <c r="E2512" s="2" t="str">
        <f>HYPERLINK("https://ibp.a2mac1.com/costing(costing:projects/details/8191/equipment/6944860)","Equipment (Injection Molding)")</f>
        <v>Equipment (Injection Molding)</v>
      </c>
      <c r="F2512" t="s">
        <v>3347</v>
      </c>
    </row>
    <row r="2513" spans="1:6" ht="12.75">
      <c r="A2513">
        <v>5383966</v>
      </c>
      <c r="B2513">
        <v>5383689</v>
      </c>
      <c r="C2513" t="s">
        <v>8</v>
      </c>
      <c r="D2513" t="s">
        <v>8</v>
      </c>
      <c r="E2513" s="2" t="str">
        <f>HYPERLINK("https://ibp.a2mac1.com/costing(costing:projects/details/8191/assembly/5383966)","Unlocking System")</f>
        <v>Unlocking System</v>
      </c>
      <c r="F2513" t="s">
        <v>3335</v>
      </c>
    </row>
    <row r="2514" spans="1:6" ht="12.75">
      <c r="A2514">
        <v>5384088</v>
      </c>
      <c r="B2514">
        <v>5383966</v>
      </c>
      <c r="C2514" t="s">
        <v>12</v>
      </c>
      <c r="D2514" t="s">
        <v>8</v>
      </c>
      <c r="E2514" s="2" t="str">
        <f>HYPERLINK("https://ibp.a2mac1.com/costing(costing:projects/details/8191/part/5384088)","Lock")</f>
        <v>Lock</v>
      </c>
      <c r="F2514" t="s">
        <v>3350</v>
      </c>
    </row>
    <row r="2515" spans="1:6" ht="12.75">
      <c r="A2515">
        <v>5384089</v>
      </c>
      <c r="B2515">
        <v>5383966</v>
      </c>
      <c r="C2515" t="s">
        <v>12</v>
      </c>
      <c r="D2515" t="s">
        <v>8</v>
      </c>
      <c r="E2515" s="2" t="str">
        <f>HYPERLINK("https://ibp.a2mac1.com/costing(costing:projects/details/8191/part/5384089)","Lock Cover")</f>
        <v>Lock Cover</v>
      </c>
      <c r="F2515" t="s">
        <v>3350</v>
      </c>
    </row>
    <row r="2516" spans="1:6" ht="12.75">
      <c r="A2516">
        <v>6972360</v>
      </c>
      <c r="B2516">
        <v>5384089</v>
      </c>
      <c r="C2516" t="s">
        <v>99</v>
      </c>
      <c r="D2516" t="s">
        <v>12</v>
      </c>
      <c r="E2516" s="2" t="str">
        <f>HYPERLINK("https://ibp.a2mac1.com/costing(costing:projects/details/8191/process/6972360)","Automated Process")</f>
        <v>Automated Process</v>
      </c>
      <c r="F2516" t="s">
        <v>3353</v>
      </c>
    </row>
    <row r="2517" spans="1:6" ht="12.75">
      <c r="A2517">
        <v>5317164</v>
      </c>
      <c r="B2517">
        <v>6972360</v>
      </c>
      <c r="C2517" t="s">
        <v>24</v>
      </c>
      <c r="D2517" t="s">
        <v>99</v>
      </c>
      <c r="E2517" s="2" t="str">
        <f>HYPERLINK("https://ibp.a2mac1.com/costing(costing:projects/details/8191/material/5317164)","PC-ABS")</f>
        <v>PC-ABS</v>
      </c>
      <c r="F2517" t="s">
        <v>3355</v>
      </c>
    </row>
    <row r="2518" spans="1:6" ht="12.75">
      <c r="A2518">
        <v>6944861</v>
      </c>
      <c r="B2518">
        <v>6972360</v>
      </c>
      <c r="C2518" t="s">
        <v>189</v>
      </c>
      <c r="D2518" t="s">
        <v>99</v>
      </c>
      <c r="E2518" s="2" t="str">
        <f>HYPERLINK("https://ibp.a2mac1.com/costing(costing:projects/details/8191/equipment/6944861)","Equipment (Injection Molding)")</f>
        <v>Equipment (Injection Molding)</v>
      </c>
      <c r="F2518" t="s">
        <v>3355</v>
      </c>
    </row>
    <row r="2519" spans="1:6" ht="12.75">
      <c r="A2519">
        <v>5316916</v>
      </c>
      <c r="B2519">
        <v>5383966</v>
      </c>
      <c r="C2519" t="s">
        <v>574</v>
      </c>
      <c r="D2519" t="s">
        <v>8</v>
      </c>
      <c r="E2519" s="2" t="str">
        <f>HYPERLINK("https://ibp.a2mac1.com/costing(costing:projects/details/8191/component/5316916)","Screw &gt; 12 point socket head cap screw")</f>
        <v>Screw &gt; 12 point socket head cap screw</v>
      </c>
      <c r="F2519" t="s">
        <v>3350</v>
      </c>
    </row>
    <row r="2520" spans="1:6" ht="12.75">
      <c r="A2520">
        <v>5383967</v>
      </c>
      <c r="B2520">
        <v>5383689</v>
      </c>
      <c r="C2520" t="s">
        <v>8</v>
      </c>
      <c r="D2520" t="s">
        <v>8</v>
      </c>
      <c r="E2520" s="2" t="str">
        <f>HYPERLINK("https://ibp.a2mac1.com/costing(costing:projects/details/8191/assembly/5383967)","Anchor")</f>
        <v>Anchor</v>
      </c>
      <c r="F2520" t="s">
        <v>3335</v>
      </c>
    </row>
    <row r="2521" spans="1:6" ht="12.75">
      <c r="A2521">
        <v>5384090</v>
      </c>
      <c r="B2521">
        <v>5383967</v>
      </c>
      <c r="C2521" t="s">
        <v>12</v>
      </c>
      <c r="D2521" t="s">
        <v>8</v>
      </c>
      <c r="E2521" s="2" t="str">
        <f>HYPERLINK("https://ibp.a2mac1.com/costing(costing:projects/details/8191/part/5384090)","Center Bezel")</f>
        <v>Center Bezel</v>
      </c>
      <c r="F2521" t="s">
        <v>3358</v>
      </c>
    </row>
    <row r="2522" spans="1:6" ht="12.75">
      <c r="A2522">
        <v>6972361</v>
      </c>
      <c r="B2522">
        <v>5384090</v>
      </c>
      <c r="C2522" t="s">
        <v>99</v>
      </c>
      <c r="D2522" t="s">
        <v>12</v>
      </c>
      <c r="E2522" s="2" t="str">
        <f>HYPERLINK("https://ibp.a2mac1.com/costing(costing:projects/details/8191/process/6972361)","Automated Process")</f>
        <v>Automated Process</v>
      </c>
      <c r="F2522" t="s">
        <v>3359</v>
      </c>
    </row>
    <row r="2523" spans="1:6" ht="12.75">
      <c r="A2523">
        <v>5317165</v>
      </c>
      <c r="B2523">
        <v>6972361</v>
      </c>
      <c r="C2523" t="s">
        <v>24</v>
      </c>
      <c r="D2523" t="s">
        <v>99</v>
      </c>
      <c r="E2523" s="2" t="str">
        <f>HYPERLINK("https://ibp.a2mac1.com/costing(costing:projects/details/8191/material/5317165)","PP-PE")</f>
        <v>PP-PE</v>
      </c>
      <c r="F2523" t="s">
        <v>3362</v>
      </c>
    </row>
    <row r="2524" spans="1:6" ht="12.75">
      <c r="A2524">
        <v>6944862</v>
      </c>
      <c r="B2524">
        <v>6972361</v>
      </c>
      <c r="C2524" t="s">
        <v>189</v>
      </c>
      <c r="D2524" t="s">
        <v>99</v>
      </c>
      <c r="E2524" s="2" t="str">
        <f>HYPERLINK("https://ibp.a2mac1.com/costing(costing:projects/details/8191/equipment/6944862)","Equipment (Injection Molding)")</f>
        <v>Equipment (Injection Molding)</v>
      </c>
      <c r="F2524" t="s">
        <v>3362</v>
      </c>
    </row>
    <row r="2525" spans="1:6" ht="12.75">
      <c r="A2525">
        <v>5383968</v>
      </c>
      <c r="B2525">
        <v>5383689</v>
      </c>
      <c r="C2525" t="s">
        <v>8</v>
      </c>
      <c r="D2525" t="s">
        <v>8</v>
      </c>
      <c r="E2525" s="2" t="str">
        <f>HYPERLINK("https://ibp.a2mac1.com/costing(costing:projects/details/8191/assembly/5383968)","Ski Trap")</f>
        <v>Ski Trap</v>
      </c>
      <c r="F2525" t="s">
        <v>3335</v>
      </c>
    </row>
    <row r="2526" spans="1:6" ht="12.75">
      <c r="A2526">
        <v>5384091</v>
      </c>
      <c r="B2526">
        <v>5383968</v>
      </c>
      <c r="C2526" t="s">
        <v>12</v>
      </c>
      <c r="D2526" t="s">
        <v>8</v>
      </c>
      <c r="E2526" s="2" t="str">
        <f>HYPERLINK("https://ibp.a2mac1.com/costing(costing:projects/details/8191/part/5384091)","Load Through Lid")</f>
        <v>Load Through Lid</v>
      </c>
      <c r="F2526" t="s">
        <v>3365</v>
      </c>
    </row>
    <row r="2527" spans="1:6" ht="12.75">
      <c r="A2527">
        <v>6972362</v>
      </c>
      <c r="B2527">
        <v>5384091</v>
      </c>
      <c r="C2527" t="s">
        <v>99</v>
      </c>
      <c r="D2527" t="s">
        <v>12</v>
      </c>
      <c r="E2527" s="2" t="str">
        <f>HYPERLINK("https://ibp.a2mac1.com/costing(costing:projects/details/8191/process/6972362)","Automated Process")</f>
        <v>Automated Process</v>
      </c>
      <c r="F2527" t="s">
        <v>3366</v>
      </c>
    </row>
    <row r="2528" spans="1:6" ht="12.75">
      <c r="A2528">
        <v>5317166</v>
      </c>
      <c r="B2528">
        <v>6972362</v>
      </c>
      <c r="C2528" t="s">
        <v>24</v>
      </c>
      <c r="D2528" t="s">
        <v>99</v>
      </c>
      <c r="E2528" s="2" t="str">
        <f>HYPERLINK("https://ibp.a2mac1.com/costing(costing:projects/details/8191/material/5317166)","ABS")</f>
        <v>ABS</v>
      </c>
      <c r="F2528" t="s">
        <v>3369</v>
      </c>
    </row>
    <row r="2529" spans="1:6" ht="12.75">
      <c r="A2529">
        <v>6944863</v>
      </c>
      <c r="B2529">
        <v>6972362</v>
      </c>
      <c r="C2529" t="s">
        <v>189</v>
      </c>
      <c r="D2529" t="s">
        <v>99</v>
      </c>
      <c r="E2529" s="2" t="str">
        <f>HYPERLINK("https://ibp.a2mac1.com/costing(costing:projects/details/8191/equipment/6944863)","Equipment (Injection Molding)")</f>
        <v>Equipment (Injection Molding)</v>
      </c>
      <c r="F2529" t="s">
        <v>3369</v>
      </c>
    </row>
    <row r="2530" spans="1:6" ht="12.75">
      <c r="A2530">
        <v>5384092</v>
      </c>
      <c r="B2530">
        <v>5383968</v>
      </c>
      <c r="C2530" t="s">
        <v>12</v>
      </c>
      <c r="D2530" t="s">
        <v>8</v>
      </c>
      <c r="E2530" s="2" t="str">
        <f>HYPERLINK("https://ibp.a2mac1.com/costing(costing:projects/details/8191/part/5384092)","Bezel")</f>
        <v>Bezel</v>
      </c>
      <c r="F2530" t="s">
        <v>3365</v>
      </c>
    </row>
    <row r="2531" spans="1:6" ht="12.75">
      <c r="A2531">
        <v>6972363</v>
      </c>
      <c r="B2531">
        <v>5384092</v>
      </c>
      <c r="C2531" t="s">
        <v>99</v>
      </c>
      <c r="D2531" t="s">
        <v>12</v>
      </c>
      <c r="E2531" s="2" t="str">
        <f>HYPERLINK("https://ibp.a2mac1.com/costing(costing:projects/details/8191/process/6972363)","Automated Process")</f>
        <v>Automated Process</v>
      </c>
      <c r="F2531" t="s">
        <v>3371</v>
      </c>
    </row>
    <row r="2532" spans="1:6" ht="12.75">
      <c r="A2532">
        <v>5317167</v>
      </c>
      <c r="B2532">
        <v>6972363</v>
      </c>
      <c r="C2532" t="s">
        <v>24</v>
      </c>
      <c r="D2532" t="s">
        <v>99</v>
      </c>
      <c r="E2532" s="2" t="str">
        <f>HYPERLINK("https://ibp.a2mac1.com/costing(costing:projects/details/8191/material/5317167)","ABS")</f>
        <v>ABS</v>
      </c>
      <c r="F2532" t="s">
        <v>3374</v>
      </c>
    </row>
    <row r="2533" spans="1:6" ht="12.75">
      <c r="A2533">
        <v>6944864</v>
      </c>
      <c r="B2533">
        <v>6972363</v>
      </c>
      <c r="C2533" t="s">
        <v>189</v>
      </c>
      <c r="D2533" t="s">
        <v>99</v>
      </c>
      <c r="E2533" s="2" t="str">
        <f>HYPERLINK("https://ibp.a2mac1.com/costing(costing:projects/details/8191/equipment/6944864)","Equipment (Injection Molding)")</f>
        <v>Equipment (Injection Molding)</v>
      </c>
      <c r="F2533" t="s">
        <v>3374</v>
      </c>
    </row>
    <row r="2534" spans="1:6" ht="12.75">
      <c r="A2534">
        <v>5384093</v>
      </c>
      <c r="B2534">
        <v>5383968</v>
      </c>
      <c r="C2534" t="s">
        <v>12</v>
      </c>
      <c r="D2534" t="s">
        <v>8</v>
      </c>
      <c r="E2534" s="2" t="str">
        <f>HYPERLINK("https://ibp.a2mac1.com/costing(costing:projects/details/8191/part/5384093)","Rear Trim")</f>
        <v>Rear Trim</v>
      </c>
      <c r="F2534" t="s">
        <v>3365</v>
      </c>
    </row>
    <row r="2535" spans="1:6" ht="12.75">
      <c r="A2535">
        <v>6972364</v>
      </c>
      <c r="B2535">
        <v>5384093</v>
      </c>
      <c r="C2535" t="s">
        <v>99</v>
      </c>
      <c r="D2535" t="s">
        <v>12</v>
      </c>
      <c r="E2535" s="2" t="str">
        <f>HYPERLINK("https://ibp.a2mac1.com/costing(costing:projects/details/8191/process/6972364)","Automated Process")</f>
        <v>Automated Process</v>
      </c>
      <c r="F2535" t="s">
        <v>3376</v>
      </c>
    </row>
    <row r="2536" spans="1:6" ht="12.75">
      <c r="A2536">
        <v>5317168</v>
      </c>
      <c r="B2536">
        <v>6972364</v>
      </c>
      <c r="C2536" t="s">
        <v>24</v>
      </c>
      <c r="D2536" t="s">
        <v>99</v>
      </c>
      <c r="E2536" s="2" t="str">
        <f>HYPERLINK("https://ibp.a2mac1.com/costing(costing:projects/details/8191/material/5317168)","ABS")</f>
        <v>ABS</v>
      </c>
      <c r="F2536" t="s">
        <v>3379</v>
      </c>
    </row>
    <row r="2537" spans="1:6" ht="12.75">
      <c r="A2537">
        <v>6944865</v>
      </c>
      <c r="B2537">
        <v>6972364</v>
      </c>
      <c r="C2537" t="s">
        <v>189</v>
      </c>
      <c r="D2537" t="s">
        <v>99</v>
      </c>
      <c r="E2537" s="2" t="str">
        <f>HYPERLINK("https://ibp.a2mac1.com/costing(costing:projects/details/8191/equipment/6944865)","Equipment (Injection Molding)")</f>
        <v>Equipment (Injection Molding)</v>
      </c>
      <c r="F2537" t="s">
        <v>3379</v>
      </c>
    </row>
    <row r="2538" spans="1:6" ht="12.75">
      <c r="A2538">
        <v>5384094</v>
      </c>
      <c r="B2538">
        <v>5383968</v>
      </c>
      <c r="C2538" t="s">
        <v>12</v>
      </c>
      <c r="D2538" t="s">
        <v>8</v>
      </c>
      <c r="E2538" s="2" t="str">
        <f>HYPERLINK("https://ibp.a2mac1.com/costing(costing:projects/details/8191/part/5384094)","Frame")</f>
        <v>Frame</v>
      </c>
      <c r="F2538" t="s">
        <v>3365</v>
      </c>
    </row>
    <row r="2539" spans="1:6" ht="12.75">
      <c r="A2539">
        <v>6972365</v>
      </c>
      <c r="B2539">
        <v>5384094</v>
      </c>
      <c r="C2539" t="s">
        <v>99</v>
      </c>
      <c r="D2539" t="s">
        <v>12</v>
      </c>
      <c r="E2539" s="2" t="str">
        <f>HYPERLINK("https://ibp.a2mac1.com/costing(costing:projects/details/8191/process/6972365)","Automated Process")</f>
        <v>Automated Process</v>
      </c>
      <c r="F2539" t="s">
        <v>3381</v>
      </c>
    </row>
    <row r="2540" spans="1:6" ht="12.75">
      <c r="A2540">
        <v>5317169</v>
      </c>
      <c r="B2540">
        <v>6972365</v>
      </c>
      <c r="C2540" t="s">
        <v>24</v>
      </c>
      <c r="D2540" t="s">
        <v>99</v>
      </c>
      <c r="E2540" s="2" t="str">
        <f>HYPERLINK("https://ibp.a2mac1.com/costing(costing:projects/details/8191/material/5317169)","Steel sheet (default)")</f>
        <v>Steel sheet (default)</v>
      </c>
      <c r="F2540" t="s">
        <v>3384</v>
      </c>
    </row>
    <row r="2541" spans="1:6" ht="12.75">
      <c r="A2541">
        <v>5317170</v>
      </c>
      <c r="B2541">
        <v>6972365</v>
      </c>
      <c r="C2541" t="s">
        <v>24</v>
      </c>
      <c r="D2541" t="s">
        <v>99</v>
      </c>
      <c r="E2541" s="2" t="str">
        <f>HYPERLINK("https://ibp.a2mac1.com/costing(costing:projects/details/8191/material/5317170)","Cataphoresis paint")</f>
        <v>Cataphoresis paint</v>
      </c>
      <c r="F2541" t="s">
        <v>3384</v>
      </c>
    </row>
    <row r="2542" spans="1:6" ht="12.75">
      <c r="A2542">
        <v>6944866</v>
      </c>
      <c r="B2542">
        <v>6972365</v>
      </c>
      <c r="C2542" t="s">
        <v>189</v>
      </c>
      <c r="D2542" t="s">
        <v>99</v>
      </c>
      <c r="E2542" s="2" t="str">
        <f>HYPERLINK("https://ibp.a2mac1.com/costing(costing:projects/details/8191/equipment/6944866)","Equipment")</f>
        <v>Equipment</v>
      </c>
      <c r="F2542" t="s">
        <v>3384</v>
      </c>
    </row>
    <row r="2543" spans="1:6" ht="12.75">
      <c r="A2543">
        <v>5384095</v>
      </c>
      <c r="B2543">
        <v>5383968</v>
      </c>
      <c r="C2543" t="s">
        <v>12</v>
      </c>
      <c r="D2543" t="s">
        <v>8</v>
      </c>
      <c r="E2543" s="2" t="str">
        <f>HYPERLINK("https://ibp.a2mac1.com/costing(costing:projects/details/8191/part/5384095)","Lock Mechanism")</f>
        <v>Lock Mechanism</v>
      </c>
      <c r="F2543" t="s">
        <v>3365</v>
      </c>
    </row>
    <row r="2544" spans="1:6" ht="12.75">
      <c r="A2544">
        <v>6972366</v>
      </c>
      <c r="B2544">
        <v>5384095</v>
      </c>
      <c r="C2544" t="s">
        <v>99</v>
      </c>
      <c r="D2544" t="s">
        <v>12</v>
      </c>
      <c r="E2544" s="2" t="str">
        <f>HYPERLINK("https://ibp.a2mac1.com/costing(costing:projects/details/8191/process/6972366)","Automated Process")</f>
        <v>Automated Process</v>
      </c>
      <c r="F2544" t="s">
        <v>3388</v>
      </c>
    </row>
    <row r="2545" spans="1:6" ht="12.75">
      <c r="A2545">
        <v>5317171</v>
      </c>
      <c r="B2545">
        <v>6972366</v>
      </c>
      <c r="C2545" t="s">
        <v>24</v>
      </c>
      <c r="D2545" t="s">
        <v>99</v>
      </c>
      <c r="E2545" s="2" t="str">
        <f>HYPERLINK("https://ibp.a2mac1.com/costing(costing:projects/details/8191/material/5317171)","POM")</f>
        <v>POM</v>
      </c>
      <c r="F2545" t="s">
        <v>3391</v>
      </c>
    </row>
    <row r="2546" spans="1:6" ht="12.75">
      <c r="A2546">
        <v>5317172</v>
      </c>
      <c r="B2546">
        <v>6972366</v>
      </c>
      <c r="C2546" t="s">
        <v>24</v>
      </c>
      <c r="D2546" t="s">
        <v>99</v>
      </c>
      <c r="E2546" s="2" t="str">
        <f>HYPERLINK("https://ibp.a2mac1.com/costing(costing:projects/details/8191/material/5317172)","PA6")</f>
        <v>PA6</v>
      </c>
      <c r="F2546" t="s">
        <v>3391</v>
      </c>
    </row>
    <row r="2547" spans="1:6" ht="12.75">
      <c r="A2547">
        <v>5317173</v>
      </c>
      <c r="B2547">
        <v>6972366</v>
      </c>
      <c r="C2547" t="s">
        <v>24</v>
      </c>
      <c r="D2547" t="s">
        <v>99</v>
      </c>
      <c r="E2547" s="2" t="str">
        <f>HYPERLINK("https://ibp.a2mac1.com/costing(costing:projects/details/8191/material/5317173)","PC-ABS")</f>
        <v>PC-ABS</v>
      </c>
      <c r="F2547" t="s">
        <v>3391</v>
      </c>
    </row>
    <row r="2548" spans="1:6" ht="12.75">
      <c r="A2548">
        <v>6944867</v>
      </c>
      <c r="B2548">
        <v>6972366</v>
      </c>
      <c r="C2548" t="s">
        <v>189</v>
      </c>
      <c r="D2548" t="s">
        <v>99</v>
      </c>
      <c r="E2548" s="2" t="str">
        <f>HYPERLINK("https://ibp.a2mac1.com/costing(costing:projects/details/8191/equipment/6944867)","Equipment (Injection Molding)")</f>
        <v>Equipment (Injection Molding)</v>
      </c>
      <c r="F2548" t="s">
        <v>3391</v>
      </c>
    </row>
    <row r="2549" spans="1:6" ht="12.75">
      <c r="A2549">
        <v>6944868</v>
      </c>
      <c r="B2549">
        <v>6972366</v>
      </c>
      <c r="C2549" t="s">
        <v>189</v>
      </c>
      <c r="D2549" t="s">
        <v>99</v>
      </c>
      <c r="E2549" s="2" t="str">
        <f>HYPERLINK("https://ibp.a2mac1.com/costing(costing:projects/details/8191/equipment/6944868)","Equipment (Injection Molding)")</f>
        <v>Equipment (Injection Molding)</v>
      </c>
      <c r="F2549" t="s">
        <v>3391</v>
      </c>
    </row>
    <row r="2550" spans="1:6" ht="12.75">
      <c r="A2550">
        <v>6944869</v>
      </c>
      <c r="B2550">
        <v>6972366</v>
      </c>
      <c r="C2550" t="s">
        <v>189</v>
      </c>
      <c r="D2550" t="s">
        <v>99</v>
      </c>
      <c r="E2550" s="2" t="str">
        <f>HYPERLINK("https://ibp.a2mac1.com/costing(costing:projects/details/8191/equipment/6944869)","Equipment (Injection Molding)")</f>
        <v>Equipment (Injection Molding)</v>
      </c>
      <c r="F2550" t="s">
        <v>3391</v>
      </c>
    </row>
    <row r="2551" spans="1:6" ht="12.75">
      <c r="A2551">
        <v>5384096</v>
      </c>
      <c r="B2551">
        <v>5383968</v>
      </c>
      <c r="C2551" t="s">
        <v>12</v>
      </c>
      <c r="D2551" t="s">
        <v>8</v>
      </c>
      <c r="E2551" s="2" t="str">
        <f>HYPERLINK("https://ibp.a2mac1.com/costing(costing:projects/details/8191/part/5384096)","Handle")</f>
        <v>Handle</v>
      </c>
      <c r="F2551" t="s">
        <v>3365</v>
      </c>
    </row>
    <row r="2552" spans="1:6" ht="12.75">
      <c r="A2552">
        <v>6972367</v>
      </c>
      <c r="B2552">
        <v>5384096</v>
      </c>
      <c r="C2552" t="s">
        <v>99</v>
      </c>
      <c r="D2552" t="s">
        <v>12</v>
      </c>
      <c r="E2552" s="2" t="str">
        <f>HYPERLINK("https://ibp.a2mac1.com/costing(costing:projects/details/8191/process/6972367)","Automated Process")</f>
        <v>Automated Process</v>
      </c>
      <c r="F2552" t="s">
        <v>3394</v>
      </c>
    </row>
    <row r="2553" spans="1:6" ht="12.75">
      <c r="A2553">
        <v>5317174</v>
      </c>
      <c r="B2553">
        <v>6972367</v>
      </c>
      <c r="C2553" t="s">
        <v>24</v>
      </c>
      <c r="D2553" t="s">
        <v>99</v>
      </c>
      <c r="E2553" s="2" t="str">
        <f>HYPERLINK("https://ibp.a2mac1.com/costing(costing:projects/details/8191/material/5317174)","ABS")</f>
        <v>ABS</v>
      </c>
      <c r="F2553" t="s">
        <v>3397</v>
      </c>
    </row>
    <row r="2554" spans="1:6" ht="12.75">
      <c r="A2554">
        <v>6944870</v>
      </c>
      <c r="B2554">
        <v>6972367</v>
      </c>
      <c r="C2554" t="s">
        <v>189</v>
      </c>
      <c r="D2554" t="s">
        <v>99</v>
      </c>
      <c r="E2554" s="2" t="str">
        <f>HYPERLINK("https://ibp.a2mac1.com/costing(costing:projects/details/8191/equipment/6944870)","Equipment (Injection Molding)")</f>
        <v>Equipment (Injection Molding)</v>
      </c>
      <c r="F2554" t="s">
        <v>3397</v>
      </c>
    </row>
    <row r="2555" spans="1:6" ht="12.75">
      <c r="A2555">
        <v>5384097</v>
      </c>
      <c r="B2555">
        <v>5383968</v>
      </c>
      <c r="C2555" t="s">
        <v>12</v>
      </c>
      <c r="D2555" t="s">
        <v>8</v>
      </c>
      <c r="E2555" s="2" t="str">
        <f>HYPERLINK("https://ibp.a2mac1.com/costing(costing:projects/details/8191/part/5384097)","Anchor Covers")</f>
        <v>Anchor Covers</v>
      </c>
      <c r="F2555" t="s">
        <v>3365</v>
      </c>
    </row>
    <row r="2556" spans="1:6" ht="12.75">
      <c r="A2556">
        <v>6972368</v>
      </c>
      <c r="B2556">
        <v>5384097</v>
      </c>
      <c r="C2556" t="s">
        <v>99</v>
      </c>
      <c r="D2556" t="s">
        <v>12</v>
      </c>
      <c r="E2556" s="2" t="str">
        <f>HYPERLINK("https://ibp.a2mac1.com/costing(costing:projects/details/8191/process/6972368)","Automated Process")</f>
        <v>Automated Process</v>
      </c>
      <c r="F2556" t="s">
        <v>3399</v>
      </c>
    </row>
    <row r="2557" spans="1:6" ht="12.75">
      <c r="A2557">
        <v>5317175</v>
      </c>
      <c r="B2557">
        <v>6972368</v>
      </c>
      <c r="C2557" t="s">
        <v>24</v>
      </c>
      <c r="D2557" t="s">
        <v>99</v>
      </c>
      <c r="E2557" s="2" t="str">
        <f>HYPERLINK("https://ibp.a2mac1.com/costing(costing:projects/details/8191/material/5317175)","ABS")</f>
        <v>ABS</v>
      </c>
      <c r="F2557" t="s">
        <v>3400</v>
      </c>
    </row>
    <row r="2558" spans="1:6" ht="12.75">
      <c r="A2558">
        <v>6944871</v>
      </c>
      <c r="B2558">
        <v>6972368</v>
      </c>
      <c r="C2558" t="s">
        <v>189</v>
      </c>
      <c r="D2558" t="s">
        <v>99</v>
      </c>
      <c r="E2558" s="2" t="str">
        <f>HYPERLINK("https://ibp.a2mac1.com/costing(costing:projects/details/8191/equipment/6944871)","Equipment (Injection Molding)")</f>
        <v>Equipment (Injection Molding)</v>
      </c>
      <c r="F2558" t="s">
        <v>3400</v>
      </c>
    </row>
    <row r="2559" spans="1:6" ht="12.75">
      <c r="A2559">
        <v>5384098</v>
      </c>
      <c r="B2559">
        <v>5383968</v>
      </c>
      <c r="C2559" t="s">
        <v>12</v>
      </c>
      <c r="D2559" t="s">
        <v>8</v>
      </c>
      <c r="E2559" s="2" t="str">
        <f>HYPERLINK("https://ibp.a2mac1.com/costing(costing:projects/details/8191/part/5384098)","Rear frame panel")</f>
        <v>Rear frame panel</v>
      </c>
      <c r="F2559" t="s">
        <v>3365</v>
      </c>
    </row>
    <row r="2560" spans="1:6" ht="12.75">
      <c r="A2560">
        <v>6972369</v>
      </c>
      <c r="B2560">
        <v>5384098</v>
      </c>
      <c r="C2560" t="s">
        <v>99</v>
      </c>
      <c r="D2560" t="s">
        <v>12</v>
      </c>
      <c r="E2560" s="2" t="str">
        <f>HYPERLINK("https://ibp.a2mac1.com/costing(costing:projects/details/8191/process/6972369)","Automated Process")</f>
        <v>Automated Process</v>
      </c>
      <c r="F2560" t="s">
        <v>3402</v>
      </c>
    </row>
    <row r="2561" spans="1:6" ht="12.75">
      <c r="A2561">
        <v>5317176</v>
      </c>
      <c r="B2561">
        <v>6972369</v>
      </c>
      <c r="C2561" t="s">
        <v>24</v>
      </c>
      <c r="D2561" t="s">
        <v>99</v>
      </c>
      <c r="E2561" s="2" t="str">
        <f>HYPERLINK("https://ibp.a2mac1.com/costing(costing:projects/details/8191/material/5317176)","Carpet")</f>
        <v>Carpet</v>
      </c>
      <c r="F2561" t="s">
        <v>3404</v>
      </c>
    </row>
    <row r="2562" spans="1:6" ht="12.75">
      <c r="A2562">
        <v>6944872</v>
      </c>
      <c r="B2562">
        <v>6972369</v>
      </c>
      <c r="C2562" t="s">
        <v>189</v>
      </c>
      <c r="D2562" t="s">
        <v>99</v>
      </c>
      <c r="E2562" s="2" t="str">
        <f>HYPERLINK("https://ibp.a2mac1.com/costing(costing:projects/details/8191/equipment/6944872)","Equipment")</f>
        <v>Equipment</v>
      </c>
      <c r="F2562" t="s">
        <v>3404</v>
      </c>
    </row>
    <row r="2563" spans="1:6" ht="12.75">
      <c r="A2563">
        <v>5316917</v>
      </c>
      <c r="B2563">
        <v>5383968</v>
      </c>
      <c r="C2563" t="s">
        <v>574</v>
      </c>
      <c r="D2563" t="s">
        <v>8</v>
      </c>
      <c r="E2563" s="2" t="str">
        <f>HYPERLINK("https://ibp.a2mac1.com/costing(costing:projects/details/8191/component/5316917)","Other fastener &gt; Attachment")</f>
        <v>Other fastener &gt; Attachment</v>
      </c>
      <c r="F2563" t="s">
        <v>3365</v>
      </c>
    </row>
    <row r="2564" spans="1:6" ht="12.75">
      <c r="A2564">
        <v>5316918</v>
      </c>
      <c r="B2564">
        <v>5383968</v>
      </c>
      <c r="C2564" t="s">
        <v>574</v>
      </c>
      <c r="D2564" t="s">
        <v>8</v>
      </c>
      <c r="E2564" s="2" t="str">
        <f>HYPERLINK("https://ibp.a2mac1.com/costing(costing:projects/details/8191/component/5316918)","Other fastener &gt; Snap Tooling")</f>
        <v>Other fastener &gt; Snap Tooling</v>
      </c>
      <c r="F2564" t="s">
        <v>3365</v>
      </c>
    </row>
    <row r="2565" spans="1:6" ht="12.75">
      <c r="A2565">
        <v>5316919</v>
      </c>
      <c r="B2565">
        <v>5383968</v>
      </c>
      <c r="C2565" t="s">
        <v>574</v>
      </c>
      <c r="D2565" t="s">
        <v>8</v>
      </c>
      <c r="E2565" s="2" t="str">
        <f>HYPERLINK("https://ibp.a2mac1.com/costing(costing:projects/details/8191/component/5316919)","Screw &gt; Torx socket head cap screw with flange")</f>
        <v>Screw &gt; Torx socket head cap screw with flange</v>
      </c>
      <c r="F2565" t="s">
        <v>3365</v>
      </c>
    </row>
    <row r="2566" spans="1:6" ht="12.75">
      <c r="A2566">
        <v>5316920</v>
      </c>
      <c r="B2566">
        <v>5383968</v>
      </c>
      <c r="C2566" t="s">
        <v>574</v>
      </c>
      <c r="D2566" t="s">
        <v>8</v>
      </c>
      <c r="E2566" s="2" t="str">
        <f>HYPERLINK("https://ibp.a2mac1.com/costing(costing:projects/details/8191/component/5316920)","Other fastener &gt; Snap Tooling")</f>
        <v>Other fastener &gt; Snap Tooling</v>
      </c>
      <c r="F2566" t="s">
        <v>3365</v>
      </c>
    </row>
    <row r="2567" spans="1:6" ht="12.75">
      <c r="A2567">
        <v>5383969</v>
      </c>
      <c r="B2567">
        <v>5383689</v>
      </c>
      <c r="C2567" t="s">
        <v>8</v>
      </c>
      <c r="D2567" t="s">
        <v>8</v>
      </c>
      <c r="E2567" s="2" t="str">
        <f>HYPERLINK("https://ibp.a2mac1.com/costing(costing:projects/details/8191/assembly/5383969)","Armrest")</f>
        <v>Armrest</v>
      </c>
      <c r="F2567" t="s">
        <v>3335</v>
      </c>
    </row>
    <row r="2568" spans="1:6" ht="12.75">
      <c r="A2568">
        <v>5384101</v>
      </c>
      <c r="B2568">
        <v>5383969</v>
      </c>
      <c r="C2568" t="s">
        <v>8</v>
      </c>
      <c r="D2568" t="s">
        <v>8</v>
      </c>
      <c r="E2568" s="2" t="str">
        <f>HYPERLINK("https://ibp.a2mac1.com/costing(costing:projects/details/8191/assembly/5384101)","Mounting Bracket Cover")</f>
        <v>Mounting Bracket Cover</v>
      </c>
      <c r="F2568" t="s">
        <v>3407</v>
      </c>
    </row>
    <row r="2569" spans="1:6" ht="12.75">
      <c r="A2569">
        <v>5384255</v>
      </c>
      <c r="B2569">
        <v>5384101</v>
      </c>
      <c r="C2569" t="s">
        <v>12</v>
      </c>
      <c r="D2569" t="s">
        <v>8</v>
      </c>
      <c r="E2569" s="2" t="str">
        <f>HYPERLINK("https://ibp.a2mac1.com/costing(costing:projects/details/8191/part/5384255)","Interior")</f>
        <v>Interior</v>
      </c>
      <c r="F2569" t="s">
        <v>3408</v>
      </c>
    </row>
    <row r="2570" spans="1:6" ht="12.75">
      <c r="A2570">
        <v>6972573</v>
      </c>
      <c r="B2570">
        <v>5384255</v>
      </c>
      <c r="C2570" t="s">
        <v>99</v>
      </c>
      <c r="D2570" t="s">
        <v>12</v>
      </c>
      <c r="E2570" s="2" t="str">
        <f>HYPERLINK("https://ibp.a2mac1.com/costing(costing:projects/details/8191/process/6972573)","Automated Process")</f>
        <v>Automated Process</v>
      </c>
      <c r="F2570" t="s">
        <v>3409</v>
      </c>
    </row>
    <row r="2571" spans="1:6" ht="12.75">
      <c r="A2571">
        <v>5317184</v>
      </c>
      <c r="B2571">
        <v>6972573</v>
      </c>
      <c r="C2571" t="s">
        <v>24</v>
      </c>
      <c r="D2571" t="s">
        <v>99</v>
      </c>
      <c r="E2571" s="2" t="str">
        <f>HYPERLINK("https://ibp.a2mac1.com/costing(costing:projects/details/8191/material/5317184)","POM")</f>
        <v>POM</v>
      </c>
      <c r="F2571" t="s">
        <v>3411</v>
      </c>
    </row>
    <row r="2572" spans="1:6" ht="12.75">
      <c r="A2572">
        <v>6944957</v>
      </c>
      <c r="B2572">
        <v>6972573</v>
      </c>
      <c r="C2572" t="s">
        <v>189</v>
      </c>
      <c r="D2572" t="s">
        <v>99</v>
      </c>
      <c r="E2572" s="2" t="str">
        <f>HYPERLINK("https://ibp.a2mac1.com/costing(costing:projects/details/8191/equipment/6944957)","Equipment (Injection Molding)")</f>
        <v>Equipment (Injection Molding)</v>
      </c>
      <c r="F2572" t="s">
        <v>3411</v>
      </c>
    </row>
    <row r="2573" spans="1:6" ht="12.75">
      <c r="A2573">
        <v>5384256</v>
      </c>
      <c r="B2573">
        <v>5384101</v>
      </c>
      <c r="C2573" t="s">
        <v>12</v>
      </c>
      <c r="D2573" t="s">
        <v>8</v>
      </c>
      <c r="E2573" s="2" t="str">
        <f>HYPERLINK("https://ibp.a2mac1.com/costing(costing:projects/details/8191/part/5384256)","Exterior")</f>
        <v>Exterior</v>
      </c>
      <c r="F2573" t="s">
        <v>3408</v>
      </c>
    </row>
    <row r="2574" spans="1:6" ht="12.75">
      <c r="A2574">
        <v>6972574</v>
      </c>
      <c r="B2574">
        <v>5384256</v>
      </c>
      <c r="C2574" t="s">
        <v>99</v>
      </c>
      <c r="D2574" t="s">
        <v>12</v>
      </c>
      <c r="E2574" s="2" t="str">
        <f>HYPERLINK("https://ibp.a2mac1.com/costing(costing:projects/details/8191/process/6972574)","Automated Process")</f>
        <v>Automated Process</v>
      </c>
      <c r="F2574" t="s">
        <v>3413</v>
      </c>
    </row>
    <row r="2575" spans="1:6" ht="12.75">
      <c r="A2575">
        <v>5317185</v>
      </c>
      <c r="B2575">
        <v>6972574</v>
      </c>
      <c r="C2575" t="s">
        <v>24</v>
      </c>
      <c r="D2575" t="s">
        <v>99</v>
      </c>
      <c r="E2575" s="2" t="str">
        <f>HYPERLINK("https://ibp.a2mac1.com/costing(costing:projects/details/8191/material/5317185)","POM")</f>
        <v>POM</v>
      </c>
      <c r="F2575" t="s">
        <v>3416</v>
      </c>
    </row>
    <row r="2576" spans="1:6" ht="12.75">
      <c r="A2576">
        <v>6944958</v>
      </c>
      <c r="B2576">
        <v>6972574</v>
      </c>
      <c r="C2576" t="s">
        <v>189</v>
      </c>
      <c r="D2576" t="s">
        <v>99</v>
      </c>
      <c r="E2576" s="2" t="str">
        <f>HYPERLINK("https://ibp.a2mac1.com/costing(costing:projects/details/8191/equipment/6944958)","Equipment (Injection Molding)")</f>
        <v>Equipment (Injection Molding)</v>
      </c>
      <c r="F2576" t="s">
        <v>3416</v>
      </c>
    </row>
    <row r="2577" spans="1:6" ht="12.75">
      <c r="A2577">
        <v>5384102</v>
      </c>
      <c r="B2577">
        <v>5383969</v>
      </c>
      <c r="C2577" t="s">
        <v>8</v>
      </c>
      <c r="D2577" t="s">
        <v>8</v>
      </c>
      <c r="E2577" s="2" t="str">
        <f>HYPERLINK("https://ibp.a2mac1.com/costing(costing:projects/details/8191/assembly/5384102)","Cup Holder")</f>
        <v>Cup Holder</v>
      </c>
      <c r="F2577" t="s">
        <v>3407</v>
      </c>
    </row>
    <row r="2578" spans="1:6" ht="12.75">
      <c r="A2578">
        <v>5384257</v>
      </c>
      <c r="B2578">
        <v>5384102</v>
      </c>
      <c r="C2578" t="s">
        <v>12</v>
      </c>
      <c r="D2578" t="s">
        <v>8</v>
      </c>
      <c r="E2578" s="2" t="str">
        <f>HYPERLINK("https://ibp.a2mac1.com/costing(costing:projects/details/8191/part/5384257)","Cup Holder")</f>
        <v>Cup Holder</v>
      </c>
      <c r="F2578" t="s">
        <v>3419</v>
      </c>
    </row>
    <row r="2579" spans="1:6" ht="12.75">
      <c r="A2579">
        <v>6972575</v>
      </c>
      <c r="B2579">
        <v>5384257</v>
      </c>
      <c r="C2579" t="s">
        <v>99</v>
      </c>
      <c r="D2579" t="s">
        <v>12</v>
      </c>
      <c r="E2579" s="2" t="str">
        <f>HYPERLINK("https://ibp.a2mac1.com/costing(costing:projects/details/8191/process/6972575)","Automated Process")</f>
        <v>Automated Process</v>
      </c>
      <c r="F2579" t="s">
        <v>3420</v>
      </c>
    </row>
    <row r="2580" spans="1:6" ht="12.75">
      <c r="A2580">
        <v>5317186</v>
      </c>
      <c r="B2580">
        <v>6972575</v>
      </c>
      <c r="C2580" t="s">
        <v>24</v>
      </c>
      <c r="D2580" t="s">
        <v>99</v>
      </c>
      <c r="E2580" s="2" t="str">
        <f>HYPERLINK("https://ibp.a2mac1.com/costing(costing:projects/details/8191/material/5317186)","ABS")</f>
        <v>ABS</v>
      </c>
      <c r="F2580" t="s">
        <v>3423</v>
      </c>
    </row>
    <row r="2581" spans="1:6" ht="12.75">
      <c r="A2581">
        <v>5317187</v>
      </c>
      <c r="B2581">
        <v>6972575</v>
      </c>
      <c r="C2581" t="s">
        <v>24</v>
      </c>
      <c r="D2581" t="s">
        <v>99</v>
      </c>
      <c r="E2581" s="2" t="str">
        <f>HYPERLINK("https://ibp.a2mac1.com/costing(costing:projects/details/8191/material/5317187)","TPE")</f>
        <v>TPE</v>
      </c>
      <c r="F2581" t="s">
        <v>3423</v>
      </c>
    </row>
    <row r="2582" spans="1:6" ht="12.75">
      <c r="A2582">
        <v>6944959</v>
      </c>
      <c r="B2582">
        <v>6972575</v>
      </c>
      <c r="C2582" t="s">
        <v>189</v>
      </c>
      <c r="D2582" t="s">
        <v>99</v>
      </c>
      <c r="E2582" s="2" t="str">
        <f>HYPERLINK("https://ibp.a2mac1.com/costing(costing:projects/details/8191/equipment/6944959)","Equipment (Injection Molding)")</f>
        <v>Equipment (Injection Molding)</v>
      </c>
      <c r="F2582" t="s">
        <v>3423</v>
      </c>
    </row>
    <row r="2583" spans="1:6" ht="12.75">
      <c r="A2583">
        <v>6944960</v>
      </c>
      <c r="B2583">
        <v>6972575</v>
      </c>
      <c r="C2583" t="s">
        <v>189</v>
      </c>
      <c r="D2583" t="s">
        <v>99</v>
      </c>
      <c r="E2583" s="2" t="str">
        <f>HYPERLINK("https://ibp.a2mac1.com/costing(costing:projects/details/8191/equipment/6944960)","Equipment (Injection Molding)")</f>
        <v>Equipment (Injection Molding)</v>
      </c>
      <c r="F2583" t="s">
        <v>3423</v>
      </c>
    </row>
    <row r="2584" spans="1:6" ht="12.75">
      <c r="A2584">
        <v>5384103</v>
      </c>
      <c r="B2584">
        <v>5383969</v>
      </c>
      <c r="C2584" t="s">
        <v>8</v>
      </c>
      <c r="D2584" t="s">
        <v>8</v>
      </c>
      <c r="E2584" s="2" t="str">
        <f>HYPERLINK("https://ibp.a2mac1.com/costing(costing:projects/details/8191/assembly/5384103)","Plastic Trim")</f>
        <v>Plastic Trim</v>
      </c>
      <c r="F2584" t="s">
        <v>3407</v>
      </c>
    </row>
    <row r="2585" spans="1:6" ht="12.75">
      <c r="A2585">
        <v>5384258</v>
      </c>
      <c r="B2585">
        <v>5384103</v>
      </c>
      <c r="C2585" t="s">
        <v>12</v>
      </c>
      <c r="D2585" t="s">
        <v>8</v>
      </c>
      <c r="E2585" s="2" t="str">
        <f>HYPERLINK("https://ibp.a2mac1.com/costing(costing:projects/details/8191/part/5384258)","Inner")</f>
        <v>Inner</v>
      </c>
      <c r="F2585" t="s">
        <v>3427</v>
      </c>
    </row>
    <row r="2586" spans="1:6" ht="12.75">
      <c r="A2586">
        <v>6972576</v>
      </c>
      <c r="B2586">
        <v>5384258</v>
      </c>
      <c r="C2586" t="s">
        <v>99</v>
      </c>
      <c r="D2586" t="s">
        <v>12</v>
      </c>
      <c r="E2586" s="2" t="str">
        <f>HYPERLINK("https://ibp.a2mac1.com/costing(costing:projects/details/8191/process/6972576)","Automated Process")</f>
        <v>Automated Process</v>
      </c>
      <c r="F2586" t="s">
        <v>3428</v>
      </c>
    </row>
    <row r="2587" spans="1:6" ht="12.75">
      <c r="A2587">
        <v>5317188</v>
      </c>
      <c r="B2587">
        <v>6972576</v>
      </c>
      <c r="C2587" t="s">
        <v>24</v>
      </c>
      <c r="D2587" t="s">
        <v>99</v>
      </c>
      <c r="E2587" s="2" t="str">
        <f>HYPERLINK("https://ibp.a2mac1.com/costing(costing:projects/details/8191/material/5317188)","ABS")</f>
        <v>ABS</v>
      </c>
      <c r="F2587" t="s">
        <v>3431</v>
      </c>
    </row>
    <row r="2588" spans="1:6" ht="12.75">
      <c r="A2588">
        <v>6944961</v>
      </c>
      <c r="B2588">
        <v>6972576</v>
      </c>
      <c r="C2588" t="s">
        <v>189</v>
      </c>
      <c r="D2588" t="s">
        <v>99</v>
      </c>
      <c r="E2588" s="2" t="str">
        <f>HYPERLINK("https://ibp.a2mac1.com/costing(costing:projects/details/8191/equipment/6944961)","Equipment (Injection Molding)")</f>
        <v>Equipment (Injection Molding)</v>
      </c>
      <c r="F2588" t="s">
        <v>3431</v>
      </c>
    </row>
    <row r="2589" spans="1:6" ht="12.75">
      <c r="A2589">
        <v>5384099</v>
      </c>
      <c r="B2589">
        <v>5383969</v>
      </c>
      <c r="C2589" t="s">
        <v>12</v>
      </c>
      <c r="D2589" t="s">
        <v>8</v>
      </c>
      <c r="E2589" s="2" t="str">
        <f>HYPERLINK("https://ibp.a2mac1.com/costing(costing:projects/details/8191/part/5384099)","Lid")</f>
        <v>Lid</v>
      </c>
      <c r="F2589" t="s">
        <v>3407</v>
      </c>
    </row>
    <row r="2590" spans="1:6" ht="12.75">
      <c r="A2590">
        <v>6972370</v>
      </c>
      <c r="B2590">
        <v>5384099</v>
      </c>
      <c r="C2590" t="s">
        <v>99</v>
      </c>
      <c r="D2590" t="s">
        <v>12</v>
      </c>
      <c r="E2590" s="2" t="str">
        <f>HYPERLINK("https://ibp.a2mac1.com/costing(costing:projects/details/8191/process/6972370)","Cutting")</f>
        <v>Cutting</v>
      </c>
      <c r="F2590" t="s">
        <v>3434</v>
      </c>
    </row>
    <row r="2591" spans="1:6" ht="12.75">
      <c r="A2591">
        <v>5317177</v>
      </c>
      <c r="B2591">
        <v>6972370</v>
      </c>
      <c r="C2591" t="s">
        <v>24</v>
      </c>
      <c r="D2591" t="s">
        <v>99</v>
      </c>
      <c r="E2591" s="2" t="str">
        <f>HYPERLINK("https://ibp.a2mac1.com/costing(costing:projects/details/8191/material/5317177)","Mix Vinyl (80%)")</f>
        <v>Mix Vinyl (80%)</v>
      </c>
      <c r="F2591" t="s">
        <v>3437</v>
      </c>
    </row>
    <row r="2592" spans="1:6" ht="12.75">
      <c r="A2592">
        <v>5317178</v>
      </c>
      <c r="B2592">
        <v>6972370</v>
      </c>
      <c r="C2592" t="s">
        <v>24</v>
      </c>
      <c r="D2592" t="s">
        <v>99</v>
      </c>
      <c r="E2592" s="2" t="str">
        <f>HYPERLINK("https://ibp.a2mac1.com/costing(costing:projects/details/8191/material/5317178)","Fabric")</f>
        <v>Fabric</v>
      </c>
      <c r="F2592" t="s">
        <v>3437</v>
      </c>
    </row>
    <row r="2593" spans="1:6" ht="12.75">
      <c r="A2593">
        <v>6944873</v>
      </c>
      <c r="B2593">
        <v>6972370</v>
      </c>
      <c r="C2593" t="s">
        <v>189</v>
      </c>
      <c r="D2593" t="s">
        <v>99</v>
      </c>
      <c r="E2593" s="2" t="str">
        <f>HYPERLINK("https://ibp.a2mac1.com/costing(costing:projects/details/8191/equipment/6944873)","No.01 - Fabric Cutting")</f>
        <v>No.01 - Fabric Cutting</v>
      </c>
      <c r="F2593" t="s">
        <v>3437</v>
      </c>
    </row>
    <row r="2594" spans="1:6" ht="12.75">
      <c r="A2594">
        <v>6972371</v>
      </c>
      <c r="B2594">
        <v>5384099</v>
      </c>
      <c r="C2594" t="s">
        <v>99</v>
      </c>
      <c r="D2594" t="s">
        <v>12</v>
      </c>
      <c r="E2594" s="2" t="str">
        <f>HYPERLINK("https://ibp.a2mac1.com/costing(costing:projects/details/8191/process/6972371)","Sewing")</f>
        <v>Sewing</v>
      </c>
      <c r="F2594" t="s">
        <v>3434</v>
      </c>
    </row>
    <row r="2595" spans="1:6" ht="12.75">
      <c r="A2595">
        <v>6944874</v>
      </c>
      <c r="B2595">
        <v>6972371</v>
      </c>
      <c r="C2595" t="s">
        <v>189</v>
      </c>
      <c r="D2595" t="s">
        <v>99</v>
      </c>
      <c r="E2595" s="2" t="str">
        <f>HYPERLINK("https://ibp.a2mac1.com/costing(costing:projects/details/8191/equipment/6944874)","No.02 - Fabric Sewing")</f>
        <v>No.02 - Fabric Sewing</v>
      </c>
      <c r="F2595" t="s">
        <v>3440</v>
      </c>
    </row>
    <row r="2596" spans="1:6" ht="12.75">
      <c r="A2596">
        <v>5384100</v>
      </c>
      <c r="B2596">
        <v>5383969</v>
      </c>
      <c r="C2596" t="s">
        <v>12</v>
      </c>
      <c r="D2596" t="s">
        <v>8</v>
      </c>
      <c r="E2596" s="2" t="str">
        <f>HYPERLINK("https://ibp.a2mac1.com/costing(costing:projects/details/8191/part/5384100)","Stuffing and Framework")</f>
        <v>Stuffing and Framework</v>
      </c>
      <c r="F2596" t="s">
        <v>3407</v>
      </c>
    </row>
    <row r="2597" spans="1:6" ht="12.75">
      <c r="A2597">
        <v>6972372</v>
      </c>
      <c r="B2597">
        <v>5384100</v>
      </c>
      <c r="C2597" t="s">
        <v>99</v>
      </c>
      <c r="D2597" t="s">
        <v>12</v>
      </c>
      <c r="E2597" s="2" t="str">
        <f>HYPERLINK("https://ibp.a2mac1.com/costing(costing:projects/details/8191/process/6972372)","Automated Process")</f>
        <v>Automated Process</v>
      </c>
      <c r="F2597" t="s">
        <v>3443</v>
      </c>
    </row>
    <row r="2598" spans="1:6" ht="12.75">
      <c r="A2598">
        <v>5317179</v>
      </c>
      <c r="B2598">
        <v>6972372</v>
      </c>
      <c r="C2598" t="s">
        <v>24</v>
      </c>
      <c r="D2598" t="s">
        <v>99</v>
      </c>
      <c r="E2598" s="2" t="str">
        <f>HYPERLINK("https://ibp.a2mac1.com/costing(costing:projects/details/8191/material/5317179)","PUR")</f>
        <v>PUR</v>
      </c>
      <c r="F2598" t="s">
        <v>3446</v>
      </c>
    </row>
    <row r="2599" spans="1:6" ht="12.75">
      <c r="A2599">
        <v>5317180</v>
      </c>
      <c r="B2599">
        <v>6972372</v>
      </c>
      <c r="C2599" t="s">
        <v>24</v>
      </c>
      <c r="D2599" t="s">
        <v>99</v>
      </c>
      <c r="E2599" s="2" t="str">
        <f>HYPERLINK("https://ibp.a2mac1.com/costing(costing:projects/details/8191/material/5317180)","Steel sheet (default)")</f>
        <v>Steel sheet (default)</v>
      </c>
      <c r="F2599" t="s">
        <v>3446</v>
      </c>
    </row>
    <row r="2600" spans="1:6" ht="12.75">
      <c r="A2600">
        <v>6944875</v>
      </c>
      <c r="B2600">
        <v>6972372</v>
      </c>
      <c r="C2600" t="s">
        <v>189</v>
      </c>
      <c r="D2600" t="s">
        <v>99</v>
      </c>
      <c r="E2600" s="2" t="str">
        <f>HYPERLINK("https://ibp.a2mac1.com/costing(costing:projects/details/8191/equipment/6944875)","Equipment (Injection Molding)")</f>
        <v>Equipment (Injection Molding)</v>
      </c>
      <c r="F2600" t="s">
        <v>3446</v>
      </c>
    </row>
    <row r="2601" spans="1:6" ht="12.75">
      <c r="A2601">
        <v>6944876</v>
      </c>
      <c r="B2601">
        <v>6972372</v>
      </c>
      <c r="C2601" t="s">
        <v>189</v>
      </c>
      <c r="D2601" t="s">
        <v>99</v>
      </c>
      <c r="E2601" s="2" t="str">
        <f>HYPERLINK("https://ibp.a2mac1.com/costing(costing:projects/details/8191/equipment/6944876)","Equipment")</f>
        <v>Equipment</v>
      </c>
      <c r="F2601" t="s">
        <v>3446</v>
      </c>
    </row>
    <row r="2602" spans="1:6" ht="12.75">
      <c r="A2602">
        <v>5316921</v>
      </c>
      <c r="B2602">
        <v>5383969</v>
      </c>
      <c r="C2602" t="s">
        <v>574</v>
      </c>
      <c r="D2602" t="s">
        <v>8</v>
      </c>
      <c r="E2602" s="2" t="str">
        <f>HYPERLINK("https://ibp.a2mac1.com/costing(costing:projects/details/8191/component/5316921)","N.A &gt; Staple")</f>
        <v>N.A &gt; Staple</v>
      </c>
      <c r="F2602" t="s">
        <v>3407</v>
      </c>
    </row>
    <row r="2603" spans="1:6" ht="12.75">
      <c r="A2603">
        <v>5316922</v>
      </c>
      <c r="B2603">
        <v>5383969</v>
      </c>
      <c r="C2603" t="s">
        <v>574</v>
      </c>
      <c r="D2603" t="s">
        <v>8</v>
      </c>
      <c r="E2603" s="2" t="str">
        <f>HYPERLINK("https://ibp.a2mac1.com/costing(costing:projects/details/8191/component/5316922)","Screw &gt; Torx socket head cap screw")</f>
        <v>Screw &gt; Torx socket head cap screw</v>
      </c>
      <c r="F2603" t="s">
        <v>3407</v>
      </c>
    </row>
    <row r="2604" spans="1:6" ht="12.75">
      <c r="A2604">
        <v>5383970</v>
      </c>
      <c r="B2604">
        <v>5383689</v>
      </c>
      <c r="C2604" t="s">
        <v>8</v>
      </c>
      <c r="D2604" t="s">
        <v>8</v>
      </c>
      <c r="E2604" s="2" t="str">
        <f>HYPERLINK("https://ibp.a2mac1.com/costing(costing:projects/details/8191/assembly/5383970)","Inferior Stuffing")</f>
        <v>Inferior Stuffing</v>
      </c>
      <c r="F2604" t="s">
        <v>3335</v>
      </c>
    </row>
    <row r="2605" spans="1:6" ht="12.75">
      <c r="A2605">
        <v>5384104</v>
      </c>
      <c r="B2605">
        <v>5383970</v>
      </c>
      <c r="C2605" t="s">
        <v>12</v>
      </c>
      <c r="D2605" t="s">
        <v>8</v>
      </c>
      <c r="E2605" s="2" t="str">
        <f>HYPERLINK("https://ibp.a2mac1.com/costing(costing:projects/details/8191/part/5384104)","Padding")</f>
        <v>Padding</v>
      </c>
      <c r="F2605" t="s">
        <v>3451</v>
      </c>
    </row>
    <row r="2606" spans="1:6" ht="12.75">
      <c r="A2606">
        <v>6972373</v>
      </c>
      <c r="B2606">
        <v>5384104</v>
      </c>
      <c r="C2606" t="s">
        <v>99</v>
      </c>
      <c r="D2606" t="s">
        <v>12</v>
      </c>
      <c r="E2606" s="2" t="str">
        <f>HYPERLINK("https://ibp.a2mac1.com/costing(costing:projects/details/8191/process/6972373)","Automated Process")</f>
        <v>Automated Process</v>
      </c>
      <c r="F2606" t="s">
        <v>3452</v>
      </c>
    </row>
    <row r="2607" spans="1:6" ht="12.75">
      <c r="A2607">
        <v>5317181</v>
      </c>
      <c r="B2607">
        <v>6972373</v>
      </c>
      <c r="C2607" t="s">
        <v>24</v>
      </c>
      <c r="D2607" t="s">
        <v>99</v>
      </c>
      <c r="E2607" s="2" t="str">
        <f>HYPERLINK("https://ibp.a2mac1.com/costing(costing:projects/details/8191/material/5317181)","PUR")</f>
        <v>PUR</v>
      </c>
      <c r="F2607" t="s">
        <v>3455</v>
      </c>
    </row>
    <row r="2608" spans="1:6" ht="12.75">
      <c r="A2608">
        <v>6944877</v>
      </c>
      <c r="B2608">
        <v>6972373</v>
      </c>
      <c r="C2608" t="s">
        <v>189</v>
      </c>
      <c r="D2608" t="s">
        <v>99</v>
      </c>
      <c r="E2608" s="2" t="str">
        <f>HYPERLINK("https://ibp.a2mac1.com/costing(costing:projects/details/8191/equipment/6944877)","Equipment (Injection Molding)")</f>
        <v>Equipment (Injection Molding)</v>
      </c>
      <c r="F2608" t="s">
        <v>3455</v>
      </c>
    </row>
    <row r="2609" spans="1:6" ht="12.75">
      <c r="A2609">
        <v>5384105</v>
      </c>
      <c r="B2609">
        <v>5383970</v>
      </c>
      <c r="C2609" t="s">
        <v>12</v>
      </c>
      <c r="D2609" t="s">
        <v>8</v>
      </c>
      <c r="E2609" s="2" t="str">
        <f>HYPERLINK("https://ibp.a2mac1.com/costing(costing:projects/details/8191/part/5384105)","Cover")</f>
        <v>Cover</v>
      </c>
      <c r="F2609" t="s">
        <v>3451</v>
      </c>
    </row>
    <row r="2610" spans="1:6" ht="12.75">
      <c r="A2610">
        <v>6972374</v>
      </c>
      <c r="B2610">
        <v>5384105</v>
      </c>
      <c r="C2610" t="s">
        <v>99</v>
      </c>
      <c r="D2610" t="s">
        <v>12</v>
      </c>
      <c r="E2610" s="2" t="str">
        <f>HYPERLINK("https://ibp.a2mac1.com/costing(costing:projects/details/8191/process/6972374)","Cutting")</f>
        <v>Cutting</v>
      </c>
      <c r="F2610" t="s">
        <v>3457</v>
      </c>
    </row>
    <row r="2611" spans="1:6" ht="12.75">
      <c r="A2611">
        <v>5317182</v>
      </c>
      <c r="B2611">
        <v>6972374</v>
      </c>
      <c r="C2611" t="s">
        <v>24</v>
      </c>
      <c r="D2611" t="s">
        <v>99</v>
      </c>
      <c r="E2611" s="2" t="str">
        <f>HYPERLINK("https://ibp.a2mac1.com/costing(costing:projects/details/8191/material/5317182)","Mix Vinyl (80%)")</f>
        <v>Mix Vinyl (80%)</v>
      </c>
      <c r="F2611" t="s">
        <v>3458</v>
      </c>
    </row>
    <row r="2612" spans="1:6" ht="12.75">
      <c r="A2612">
        <v>6944878</v>
      </c>
      <c r="B2612">
        <v>6972374</v>
      </c>
      <c r="C2612" t="s">
        <v>189</v>
      </c>
      <c r="D2612" t="s">
        <v>99</v>
      </c>
      <c r="E2612" s="2" t="str">
        <f>HYPERLINK("https://ibp.a2mac1.com/costing(costing:projects/details/8191/equipment/6944878)","No.01 - Fabric Cutting")</f>
        <v>No.01 - Fabric Cutting</v>
      </c>
      <c r="F2612" t="s">
        <v>3458</v>
      </c>
    </row>
    <row r="2613" spans="1:6" ht="12.75">
      <c r="A2613">
        <v>6972375</v>
      </c>
      <c r="B2613">
        <v>5384105</v>
      </c>
      <c r="C2613" t="s">
        <v>99</v>
      </c>
      <c r="D2613" t="s">
        <v>12</v>
      </c>
      <c r="E2613" s="2" t="str">
        <f>HYPERLINK("https://ibp.a2mac1.com/costing(costing:projects/details/8191/process/6972375)","Sewing")</f>
        <v>Sewing</v>
      </c>
      <c r="F2613" t="s">
        <v>3457</v>
      </c>
    </row>
    <row r="2614" spans="1:6" ht="12.75">
      <c r="A2614">
        <v>6944879</v>
      </c>
      <c r="B2614">
        <v>6972375</v>
      </c>
      <c r="C2614" t="s">
        <v>189</v>
      </c>
      <c r="D2614" t="s">
        <v>99</v>
      </c>
      <c r="E2614" s="2" t="str">
        <f>HYPERLINK("https://ibp.a2mac1.com/costing(costing:projects/details/8191/equipment/6944879)","No.02 - Fabric Sewing")</f>
        <v>No.02 - Fabric Sewing</v>
      </c>
      <c r="F2614" t="s">
        <v>3459</v>
      </c>
    </row>
    <row r="2615" spans="1:6" ht="12.75">
      <c r="A2615">
        <v>5384106</v>
      </c>
      <c r="B2615">
        <v>5383970</v>
      </c>
      <c r="C2615" t="s">
        <v>12</v>
      </c>
      <c r="D2615" t="s">
        <v>8</v>
      </c>
      <c r="E2615" s="2" t="str">
        <f>HYPERLINK("https://ibp.a2mac1.com/costing(costing:projects/details/8191/part/5384106)","Framework")</f>
        <v>Framework</v>
      </c>
      <c r="F2615" t="s">
        <v>3451</v>
      </c>
    </row>
    <row r="2616" spans="1:6" ht="12.75">
      <c r="A2616">
        <v>6972376</v>
      </c>
      <c r="B2616">
        <v>5384106</v>
      </c>
      <c r="C2616" t="s">
        <v>99</v>
      </c>
      <c r="D2616" t="s">
        <v>12</v>
      </c>
      <c r="E2616" s="2" t="str">
        <f>HYPERLINK("https://ibp.a2mac1.com/costing(costing:projects/details/8191/process/6972376)","Automated Process")</f>
        <v>Automated Process</v>
      </c>
      <c r="F2616" t="s">
        <v>3461</v>
      </c>
    </row>
    <row r="2617" spans="1:6" ht="12.75">
      <c r="A2617">
        <v>5317183</v>
      </c>
      <c r="B2617">
        <v>6972376</v>
      </c>
      <c r="C2617" t="s">
        <v>24</v>
      </c>
      <c r="D2617" t="s">
        <v>99</v>
      </c>
      <c r="E2617" s="2" t="str">
        <f>HYPERLINK("https://ibp.a2mac1.com/costing(costing:projects/details/8191/material/5317183)","PP-PET")</f>
        <v>PP-PET</v>
      </c>
      <c r="F2617" t="s">
        <v>3464</v>
      </c>
    </row>
    <row r="2618" spans="1:6" ht="12.75">
      <c r="A2618">
        <v>6944880</v>
      </c>
      <c r="B2618">
        <v>6972376</v>
      </c>
      <c r="C2618" t="s">
        <v>189</v>
      </c>
      <c r="D2618" t="s">
        <v>99</v>
      </c>
      <c r="E2618" s="2" t="str">
        <f>HYPERLINK("https://ibp.a2mac1.com/costing(costing:projects/details/8191/equipment/6944880)","Equipment (Injection Molding)")</f>
        <v>Equipment (Injection Molding)</v>
      </c>
      <c r="F2618" t="s">
        <v>3464</v>
      </c>
    </row>
    <row r="2619" spans="1:6" ht="12.75">
      <c r="A2619">
        <v>5316923</v>
      </c>
      <c r="B2619">
        <v>5383970</v>
      </c>
      <c r="C2619" t="s">
        <v>574</v>
      </c>
      <c r="D2619" t="s">
        <v>8</v>
      </c>
      <c r="E2619" s="2" t="str">
        <f>HYPERLINK("https://ibp.a2mac1.com/costing(costing:projects/details/8191/component/5316923)","N.A &gt; Staple")</f>
        <v>N.A &gt; Staple</v>
      </c>
      <c r="F2619" t="s">
        <v>3451</v>
      </c>
    </row>
    <row r="2620" spans="1:6" ht="12.75">
      <c r="A2620">
        <v>5383960</v>
      </c>
      <c r="B2620">
        <v>5383689</v>
      </c>
      <c r="C2620" t="s">
        <v>12</v>
      </c>
      <c r="D2620" t="s">
        <v>8</v>
      </c>
      <c r="E2620" s="2" t="str">
        <f>HYPERLINK("https://ibp.a2mac1.com/costing(costing:projects/details/8191/part/5383960)","Cover")</f>
        <v>Cover</v>
      </c>
      <c r="F2620" t="s">
        <v>3335</v>
      </c>
    </row>
    <row r="2621" spans="1:6" ht="12.75">
      <c r="A2621">
        <v>6972214</v>
      </c>
      <c r="B2621">
        <v>5383960</v>
      </c>
      <c r="C2621" t="s">
        <v>99</v>
      </c>
      <c r="D2621" t="s">
        <v>12</v>
      </c>
      <c r="E2621" s="2" t="str">
        <f>HYPERLINK("https://ibp.a2mac1.com/costing(costing:projects/details/8191/process/6972214)","Cutting")</f>
        <v>Cutting</v>
      </c>
      <c r="F2621" t="s">
        <v>3468</v>
      </c>
    </row>
    <row r="2622" spans="1:6" ht="12.75">
      <c r="A2622">
        <v>5317081</v>
      </c>
      <c r="B2622">
        <v>6972214</v>
      </c>
      <c r="C2622" t="s">
        <v>24</v>
      </c>
      <c r="D2622" t="s">
        <v>99</v>
      </c>
      <c r="E2622" s="2" t="str">
        <f>HYPERLINK("https://ibp.a2mac1.com/costing(costing:projects/details/8191/material/5317081)","Fabric")</f>
        <v>Fabric</v>
      </c>
      <c r="F2622" t="s">
        <v>3470</v>
      </c>
    </row>
    <row r="2623" spans="1:6" ht="12.75">
      <c r="A2623">
        <v>5317082</v>
      </c>
      <c r="B2623">
        <v>6972214</v>
      </c>
      <c r="C2623" t="s">
        <v>24</v>
      </c>
      <c r="D2623" t="s">
        <v>99</v>
      </c>
      <c r="E2623" s="2" t="str">
        <f>HYPERLINK("https://ibp.a2mac1.com/costing(costing:projects/details/8191/material/5317082)","Vinyl Perforated")</f>
        <v>Vinyl Perforated</v>
      </c>
      <c r="F2623" t="s">
        <v>3470</v>
      </c>
    </row>
    <row r="2624" spans="1:6" ht="12.75">
      <c r="A2624">
        <v>5317083</v>
      </c>
      <c r="B2624">
        <v>6972214</v>
      </c>
      <c r="C2624" t="s">
        <v>24</v>
      </c>
      <c r="D2624" t="s">
        <v>99</v>
      </c>
      <c r="E2624" s="2" t="str">
        <f>HYPERLINK("https://ibp.a2mac1.com/costing(costing:projects/details/8191/material/5317083)","Mix Vinyl (80%)")</f>
        <v>Mix Vinyl (80%)</v>
      </c>
      <c r="F2624" t="s">
        <v>3470</v>
      </c>
    </row>
    <row r="2625" spans="1:6" ht="12.75">
      <c r="A2625">
        <v>5317084</v>
      </c>
      <c r="B2625">
        <v>6972214</v>
      </c>
      <c r="C2625" t="s">
        <v>24</v>
      </c>
      <c r="D2625" t="s">
        <v>99</v>
      </c>
      <c r="E2625" s="2" t="str">
        <f>HYPERLINK("https://ibp.a2mac1.com/costing(costing:projects/details/8191/material/5317084)","Carpet")</f>
        <v>Carpet</v>
      </c>
      <c r="F2625" t="s">
        <v>3470</v>
      </c>
    </row>
    <row r="2626" spans="1:6" ht="12.75">
      <c r="A2626">
        <v>6944753</v>
      </c>
      <c r="B2626">
        <v>6972214</v>
      </c>
      <c r="C2626" t="s">
        <v>189</v>
      </c>
      <c r="D2626" t="s">
        <v>99</v>
      </c>
      <c r="E2626" s="2" t="str">
        <f>HYPERLINK("https://ibp.a2mac1.com/costing(costing:projects/details/8191/equipment/6944753)","No.01 - Fabric Cutting")</f>
        <v>No.01 - Fabric Cutting</v>
      </c>
      <c r="F2626" t="s">
        <v>3470</v>
      </c>
    </row>
    <row r="2627" spans="1:6" ht="12.75">
      <c r="A2627">
        <v>6972213</v>
      </c>
      <c r="B2627">
        <v>5383960</v>
      </c>
      <c r="C2627" t="s">
        <v>99</v>
      </c>
      <c r="D2627" t="s">
        <v>12</v>
      </c>
      <c r="E2627" s="2" t="str">
        <f>HYPERLINK("https://ibp.a2mac1.com/costing(costing:projects/details/8191/process/6972213)","Sewing")</f>
        <v>Sewing</v>
      </c>
      <c r="F2627" t="s">
        <v>3468</v>
      </c>
    </row>
    <row r="2628" spans="1:6" ht="12.75">
      <c r="A2628">
        <v>6944752</v>
      </c>
      <c r="B2628">
        <v>6972213</v>
      </c>
      <c r="C2628" t="s">
        <v>189</v>
      </c>
      <c r="D2628" t="s">
        <v>99</v>
      </c>
      <c r="E2628" s="2" t="str">
        <f>HYPERLINK("https://ibp.a2mac1.com/costing(costing:projects/details/8191/equipment/6944752)","No.02 - Fabric Sewing")</f>
        <v>No.02 - Fabric Sewing</v>
      </c>
      <c r="F2628" t="s">
        <v>3472</v>
      </c>
    </row>
    <row r="2629" spans="1:6" ht="12.75">
      <c r="A2629">
        <v>5383961</v>
      </c>
      <c r="B2629">
        <v>5383689</v>
      </c>
      <c r="C2629" t="s">
        <v>12</v>
      </c>
      <c r="D2629" t="s">
        <v>8</v>
      </c>
      <c r="E2629" s="2" t="str">
        <f>HYPERLINK("https://ibp.a2mac1.com/costing(costing:projects/details/8191/part/5383961)","Pad")</f>
        <v>Pad</v>
      </c>
      <c r="F2629" t="s">
        <v>3335</v>
      </c>
    </row>
    <row r="2630" spans="1:6" ht="12.75">
      <c r="A2630">
        <v>6972215</v>
      </c>
      <c r="B2630">
        <v>5383961</v>
      </c>
      <c r="C2630" t="s">
        <v>99</v>
      </c>
      <c r="D2630" t="s">
        <v>12</v>
      </c>
      <c r="E2630" s="2" t="str">
        <f>HYPERLINK("https://ibp.a2mac1.com/costing(costing:projects/details/8191/process/6972215)","Automated Process")</f>
        <v>Automated Process</v>
      </c>
      <c r="F2630" t="s">
        <v>3474</v>
      </c>
    </row>
    <row r="2631" spans="1:6" ht="12.75">
      <c r="A2631">
        <v>5317085</v>
      </c>
      <c r="B2631">
        <v>6972215</v>
      </c>
      <c r="C2631" t="s">
        <v>24</v>
      </c>
      <c r="D2631" t="s">
        <v>99</v>
      </c>
      <c r="E2631" s="2" t="str">
        <f>HYPERLINK("https://ibp.a2mac1.com/costing(costing:projects/details/8191/material/5317085)","PUR")</f>
        <v>PUR</v>
      </c>
      <c r="F2631" t="s">
        <v>3477</v>
      </c>
    </row>
    <row r="2632" spans="1:6" ht="12.75">
      <c r="A2632">
        <v>6944754</v>
      </c>
      <c r="B2632">
        <v>6972215</v>
      </c>
      <c r="C2632" t="s">
        <v>189</v>
      </c>
      <c r="D2632" t="s">
        <v>99</v>
      </c>
      <c r="E2632" s="2" t="str">
        <f>HYPERLINK("https://ibp.a2mac1.com/costing(costing:projects/details/8191/equipment/6944754)","Equipment (Injection Molding)")</f>
        <v>Equipment (Injection Molding)</v>
      </c>
      <c r="F2632" t="s">
        <v>3477</v>
      </c>
    </row>
    <row r="2633" spans="1:6" ht="12.75">
      <c r="A2633">
        <v>5383962</v>
      </c>
      <c r="B2633">
        <v>5383689</v>
      </c>
      <c r="C2633" t="s">
        <v>12</v>
      </c>
      <c r="D2633" t="s">
        <v>8</v>
      </c>
      <c r="E2633" s="2" t="str">
        <f>HYPERLINK("https://ibp.a2mac1.com/costing(costing:projects/details/8191/part/5383962)","Frame")</f>
        <v>Frame</v>
      </c>
      <c r="F2633" t="s">
        <v>3335</v>
      </c>
    </row>
    <row r="2634" spans="1:6" ht="12.75">
      <c r="A2634">
        <v>6972216</v>
      </c>
      <c r="B2634">
        <v>5383962</v>
      </c>
      <c r="C2634" t="s">
        <v>99</v>
      </c>
      <c r="D2634" t="s">
        <v>12</v>
      </c>
      <c r="E2634" s="2" t="str">
        <f>HYPERLINK("https://ibp.a2mac1.com/costing(costing:projects/details/8191/process/6972216)","Automated Process")</f>
        <v>Automated Process</v>
      </c>
      <c r="F2634" t="s">
        <v>3479</v>
      </c>
    </row>
    <row r="2635" spans="1:6" ht="12.75">
      <c r="A2635">
        <v>5317086</v>
      </c>
      <c r="B2635">
        <v>6972216</v>
      </c>
      <c r="C2635" t="s">
        <v>24</v>
      </c>
      <c r="D2635" t="s">
        <v>99</v>
      </c>
      <c r="E2635" s="2" t="str">
        <f>HYPERLINK("https://ibp.a2mac1.com/costing(costing:projects/details/8191/material/5317086)","Steel sheet (default)")</f>
        <v>Steel sheet (default)</v>
      </c>
      <c r="F2635" t="s">
        <v>3482</v>
      </c>
    </row>
    <row r="2636" spans="1:6" ht="12.75">
      <c r="A2636">
        <v>5317087</v>
      </c>
      <c r="B2636">
        <v>6972216</v>
      </c>
      <c r="C2636" t="s">
        <v>24</v>
      </c>
      <c r="D2636" t="s">
        <v>99</v>
      </c>
      <c r="E2636" s="2" t="str">
        <f>HYPERLINK("https://ibp.a2mac1.com/costing(costing:projects/details/8191/material/5317087)","Cataphoresis paint")</f>
        <v>Cataphoresis paint</v>
      </c>
      <c r="F2636" t="s">
        <v>3482</v>
      </c>
    </row>
    <row r="2637" spans="1:6" ht="12.75">
      <c r="A2637">
        <v>6944755</v>
      </c>
      <c r="B2637">
        <v>6972216</v>
      </c>
      <c r="C2637" t="s">
        <v>189</v>
      </c>
      <c r="D2637" t="s">
        <v>99</v>
      </c>
      <c r="E2637" s="2" t="str">
        <f>HYPERLINK("https://ibp.a2mac1.com/costing(costing:projects/details/8191/equipment/6944755)","Equipment")</f>
        <v>Equipment</v>
      </c>
      <c r="F2637" t="s">
        <v>3482</v>
      </c>
    </row>
    <row r="2638" spans="1:6" ht="12.75">
      <c r="A2638">
        <v>5383963</v>
      </c>
      <c r="B2638">
        <v>5383689</v>
      </c>
      <c r="C2638" t="s">
        <v>12</v>
      </c>
      <c r="D2638" t="s">
        <v>8</v>
      </c>
      <c r="E2638" s="2" t="str">
        <f>HYPERLINK("https://ibp.a2mac1.com/costing(costing:projects/details/8191/part/5383963)","Rear Panel")</f>
        <v>Rear Panel</v>
      </c>
      <c r="F2638" t="s">
        <v>3335</v>
      </c>
    </row>
    <row r="2639" spans="1:6" ht="12.75">
      <c r="A2639">
        <v>6972217</v>
      </c>
      <c r="B2639">
        <v>5383963</v>
      </c>
      <c r="C2639" t="s">
        <v>99</v>
      </c>
      <c r="D2639" t="s">
        <v>12</v>
      </c>
      <c r="E2639" s="2" t="str">
        <f>HYPERLINK("https://ibp.a2mac1.com/costing(costing:projects/details/8191/process/6972217)","Automated Process")</f>
        <v>Automated Process</v>
      </c>
      <c r="F2639" t="s">
        <v>3485</v>
      </c>
    </row>
    <row r="2640" spans="1:6" ht="12.75">
      <c r="A2640">
        <v>5317088</v>
      </c>
      <c r="B2640">
        <v>6972217</v>
      </c>
      <c r="C2640" t="s">
        <v>24</v>
      </c>
      <c r="D2640" t="s">
        <v>99</v>
      </c>
      <c r="E2640" s="2" t="str">
        <f>HYPERLINK("https://ibp.a2mac1.com/costing(costing:projects/details/8191/material/5317088)","Carpet")</f>
        <v>Carpet</v>
      </c>
      <c r="F2640" t="s">
        <v>3488</v>
      </c>
    </row>
    <row r="2641" spans="1:6" ht="12.75">
      <c r="A2641">
        <v>6944756</v>
      </c>
      <c r="B2641">
        <v>6972217</v>
      </c>
      <c r="C2641" t="s">
        <v>189</v>
      </c>
      <c r="D2641" t="s">
        <v>99</v>
      </c>
      <c r="E2641" s="2" t="str">
        <f>HYPERLINK("https://ibp.a2mac1.com/costing(costing:projects/details/8191/equipment/6944756)","Equipment")</f>
        <v>Equipment</v>
      </c>
      <c r="F2641" t="s">
        <v>3488</v>
      </c>
    </row>
    <row r="2642" spans="1:6" ht="12.75">
      <c r="A2642">
        <v>5383964</v>
      </c>
      <c r="B2642">
        <v>5383689</v>
      </c>
      <c r="C2642" t="s">
        <v>12</v>
      </c>
      <c r="D2642" t="s">
        <v>8</v>
      </c>
      <c r="E2642" s="2" t="str">
        <f>HYPERLINK("https://ibp.a2mac1.com/costing(costing:projects/details/8191/part/5383964)","Fastener Support")</f>
        <v>Fastener Support</v>
      </c>
      <c r="F2642" t="s">
        <v>3335</v>
      </c>
    </row>
    <row r="2643" spans="1:6" ht="12.75">
      <c r="A2643">
        <v>6972218</v>
      </c>
      <c r="B2643">
        <v>5383964</v>
      </c>
      <c r="C2643" t="s">
        <v>99</v>
      </c>
      <c r="D2643" t="s">
        <v>12</v>
      </c>
      <c r="E2643" s="2" t="str">
        <f>HYPERLINK("https://ibp.a2mac1.com/costing(costing:projects/details/8191/process/6972218)","Automated Process")</f>
        <v>Automated Process</v>
      </c>
      <c r="F2643" t="s">
        <v>3490</v>
      </c>
    </row>
    <row r="2644" spans="1:6" ht="12.75">
      <c r="A2644">
        <v>5317089</v>
      </c>
      <c r="B2644">
        <v>6972218</v>
      </c>
      <c r="C2644" t="s">
        <v>24</v>
      </c>
      <c r="D2644" t="s">
        <v>99</v>
      </c>
      <c r="E2644" s="2" t="str">
        <f>HYPERLINK("https://ibp.a2mac1.com/costing(costing:projects/details/8191/material/5317089)","Steel sheet (default)")</f>
        <v>Steel sheet (default)</v>
      </c>
      <c r="F2644" t="s">
        <v>3493</v>
      </c>
    </row>
    <row r="2645" spans="1:6" ht="12.75">
      <c r="A2645">
        <v>6944757</v>
      </c>
      <c r="B2645">
        <v>6972218</v>
      </c>
      <c r="C2645" t="s">
        <v>189</v>
      </c>
      <c r="D2645" t="s">
        <v>99</v>
      </c>
      <c r="E2645" s="2" t="str">
        <f>HYPERLINK("https://ibp.a2mac1.com/costing(costing:projects/details/8191/equipment/6944757)","Equipment")</f>
        <v>Equipment</v>
      </c>
      <c r="F2645" t="s">
        <v>3493</v>
      </c>
    </row>
    <row r="2646" spans="1:6" ht="12.75">
      <c r="A2646">
        <v>5316687</v>
      </c>
      <c r="B2646">
        <v>5383689</v>
      </c>
      <c r="C2646" t="s">
        <v>574</v>
      </c>
      <c r="D2646" t="s">
        <v>8</v>
      </c>
      <c r="E2646" s="2" t="str">
        <f>HYPERLINK("https://ibp.a2mac1.com/costing(costing:projects/details/8191/component/5316687)","Other fastener &gt; Hog ring")</f>
        <v>Other fastener &gt; Hog ring</v>
      </c>
      <c r="F2646" t="s">
        <v>3335</v>
      </c>
    </row>
    <row r="2647" spans="1:6" ht="12.75">
      <c r="A2647">
        <v>5316704</v>
      </c>
      <c r="B2647">
        <v>5383689</v>
      </c>
      <c r="C2647" t="s">
        <v>574</v>
      </c>
      <c r="D2647" t="s">
        <v>8</v>
      </c>
      <c r="E2647" s="2" t="str">
        <f>HYPERLINK("https://ibp.a2mac1.com/costing(costing:projects/details/8191/component/5316704)","Spacer/Axle &gt; Flange")</f>
        <v>Spacer/Axle &gt; Flange</v>
      </c>
      <c r="F2647" t="s">
        <v>3335</v>
      </c>
    </row>
    <row r="2648" spans="1:6" ht="12.75">
      <c r="A2648">
        <v>5316707</v>
      </c>
      <c r="B2648">
        <v>5383689</v>
      </c>
      <c r="C2648" t="s">
        <v>574</v>
      </c>
      <c r="D2648" t="s">
        <v>8</v>
      </c>
      <c r="E2648" s="2" t="str">
        <f>HYPERLINK("https://ibp.a2mac1.com/costing(costing:projects/details/8191/component/5316707)","Screw &gt; Torx socket head cap screw with flange")</f>
        <v>Screw &gt; Torx socket head cap screw with flange</v>
      </c>
      <c r="F2648" t="s">
        <v>3335</v>
      </c>
    </row>
    <row r="2649" spans="1:6" ht="12.75">
      <c r="A2649">
        <v>5383548</v>
      </c>
      <c r="B2649">
        <v>5383401</v>
      </c>
      <c r="C2649" t="s">
        <v>8</v>
      </c>
      <c r="D2649" t="s">
        <v>8</v>
      </c>
      <c r="E2649" s="2" t="str">
        <f>HYPERLINK("https://ibp.a2mac1.com/costing(costing:projects/details/8191/assembly/5383548)","Cushion")</f>
        <v>Cushion</v>
      </c>
      <c r="F2649" t="s">
        <v>3228</v>
      </c>
    </row>
    <row r="2650" spans="1:6" ht="12.75">
      <c r="A2650">
        <v>5383690</v>
      </c>
      <c r="B2650">
        <v>5383548</v>
      </c>
      <c r="C2650" t="s">
        <v>12</v>
      </c>
      <c r="D2650" t="s">
        <v>8</v>
      </c>
      <c r="E2650" s="2" t="str">
        <f>HYPERLINK("https://ibp.a2mac1.com/costing(costing:projects/details/8191/part/5383690)","Frame")</f>
        <v>Frame</v>
      </c>
      <c r="F2650" t="s">
        <v>3497</v>
      </c>
    </row>
    <row r="2651" spans="1:6" ht="12.75">
      <c r="A2651">
        <v>6972149</v>
      </c>
      <c r="B2651">
        <v>5383690</v>
      </c>
      <c r="C2651" t="s">
        <v>99</v>
      </c>
      <c r="D2651" t="s">
        <v>12</v>
      </c>
      <c r="E2651" s="2" t="str">
        <f>HYPERLINK("https://ibp.a2mac1.com/costing(costing:projects/details/8191/process/6972149)","Automated Process")</f>
        <v>Automated Process</v>
      </c>
      <c r="F2651" t="s">
        <v>3498</v>
      </c>
    </row>
    <row r="2652" spans="1:6" ht="12.75">
      <c r="A2652">
        <v>5316924</v>
      </c>
      <c r="B2652">
        <v>6972149</v>
      </c>
      <c r="C2652" t="s">
        <v>24</v>
      </c>
      <c r="D2652" t="s">
        <v>99</v>
      </c>
      <c r="E2652" s="2" t="str">
        <f>HYPERLINK("https://ibp.a2mac1.com/costing(costing:projects/details/8191/material/5316924)","Steel sheet (default)")</f>
        <v>Steel sheet (default)</v>
      </c>
      <c r="F2652" t="s">
        <v>3501</v>
      </c>
    </row>
    <row r="2653" spans="1:6" ht="12.75">
      <c r="A2653">
        <v>5316925</v>
      </c>
      <c r="B2653">
        <v>6972149</v>
      </c>
      <c r="C2653" t="s">
        <v>24</v>
      </c>
      <c r="D2653" t="s">
        <v>99</v>
      </c>
      <c r="E2653" s="2" t="str">
        <f>HYPERLINK("https://ibp.a2mac1.com/costing(costing:projects/details/8191/material/5316925)","Cataphoresis paint")</f>
        <v>Cataphoresis paint</v>
      </c>
      <c r="F2653" t="s">
        <v>3501</v>
      </c>
    </row>
    <row r="2654" spans="1:6" ht="12.75">
      <c r="A2654">
        <v>6944608</v>
      </c>
      <c r="B2654">
        <v>6972149</v>
      </c>
      <c r="C2654" t="s">
        <v>189</v>
      </c>
      <c r="D2654" t="s">
        <v>99</v>
      </c>
      <c r="E2654" s="2" t="str">
        <f>HYPERLINK("https://ibp.a2mac1.com/costing(costing:projects/details/8191/equipment/6944608)","Equipment")</f>
        <v>Equipment</v>
      </c>
      <c r="F2654" t="s">
        <v>3501</v>
      </c>
    </row>
    <row r="2655" spans="1:6" ht="12.75">
      <c r="A2655">
        <v>5383691</v>
      </c>
      <c r="B2655">
        <v>5383548</v>
      </c>
      <c r="C2655" t="s">
        <v>12</v>
      </c>
      <c r="D2655" t="s">
        <v>8</v>
      </c>
      <c r="E2655" s="2" t="str">
        <f>HYPERLINK("https://ibp.a2mac1.com/costing(costing:projects/details/8191/part/5383691)","Cover")</f>
        <v>Cover</v>
      </c>
      <c r="F2655" t="s">
        <v>3497</v>
      </c>
    </row>
    <row r="2656" spans="1:6" ht="12.75">
      <c r="A2656">
        <v>6972150</v>
      </c>
      <c r="B2656">
        <v>5383691</v>
      </c>
      <c r="C2656" t="s">
        <v>99</v>
      </c>
      <c r="D2656" t="s">
        <v>12</v>
      </c>
      <c r="E2656" s="2" t="str">
        <f>HYPERLINK("https://ibp.a2mac1.com/costing(costing:projects/details/8191/process/6972150)","Automated Process ")</f>
        <v xml:space="preserve">Automated Process </v>
      </c>
      <c r="F2656" t="s">
        <v>3503</v>
      </c>
    </row>
    <row r="2657" spans="1:6" ht="12.75">
      <c r="A2657">
        <v>5316926</v>
      </c>
      <c r="B2657">
        <v>6972150</v>
      </c>
      <c r="C2657" t="s">
        <v>24</v>
      </c>
      <c r="D2657" t="s">
        <v>99</v>
      </c>
      <c r="E2657" s="2" t="str">
        <f>HYPERLINK("https://ibp.a2mac1.com/costing(costing:projects/details/8191/material/5316926)","Mix Vinyl (80%)")</f>
        <v>Mix Vinyl (80%)</v>
      </c>
      <c r="F2657" t="s">
        <v>3506</v>
      </c>
    </row>
    <row r="2658" spans="1:6" ht="12.75">
      <c r="A2658">
        <v>6944609</v>
      </c>
      <c r="B2658">
        <v>6972150</v>
      </c>
      <c r="C2658" t="s">
        <v>189</v>
      </c>
      <c r="D2658" t="s">
        <v>99</v>
      </c>
      <c r="E2658" s="2" t="str">
        <f>HYPERLINK("https://ibp.a2mac1.com/costing(costing:projects/details/8191/equipment/6944609)","DC machine - General")</f>
        <v>DC machine - General</v>
      </c>
      <c r="F2658" t="s">
        <v>3506</v>
      </c>
    </row>
    <row r="2659" spans="1:6" ht="12.75">
      <c r="A2659">
        <v>6972151</v>
      </c>
      <c r="B2659">
        <v>5383691</v>
      </c>
      <c r="C2659" t="s">
        <v>99</v>
      </c>
      <c r="D2659" t="s">
        <v>12</v>
      </c>
      <c r="E2659" s="2" t="str">
        <f>HYPERLINK("https://ibp.a2mac1.com/costing(costing:projects/details/8191/process/6972151)","Cutting")</f>
        <v>Cutting</v>
      </c>
      <c r="F2659" t="s">
        <v>3503</v>
      </c>
    </row>
    <row r="2660" spans="1:6" ht="12.75">
      <c r="A2660">
        <v>5316927</v>
      </c>
      <c r="B2660">
        <v>6972151</v>
      </c>
      <c r="C2660" t="s">
        <v>24</v>
      </c>
      <c r="D2660" t="s">
        <v>99</v>
      </c>
      <c r="E2660" s="2" t="str">
        <f>HYPERLINK("https://ibp.a2mac1.com/costing(costing:projects/details/8191/material/5316927)","Vinyl Perforated")</f>
        <v>Vinyl Perforated</v>
      </c>
      <c r="F2660" t="s">
        <v>3509</v>
      </c>
    </row>
    <row r="2661" spans="1:6" ht="12.75">
      <c r="A2661">
        <v>5316928</v>
      </c>
      <c r="B2661">
        <v>6972151</v>
      </c>
      <c r="C2661" t="s">
        <v>24</v>
      </c>
      <c r="D2661" t="s">
        <v>99</v>
      </c>
      <c r="E2661" s="2" t="str">
        <f>HYPERLINK("https://ibp.a2mac1.com/costing(costing:projects/details/8191/material/5316928)","Mix Vinyl (80%)")</f>
        <v>Mix Vinyl (80%)</v>
      </c>
      <c r="F2661" t="s">
        <v>3509</v>
      </c>
    </row>
    <row r="2662" spans="1:6" ht="12.75">
      <c r="A2662">
        <v>5316929</v>
      </c>
      <c r="B2662">
        <v>6972151</v>
      </c>
      <c r="C2662" t="s">
        <v>24</v>
      </c>
      <c r="D2662" t="s">
        <v>99</v>
      </c>
      <c r="E2662" s="2" t="str">
        <f>HYPERLINK("https://ibp.a2mac1.com/costing(costing:projects/details/8191/material/5316929)","Carpet")</f>
        <v>Carpet</v>
      </c>
      <c r="F2662" t="s">
        <v>3509</v>
      </c>
    </row>
    <row r="2663" spans="1:6" ht="12.75">
      <c r="A2663">
        <v>6944610</v>
      </c>
      <c r="B2663">
        <v>6972151</v>
      </c>
      <c r="C2663" t="s">
        <v>189</v>
      </c>
      <c r="D2663" t="s">
        <v>99</v>
      </c>
      <c r="E2663" s="2" t="str">
        <f>HYPERLINK("https://ibp.a2mac1.com/costing(costing:projects/details/8191/equipment/6944610)","No.01 - Fabric Cutting")</f>
        <v>No.01 - Fabric Cutting</v>
      </c>
      <c r="F2663" t="s">
        <v>3509</v>
      </c>
    </row>
    <row r="2664" spans="1:6" ht="12.75">
      <c r="A2664">
        <v>6972152</v>
      </c>
      <c r="B2664">
        <v>5383691</v>
      </c>
      <c r="C2664" t="s">
        <v>99</v>
      </c>
      <c r="D2664" t="s">
        <v>12</v>
      </c>
      <c r="E2664" s="2" t="str">
        <f>HYPERLINK("https://ibp.a2mac1.com/costing(costing:projects/details/8191/process/6972152)","Sewing")</f>
        <v>Sewing</v>
      </c>
      <c r="F2664" t="s">
        <v>3503</v>
      </c>
    </row>
    <row r="2665" spans="1:6" ht="12.75">
      <c r="A2665">
        <v>6944611</v>
      </c>
      <c r="B2665">
        <v>6972152</v>
      </c>
      <c r="C2665" t="s">
        <v>189</v>
      </c>
      <c r="D2665" t="s">
        <v>99</v>
      </c>
      <c r="E2665" s="2" t="str">
        <f>HYPERLINK("https://ibp.a2mac1.com/costing(costing:projects/details/8191/equipment/6944611)","No.02 - Fabric Sewing")</f>
        <v>No.02 - Fabric Sewing</v>
      </c>
      <c r="F2665" t="s">
        <v>3511</v>
      </c>
    </row>
    <row r="2666" spans="1:6" ht="12.75">
      <c r="A2666">
        <v>5383692</v>
      </c>
      <c r="B2666">
        <v>5383548</v>
      </c>
      <c r="C2666" t="s">
        <v>12</v>
      </c>
      <c r="D2666" t="s">
        <v>8</v>
      </c>
      <c r="E2666" s="2" t="str">
        <f>HYPERLINK("https://ibp.a2mac1.com/costing(costing:projects/details/8191/part/5383692)","Pad")</f>
        <v>Pad</v>
      </c>
      <c r="F2666" t="s">
        <v>3497</v>
      </c>
    </row>
    <row r="2667" spans="1:6" ht="12.75">
      <c r="A2667">
        <v>6972153</v>
      </c>
      <c r="B2667">
        <v>5383692</v>
      </c>
      <c r="C2667" t="s">
        <v>99</v>
      </c>
      <c r="D2667" t="s">
        <v>12</v>
      </c>
      <c r="E2667" s="2" t="str">
        <f>HYPERLINK("https://ibp.a2mac1.com/costing(costing:projects/details/8191/process/6972153)","Automated Process")</f>
        <v>Automated Process</v>
      </c>
      <c r="F2667" t="s">
        <v>3513</v>
      </c>
    </row>
    <row r="2668" spans="1:6" ht="12.75">
      <c r="A2668">
        <v>5316930</v>
      </c>
      <c r="B2668">
        <v>6972153</v>
      </c>
      <c r="C2668" t="s">
        <v>24</v>
      </c>
      <c r="D2668" t="s">
        <v>99</v>
      </c>
      <c r="E2668" s="2" t="str">
        <f>HYPERLINK("https://ibp.a2mac1.com/costing(costing:projects/details/8191/material/5316930)","PUR")</f>
        <v>PUR</v>
      </c>
      <c r="F2668" t="s">
        <v>3516</v>
      </c>
    </row>
    <row r="2669" spans="1:6" ht="12.75">
      <c r="A2669">
        <v>5316931</v>
      </c>
      <c r="B2669">
        <v>6972153</v>
      </c>
      <c r="C2669" t="s">
        <v>24</v>
      </c>
      <c r="D2669" t="s">
        <v>99</v>
      </c>
      <c r="E2669" s="2" t="str">
        <f>HYPERLINK("https://ibp.a2mac1.com/costing(costing:projects/details/8191/material/5316931)","High Carbon Spring Steel Wire")</f>
        <v>High Carbon Spring Steel Wire</v>
      </c>
      <c r="F2669" t="s">
        <v>3516</v>
      </c>
    </row>
    <row r="2670" spans="1:6" ht="12.75">
      <c r="A2670">
        <v>6944612</v>
      </c>
      <c r="B2670">
        <v>6972153</v>
      </c>
      <c r="C2670" t="s">
        <v>189</v>
      </c>
      <c r="D2670" t="s">
        <v>99</v>
      </c>
      <c r="E2670" s="2" t="str">
        <f>HYPERLINK("https://ibp.a2mac1.com/costing(costing:projects/details/8191/equipment/6944612)","Equipment ")</f>
        <v xml:space="preserve">Equipment </v>
      </c>
      <c r="F2670" t="s">
        <v>3516</v>
      </c>
    </row>
    <row r="2671" spans="1:6" ht="12.75">
      <c r="A2671">
        <v>5316565</v>
      </c>
      <c r="B2671">
        <v>5383548</v>
      </c>
      <c r="C2671" t="s">
        <v>574</v>
      </c>
      <c r="D2671" t="s">
        <v>8</v>
      </c>
      <c r="E2671" s="2" t="str">
        <f>HYPERLINK("https://ibp.a2mac1.com/costing(costing:projects/details/8191/component/5316565)","Screw &gt; Hexagon screw with flange")</f>
        <v>Screw &gt; Hexagon screw with flange</v>
      </c>
      <c r="F2671" t="s">
        <v>3497</v>
      </c>
    </row>
    <row r="2672" spans="1:6" ht="12.75">
      <c r="A2672">
        <v>5316566</v>
      </c>
      <c r="B2672">
        <v>5383548</v>
      </c>
      <c r="C2672" t="s">
        <v>574</v>
      </c>
      <c r="D2672" t="s">
        <v>8</v>
      </c>
      <c r="E2672" s="2" t="str">
        <f>HYPERLINK("https://ibp.a2mac1.com/costing(costing:projects/details/8191/component/5316566)","Other fastener &gt; Hog ring")</f>
        <v>Other fastener &gt; Hog ring</v>
      </c>
      <c r="F2672" t="s">
        <v>3497</v>
      </c>
    </row>
    <row r="2673" spans="1:6" ht="12.75">
      <c r="A2673">
        <v>5316567</v>
      </c>
      <c r="B2673">
        <v>5383548</v>
      </c>
      <c r="C2673" t="s">
        <v>574</v>
      </c>
      <c r="D2673" t="s">
        <v>8</v>
      </c>
      <c r="E2673" s="2" t="str">
        <f>HYPERLINK("https://ibp.a2mac1.com/costing(costing:projects/details/8191/component/5316567)","Other fastener &gt; Attachment")</f>
        <v>Other fastener &gt; Attachment</v>
      </c>
      <c r="F2673" t="s">
        <v>3497</v>
      </c>
    </row>
    <row r="2674" spans="1:6" ht="12.75">
      <c r="A2674">
        <v>5383549</v>
      </c>
      <c r="B2674">
        <v>5383401</v>
      </c>
      <c r="C2674" t="s">
        <v>8</v>
      </c>
      <c r="D2674" t="s">
        <v>8</v>
      </c>
      <c r="E2674" s="2" t="str">
        <f>HYPERLINK("https://ibp.a2mac1.com/costing(costing:projects/details/8191/assembly/5383549)","Isofix Cover")</f>
        <v>Isofix Cover</v>
      </c>
      <c r="F2674" t="s">
        <v>3228</v>
      </c>
    </row>
    <row r="2675" spans="1:6" ht="12.75">
      <c r="A2675">
        <v>5383693</v>
      </c>
      <c r="B2675">
        <v>5383549</v>
      </c>
      <c r="C2675" t="s">
        <v>12</v>
      </c>
      <c r="D2675" t="s">
        <v>8</v>
      </c>
      <c r="E2675" s="2" t="str">
        <f>HYPERLINK("https://ibp.a2mac1.com/costing(costing:projects/details/8191/part/5383693)","Isofix Cover Support")</f>
        <v>Isofix Cover Support</v>
      </c>
      <c r="F2675" t="s">
        <v>3522</v>
      </c>
    </row>
    <row r="2676" spans="1:6" ht="12.75">
      <c r="A2676">
        <v>6972154</v>
      </c>
      <c r="B2676">
        <v>5383693</v>
      </c>
      <c r="C2676" t="s">
        <v>99</v>
      </c>
      <c r="D2676" t="s">
        <v>12</v>
      </c>
      <c r="E2676" s="2" t="str">
        <f>HYPERLINK("https://ibp.a2mac1.com/costing(costing:projects/details/8191/process/6972154)","Automated Process")</f>
        <v>Automated Process</v>
      </c>
      <c r="F2676" t="s">
        <v>3523</v>
      </c>
    </row>
    <row r="2677" spans="1:6" ht="12.75">
      <c r="A2677">
        <v>5316932</v>
      </c>
      <c r="B2677">
        <v>6972154</v>
      </c>
      <c r="C2677" t="s">
        <v>24</v>
      </c>
      <c r="D2677" t="s">
        <v>99</v>
      </c>
      <c r="E2677" s="2" t="str">
        <f>HYPERLINK("https://ibp.a2mac1.com/costing(costing:projects/details/8191/material/5316932)","PA6")</f>
        <v>PA6</v>
      </c>
      <c r="F2677" t="s">
        <v>3524</v>
      </c>
    </row>
    <row r="2678" spans="1:6" ht="12.75">
      <c r="A2678">
        <v>6944613</v>
      </c>
      <c r="B2678">
        <v>6972154</v>
      </c>
      <c r="C2678" t="s">
        <v>189</v>
      </c>
      <c r="D2678" t="s">
        <v>99</v>
      </c>
      <c r="E2678" s="2" t="str">
        <f>HYPERLINK("https://ibp.a2mac1.com/costing(costing:projects/details/8191/equipment/6944613)","Equipment (Injection Molding)")</f>
        <v>Equipment (Injection Molding)</v>
      </c>
      <c r="F2678" t="s">
        <v>3524</v>
      </c>
    </row>
    <row r="2679" spans="1:6" ht="12.75">
      <c r="A2679">
        <v>5383545</v>
      </c>
      <c r="B2679">
        <v>5383401</v>
      </c>
      <c r="C2679" t="s">
        <v>12</v>
      </c>
      <c r="D2679" t="s">
        <v>8</v>
      </c>
      <c r="E2679" s="2" t="str">
        <f>HYPERLINK("https://ibp.a2mac1.com/costing(costing:projects/details/8191/part/5383545)","Top Tether Cover")</f>
        <v>Top Tether Cover</v>
      </c>
      <c r="F2679" t="s">
        <v>3228</v>
      </c>
    </row>
    <row r="2680" spans="1:6" ht="12.75">
      <c r="A2680">
        <v>6971943</v>
      </c>
      <c r="B2680">
        <v>5383545</v>
      </c>
      <c r="C2680" t="s">
        <v>99</v>
      </c>
      <c r="D2680" t="s">
        <v>12</v>
      </c>
      <c r="E2680" s="2" t="str">
        <f>HYPERLINK("https://ibp.a2mac1.com/costing(costing:projects/details/8191/process/6971943)","Automated Process")</f>
        <v>Automated Process</v>
      </c>
      <c r="F2680" t="s">
        <v>3527</v>
      </c>
    </row>
    <row r="2681" spans="1:6" ht="12.75">
      <c r="A2681">
        <v>5316683</v>
      </c>
      <c r="B2681">
        <v>6971943</v>
      </c>
      <c r="C2681" t="s">
        <v>24</v>
      </c>
      <c r="D2681" t="s">
        <v>99</v>
      </c>
      <c r="E2681" s="2" t="str">
        <f>HYPERLINK("https://ibp.a2mac1.com/costing(costing:projects/details/8191/material/5316683)","PA6")</f>
        <v>PA6</v>
      </c>
      <c r="F2681" t="s">
        <v>3530</v>
      </c>
    </row>
    <row r="2682" spans="1:6" ht="12.75">
      <c r="A2682">
        <v>6944442</v>
      </c>
      <c r="B2682">
        <v>6971943</v>
      </c>
      <c r="C2682" t="s">
        <v>189</v>
      </c>
      <c r="D2682" t="s">
        <v>99</v>
      </c>
      <c r="E2682" s="2" t="str">
        <f>HYPERLINK("https://ibp.a2mac1.com/costing(costing:projects/details/8191/equipment/6944442)","Equipment (Injection Molding)")</f>
        <v>Equipment (Injection Molding)</v>
      </c>
      <c r="F2682" t="s">
        <v>3530</v>
      </c>
    </row>
    <row r="2683" spans="1:6" ht="12.75">
      <c r="A2683">
        <v>6971834</v>
      </c>
      <c r="B2683">
        <v>5383401</v>
      </c>
      <c r="C2683" t="s">
        <v>99</v>
      </c>
      <c r="D2683" t="s">
        <v>8</v>
      </c>
      <c r="E2683" s="2" t="str">
        <f>HYPERLINK("https://ibp.a2mac1.com/costing(costing:projects/details/8191/process/6971834)","J.I.T. Assembly")</f>
        <v>J.I.T. Assembly</v>
      </c>
      <c r="F2683" t="s">
        <v>3228</v>
      </c>
    </row>
    <row r="2684" spans="1:6" ht="12.75">
      <c r="A2684">
        <v>6944262</v>
      </c>
      <c r="B2684">
        <v>6971834</v>
      </c>
      <c r="C2684" t="s">
        <v>189</v>
      </c>
      <c r="D2684" t="s">
        <v>99</v>
      </c>
      <c r="E2684" s="2" t="str">
        <f>HYPERLINK("https://ibp.a2mac1.com/costing(costing:projects/details/8191/equipment/6944262)","DC Machine")</f>
        <v>DC Machine</v>
      </c>
      <c r="F2684" t="s">
        <v>3532</v>
      </c>
    </row>
    <row r="2685" spans="1:6" ht="12.75">
      <c r="A2685">
        <v>5384794</v>
      </c>
      <c r="B2685">
        <v>8191</v>
      </c>
      <c r="C2685" t="s">
        <v>8</v>
      </c>
      <c r="D2685" t="s">
        <v>6</v>
      </c>
      <c r="E2685" s="2" t="str">
        <f>HYPERLINK("https://ibp.a2mac1.com/costing(costing:projects/details/8191/assembly/5384794)","Interior")</f>
        <v>Interior</v>
      </c>
      <c r="F2685" t="s">
        <v>9</v>
      </c>
    </row>
    <row r="2686" spans="1:6" ht="12.75">
      <c r="A2686">
        <v>5384795</v>
      </c>
      <c r="B2686">
        <v>5384794</v>
      </c>
      <c r="C2686" t="s">
        <v>8</v>
      </c>
      <c r="D2686" t="s">
        <v>8</v>
      </c>
      <c r="E2686" s="2" t="str">
        <f>HYPERLINK("https://ibp.a2mac1.com/costing(costing:projects/details/8191/assembly/5384795)","Instrument Panel")</f>
        <v>Instrument Panel</v>
      </c>
      <c r="F2686" t="s">
        <v>2871</v>
      </c>
    </row>
    <row r="2687" spans="1:6" ht="12.75">
      <c r="A2687">
        <v>5384802</v>
      </c>
      <c r="B2687">
        <v>5384795</v>
      </c>
      <c r="C2687" t="s">
        <v>8</v>
      </c>
      <c r="D2687" t="s">
        <v>8</v>
      </c>
      <c r="E2687" s="2" t="str">
        <f>HYPERLINK("https://ibp.a2mac1.com/costing(costing:projects/details/8191/assembly/5384802)","Cross Car Beam")</f>
        <v>Cross Car Beam</v>
      </c>
      <c r="F2687" t="s">
        <v>3535</v>
      </c>
    </row>
    <row r="2688" spans="1:6" ht="12.75">
      <c r="A2688">
        <v>5384852</v>
      </c>
      <c r="B2688">
        <v>5384802</v>
      </c>
      <c r="C2688" t="s">
        <v>12</v>
      </c>
      <c r="D2688" t="s">
        <v>8</v>
      </c>
      <c r="E2688" s="2" t="str">
        <f>HYPERLINK("https://ibp.a2mac1.com/costing(costing:projects/details/8191/part/5384852)","IP Reinforcement")</f>
        <v>IP Reinforcement</v>
      </c>
      <c r="F2688" t="s">
        <v>3536</v>
      </c>
    </row>
    <row r="2689" spans="1:6" ht="12.75">
      <c r="A2689">
        <v>6973913</v>
      </c>
      <c r="B2689">
        <v>5384852</v>
      </c>
      <c r="C2689" t="s">
        <v>99</v>
      </c>
      <c r="D2689" t="s">
        <v>12</v>
      </c>
      <c r="E2689" s="2" t="str">
        <f>HYPERLINK("https://ibp.a2mac1.com/costing(costing:projects/details/8191/process/6973913)","Automated Process")</f>
        <v>Automated Process</v>
      </c>
      <c r="F2689" t="s">
        <v>3537</v>
      </c>
    </row>
    <row r="2690" spans="1:6" ht="12.75">
      <c r="A2690">
        <v>5317845</v>
      </c>
      <c r="B2690">
        <v>6973913</v>
      </c>
      <c r="C2690" t="s">
        <v>24</v>
      </c>
      <c r="D2690" t="s">
        <v>99</v>
      </c>
      <c r="E2690" s="2" t="str">
        <f>HYPERLINK("https://ibp.a2mac1.com/costing(costing:projects/details/8191/material/5317845)","Steel sheet (default)")</f>
        <v>Steel sheet (default)</v>
      </c>
      <c r="F2690" t="s">
        <v>3540</v>
      </c>
    </row>
    <row r="2691" spans="1:6" ht="12.75">
      <c r="A2691">
        <v>6946471</v>
      </c>
      <c r="B2691">
        <v>6973913</v>
      </c>
      <c r="C2691" t="s">
        <v>189</v>
      </c>
      <c r="D2691" t="s">
        <v>99</v>
      </c>
      <c r="E2691" s="2" t="str">
        <f>HYPERLINK("https://ibp.a2mac1.com/costing(costing:projects/details/8191/equipment/6946471)","DC machine - General")</f>
        <v>DC machine - General</v>
      </c>
      <c r="F2691" t="s">
        <v>3540</v>
      </c>
    </row>
    <row r="2692" spans="1:6" ht="12.75">
      <c r="A2692">
        <v>5384853</v>
      </c>
      <c r="B2692">
        <v>5384802</v>
      </c>
      <c r="C2692" t="s">
        <v>12</v>
      </c>
      <c r="D2692" t="s">
        <v>8</v>
      </c>
      <c r="E2692" s="2" t="str">
        <f>HYPERLINK("https://ibp.a2mac1.com/costing(costing:projects/details/8191/part/5384853)","Passenger Side")</f>
        <v>Passenger Side</v>
      </c>
      <c r="F2692" t="s">
        <v>3536</v>
      </c>
    </row>
    <row r="2693" spans="1:6" ht="12.75">
      <c r="A2693">
        <v>6973914</v>
      </c>
      <c r="B2693">
        <v>5384853</v>
      </c>
      <c r="C2693" t="s">
        <v>99</v>
      </c>
      <c r="D2693" t="s">
        <v>12</v>
      </c>
      <c r="E2693" s="2" t="str">
        <f>HYPERLINK("https://ibp.a2mac1.com/costing(costing:projects/details/8191/process/6973914)","Automated Process")</f>
        <v>Automated Process</v>
      </c>
      <c r="F2693" t="s">
        <v>3543</v>
      </c>
    </row>
    <row r="2694" spans="1:6" ht="12.75">
      <c r="A2694">
        <v>5317846</v>
      </c>
      <c r="B2694">
        <v>6973914</v>
      </c>
      <c r="C2694" t="s">
        <v>24</v>
      </c>
      <c r="D2694" t="s">
        <v>99</v>
      </c>
      <c r="E2694" s="2" t="str">
        <f>HYPERLINK("https://ibp.a2mac1.com/costing(costing:projects/details/8191/material/5317846)","Steel sheet (default)")</f>
        <v>Steel sheet (default)</v>
      </c>
      <c r="F2694" t="s">
        <v>3546</v>
      </c>
    </row>
    <row r="2695" spans="1:6" ht="12.75">
      <c r="A2695">
        <v>6946472</v>
      </c>
      <c r="B2695">
        <v>6973914</v>
      </c>
      <c r="C2695" t="s">
        <v>189</v>
      </c>
      <c r="D2695" t="s">
        <v>99</v>
      </c>
      <c r="E2695" s="2" t="str">
        <f>HYPERLINK("https://ibp.a2mac1.com/costing(costing:projects/details/8191/equipment/6946472)","DC machine - General")</f>
        <v>DC machine - General</v>
      </c>
      <c r="F2695" t="s">
        <v>3546</v>
      </c>
    </row>
    <row r="2696" spans="1:6" ht="12.75">
      <c r="A2696">
        <v>5384854</v>
      </c>
      <c r="B2696">
        <v>5384802</v>
      </c>
      <c r="C2696" t="s">
        <v>12</v>
      </c>
      <c r="D2696" t="s">
        <v>8</v>
      </c>
      <c r="E2696" s="2" t="str">
        <f>HYPERLINK("https://ibp.a2mac1.com/costing(costing:projects/details/8191/part/5384854)","Central Reinforcement")</f>
        <v>Central Reinforcement</v>
      </c>
      <c r="F2696" t="s">
        <v>3536</v>
      </c>
    </row>
    <row r="2697" spans="1:6" ht="12.75">
      <c r="A2697">
        <v>6973915</v>
      </c>
      <c r="B2697">
        <v>5384854</v>
      </c>
      <c r="C2697" t="s">
        <v>99</v>
      </c>
      <c r="D2697" t="s">
        <v>12</v>
      </c>
      <c r="E2697" s="2" t="str">
        <f>HYPERLINK("https://ibp.a2mac1.com/costing(costing:projects/details/8191/process/6973915)","Automated Process")</f>
        <v>Automated Process</v>
      </c>
      <c r="F2697" t="s">
        <v>3548</v>
      </c>
    </row>
    <row r="2698" spans="1:6" ht="12.75">
      <c r="A2698">
        <v>5317847</v>
      </c>
      <c r="B2698">
        <v>6973915</v>
      </c>
      <c r="C2698" t="s">
        <v>24</v>
      </c>
      <c r="D2698" t="s">
        <v>99</v>
      </c>
      <c r="E2698" s="2" t="str">
        <f>HYPERLINK("https://ibp.a2mac1.com/costing(costing:projects/details/8191/material/5317847)","PP-PE")</f>
        <v>PP-PE</v>
      </c>
      <c r="F2698" t="s">
        <v>3551</v>
      </c>
    </row>
    <row r="2699" spans="1:6" ht="12.75">
      <c r="A2699">
        <v>6946473</v>
      </c>
      <c r="B2699">
        <v>6973915</v>
      </c>
      <c r="C2699" t="s">
        <v>189</v>
      </c>
      <c r="D2699" t="s">
        <v>99</v>
      </c>
      <c r="E2699" s="2" t="str">
        <f>HYPERLINK("https://ibp.a2mac1.com/costing(costing:projects/details/8191/equipment/6946473)","Equipment (Injection Molding)")</f>
        <v>Equipment (Injection Molding)</v>
      </c>
      <c r="F2699" t="s">
        <v>3551</v>
      </c>
    </row>
    <row r="2700" spans="1:6" ht="12.75">
      <c r="A2700">
        <v>5384855</v>
      </c>
      <c r="B2700">
        <v>5384802</v>
      </c>
      <c r="C2700" t="s">
        <v>12</v>
      </c>
      <c r="D2700" t="s">
        <v>8</v>
      </c>
      <c r="E2700" s="2" t="str">
        <f>HYPERLINK("https://ibp.a2mac1.com/costing(costing:projects/details/8191/part/5384855)","Front Body Panel Support")</f>
        <v>Front Body Panel Support</v>
      </c>
      <c r="F2700" t="s">
        <v>3536</v>
      </c>
    </row>
    <row r="2701" spans="1:6" ht="12.75">
      <c r="A2701">
        <v>6973916</v>
      </c>
      <c r="B2701">
        <v>5384855</v>
      </c>
      <c r="C2701" t="s">
        <v>99</v>
      </c>
      <c r="D2701" t="s">
        <v>12</v>
      </c>
      <c r="E2701" s="2" t="str">
        <f>HYPERLINK("https://ibp.a2mac1.com/costing(costing:projects/details/8191/process/6973916)","Automated Process")</f>
        <v>Automated Process</v>
      </c>
      <c r="F2701" t="s">
        <v>3553</v>
      </c>
    </row>
    <row r="2702" spans="1:6" ht="12.75">
      <c r="A2702">
        <v>5317848</v>
      </c>
      <c r="B2702">
        <v>6973916</v>
      </c>
      <c r="C2702" t="s">
        <v>24</v>
      </c>
      <c r="D2702" t="s">
        <v>99</v>
      </c>
      <c r="E2702" s="2" t="str">
        <f>HYPERLINK("https://ibp.a2mac1.com/costing(costing:projects/details/8191/material/5317848)","PP-PE")</f>
        <v>PP-PE</v>
      </c>
      <c r="F2702" t="s">
        <v>3555</v>
      </c>
    </row>
    <row r="2703" spans="1:6" ht="12.75">
      <c r="A2703">
        <v>6946474</v>
      </c>
      <c r="B2703">
        <v>6973916</v>
      </c>
      <c r="C2703" t="s">
        <v>189</v>
      </c>
      <c r="D2703" t="s">
        <v>99</v>
      </c>
      <c r="E2703" s="2" t="str">
        <f>HYPERLINK("https://ibp.a2mac1.com/costing(costing:projects/details/8191/equipment/6946474)","Equipment (Injection Molding)")</f>
        <v>Equipment (Injection Molding)</v>
      </c>
      <c r="F2703" t="s">
        <v>3555</v>
      </c>
    </row>
    <row r="2704" spans="1:6" ht="12.75">
      <c r="A2704">
        <v>5384856</v>
      </c>
      <c r="B2704">
        <v>5384802</v>
      </c>
      <c r="C2704" t="s">
        <v>12</v>
      </c>
      <c r="D2704" t="s">
        <v>8</v>
      </c>
      <c r="E2704" s="2" t="str">
        <f>HYPERLINK("https://ibp.a2mac1.com/costing(costing:projects/details/8191/part/5384856)","2nd Front Body Panel Support")</f>
        <v>2nd Front Body Panel Support</v>
      </c>
      <c r="F2704" t="s">
        <v>3536</v>
      </c>
    </row>
    <row r="2705" spans="1:6" ht="12.75">
      <c r="A2705">
        <v>6973917</v>
      </c>
      <c r="B2705">
        <v>5384856</v>
      </c>
      <c r="C2705" t="s">
        <v>99</v>
      </c>
      <c r="D2705" t="s">
        <v>12</v>
      </c>
      <c r="E2705" s="2" t="str">
        <f>HYPERLINK("https://ibp.a2mac1.com/costing(costing:projects/details/8191/process/6973917)","Automated Process")</f>
        <v>Automated Process</v>
      </c>
      <c r="F2705" t="s">
        <v>3557</v>
      </c>
    </row>
    <row r="2706" spans="1:6" ht="12.75">
      <c r="A2706">
        <v>5317849</v>
      </c>
      <c r="B2706">
        <v>6973917</v>
      </c>
      <c r="C2706" t="s">
        <v>24</v>
      </c>
      <c r="D2706" t="s">
        <v>99</v>
      </c>
      <c r="E2706" s="2" t="str">
        <f>HYPERLINK("https://ibp.a2mac1.com/costing(costing:projects/details/8191/material/5317849)","PP-PE")</f>
        <v>PP-PE</v>
      </c>
      <c r="F2706" t="s">
        <v>3560</v>
      </c>
    </row>
    <row r="2707" spans="1:6" ht="12.75">
      <c r="A2707">
        <v>6946475</v>
      </c>
      <c r="B2707">
        <v>6973917</v>
      </c>
      <c r="C2707" t="s">
        <v>189</v>
      </c>
      <c r="D2707" t="s">
        <v>99</v>
      </c>
      <c r="E2707" s="2" t="str">
        <f>HYPERLINK("https://ibp.a2mac1.com/costing(costing:projects/details/8191/equipment/6946475)","Equipment (Injection Molding)")</f>
        <v>Equipment (Injection Molding)</v>
      </c>
      <c r="F2707" t="s">
        <v>3560</v>
      </c>
    </row>
    <row r="2708" spans="1:6" ht="12.75">
      <c r="A2708">
        <v>5317746</v>
      </c>
      <c r="B2708">
        <v>5384802</v>
      </c>
      <c r="C2708" t="s">
        <v>574</v>
      </c>
      <c r="D2708" t="s">
        <v>8</v>
      </c>
      <c r="E2708" s="2" t="str">
        <f>HYPERLINK("https://ibp.a2mac1.com/costing(costing:projects/details/8191/component/5317746)","Nut &gt; Hexagonal nut with collar")</f>
        <v>Nut &gt; Hexagonal nut with collar</v>
      </c>
      <c r="F2708" t="s">
        <v>3536</v>
      </c>
    </row>
    <row r="2709" spans="1:6" ht="12.75">
      <c r="A2709">
        <v>5317747</v>
      </c>
      <c r="B2709">
        <v>5384802</v>
      </c>
      <c r="C2709" t="s">
        <v>574</v>
      </c>
      <c r="D2709" t="s">
        <v>8</v>
      </c>
      <c r="E2709" s="2" t="str">
        <f>HYPERLINK("https://ibp.a2mac1.com/costing(costing:projects/details/8191/component/5317747)","Screw &gt; Torx socket head cap screw with flange")</f>
        <v>Screw &gt; Torx socket head cap screw with flange</v>
      </c>
      <c r="F2709" t="s">
        <v>3536</v>
      </c>
    </row>
    <row r="2710" spans="1:6" ht="12.75">
      <c r="A2710">
        <v>5317748</v>
      </c>
      <c r="B2710">
        <v>5384802</v>
      </c>
      <c r="C2710" t="s">
        <v>574</v>
      </c>
      <c r="D2710" t="s">
        <v>8</v>
      </c>
      <c r="E2710" s="2" t="str">
        <f>HYPERLINK("https://ibp.a2mac1.com/costing(costing:projects/details/8191/component/5317748)","Screw &gt; Hexagon screw with captive washer")</f>
        <v>Screw &gt; Hexagon screw with captive washer</v>
      </c>
      <c r="F2710" t="s">
        <v>3536</v>
      </c>
    </row>
    <row r="2711" spans="1:6" ht="12.75">
      <c r="A2711">
        <v>5317749</v>
      </c>
      <c r="B2711">
        <v>5384802</v>
      </c>
      <c r="C2711" t="s">
        <v>574</v>
      </c>
      <c r="D2711" t="s">
        <v>8</v>
      </c>
      <c r="E2711" s="2" t="str">
        <f>HYPERLINK("https://ibp.a2mac1.com/costing(costing:projects/details/8191/component/5317749)","Spacer/Axle &gt; Axle")</f>
        <v>Spacer/Axle &gt; Axle</v>
      </c>
      <c r="F2711" t="s">
        <v>3536</v>
      </c>
    </row>
    <row r="2712" spans="1:6" ht="12.75">
      <c r="A2712">
        <v>5317750</v>
      </c>
      <c r="B2712">
        <v>5384802</v>
      </c>
      <c r="C2712" t="s">
        <v>574</v>
      </c>
      <c r="D2712" t="s">
        <v>8</v>
      </c>
      <c r="E2712" s="2" t="str">
        <f>HYPERLINK("https://ibp.a2mac1.com/costing(costing:projects/details/8191/component/5317750)","Nut &gt; Pinching nut for metric screw")</f>
        <v>Nut &gt; Pinching nut for metric screw</v>
      </c>
      <c r="F2712" t="s">
        <v>3536</v>
      </c>
    </row>
    <row r="2713" spans="1:6" ht="12.75">
      <c r="A2713">
        <v>5384803</v>
      </c>
      <c r="B2713">
        <v>5384795</v>
      </c>
      <c r="C2713" t="s">
        <v>8</v>
      </c>
      <c r="D2713" t="s">
        <v>8</v>
      </c>
      <c r="E2713" s="2" t="str">
        <f>HYPERLINK("https://ibp.a2mac1.com/costing(costing:projects/details/8191/assembly/5384803)","Dashboard Covers")</f>
        <v>Dashboard Covers</v>
      </c>
      <c r="F2713" t="s">
        <v>3535</v>
      </c>
    </row>
    <row r="2714" spans="1:6" ht="12.75">
      <c r="A2714">
        <v>5384860</v>
      </c>
      <c r="B2714">
        <v>5384803</v>
      </c>
      <c r="C2714" t="s">
        <v>8</v>
      </c>
      <c r="D2714" t="s">
        <v>8</v>
      </c>
      <c r="E2714" s="2" t="str">
        <f>HYPERLINK("https://ibp.a2mac1.com/costing(costing:projects/details/8191/assembly/5384860)","Driver Side Trim")</f>
        <v>Driver Side Trim</v>
      </c>
      <c r="F2714" t="s">
        <v>3563</v>
      </c>
    </row>
    <row r="2715" spans="1:6" ht="12.75">
      <c r="A2715">
        <v>5384965</v>
      </c>
      <c r="B2715">
        <v>5384860</v>
      </c>
      <c r="C2715" t="s">
        <v>12</v>
      </c>
      <c r="D2715" t="s">
        <v>8</v>
      </c>
      <c r="E2715" s="2" t="str">
        <f>HYPERLINK("https://ibp.a2mac1.com/costing(costing:projects/details/8191/part/5384965)","Upper Panel")</f>
        <v>Upper Panel</v>
      </c>
      <c r="F2715" t="s">
        <v>3564</v>
      </c>
    </row>
    <row r="2716" spans="1:6" ht="12.75">
      <c r="A2716">
        <v>6973985</v>
      </c>
      <c r="B2716">
        <v>5384965</v>
      </c>
      <c r="C2716" t="s">
        <v>99</v>
      </c>
      <c r="D2716" t="s">
        <v>12</v>
      </c>
      <c r="E2716" s="2" t="str">
        <f>HYPERLINK("https://ibp.a2mac1.com/costing(costing:projects/details/8191/process/6973985)","Automated Process")</f>
        <v>Automated Process</v>
      </c>
      <c r="F2716" t="s">
        <v>3565</v>
      </c>
    </row>
    <row r="2717" spans="1:6" ht="12.75">
      <c r="A2717">
        <v>5317979</v>
      </c>
      <c r="B2717">
        <v>6973985</v>
      </c>
      <c r="C2717" t="s">
        <v>24</v>
      </c>
      <c r="D2717" t="s">
        <v>99</v>
      </c>
      <c r="E2717" s="2" t="str">
        <f>HYPERLINK("https://ibp.a2mac1.com/costing(costing:projects/details/8191/material/5317979)","PP-PE")</f>
        <v>PP-PE</v>
      </c>
      <c r="F2717" t="s">
        <v>3568</v>
      </c>
    </row>
    <row r="2718" spans="1:6" ht="12.75">
      <c r="A2718">
        <v>6946557</v>
      </c>
      <c r="B2718">
        <v>6973985</v>
      </c>
      <c r="C2718" t="s">
        <v>189</v>
      </c>
      <c r="D2718" t="s">
        <v>99</v>
      </c>
      <c r="E2718" s="2" t="str">
        <f>HYPERLINK("https://ibp.a2mac1.com/costing(costing:projects/details/8191/equipment/6946557)","Equipment (Injection Molding)")</f>
        <v>Equipment (Injection Molding)</v>
      </c>
      <c r="F2718" t="s">
        <v>3568</v>
      </c>
    </row>
    <row r="2719" spans="1:6" ht="12.75">
      <c r="A2719">
        <v>5384966</v>
      </c>
      <c r="B2719">
        <v>5384860</v>
      </c>
      <c r="C2719" t="s">
        <v>12</v>
      </c>
      <c r="D2719" t="s">
        <v>8</v>
      </c>
      <c r="E2719" s="2" t="str">
        <f>HYPERLINK("https://ibp.a2mac1.com/costing(costing:projects/details/8191/part/5384966)","Cover Under Steering Column")</f>
        <v>Cover Under Steering Column</v>
      </c>
      <c r="F2719" t="s">
        <v>3564</v>
      </c>
    </row>
    <row r="2720" spans="1:6" ht="12.75">
      <c r="A2720">
        <v>6973986</v>
      </c>
      <c r="B2720">
        <v>5384966</v>
      </c>
      <c r="C2720" t="s">
        <v>99</v>
      </c>
      <c r="D2720" t="s">
        <v>12</v>
      </c>
      <c r="E2720" s="2" t="str">
        <f>HYPERLINK("https://ibp.a2mac1.com/costing(costing:projects/details/8191/process/6973986)","Automated Process")</f>
        <v>Automated Process</v>
      </c>
      <c r="F2720" t="s">
        <v>3570</v>
      </c>
    </row>
    <row r="2721" spans="1:6" ht="12.75">
      <c r="A2721">
        <v>5317980</v>
      </c>
      <c r="B2721">
        <v>6973986</v>
      </c>
      <c r="C2721" t="s">
        <v>24</v>
      </c>
      <c r="D2721" t="s">
        <v>99</v>
      </c>
      <c r="E2721" s="2" t="str">
        <f>HYPERLINK("https://ibp.a2mac1.com/costing(costing:projects/details/8191/material/5317980)","PP-PE")</f>
        <v>PP-PE</v>
      </c>
      <c r="F2721" t="s">
        <v>3571</v>
      </c>
    </row>
    <row r="2722" spans="1:6" ht="12.75">
      <c r="A2722">
        <v>6946558</v>
      </c>
      <c r="B2722">
        <v>6973986</v>
      </c>
      <c r="C2722" t="s">
        <v>189</v>
      </c>
      <c r="D2722" t="s">
        <v>99</v>
      </c>
      <c r="E2722" s="2" t="str">
        <f>HYPERLINK("https://ibp.a2mac1.com/costing(costing:projects/details/8191/equipment/6946558)","Equipment (Injection Molding)")</f>
        <v>Equipment (Injection Molding)</v>
      </c>
      <c r="F2722" t="s">
        <v>3571</v>
      </c>
    </row>
    <row r="2723" spans="1:6" ht="12.75">
      <c r="A2723">
        <v>5384967</v>
      </c>
      <c r="B2723">
        <v>5384860</v>
      </c>
      <c r="C2723" t="s">
        <v>12</v>
      </c>
      <c r="D2723" t="s">
        <v>8</v>
      </c>
      <c r="E2723" s="2" t="str">
        <f>HYPERLINK("https://ibp.a2mac1.com/costing(costing:projects/details/8191/part/5384967)","Cover Under Steering Column Support")</f>
        <v>Cover Under Steering Column Support</v>
      </c>
      <c r="F2723" t="s">
        <v>3564</v>
      </c>
    </row>
    <row r="2724" spans="1:6" ht="12.75">
      <c r="A2724">
        <v>6973987</v>
      </c>
      <c r="B2724">
        <v>5384967</v>
      </c>
      <c r="C2724" t="s">
        <v>99</v>
      </c>
      <c r="D2724" t="s">
        <v>12</v>
      </c>
      <c r="E2724" s="2" t="str">
        <f>HYPERLINK("https://ibp.a2mac1.com/costing(costing:projects/details/8191/process/6973987)","Automated Process")</f>
        <v>Automated Process</v>
      </c>
      <c r="F2724" t="s">
        <v>3573</v>
      </c>
    </row>
    <row r="2725" spans="1:6" ht="12.75">
      <c r="A2725">
        <v>5317981</v>
      </c>
      <c r="B2725">
        <v>6973987</v>
      </c>
      <c r="C2725" t="s">
        <v>24</v>
      </c>
      <c r="D2725" t="s">
        <v>99</v>
      </c>
      <c r="E2725" s="2" t="str">
        <f>HYPERLINK("https://ibp.a2mac1.com/costing(costing:projects/details/8191/material/5317981)","PP")</f>
        <v>PP</v>
      </c>
      <c r="F2725" t="s">
        <v>3576</v>
      </c>
    </row>
    <row r="2726" spans="1:6" ht="12.75">
      <c r="A2726">
        <v>6946559</v>
      </c>
      <c r="B2726">
        <v>6973987</v>
      </c>
      <c r="C2726" t="s">
        <v>189</v>
      </c>
      <c r="D2726" t="s">
        <v>99</v>
      </c>
      <c r="E2726" s="2" t="str">
        <f>HYPERLINK("https://ibp.a2mac1.com/costing(costing:projects/details/8191/equipment/6946559)","Equipment (Injection Molding)")</f>
        <v>Equipment (Injection Molding)</v>
      </c>
      <c r="F2726" t="s">
        <v>3576</v>
      </c>
    </row>
    <row r="2727" spans="1:6" ht="12.75">
      <c r="A2727">
        <v>5384968</v>
      </c>
      <c r="B2727">
        <v>5384860</v>
      </c>
      <c r="C2727" t="s">
        <v>12</v>
      </c>
      <c r="D2727" t="s">
        <v>8</v>
      </c>
      <c r="E2727" s="2" t="str">
        <f>HYPERLINK("https://ibp.a2mac1.com/costing(costing:projects/details/8191/part/5384968)","Foot Well Trim")</f>
        <v>Foot Well Trim</v>
      </c>
      <c r="F2727" t="s">
        <v>3564</v>
      </c>
    </row>
    <row r="2728" spans="1:6" ht="12.75">
      <c r="A2728">
        <v>6973988</v>
      </c>
      <c r="B2728">
        <v>5384968</v>
      </c>
      <c r="C2728" t="s">
        <v>99</v>
      </c>
      <c r="D2728" t="s">
        <v>12</v>
      </c>
      <c r="E2728" s="2" t="str">
        <f>HYPERLINK("https://ibp.a2mac1.com/costing(costing:projects/details/8191/process/6973988)","Automated Process")</f>
        <v>Automated Process</v>
      </c>
      <c r="F2728" t="s">
        <v>3578</v>
      </c>
    </row>
    <row r="2729" spans="1:6" ht="12.75">
      <c r="A2729">
        <v>5317982</v>
      </c>
      <c r="B2729">
        <v>6973988</v>
      </c>
      <c r="C2729" t="s">
        <v>24</v>
      </c>
      <c r="D2729" t="s">
        <v>99</v>
      </c>
      <c r="E2729" s="2" t="str">
        <f>HYPERLINK("https://ibp.a2mac1.com/costing(costing:projects/details/8191/material/5317982)","Material")</f>
        <v>Material</v>
      </c>
      <c r="F2729" t="s">
        <v>3580</v>
      </c>
    </row>
    <row r="2730" spans="1:6" ht="12.75">
      <c r="A2730">
        <v>6946560</v>
      </c>
      <c r="B2730">
        <v>6973988</v>
      </c>
      <c r="C2730" t="s">
        <v>189</v>
      </c>
      <c r="D2730" t="s">
        <v>99</v>
      </c>
      <c r="E2730" s="2" t="str">
        <f>HYPERLINK("https://ibp.a2mac1.com/costing(costing:projects/details/8191/equipment/6946560)","DC machine - General")</f>
        <v>DC machine - General</v>
      </c>
      <c r="F2730" t="s">
        <v>3580</v>
      </c>
    </row>
    <row r="2731" spans="1:6" ht="12.75">
      <c r="A2731">
        <v>5317773</v>
      </c>
      <c r="B2731">
        <v>5384860</v>
      </c>
      <c r="C2731" t="s">
        <v>574</v>
      </c>
      <c r="D2731" t="s">
        <v>8</v>
      </c>
      <c r="E2731" s="2" t="str">
        <f>HYPERLINK("https://ibp.a2mac1.com/costing(costing:projects/details/8191/component/5317773)","Panel holder &gt; Clips in rectangular hole")</f>
        <v>Panel holder &gt; Clips in rectangular hole</v>
      </c>
      <c r="F2731" t="s">
        <v>3564</v>
      </c>
    </row>
    <row r="2732" spans="1:6" ht="12.75">
      <c r="A2732">
        <v>5317774</v>
      </c>
      <c r="B2732">
        <v>5384860</v>
      </c>
      <c r="C2732" t="s">
        <v>574</v>
      </c>
      <c r="D2732" t="s">
        <v>8</v>
      </c>
      <c r="E2732" s="2" t="str">
        <f>HYPERLINK("https://ibp.a2mac1.com/costing(costing:projects/details/8191/component/5317774)","Screw &gt; Torx socket head cap screw with flange")</f>
        <v>Screw &gt; Torx socket head cap screw with flange</v>
      </c>
      <c r="F2732" t="s">
        <v>3564</v>
      </c>
    </row>
    <row r="2733" spans="1:6" ht="12.75">
      <c r="A2733">
        <v>5317775</v>
      </c>
      <c r="B2733">
        <v>5384860</v>
      </c>
      <c r="C2733" t="s">
        <v>574</v>
      </c>
      <c r="D2733" t="s">
        <v>8</v>
      </c>
      <c r="E2733" s="2" t="str">
        <f>HYPERLINK("https://ibp.a2mac1.com/costing(costing:projects/details/8191/component/5317775)","Panel holder &gt; Clips in rectangular hole")</f>
        <v>Panel holder &gt; Clips in rectangular hole</v>
      </c>
      <c r="F2733" t="s">
        <v>3564</v>
      </c>
    </row>
    <row r="2734" spans="1:6" ht="12.75">
      <c r="A2734">
        <v>5317776</v>
      </c>
      <c r="B2734">
        <v>5384860</v>
      </c>
      <c r="C2734" t="s">
        <v>574</v>
      </c>
      <c r="D2734" t="s">
        <v>8</v>
      </c>
      <c r="E2734" s="2" t="str">
        <f>HYPERLINK("https://ibp.a2mac1.com/costing(costing:projects/details/8191/component/5317776)","Rivet &gt; Head rivet")</f>
        <v>Rivet &gt; Head rivet</v>
      </c>
      <c r="F2734" t="s">
        <v>3564</v>
      </c>
    </row>
    <row r="2735" spans="1:6" ht="12.75">
      <c r="A2735">
        <v>5384861</v>
      </c>
      <c r="B2735">
        <v>5384803</v>
      </c>
      <c r="C2735" t="s">
        <v>8</v>
      </c>
      <c r="D2735" t="s">
        <v>8</v>
      </c>
      <c r="E2735" s="2" t="str">
        <f>HYPERLINK("https://ibp.a2mac1.com/costing(costing:projects/details/8191/assembly/5384861)","Passenger Side Trim")</f>
        <v>Passenger Side Trim</v>
      </c>
      <c r="F2735" t="s">
        <v>3563</v>
      </c>
    </row>
    <row r="2736" spans="1:6" ht="12.75">
      <c r="A2736">
        <v>5384969</v>
      </c>
      <c r="B2736">
        <v>5384861</v>
      </c>
      <c r="C2736" t="s">
        <v>12</v>
      </c>
      <c r="D2736" t="s">
        <v>8</v>
      </c>
      <c r="E2736" s="2" t="str">
        <f>HYPERLINK("https://ibp.a2mac1.com/costing(costing:projects/details/8191/part/5384969)","Lower Panel")</f>
        <v>Lower Panel</v>
      </c>
      <c r="F2736" t="s">
        <v>3584</v>
      </c>
    </row>
    <row r="2737" spans="1:6" ht="12.75">
      <c r="A2737">
        <v>6973989</v>
      </c>
      <c r="B2737">
        <v>5384969</v>
      </c>
      <c r="C2737" t="s">
        <v>99</v>
      </c>
      <c r="D2737" t="s">
        <v>12</v>
      </c>
      <c r="E2737" s="2" t="str">
        <f>HYPERLINK("https://ibp.a2mac1.com/costing(costing:projects/details/8191/process/6973989)","Automated Process")</f>
        <v>Automated Process</v>
      </c>
      <c r="F2737" t="s">
        <v>3585</v>
      </c>
    </row>
    <row r="2738" spans="1:6" ht="12.75">
      <c r="A2738">
        <v>5317983</v>
      </c>
      <c r="B2738">
        <v>6973989</v>
      </c>
      <c r="C2738" t="s">
        <v>24</v>
      </c>
      <c r="D2738" t="s">
        <v>99</v>
      </c>
      <c r="E2738" s="2" t="str">
        <f>HYPERLINK("https://ibp.a2mac1.com/costing(costing:projects/details/8191/material/5317983)","PP-PE")</f>
        <v>PP-PE</v>
      </c>
      <c r="F2738" t="s">
        <v>3587</v>
      </c>
    </row>
    <row r="2739" spans="1:6" ht="12.75">
      <c r="A2739">
        <v>6946561</v>
      </c>
      <c r="B2739">
        <v>6973989</v>
      </c>
      <c r="C2739" t="s">
        <v>189</v>
      </c>
      <c r="D2739" t="s">
        <v>99</v>
      </c>
      <c r="E2739" s="2" t="str">
        <f>HYPERLINK("https://ibp.a2mac1.com/costing(costing:projects/details/8191/equipment/6946561)","Equipment (Injection Molding)")</f>
        <v>Equipment (Injection Molding)</v>
      </c>
      <c r="F2739" t="s">
        <v>3587</v>
      </c>
    </row>
    <row r="2740" spans="1:6" ht="12.75">
      <c r="A2740">
        <v>5317777</v>
      </c>
      <c r="B2740">
        <v>5384861</v>
      </c>
      <c r="C2740" t="s">
        <v>574</v>
      </c>
      <c r="D2740" t="s">
        <v>8</v>
      </c>
      <c r="E2740" s="2" t="str">
        <f>HYPERLINK("https://ibp.a2mac1.com/costing(costing:projects/details/8191/component/5317777)","Nut &gt; Pinching nut for metal sheet screw")</f>
        <v>Nut &gt; Pinching nut for metal sheet screw</v>
      </c>
      <c r="F2740" t="s">
        <v>3584</v>
      </c>
    </row>
    <row r="2741" spans="1:6" ht="12.75">
      <c r="A2741">
        <v>5384862</v>
      </c>
      <c r="B2741">
        <v>5384803</v>
      </c>
      <c r="C2741" t="s">
        <v>8</v>
      </c>
      <c r="D2741" t="s">
        <v>8</v>
      </c>
      <c r="E2741" s="2" t="str">
        <f>HYPERLINK("https://ibp.a2mac1.com/costing(costing:projects/details/8191/assembly/5384862)","Central Trim")</f>
        <v>Central Trim</v>
      </c>
      <c r="F2741" t="s">
        <v>3563</v>
      </c>
    </row>
    <row r="2742" spans="1:6" ht="12.75">
      <c r="A2742">
        <v>5384970</v>
      </c>
      <c r="B2742">
        <v>5384862</v>
      </c>
      <c r="C2742" t="s">
        <v>12</v>
      </c>
      <c r="D2742" t="s">
        <v>8</v>
      </c>
      <c r="E2742" s="2" t="str">
        <f>HYPERLINK("https://ibp.a2mac1.com/costing(costing:projects/details/8191/part/5384970)","Lower Part")</f>
        <v>Lower Part</v>
      </c>
      <c r="F2742" t="s">
        <v>3590</v>
      </c>
    </row>
    <row r="2743" spans="1:6" ht="12.75">
      <c r="A2743">
        <v>6973990</v>
      </c>
      <c r="B2743">
        <v>5384970</v>
      </c>
      <c r="C2743" t="s">
        <v>99</v>
      </c>
      <c r="D2743" t="s">
        <v>12</v>
      </c>
      <c r="E2743" s="2" t="str">
        <f>HYPERLINK("https://ibp.a2mac1.com/costing(costing:projects/details/8191/process/6973990)","Automated Process")</f>
        <v>Automated Process</v>
      </c>
      <c r="F2743" t="s">
        <v>3591</v>
      </c>
    </row>
    <row r="2744" spans="1:6" ht="12.75">
      <c r="A2744">
        <v>5317984</v>
      </c>
      <c r="B2744">
        <v>6973990</v>
      </c>
      <c r="C2744" t="s">
        <v>24</v>
      </c>
      <c r="D2744" t="s">
        <v>99</v>
      </c>
      <c r="E2744" s="2" t="str">
        <f>HYPERLINK("https://ibp.a2mac1.com/costing(costing:projects/details/8191/material/5317984)","PP-PE")</f>
        <v>PP-PE</v>
      </c>
      <c r="F2744" t="s">
        <v>3594</v>
      </c>
    </row>
    <row r="2745" spans="1:6" ht="12.75">
      <c r="A2745">
        <v>6946562</v>
      </c>
      <c r="B2745">
        <v>6973990</v>
      </c>
      <c r="C2745" t="s">
        <v>189</v>
      </c>
      <c r="D2745" t="s">
        <v>99</v>
      </c>
      <c r="E2745" s="2" t="str">
        <f>HYPERLINK("https://ibp.a2mac1.com/costing(costing:projects/details/8191/equipment/6946562)","Equipment (Injection Molding)")</f>
        <v>Equipment (Injection Molding)</v>
      </c>
      <c r="F2745" t="s">
        <v>3594</v>
      </c>
    </row>
    <row r="2746" spans="1:6" ht="12.75">
      <c r="A2746">
        <v>5317778</v>
      </c>
      <c r="B2746">
        <v>5384862</v>
      </c>
      <c r="C2746" t="s">
        <v>574</v>
      </c>
      <c r="D2746" t="s">
        <v>8</v>
      </c>
      <c r="E2746" s="2" t="str">
        <f>HYPERLINK("https://ibp.a2mac1.com/costing(costing:projects/details/8191/component/5317778)","Screw &gt; Torx socket head cap screw with flange")</f>
        <v>Screw &gt; Torx socket head cap screw with flange</v>
      </c>
      <c r="F2746" t="s">
        <v>3590</v>
      </c>
    </row>
    <row r="2747" spans="1:6" ht="12.75">
      <c r="A2747">
        <v>5384857</v>
      </c>
      <c r="B2747">
        <v>5384803</v>
      </c>
      <c r="C2747" t="s">
        <v>12</v>
      </c>
      <c r="D2747" t="s">
        <v>8</v>
      </c>
      <c r="E2747" s="2" t="str">
        <f>HYPERLINK("https://ibp.a2mac1.com/costing(costing:projects/details/8191/part/5384857)","Garnish Left Side")</f>
        <v>Garnish Left Side</v>
      </c>
      <c r="F2747" t="s">
        <v>3563</v>
      </c>
    </row>
    <row r="2748" spans="1:6" ht="12.75">
      <c r="A2748">
        <v>6973918</v>
      </c>
      <c r="B2748">
        <v>5384857</v>
      </c>
      <c r="C2748" t="s">
        <v>99</v>
      </c>
      <c r="D2748" t="s">
        <v>12</v>
      </c>
      <c r="E2748" s="2" t="str">
        <f>HYPERLINK("https://ibp.a2mac1.com/costing(costing:projects/details/8191/process/6973918)","Automated Process")</f>
        <v>Automated Process</v>
      </c>
      <c r="F2748" t="s">
        <v>3597</v>
      </c>
    </row>
    <row r="2749" spans="1:6" ht="12.75">
      <c r="A2749">
        <v>5317850</v>
      </c>
      <c r="B2749">
        <v>6973918</v>
      </c>
      <c r="C2749" t="s">
        <v>24</v>
      </c>
      <c r="D2749" t="s">
        <v>99</v>
      </c>
      <c r="E2749" s="2" t="str">
        <f>HYPERLINK("https://ibp.a2mac1.com/costing(costing:projects/details/8191/material/5317850)","PP-PE")</f>
        <v>PP-PE</v>
      </c>
      <c r="F2749" t="s">
        <v>3600</v>
      </c>
    </row>
    <row r="2750" spans="1:6" ht="12.75">
      <c r="A2750">
        <v>6946476</v>
      </c>
      <c r="B2750">
        <v>6973918</v>
      </c>
      <c r="C2750" t="s">
        <v>189</v>
      </c>
      <c r="D2750" t="s">
        <v>99</v>
      </c>
      <c r="E2750" s="2" t="str">
        <f>HYPERLINK("https://ibp.a2mac1.com/costing(costing:projects/details/8191/equipment/6946476)","Equipment (Injection Molding)")</f>
        <v>Equipment (Injection Molding)</v>
      </c>
      <c r="F2750" t="s">
        <v>3600</v>
      </c>
    </row>
    <row r="2751" spans="1:6" ht="12.75">
      <c r="A2751">
        <v>5384858</v>
      </c>
      <c r="B2751">
        <v>5384803</v>
      </c>
      <c r="C2751" t="s">
        <v>12</v>
      </c>
      <c r="D2751" t="s">
        <v>8</v>
      </c>
      <c r="E2751" s="2" t="str">
        <f>HYPERLINK("https://ibp.a2mac1.com/costing(costing:projects/details/8191/part/5384858)","Garnish Right Side")</f>
        <v>Garnish Right Side</v>
      </c>
      <c r="F2751" t="s">
        <v>3563</v>
      </c>
    </row>
    <row r="2752" spans="1:6" ht="12.75">
      <c r="A2752">
        <v>6973919</v>
      </c>
      <c r="B2752">
        <v>5384858</v>
      </c>
      <c r="C2752" t="s">
        <v>99</v>
      </c>
      <c r="D2752" t="s">
        <v>12</v>
      </c>
      <c r="E2752" s="2" t="str">
        <f>HYPERLINK("https://ibp.a2mac1.com/costing(costing:projects/details/8191/process/6973919)","Automated Process")</f>
        <v>Automated Process</v>
      </c>
      <c r="F2752" t="s">
        <v>3602</v>
      </c>
    </row>
    <row r="2753" spans="1:6" ht="12.75">
      <c r="A2753">
        <v>5317851</v>
      </c>
      <c r="B2753">
        <v>6973919</v>
      </c>
      <c r="C2753" t="s">
        <v>24</v>
      </c>
      <c r="D2753" t="s">
        <v>99</v>
      </c>
      <c r="E2753" s="2" t="str">
        <f>HYPERLINK("https://ibp.a2mac1.com/costing(costing:projects/details/8191/material/5317851)","PP-PE")</f>
        <v>PP-PE</v>
      </c>
      <c r="F2753" t="s">
        <v>3605</v>
      </c>
    </row>
    <row r="2754" spans="1:6" ht="12.75">
      <c r="A2754">
        <v>6946477</v>
      </c>
      <c r="B2754">
        <v>6973919</v>
      </c>
      <c r="C2754" t="s">
        <v>189</v>
      </c>
      <c r="D2754" t="s">
        <v>99</v>
      </c>
      <c r="E2754" s="2" t="str">
        <f>HYPERLINK("https://ibp.a2mac1.com/costing(costing:projects/details/8191/equipment/6946477)","Equipment (Injection Molding)")</f>
        <v>Equipment (Injection Molding)</v>
      </c>
      <c r="F2754" t="s">
        <v>3605</v>
      </c>
    </row>
    <row r="2755" spans="1:6" ht="12.75">
      <c r="A2755">
        <v>5384859</v>
      </c>
      <c r="B2755">
        <v>5384803</v>
      </c>
      <c r="C2755" t="s">
        <v>12</v>
      </c>
      <c r="D2755" t="s">
        <v>8</v>
      </c>
      <c r="E2755" s="2" t="str">
        <f>HYPERLINK("https://ibp.a2mac1.com/costing(costing:projects/details/8191/part/5384859)","Upper Skin Support")</f>
        <v>Upper Skin Support</v>
      </c>
      <c r="F2755" t="s">
        <v>3563</v>
      </c>
    </row>
    <row r="2756" spans="1:6" ht="12.75">
      <c r="A2756">
        <v>6973920</v>
      </c>
      <c r="B2756">
        <v>5384859</v>
      </c>
      <c r="C2756" t="s">
        <v>99</v>
      </c>
      <c r="D2756" t="s">
        <v>12</v>
      </c>
      <c r="E2756" s="2" t="str">
        <f>HYPERLINK("https://ibp.a2mac1.com/costing(costing:projects/details/8191/process/6973920)","Automated Process")</f>
        <v>Automated Process</v>
      </c>
      <c r="F2756" t="s">
        <v>3607</v>
      </c>
    </row>
    <row r="2757" spans="1:6" ht="12.75">
      <c r="A2757">
        <v>5317852</v>
      </c>
      <c r="B2757">
        <v>6973920</v>
      </c>
      <c r="C2757" t="s">
        <v>24</v>
      </c>
      <c r="D2757" t="s">
        <v>99</v>
      </c>
      <c r="E2757" s="2" t="str">
        <f>HYPERLINK("https://ibp.a2mac1.com/costing(costing:projects/details/8191/material/5317852)","PP")</f>
        <v>PP</v>
      </c>
      <c r="F2757" t="s">
        <v>3609</v>
      </c>
    </row>
    <row r="2758" spans="1:6" ht="12.75">
      <c r="A2758">
        <v>6946478</v>
      </c>
      <c r="B2758">
        <v>6973920</v>
      </c>
      <c r="C2758" t="s">
        <v>189</v>
      </c>
      <c r="D2758" t="s">
        <v>99</v>
      </c>
      <c r="E2758" s="2" t="str">
        <f>HYPERLINK("https://ibp.a2mac1.com/costing(costing:projects/details/8191/equipment/6946478)","Equipment (Injection Molding)")</f>
        <v>Equipment (Injection Molding)</v>
      </c>
      <c r="F2758" t="s">
        <v>3609</v>
      </c>
    </row>
    <row r="2759" spans="1:6" ht="12.75">
      <c r="A2759">
        <v>5317751</v>
      </c>
      <c r="B2759">
        <v>5384803</v>
      </c>
      <c r="C2759" t="s">
        <v>574</v>
      </c>
      <c r="D2759" t="s">
        <v>8</v>
      </c>
      <c r="E2759" s="2" t="str">
        <f>HYPERLINK("https://ibp.a2mac1.com/costing(costing:projects/details/8191/component/5317751)","Other fastener &gt; Snap Tooling")</f>
        <v>Other fastener &gt; Snap Tooling</v>
      </c>
      <c r="F2759" t="s">
        <v>3563</v>
      </c>
    </row>
    <row r="2760" spans="1:6" ht="12.75">
      <c r="A2760">
        <v>5317752</v>
      </c>
      <c r="B2760">
        <v>5384803</v>
      </c>
      <c r="C2760" t="s">
        <v>574</v>
      </c>
      <c r="D2760" t="s">
        <v>8</v>
      </c>
      <c r="E2760" s="2" t="str">
        <f>HYPERLINK("https://ibp.a2mac1.com/costing(costing:projects/details/8191/component/5317752)","Panel holder &gt; Clips in rectangular hole")</f>
        <v>Panel holder &gt; Clips in rectangular hole</v>
      </c>
      <c r="F2760" t="s">
        <v>3563</v>
      </c>
    </row>
    <row r="2761" spans="1:6" ht="12.75">
      <c r="A2761">
        <v>5317753</v>
      </c>
      <c r="B2761">
        <v>5384803</v>
      </c>
      <c r="C2761" t="s">
        <v>574</v>
      </c>
      <c r="D2761" t="s">
        <v>8</v>
      </c>
      <c r="E2761" s="2" t="str">
        <f>HYPERLINK("https://ibp.a2mac1.com/costing(costing:projects/details/8191/component/5317753)","Panel holder &gt; Clips in rectangular hole")</f>
        <v>Panel holder &gt; Clips in rectangular hole</v>
      </c>
      <c r="F2761" t="s">
        <v>3563</v>
      </c>
    </row>
    <row r="2762" spans="1:6" ht="12.75">
      <c r="A2762">
        <v>5384804</v>
      </c>
      <c r="B2762">
        <v>5384795</v>
      </c>
      <c r="C2762" t="s">
        <v>8</v>
      </c>
      <c r="D2762" t="s">
        <v>8</v>
      </c>
      <c r="E2762" s="2" t="str">
        <f>HYPERLINK("https://ibp.a2mac1.com/costing(costing:projects/details/8191/assembly/5384804)","Bezels System")</f>
        <v>Bezels System</v>
      </c>
      <c r="F2762" t="s">
        <v>3535</v>
      </c>
    </row>
    <row r="2763" spans="1:6" ht="12.75">
      <c r="A2763">
        <v>5384863</v>
      </c>
      <c r="B2763">
        <v>5384804</v>
      </c>
      <c r="C2763" t="s">
        <v>8</v>
      </c>
      <c r="D2763" t="s">
        <v>8</v>
      </c>
      <c r="E2763" s="2" t="str">
        <f>HYPERLINK("https://ibp.a2mac1.com/costing(costing:projects/details/8191/assembly/5384863)","Bezels Driver Side")</f>
        <v>Bezels Driver Side</v>
      </c>
      <c r="F2763" t="s">
        <v>3612</v>
      </c>
    </row>
    <row r="2764" spans="1:6" ht="12.75">
      <c r="A2764">
        <v>5384971</v>
      </c>
      <c r="B2764">
        <v>5384863</v>
      </c>
      <c r="C2764" t="s">
        <v>12</v>
      </c>
      <c r="D2764" t="s">
        <v>8</v>
      </c>
      <c r="E2764" s="2" t="str">
        <f>HYPERLINK("https://ibp.a2mac1.com/costing(costing:projects/details/8191/part/5384971)","Left Bezel")</f>
        <v>Left Bezel</v>
      </c>
      <c r="F2764" t="s">
        <v>3613</v>
      </c>
    </row>
    <row r="2765" spans="1:6" ht="12.75">
      <c r="A2765">
        <v>6973991</v>
      </c>
      <c r="B2765">
        <v>5384971</v>
      </c>
      <c r="C2765" t="s">
        <v>99</v>
      </c>
      <c r="D2765" t="s">
        <v>12</v>
      </c>
      <c r="E2765" s="2" t="str">
        <f>HYPERLINK("https://ibp.a2mac1.com/costing(costing:projects/details/8191/process/6973991)","Automated Process")</f>
        <v>Automated Process</v>
      </c>
      <c r="F2765" t="s">
        <v>3614</v>
      </c>
    </row>
    <row r="2766" spans="1:6" ht="12.75">
      <c r="A2766">
        <v>5317985</v>
      </c>
      <c r="B2766">
        <v>6973991</v>
      </c>
      <c r="C2766" t="s">
        <v>24</v>
      </c>
      <c r="D2766" t="s">
        <v>99</v>
      </c>
      <c r="E2766" s="2" t="str">
        <f>HYPERLINK("https://ibp.a2mac1.com/costing(costing:projects/details/8191/material/5317985)","PC-ABS")</f>
        <v>PC-ABS</v>
      </c>
      <c r="F2766" t="s">
        <v>3615</v>
      </c>
    </row>
    <row r="2767" spans="1:6" ht="12.75">
      <c r="A2767">
        <v>6946563</v>
      </c>
      <c r="B2767">
        <v>6973991</v>
      </c>
      <c r="C2767" t="s">
        <v>189</v>
      </c>
      <c r="D2767" t="s">
        <v>99</v>
      </c>
      <c r="E2767" s="2" t="str">
        <f>HYPERLINK("https://ibp.a2mac1.com/costing(costing:projects/details/8191/equipment/6946563)","Equipment (Injection Molding)")</f>
        <v>Equipment (Injection Molding)</v>
      </c>
      <c r="F2767" t="s">
        <v>3615</v>
      </c>
    </row>
    <row r="2768" spans="1:6" ht="12.75">
      <c r="A2768">
        <v>6973993</v>
      </c>
      <c r="B2768">
        <v>5384971</v>
      </c>
      <c r="C2768" t="s">
        <v>99</v>
      </c>
      <c r="D2768" t="s">
        <v>12</v>
      </c>
      <c r="E2768" s="2" t="str">
        <f>HYPERLINK("https://ibp.a2mac1.com/costing(costing:projects/details/8191/process/6973993)","Chroming line - Small Parts")</f>
        <v>Chroming line - Small Parts</v>
      </c>
      <c r="F2768" t="s">
        <v>3614</v>
      </c>
    </row>
    <row r="2769" spans="1:6" ht="12.75">
      <c r="A2769">
        <v>5317986</v>
      </c>
      <c r="B2769">
        <v>6973993</v>
      </c>
      <c r="C2769" t="s">
        <v>24</v>
      </c>
      <c r="D2769" t="s">
        <v>99</v>
      </c>
      <c r="E2769" s="2" t="str">
        <f>HYPERLINK("https://ibp.a2mac1.com/costing(costing:projects/details/8191/material/5317986)","Chrome for plating")</f>
        <v>Chrome for plating</v>
      </c>
      <c r="F2769" t="s">
        <v>3618</v>
      </c>
    </row>
    <row r="2770" spans="1:6" ht="12.75">
      <c r="A2770">
        <v>6946565</v>
      </c>
      <c r="B2770">
        <v>6973993</v>
      </c>
      <c r="C2770" t="s">
        <v>189</v>
      </c>
      <c r="D2770" t="s">
        <v>99</v>
      </c>
      <c r="E2770" s="2" t="str">
        <f>HYPERLINK("https://ibp.a2mac1.com/costing(costing:projects/details/8191/equipment/6946565)","Chroming line - Small Parts")</f>
        <v>Chroming line - Small Parts</v>
      </c>
      <c r="F2770" t="s">
        <v>3618</v>
      </c>
    </row>
    <row r="2771" spans="1:6" ht="12.75">
      <c r="A2771">
        <v>6973992</v>
      </c>
      <c r="B2771">
        <v>5384971</v>
      </c>
      <c r="C2771" t="s">
        <v>99</v>
      </c>
      <c r="D2771" t="s">
        <v>12</v>
      </c>
      <c r="E2771" s="2" t="str">
        <f>HYPERLINK("https://ibp.a2mac1.com/costing(costing:projects/details/8191/process/6973992)","Chroming line - Load and Unload parts to and from jig")</f>
        <v>Chroming line - Load and Unload parts to and from jig</v>
      </c>
      <c r="F2771" t="s">
        <v>3614</v>
      </c>
    </row>
    <row r="2772" spans="1:6" ht="12.75">
      <c r="A2772">
        <v>6946564</v>
      </c>
      <c r="B2772">
        <v>6973992</v>
      </c>
      <c r="C2772" t="s">
        <v>189</v>
      </c>
      <c r="D2772" t="s">
        <v>99</v>
      </c>
      <c r="E2772" s="2" t="str">
        <f>HYPERLINK("https://ibp.a2mac1.com/costing(costing:projects/details/8191/equipment/6946564)","Chroming line - Load &amp; Unload parts to/from jig")</f>
        <v>Chroming line - Load &amp; Unload parts to/from jig</v>
      </c>
      <c r="F2772" t="s">
        <v>3619</v>
      </c>
    </row>
    <row r="2773" spans="1:6" ht="12.75">
      <c r="A2773">
        <v>5317779</v>
      </c>
      <c r="B2773">
        <v>5384863</v>
      </c>
      <c r="C2773" t="s">
        <v>574</v>
      </c>
      <c r="D2773" t="s">
        <v>8</v>
      </c>
      <c r="E2773" s="2" t="str">
        <f>HYPERLINK("https://ibp.a2mac1.com/costing(costing:projects/details/8191/component/5317779)","Other fastener &gt; Snap Tooling")</f>
        <v>Other fastener &gt; Snap Tooling</v>
      </c>
      <c r="F2773" t="s">
        <v>3613</v>
      </c>
    </row>
    <row r="2774" spans="1:6" ht="12.75">
      <c r="A2774">
        <v>5384864</v>
      </c>
      <c r="B2774">
        <v>5384804</v>
      </c>
      <c r="C2774" t="s">
        <v>8</v>
      </c>
      <c r="D2774" t="s">
        <v>8</v>
      </c>
      <c r="E2774" s="2" t="str">
        <f>HYPERLINK("https://ibp.a2mac1.com/costing(costing:projects/details/8191/assembly/5384864)","Bezels Passenger Side")</f>
        <v>Bezels Passenger Side</v>
      </c>
      <c r="F2774" t="s">
        <v>3612</v>
      </c>
    </row>
    <row r="2775" spans="1:6" ht="12.75">
      <c r="A2775">
        <v>5384972</v>
      </c>
      <c r="B2775">
        <v>5384864</v>
      </c>
      <c r="C2775" t="s">
        <v>12</v>
      </c>
      <c r="D2775" t="s">
        <v>8</v>
      </c>
      <c r="E2775" s="2" t="str">
        <f>HYPERLINK("https://ibp.a2mac1.com/costing(costing:projects/details/8191/part/5384972)","Bezel")</f>
        <v>Bezel</v>
      </c>
      <c r="F2775" t="s">
        <v>3622</v>
      </c>
    </row>
    <row r="2776" spans="1:6" ht="12.75">
      <c r="A2776">
        <v>6973994</v>
      </c>
      <c r="B2776">
        <v>5384972</v>
      </c>
      <c r="C2776" t="s">
        <v>99</v>
      </c>
      <c r="D2776" t="s">
        <v>12</v>
      </c>
      <c r="E2776" s="2" t="str">
        <f>HYPERLINK("https://ibp.a2mac1.com/costing(costing:projects/details/8191/process/6973994)","Automated Process")</f>
        <v>Automated Process</v>
      </c>
      <c r="F2776" t="s">
        <v>3623</v>
      </c>
    </row>
    <row r="2777" spans="1:6" ht="12.75">
      <c r="A2777">
        <v>5317987</v>
      </c>
      <c r="B2777">
        <v>6973994</v>
      </c>
      <c r="C2777" t="s">
        <v>24</v>
      </c>
      <c r="D2777" t="s">
        <v>99</v>
      </c>
      <c r="E2777" s="2" t="str">
        <f>HYPERLINK("https://ibp.a2mac1.com/costing(costing:projects/details/8191/material/5317987)","PC-ABS")</f>
        <v>PC-ABS</v>
      </c>
      <c r="F2777" t="s">
        <v>3626</v>
      </c>
    </row>
    <row r="2778" spans="1:6" ht="12.75">
      <c r="A2778">
        <v>6946566</v>
      </c>
      <c r="B2778">
        <v>6973994</v>
      </c>
      <c r="C2778" t="s">
        <v>189</v>
      </c>
      <c r="D2778" t="s">
        <v>99</v>
      </c>
      <c r="E2778" s="2" t="str">
        <f>HYPERLINK("https://ibp.a2mac1.com/costing(costing:projects/details/8191/equipment/6946566)","Equipment (Injection Molding)")</f>
        <v>Equipment (Injection Molding)</v>
      </c>
      <c r="F2778" t="s">
        <v>3626</v>
      </c>
    </row>
    <row r="2779" spans="1:6" ht="12.75">
      <c r="A2779">
        <v>6973995</v>
      </c>
      <c r="B2779">
        <v>5384972</v>
      </c>
      <c r="C2779" t="s">
        <v>99</v>
      </c>
      <c r="D2779" t="s">
        <v>12</v>
      </c>
      <c r="E2779" s="2" t="str">
        <f>HYPERLINK("https://ibp.a2mac1.com/costing(costing:projects/details/8191/process/6973995)","Painting")</f>
        <v>Painting</v>
      </c>
      <c r="F2779" t="s">
        <v>3623</v>
      </c>
    </row>
    <row r="2780" spans="1:6" ht="12.75">
      <c r="A2780">
        <v>5317988</v>
      </c>
      <c r="B2780">
        <v>6973995</v>
      </c>
      <c r="C2780" t="s">
        <v>24</v>
      </c>
      <c r="D2780" t="s">
        <v>99</v>
      </c>
      <c r="E2780" s="2" t="str">
        <f>HYPERLINK("https://ibp.a2mac1.com/costing(costing:projects/details/8191/material/5317988)","Paint - Clear Coat")</f>
        <v>Paint - Clear Coat</v>
      </c>
      <c r="F2780" t="s">
        <v>3628</v>
      </c>
    </row>
    <row r="2781" spans="1:6" ht="12.75">
      <c r="A2781">
        <v>5317989</v>
      </c>
      <c r="B2781">
        <v>6973995</v>
      </c>
      <c r="C2781" t="s">
        <v>24</v>
      </c>
      <c r="D2781" t="s">
        <v>99</v>
      </c>
      <c r="E2781" s="2" t="str">
        <f>HYPERLINK("https://ibp.a2mac1.com/costing(costing:projects/details/8191/material/5317989)","Paint - Primer")</f>
        <v>Paint - Primer</v>
      </c>
      <c r="F2781" t="s">
        <v>3628</v>
      </c>
    </row>
    <row r="2782" spans="1:6" ht="12.75">
      <c r="A2782">
        <v>5317990</v>
      </c>
      <c r="B2782">
        <v>6973995</v>
      </c>
      <c r="C2782" t="s">
        <v>24</v>
      </c>
      <c r="D2782" t="s">
        <v>99</v>
      </c>
      <c r="E2782" s="2" t="str">
        <f>HYPERLINK("https://ibp.a2mac1.com/costing(costing:projects/details/8191/material/5317990)","Paint - Base")</f>
        <v>Paint - Base</v>
      </c>
      <c r="F2782" t="s">
        <v>3628</v>
      </c>
    </row>
    <row r="2783" spans="1:6" ht="12.75">
      <c r="A2783">
        <v>6946567</v>
      </c>
      <c r="B2783">
        <v>6973995</v>
      </c>
      <c r="C2783" t="s">
        <v>189</v>
      </c>
      <c r="D2783" t="s">
        <v>99</v>
      </c>
      <c r="E2783" s="2" t="str">
        <f>HYPERLINK("https://ibp.a2mac1.com/costing(costing:projects/details/8191/equipment/6946567)","No.04 - 60000x6000x3500 - Automatic Painting Line - with 12x100kW on line ovens ")</f>
        <v xml:space="preserve">No.04 - 60000x6000x3500 - Automatic Painting Line - with 12x100kW on line ovens </v>
      </c>
      <c r="F2783" t="s">
        <v>3628</v>
      </c>
    </row>
    <row r="2784" spans="1:6" ht="12.75">
      <c r="A2784">
        <v>6946568</v>
      </c>
      <c r="B2784">
        <v>6973995</v>
      </c>
      <c r="C2784" t="s">
        <v>189</v>
      </c>
      <c r="D2784" t="s">
        <v>99</v>
      </c>
      <c r="E2784" s="2" t="str">
        <f>HYPERLINK("https://ibp.a2mac1.com/costing(costing:projects/details/8191/equipment/6946568)","Loading + Unloading + Retouching + Checking")</f>
        <v>Loading + Unloading + Retouching + Checking</v>
      </c>
      <c r="F2784" t="s">
        <v>3628</v>
      </c>
    </row>
    <row r="2785" spans="1:6" ht="12.75">
      <c r="A2785">
        <v>6946569</v>
      </c>
      <c r="B2785">
        <v>6973995</v>
      </c>
      <c r="C2785" t="s">
        <v>189</v>
      </c>
      <c r="D2785" t="s">
        <v>99</v>
      </c>
      <c r="E2785" s="2" t="str">
        <f>HYPERLINK("https://ibp.a2mac1.com/costing(costing:projects/details/8191/equipment/6946569)","Masking (If Appl.)")</f>
        <v>Masking (If Appl.)</v>
      </c>
      <c r="F2785" t="s">
        <v>3628</v>
      </c>
    </row>
    <row r="2786" spans="1:6" ht="12.75">
      <c r="A2786">
        <v>5317780</v>
      </c>
      <c r="B2786">
        <v>5384864</v>
      </c>
      <c r="C2786" t="s">
        <v>574</v>
      </c>
      <c r="D2786" t="s">
        <v>8</v>
      </c>
      <c r="E2786" s="2" t="str">
        <f>HYPERLINK("https://ibp.a2mac1.com/costing(costing:projects/details/8191/component/5317780)","Other fastener &gt; Snap Tooling")</f>
        <v>Other fastener &gt; Snap Tooling</v>
      </c>
      <c r="F2786" t="s">
        <v>3622</v>
      </c>
    </row>
    <row r="2787" spans="1:6" ht="12.75">
      <c r="A2787">
        <v>5384805</v>
      </c>
      <c r="B2787">
        <v>5384795</v>
      </c>
      <c r="C2787" t="s">
        <v>8</v>
      </c>
      <c r="D2787" t="s">
        <v>8</v>
      </c>
      <c r="E2787" s="2" t="str">
        <f>HYPERLINK("https://ibp.a2mac1.com/costing(costing:projects/details/8191/assembly/5384805)","Instrumentation")</f>
        <v>Instrumentation</v>
      </c>
      <c r="F2787" t="s">
        <v>3535</v>
      </c>
    </row>
    <row r="2788" spans="1:6" ht="12.75">
      <c r="A2788">
        <v>5384866</v>
      </c>
      <c r="B2788">
        <v>5384805</v>
      </c>
      <c r="C2788" t="s">
        <v>8</v>
      </c>
      <c r="D2788" t="s">
        <v>8</v>
      </c>
      <c r="E2788" s="2" t="str">
        <f>HYPERLINK("https://ibp.a2mac1.com/costing(costing:projects/details/8191/assembly/5384866)","Cluster system")</f>
        <v>Cluster system</v>
      </c>
      <c r="F2788" t="s">
        <v>3637</v>
      </c>
    </row>
    <row r="2789" spans="1:6" ht="12.75">
      <c r="A2789">
        <v>5384974</v>
      </c>
      <c r="B2789">
        <v>5384866</v>
      </c>
      <c r="C2789" t="s">
        <v>8</v>
      </c>
      <c r="D2789" t="s">
        <v>8</v>
      </c>
      <c r="E2789" s="2" t="str">
        <f>HYPERLINK("https://ibp.a2mac1.com/costing(costing:projects/details/8191/assembly/5384974)","Bezels System")</f>
        <v>Bezels System</v>
      </c>
      <c r="F2789" t="s">
        <v>3638</v>
      </c>
    </row>
    <row r="2790" spans="1:6" ht="12.75">
      <c r="A2790">
        <v>5385096</v>
      </c>
      <c r="B2790">
        <v>5384974</v>
      </c>
      <c r="C2790" t="s">
        <v>12</v>
      </c>
      <c r="D2790" t="s">
        <v>8</v>
      </c>
      <c r="E2790" s="2" t="str">
        <f>HYPERLINK("https://ibp.a2mac1.com/costing(costing:projects/details/8191/part/5385096)","Main Single Bezel")</f>
        <v>Main Single Bezel</v>
      </c>
      <c r="F2790" t="s">
        <v>3639</v>
      </c>
    </row>
    <row r="2791" spans="1:6" ht="12.75">
      <c r="A2791">
        <v>5384973</v>
      </c>
      <c r="B2791">
        <v>5384866</v>
      </c>
      <c r="C2791" t="s">
        <v>12</v>
      </c>
      <c r="D2791" t="s">
        <v>8</v>
      </c>
      <c r="E2791" s="2" t="str">
        <f>HYPERLINK("https://ibp.a2mac1.com/costing(costing:projects/details/8191/part/5384973)","Cluster")</f>
        <v>Cluster</v>
      </c>
      <c r="F2791" t="s">
        <v>3638</v>
      </c>
    </row>
    <row r="2792" spans="1:6" ht="12.75">
      <c r="A2792">
        <v>6973996</v>
      </c>
      <c r="B2792">
        <v>5384973</v>
      </c>
      <c r="C2792" t="s">
        <v>99</v>
      </c>
      <c r="D2792" t="s">
        <v>12</v>
      </c>
      <c r="E2792" s="2" t="str">
        <f>HYPERLINK("https://ibp.a2mac1.com/costing(costing:projects/details/8191/process/6973996)","Process")</f>
        <v>Process</v>
      </c>
      <c r="F2792" t="s">
        <v>3642</v>
      </c>
    </row>
    <row r="2793" spans="1:6" ht="12.75">
      <c r="A2793">
        <v>6946570</v>
      </c>
      <c r="B2793">
        <v>6973996</v>
      </c>
      <c r="C2793" t="s">
        <v>189</v>
      </c>
      <c r="D2793" t="s">
        <v>99</v>
      </c>
      <c r="E2793" s="2" t="str">
        <f>HYPERLINK("https://ibp.a2mac1.com/costing(costing:projects/details/8191/equipment/6946570)","Dummy Machine (PCBA+Final Assembly Line)")</f>
        <v>Dummy Machine (PCBA+Final Assembly Line)</v>
      </c>
      <c r="F2793" t="s">
        <v>3643</v>
      </c>
    </row>
    <row r="2794" spans="1:6" ht="12.75">
      <c r="A2794">
        <v>5317853</v>
      </c>
      <c r="B2794">
        <v>5384973</v>
      </c>
      <c r="C2794" t="s">
        <v>574</v>
      </c>
      <c r="D2794" t="s">
        <v>12</v>
      </c>
      <c r="E2794" s="2" t="str">
        <f>HYPERLINK("https://ibp.a2mac1.com/costing(costing:projects/details/8191/component/5317853)","Electronics")</f>
        <v>Electronics</v>
      </c>
      <c r="F2794" t="s">
        <v>3642</v>
      </c>
    </row>
    <row r="2795" spans="1:6" ht="12.75">
      <c r="A2795">
        <v>5317854</v>
      </c>
      <c r="B2795">
        <v>5384973</v>
      </c>
      <c r="C2795" t="s">
        <v>574</v>
      </c>
      <c r="D2795" t="s">
        <v>12</v>
      </c>
      <c r="E2795" s="2" t="str">
        <f>HYPERLINK("https://ibp.a2mac1.com/costing(costing:projects/details/8191/component/5317854)","Mechanics")</f>
        <v>Mechanics</v>
      </c>
      <c r="F2795" t="s">
        <v>3642</v>
      </c>
    </row>
    <row r="2796" spans="1:6" ht="12.75">
      <c r="A2796">
        <v>5384867</v>
      </c>
      <c r="B2796">
        <v>5384805</v>
      </c>
      <c r="C2796" t="s">
        <v>8</v>
      </c>
      <c r="D2796" t="s">
        <v>8</v>
      </c>
      <c r="E2796" s="2" t="str">
        <f>HYPERLINK("https://ibp.a2mac1.com/costing(costing:projects/details/8191/assembly/5384867)","Audio System")</f>
        <v>Audio System</v>
      </c>
      <c r="F2796" t="s">
        <v>3637</v>
      </c>
    </row>
    <row r="2797" spans="1:6" ht="12.75">
      <c r="A2797">
        <v>5384975</v>
      </c>
      <c r="B2797">
        <v>5384867</v>
      </c>
      <c r="C2797" t="s">
        <v>12</v>
      </c>
      <c r="D2797" t="s">
        <v>8</v>
      </c>
      <c r="E2797" s="2" t="str">
        <f>HYPERLINK("https://ibp.a2mac1.com/costing(costing:projects/details/8191/part/5384975)","Radio")</f>
        <v>Radio</v>
      </c>
      <c r="F2797" t="s">
        <v>3647</v>
      </c>
    </row>
    <row r="2798" spans="1:6" ht="12.75">
      <c r="A2798">
        <v>6973997</v>
      </c>
      <c r="B2798">
        <v>5384975</v>
      </c>
      <c r="C2798" t="s">
        <v>99</v>
      </c>
      <c r="D2798" t="s">
        <v>12</v>
      </c>
      <c r="E2798" s="2" t="str">
        <f>HYPERLINK("https://ibp.a2mac1.com/costing(costing:projects/details/8191/process/6973997)","Process")</f>
        <v>Process</v>
      </c>
      <c r="F2798" t="s">
        <v>3648</v>
      </c>
    </row>
    <row r="2799" spans="1:6" ht="12.75">
      <c r="A2799">
        <v>6946571</v>
      </c>
      <c r="B2799">
        <v>6973997</v>
      </c>
      <c r="C2799" t="s">
        <v>189</v>
      </c>
      <c r="D2799" t="s">
        <v>99</v>
      </c>
      <c r="E2799" s="2" t="str">
        <f>HYPERLINK("https://ibp.a2mac1.com/costing(costing:projects/details/8191/equipment/6946571)","Dummy Machine (PCBA+Final Assembly Line)")</f>
        <v>Dummy Machine (PCBA+Final Assembly Line)</v>
      </c>
      <c r="F2799" t="s">
        <v>3649</v>
      </c>
    </row>
    <row r="2800" spans="1:6" ht="12.75">
      <c r="A2800">
        <v>5317855</v>
      </c>
      <c r="B2800">
        <v>5384975</v>
      </c>
      <c r="C2800" t="s">
        <v>574</v>
      </c>
      <c r="D2800" t="s">
        <v>12</v>
      </c>
      <c r="E2800" s="2" t="str">
        <f>HYPERLINK("https://ibp.a2mac1.com/costing(costing:projects/details/8191/component/5317855)","Electronics")</f>
        <v>Electronics</v>
      </c>
      <c r="F2800" t="s">
        <v>3648</v>
      </c>
    </row>
    <row r="2801" spans="1:6" ht="12.75">
      <c r="A2801">
        <v>5317856</v>
      </c>
      <c r="B2801">
        <v>5384975</v>
      </c>
      <c r="C2801" t="s">
        <v>574</v>
      </c>
      <c r="D2801" t="s">
        <v>12</v>
      </c>
      <c r="E2801" s="2" t="str">
        <f>HYPERLINK("https://ibp.a2mac1.com/costing(costing:projects/details/8191/component/5317856)","Mechanics")</f>
        <v>Mechanics</v>
      </c>
      <c r="F2801" t="s">
        <v>3648</v>
      </c>
    </row>
    <row r="2802" spans="1:6" ht="12.75">
      <c r="A2802">
        <v>5384976</v>
      </c>
      <c r="B2802">
        <v>5384867</v>
      </c>
      <c r="C2802" t="s">
        <v>12</v>
      </c>
      <c r="D2802" t="s">
        <v>8</v>
      </c>
      <c r="E2802" s="2" t="str">
        <f>HYPERLINK("https://ibp.a2mac1.com/costing(costing:projects/details/8191/part/5384976)","Radio Support")</f>
        <v>Radio Support</v>
      </c>
      <c r="F2802" t="s">
        <v>3647</v>
      </c>
    </row>
    <row r="2803" spans="1:6" ht="12.75">
      <c r="A2803">
        <v>5384868</v>
      </c>
      <c r="B2803">
        <v>5384805</v>
      </c>
      <c r="C2803" t="s">
        <v>8</v>
      </c>
      <c r="D2803" t="s">
        <v>8</v>
      </c>
      <c r="E2803" s="2" t="str">
        <f>HYPERLINK("https://ibp.a2mac1.com/costing(costing:projects/details/8191/assembly/5384868)","LCD Screen System")</f>
        <v>LCD Screen System</v>
      </c>
      <c r="F2803" t="s">
        <v>3637</v>
      </c>
    </row>
    <row r="2804" spans="1:6" ht="12.75">
      <c r="A2804">
        <v>5384977</v>
      </c>
      <c r="B2804">
        <v>5384868</v>
      </c>
      <c r="C2804" t="s">
        <v>12</v>
      </c>
      <c r="D2804" t="s">
        <v>8</v>
      </c>
      <c r="E2804" s="2" t="str">
        <f>HYPERLINK("https://ibp.a2mac1.com/costing(costing:projects/details/8191/part/5384977)","Screen")</f>
        <v>Screen</v>
      </c>
      <c r="F2804" t="s">
        <v>3654</v>
      </c>
    </row>
    <row r="2805" spans="1:6" ht="12.75">
      <c r="A2805">
        <v>6973998</v>
      </c>
      <c r="B2805">
        <v>5384977</v>
      </c>
      <c r="C2805" t="s">
        <v>99</v>
      </c>
      <c r="D2805" t="s">
        <v>12</v>
      </c>
      <c r="E2805" s="2" t="str">
        <f>HYPERLINK("https://ibp.a2mac1.com/costing(costing:projects/details/8191/process/6973998)","Process")</f>
        <v>Process</v>
      </c>
      <c r="F2805" t="s">
        <v>3655</v>
      </c>
    </row>
    <row r="2806" spans="1:6" ht="12.75">
      <c r="A2806">
        <v>6946572</v>
      </c>
      <c r="B2806">
        <v>6973998</v>
      </c>
      <c r="C2806" t="s">
        <v>189</v>
      </c>
      <c r="D2806" t="s">
        <v>99</v>
      </c>
      <c r="E2806" s="2" t="str">
        <f>HYPERLINK("https://ibp.a2mac1.com/costing(costing:projects/details/8191/equipment/6946572)","Dummy Machine (PCBA+Final Assembly Line)")</f>
        <v>Dummy Machine (PCBA+Final Assembly Line)</v>
      </c>
      <c r="F2806" t="s">
        <v>3656</v>
      </c>
    </row>
    <row r="2807" spans="1:6" ht="12.75">
      <c r="A2807">
        <v>5317857</v>
      </c>
      <c r="B2807">
        <v>5384977</v>
      </c>
      <c r="C2807" t="s">
        <v>574</v>
      </c>
      <c r="D2807" t="s">
        <v>12</v>
      </c>
      <c r="E2807" s="2" t="str">
        <f>HYPERLINK("https://ibp.a2mac1.com/costing(costing:projects/details/8191/component/5317857)","Electronics")</f>
        <v>Electronics</v>
      </c>
      <c r="F2807" t="s">
        <v>3655</v>
      </c>
    </row>
    <row r="2808" spans="1:6" ht="12.75">
      <c r="A2808">
        <v>5317858</v>
      </c>
      <c r="B2808">
        <v>5384977</v>
      </c>
      <c r="C2808" t="s">
        <v>574</v>
      </c>
      <c r="D2808" t="s">
        <v>12</v>
      </c>
      <c r="E2808" s="2" t="str">
        <f>HYPERLINK("https://ibp.a2mac1.com/costing(costing:projects/details/8191/component/5317858)","Mechanics")</f>
        <v>Mechanics</v>
      </c>
      <c r="F2808" t="s">
        <v>3655</v>
      </c>
    </row>
    <row r="2809" spans="1:6" ht="12.75">
      <c r="A2809">
        <v>5384978</v>
      </c>
      <c r="B2809">
        <v>5384868</v>
      </c>
      <c r="C2809" t="s">
        <v>12</v>
      </c>
      <c r="D2809" t="s">
        <v>8</v>
      </c>
      <c r="E2809" s="2" t="str">
        <f>HYPERLINK("https://ibp.a2mac1.com/costing(costing:projects/details/8191/part/5384978)","LCD Screen Bezel")</f>
        <v>LCD Screen Bezel</v>
      </c>
      <c r="F2809" t="s">
        <v>3654</v>
      </c>
    </row>
    <row r="2810" spans="1:6" ht="12.75">
      <c r="A2810">
        <v>6973999</v>
      </c>
      <c r="B2810">
        <v>5384978</v>
      </c>
      <c r="C2810" t="s">
        <v>99</v>
      </c>
      <c r="D2810" t="s">
        <v>12</v>
      </c>
      <c r="E2810" s="2" t="str">
        <f>HYPERLINK("https://ibp.a2mac1.com/costing(costing:projects/details/8191/process/6973999)","Automated Process")</f>
        <v>Automated Process</v>
      </c>
      <c r="F2810" t="s">
        <v>3659</v>
      </c>
    </row>
    <row r="2811" spans="1:6" ht="12.75">
      <c r="A2811">
        <v>5317991</v>
      </c>
      <c r="B2811">
        <v>6973999</v>
      </c>
      <c r="C2811" t="s">
        <v>24</v>
      </c>
      <c r="D2811" t="s">
        <v>99</v>
      </c>
      <c r="E2811" s="2" t="str">
        <f>HYPERLINK("https://ibp.a2mac1.com/costing(costing:projects/details/8191/material/5317991)","PC-ABS")</f>
        <v>PC-ABS</v>
      </c>
      <c r="F2811" t="s">
        <v>3662</v>
      </c>
    </row>
    <row r="2812" spans="1:6" ht="12.75">
      <c r="A2812">
        <v>6946573</v>
      </c>
      <c r="B2812">
        <v>6973999</v>
      </c>
      <c r="C2812" t="s">
        <v>189</v>
      </c>
      <c r="D2812" t="s">
        <v>99</v>
      </c>
      <c r="E2812" s="2" t="str">
        <f>HYPERLINK("https://ibp.a2mac1.com/costing(costing:projects/details/8191/equipment/6946573)","Equipment (Injection Molding)")</f>
        <v>Equipment (Injection Molding)</v>
      </c>
      <c r="F2812" t="s">
        <v>3662</v>
      </c>
    </row>
    <row r="2813" spans="1:6" ht="12.75">
      <c r="A2813">
        <v>5384979</v>
      </c>
      <c r="B2813">
        <v>5384868</v>
      </c>
      <c r="C2813" t="s">
        <v>12</v>
      </c>
      <c r="D2813" t="s">
        <v>8</v>
      </c>
      <c r="E2813" s="2" t="str">
        <f>HYPERLINK("https://ibp.a2mac1.com/costing(costing:projects/details/8191/part/5384979)","2nd Trim")</f>
        <v>2nd Trim</v>
      </c>
      <c r="F2813" t="s">
        <v>3654</v>
      </c>
    </row>
    <row r="2814" spans="1:6" ht="12.75">
      <c r="A2814">
        <v>6974000</v>
      </c>
      <c r="B2814">
        <v>5384979</v>
      </c>
      <c r="C2814" t="s">
        <v>99</v>
      </c>
      <c r="D2814" t="s">
        <v>12</v>
      </c>
      <c r="E2814" s="2" t="str">
        <f>HYPERLINK("https://ibp.a2mac1.com/costing(costing:projects/details/8191/process/6974000)","Automated Process")</f>
        <v>Automated Process</v>
      </c>
      <c r="F2814" t="s">
        <v>3664</v>
      </c>
    </row>
    <row r="2815" spans="1:6" ht="12.75">
      <c r="A2815">
        <v>5317992</v>
      </c>
      <c r="B2815">
        <v>6974000</v>
      </c>
      <c r="C2815" t="s">
        <v>24</v>
      </c>
      <c r="D2815" t="s">
        <v>99</v>
      </c>
      <c r="E2815" s="2" t="str">
        <f>HYPERLINK("https://ibp.a2mac1.com/costing(costing:projects/details/8191/material/5317992)","PC-ABS")</f>
        <v>PC-ABS</v>
      </c>
      <c r="F2815" t="s">
        <v>3667</v>
      </c>
    </row>
    <row r="2816" spans="1:6" ht="12.75">
      <c r="A2816">
        <v>6946574</v>
      </c>
      <c r="B2816">
        <v>6974000</v>
      </c>
      <c r="C2816" t="s">
        <v>189</v>
      </c>
      <c r="D2816" t="s">
        <v>99</v>
      </c>
      <c r="E2816" s="2" t="str">
        <f>HYPERLINK("https://ibp.a2mac1.com/costing(costing:projects/details/8191/equipment/6946574)","Equipment (Injection Molding)")</f>
        <v>Equipment (Injection Molding)</v>
      </c>
      <c r="F2816" t="s">
        <v>3667</v>
      </c>
    </row>
    <row r="2817" spans="1:6" ht="12.75">
      <c r="A2817">
        <v>5384980</v>
      </c>
      <c r="B2817">
        <v>5384868</v>
      </c>
      <c r="C2817" t="s">
        <v>12</v>
      </c>
      <c r="D2817" t="s">
        <v>8</v>
      </c>
      <c r="E2817" s="2" t="str">
        <f>HYPERLINK("https://ibp.a2mac1.com/costing(costing:projects/details/8191/part/5384980)","LCD Support")</f>
        <v>LCD Support</v>
      </c>
      <c r="F2817" t="s">
        <v>3654</v>
      </c>
    </row>
    <row r="2818" spans="1:6" ht="12.75">
      <c r="A2818">
        <v>5384981</v>
      </c>
      <c r="B2818">
        <v>5384868</v>
      </c>
      <c r="C2818" t="s">
        <v>12</v>
      </c>
      <c r="D2818" t="s">
        <v>8</v>
      </c>
      <c r="E2818" s="2" t="str">
        <f>HYPERLINK("https://ibp.a2mac1.com/costing(costing:projects/details/8191/part/5384981)","Cover for Removable Screen")</f>
        <v>Cover for Removable Screen</v>
      </c>
      <c r="F2818" t="s">
        <v>3654</v>
      </c>
    </row>
    <row r="2819" spans="1:6" ht="12.75">
      <c r="A2819">
        <v>5317781</v>
      </c>
      <c r="B2819">
        <v>5384868</v>
      </c>
      <c r="C2819" t="s">
        <v>574</v>
      </c>
      <c r="D2819" t="s">
        <v>8</v>
      </c>
      <c r="E2819" s="2" t="str">
        <f>HYPERLINK("https://ibp.a2mac1.com/costing(costing:projects/details/8191/component/5317781)","Screw &gt; Torx socket head cap screw with flange")</f>
        <v>Screw &gt; Torx socket head cap screw with flange</v>
      </c>
      <c r="F2819" t="s">
        <v>3654</v>
      </c>
    </row>
    <row r="2820" spans="1:6" ht="12.75">
      <c r="A2820">
        <v>5317782</v>
      </c>
      <c r="B2820">
        <v>5384868</v>
      </c>
      <c r="C2820" t="s">
        <v>574</v>
      </c>
      <c r="D2820" t="s">
        <v>8</v>
      </c>
      <c r="E2820" s="2" t="str">
        <f>HYPERLINK("https://ibp.a2mac1.com/costing(costing:projects/details/8191/component/5317782)","Screw &gt; Torx socket head cap screw with flange")</f>
        <v>Screw &gt; Torx socket head cap screw with flange</v>
      </c>
      <c r="F2820" t="s">
        <v>3654</v>
      </c>
    </row>
    <row r="2821" spans="1:6" ht="12.75">
      <c r="A2821">
        <v>5317783</v>
      </c>
      <c r="B2821">
        <v>5384868</v>
      </c>
      <c r="C2821" t="s">
        <v>574</v>
      </c>
      <c r="D2821" t="s">
        <v>8</v>
      </c>
      <c r="E2821" s="2" t="str">
        <f>HYPERLINK("https://ibp.a2mac1.com/costing(costing:projects/details/8191/component/5317783)","Screw &gt; Torx socket head cap screw with flange")</f>
        <v>Screw &gt; Torx socket head cap screw with flange</v>
      </c>
      <c r="F2821" t="s">
        <v>3654</v>
      </c>
    </row>
    <row r="2822" spans="1:6" ht="12.75">
      <c r="A2822">
        <v>5317784</v>
      </c>
      <c r="B2822">
        <v>5384868</v>
      </c>
      <c r="C2822" t="s">
        <v>574</v>
      </c>
      <c r="D2822" t="s">
        <v>8</v>
      </c>
      <c r="E2822" s="2" t="str">
        <f>HYPERLINK("https://ibp.a2mac1.com/costing(costing:projects/details/8191/component/5317784)","Panel holder &gt; Clips in rectangular hole")</f>
        <v>Panel holder &gt; Clips in rectangular hole</v>
      </c>
      <c r="F2822" t="s">
        <v>3654</v>
      </c>
    </row>
    <row r="2823" spans="1:6" ht="12.75">
      <c r="A2823">
        <v>5384869</v>
      </c>
      <c r="B2823">
        <v>5384805</v>
      </c>
      <c r="C2823" t="s">
        <v>8</v>
      </c>
      <c r="D2823" t="s">
        <v>8</v>
      </c>
      <c r="E2823" s="2" t="str">
        <f>HYPERLINK("https://ibp.a2mac1.com/costing(costing:projects/details/8191/assembly/5384869)","Lighting System")</f>
        <v>Lighting System</v>
      </c>
      <c r="F2823" t="s">
        <v>3637</v>
      </c>
    </row>
    <row r="2824" spans="1:6" ht="12.75">
      <c r="A2824">
        <v>5384982</v>
      </c>
      <c r="B2824">
        <v>5384869</v>
      </c>
      <c r="C2824" t="s">
        <v>12</v>
      </c>
      <c r="D2824" t="s">
        <v>8</v>
      </c>
      <c r="E2824" s="2" t="str">
        <f>HYPERLINK("https://ibp.a2mac1.com/costing(costing:projects/details/8191/part/5384982)","Light Switch")</f>
        <v>Light Switch</v>
      </c>
      <c r="F2824" t="s">
        <v>3672</v>
      </c>
    </row>
    <row r="2825" spans="1:6" ht="12.75">
      <c r="A2825">
        <v>5384870</v>
      </c>
      <c r="B2825">
        <v>5384805</v>
      </c>
      <c r="C2825" t="s">
        <v>8</v>
      </c>
      <c r="D2825" t="s">
        <v>8</v>
      </c>
      <c r="E2825" s="2" t="str">
        <f>HYPERLINK("https://ibp.a2mac1.com/costing(costing:projects/details/8191/assembly/5384870)","Electronics Ignition System")</f>
        <v>Electronics Ignition System</v>
      </c>
      <c r="F2825" t="s">
        <v>3637</v>
      </c>
    </row>
    <row r="2826" spans="1:6" ht="12.75">
      <c r="A2826">
        <v>5384983</v>
      </c>
      <c r="B2826">
        <v>5384870</v>
      </c>
      <c r="C2826" t="s">
        <v>12</v>
      </c>
      <c r="D2826" t="s">
        <v>8</v>
      </c>
      <c r="E2826" s="2" t="str">
        <f>HYPERLINK("https://ibp.a2mac1.com/costing(costing:projects/details/8191/part/5384983)","Ignition Switch")</f>
        <v>Ignition Switch</v>
      </c>
      <c r="F2826" t="s">
        <v>3676</v>
      </c>
    </row>
    <row r="2827" spans="1:6" ht="12.75">
      <c r="A2827">
        <v>5384984</v>
      </c>
      <c r="B2827">
        <v>5384870</v>
      </c>
      <c r="C2827" t="s">
        <v>12</v>
      </c>
      <c r="D2827" t="s">
        <v>8</v>
      </c>
      <c r="E2827" s="2" t="str">
        <f>HYPERLINK("https://ibp.a2mac1.com/costing(costing:projects/details/8191/part/5384984)","Ignition Switch Support")</f>
        <v>Ignition Switch Support</v>
      </c>
      <c r="F2827" t="s">
        <v>3676</v>
      </c>
    </row>
    <row r="2828" spans="1:6" ht="12.75">
      <c r="A2828">
        <v>5384871</v>
      </c>
      <c r="B2828">
        <v>5384805</v>
      </c>
      <c r="C2828" t="s">
        <v>8</v>
      </c>
      <c r="D2828" t="s">
        <v>8</v>
      </c>
      <c r="E2828" s="2" t="str">
        <f>HYPERLINK("https://ibp.a2mac1.com/costing(costing:projects/details/8191/assembly/5384871)","Ambiance Light System")</f>
        <v>Ambiance Light System</v>
      </c>
      <c r="F2828" t="s">
        <v>3637</v>
      </c>
    </row>
    <row r="2829" spans="1:6" ht="12.75">
      <c r="A2829">
        <v>5384985</v>
      </c>
      <c r="B2829">
        <v>5384871</v>
      </c>
      <c r="C2829" t="s">
        <v>12</v>
      </c>
      <c r="D2829" t="s">
        <v>8</v>
      </c>
      <c r="E2829" s="2" t="str">
        <f>HYPERLINK("https://ibp.a2mac1.com/costing(costing:projects/details/8191/part/5384985)","Left Lighting")</f>
        <v>Left Lighting</v>
      </c>
      <c r="F2829" t="s">
        <v>3682</v>
      </c>
    </row>
    <row r="2830" spans="1:6" ht="12.75">
      <c r="A2830">
        <v>5384986</v>
      </c>
      <c r="B2830">
        <v>5384871</v>
      </c>
      <c r="C2830" t="s">
        <v>12</v>
      </c>
      <c r="D2830" t="s">
        <v>8</v>
      </c>
      <c r="E2830" s="2" t="str">
        <f>HYPERLINK("https://ibp.a2mac1.com/costing(costing:projects/details/8191/part/5384986)","Right Lighting")</f>
        <v>Right Lighting</v>
      </c>
      <c r="F2830" t="s">
        <v>3682</v>
      </c>
    </row>
    <row r="2831" spans="1:6" ht="12.75">
      <c r="A2831">
        <v>5384987</v>
      </c>
      <c r="B2831">
        <v>5384871</v>
      </c>
      <c r="C2831" t="s">
        <v>12</v>
      </c>
      <c r="D2831" t="s">
        <v>8</v>
      </c>
      <c r="E2831" s="2" t="str">
        <f>HYPERLINK("https://ibp.a2mac1.com/costing(costing:projects/details/8191/part/5384987)","Right Ambiance Light Support")</f>
        <v>Right Ambiance Light Support</v>
      </c>
      <c r="F2831" t="s">
        <v>3682</v>
      </c>
    </row>
    <row r="2832" spans="1:6" ht="12.75">
      <c r="A2832">
        <v>5384988</v>
      </c>
      <c r="B2832">
        <v>5384871</v>
      </c>
      <c r="C2832" t="s">
        <v>12</v>
      </c>
      <c r="D2832" t="s">
        <v>8</v>
      </c>
      <c r="E2832" s="2" t="str">
        <f>HYPERLINK("https://ibp.a2mac1.com/costing(costing:projects/details/8191/part/5384988)","Right Lighting Diffuser")</f>
        <v>Right Lighting Diffuser</v>
      </c>
      <c r="F2832" t="s">
        <v>3682</v>
      </c>
    </row>
    <row r="2833" spans="1:6" ht="12.75">
      <c r="A2833">
        <v>5384989</v>
      </c>
      <c r="B2833">
        <v>5384871</v>
      </c>
      <c r="C2833" t="s">
        <v>12</v>
      </c>
      <c r="D2833" t="s">
        <v>8</v>
      </c>
      <c r="E2833" s="2" t="str">
        <f>HYPERLINK("https://ibp.a2mac1.com/costing(costing:projects/details/8191/part/5384989)","Upper Center Lighting")</f>
        <v>Upper Center Lighting</v>
      </c>
      <c r="F2833" t="s">
        <v>3682</v>
      </c>
    </row>
    <row r="2834" spans="1:6" ht="12.75">
      <c r="A2834">
        <v>5384990</v>
      </c>
      <c r="B2834">
        <v>5384871</v>
      </c>
      <c r="C2834" t="s">
        <v>12</v>
      </c>
      <c r="D2834" t="s">
        <v>8</v>
      </c>
      <c r="E2834" s="2" t="str">
        <f>HYPERLINK("https://ibp.a2mac1.com/costing(costing:projects/details/8191/part/5384990)","Upper Center Lighting Diffuser")</f>
        <v>Upper Center Lighting Diffuser</v>
      </c>
      <c r="F2834" t="s">
        <v>3682</v>
      </c>
    </row>
    <row r="2835" spans="1:6" ht="12.75">
      <c r="A2835">
        <v>5384991</v>
      </c>
      <c r="B2835">
        <v>5384871</v>
      </c>
      <c r="C2835" t="s">
        <v>12</v>
      </c>
      <c r="D2835" t="s">
        <v>8</v>
      </c>
      <c r="E2835" s="2" t="str">
        <f>HYPERLINK("https://ibp.a2mac1.com/costing(costing:projects/details/8191/part/5384991)","Left Lighting Diffuser")</f>
        <v>Left Lighting Diffuser</v>
      </c>
      <c r="F2835" t="s">
        <v>3682</v>
      </c>
    </row>
    <row r="2836" spans="1:6" ht="12.75">
      <c r="A2836">
        <v>5384992</v>
      </c>
      <c r="B2836">
        <v>5384871</v>
      </c>
      <c r="C2836" t="s">
        <v>12</v>
      </c>
      <c r="D2836" t="s">
        <v>8</v>
      </c>
      <c r="E2836" s="2" t="str">
        <f>HYPERLINK("https://ibp.a2mac1.com/costing(costing:projects/details/8191/part/5384992)","Left Lighting Diffuser support")</f>
        <v>Left Lighting Diffuser support</v>
      </c>
      <c r="F2836" t="s">
        <v>3682</v>
      </c>
    </row>
    <row r="2837" spans="1:6" ht="12.75">
      <c r="A2837">
        <v>5317785</v>
      </c>
      <c r="B2837">
        <v>5384871</v>
      </c>
      <c r="C2837" t="s">
        <v>574</v>
      </c>
      <c r="D2837" t="s">
        <v>8</v>
      </c>
      <c r="E2837" s="2" t="str">
        <f>HYPERLINK("https://ibp.a2mac1.com/costing(costing:projects/details/8191/component/5317785)","Other fastener &gt; Snap Tooling")</f>
        <v>Other fastener &gt; Snap Tooling</v>
      </c>
      <c r="F2837" t="s">
        <v>3682</v>
      </c>
    </row>
    <row r="2838" spans="1:6" ht="12.75">
      <c r="A2838">
        <v>5317786</v>
      </c>
      <c r="B2838">
        <v>5384871</v>
      </c>
      <c r="C2838" t="s">
        <v>574</v>
      </c>
      <c r="D2838" t="s">
        <v>8</v>
      </c>
      <c r="E2838" s="2" t="str">
        <f>HYPERLINK("https://ibp.a2mac1.com/costing(costing:projects/details/8191/component/5317786)","Other fastener &gt; Snap Tooling")</f>
        <v>Other fastener &gt; Snap Tooling</v>
      </c>
      <c r="F2838" t="s">
        <v>3682</v>
      </c>
    </row>
    <row r="2839" spans="1:6" ht="12.75">
      <c r="A2839">
        <v>5384872</v>
      </c>
      <c r="B2839">
        <v>5384805</v>
      </c>
      <c r="C2839" t="s">
        <v>8</v>
      </c>
      <c r="D2839" t="s">
        <v>8</v>
      </c>
      <c r="E2839" s="2" t="str">
        <f>HYPERLINK("https://ibp.a2mac1.com/costing(costing:projects/details/8191/assembly/5384872)","Driver Communication Light Bar System")</f>
        <v>Driver Communication Light Bar System</v>
      </c>
      <c r="F2839" t="s">
        <v>3637</v>
      </c>
    </row>
    <row r="2840" spans="1:6" ht="12.75">
      <c r="A2840">
        <v>5384993</v>
      </c>
      <c r="B2840">
        <v>5384872</v>
      </c>
      <c r="C2840" t="s">
        <v>12</v>
      </c>
      <c r="D2840" t="s">
        <v>8</v>
      </c>
      <c r="E2840" s="2" t="str">
        <f>HYPERLINK("https://ibp.a2mac1.com/costing(costing:projects/details/8191/part/5384993)","Center Light")</f>
        <v>Center Light</v>
      </c>
      <c r="F2840" t="s">
        <v>3695</v>
      </c>
    </row>
    <row r="2841" spans="1:6" ht="12.75">
      <c r="A2841">
        <v>6974001</v>
      </c>
      <c r="B2841">
        <v>5384993</v>
      </c>
      <c r="C2841" t="s">
        <v>99</v>
      </c>
      <c r="D2841" t="s">
        <v>12</v>
      </c>
      <c r="E2841" s="2" t="str">
        <f>HYPERLINK("https://ibp.a2mac1.com/costing(costing:projects/details/8191/process/6974001)","Process")</f>
        <v>Process</v>
      </c>
      <c r="F2841" t="s">
        <v>3696</v>
      </c>
    </row>
    <row r="2842" spans="1:6" ht="12.75">
      <c r="A2842">
        <v>6946575</v>
      </c>
      <c r="B2842">
        <v>6974001</v>
      </c>
      <c r="C2842" t="s">
        <v>189</v>
      </c>
      <c r="D2842" t="s">
        <v>99</v>
      </c>
      <c r="E2842" s="2" t="str">
        <f>HYPERLINK("https://ibp.a2mac1.com/costing(costing:projects/details/8191/equipment/6946575)","Dummy Machine (PCBA+Final Assembly Line)")</f>
        <v>Dummy Machine (PCBA+Final Assembly Line)</v>
      </c>
      <c r="F2842" t="s">
        <v>3697</v>
      </c>
    </row>
    <row r="2843" spans="1:6" ht="12.75">
      <c r="A2843">
        <v>5317859</v>
      </c>
      <c r="B2843">
        <v>5384993</v>
      </c>
      <c r="C2843" t="s">
        <v>574</v>
      </c>
      <c r="D2843" t="s">
        <v>12</v>
      </c>
      <c r="E2843" s="2" t="str">
        <f>HYPERLINK("https://ibp.a2mac1.com/costing(costing:projects/details/8191/component/5317859)","Mechanics")</f>
        <v>Mechanics</v>
      </c>
      <c r="F2843" t="s">
        <v>3696</v>
      </c>
    </row>
    <row r="2844" spans="1:6" ht="12.75">
      <c r="A2844">
        <v>5317860</v>
      </c>
      <c r="B2844">
        <v>5384993</v>
      </c>
      <c r="C2844" t="s">
        <v>574</v>
      </c>
      <c r="D2844" t="s">
        <v>12</v>
      </c>
      <c r="E2844" s="2" t="str">
        <f>HYPERLINK("https://ibp.a2mac1.com/costing(costing:projects/details/8191/component/5317860)","Electronics")</f>
        <v>Electronics</v>
      </c>
      <c r="F2844" t="s">
        <v>3696</v>
      </c>
    </row>
    <row r="2845" spans="1:6" ht="12.75">
      <c r="A2845">
        <v>5384994</v>
      </c>
      <c r="B2845">
        <v>5384872</v>
      </c>
      <c r="C2845" t="s">
        <v>12</v>
      </c>
      <c r="D2845" t="s">
        <v>8</v>
      </c>
      <c r="E2845" s="2" t="str">
        <f>HYPERLINK("https://ibp.a2mac1.com/costing(costing:projects/details/8191/part/5384994)","Left Light")</f>
        <v>Left Light</v>
      </c>
      <c r="F2845" t="s">
        <v>3695</v>
      </c>
    </row>
    <row r="2846" spans="1:6" ht="12.75">
      <c r="A2846">
        <v>6974002</v>
      </c>
      <c r="B2846">
        <v>5384994</v>
      </c>
      <c r="C2846" t="s">
        <v>99</v>
      </c>
      <c r="D2846" t="s">
        <v>12</v>
      </c>
      <c r="E2846" s="2" t="str">
        <f>HYPERLINK("https://ibp.a2mac1.com/costing(costing:projects/details/8191/process/6974002)","Process")</f>
        <v>Process</v>
      </c>
      <c r="F2846" t="s">
        <v>3700</v>
      </c>
    </row>
    <row r="2847" spans="1:6" ht="12.75">
      <c r="A2847">
        <v>6946576</v>
      </c>
      <c r="B2847">
        <v>6974002</v>
      </c>
      <c r="C2847" t="s">
        <v>189</v>
      </c>
      <c r="D2847" t="s">
        <v>99</v>
      </c>
      <c r="E2847" s="2" t="str">
        <f>HYPERLINK("https://ibp.a2mac1.com/costing(costing:projects/details/8191/equipment/6946576)","Dummy Machine (PCBA+Final Assembly Line)")</f>
        <v>Dummy Machine (PCBA+Final Assembly Line)</v>
      </c>
      <c r="F2847" t="s">
        <v>3701</v>
      </c>
    </row>
    <row r="2848" spans="1:6" ht="12.75">
      <c r="A2848">
        <v>5317861</v>
      </c>
      <c r="B2848">
        <v>5384994</v>
      </c>
      <c r="C2848" t="s">
        <v>574</v>
      </c>
      <c r="D2848" t="s">
        <v>12</v>
      </c>
      <c r="E2848" s="2" t="str">
        <f>HYPERLINK("https://ibp.a2mac1.com/costing(costing:projects/details/8191/component/5317861)","Electronics")</f>
        <v>Electronics</v>
      </c>
      <c r="F2848" t="s">
        <v>3700</v>
      </c>
    </row>
    <row r="2849" spans="1:6" ht="12.75">
      <c r="A2849">
        <v>5317862</v>
      </c>
      <c r="B2849">
        <v>5384994</v>
      </c>
      <c r="C2849" t="s">
        <v>574</v>
      </c>
      <c r="D2849" t="s">
        <v>12</v>
      </c>
      <c r="E2849" s="2" t="str">
        <f>HYPERLINK("https://ibp.a2mac1.com/costing(costing:projects/details/8191/component/5317862)","Mechanics")</f>
        <v>Mechanics</v>
      </c>
      <c r="F2849" t="s">
        <v>3700</v>
      </c>
    </row>
    <row r="2850" spans="1:6" ht="12.75">
      <c r="A2850">
        <v>5384995</v>
      </c>
      <c r="B2850">
        <v>5384872</v>
      </c>
      <c r="C2850" t="s">
        <v>12</v>
      </c>
      <c r="D2850" t="s">
        <v>8</v>
      </c>
      <c r="E2850" s="2" t="str">
        <f>HYPERLINK("https://ibp.a2mac1.com/costing(costing:projects/details/8191/part/5384995)","Right Light")</f>
        <v>Right Light</v>
      </c>
      <c r="F2850" t="s">
        <v>3695</v>
      </c>
    </row>
    <row r="2851" spans="1:6" ht="12.75">
      <c r="A2851">
        <v>6974003</v>
      </c>
      <c r="B2851">
        <v>5384995</v>
      </c>
      <c r="C2851" t="s">
        <v>99</v>
      </c>
      <c r="D2851" t="s">
        <v>12</v>
      </c>
      <c r="E2851" s="2" t="str">
        <f>HYPERLINK("https://ibp.a2mac1.com/costing(costing:projects/details/8191/process/6974003)","Process")</f>
        <v>Process</v>
      </c>
      <c r="F2851" t="s">
        <v>3703</v>
      </c>
    </row>
    <row r="2852" spans="1:6" ht="12.75">
      <c r="A2852">
        <v>6946577</v>
      </c>
      <c r="B2852">
        <v>6974003</v>
      </c>
      <c r="C2852" t="s">
        <v>189</v>
      </c>
      <c r="D2852" t="s">
        <v>99</v>
      </c>
      <c r="E2852" s="2" t="str">
        <f>HYPERLINK("https://ibp.a2mac1.com/costing(costing:projects/details/8191/equipment/6946577)","Dummy Machine (PCBA+Final Assembly Line)")</f>
        <v>Dummy Machine (PCBA+Final Assembly Line)</v>
      </c>
      <c r="F2852" t="s">
        <v>3704</v>
      </c>
    </row>
    <row r="2853" spans="1:6" ht="12.75">
      <c r="A2853">
        <v>5317863</v>
      </c>
      <c r="B2853">
        <v>5384995</v>
      </c>
      <c r="C2853" t="s">
        <v>574</v>
      </c>
      <c r="D2853" t="s">
        <v>12</v>
      </c>
      <c r="E2853" s="2" t="str">
        <f>HYPERLINK("https://ibp.a2mac1.com/costing(costing:projects/details/8191/component/5317863)","Electronics")</f>
        <v>Electronics</v>
      </c>
      <c r="F2853" t="s">
        <v>3703</v>
      </c>
    </row>
    <row r="2854" spans="1:6" ht="12.75">
      <c r="A2854">
        <v>5317864</v>
      </c>
      <c r="B2854">
        <v>5384995</v>
      </c>
      <c r="C2854" t="s">
        <v>574</v>
      </c>
      <c r="D2854" t="s">
        <v>12</v>
      </c>
      <c r="E2854" s="2" t="str">
        <f>HYPERLINK("https://ibp.a2mac1.com/costing(costing:projects/details/8191/component/5317864)","Mechanics")</f>
        <v>Mechanics</v>
      </c>
      <c r="F2854" t="s">
        <v>3703</v>
      </c>
    </row>
    <row r="2855" spans="1:6" ht="12.75">
      <c r="A2855">
        <v>5384996</v>
      </c>
      <c r="B2855">
        <v>5384872</v>
      </c>
      <c r="C2855" t="s">
        <v>12</v>
      </c>
      <c r="D2855" t="s">
        <v>8</v>
      </c>
      <c r="E2855" s="2" t="str">
        <f>HYPERLINK("https://ibp.a2mac1.com/costing(costing:projects/details/8191/part/5384996)","Light Diffuser")</f>
        <v>Light Diffuser</v>
      </c>
      <c r="F2855" t="s">
        <v>3695</v>
      </c>
    </row>
    <row r="2856" spans="1:6" ht="12.75">
      <c r="A2856">
        <v>5384997</v>
      </c>
      <c r="B2856">
        <v>5384872</v>
      </c>
      <c r="C2856" t="s">
        <v>12</v>
      </c>
      <c r="D2856" t="s">
        <v>8</v>
      </c>
      <c r="E2856" s="2" t="str">
        <f>HYPERLINK("https://ibp.a2mac1.com/costing(costing:projects/details/8191/part/5384997)","Upper Cover")</f>
        <v>Upper Cover</v>
      </c>
      <c r="F2856" t="s">
        <v>3695</v>
      </c>
    </row>
    <row r="2857" spans="1:6" ht="12.75">
      <c r="A2857">
        <v>5384998</v>
      </c>
      <c r="B2857">
        <v>5384872</v>
      </c>
      <c r="C2857" t="s">
        <v>12</v>
      </c>
      <c r="D2857" t="s">
        <v>8</v>
      </c>
      <c r="E2857" s="2" t="str">
        <f>HYPERLINK("https://ibp.a2mac1.com/costing(costing:projects/details/8191/part/5384998)","Lower Cover")</f>
        <v>Lower Cover</v>
      </c>
      <c r="F2857" t="s">
        <v>3695</v>
      </c>
    </row>
    <row r="2858" spans="1:6" ht="12.75">
      <c r="A2858">
        <v>5317787</v>
      </c>
      <c r="B2858">
        <v>5384872</v>
      </c>
      <c r="C2858" t="s">
        <v>574</v>
      </c>
      <c r="D2858" t="s">
        <v>8</v>
      </c>
      <c r="E2858" s="2" t="str">
        <f>HYPERLINK("https://ibp.a2mac1.com/costing(costing:projects/details/8191/component/5317787)","Other fastener &gt; Snap Tooling")</f>
        <v>Other fastener &gt; Snap Tooling</v>
      </c>
      <c r="F2858" t="s">
        <v>3695</v>
      </c>
    </row>
    <row r="2859" spans="1:6" ht="12.75">
      <c r="A2859">
        <v>5317788</v>
      </c>
      <c r="B2859">
        <v>5384872</v>
      </c>
      <c r="C2859" t="s">
        <v>574</v>
      </c>
      <c r="D2859" t="s">
        <v>8</v>
      </c>
      <c r="E2859" s="2" t="str">
        <f>HYPERLINK("https://ibp.a2mac1.com/costing(costing:projects/details/8191/component/5317788)","Other fastener &gt; Snap Tooling")</f>
        <v>Other fastener &gt; Snap Tooling</v>
      </c>
      <c r="F2859" t="s">
        <v>3695</v>
      </c>
    </row>
    <row r="2860" spans="1:6" ht="12.75">
      <c r="A2860">
        <v>5317789</v>
      </c>
      <c r="B2860">
        <v>5384872</v>
      </c>
      <c r="C2860" t="s">
        <v>574</v>
      </c>
      <c r="D2860" t="s">
        <v>8</v>
      </c>
      <c r="E2860" s="2" t="str">
        <f>HYPERLINK("https://ibp.a2mac1.com/costing(costing:projects/details/8191/component/5317789)","Panel holder &gt; Clips in rectangular hole")</f>
        <v>Panel holder &gt; Clips in rectangular hole</v>
      </c>
      <c r="F2860" t="s">
        <v>3695</v>
      </c>
    </row>
    <row r="2861" spans="1:6" ht="12.75">
      <c r="A2861">
        <v>5384865</v>
      </c>
      <c r="B2861">
        <v>5384805</v>
      </c>
      <c r="C2861" t="s">
        <v>12</v>
      </c>
      <c r="D2861" t="s">
        <v>8</v>
      </c>
      <c r="E2861" s="2" t="str">
        <f>HYPERLINK("https://ibp.a2mac1.com/costing(costing:projects/details/8191/part/5384865)","Multifunction Control")</f>
        <v>Multifunction Control</v>
      </c>
      <c r="F2861" t="s">
        <v>3637</v>
      </c>
    </row>
    <row r="2862" spans="1:6" ht="12.75">
      <c r="A2862">
        <v>5384806</v>
      </c>
      <c r="B2862">
        <v>5384795</v>
      </c>
      <c r="C2862" t="s">
        <v>8</v>
      </c>
      <c r="D2862" t="s">
        <v>8</v>
      </c>
      <c r="E2862" s="2" t="str">
        <f>HYPERLINK("https://ibp.a2mac1.com/costing(costing:projects/details/8191/assembly/5384806)","Storage Compartments")</f>
        <v>Storage Compartments</v>
      </c>
      <c r="F2862" t="s">
        <v>3535</v>
      </c>
    </row>
    <row r="2863" spans="1:6" ht="12.75">
      <c r="A2863">
        <v>5384873</v>
      </c>
      <c r="B2863">
        <v>5384806</v>
      </c>
      <c r="C2863" t="s">
        <v>8</v>
      </c>
      <c r="D2863" t="s">
        <v>8</v>
      </c>
      <c r="E2863" s="2" t="str">
        <f>HYPERLINK("https://ibp.a2mac1.com/costing(costing:projects/details/8191/assembly/5384873)","Glove Box System")</f>
        <v>Glove Box System</v>
      </c>
      <c r="F2863" t="s">
        <v>3718</v>
      </c>
    </row>
    <row r="2864" spans="1:6" ht="12.75">
      <c r="A2864">
        <v>5385005</v>
      </c>
      <c r="B2864">
        <v>5384873</v>
      </c>
      <c r="C2864" t="s">
        <v>8</v>
      </c>
      <c r="D2864" t="s">
        <v>8</v>
      </c>
      <c r="E2864" s="2" t="str">
        <f>HYPERLINK("https://ibp.a2mac1.com/costing(costing:projects/details/8191/assembly/5385005)","Opening System")</f>
        <v>Opening System</v>
      </c>
      <c r="F2864" t="s">
        <v>3719</v>
      </c>
    </row>
    <row r="2865" spans="1:6" ht="12.75">
      <c r="A2865">
        <v>5385097</v>
      </c>
      <c r="B2865">
        <v>5385005</v>
      </c>
      <c r="C2865" t="s">
        <v>12</v>
      </c>
      <c r="D2865" t="s">
        <v>8</v>
      </c>
      <c r="E2865" s="2" t="str">
        <f>HYPERLINK("https://ibp.a2mac1.com/costing(costing:projects/details/8191/part/5385097)","Control")</f>
        <v>Control</v>
      </c>
      <c r="F2865" t="s">
        <v>3720</v>
      </c>
    </row>
    <row r="2866" spans="1:6" ht="12.75">
      <c r="A2866">
        <v>6974104</v>
      </c>
      <c r="B2866">
        <v>5385097</v>
      </c>
      <c r="C2866" t="s">
        <v>99</v>
      </c>
      <c r="D2866" t="s">
        <v>12</v>
      </c>
      <c r="E2866" s="2" t="str">
        <f>HYPERLINK("https://ibp.a2mac1.com/costing(costing:projects/details/8191/process/6974104)","Automated Process")</f>
        <v>Automated Process</v>
      </c>
      <c r="F2866" t="s">
        <v>3721</v>
      </c>
    </row>
    <row r="2867" spans="1:6" ht="12.75">
      <c r="A2867">
        <v>5318082</v>
      </c>
      <c r="B2867">
        <v>6974104</v>
      </c>
      <c r="C2867" t="s">
        <v>24</v>
      </c>
      <c r="D2867" t="s">
        <v>99</v>
      </c>
      <c r="E2867" s="2" t="str">
        <f>HYPERLINK("https://ibp.a2mac1.com/costing(costing:projects/details/8191/material/5318082)","PC-ABS")</f>
        <v>PC-ABS</v>
      </c>
      <c r="F2867" t="s">
        <v>3723</v>
      </c>
    </row>
    <row r="2868" spans="1:6" ht="12.75">
      <c r="A2868">
        <v>6946677</v>
      </c>
      <c r="B2868">
        <v>6974104</v>
      </c>
      <c r="C2868" t="s">
        <v>189</v>
      </c>
      <c r="D2868" t="s">
        <v>99</v>
      </c>
      <c r="E2868" s="2" t="str">
        <f>HYPERLINK("https://ibp.a2mac1.com/costing(costing:projects/details/8191/equipment/6946677)","Equipment (Injection Molding)")</f>
        <v>Equipment (Injection Molding)</v>
      </c>
      <c r="F2868" t="s">
        <v>3723</v>
      </c>
    </row>
    <row r="2869" spans="1:6" ht="12.75">
      <c r="A2869">
        <v>5385098</v>
      </c>
      <c r="B2869">
        <v>5385005</v>
      </c>
      <c r="C2869" t="s">
        <v>12</v>
      </c>
      <c r="D2869" t="s">
        <v>8</v>
      </c>
      <c r="E2869" s="2" t="str">
        <f>HYPERLINK("https://ibp.a2mac1.com/costing(costing:projects/details/8191/part/5385098)","Control Support")</f>
        <v>Control Support</v>
      </c>
      <c r="F2869" t="s">
        <v>3720</v>
      </c>
    </row>
    <row r="2870" spans="1:6" ht="12.75">
      <c r="A2870">
        <v>6974105</v>
      </c>
      <c r="B2870">
        <v>5385098</v>
      </c>
      <c r="C2870" t="s">
        <v>99</v>
      </c>
      <c r="D2870" t="s">
        <v>12</v>
      </c>
      <c r="E2870" s="2" t="str">
        <f>HYPERLINK("https://ibp.a2mac1.com/costing(costing:projects/details/8191/process/6974105)","Automated Process")</f>
        <v>Automated Process</v>
      </c>
      <c r="F2870" t="s">
        <v>3725</v>
      </c>
    </row>
    <row r="2871" spans="1:6" ht="12.75">
      <c r="A2871">
        <v>5318083</v>
      </c>
      <c r="B2871">
        <v>6974105</v>
      </c>
      <c r="C2871" t="s">
        <v>24</v>
      </c>
      <c r="D2871" t="s">
        <v>99</v>
      </c>
      <c r="E2871" s="2" t="str">
        <f>HYPERLINK("https://ibp.a2mac1.com/costing(costing:projects/details/8191/material/5318083)","PA66")</f>
        <v>PA66</v>
      </c>
      <c r="F2871" t="s">
        <v>3728</v>
      </c>
    </row>
    <row r="2872" spans="1:6" ht="12.75">
      <c r="A2872">
        <v>6946678</v>
      </c>
      <c r="B2872">
        <v>6974105</v>
      </c>
      <c r="C2872" t="s">
        <v>189</v>
      </c>
      <c r="D2872" t="s">
        <v>99</v>
      </c>
      <c r="E2872" s="2" t="str">
        <f>HYPERLINK("https://ibp.a2mac1.com/costing(costing:projects/details/8191/equipment/6946678)","Equipment (Injection Molding)")</f>
        <v>Equipment (Injection Molding)</v>
      </c>
      <c r="F2872" t="s">
        <v>3728</v>
      </c>
    </row>
    <row r="2873" spans="1:6" ht="12.75">
      <c r="A2873">
        <v>5385099</v>
      </c>
      <c r="B2873">
        <v>5385005</v>
      </c>
      <c r="C2873" t="s">
        <v>12</v>
      </c>
      <c r="D2873" t="s">
        <v>8</v>
      </c>
      <c r="E2873" s="2" t="str">
        <f>HYPERLINK("https://ibp.a2mac1.com/costing(costing:projects/details/8191/part/5385099)","Latch Anchor")</f>
        <v>Latch Anchor</v>
      </c>
      <c r="F2873" t="s">
        <v>3720</v>
      </c>
    </row>
    <row r="2874" spans="1:6" ht="12.75">
      <c r="A2874">
        <v>6974106</v>
      </c>
      <c r="B2874">
        <v>5385099</v>
      </c>
      <c r="C2874" t="s">
        <v>99</v>
      </c>
      <c r="D2874" t="s">
        <v>12</v>
      </c>
      <c r="E2874" s="2" t="str">
        <f>HYPERLINK("https://ibp.a2mac1.com/costing(costing:projects/details/8191/process/6974106)","Automated Process")</f>
        <v>Automated Process</v>
      </c>
      <c r="F2874" t="s">
        <v>3730</v>
      </c>
    </row>
    <row r="2875" spans="1:6" ht="12.75">
      <c r="A2875">
        <v>5318084</v>
      </c>
      <c r="B2875">
        <v>6974106</v>
      </c>
      <c r="C2875" t="s">
        <v>24</v>
      </c>
      <c r="D2875" t="s">
        <v>99</v>
      </c>
      <c r="E2875" s="2" t="str">
        <f>HYPERLINK("https://ibp.a2mac1.com/costing(costing:projects/details/8191/material/5318084)","POM")</f>
        <v>POM</v>
      </c>
      <c r="F2875" t="s">
        <v>3731</v>
      </c>
    </row>
    <row r="2876" spans="1:6" ht="12.75">
      <c r="A2876">
        <v>6946679</v>
      </c>
      <c r="B2876">
        <v>6974106</v>
      </c>
      <c r="C2876" t="s">
        <v>189</v>
      </c>
      <c r="D2876" t="s">
        <v>99</v>
      </c>
      <c r="E2876" s="2" t="str">
        <f>HYPERLINK("https://ibp.a2mac1.com/costing(costing:projects/details/8191/equipment/6946679)","Equipment (Injection Molding)")</f>
        <v>Equipment (Injection Molding)</v>
      </c>
      <c r="F2876" t="s">
        <v>3731</v>
      </c>
    </row>
    <row r="2877" spans="1:6" ht="12.75">
      <c r="A2877">
        <v>5385100</v>
      </c>
      <c r="B2877">
        <v>5385005</v>
      </c>
      <c r="C2877" t="s">
        <v>12</v>
      </c>
      <c r="D2877" t="s">
        <v>8</v>
      </c>
      <c r="E2877" s="2" t="str">
        <f>HYPERLINK("https://ibp.a2mac1.com/costing(costing:projects/details/8191/part/5385100)","2nd Anchor Right")</f>
        <v>2nd Anchor Right</v>
      </c>
      <c r="F2877" t="s">
        <v>3720</v>
      </c>
    </row>
    <row r="2878" spans="1:6" ht="12.75">
      <c r="A2878">
        <v>6974107</v>
      </c>
      <c r="B2878">
        <v>5385100</v>
      </c>
      <c r="C2878" t="s">
        <v>99</v>
      </c>
      <c r="D2878" t="s">
        <v>12</v>
      </c>
      <c r="E2878" s="2" t="str">
        <f>HYPERLINK("https://ibp.a2mac1.com/costing(costing:projects/details/8191/process/6974107)","Automated Process")</f>
        <v>Automated Process</v>
      </c>
      <c r="F2878" t="s">
        <v>3733</v>
      </c>
    </row>
    <row r="2879" spans="1:6" ht="12.75">
      <c r="A2879">
        <v>5318085</v>
      </c>
      <c r="B2879">
        <v>6974107</v>
      </c>
      <c r="C2879" t="s">
        <v>24</v>
      </c>
      <c r="D2879" t="s">
        <v>99</v>
      </c>
      <c r="E2879" s="2" t="str">
        <f>HYPERLINK("https://ibp.a2mac1.com/costing(costing:projects/details/8191/material/5318085)","POM")</f>
        <v>POM</v>
      </c>
      <c r="F2879" t="s">
        <v>3734</v>
      </c>
    </row>
    <row r="2880" spans="1:6" ht="12.75">
      <c r="A2880">
        <v>6946680</v>
      </c>
      <c r="B2880">
        <v>6974107</v>
      </c>
      <c r="C2880" t="s">
        <v>189</v>
      </c>
      <c r="D2880" t="s">
        <v>99</v>
      </c>
      <c r="E2880" s="2" t="str">
        <f>HYPERLINK("https://ibp.a2mac1.com/costing(costing:projects/details/8191/equipment/6946680)","Equipment (Injection Molding)")</f>
        <v>Equipment (Injection Molding)</v>
      </c>
      <c r="F2880" t="s">
        <v>3734</v>
      </c>
    </row>
    <row r="2881" spans="1:6" ht="12.75">
      <c r="A2881">
        <v>5385101</v>
      </c>
      <c r="B2881">
        <v>5385005</v>
      </c>
      <c r="C2881" t="s">
        <v>12</v>
      </c>
      <c r="D2881" t="s">
        <v>8</v>
      </c>
      <c r="E2881" s="2" t="str">
        <f>HYPERLINK("https://ibp.a2mac1.com/costing(costing:projects/details/8191/part/5385101)","Retarder Strut")</f>
        <v>Retarder Strut</v>
      </c>
      <c r="F2881" t="s">
        <v>3720</v>
      </c>
    </row>
    <row r="2882" spans="1:6" ht="12.75">
      <c r="A2882">
        <v>6974108</v>
      </c>
      <c r="B2882">
        <v>5385101</v>
      </c>
      <c r="C2882" t="s">
        <v>99</v>
      </c>
      <c r="D2882" t="s">
        <v>12</v>
      </c>
      <c r="E2882" s="2" t="str">
        <f>HYPERLINK("https://ibp.a2mac1.com/costing(costing:projects/details/8191/process/6974108)","Automated Process")</f>
        <v>Automated Process</v>
      </c>
      <c r="F2882" t="s">
        <v>3736</v>
      </c>
    </row>
    <row r="2883" spans="1:6" ht="12.75">
      <c r="A2883">
        <v>5318086</v>
      </c>
      <c r="B2883">
        <v>6974108</v>
      </c>
      <c r="C2883" t="s">
        <v>24</v>
      </c>
      <c r="D2883" t="s">
        <v>99</v>
      </c>
      <c r="E2883" s="2" t="str">
        <f>HYPERLINK("https://ibp.a2mac1.com/costing(costing:projects/details/8191/material/5318086)","PA66")</f>
        <v>PA66</v>
      </c>
      <c r="F2883" t="s">
        <v>3737</v>
      </c>
    </row>
    <row r="2884" spans="1:6" ht="12.75">
      <c r="A2884">
        <v>5318087</v>
      </c>
      <c r="B2884">
        <v>6974108</v>
      </c>
      <c r="C2884" t="s">
        <v>24</v>
      </c>
      <c r="D2884" t="s">
        <v>99</v>
      </c>
      <c r="E2884" s="2" t="str">
        <f>HYPERLINK("https://ibp.a2mac1.com/costing(costing:projects/details/8191/material/5318087)","PBT")</f>
        <v>PBT</v>
      </c>
      <c r="F2884" t="s">
        <v>3737</v>
      </c>
    </row>
    <row r="2885" spans="1:6" ht="12.75">
      <c r="A2885">
        <v>6946681</v>
      </c>
      <c r="B2885">
        <v>6974108</v>
      </c>
      <c r="C2885" t="s">
        <v>189</v>
      </c>
      <c r="D2885" t="s">
        <v>99</v>
      </c>
      <c r="E2885" s="2" t="str">
        <f>HYPERLINK("https://ibp.a2mac1.com/costing(costing:projects/details/8191/equipment/6946681)","Equipment (Injection Molding)")</f>
        <v>Equipment (Injection Molding)</v>
      </c>
      <c r="F2885" t="s">
        <v>3737</v>
      </c>
    </row>
    <row r="2886" spans="1:6" ht="12.75">
      <c r="A2886">
        <v>6946682</v>
      </c>
      <c r="B2886">
        <v>6974108</v>
      </c>
      <c r="C2886" t="s">
        <v>189</v>
      </c>
      <c r="D2886" t="s">
        <v>99</v>
      </c>
      <c r="E2886" s="2" t="str">
        <f>HYPERLINK("https://ibp.a2mac1.com/costing(costing:projects/details/8191/equipment/6946682)","Equipment (Injection Molding)")</f>
        <v>Equipment (Injection Molding)</v>
      </c>
      <c r="F2886" t="s">
        <v>3737</v>
      </c>
    </row>
    <row r="2887" spans="1:6" ht="12.75">
      <c r="A2887">
        <v>5385103</v>
      </c>
      <c r="B2887">
        <v>5385005</v>
      </c>
      <c r="C2887" t="s">
        <v>12</v>
      </c>
      <c r="D2887" t="s">
        <v>8</v>
      </c>
      <c r="E2887" s="2" t="str">
        <f>HYPERLINK("https://ibp.a2mac1.com/costing(costing:projects/details/8191/part/5385103)","Mechanism")</f>
        <v>Mechanism</v>
      </c>
      <c r="F2887" t="s">
        <v>3720</v>
      </c>
    </row>
    <row r="2888" spans="1:6" ht="12.75">
      <c r="A2888">
        <v>6974109</v>
      </c>
      <c r="B2888">
        <v>5385103</v>
      </c>
      <c r="C2888" t="s">
        <v>99</v>
      </c>
      <c r="D2888" t="s">
        <v>12</v>
      </c>
      <c r="E2888" s="2" t="str">
        <f>HYPERLINK("https://ibp.a2mac1.com/costing(costing:projects/details/8191/process/6974109)","Automated Process")</f>
        <v>Automated Process</v>
      </c>
      <c r="F2888" t="s">
        <v>3740</v>
      </c>
    </row>
    <row r="2889" spans="1:6" ht="12.75">
      <c r="A2889">
        <v>5318088</v>
      </c>
      <c r="B2889">
        <v>6974109</v>
      </c>
      <c r="C2889" t="s">
        <v>24</v>
      </c>
      <c r="D2889" t="s">
        <v>99</v>
      </c>
      <c r="E2889" s="2" t="str">
        <f>HYPERLINK("https://ibp.a2mac1.com/costing(costing:projects/details/8191/material/5318088)","PA66")</f>
        <v>PA66</v>
      </c>
      <c r="F2889" t="s">
        <v>3741</v>
      </c>
    </row>
    <row r="2890" spans="1:6" ht="12.75">
      <c r="A2890">
        <v>6946683</v>
      </c>
      <c r="B2890">
        <v>6974109</v>
      </c>
      <c r="C2890" t="s">
        <v>189</v>
      </c>
      <c r="D2890" t="s">
        <v>99</v>
      </c>
      <c r="E2890" s="2" t="str">
        <f>HYPERLINK("https://ibp.a2mac1.com/costing(costing:projects/details/8191/equipment/6946683)","Equipment (Injection Molding)")</f>
        <v>Equipment (Injection Molding)</v>
      </c>
      <c r="F2890" t="s">
        <v>3741</v>
      </c>
    </row>
    <row r="2891" spans="1:6" ht="12.75">
      <c r="A2891">
        <v>5385104</v>
      </c>
      <c r="B2891">
        <v>5385005</v>
      </c>
      <c r="C2891" t="s">
        <v>12</v>
      </c>
      <c r="D2891" t="s">
        <v>8</v>
      </c>
      <c r="E2891" s="2" t="str">
        <f>HYPERLINK("https://ibp.a2mac1.com/costing(costing:projects/details/8191/part/5385104)","Mechanism support")</f>
        <v>Mechanism support</v>
      </c>
      <c r="F2891" t="s">
        <v>3720</v>
      </c>
    </row>
    <row r="2892" spans="1:6" ht="12.75">
      <c r="A2892">
        <v>6974110</v>
      </c>
      <c r="B2892">
        <v>5385104</v>
      </c>
      <c r="C2892" t="s">
        <v>99</v>
      </c>
      <c r="D2892" t="s">
        <v>12</v>
      </c>
      <c r="E2892" s="2" t="str">
        <f>HYPERLINK("https://ibp.a2mac1.com/costing(costing:projects/details/8191/process/6974110)","Automated Process")</f>
        <v>Automated Process</v>
      </c>
      <c r="F2892" t="s">
        <v>3743</v>
      </c>
    </row>
    <row r="2893" spans="1:6" ht="12.75">
      <c r="A2893">
        <v>5318089</v>
      </c>
      <c r="B2893">
        <v>6974110</v>
      </c>
      <c r="C2893" t="s">
        <v>24</v>
      </c>
      <c r="D2893" t="s">
        <v>99</v>
      </c>
      <c r="E2893" s="2" t="str">
        <f>HYPERLINK("https://ibp.a2mac1.com/costing(costing:projects/details/8191/material/5318089)","POM")</f>
        <v>POM</v>
      </c>
      <c r="F2893" t="s">
        <v>3746</v>
      </c>
    </row>
    <row r="2894" spans="1:6" ht="12.75">
      <c r="A2894">
        <v>6946684</v>
      </c>
      <c r="B2894">
        <v>6974110</v>
      </c>
      <c r="C2894" t="s">
        <v>189</v>
      </c>
      <c r="D2894" t="s">
        <v>99</v>
      </c>
      <c r="E2894" s="2" t="str">
        <f>HYPERLINK("https://ibp.a2mac1.com/costing(costing:projects/details/8191/equipment/6946684)","Equipment (Injection Molding)")</f>
        <v>Equipment (Injection Molding)</v>
      </c>
      <c r="F2894" t="s">
        <v>3746</v>
      </c>
    </row>
    <row r="2895" spans="1:6" ht="12.75">
      <c r="A2895">
        <v>5385105</v>
      </c>
      <c r="B2895">
        <v>5385005</v>
      </c>
      <c r="C2895" t="s">
        <v>12</v>
      </c>
      <c r="D2895" t="s">
        <v>8</v>
      </c>
      <c r="E2895" s="2" t="str">
        <f>HYPERLINK("https://ibp.a2mac1.com/costing(costing:projects/details/8191/part/5385105)","Closing Stopper")</f>
        <v>Closing Stopper</v>
      </c>
      <c r="F2895" t="s">
        <v>3720</v>
      </c>
    </row>
    <row r="2896" spans="1:6" ht="12.75">
      <c r="A2896">
        <v>6974111</v>
      </c>
      <c r="B2896">
        <v>5385105</v>
      </c>
      <c r="C2896" t="s">
        <v>99</v>
      </c>
      <c r="D2896" t="s">
        <v>12</v>
      </c>
      <c r="E2896" s="2" t="str">
        <f>HYPERLINK("https://ibp.a2mac1.com/costing(costing:projects/details/8191/process/6974111)","Automated Process")</f>
        <v>Automated Process</v>
      </c>
      <c r="F2896" t="s">
        <v>3748</v>
      </c>
    </row>
    <row r="2897" spans="1:6" ht="12.75">
      <c r="A2897">
        <v>5318090</v>
      </c>
      <c r="B2897">
        <v>6974111</v>
      </c>
      <c r="C2897" t="s">
        <v>24</v>
      </c>
      <c r="D2897" t="s">
        <v>99</v>
      </c>
      <c r="E2897" s="2" t="str">
        <f>HYPERLINK("https://ibp.a2mac1.com/costing(costing:projects/details/8191/material/5318090)","EPDM")</f>
        <v>EPDM</v>
      </c>
      <c r="F2897" t="s">
        <v>3751</v>
      </c>
    </row>
    <row r="2898" spans="1:6" ht="12.75">
      <c r="A2898">
        <v>6946685</v>
      </c>
      <c r="B2898">
        <v>6974111</v>
      </c>
      <c r="C2898" t="s">
        <v>189</v>
      </c>
      <c r="D2898" t="s">
        <v>99</v>
      </c>
      <c r="E2898" s="2" t="str">
        <f>HYPERLINK("https://ibp.a2mac1.com/costing(costing:projects/details/8191/equipment/6946685)","Equipment (Injection Molding)")</f>
        <v>Equipment (Injection Molding)</v>
      </c>
      <c r="F2898" t="s">
        <v>3751</v>
      </c>
    </row>
    <row r="2899" spans="1:6" ht="12.75">
      <c r="A2899">
        <v>5385106</v>
      </c>
      <c r="B2899">
        <v>5385005</v>
      </c>
      <c r="C2899" t="s">
        <v>12</v>
      </c>
      <c r="D2899" t="s">
        <v>8</v>
      </c>
      <c r="E2899" s="2" t="str">
        <f>HYPERLINK("https://ibp.a2mac1.com/costing(costing:projects/details/8191/part/5385106)","Closing Stopper 2")</f>
        <v>Closing Stopper 2</v>
      </c>
      <c r="F2899" t="s">
        <v>3720</v>
      </c>
    </row>
    <row r="2900" spans="1:6" ht="12.75">
      <c r="A2900">
        <v>6974112</v>
      </c>
      <c r="B2900">
        <v>5385106</v>
      </c>
      <c r="C2900" t="s">
        <v>99</v>
      </c>
      <c r="D2900" t="s">
        <v>12</v>
      </c>
      <c r="E2900" s="2" t="str">
        <f>HYPERLINK("https://ibp.a2mac1.com/costing(costing:projects/details/8191/process/6974112)","Automated Process")</f>
        <v>Automated Process</v>
      </c>
      <c r="F2900" t="s">
        <v>3754</v>
      </c>
    </row>
    <row r="2901" spans="1:6" ht="12.75">
      <c r="A2901">
        <v>5318091</v>
      </c>
      <c r="B2901">
        <v>6974112</v>
      </c>
      <c r="C2901" t="s">
        <v>24</v>
      </c>
      <c r="D2901" t="s">
        <v>99</v>
      </c>
      <c r="E2901" s="2" t="str">
        <f>HYPERLINK("https://ibp.a2mac1.com/costing(costing:projects/details/8191/material/5318091)","EPDM")</f>
        <v>EPDM</v>
      </c>
      <c r="F2901" t="s">
        <v>3755</v>
      </c>
    </row>
    <row r="2902" spans="1:6" ht="12.75">
      <c r="A2902">
        <v>6946686</v>
      </c>
      <c r="B2902">
        <v>6974112</v>
      </c>
      <c r="C2902" t="s">
        <v>189</v>
      </c>
      <c r="D2902" t="s">
        <v>99</v>
      </c>
      <c r="E2902" s="2" t="str">
        <f>HYPERLINK("https://ibp.a2mac1.com/costing(costing:projects/details/8191/equipment/6946686)","Equipment (Injection Molding)")</f>
        <v>Equipment (Injection Molding)</v>
      </c>
      <c r="F2902" t="s">
        <v>3755</v>
      </c>
    </row>
    <row r="2903" spans="1:6" ht="12.75">
      <c r="A2903">
        <v>5385107</v>
      </c>
      <c r="B2903">
        <v>5385005</v>
      </c>
      <c r="C2903" t="s">
        <v>12</v>
      </c>
      <c r="D2903" t="s">
        <v>8</v>
      </c>
      <c r="E2903" s="2" t="str">
        <f>HYPERLINK("https://ibp.a2mac1.com/costing(costing:projects/details/8191/part/5385107)","Opening Stopper")</f>
        <v>Opening Stopper</v>
      </c>
      <c r="F2903" t="s">
        <v>3720</v>
      </c>
    </row>
    <row r="2904" spans="1:6" ht="12.75">
      <c r="A2904">
        <v>6974113</v>
      </c>
      <c r="B2904">
        <v>5385107</v>
      </c>
      <c r="C2904" t="s">
        <v>99</v>
      </c>
      <c r="D2904" t="s">
        <v>12</v>
      </c>
      <c r="E2904" s="2" t="str">
        <f>HYPERLINK("https://ibp.a2mac1.com/costing(costing:projects/details/8191/process/6974113)","Automated Process")</f>
        <v>Automated Process</v>
      </c>
      <c r="F2904" t="s">
        <v>3757</v>
      </c>
    </row>
    <row r="2905" spans="1:6" ht="12.75">
      <c r="A2905">
        <v>5318092</v>
      </c>
      <c r="B2905">
        <v>6974113</v>
      </c>
      <c r="C2905" t="s">
        <v>24</v>
      </c>
      <c r="D2905" t="s">
        <v>99</v>
      </c>
      <c r="E2905" s="2" t="str">
        <f>HYPERLINK("https://ibp.a2mac1.com/costing(costing:projects/details/8191/material/5318092)","PLASTIC UNKNOWN")</f>
        <v>PLASTIC UNKNOWN</v>
      </c>
      <c r="F2905" t="s">
        <v>3758</v>
      </c>
    </row>
    <row r="2906" spans="1:6" ht="12.75">
      <c r="A2906">
        <v>6946687</v>
      </c>
      <c r="B2906">
        <v>6974113</v>
      </c>
      <c r="C2906" t="s">
        <v>189</v>
      </c>
      <c r="D2906" t="s">
        <v>99</v>
      </c>
      <c r="E2906" s="2" t="str">
        <f>HYPERLINK("https://ibp.a2mac1.com/costing(costing:projects/details/8191/equipment/6946687)","Equipment (Injection Molding)")</f>
        <v>Equipment (Injection Molding)</v>
      </c>
      <c r="F2906" t="s">
        <v>3758</v>
      </c>
    </row>
    <row r="2907" spans="1:6" ht="12.75">
      <c r="A2907">
        <v>5317865</v>
      </c>
      <c r="B2907">
        <v>5385005</v>
      </c>
      <c r="C2907" t="s">
        <v>574</v>
      </c>
      <c r="D2907" t="s">
        <v>8</v>
      </c>
      <c r="E2907" s="2" t="str">
        <f>HYPERLINK("https://ibp.a2mac1.com/costing(costing:projects/details/8191/component/5317865)","Screw &gt; Torx socket head cap screw with flange")</f>
        <v>Screw &gt; Torx socket head cap screw with flange</v>
      </c>
      <c r="F2907" t="s">
        <v>3720</v>
      </c>
    </row>
    <row r="2908" spans="1:6" ht="12.75">
      <c r="A2908">
        <v>5384999</v>
      </c>
      <c r="B2908">
        <v>5384873</v>
      </c>
      <c r="C2908" t="s">
        <v>12</v>
      </c>
      <c r="D2908" t="s">
        <v>8</v>
      </c>
      <c r="E2908" s="2" t="str">
        <f>HYPERLINK("https://ibp.a2mac1.com/costing(costing:projects/details/8191/part/5384999)","Box")</f>
        <v>Box</v>
      </c>
      <c r="F2908" t="s">
        <v>3719</v>
      </c>
    </row>
    <row r="2909" spans="1:6" ht="12.75">
      <c r="A2909">
        <v>6974004</v>
      </c>
      <c r="B2909">
        <v>5384999</v>
      </c>
      <c r="C2909" t="s">
        <v>99</v>
      </c>
      <c r="D2909" t="s">
        <v>12</v>
      </c>
      <c r="E2909" s="2" t="str">
        <f>HYPERLINK("https://ibp.a2mac1.com/costing(costing:projects/details/8191/process/6974004)","Automated Process")</f>
        <v>Automated Process</v>
      </c>
      <c r="F2909" t="s">
        <v>3761</v>
      </c>
    </row>
    <row r="2910" spans="1:6" ht="12.75">
      <c r="A2910">
        <v>5317993</v>
      </c>
      <c r="B2910">
        <v>6974004</v>
      </c>
      <c r="C2910" t="s">
        <v>24</v>
      </c>
      <c r="D2910" t="s">
        <v>99</v>
      </c>
      <c r="E2910" s="2" t="str">
        <f>HYPERLINK("https://ibp.a2mac1.com/costing(costing:projects/details/8191/material/5317993)","PP-PE")</f>
        <v>PP-PE</v>
      </c>
      <c r="F2910" t="s">
        <v>3763</v>
      </c>
    </row>
    <row r="2911" spans="1:6" ht="12.75">
      <c r="A2911">
        <v>6946578</v>
      </c>
      <c r="B2911">
        <v>6974004</v>
      </c>
      <c r="C2911" t="s">
        <v>189</v>
      </c>
      <c r="D2911" t="s">
        <v>99</v>
      </c>
      <c r="E2911" s="2" t="str">
        <f>HYPERLINK("https://ibp.a2mac1.com/costing(costing:projects/details/8191/equipment/6946578)","Equipment (Injection Molding)")</f>
        <v>Equipment (Injection Molding)</v>
      </c>
      <c r="F2911" t="s">
        <v>3763</v>
      </c>
    </row>
    <row r="2912" spans="1:6" ht="12.75">
      <c r="A2912">
        <v>5385000</v>
      </c>
      <c r="B2912">
        <v>5384873</v>
      </c>
      <c r="C2912" t="s">
        <v>12</v>
      </c>
      <c r="D2912" t="s">
        <v>8</v>
      </c>
      <c r="E2912" s="2" t="str">
        <f>HYPERLINK("https://ibp.a2mac1.com/costing(costing:projects/details/8191/part/5385000)","Cover")</f>
        <v>Cover</v>
      </c>
      <c r="F2912" t="s">
        <v>3719</v>
      </c>
    </row>
    <row r="2913" spans="1:6" ht="12.75">
      <c r="A2913">
        <v>6974005</v>
      </c>
      <c r="B2913">
        <v>5385000</v>
      </c>
      <c r="C2913" t="s">
        <v>99</v>
      </c>
      <c r="D2913" t="s">
        <v>12</v>
      </c>
      <c r="E2913" s="2" t="str">
        <f>HYPERLINK("https://ibp.a2mac1.com/costing(costing:projects/details/8191/process/6974005)","Automated Process")</f>
        <v>Automated Process</v>
      </c>
      <c r="F2913" t="s">
        <v>3765</v>
      </c>
    </row>
    <row r="2914" spans="1:6" ht="12.75">
      <c r="A2914">
        <v>5317994</v>
      </c>
      <c r="B2914">
        <v>6974005</v>
      </c>
      <c r="C2914" t="s">
        <v>24</v>
      </c>
      <c r="D2914" t="s">
        <v>99</v>
      </c>
      <c r="E2914" s="2" t="str">
        <f>HYPERLINK("https://ibp.a2mac1.com/costing(costing:projects/details/8191/material/5317994)","PP-PE")</f>
        <v>PP-PE</v>
      </c>
      <c r="F2914" t="s">
        <v>3768</v>
      </c>
    </row>
    <row r="2915" spans="1:6" ht="12.75">
      <c r="A2915">
        <v>6946579</v>
      </c>
      <c r="B2915">
        <v>6974005</v>
      </c>
      <c r="C2915" t="s">
        <v>189</v>
      </c>
      <c r="D2915" t="s">
        <v>99</v>
      </c>
      <c r="E2915" s="2" t="str">
        <f>HYPERLINK("https://ibp.a2mac1.com/costing(costing:projects/details/8191/equipment/6946579)","Equipment (Injection Molding)")</f>
        <v>Equipment (Injection Molding)</v>
      </c>
      <c r="F2915" t="s">
        <v>3768</v>
      </c>
    </row>
    <row r="2916" spans="1:6" ht="12.75">
      <c r="A2916">
        <v>5385001</v>
      </c>
      <c r="B2916">
        <v>5384873</v>
      </c>
      <c r="C2916" t="s">
        <v>12</v>
      </c>
      <c r="D2916" t="s">
        <v>8</v>
      </c>
      <c r="E2916" s="2" t="str">
        <f>HYPERLINK("https://ibp.a2mac1.com/costing(costing:projects/details/8191/part/5385001)","Glovebox Support")</f>
        <v>Glovebox Support</v>
      </c>
      <c r="F2916" t="s">
        <v>3719</v>
      </c>
    </row>
    <row r="2917" spans="1:6" ht="12.75">
      <c r="A2917">
        <v>6974006</v>
      </c>
      <c r="B2917">
        <v>5385001</v>
      </c>
      <c r="C2917" t="s">
        <v>99</v>
      </c>
      <c r="D2917" t="s">
        <v>12</v>
      </c>
      <c r="E2917" s="2" t="str">
        <f>HYPERLINK("https://ibp.a2mac1.com/costing(costing:projects/details/8191/process/6974006)","Automated Process")</f>
        <v>Automated Process</v>
      </c>
      <c r="F2917" t="s">
        <v>3770</v>
      </c>
    </row>
    <row r="2918" spans="1:6" ht="12.75">
      <c r="A2918">
        <v>5317995</v>
      </c>
      <c r="B2918">
        <v>6974006</v>
      </c>
      <c r="C2918" t="s">
        <v>24</v>
      </c>
      <c r="D2918" t="s">
        <v>99</v>
      </c>
      <c r="E2918" s="2" t="str">
        <f>HYPERLINK("https://ibp.a2mac1.com/costing(costing:projects/details/8191/material/5317995)","PP-PE")</f>
        <v>PP-PE</v>
      </c>
      <c r="F2918" t="s">
        <v>3773</v>
      </c>
    </row>
    <row r="2919" spans="1:6" ht="12.75">
      <c r="A2919">
        <v>6946580</v>
      </c>
      <c r="B2919">
        <v>6974006</v>
      </c>
      <c r="C2919" t="s">
        <v>189</v>
      </c>
      <c r="D2919" t="s">
        <v>99</v>
      </c>
      <c r="E2919" s="2" t="str">
        <f>HYPERLINK("https://ibp.a2mac1.com/costing(costing:projects/details/8191/equipment/6946580)","Equipment (Injection Molding)")</f>
        <v>Equipment (Injection Molding)</v>
      </c>
      <c r="F2919" t="s">
        <v>3773</v>
      </c>
    </row>
    <row r="2920" spans="1:6" ht="12.75">
      <c r="A2920">
        <v>5385002</v>
      </c>
      <c r="B2920">
        <v>5384873</v>
      </c>
      <c r="C2920" t="s">
        <v>12</v>
      </c>
      <c r="D2920" t="s">
        <v>8</v>
      </c>
      <c r="E2920" s="2" t="str">
        <f>HYPERLINK("https://ibp.a2mac1.com/costing(costing:projects/details/8191/part/5385002)","2nd Glovebox Support")</f>
        <v>2nd Glovebox Support</v>
      </c>
      <c r="F2920" t="s">
        <v>3719</v>
      </c>
    </row>
    <row r="2921" spans="1:6" ht="12.75">
      <c r="A2921">
        <v>6974007</v>
      </c>
      <c r="B2921">
        <v>5385002</v>
      </c>
      <c r="C2921" t="s">
        <v>99</v>
      </c>
      <c r="D2921" t="s">
        <v>12</v>
      </c>
      <c r="E2921" s="2" t="str">
        <f>HYPERLINK("https://ibp.a2mac1.com/costing(costing:projects/details/8191/process/6974007)","Automated Process")</f>
        <v>Automated Process</v>
      </c>
      <c r="F2921" t="s">
        <v>3775</v>
      </c>
    </row>
    <row r="2922" spans="1:6" ht="12.75">
      <c r="A2922">
        <v>5317996</v>
      </c>
      <c r="B2922">
        <v>6974007</v>
      </c>
      <c r="C2922" t="s">
        <v>24</v>
      </c>
      <c r="D2922" t="s">
        <v>99</v>
      </c>
      <c r="E2922" s="2" t="str">
        <f>HYPERLINK("https://ibp.a2mac1.com/costing(costing:projects/details/8191/material/5317996)","PP-PE")</f>
        <v>PP-PE</v>
      </c>
      <c r="F2922" t="s">
        <v>3778</v>
      </c>
    </row>
    <row r="2923" spans="1:6" ht="12.75">
      <c r="A2923">
        <v>6946581</v>
      </c>
      <c r="B2923">
        <v>6974007</v>
      </c>
      <c r="C2923" t="s">
        <v>189</v>
      </c>
      <c r="D2923" t="s">
        <v>99</v>
      </c>
      <c r="E2923" s="2" t="str">
        <f>HYPERLINK("https://ibp.a2mac1.com/costing(costing:projects/details/8191/equipment/6946581)","Equipment (Injection Molding)")</f>
        <v>Equipment (Injection Molding)</v>
      </c>
      <c r="F2923" t="s">
        <v>3778</v>
      </c>
    </row>
    <row r="2924" spans="1:6" ht="12.75">
      <c r="A2924">
        <v>5385003</v>
      </c>
      <c r="B2924">
        <v>5384873</v>
      </c>
      <c r="C2924" t="s">
        <v>12</v>
      </c>
      <c r="D2924" t="s">
        <v>8</v>
      </c>
      <c r="E2924" s="2" t="str">
        <f>HYPERLINK("https://ibp.a2mac1.com/costing(costing:projects/details/8191/part/5385003)","Sound Insulation")</f>
        <v>Sound Insulation</v>
      </c>
      <c r="F2924" t="s">
        <v>3719</v>
      </c>
    </row>
    <row r="2925" spans="1:6" ht="12.75">
      <c r="A2925">
        <v>6974008</v>
      </c>
      <c r="B2925">
        <v>5385003</v>
      </c>
      <c r="C2925" t="s">
        <v>99</v>
      </c>
      <c r="D2925" t="s">
        <v>12</v>
      </c>
      <c r="E2925" s="2" t="str">
        <f>HYPERLINK("https://ibp.a2mac1.com/costing(costing:projects/details/8191/process/6974008)","Automated Process")</f>
        <v>Automated Process</v>
      </c>
      <c r="F2925" t="s">
        <v>3780</v>
      </c>
    </row>
    <row r="2926" spans="1:6" ht="12.75">
      <c r="A2926">
        <v>5317997</v>
      </c>
      <c r="B2926">
        <v>6974008</v>
      </c>
      <c r="C2926" t="s">
        <v>24</v>
      </c>
      <c r="D2926" t="s">
        <v>99</v>
      </c>
      <c r="E2926" s="2" t="str">
        <f>HYPERLINK("https://ibp.a2mac1.com/costing(costing:projects/details/8191/material/5317997)","PET")</f>
        <v>PET</v>
      </c>
      <c r="F2926" t="s">
        <v>3783</v>
      </c>
    </row>
    <row r="2927" spans="1:6" ht="12.75">
      <c r="A2927">
        <v>6946582</v>
      </c>
      <c r="B2927">
        <v>6974008</v>
      </c>
      <c r="C2927" t="s">
        <v>189</v>
      </c>
      <c r="D2927" t="s">
        <v>99</v>
      </c>
      <c r="E2927" s="2" t="str">
        <f>HYPERLINK("https://ibp.a2mac1.com/costing(costing:projects/details/8191/equipment/6946582)","Equipment (Injection Molding)")</f>
        <v>Equipment (Injection Molding)</v>
      </c>
      <c r="F2927" t="s">
        <v>3783</v>
      </c>
    </row>
    <row r="2928" spans="1:6" ht="12.75">
      <c r="A2928">
        <v>5385004</v>
      </c>
      <c r="B2928">
        <v>5384873</v>
      </c>
      <c r="C2928" t="s">
        <v>12</v>
      </c>
      <c r="D2928" t="s">
        <v>8</v>
      </c>
      <c r="E2928" s="2" t="str">
        <f>HYPERLINK("https://ibp.a2mac1.com/costing(costing:projects/details/8191/part/5385004)","Horizontal Panel")</f>
        <v>Horizontal Panel</v>
      </c>
      <c r="F2928" t="s">
        <v>3719</v>
      </c>
    </row>
    <row r="2929" spans="1:6" ht="12.75">
      <c r="A2929">
        <v>6974009</v>
      </c>
      <c r="B2929">
        <v>5385004</v>
      </c>
      <c r="C2929" t="s">
        <v>99</v>
      </c>
      <c r="D2929" t="s">
        <v>12</v>
      </c>
      <c r="E2929" s="2" t="str">
        <f>HYPERLINK("https://ibp.a2mac1.com/costing(costing:projects/details/8191/process/6974009)","Automated Process")</f>
        <v>Automated Process</v>
      </c>
      <c r="F2929" t="s">
        <v>3785</v>
      </c>
    </row>
    <row r="2930" spans="1:6" ht="12.75">
      <c r="A2930">
        <v>5317998</v>
      </c>
      <c r="B2930">
        <v>6974009</v>
      </c>
      <c r="C2930" t="s">
        <v>24</v>
      </c>
      <c r="D2930" t="s">
        <v>99</v>
      </c>
      <c r="E2930" s="2" t="str">
        <f>HYPERLINK("https://ibp.a2mac1.com/costing(costing:projects/details/8191/material/5317998)","PP-PE")</f>
        <v>PP-PE</v>
      </c>
      <c r="F2930" t="s">
        <v>3788</v>
      </c>
    </row>
    <row r="2931" spans="1:6" ht="12.75">
      <c r="A2931">
        <v>6946583</v>
      </c>
      <c r="B2931">
        <v>6974009</v>
      </c>
      <c r="C2931" t="s">
        <v>189</v>
      </c>
      <c r="D2931" t="s">
        <v>99</v>
      </c>
      <c r="E2931" s="2" t="str">
        <f>HYPERLINK("https://ibp.a2mac1.com/costing(costing:projects/details/8191/equipment/6946583)","Equipment (Injection Molding)")</f>
        <v>Equipment (Injection Molding)</v>
      </c>
      <c r="F2931" t="s">
        <v>3788</v>
      </c>
    </row>
    <row r="2932" spans="1:6" ht="12.75">
      <c r="A2932">
        <v>5317790</v>
      </c>
      <c r="B2932">
        <v>5384873</v>
      </c>
      <c r="C2932" t="s">
        <v>574</v>
      </c>
      <c r="D2932" t="s">
        <v>8</v>
      </c>
      <c r="E2932" s="2" t="str">
        <f>HYPERLINK("https://ibp.a2mac1.com/costing(costing:projects/details/8191/component/5317790)","Pin clip &gt; Taper pin")</f>
        <v>Pin clip &gt; Taper pin</v>
      </c>
      <c r="F2932" t="s">
        <v>3719</v>
      </c>
    </row>
    <row r="2933" spans="1:6" ht="12.75">
      <c r="A2933">
        <v>5317791</v>
      </c>
      <c r="B2933">
        <v>5384873</v>
      </c>
      <c r="C2933" t="s">
        <v>574</v>
      </c>
      <c r="D2933" t="s">
        <v>8</v>
      </c>
      <c r="E2933" s="2" t="str">
        <f>HYPERLINK("https://ibp.a2mac1.com/costing(costing:projects/details/8191/component/5317791)","Screw &gt; Torx socket head cap screw with flange")</f>
        <v>Screw &gt; Torx socket head cap screw with flange</v>
      </c>
      <c r="F2933" t="s">
        <v>3719</v>
      </c>
    </row>
    <row r="2934" spans="1:6" ht="12.75">
      <c r="A2934">
        <v>5317792</v>
      </c>
      <c r="B2934">
        <v>5384873</v>
      </c>
      <c r="C2934" t="s">
        <v>574</v>
      </c>
      <c r="D2934" t="s">
        <v>8</v>
      </c>
      <c r="E2934" s="2" t="str">
        <f>HYPERLINK("https://ibp.a2mac1.com/costing(costing:projects/details/8191/component/5317792)","Screw &gt; Torx socket head cap screw with flange")</f>
        <v>Screw &gt; Torx socket head cap screw with flange</v>
      </c>
      <c r="F2934" t="s">
        <v>3719</v>
      </c>
    </row>
    <row r="2935" spans="1:6" ht="12.75">
      <c r="A2935">
        <v>5384807</v>
      </c>
      <c r="B2935">
        <v>5384795</v>
      </c>
      <c r="C2935" t="s">
        <v>8</v>
      </c>
      <c r="D2935" t="s">
        <v>8</v>
      </c>
      <c r="E2935" s="2" t="str">
        <f>HYPERLINK("https://ibp.a2mac1.com/costing(costing:projects/details/8191/assembly/5384807)","Air Vent")</f>
        <v>Air Vent</v>
      </c>
      <c r="F2935" t="s">
        <v>3535</v>
      </c>
    </row>
    <row r="2936" spans="1:6" ht="12.75">
      <c r="A2936">
        <v>5384874</v>
      </c>
      <c r="B2936">
        <v>5384807</v>
      </c>
      <c r="C2936" t="s">
        <v>8</v>
      </c>
      <c r="D2936" t="s">
        <v>8</v>
      </c>
      <c r="E2936" s="2" t="str">
        <f>HYPERLINK("https://ibp.a2mac1.com/costing(costing:projects/details/8191/assembly/5384874)","Center Air Vent")</f>
        <v>Center Air Vent</v>
      </c>
      <c r="F2936" t="s">
        <v>3792</v>
      </c>
    </row>
    <row r="2937" spans="1:6" ht="12.75">
      <c r="A2937">
        <v>5385006</v>
      </c>
      <c r="B2937">
        <v>5384874</v>
      </c>
      <c r="C2937" t="s">
        <v>12</v>
      </c>
      <c r="D2937" t="s">
        <v>8</v>
      </c>
      <c r="E2937" s="2" t="str">
        <f>HYPERLINK("https://ibp.a2mac1.com/costing(costing:projects/details/8191/part/5385006)","Air Vent Middle Single")</f>
        <v>Air Vent Middle Single</v>
      </c>
      <c r="F2937" t="s">
        <v>3793</v>
      </c>
    </row>
    <row r="2938" spans="1:6" ht="12.75">
      <c r="A2938">
        <v>6974010</v>
      </c>
      <c r="B2938">
        <v>5385006</v>
      </c>
      <c r="C2938" t="s">
        <v>99</v>
      </c>
      <c r="D2938" t="s">
        <v>12</v>
      </c>
      <c r="E2938" s="2" t="str">
        <f>HYPERLINK("https://ibp.a2mac1.com/costing(costing:projects/details/8191/process/6974010)","Automated Process [2]")</f>
        <v>Automated Process [2]</v>
      </c>
      <c r="F2938" t="s">
        <v>3794</v>
      </c>
    </row>
    <row r="2939" spans="1:6" ht="12.75">
      <c r="A2939">
        <v>5317999</v>
      </c>
      <c r="B2939">
        <v>6974010</v>
      </c>
      <c r="C2939" t="s">
        <v>24</v>
      </c>
      <c r="D2939" t="s">
        <v>99</v>
      </c>
      <c r="E2939" s="2" t="str">
        <f>HYPERLINK("https://ibp.a2mac1.com/costing(costing:projects/details/8191/material/5317999)","Material")</f>
        <v>Material</v>
      </c>
      <c r="F2939" t="s">
        <v>3795</v>
      </c>
    </row>
    <row r="2940" spans="1:6" ht="12.75">
      <c r="A2940">
        <v>6946584</v>
      </c>
      <c r="B2940">
        <v>6974010</v>
      </c>
      <c r="C2940" t="s">
        <v>189</v>
      </c>
      <c r="D2940" t="s">
        <v>99</v>
      </c>
      <c r="E2940" s="2" t="str">
        <f>HYPERLINK("https://ibp.a2mac1.com/costing(costing:projects/details/8191/equipment/6946584)","DC machine - General")</f>
        <v>DC machine - General</v>
      </c>
      <c r="F2940" t="s">
        <v>3795</v>
      </c>
    </row>
    <row r="2941" spans="1:6" ht="12.75">
      <c r="A2941">
        <v>5385007</v>
      </c>
      <c r="B2941">
        <v>5384874</v>
      </c>
      <c r="C2941" t="s">
        <v>12</v>
      </c>
      <c r="D2941" t="s">
        <v>8</v>
      </c>
      <c r="E2941" s="2" t="str">
        <f>HYPERLINK("https://ibp.a2mac1.com/costing(costing:projects/details/8191/part/5385007)","Center Bezel")</f>
        <v>Center Bezel</v>
      </c>
      <c r="F2941" t="s">
        <v>3793</v>
      </c>
    </row>
    <row r="2942" spans="1:6" ht="12.75">
      <c r="A2942">
        <v>6974011</v>
      </c>
      <c r="B2942">
        <v>5385007</v>
      </c>
      <c r="C2942" t="s">
        <v>99</v>
      </c>
      <c r="D2942" t="s">
        <v>12</v>
      </c>
      <c r="E2942" s="2" t="str">
        <f>HYPERLINK("https://ibp.a2mac1.com/costing(costing:projects/details/8191/process/6974011)","Automated Process")</f>
        <v>Automated Process</v>
      </c>
      <c r="F2942" t="s">
        <v>3797</v>
      </c>
    </row>
    <row r="2943" spans="1:6" ht="12.75">
      <c r="A2943">
        <v>5318000</v>
      </c>
      <c r="B2943">
        <v>6974011</v>
      </c>
      <c r="C2943" t="s">
        <v>24</v>
      </c>
      <c r="D2943" t="s">
        <v>99</v>
      </c>
      <c r="E2943" s="2" t="str">
        <f>HYPERLINK("https://ibp.a2mac1.com/costing(costing:projects/details/8191/material/5318000)","PC-ABS")</f>
        <v>PC-ABS</v>
      </c>
      <c r="F2943" t="s">
        <v>3798</v>
      </c>
    </row>
    <row r="2944" spans="1:6" ht="12.75">
      <c r="A2944">
        <v>6946585</v>
      </c>
      <c r="B2944">
        <v>6974011</v>
      </c>
      <c r="C2944" t="s">
        <v>189</v>
      </c>
      <c r="D2944" t="s">
        <v>99</v>
      </c>
      <c r="E2944" s="2" t="str">
        <f>HYPERLINK("https://ibp.a2mac1.com/costing(costing:projects/details/8191/equipment/6946585)","Equipment (Injection Molding)")</f>
        <v>Equipment (Injection Molding)</v>
      </c>
      <c r="F2944" t="s">
        <v>3798</v>
      </c>
    </row>
    <row r="2945" spans="1:6" ht="12.75">
      <c r="A2945">
        <v>5317793</v>
      </c>
      <c r="B2945">
        <v>5384874</v>
      </c>
      <c r="C2945" t="s">
        <v>574</v>
      </c>
      <c r="D2945" t="s">
        <v>8</v>
      </c>
      <c r="E2945" s="2" t="str">
        <f>HYPERLINK("https://ibp.a2mac1.com/costing(costing:projects/details/8191/component/5317793)","Panel holder &gt; Clips for panel side")</f>
        <v>Panel holder &gt; Clips for panel side</v>
      </c>
      <c r="F2945" t="s">
        <v>3793</v>
      </c>
    </row>
    <row r="2946" spans="1:6" ht="12.75">
      <c r="A2946">
        <v>5384875</v>
      </c>
      <c r="B2946">
        <v>5384807</v>
      </c>
      <c r="C2946" t="s">
        <v>8</v>
      </c>
      <c r="D2946" t="s">
        <v>8</v>
      </c>
      <c r="E2946" s="2" t="str">
        <f>HYPERLINK("https://ibp.a2mac1.com/costing(costing:projects/details/8191/assembly/5384875)","Right Air Vent")</f>
        <v>Right Air Vent</v>
      </c>
      <c r="F2946" t="s">
        <v>3792</v>
      </c>
    </row>
    <row r="2947" spans="1:6" ht="12.75">
      <c r="A2947">
        <v>5385008</v>
      </c>
      <c r="B2947">
        <v>5384875</v>
      </c>
      <c r="C2947" t="s">
        <v>12</v>
      </c>
      <c r="D2947" t="s">
        <v>8</v>
      </c>
      <c r="E2947" s="2" t="str">
        <f>HYPERLINK("https://ibp.a2mac1.com/costing(costing:projects/details/8191/part/5385008)","Air Vent")</f>
        <v>Air Vent</v>
      </c>
      <c r="F2947" t="s">
        <v>3801</v>
      </c>
    </row>
    <row r="2948" spans="1:6" ht="12.75">
      <c r="A2948">
        <v>6974012</v>
      </c>
      <c r="B2948">
        <v>5385008</v>
      </c>
      <c r="C2948" t="s">
        <v>99</v>
      </c>
      <c r="D2948" t="s">
        <v>12</v>
      </c>
      <c r="E2948" s="2" t="str">
        <f>HYPERLINK("https://ibp.a2mac1.com/costing(costing:projects/details/8191/process/6974012)","Automated Process [2]")</f>
        <v>Automated Process [2]</v>
      </c>
      <c r="F2948" t="s">
        <v>3802</v>
      </c>
    </row>
    <row r="2949" spans="1:6" ht="12.75">
      <c r="A2949">
        <v>5318001</v>
      </c>
      <c r="B2949">
        <v>6974012</v>
      </c>
      <c r="C2949" t="s">
        <v>24</v>
      </c>
      <c r="D2949" t="s">
        <v>99</v>
      </c>
      <c r="E2949" s="2" t="str">
        <f>HYPERLINK("https://ibp.a2mac1.com/costing(costing:projects/details/8191/material/5318001)","Material")</f>
        <v>Material</v>
      </c>
      <c r="F2949" t="s">
        <v>3803</v>
      </c>
    </row>
    <row r="2950" spans="1:6" ht="12.75">
      <c r="A2950">
        <v>6946586</v>
      </c>
      <c r="B2950">
        <v>6974012</v>
      </c>
      <c r="C2950" t="s">
        <v>189</v>
      </c>
      <c r="D2950" t="s">
        <v>99</v>
      </c>
      <c r="E2950" s="2" t="str">
        <f>HYPERLINK("https://ibp.a2mac1.com/costing(costing:projects/details/8191/equipment/6946586)","DC machine - General")</f>
        <v>DC machine - General</v>
      </c>
      <c r="F2950" t="s">
        <v>3803</v>
      </c>
    </row>
    <row r="2951" spans="1:6" ht="12.75">
      <c r="A2951">
        <v>5385033</v>
      </c>
      <c r="B2951">
        <v>5384875</v>
      </c>
      <c r="C2951" t="s">
        <v>12</v>
      </c>
      <c r="D2951" t="s">
        <v>8</v>
      </c>
      <c r="E2951" s="2" t="str">
        <f>HYPERLINK("https://ibp.a2mac1.com/costing(costing:projects/details/8191/part/5385033)","Bezel")</f>
        <v>Bezel</v>
      </c>
      <c r="F2951" t="s">
        <v>3801</v>
      </c>
    </row>
    <row r="2952" spans="1:6" ht="12.75">
      <c r="A2952">
        <v>6974013</v>
      </c>
      <c r="B2952">
        <v>5385033</v>
      </c>
      <c r="C2952" t="s">
        <v>99</v>
      </c>
      <c r="D2952" t="s">
        <v>12</v>
      </c>
      <c r="E2952" s="2" t="str">
        <f>HYPERLINK("https://ibp.a2mac1.com/costing(costing:projects/details/8191/process/6974013)","Automated Process")</f>
        <v>Automated Process</v>
      </c>
      <c r="F2952" t="s">
        <v>3806</v>
      </c>
    </row>
    <row r="2953" spans="1:6" ht="12.75">
      <c r="A2953">
        <v>5318002</v>
      </c>
      <c r="B2953">
        <v>6974013</v>
      </c>
      <c r="C2953" t="s">
        <v>24</v>
      </c>
      <c r="D2953" t="s">
        <v>99</v>
      </c>
      <c r="E2953" s="2" t="str">
        <f>HYPERLINK("https://ibp.a2mac1.com/costing(costing:projects/details/8191/material/5318002)","PC-ABS")</f>
        <v>PC-ABS</v>
      </c>
      <c r="F2953" t="s">
        <v>3807</v>
      </c>
    </row>
    <row r="2954" spans="1:6" ht="12.75">
      <c r="A2954">
        <v>6946587</v>
      </c>
      <c r="B2954">
        <v>6974013</v>
      </c>
      <c r="C2954" t="s">
        <v>189</v>
      </c>
      <c r="D2954" t="s">
        <v>99</v>
      </c>
      <c r="E2954" s="2" t="str">
        <f>HYPERLINK("https://ibp.a2mac1.com/costing(costing:projects/details/8191/equipment/6946587)","Equipment (Injection Molding)")</f>
        <v>Equipment (Injection Molding)</v>
      </c>
      <c r="F2954" t="s">
        <v>3807</v>
      </c>
    </row>
    <row r="2955" spans="1:6" ht="12.75">
      <c r="A2955">
        <v>5317794</v>
      </c>
      <c r="B2955">
        <v>5384875</v>
      </c>
      <c r="C2955" t="s">
        <v>574</v>
      </c>
      <c r="D2955" t="s">
        <v>8</v>
      </c>
      <c r="E2955" s="2" t="str">
        <f>HYPERLINK("https://ibp.a2mac1.com/costing(costing:projects/details/8191/component/5317794)","Panel holder &gt; Clips for panel side")</f>
        <v>Panel holder &gt; Clips for panel side</v>
      </c>
      <c r="F2955" t="s">
        <v>3801</v>
      </c>
    </row>
    <row r="2956" spans="1:6" ht="12.75">
      <c r="A2956">
        <v>5317795</v>
      </c>
      <c r="B2956">
        <v>5384875</v>
      </c>
      <c r="C2956" t="s">
        <v>574</v>
      </c>
      <c r="D2956" t="s">
        <v>8</v>
      </c>
      <c r="E2956" s="2" t="str">
        <f>HYPERLINK("https://ibp.a2mac1.com/costing(costing:projects/details/8191/component/5317795)","Other fastener &gt; Snap Tooling")</f>
        <v>Other fastener &gt; Snap Tooling</v>
      </c>
      <c r="F2956" t="s">
        <v>3801</v>
      </c>
    </row>
    <row r="2957" spans="1:6" ht="12.75">
      <c r="A2957">
        <v>5384876</v>
      </c>
      <c r="B2957">
        <v>5384807</v>
      </c>
      <c r="C2957" t="s">
        <v>8</v>
      </c>
      <c r="D2957" t="s">
        <v>8</v>
      </c>
      <c r="E2957" s="2" t="str">
        <f>HYPERLINK("https://ibp.a2mac1.com/costing(costing:projects/details/8191/assembly/5384876)","Left Air Vent")</f>
        <v>Left Air Vent</v>
      </c>
      <c r="F2957" t="s">
        <v>3792</v>
      </c>
    </row>
    <row r="2958" spans="1:6" ht="12.75">
      <c r="A2958">
        <v>5385034</v>
      </c>
      <c r="B2958">
        <v>5384876</v>
      </c>
      <c r="C2958" t="s">
        <v>12</v>
      </c>
      <c r="D2958" t="s">
        <v>8</v>
      </c>
      <c r="E2958" s="2" t="str">
        <f>HYPERLINK("https://ibp.a2mac1.com/costing(costing:projects/details/8191/part/5385034)","Air Vent")</f>
        <v>Air Vent</v>
      </c>
      <c r="F2958" t="s">
        <v>3810</v>
      </c>
    </row>
    <row r="2959" spans="1:6" ht="12.75">
      <c r="A2959">
        <v>6974014</v>
      </c>
      <c r="B2959">
        <v>5385034</v>
      </c>
      <c r="C2959" t="s">
        <v>99</v>
      </c>
      <c r="D2959" t="s">
        <v>12</v>
      </c>
      <c r="E2959" s="2" t="str">
        <f>HYPERLINK("https://ibp.a2mac1.com/costing(costing:projects/details/8191/process/6974014)","Automated Process [2]")</f>
        <v>Automated Process [2]</v>
      </c>
      <c r="F2959" t="s">
        <v>3811</v>
      </c>
    </row>
    <row r="2960" spans="1:6" ht="12.75">
      <c r="A2960">
        <v>5318003</v>
      </c>
      <c r="B2960">
        <v>6974014</v>
      </c>
      <c r="C2960" t="s">
        <v>24</v>
      </c>
      <c r="D2960" t="s">
        <v>99</v>
      </c>
      <c r="E2960" s="2" t="str">
        <f>HYPERLINK("https://ibp.a2mac1.com/costing(costing:projects/details/8191/material/5318003)","Material")</f>
        <v>Material</v>
      </c>
      <c r="F2960" t="s">
        <v>3812</v>
      </c>
    </row>
    <row r="2961" spans="1:6" ht="12.75">
      <c r="A2961">
        <v>6946588</v>
      </c>
      <c r="B2961">
        <v>6974014</v>
      </c>
      <c r="C2961" t="s">
        <v>189</v>
      </c>
      <c r="D2961" t="s">
        <v>99</v>
      </c>
      <c r="E2961" s="2" t="str">
        <f>HYPERLINK("https://ibp.a2mac1.com/costing(costing:projects/details/8191/equipment/6946588)","DC machine - General")</f>
        <v>DC machine - General</v>
      </c>
      <c r="F2961" t="s">
        <v>3812</v>
      </c>
    </row>
    <row r="2962" spans="1:6" ht="12.75">
      <c r="A2962">
        <v>5385035</v>
      </c>
      <c r="B2962">
        <v>5384876</v>
      </c>
      <c r="C2962" t="s">
        <v>12</v>
      </c>
      <c r="D2962" t="s">
        <v>8</v>
      </c>
      <c r="E2962" s="2" t="str">
        <f>HYPERLINK("https://ibp.a2mac1.com/costing(costing:projects/details/8191/part/5385035)","Bezel")</f>
        <v>Bezel</v>
      </c>
      <c r="F2962" t="s">
        <v>3810</v>
      </c>
    </row>
    <row r="2963" spans="1:6" ht="12.75">
      <c r="A2963">
        <v>6974015</v>
      </c>
      <c r="B2963">
        <v>5385035</v>
      </c>
      <c r="C2963" t="s">
        <v>99</v>
      </c>
      <c r="D2963" t="s">
        <v>12</v>
      </c>
      <c r="E2963" s="2" t="str">
        <f>HYPERLINK("https://ibp.a2mac1.com/costing(costing:projects/details/8191/process/6974015)","Automated Process")</f>
        <v>Automated Process</v>
      </c>
      <c r="F2963" t="s">
        <v>3814</v>
      </c>
    </row>
    <row r="2964" spans="1:6" ht="12.75">
      <c r="A2964">
        <v>5318004</v>
      </c>
      <c r="B2964">
        <v>6974015</v>
      </c>
      <c r="C2964" t="s">
        <v>24</v>
      </c>
      <c r="D2964" t="s">
        <v>99</v>
      </c>
      <c r="E2964" s="2" t="str">
        <f>HYPERLINK("https://ibp.a2mac1.com/costing(costing:projects/details/8191/material/5318004)","PC-ABS")</f>
        <v>PC-ABS</v>
      </c>
      <c r="F2964" t="s">
        <v>3815</v>
      </c>
    </row>
    <row r="2965" spans="1:6" ht="12.75">
      <c r="A2965">
        <v>6946589</v>
      </c>
      <c r="B2965">
        <v>6974015</v>
      </c>
      <c r="C2965" t="s">
        <v>189</v>
      </c>
      <c r="D2965" t="s">
        <v>99</v>
      </c>
      <c r="E2965" s="2" t="str">
        <f>HYPERLINK("https://ibp.a2mac1.com/costing(costing:projects/details/8191/equipment/6946589)","Equipment (Injection Molding)")</f>
        <v>Equipment (Injection Molding)</v>
      </c>
      <c r="F2965" t="s">
        <v>3815</v>
      </c>
    </row>
    <row r="2966" spans="1:6" ht="12.75">
      <c r="A2966">
        <v>6974016</v>
      </c>
      <c r="B2966">
        <v>5385035</v>
      </c>
      <c r="C2966" t="s">
        <v>99</v>
      </c>
      <c r="D2966" t="s">
        <v>12</v>
      </c>
      <c r="E2966" s="2" t="str">
        <f>HYPERLINK("https://ibp.a2mac1.com/costing(costing:projects/details/8191/process/6974016)","Painting")</f>
        <v>Painting</v>
      </c>
      <c r="F2966" t="s">
        <v>3814</v>
      </c>
    </row>
    <row r="2967" spans="1:6" ht="12.75">
      <c r="A2967">
        <v>5318007</v>
      </c>
      <c r="B2967">
        <v>6974016</v>
      </c>
      <c r="C2967" t="s">
        <v>24</v>
      </c>
      <c r="D2967" t="s">
        <v>99</v>
      </c>
      <c r="E2967" s="2" t="str">
        <f>HYPERLINK("https://ibp.a2mac1.com/costing(costing:projects/details/8191/material/5318007)","Paint - Base")</f>
        <v>Paint - Base</v>
      </c>
      <c r="F2967" t="s">
        <v>3817</v>
      </c>
    </row>
    <row r="2968" spans="1:6" ht="12.75">
      <c r="A2968">
        <v>5318008</v>
      </c>
      <c r="B2968">
        <v>6974016</v>
      </c>
      <c r="C2968" t="s">
        <v>24</v>
      </c>
      <c r="D2968" t="s">
        <v>99</v>
      </c>
      <c r="E2968" s="2" t="str">
        <f>HYPERLINK("https://ibp.a2mac1.com/costing(costing:projects/details/8191/material/5318008)","Paint - Primer")</f>
        <v>Paint - Primer</v>
      </c>
      <c r="F2968" t="s">
        <v>3817</v>
      </c>
    </row>
    <row r="2969" spans="1:6" ht="12.75">
      <c r="A2969">
        <v>5318009</v>
      </c>
      <c r="B2969">
        <v>6974016</v>
      </c>
      <c r="C2969" t="s">
        <v>24</v>
      </c>
      <c r="D2969" t="s">
        <v>99</v>
      </c>
      <c r="E2969" s="2" t="str">
        <f>HYPERLINK("https://ibp.a2mac1.com/costing(costing:projects/details/8191/material/5318009)","Paint - Clear Coat")</f>
        <v>Paint - Clear Coat</v>
      </c>
      <c r="F2969" t="s">
        <v>3817</v>
      </c>
    </row>
    <row r="2970" spans="1:6" ht="12.75">
      <c r="A2970">
        <v>6946590</v>
      </c>
      <c r="B2970">
        <v>6974016</v>
      </c>
      <c r="C2970" t="s">
        <v>189</v>
      </c>
      <c r="D2970" t="s">
        <v>99</v>
      </c>
      <c r="E2970" s="2" t="str">
        <f>HYPERLINK("https://ibp.a2mac1.com/costing(costing:projects/details/8191/equipment/6946590)","No.04 - 60000x6000x3500 - Automatic Painting Line - with 12x100kW on line ovens ")</f>
        <v xml:space="preserve">No.04 - 60000x6000x3500 - Automatic Painting Line - with 12x100kW on line ovens </v>
      </c>
      <c r="F2970" t="s">
        <v>3817</v>
      </c>
    </row>
    <row r="2971" spans="1:6" ht="12.75">
      <c r="A2971">
        <v>6946591</v>
      </c>
      <c r="B2971">
        <v>6974016</v>
      </c>
      <c r="C2971" t="s">
        <v>189</v>
      </c>
      <c r="D2971" t="s">
        <v>99</v>
      </c>
      <c r="E2971" s="2" t="str">
        <f>HYPERLINK("https://ibp.a2mac1.com/costing(costing:projects/details/8191/equipment/6946591)","Loading + Unloading + Retouching + Checking")</f>
        <v>Loading + Unloading + Retouching + Checking</v>
      </c>
      <c r="F2971" t="s">
        <v>3817</v>
      </c>
    </row>
    <row r="2972" spans="1:6" ht="12.75">
      <c r="A2972">
        <v>6946592</v>
      </c>
      <c r="B2972">
        <v>6974016</v>
      </c>
      <c r="C2972" t="s">
        <v>189</v>
      </c>
      <c r="D2972" t="s">
        <v>99</v>
      </c>
      <c r="E2972" s="2" t="str">
        <f>HYPERLINK("https://ibp.a2mac1.com/costing(costing:projects/details/8191/equipment/6946592)","Masking (If Appl.)")</f>
        <v>Masking (If Appl.)</v>
      </c>
      <c r="F2972" t="s">
        <v>3817</v>
      </c>
    </row>
    <row r="2973" spans="1:6" ht="12.75">
      <c r="A2973">
        <v>5317796</v>
      </c>
      <c r="B2973">
        <v>5384876</v>
      </c>
      <c r="C2973" t="s">
        <v>574</v>
      </c>
      <c r="D2973" t="s">
        <v>8</v>
      </c>
      <c r="E2973" s="2" t="str">
        <f>HYPERLINK("https://ibp.a2mac1.com/costing(costing:projects/details/8191/component/5317796)","Panel holder &gt; Clips for panel side")</f>
        <v>Panel holder &gt; Clips for panel side</v>
      </c>
      <c r="F2973" t="s">
        <v>3810</v>
      </c>
    </row>
    <row r="2974" spans="1:6" ht="12.75">
      <c r="A2974">
        <v>5317797</v>
      </c>
      <c r="B2974">
        <v>5384876</v>
      </c>
      <c r="C2974" t="s">
        <v>574</v>
      </c>
      <c r="D2974" t="s">
        <v>8</v>
      </c>
      <c r="E2974" s="2" t="str">
        <f>HYPERLINK("https://ibp.a2mac1.com/costing(costing:projects/details/8191/component/5317797)","Other fastener &gt; Snap Tooling")</f>
        <v>Other fastener &gt; Snap Tooling</v>
      </c>
      <c r="F2974" t="s">
        <v>3810</v>
      </c>
    </row>
    <row r="2975" spans="1:6" ht="12.75">
      <c r="A2975">
        <v>5384808</v>
      </c>
      <c r="B2975">
        <v>5384795</v>
      </c>
      <c r="C2975" t="s">
        <v>8</v>
      </c>
      <c r="D2975" t="s">
        <v>8</v>
      </c>
      <c r="E2975" s="2" t="str">
        <f>HYPERLINK("https://ibp.a2mac1.com/costing(costing:projects/details/8191/assembly/5384808)","Speakers System")</f>
        <v>Speakers System</v>
      </c>
      <c r="F2975" t="s">
        <v>3535</v>
      </c>
    </row>
    <row r="2976" spans="1:6" ht="12.75">
      <c r="A2976">
        <v>5384878</v>
      </c>
      <c r="B2976">
        <v>5384808</v>
      </c>
      <c r="C2976" t="s">
        <v>8</v>
      </c>
      <c r="D2976" t="s">
        <v>8</v>
      </c>
      <c r="E2976" s="2" t="str">
        <f>HYPERLINK("https://ibp.a2mac1.com/costing(costing:projects/details/8191/assembly/5384878)","Speaker Grille")</f>
        <v>Speaker Grille</v>
      </c>
      <c r="F2976" t="s">
        <v>3823</v>
      </c>
    </row>
    <row r="2977" spans="1:6" ht="12.75">
      <c r="A2977">
        <v>5385036</v>
      </c>
      <c r="B2977">
        <v>5384878</v>
      </c>
      <c r="C2977" t="s">
        <v>12</v>
      </c>
      <c r="D2977" t="s">
        <v>8</v>
      </c>
      <c r="E2977" s="2" t="str">
        <f>HYPERLINK("https://ibp.a2mac1.com/costing(costing:projects/details/8191/part/5385036)","Center Grille")</f>
        <v>Center Grille</v>
      </c>
      <c r="F2977" t="s">
        <v>3824</v>
      </c>
    </row>
    <row r="2978" spans="1:6" ht="12.75">
      <c r="A2978">
        <v>5317798</v>
      </c>
      <c r="B2978">
        <v>5384878</v>
      </c>
      <c r="C2978" t="s">
        <v>574</v>
      </c>
      <c r="D2978" t="s">
        <v>8</v>
      </c>
      <c r="E2978" s="2" t="str">
        <f>HYPERLINK("https://ibp.a2mac1.com/costing(costing:projects/details/8191/component/5317798)","Other fastener &gt; Snap Tooling")</f>
        <v>Other fastener &gt; Snap Tooling</v>
      </c>
      <c r="F2978" t="s">
        <v>3824</v>
      </c>
    </row>
    <row r="2979" spans="1:6" ht="12.75">
      <c r="A2979">
        <v>5384877</v>
      </c>
      <c r="B2979">
        <v>5384808</v>
      </c>
      <c r="C2979" t="s">
        <v>12</v>
      </c>
      <c r="D2979" t="s">
        <v>8</v>
      </c>
      <c r="E2979" s="2" t="str">
        <f>HYPERLINK("https://ibp.a2mac1.com/costing(costing:projects/details/8191/part/5384877)","Center Speaker")</f>
        <v>Center Speaker</v>
      </c>
      <c r="F2979" t="s">
        <v>3823</v>
      </c>
    </row>
    <row r="2980" spans="1:6" ht="12.75">
      <c r="A2980">
        <v>5317754</v>
      </c>
      <c r="B2980">
        <v>5384808</v>
      </c>
      <c r="C2980" t="s">
        <v>574</v>
      </c>
      <c r="D2980" t="s">
        <v>8</v>
      </c>
      <c r="E2980" s="2" t="str">
        <f>HYPERLINK("https://ibp.a2mac1.com/costing(costing:projects/details/8191/component/5317754)","Nut &gt; Pinching nut for metal sheet screw")</f>
        <v>Nut &gt; Pinching nut for metal sheet screw</v>
      </c>
      <c r="F2980" t="s">
        <v>3823</v>
      </c>
    </row>
    <row r="2981" spans="1:6" ht="12.75">
      <c r="A2981">
        <v>5384809</v>
      </c>
      <c r="B2981">
        <v>5384795</v>
      </c>
      <c r="C2981" t="s">
        <v>8</v>
      </c>
      <c r="D2981" t="s">
        <v>8</v>
      </c>
      <c r="E2981" s="2" t="str">
        <f>HYPERLINK("https://ibp.a2mac1.com/costing(costing:projects/details/8191/assembly/5384809)","Fuse Box Trap")</f>
        <v>Fuse Box Trap</v>
      </c>
      <c r="F2981" t="s">
        <v>3535</v>
      </c>
    </row>
    <row r="2982" spans="1:6" ht="12.75">
      <c r="A2982">
        <v>5384879</v>
      </c>
      <c r="B2982">
        <v>5384809</v>
      </c>
      <c r="C2982" t="s">
        <v>12</v>
      </c>
      <c r="D2982" t="s">
        <v>8</v>
      </c>
      <c r="E2982" s="2" t="str">
        <f>HYPERLINK("https://ibp.a2mac1.com/costing(costing:projects/details/8191/part/5384879)","Driver Side")</f>
        <v>Driver Side</v>
      </c>
      <c r="F2982" t="s">
        <v>3831</v>
      </c>
    </row>
    <row r="2983" spans="1:6" ht="12.75">
      <c r="A2983">
        <v>6973921</v>
      </c>
      <c r="B2983">
        <v>5384879</v>
      </c>
      <c r="C2983" t="s">
        <v>99</v>
      </c>
      <c r="D2983" t="s">
        <v>12</v>
      </c>
      <c r="E2983" s="2" t="str">
        <f>HYPERLINK("https://ibp.a2mac1.com/costing(costing:projects/details/8191/process/6973921)","Automated Process")</f>
        <v>Automated Process</v>
      </c>
      <c r="F2983" t="s">
        <v>3832</v>
      </c>
    </row>
    <row r="2984" spans="1:6" ht="12.75">
      <c r="A2984">
        <v>5317866</v>
      </c>
      <c r="B2984">
        <v>6973921</v>
      </c>
      <c r="C2984" t="s">
        <v>24</v>
      </c>
      <c r="D2984" t="s">
        <v>99</v>
      </c>
      <c r="E2984" s="2" t="str">
        <f>HYPERLINK("https://ibp.a2mac1.com/costing(costing:projects/details/8191/material/5317866)","PP-PE")</f>
        <v>PP-PE</v>
      </c>
      <c r="F2984" t="s">
        <v>3833</v>
      </c>
    </row>
    <row r="2985" spans="1:6" ht="12.75">
      <c r="A2985">
        <v>6946479</v>
      </c>
      <c r="B2985">
        <v>6973921</v>
      </c>
      <c r="C2985" t="s">
        <v>189</v>
      </c>
      <c r="D2985" t="s">
        <v>99</v>
      </c>
      <c r="E2985" s="2" t="str">
        <f>HYPERLINK("https://ibp.a2mac1.com/costing(costing:projects/details/8191/equipment/6946479)","Equipment (Injection Molding)")</f>
        <v>Equipment (Injection Molding)</v>
      </c>
      <c r="F2985" t="s">
        <v>3833</v>
      </c>
    </row>
    <row r="2986" spans="1:6" ht="12.75">
      <c r="A2986">
        <v>5384880</v>
      </c>
      <c r="B2986">
        <v>5384809</v>
      </c>
      <c r="C2986" t="s">
        <v>12</v>
      </c>
      <c r="D2986" t="s">
        <v>8</v>
      </c>
      <c r="E2986" s="2" t="str">
        <f>HYPERLINK("https://ibp.a2mac1.com/costing(costing:projects/details/8191/part/5384880)","Fuse Box Trap Support")</f>
        <v>Fuse Box Trap Support</v>
      </c>
      <c r="F2986" t="s">
        <v>3831</v>
      </c>
    </row>
    <row r="2987" spans="1:6" ht="12.75">
      <c r="A2987">
        <v>6973922</v>
      </c>
      <c r="B2987">
        <v>5384880</v>
      </c>
      <c r="C2987" t="s">
        <v>99</v>
      </c>
      <c r="D2987" t="s">
        <v>12</v>
      </c>
      <c r="E2987" s="2" t="str">
        <f>HYPERLINK("https://ibp.a2mac1.com/costing(costing:projects/details/8191/process/6973922)","Automated Process")</f>
        <v>Automated Process</v>
      </c>
      <c r="F2987" t="s">
        <v>3835</v>
      </c>
    </row>
    <row r="2988" spans="1:6" ht="12.75">
      <c r="A2988">
        <v>5317867</v>
      </c>
      <c r="B2988">
        <v>6973922</v>
      </c>
      <c r="C2988" t="s">
        <v>24</v>
      </c>
      <c r="D2988" t="s">
        <v>99</v>
      </c>
      <c r="E2988" s="2" t="str">
        <f>HYPERLINK("https://ibp.a2mac1.com/costing(costing:projects/details/8191/material/5317867)","PP-PE")</f>
        <v>PP-PE</v>
      </c>
      <c r="F2988" t="s">
        <v>3838</v>
      </c>
    </row>
    <row r="2989" spans="1:6" ht="12.75">
      <c r="A2989">
        <v>6946480</v>
      </c>
      <c r="B2989">
        <v>6973922</v>
      </c>
      <c r="C2989" t="s">
        <v>189</v>
      </c>
      <c r="D2989" t="s">
        <v>99</v>
      </c>
      <c r="E2989" s="2" t="str">
        <f>HYPERLINK("https://ibp.a2mac1.com/costing(costing:projects/details/8191/equipment/6946480)","Equipment (Injection Molding)")</f>
        <v>Equipment (Injection Molding)</v>
      </c>
      <c r="F2989" t="s">
        <v>3838</v>
      </c>
    </row>
    <row r="2990" spans="1:6" ht="12.75">
      <c r="A2990">
        <v>5317755</v>
      </c>
      <c r="B2990">
        <v>5384809</v>
      </c>
      <c r="C2990" t="s">
        <v>574</v>
      </c>
      <c r="D2990" t="s">
        <v>8</v>
      </c>
      <c r="E2990" s="2" t="str">
        <f>HYPERLINK("https://ibp.a2mac1.com/costing(costing:projects/details/8191/component/5317755)","Panel holder &gt; Clips in rectangular hole")</f>
        <v>Panel holder &gt; Clips in rectangular hole</v>
      </c>
      <c r="F2990" t="s">
        <v>3831</v>
      </c>
    </row>
    <row r="2991" spans="1:6" ht="12.75">
      <c r="A2991">
        <v>5384810</v>
      </c>
      <c r="B2991">
        <v>5384795</v>
      </c>
      <c r="C2991" t="s">
        <v>8</v>
      </c>
      <c r="D2991" t="s">
        <v>8</v>
      </c>
      <c r="E2991" s="2" t="str">
        <f>HYPERLINK("https://ibp.a2mac1.com/costing(costing:projects/details/8191/assembly/5384810)","Lighting System Under Dashboard")</f>
        <v>Lighting System Under Dashboard</v>
      </c>
      <c r="F2991" t="s">
        <v>3535</v>
      </c>
    </row>
    <row r="2992" spans="1:6" ht="12.75">
      <c r="A2992">
        <v>5384881</v>
      </c>
      <c r="B2992">
        <v>5384810</v>
      </c>
      <c r="C2992" t="s">
        <v>12</v>
      </c>
      <c r="D2992" t="s">
        <v>8</v>
      </c>
      <c r="E2992" s="2" t="str">
        <f>HYPERLINK("https://ibp.a2mac1.com/costing(costing:projects/details/8191/part/5384881)","Light")</f>
        <v>Light</v>
      </c>
      <c r="F2992" t="s">
        <v>3841</v>
      </c>
    </row>
    <row r="2993" spans="1:6" ht="12.75">
      <c r="A2993">
        <v>5384799</v>
      </c>
      <c r="B2993">
        <v>5384795</v>
      </c>
      <c r="C2993" t="s">
        <v>12</v>
      </c>
      <c r="D2993" t="s">
        <v>8</v>
      </c>
      <c r="E2993" s="2" t="str">
        <f>HYPERLINK("https://ibp.a2mac1.com/costing(costing:projects/details/8191/part/5384799)","Dashboard")</f>
        <v>Dashboard</v>
      </c>
      <c r="F2993" t="s">
        <v>3535</v>
      </c>
    </row>
    <row r="2994" spans="1:6" ht="12.75">
      <c r="A2994">
        <v>6973875</v>
      </c>
      <c r="B2994">
        <v>5384799</v>
      </c>
      <c r="C2994" t="s">
        <v>99</v>
      </c>
      <c r="D2994" t="s">
        <v>12</v>
      </c>
      <c r="E2994" s="2" t="str">
        <f>HYPERLINK("https://ibp.a2mac1.com/costing(costing:projects/details/8191/process/6973875)","Automated Process")</f>
        <v>Automated Process</v>
      </c>
      <c r="F2994" t="s">
        <v>3844</v>
      </c>
    </row>
    <row r="2995" spans="1:6" ht="12.75">
      <c r="A2995">
        <v>5317769</v>
      </c>
      <c r="B2995">
        <v>6973875</v>
      </c>
      <c r="C2995" t="s">
        <v>24</v>
      </c>
      <c r="D2995" t="s">
        <v>99</v>
      </c>
      <c r="E2995" s="2" t="str">
        <f>HYPERLINK("https://ibp.a2mac1.com/costing(costing:projects/details/8191/material/5317769)","PVC skin")</f>
        <v>PVC skin</v>
      </c>
      <c r="F2995" t="s">
        <v>3847</v>
      </c>
    </row>
    <row r="2996" spans="1:6" ht="12.75">
      <c r="A2996">
        <v>5317770</v>
      </c>
      <c r="B2996">
        <v>6973875</v>
      </c>
      <c r="C2996" t="s">
        <v>24</v>
      </c>
      <c r="D2996" t="s">
        <v>99</v>
      </c>
      <c r="E2996" s="2" t="str">
        <f>HYPERLINK("https://ibp.a2mac1.com/costing(costing:projects/details/8191/material/5317770)","PP-GF20")</f>
        <v>PP-GF20</v>
      </c>
      <c r="F2996" t="s">
        <v>3847</v>
      </c>
    </row>
    <row r="2997" spans="1:6" ht="12.75">
      <c r="A2997">
        <v>6946432</v>
      </c>
      <c r="B2997">
        <v>6973875</v>
      </c>
      <c r="C2997" t="s">
        <v>189</v>
      </c>
      <c r="D2997" t="s">
        <v>99</v>
      </c>
      <c r="E2997" s="2" t="str">
        <f>HYPERLINK("https://ibp.a2mac1.com/costing(costing:projects/details/8191/equipment/6946432)","Equipment (Injection Molding)")</f>
        <v>Equipment (Injection Molding)</v>
      </c>
      <c r="F2997" t="s">
        <v>3847</v>
      </c>
    </row>
    <row r="2998" spans="1:6" ht="12.75">
      <c r="A2998">
        <v>6946433</v>
      </c>
      <c r="B2998">
        <v>6973875</v>
      </c>
      <c r="C2998" t="s">
        <v>189</v>
      </c>
      <c r="D2998" t="s">
        <v>99</v>
      </c>
      <c r="E2998" s="2" t="str">
        <f>HYPERLINK("https://ibp.a2mac1.com/costing(costing:projects/details/8191/equipment/6946433)","Equipment (Injection Molding)")</f>
        <v>Equipment (Injection Molding)</v>
      </c>
      <c r="F2998" t="s">
        <v>3847</v>
      </c>
    </row>
    <row r="2999" spans="1:6" ht="12.75">
      <c r="A2999">
        <v>5384800</v>
      </c>
      <c r="B2999">
        <v>5384795</v>
      </c>
      <c r="C2999" t="s">
        <v>12</v>
      </c>
      <c r="D2999" t="s">
        <v>8</v>
      </c>
      <c r="E2999" s="2" t="str">
        <f>HYPERLINK("https://ibp.a2mac1.com/costing(costing:projects/details/8191/part/5384800)","IP System Guide")</f>
        <v>IP System Guide</v>
      </c>
      <c r="F2999" t="s">
        <v>3535</v>
      </c>
    </row>
    <row r="3000" spans="1:6" ht="12.75">
      <c r="A3000">
        <v>6973876</v>
      </c>
      <c r="B3000">
        <v>5384800</v>
      </c>
      <c r="C3000" t="s">
        <v>99</v>
      </c>
      <c r="D3000" t="s">
        <v>12</v>
      </c>
      <c r="E3000" s="2" t="str">
        <f>HYPERLINK("https://ibp.a2mac1.com/costing(costing:projects/details/8191/process/6973876)","Automated Process")</f>
        <v>Automated Process</v>
      </c>
      <c r="F3000" t="s">
        <v>3852</v>
      </c>
    </row>
    <row r="3001" spans="1:6" ht="12.75">
      <c r="A3001">
        <v>5317771</v>
      </c>
      <c r="B3001">
        <v>6973876</v>
      </c>
      <c r="C3001" t="s">
        <v>24</v>
      </c>
      <c r="D3001" t="s">
        <v>99</v>
      </c>
      <c r="E3001" s="2" t="str">
        <f>HYPERLINK("https://ibp.a2mac1.com/costing(costing:projects/details/8191/material/5317771)","EPDM")</f>
        <v>EPDM</v>
      </c>
      <c r="F3001" t="s">
        <v>3855</v>
      </c>
    </row>
    <row r="3002" spans="1:6" ht="12.75">
      <c r="A3002">
        <v>6946434</v>
      </c>
      <c r="B3002">
        <v>6973876</v>
      </c>
      <c r="C3002" t="s">
        <v>189</v>
      </c>
      <c r="D3002" t="s">
        <v>99</v>
      </c>
      <c r="E3002" s="2" t="str">
        <f>HYPERLINK("https://ibp.a2mac1.com/costing(costing:projects/details/8191/equipment/6946434)","Equipment (Injection Molding)")</f>
        <v>Equipment (Injection Molding)</v>
      </c>
      <c r="F3002" t="s">
        <v>3855</v>
      </c>
    </row>
    <row r="3003" spans="1:6" ht="12.75">
      <c r="A3003">
        <v>5384801</v>
      </c>
      <c r="B3003">
        <v>5384795</v>
      </c>
      <c r="C3003" t="s">
        <v>12</v>
      </c>
      <c r="D3003" t="s">
        <v>8</v>
      </c>
      <c r="E3003" s="2" t="str">
        <f>HYPERLINK("https://ibp.a2mac1.com/costing(costing:projects/details/8191/part/5384801)","Diagnostic Plug Support")</f>
        <v>Diagnostic Plug Support</v>
      </c>
      <c r="F3003" t="s">
        <v>3535</v>
      </c>
    </row>
    <row r="3004" spans="1:6" ht="12.75">
      <c r="A3004">
        <v>6973877</v>
      </c>
      <c r="B3004">
        <v>5384801</v>
      </c>
      <c r="C3004" t="s">
        <v>99</v>
      </c>
      <c r="D3004" t="s">
        <v>12</v>
      </c>
      <c r="E3004" s="2" t="str">
        <f>HYPERLINK("https://ibp.a2mac1.com/costing(costing:projects/details/8191/process/6973877)","Automated Process")</f>
        <v>Automated Process</v>
      </c>
      <c r="F3004" t="s">
        <v>3858</v>
      </c>
    </row>
    <row r="3005" spans="1:6" ht="12.75">
      <c r="A3005">
        <v>5317772</v>
      </c>
      <c r="B3005">
        <v>6973877</v>
      </c>
      <c r="C3005" t="s">
        <v>24</v>
      </c>
      <c r="D3005" t="s">
        <v>99</v>
      </c>
      <c r="E3005" s="2" t="str">
        <f>HYPERLINK("https://ibp.a2mac1.com/costing(costing:projects/details/8191/material/5317772)","PA6")</f>
        <v>PA6</v>
      </c>
      <c r="F3005" t="s">
        <v>3859</v>
      </c>
    </row>
    <row r="3006" spans="1:6" ht="12.75">
      <c r="A3006">
        <v>6946435</v>
      </c>
      <c r="B3006">
        <v>6973877</v>
      </c>
      <c r="C3006" t="s">
        <v>189</v>
      </c>
      <c r="D3006" t="s">
        <v>99</v>
      </c>
      <c r="E3006" s="2" t="str">
        <f>HYPERLINK("https://ibp.a2mac1.com/costing(costing:projects/details/8191/equipment/6946435)","Equipment (Injection Molding)")</f>
        <v>Equipment (Injection Molding)</v>
      </c>
      <c r="F3006" t="s">
        <v>3859</v>
      </c>
    </row>
    <row r="3007" spans="1:6" ht="12.75">
      <c r="A3007">
        <v>5317739</v>
      </c>
      <c r="B3007">
        <v>5384795</v>
      </c>
      <c r="C3007" t="s">
        <v>574</v>
      </c>
      <c r="D3007" t="s">
        <v>8</v>
      </c>
      <c r="E3007" s="2" t="str">
        <f>HYPERLINK("https://ibp.a2mac1.com/costing(costing:projects/details/8191/component/5317739)","Screw &gt; Torx socket head cap screw with flange")</f>
        <v>Screw &gt; Torx socket head cap screw with flange</v>
      </c>
      <c r="F3007" t="s">
        <v>3535</v>
      </c>
    </row>
    <row r="3008" spans="1:6" ht="12.75">
      <c r="A3008">
        <v>5384796</v>
      </c>
      <c r="B3008">
        <v>5384794</v>
      </c>
      <c r="C3008" t="s">
        <v>8</v>
      </c>
      <c r="D3008" t="s">
        <v>8</v>
      </c>
      <c r="E3008" s="2" t="str">
        <f>HYPERLINK("https://ibp.a2mac1.com/costing(costing:projects/details/8191/assembly/5384796)","Noise Insulation")</f>
        <v>Noise Insulation</v>
      </c>
      <c r="F3008" t="s">
        <v>2871</v>
      </c>
    </row>
    <row r="3009" spans="1:6" ht="12.75">
      <c r="A3009">
        <v>5384826</v>
      </c>
      <c r="B3009">
        <v>5384796</v>
      </c>
      <c r="C3009" t="s">
        <v>8</v>
      </c>
      <c r="D3009" t="s">
        <v>8</v>
      </c>
      <c r="E3009" s="2" t="str">
        <f>HYPERLINK("https://ibp.a2mac1.com/costing(costing:projects/details/8191/assembly/5384826)","Interior Floor Insulation System")</f>
        <v>Interior Floor Insulation System</v>
      </c>
      <c r="F3009" t="s">
        <v>3862</v>
      </c>
    </row>
    <row r="3010" spans="1:6" ht="12.75">
      <c r="A3010">
        <v>5384882</v>
      </c>
      <c r="B3010">
        <v>5384826</v>
      </c>
      <c r="C3010" t="s">
        <v>12</v>
      </c>
      <c r="D3010" t="s">
        <v>8</v>
      </c>
      <c r="E3010" s="2" t="str">
        <f>HYPERLINK("https://ibp.a2mac1.com/costing(costing:projects/details/8191/part/5384882)","Center Console")</f>
        <v>Center Console</v>
      </c>
      <c r="F3010" t="s">
        <v>3863</v>
      </c>
    </row>
    <row r="3011" spans="1:6" ht="12.75">
      <c r="A3011">
        <v>6973923</v>
      </c>
      <c r="B3011">
        <v>5384882</v>
      </c>
      <c r="C3011" t="s">
        <v>99</v>
      </c>
      <c r="D3011" t="s">
        <v>12</v>
      </c>
      <c r="E3011" s="2" t="str">
        <f>HYPERLINK("https://ibp.a2mac1.com/costing(costing:projects/details/8191/process/6973923)","Handling/Visual inspection/packaging")</f>
        <v>Handling/Visual inspection/packaging</v>
      </c>
      <c r="F3011" t="s">
        <v>3864</v>
      </c>
    </row>
    <row r="3012" spans="1:6" ht="12.75">
      <c r="A3012">
        <v>6946481</v>
      </c>
      <c r="B3012">
        <v>6973923</v>
      </c>
      <c r="C3012" t="s">
        <v>189</v>
      </c>
      <c r="D3012" t="s">
        <v>99</v>
      </c>
      <c r="E3012" s="2" t="str">
        <f>HYPERLINK("https://ibp.a2mac1.com/costing(costing:projects/details/8191/equipment/6946481)","Handling/Visual inspection/packaging")</f>
        <v>Handling/Visual inspection/packaging</v>
      </c>
      <c r="F3012" t="s">
        <v>3865</v>
      </c>
    </row>
    <row r="3013" spans="1:6" ht="12.75">
      <c r="A3013">
        <v>6973924</v>
      </c>
      <c r="B3013">
        <v>5384882</v>
      </c>
      <c r="C3013" t="s">
        <v>99</v>
      </c>
      <c r="D3013" t="s">
        <v>12</v>
      </c>
      <c r="E3013" s="2" t="str">
        <f>HYPERLINK("https://ibp.a2mac1.com/costing(costing:projects/details/8191/process/6973924)","Water jet cutting machine")</f>
        <v>Water jet cutting machine</v>
      </c>
      <c r="F3013" t="s">
        <v>3864</v>
      </c>
    </row>
    <row r="3014" spans="1:6" ht="12.75">
      <c r="A3014">
        <v>6946482</v>
      </c>
      <c r="B3014">
        <v>6973924</v>
      </c>
      <c r="C3014" t="s">
        <v>189</v>
      </c>
      <c r="D3014" t="s">
        <v>99</v>
      </c>
      <c r="E3014" s="2" t="str">
        <f>HYPERLINK("https://ibp.a2mac1.com/costing(costing:projects/details/8191/equipment/6946482)","No.01 - Waterjet Cutting ")</f>
        <v xml:space="preserve">No.01 - Waterjet Cutting </v>
      </c>
      <c r="F3014" t="s">
        <v>3867</v>
      </c>
    </row>
    <row r="3015" spans="1:6" ht="12.75">
      <c r="A3015">
        <v>6973925</v>
      </c>
      <c r="B3015">
        <v>5384882</v>
      </c>
      <c r="C3015" t="s">
        <v>99</v>
      </c>
      <c r="D3015" t="s">
        <v>12</v>
      </c>
      <c r="E3015" s="2" t="str">
        <f>HYPERLINK("https://ibp.a2mac1.com/costing(costing:projects/details/8191/process/6973925)","Foaming")</f>
        <v>Foaming</v>
      </c>
      <c r="F3015" t="s">
        <v>3864</v>
      </c>
    </row>
    <row r="3016" spans="1:6" ht="12.75">
      <c r="A3016">
        <v>5317868</v>
      </c>
      <c r="B3016">
        <v>6973925</v>
      </c>
      <c r="C3016" t="s">
        <v>24</v>
      </c>
      <c r="D3016" t="s">
        <v>99</v>
      </c>
      <c r="E3016" s="2" t="str">
        <f>HYPERLINK("https://ibp.a2mac1.com/costing(costing:projects/details/8191/material/5317868)","PUR")</f>
        <v>PUR</v>
      </c>
      <c r="F3016" t="s">
        <v>3870</v>
      </c>
    </row>
    <row r="3017" spans="1:6" ht="12.75">
      <c r="A3017">
        <v>6946483</v>
      </c>
      <c r="B3017">
        <v>6973925</v>
      </c>
      <c r="C3017" t="s">
        <v>189</v>
      </c>
      <c r="D3017" t="s">
        <v>99</v>
      </c>
      <c r="E3017" s="2" t="str">
        <f>HYPERLINK("https://ibp.a2mac1.com/costing(costing:projects/details/8191/equipment/6946483)","Foaming")</f>
        <v>Foaming</v>
      </c>
      <c r="F3017" t="s">
        <v>3870</v>
      </c>
    </row>
    <row r="3018" spans="1:6" ht="12.75">
      <c r="A3018">
        <v>6973926</v>
      </c>
      <c r="B3018">
        <v>5384882</v>
      </c>
      <c r="C3018" t="s">
        <v>99</v>
      </c>
      <c r="D3018" t="s">
        <v>12</v>
      </c>
      <c r="E3018" s="2" t="str">
        <f>HYPERLINK("https://ibp.a2mac1.com/costing(costing:projects/details/8191/process/6973926)","Thermocompression")</f>
        <v>Thermocompression</v>
      </c>
      <c r="F3018" t="s">
        <v>3864</v>
      </c>
    </row>
    <row r="3019" spans="1:6" ht="12.75">
      <c r="A3019">
        <v>6946484</v>
      </c>
      <c r="B3019">
        <v>6973926</v>
      </c>
      <c r="C3019" t="s">
        <v>189</v>
      </c>
      <c r="D3019" t="s">
        <v>99</v>
      </c>
      <c r="E3019" s="2" t="str">
        <f>HYPERLINK("https://ibp.a2mac1.com/costing(costing:projects/details/8191/equipment/6946484)","Thermocompression for Interior ")</f>
        <v xml:space="preserve">Thermocompression for Interior </v>
      </c>
      <c r="F3019" t="s">
        <v>3872</v>
      </c>
    </row>
    <row r="3020" spans="1:6" ht="12.75">
      <c r="A3020">
        <v>6973927</v>
      </c>
      <c r="B3020">
        <v>5384882</v>
      </c>
      <c r="C3020" t="s">
        <v>99</v>
      </c>
      <c r="D3020" t="s">
        <v>12</v>
      </c>
      <c r="E3020" s="2" t="str">
        <f>HYPERLINK("https://ibp.a2mac1.com/costing(costing:projects/details/8191/process/6973927)","Die cutting")</f>
        <v>Die cutting</v>
      </c>
      <c r="F3020" t="s">
        <v>3864</v>
      </c>
    </row>
    <row r="3021" spans="1:6" ht="12.75">
      <c r="A3021">
        <v>5317869</v>
      </c>
      <c r="B3021">
        <v>6973927</v>
      </c>
      <c r="C3021" t="s">
        <v>24</v>
      </c>
      <c r="D3021" t="s">
        <v>99</v>
      </c>
      <c r="E3021" s="2" t="str">
        <f>HYPERLINK("https://ibp.a2mac1.com/costing(costing:projects/details/8191/material/5317869)","EVA 5 kg/m2")</f>
        <v>EVA 5 kg/m2</v>
      </c>
      <c r="F3021" t="s">
        <v>3875</v>
      </c>
    </row>
    <row r="3022" spans="1:6" ht="12.75">
      <c r="A3022">
        <v>6946485</v>
      </c>
      <c r="B3022">
        <v>6973927</v>
      </c>
      <c r="C3022" t="s">
        <v>189</v>
      </c>
      <c r="D3022" t="s">
        <v>99</v>
      </c>
      <c r="E3022" s="2" t="str">
        <f>HYPERLINK("https://ibp.a2mac1.com/costing(costing:projects/details/8191/equipment/6946485)","Die cutting")</f>
        <v>Die cutting</v>
      </c>
      <c r="F3022" t="s">
        <v>3875</v>
      </c>
    </row>
    <row r="3023" spans="1:6" ht="12.75">
      <c r="A3023">
        <v>5384883</v>
      </c>
      <c r="B3023">
        <v>5384826</v>
      </c>
      <c r="C3023" t="s">
        <v>12</v>
      </c>
      <c r="D3023" t="s">
        <v>8</v>
      </c>
      <c r="E3023" s="2" t="str">
        <f>HYPERLINK("https://ibp.a2mac1.com/costing(costing:projects/details/8191/part/5384883)","Rear Insulation")</f>
        <v>Rear Insulation</v>
      </c>
      <c r="F3023" t="s">
        <v>3863</v>
      </c>
    </row>
    <row r="3024" spans="1:6" ht="12.75">
      <c r="A3024">
        <v>6973928</v>
      </c>
      <c r="B3024">
        <v>5384883</v>
      </c>
      <c r="C3024" t="s">
        <v>99</v>
      </c>
      <c r="D3024" t="s">
        <v>12</v>
      </c>
      <c r="E3024" s="2" t="str">
        <f>HYPERLINK("https://ibp.a2mac1.com/costing(costing:projects/details/8191/process/6973928)","Automated Process")</f>
        <v>Automated Process</v>
      </c>
      <c r="F3024" t="s">
        <v>3879</v>
      </c>
    </row>
    <row r="3025" spans="1:6" ht="12.75">
      <c r="A3025">
        <v>5317870</v>
      </c>
      <c r="B3025">
        <v>6973928</v>
      </c>
      <c r="C3025" t="s">
        <v>24</v>
      </c>
      <c r="D3025" t="s">
        <v>99</v>
      </c>
      <c r="E3025" s="2" t="str">
        <f>HYPERLINK("https://ibp.a2mac1.com/costing(costing:projects/details/8191/material/5317870)","EPDM")</f>
        <v>EPDM</v>
      </c>
      <c r="F3025" t="s">
        <v>3881</v>
      </c>
    </row>
    <row r="3026" spans="1:6" ht="12.75">
      <c r="A3026">
        <v>6946486</v>
      </c>
      <c r="B3026">
        <v>6973928</v>
      </c>
      <c r="C3026" t="s">
        <v>189</v>
      </c>
      <c r="D3026" t="s">
        <v>99</v>
      </c>
      <c r="E3026" s="2" t="str">
        <f>HYPERLINK("https://ibp.a2mac1.com/costing(costing:projects/details/8191/equipment/6946486)","DC machine - General")</f>
        <v>DC machine - General</v>
      </c>
      <c r="F3026" t="s">
        <v>3881</v>
      </c>
    </row>
    <row r="3027" spans="1:6" ht="12.75">
      <c r="A3027">
        <v>5384884</v>
      </c>
      <c r="B3027">
        <v>5384826</v>
      </c>
      <c r="C3027" t="s">
        <v>12</v>
      </c>
      <c r="D3027" t="s">
        <v>8</v>
      </c>
      <c r="E3027" s="2" t="str">
        <f>HYPERLINK("https://ibp.a2mac1.com/costing(costing:projects/details/8191/part/5384884)","Rear Seat Carpet Insulation")</f>
        <v>Rear Seat Carpet Insulation</v>
      </c>
      <c r="F3027" t="s">
        <v>3863</v>
      </c>
    </row>
    <row r="3028" spans="1:6" ht="12.75">
      <c r="A3028">
        <v>6973929</v>
      </c>
      <c r="B3028">
        <v>5384884</v>
      </c>
      <c r="C3028" t="s">
        <v>99</v>
      </c>
      <c r="D3028" t="s">
        <v>12</v>
      </c>
      <c r="E3028" s="2" t="str">
        <f>HYPERLINK("https://ibp.a2mac1.com/costing(costing:projects/details/8191/process/6973929)","Die cutting")</f>
        <v>Die cutting</v>
      </c>
      <c r="F3028" t="s">
        <v>3883</v>
      </c>
    </row>
    <row r="3029" spans="1:6" ht="12.75">
      <c r="A3029">
        <v>5317871</v>
      </c>
      <c r="B3029">
        <v>6973929</v>
      </c>
      <c r="C3029" t="s">
        <v>24</v>
      </c>
      <c r="D3029" t="s">
        <v>99</v>
      </c>
      <c r="E3029" s="2" t="str">
        <f>HYPERLINK("https://ibp.a2mac1.com/costing(costing:projects/details/8191/material/5317871)","PP-PET")</f>
        <v>PP-PET</v>
      </c>
      <c r="F3029" t="s">
        <v>3885</v>
      </c>
    </row>
    <row r="3030" spans="1:6" ht="12.75">
      <c r="A3030">
        <v>6946487</v>
      </c>
      <c r="B3030">
        <v>6973929</v>
      </c>
      <c r="C3030" t="s">
        <v>189</v>
      </c>
      <c r="D3030" t="s">
        <v>99</v>
      </c>
      <c r="E3030" s="2" t="str">
        <f>HYPERLINK("https://ibp.a2mac1.com/costing(costing:projects/details/8191/equipment/6946487)","Die cutting")</f>
        <v>Die cutting</v>
      </c>
      <c r="F3030" t="s">
        <v>3885</v>
      </c>
    </row>
    <row r="3031" spans="1:6" ht="12.75">
      <c r="A3031">
        <v>5384885</v>
      </c>
      <c r="B3031">
        <v>5384826</v>
      </c>
      <c r="C3031" t="s">
        <v>12</v>
      </c>
      <c r="D3031" t="s">
        <v>8</v>
      </c>
      <c r="E3031" s="2" t="str">
        <f>HYPERLINK("https://ibp.a2mac1.com/costing(costing:projects/details/8191/part/5384885)","2nd Cushion Insulation")</f>
        <v>2nd Cushion Insulation</v>
      </c>
      <c r="F3031" t="s">
        <v>3863</v>
      </c>
    </row>
    <row r="3032" spans="1:6" ht="12.75">
      <c r="A3032">
        <v>6973930</v>
      </c>
      <c r="B3032">
        <v>5384885</v>
      </c>
      <c r="C3032" t="s">
        <v>99</v>
      </c>
      <c r="D3032" t="s">
        <v>12</v>
      </c>
      <c r="E3032" s="2" t="str">
        <f>HYPERLINK("https://ibp.a2mac1.com/costing(costing:projects/details/8191/process/6973930)","Die Cutting &amp; Sealing")</f>
        <v>Die Cutting &amp; Sealing</v>
      </c>
      <c r="F3032" t="s">
        <v>3887</v>
      </c>
    </row>
    <row r="3033" spans="1:6" ht="12.75">
      <c r="A3033">
        <v>5317872</v>
      </c>
      <c r="B3033">
        <v>6973930</v>
      </c>
      <c r="C3033" t="s">
        <v>24</v>
      </c>
      <c r="D3033" t="s">
        <v>99</v>
      </c>
      <c r="E3033" s="2" t="str">
        <f>HYPERLINK("https://ibp.a2mac1.com/costing(costing:projects/details/8191/material/5317872)","PP-PET")</f>
        <v>PP-PET</v>
      </c>
      <c r="F3033" t="s">
        <v>3890</v>
      </c>
    </row>
    <row r="3034" spans="1:6" ht="12.75">
      <c r="A3034">
        <v>6946488</v>
      </c>
      <c r="B3034">
        <v>6973930</v>
      </c>
      <c r="C3034" t="s">
        <v>189</v>
      </c>
      <c r="D3034" t="s">
        <v>99</v>
      </c>
      <c r="E3034" s="2" t="str">
        <f>HYPERLINK("https://ibp.a2mac1.com/costing(costing:projects/details/8191/equipment/6946488)","Heat press cutting machine")</f>
        <v>Heat press cutting machine</v>
      </c>
      <c r="F3034" t="s">
        <v>3890</v>
      </c>
    </row>
    <row r="3035" spans="1:6" ht="12.75">
      <c r="A3035">
        <v>5384827</v>
      </c>
      <c r="B3035">
        <v>5384796</v>
      </c>
      <c r="C3035" t="s">
        <v>8</v>
      </c>
      <c r="D3035" t="s">
        <v>8</v>
      </c>
      <c r="E3035" s="2" t="str">
        <f>HYPERLINK("https://ibp.a2mac1.com/costing(costing:projects/details/8191/assembly/5384827)","Trunk Area Sound Insulation System")</f>
        <v>Trunk Area Sound Insulation System</v>
      </c>
      <c r="F3035" t="s">
        <v>3862</v>
      </c>
    </row>
    <row r="3036" spans="1:6" ht="12.75">
      <c r="A3036">
        <v>5384886</v>
      </c>
      <c r="B3036">
        <v>5384827</v>
      </c>
      <c r="C3036" t="s">
        <v>12</v>
      </c>
      <c r="D3036" t="s">
        <v>8</v>
      </c>
      <c r="E3036" s="2" t="str">
        <f>HYPERLINK("https://ibp.a2mac1.com/costing(costing:projects/details/8191/part/5384886)","On Left Wheel Arch")</f>
        <v>On Left Wheel Arch</v>
      </c>
      <c r="F3036" t="s">
        <v>3894</v>
      </c>
    </row>
    <row r="3037" spans="1:6" ht="12.75">
      <c r="A3037">
        <v>6973931</v>
      </c>
      <c r="B3037">
        <v>5384886</v>
      </c>
      <c r="C3037" t="s">
        <v>99</v>
      </c>
      <c r="D3037" t="s">
        <v>12</v>
      </c>
      <c r="E3037" s="2" t="str">
        <f>HYPERLINK("https://ibp.a2mac1.com/costing(costing:projects/details/8191/process/6973931)","Die cutting")</f>
        <v>Die cutting</v>
      </c>
      <c r="F3037" t="s">
        <v>3895</v>
      </c>
    </row>
    <row r="3038" spans="1:6" ht="12.75">
      <c r="A3038">
        <v>5317873</v>
      </c>
      <c r="B3038">
        <v>6973931</v>
      </c>
      <c r="C3038" t="s">
        <v>24</v>
      </c>
      <c r="D3038" t="s">
        <v>99</v>
      </c>
      <c r="E3038" s="2" t="str">
        <f>HYPERLINK("https://ibp.a2mac1.com/costing(costing:projects/details/8191/material/5317873)","PP-PET+Layer")</f>
        <v>PP-PET+Layer</v>
      </c>
      <c r="F3038" t="s">
        <v>3897</v>
      </c>
    </row>
    <row r="3039" spans="1:6" ht="12.75">
      <c r="A3039">
        <v>6946489</v>
      </c>
      <c r="B3039">
        <v>6973931</v>
      </c>
      <c r="C3039" t="s">
        <v>189</v>
      </c>
      <c r="D3039" t="s">
        <v>99</v>
      </c>
      <c r="E3039" s="2" t="str">
        <f>HYPERLINK("https://ibp.a2mac1.com/costing(costing:projects/details/8191/equipment/6946489)","Die cutting")</f>
        <v>Die cutting</v>
      </c>
      <c r="F3039" t="s">
        <v>3897</v>
      </c>
    </row>
    <row r="3040" spans="1:6" ht="12.75">
      <c r="A3040">
        <v>5384887</v>
      </c>
      <c r="B3040">
        <v>5384827</v>
      </c>
      <c r="C3040" t="s">
        <v>12</v>
      </c>
      <c r="D3040" t="s">
        <v>8</v>
      </c>
      <c r="E3040" s="2" t="str">
        <f>HYPERLINK("https://ibp.a2mac1.com/costing(costing:projects/details/8191/part/5384887)","On Right Wheel Arch")</f>
        <v>On Right Wheel Arch</v>
      </c>
      <c r="F3040" t="s">
        <v>3894</v>
      </c>
    </row>
    <row r="3041" spans="1:6" ht="12.75">
      <c r="A3041">
        <v>6973932</v>
      </c>
      <c r="B3041">
        <v>5384887</v>
      </c>
      <c r="C3041" t="s">
        <v>99</v>
      </c>
      <c r="D3041" t="s">
        <v>12</v>
      </c>
      <c r="E3041" s="2" t="str">
        <f>HYPERLINK("https://ibp.a2mac1.com/costing(costing:projects/details/8191/process/6973932)","Die cutting")</f>
        <v>Die cutting</v>
      </c>
      <c r="F3041" t="s">
        <v>3899</v>
      </c>
    </row>
    <row r="3042" spans="1:6" ht="12.75">
      <c r="A3042">
        <v>5317874</v>
      </c>
      <c r="B3042">
        <v>6973932</v>
      </c>
      <c r="C3042" t="s">
        <v>24</v>
      </c>
      <c r="D3042" t="s">
        <v>99</v>
      </c>
      <c r="E3042" s="2" t="str">
        <f>HYPERLINK("https://ibp.a2mac1.com/costing(costing:projects/details/8191/material/5317874)","PP-PET+Layer")</f>
        <v>PP-PET+Layer</v>
      </c>
      <c r="F3042" t="s">
        <v>3902</v>
      </c>
    </row>
    <row r="3043" spans="1:6" ht="12.75">
      <c r="A3043">
        <v>6946490</v>
      </c>
      <c r="B3043">
        <v>6973932</v>
      </c>
      <c r="C3043" t="s">
        <v>189</v>
      </c>
      <c r="D3043" t="s">
        <v>99</v>
      </c>
      <c r="E3043" s="2" t="str">
        <f>HYPERLINK("https://ibp.a2mac1.com/costing(costing:projects/details/8191/equipment/6946490)","Die cutting")</f>
        <v>Die cutting</v>
      </c>
      <c r="F3043" t="s">
        <v>3902</v>
      </c>
    </row>
    <row r="3044" spans="1:6" ht="12.75">
      <c r="A3044">
        <v>5384888</v>
      </c>
      <c r="B3044">
        <v>5384827</v>
      </c>
      <c r="C3044" t="s">
        <v>12</v>
      </c>
      <c r="D3044" t="s">
        <v>8</v>
      </c>
      <c r="E3044" s="2" t="str">
        <f>HYPERLINK("https://ibp.a2mac1.com/costing(costing:projects/details/8191/part/5384888)","2nd on Right Fender")</f>
        <v>2nd on Right Fender</v>
      </c>
      <c r="F3044" t="s">
        <v>3894</v>
      </c>
    </row>
    <row r="3045" spans="1:6" ht="12.75">
      <c r="A3045">
        <v>6973933</v>
      </c>
      <c r="B3045">
        <v>5384888</v>
      </c>
      <c r="C3045" t="s">
        <v>99</v>
      </c>
      <c r="D3045" t="s">
        <v>12</v>
      </c>
      <c r="E3045" s="2" t="str">
        <f>HYPERLINK("https://ibp.a2mac1.com/costing(costing:projects/details/8191/process/6973933)","Die cutting")</f>
        <v>Die cutting</v>
      </c>
      <c r="F3045" t="s">
        <v>3904</v>
      </c>
    </row>
    <row r="3046" spans="1:6" ht="12.75">
      <c r="A3046">
        <v>5317875</v>
      </c>
      <c r="B3046">
        <v>6973933</v>
      </c>
      <c r="C3046" t="s">
        <v>24</v>
      </c>
      <c r="D3046" t="s">
        <v>99</v>
      </c>
      <c r="E3046" s="2" t="str">
        <f>HYPERLINK("https://ibp.a2mac1.com/costing(costing:projects/details/8191/material/5317875)","PP-PET+Layer")</f>
        <v>PP-PET+Layer</v>
      </c>
      <c r="F3046" t="s">
        <v>3907</v>
      </c>
    </row>
    <row r="3047" spans="1:6" ht="12.75">
      <c r="A3047">
        <v>6946491</v>
      </c>
      <c r="B3047">
        <v>6973933</v>
      </c>
      <c r="C3047" t="s">
        <v>189</v>
      </c>
      <c r="D3047" t="s">
        <v>99</v>
      </c>
      <c r="E3047" s="2" t="str">
        <f>HYPERLINK("https://ibp.a2mac1.com/costing(costing:projects/details/8191/equipment/6946491)","Die cutting")</f>
        <v>Die cutting</v>
      </c>
      <c r="F3047" t="s">
        <v>3907</v>
      </c>
    </row>
    <row r="3048" spans="1:6" ht="12.75">
      <c r="A3048">
        <v>5384889</v>
      </c>
      <c r="B3048">
        <v>5384827</v>
      </c>
      <c r="C3048" t="s">
        <v>12</v>
      </c>
      <c r="D3048" t="s">
        <v>8</v>
      </c>
      <c r="E3048" s="2" t="str">
        <f>HYPERLINK("https://ibp.a2mac1.com/costing(costing:projects/details/8191/part/5384889)","Left and Right Insulation Same Block")</f>
        <v>Left and Right Insulation Same Block</v>
      </c>
      <c r="F3048" t="s">
        <v>3894</v>
      </c>
    </row>
    <row r="3049" spans="1:6" ht="12.75">
      <c r="A3049">
        <v>6973934</v>
      </c>
      <c r="B3049">
        <v>5384889</v>
      </c>
      <c r="C3049" t="s">
        <v>99</v>
      </c>
      <c r="D3049" t="s">
        <v>12</v>
      </c>
      <c r="E3049" s="2" t="str">
        <f>HYPERLINK("https://ibp.a2mac1.com/costing(costing:projects/details/8191/process/6973934)","Die cutting")</f>
        <v>Die cutting</v>
      </c>
      <c r="F3049" t="s">
        <v>3909</v>
      </c>
    </row>
    <row r="3050" spans="1:6" ht="12.75">
      <c r="A3050">
        <v>5317876</v>
      </c>
      <c r="B3050">
        <v>6973934</v>
      </c>
      <c r="C3050" t="s">
        <v>24</v>
      </c>
      <c r="D3050" t="s">
        <v>99</v>
      </c>
      <c r="E3050" s="2" t="str">
        <f>HYPERLINK("https://ibp.a2mac1.com/costing(costing:projects/details/8191/material/5317876)","PP-PET")</f>
        <v>PP-PET</v>
      </c>
      <c r="F3050" t="s">
        <v>3911</v>
      </c>
    </row>
    <row r="3051" spans="1:6" ht="12.75">
      <c r="A3051">
        <v>6946492</v>
      </c>
      <c r="B3051">
        <v>6973934</v>
      </c>
      <c r="C3051" t="s">
        <v>189</v>
      </c>
      <c r="D3051" t="s">
        <v>99</v>
      </c>
      <c r="E3051" s="2" t="str">
        <f>HYPERLINK("https://ibp.a2mac1.com/costing(costing:projects/details/8191/equipment/6946492)","Die cutting")</f>
        <v>Die cutting</v>
      </c>
      <c r="F3051" t="s">
        <v>3911</v>
      </c>
    </row>
    <row r="3052" spans="1:6" ht="12.75">
      <c r="A3052">
        <v>5317756</v>
      </c>
      <c r="B3052">
        <v>5384827</v>
      </c>
      <c r="C3052" t="s">
        <v>574</v>
      </c>
      <c r="D3052" t="s">
        <v>8</v>
      </c>
      <c r="E3052" s="2" t="str">
        <f>HYPERLINK("https://ibp.a2mac1.com/costing(costing:projects/details/8191/component/5317756)","Washer &gt; Lock interior washer")</f>
        <v>Washer &gt; Lock interior washer</v>
      </c>
      <c r="F3052" t="s">
        <v>3894</v>
      </c>
    </row>
    <row r="3053" spans="1:6" ht="12.75">
      <c r="A3053">
        <v>5384828</v>
      </c>
      <c r="B3053">
        <v>5384796</v>
      </c>
      <c r="C3053" t="s">
        <v>8</v>
      </c>
      <c r="D3053" t="s">
        <v>8</v>
      </c>
      <c r="E3053" s="2" t="str">
        <f>HYPERLINK("https://ibp.a2mac1.com/costing(costing:projects/details/8191/assembly/5384828)","Sound Insulation on Inner Panels")</f>
        <v>Sound Insulation on Inner Panels</v>
      </c>
      <c r="F3053" t="s">
        <v>3862</v>
      </c>
    </row>
    <row r="3054" spans="1:6" ht="12.75">
      <c r="A3054">
        <v>5384890</v>
      </c>
      <c r="B3054">
        <v>5384828</v>
      </c>
      <c r="C3054" t="s">
        <v>12</v>
      </c>
      <c r="D3054" t="s">
        <v>8</v>
      </c>
      <c r="E3054" s="2" t="str">
        <f>HYPERLINK("https://ibp.a2mac1.com/costing(costing:projects/details/8191/part/5384890)","On A pillar Upper Panel")</f>
        <v>On A pillar Upper Panel</v>
      </c>
      <c r="F3054" t="s">
        <v>3915</v>
      </c>
    </row>
    <row r="3055" spans="1:6" ht="12.75">
      <c r="A3055">
        <v>6973935</v>
      </c>
      <c r="B3055">
        <v>5384890</v>
      </c>
      <c r="C3055" t="s">
        <v>99</v>
      </c>
      <c r="D3055" t="s">
        <v>12</v>
      </c>
      <c r="E3055" s="2" t="str">
        <f>HYPERLINK("https://ibp.a2mac1.com/costing(costing:projects/details/8191/process/6973935)","Die cutting")</f>
        <v>Die cutting</v>
      </c>
      <c r="F3055" t="s">
        <v>3916</v>
      </c>
    </row>
    <row r="3056" spans="1:6" ht="12.75">
      <c r="A3056">
        <v>5317877</v>
      </c>
      <c r="B3056">
        <v>6973935</v>
      </c>
      <c r="C3056" t="s">
        <v>24</v>
      </c>
      <c r="D3056" t="s">
        <v>99</v>
      </c>
      <c r="E3056" s="2" t="str">
        <f>HYPERLINK("https://ibp.a2mac1.com/costing(costing:projects/details/8191/material/5317877)","PP-PET+Layer")</f>
        <v>PP-PET+Layer</v>
      </c>
      <c r="F3056" t="s">
        <v>3918</v>
      </c>
    </row>
    <row r="3057" spans="1:6" ht="12.75">
      <c r="A3057">
        <v>6946493</v>
      </c>
      <c r="B3057">
        <v>6973935</v>
      </c>
      <c r="C3057" t="s">
        <v>189</v>
      </c>
      <c r="D3057" t="s">
        <v>99</v>
      </c>
      <c r="E3057" s="2" t="str">
        <f>HYPERLINK("https://ibp.a2mac1.com/costing(costing:projects/details/8191/equipment/6946493)","Die cutting")</f>
        <v>Die cutting</v>
      </c>
      <c r="F3057" t="s">
        <v>3918</v>
      </c>
    </row>
    <row r="3058" spans="1:6" ht="12.75">
      <c r="A3058">
        <v>5384891</v>
      </c>
      <c r="B3058">
        <v>5384828</v>
      </c>
      <c r="C3058" t="s">
        <v>12</v>
      </c>
      <c r="D3058" t="s">
        <v>8</v>
      </c>
      <c r="E3058" s="2" t="str">
        <f>HYPERLINK("https://ibp.a2mac1.com/costing(costing:projects/details/8191/part/5384891)","On A Pillar Lower Panel")</f>
        <v>On A Pillar Lower Panel</v>
      </c>
      <c r="F3058" t="s">
        <v>3915</v>
      </c>
    </row>
    <row r="3059" spans="1:6" ht="12.75">
      <c r="A3059">
        <v>6973936</v>
      </c>
      <c r="B3059">
        <v>5384891</v>
      </c>
      <c r="C3059" t="s">
        <v>99</v>
      </c>
      <c r="D3059" t="s">
        <v>12</v>
      </c>
      <c r="E3059" s="2" t="str">
        <f>HYPERLINK("https://ibp.a2mac1.com/costing(costing:projects/details/8191/process/6973936)","Die cutting")</f>
        <v>Die cutting</v>
      </c>
      <c r="F3059" t="s">
        <v>3920</v>
      </c>
    </row>
    <row r="3060" spans="1:6" ht="12.75">
      <c r="A3060">
        <v>5317878</v>
      </c>
      <c r="B3060">
        <v>6973936</v>
      </c>
      <c r="C3060" t="s">
        <v>24</v>
      </c>
      <c r="D3060" t="s">
        <v>99</v>
      </c>
      <c r="E3060" s="2" t="str">
        <f>HYPERLINK("https://ibp.a2mac1.com/costing(costing:projects/details/8191/material/5317878)","PP-PET+Layer")</f>
        <v>PP-PET+Layer</v>
      </c>
      <c r="F3060" t="s">
        <v>3922</v>
      </c>
    </row>
    <row r="3061" spans="1:6" ht="12.75">
      <c r="A3061">
        <v>6946494</v>
      </c>
      <c r="B3061">
        <v>6973936</v>
      </c>
      <c r="C3061" t="s">
        <v>189</v>
      </c>
      <c r="D3061" t="s">
        <v>99</v>
      </c>
      <c r="E3061" s="2" t="str">
        <f>HYPERLINK("https://ibp.a2mac1.com/costing(costing:projects/details/8191/equipment/6946494)","Die cutting")</f>
        <v>Die cutting</v>
      </c>
      <c r="F3061" t="s">
        <v>3922</v>
      </c>
    </row>
    <row r="3062" spans="1:6" ht="12.75">
      <c r="A3062">
        <v>5384892</v>
      </c>
      <c r="B3062">
        <v>5384828</v>
      </c>
      <c r="C3062" t="s">
        <v>12</v>
      </c>
      <c r="D3062" t="s">
        <v>8</v>
      </c>
      <c r="E3062" s="2" t="str">
        <f>HYPERLINK("https://ibp.a2mac1.com/costing(costing:projects/details/8191/part/5384892)","On A Pillar Lower Panel Right if Different")</f>
        <v>On A Pillar Lower Panel Right if Different</v>
      </c>
      <c r="F3062" t="s">
        <v>3915</v>
      </c>
    </row>
    <row r="3063" spans="1:6" ht="12.75">
      <c r="A3063">
        <v>6973937</v>
      </c>
      <c r="B3063">
        <v>5384892</v>
      </c>
      <c r="C3063" t="s">
        <v>99</v>
      </c>
      <c r="D3063" t="s">
        <v>12</v>
      </c>
      <c r="E3063" s="2" t="str">
        <f>HYPERLINK("https://ibp.a2mac1.com/costing(costing:projects/details/8191/process/6973937)","Die cutting")</f>
        <v>Die cutting</v>
      </c>
      <c r="F3063" t="s">
        <v>3924</v>
      </c>
    </row>
    <row r="3064" spans="1:6" ht="12.75">
      <c r="A3064">
        <v>5317879</v>
      </c>
      <c r="B3064">
        <v>6973937</v>
      </c>
      <c r="C3064" t="s">
        <v>24</v>
      </c>
      <c r="D3064" t="s">
        <v>99</v>
      </c>
      <c r="E3064" s="2" t="str">
        <f>HYPERLINK("https://ibp.a2mac1.com/costing(costing:projects/details/8191/material/5317879)","PP-PET+Layer")</f>
        <v>PP-PET+Layer</v>
      </c>
      <c r="F3064" t="s">
        <v>3926</v>
      </c>
    </row>
    <row r="3065" spans="1:6" ht="12.75">
      <c r="A3065">
        <v>6946495</v>
      </c>
      <c r="B3065">
        <v>6973937</v>
      </c>
      <c r="C3065" t="s">
        <v>189</v>
      </c>
      <c r="D3065" t="s">
        <v>99</v>
      </c>
      <c r="E3065" s="2" t="str">
        <f>HYPERLINK("https://ibp.a2mac1.com/costing(costing:projects/details/8191/equipment/6946495)","Die cutting")</f>
        <v>Die cutting</v>
      </c>
      <c r="F3065" t="s">
        <v>3926</v>
      </c>
    </row>
    <row r="3066" spans="1:6" ht="12.75">
      <c r="A3066">
        <v>5384893</v>
      </c>
      <c r="B3066">
        <v>5384828</v>
      </c>
      <c r="C3066" t="s">
        <v>12</v>
      </c>
      <c r="D3066" t="s">
        <v>8</v>
      </c>
      <c r="E3066" s="2" t="str">
        <f>HYPERLINK("https://ibp.a2mac1.com/costing(costing:projects/details/8191/part/5384893)","On B Pillar Lower Panel")</f>
        <v>On B Pillar Lower Panel</v>
      </c>
      <c r="F3066" t="s">
        <v>3915</v>
      </c>
    </row>
    <row r="3067" spans="1:6" ht="12.75">
      <c r="A3067">
        <v>6973938</v>
      </c>
      <c r="B3067">
        <v>5384893</v>
      </c>
      <c r="C3067" t="s">
        <v>99</v>
      </c>
      <c r="D3067" t="s">
        <v>12</v>
      </c>
      <c r="E3067" s="2" t="str">
        <f>HYPERLINK("https://ibp.a2mac1.com/costing(costing:projects/details/8191/process/6973938)","Die cutting")</f>
        <v>Die cutting</v>
      </c>
      <c r="F3067" t="s">
        <v>3928</v>
      </c>
    </row>
    <row r="3068" spans="1:6" ht="12.75">
      <c r="A3068">
        <v>5317880</v>
      </c>
      <c r="B3068">
        <v>6973938</v>
      </c>
      <c r="C3068" t="s">
        <v>24</v>
      </c>
      <c r="D3068" t="s">
        <v>99</v>
      </c>
      <c r="E3068" s="2" t="str">
        <f>HYPERLINK("https://ibp.a2mac1.com/costing(costing:projects/details/8191/material/5317880)","PP-PET+Layer")</f>
        <v>PP-PET+Layer</v>
      </c>
      <c r="F3068" t="s">
        <v>3929</v>
      </c>
    </row>
    <row r="3069" spans="1:6" ht="12.75">
      <c r="A3069">
        <v>6946496</v>
      </c>
      <c r="B3069">
        <v>6973938</v>
      </c>
      <c r="C3069" t="s">
        <v>189</v>
      </c>
      <c r="D3069" t="s">
        <v>99</v>
      </c>
      <c r="E3069" s="2" t="str">
        <f>HYPERLINK("https://ibp.a2mac1.com/costing(costing:projects/details/8191/equipment/6946496)","Die cutting")</f>
        <v>Die cutting</v>
      </c>
      <c r="F3069" t="s">
        <v>3929</v>
      </c>
    </row>
    <row r="3070" spans="1:6" ht="12.75">
      <c r="A3070">
        <v>5384894</v>
      </c>
      <c r="B3070">
        <v>5384828</v>
      </c>
      <c r="C3070" t="s">
        <v>12</v>
      </c>
      <c r="D3070" t="s">
        <v>8</v>
      </c>
      <c r="E3070" s="2" t="str">
        <f>HYPERLINK("https://ibp.a2mac1.com/costing(costing:projects/details/8191/part/5384894)","On Lower C Pillar Panel")</f>
        <v>On Lower C Pillar Panel</v>
      </c>
      <c r="F3070" t="s">
        <v>3915</v>
      </c>
    </row>
    <row r="3071" spans="1:6" ht="12.75">
      <c r="A3071">
        <v>6973939</v>
      </c>
      <c r="B3071">
        <v>5384894</v>
      </c>
      <c r="C3071" t="s">
        <v>99</v>
      </c>
      <c r="D3071" t="s">
        <v>12</v>
      </c>
      <c r="E3071" s="2" t="str">
        <f>HYPERLINK("https://ibp.a2mac1.com/costing(costing:projects/details/8191/process/6973939)","Die cutting")</f>
        <v>Die cutting</v>
      </c>
      <c r="F3071" t="s">
        <v>3931</v>
      </c>
    </row>
    <row r="3072" spans="1:6" ht="12.75">
      <c r="A3072">
        <v>5317881</v>
      </c>
      <c r="B3072">
        <v>6973939</v>
      </c>
      <c r="C3072" t="s">
        <v>24</v>
      </c>
      <c r="D3072" t="s">
        <v>99</v>
      </c>
      <c r="E3072" s="2" t="str">
        <f>HYPERLINK("https://ibp.a2mac1.com/costing(costing:projects/details/8191/material/5317881)","PP-PET")</f>
        <v>PP-PET</v>
      </c>
      <c r="F3072" t="s">
        <v>3934</v>
      </c>
    </row>
    <row r="3073" spans="1:6" ht="12.75">
      <c r="A3073">
        <v>6946497</v>
      </c>
      <c r="B3073">
        <v>6973939</v>
      </c>
      <c r="C3073" t="s">
        <v>189</v>
      </c>
      <c r="D3073" t="s">
        <v>99</v>
      </c>
      <c r="E3073" s="2" t="str">
        <f>HYPERLINK("https://ibp.a2mac1.com/costing(costing:projects/details/8191/equipment/6946497)","Die cutting")</f>
        <v>Die cutting</v>
      </c>
      <c r="F3073" t="s">
        <v>3934</v>
      </c>
    </row>
    <row r="3074" spans="1:6" ht="12.75">
      <c r="A3074">
        <v>5384895</v>
      </c>
      <c r="B3074">
        <v>5384828</v>
      </c>
      <c r="C3074" t="s">
        <v>12</v>
      </c>
      <c r="D3074" t="s">
        <v>8</v>
      </c>
      <c r="E3074" s="2" t="str">
        <f>HYPERLINK("https://ibp.a2mac1.com/costing(costing:projects/details/8191/part/5384895)","Insulation on Rear Quarter Glass Panel")</f>
        <v>Insulation on Rear Quarter Glass Panel</v>
      </c>
      <c r="F3074" t="s">
        <v>3915</v>
      </c>
    </row>
    <row r="3075" spans="1:6" ht="12.75">
      <c r="A3075">
        <v>6973940</v>
      </c>
      <c r="B3075">
        <v>5384895</v>
      </c>
      <c r="C3075" t="s">
        <v>99</v>
      </c>
      <c r="D3075" t="s">
        <v>12</v>
      </c>
      <c r="E3075" s="2" t="str">
        <f>HYPERLINK("https://ibp.a2mac1.com/costing(costing:projects/details/8191/process/6973940)","Die cutting")</f>
        <v>Die cutting</v>
      </c>
      <c r="F3075" t="s">
        <v>3936</v>
      </c>
    </row>
    <row r="3076" spans="1:6" ht="12.75">
      <c r="A3076">
        <v>5317882</v>
      </c>
      <c r="B3076">
        <v>6973940</v>
      </c>
      <c r="C3076" t="s">
        <v>24</v>
      </c>
      <c r="D3076" t="s">
        <v>99</v>
      </c>
      <c r="E3076" s="2" t="str">
        <f>HYPERLINK("https://ibp.a2mac1.com/costing(costing:projects/details/8191/material/5317882)","PP-PET+Layer")</f>
        <v>PP-PET+Layer</v>
      </c>
      <c r="F3076" t="s">
        <v>3939</v>
      </c>
    </row>
    <row r="3077" spans="1:6" ht="12.75">
      <c r="A3077">
        <v>6946498</v>
      </c>
      <c r="B3077">
        <v>6973940</v>
      </c>
      <c r="C3077" t="s">
        <v>189</v>
      </c>
      <c r="D3077" t="s">
        <v>99</v>
      </c>
      <c r="E3077" s="2" t="str">
        <f>HYPERLINK("https://ibp.a2mac1.com/costing(costing:projects/details/8191/equipment/6946498)","Die cutting")</f>
        <v>Die cutting</v>
      </c>
      <c r="F3077" t="s">
        <v>3939</v>
      </c>
    </row>
    <row r="3078" spans="1:6" ht="12.75">
      <c r="A3078">
        <v>5384896</v>
      </c>
      <c r="B3078">
        <v>5384828</v>
      </c>
      <c r="C3078" t="s">
        <v>12</v>
      </c>
      <c r="D3078" t="s">
        <v>8</v>
      </c>
      <c r="E3078" s="2" t="str">
        <f>HYPERLINK("https://ibp.a2mac1.com/costing(costing:projects/details/8191/part/5384896)","2nd Insulation on Rear Quarter Glass Panel")</f>
        <v>2nd Insulation on Rear Quarter Glass Panel</v>
      </c>
      <c r="F3078" t="s">
        <v>3915</v>
      </c>
    </row>
    <row r="3079" spans="1:6" ht="12.75">
      <c r="A3079">
        <v>6973941</v>
      </c>
      <c r="B3079">
        <v>5384896</v>
      </c>
      <c r="C3079" t="s">
        <v>99</v>
      </c>
      <c r="D3079" t="s">
        <v>12</v>
      </c>
      <c r="E3079" s="2" t="str">
        <f>HYPERLINK("https://ibp.a2mac1.com/costing(costing:projects/details/8191/process/6973941)","Die cutting")</f>
        <v>Die cutting</v>
      </c>
      <c r="F3079" t="s">
        <v>3941</v>
      </c>
    </row>
    <row r="3080" spans="1:6" ht="12.75">
      <c r="A3080">
        <v>5317883</v>
      </c>
      <c r="B3080">
        <v>6973941</v>
      </c>
      <c r="C3080" t="s">
        <v>24</v>
      </c>
      <c r="D3080" t="s">
        <v>99</v>
      </c>
      <c r="E3080" s="2" t="str">
        <f>HYPERLINK("https://ibp.a2mac1.com/costing(costing:projects/details/8191/material/5317883)","PP-PET+Adhesive")</f>
        <v>PP-PET+Adhesive</v>
      </c>
      <c r="F3080" t="s">
        <v>3944</v>
      </c>
    </row>
    <row r="3081" spans="1:6" ht="12.75">
      <c r="A3081">
        <v>6946499</v>
      </c>
      <c r="B3081">
        <v>6973941</v>
      </c>
      <c r="C3081" t="s">
        <v>189</v>
      </c>
      <c r="D3081" t="s">
        <v>99</v>
      </c>
      <c r="E3081" s="2" t="str">
        <f>HYPERLINK("https://ibp.a2mac1.com/costing(costing:projects/details/8191/equipment/6946499)","Die cutting")</f>
        <v>Die cutting</v>
      </c>
      <c r="F3081" t="s">
        <v>3944</v>
      </c>
    </row>
    <row r="3082" spans="1:6" ht="12.75">
      <c r="A3082">
        <v>5384897</v>
      </c>
      <c r="B3082">
        <v>5384828</v>
      </c>
      <c r="C3082" t="s">
        <v>12</v>
      </c>
      <c r="D3082" t="s">
        <v>8</v>
      </c>
      <c r="E3082" s="2" t="str">
        <f>HYPERLINK("https://ibp.a2mac1.com/costing(costing:projects/details/8191/part/5384897)","3rd Insulation on Rear Quarter Glass Panel")</f>
        <v>3rd Insulation on Rear Quarter Glass Panel</v>
      </c>
      <c r="F3082" t="s">
        <v>3915</v>
      </c>
    </row>
    <row r="3083" spans="1:6" ht="12.75">
      <c r="A3083">
        <v>6973942</v>
      </c>
      <c r="B3083">
        <v>5384897</v>
      </c>
      <c r="C3083" t="s">
        <v>99</v>
      </c>
      <c r="D3083" t="s">
        <v>12</v>
      </c>
      <c r="E3083" s="2" t="str">
        <f>HYPERLINK("https://ibp.a2mac1.com/costing(costing:projects/details/8191/process/6973942)","Die cutting")</f>
        <v>Die cutting</v>
      </c>
      <c r="F3083" t="s">
        <v>3946</v>
      </c>
    </row>
    <row r="3084" spans="1:6" ht="12.75">
      <c r="A3084">
        <v>5317884</v>
      </c>
      <c r="B3084">
        <v>6973942</v>
      </c>
      <c r="C3084" t="s">
        <v>24</v>
      </c>
      <c r="D3084" t="s">
        <v>99</v>
      </c>
      <c r="E3084" s="2" t="str">
        <f>HYPERLINK("https://ibp.a2mac1.com/costing(costing:projects/details/8191/material/5317884)","PP-PET+Adhesive")</f>
        <v>PP-PET+Adhesive</v>
      </c>
      <c r="F3084" t="s">
        <v>3947</v>
      </c>
    </row>
    <row r="3085" spans="1:6" ht="12.75">
      <c r="A3085">
        <v>6946500</v>
      </c>
      <c r="B3085">
        <v>6973942</v>
      </c>
      <c r="C3085" t="s">
        <v>189</v>
      </c>
      <c r="D3085" t="s">
        <v>99</v>
      </c>
      <c r="E3085" s="2" t="str">
        <f>HYPERLINK("https://ibp.a2mac1.com/costing(costing:projects/details/8191/equipment/6946500)","Die cutting")</f>
        <v>Die cutting</v>
      </c>
      <c r="F3085" t="s">
        <v>3947</v>
      </c>
    </row>
    <row r="3086" spans="1:6" ht="12.75">
      <c r="A3086">
        <v>5384898</v>
      </c>
      <c r="B3086">
        <v>5384828</v>
      </c>
      <c r="C3086" t="s">
        <v>12</v>
      </c>
      <c r="D3086" t="s">
        <v>8</v>
      </c>
      <c r="E3086" s="2" t="str">
        <f>HYPERLINK("https://ibp.a2mac1.com/costing(costing:projects/details/8191/part/5384898)","On Side Upper Trunk Panel")</f>
        <v>On Side Upper Trunk Panel</v>
      </c>
      <c r="F3086" t="s">
        <v>3915</v>
      </c>
    </row>
    <row r="3087" spans="1:6" ht="12.75">
      <c r="A3087">
        <v>6973943</v>
      </c>
      <c r="B3087">
        <v>5384898</v>
      </c>
      <c r="C3087" t="s">
        <v>99</v>
      </c>
      <c r="D3087" t="s">
        <v>12</v>
      </c>
      <c r="E3087" s="2" t="str">
        <f>HYPERLINK("https://ibp.a2mac1.com/costing(costing:projects/details/8191/process/6973943)","Die cutting")</f>
        <v>Die cutting</v>
      </c>
      <c r="F3087" t="s">
        <v>3949</v>
      </c>
    </row>
    <row r="3088" spans="1:6" ht="12.75">
      <c r="A3088">
        <v>5317885</v>
      </c>
      <c r="B3088">
        <v>6973943</v>
      </c>
      <c r="C3088" t="s">
        <v>24</v>
      </c>
      <c r="D3088" t="s">
        <v>99</v>
      </c>
      <c r="E3088" s="2" t="str">
        <f>HYPERLINK("https://ibp.a2mac1.com/costing(costing:projects/details/8191/material/5317885)","PP-PET+Layer")</f>
        <v>PP-PET+Layer</v>
      </c>
      <c r="F3088" t="s">
        <v>3951</v>
      </c>
    </row>
    <row r="3089" spans="1:6" ht="12.75">
      <c r="A3089">
        <v>6946501</v>
      </c>
      <c r="B3089">
        <v>6973943</v>
      </c>
      <c r="C3089" t="s">
        <v>189</v>
      </c>
      <c r="D3089" t="s">
        <v>99</v>
      </c>
      <c r="E3089" s="2" t="str">
        <f>HYPERLINK("https://ibp.a2mac1.com/costing(costing:projects/details/8191/equipment/6946501)","Die cutting")</f>
        <v>Die cutting</v>
      </c>
      <c r="F3089" t="s">
        <v>3951</v>
      </c>
    </row>
    <row r="3090" spans="1:6" ht="12.75">
      <c r="A3090">
        <v>5384899</v>
      </c>
      <c r="B3090">
        <v>5384828</v>
      </c>
      <c r="C3090" t="s">
        <v>12</v>
      </c>
      <c r="D3090" t="s">
        <v>8</v>
      </c>
      <c r="E3090" s="2" t="str">
        <f>HYPERLINK("https://ibp.a2mac1.com/costing(costing:projects/details/8191/part/5384899)","On Side Lower Trunk Panel Insulation")</f>
        <v>On Side Lower Trunk Panel Insulation</v>
      </c>
      <c r="F3090" t="s">
        <v>3915</v>
      </c>
    </row>
    <row r="3091" spans="1:6" ht="12.75">
      <c r="A3091">
        <v>6973944</v>
      </c>
      <c r="B3091">
        <v>5384899</v>
      </c>
      <c r="C3091" t="s">
        <v>99</v>
      </c>
      <c r="D3091" t="s">
        <v>12</v>
      </c>
      <c r="E3091" s="2" t="str">
        <f>HYPERLINK("https://ibp.a2mac1.com/costing(costing:projects/details/8191/process/6973944)","Die cutting")</f>
        <v>Die cutting</v>
      </c>
      <c r="F3091" t="s">
        <v>3953</v>
      </c>
    </row>
    <row r="3092" spans="1:6" ht="12.75">
      <c r="A3092">
        <v>5317886</v>
      </c>
      <c r="B3092">
        <v>6973944</v>
      </c>
      <c r="C3092" t="s">
        <v>24</v>
      </c>
      <c r="D3092" t="s">
        <v>99</v>
      </c>
      <c r="E3092" s="2" t="str">
        <f>HYPERLINK("https://ibp.a2mac1.com/costing(costing:projects/details/8191/material/5317886)","PP-PET+Layer")</f>
        <v>PP-PET+Layer</v>
      </c>
      <c r="F3092" t="s">
        <v>3956</v>
      </c>
    </row>
    <row r="3093" spans="1:6" ht="12.75">
      <c r="A3093">
        <v>6946502</v>
      </c>
      <c r="B3093">
        <v>6973944</v>
      </c>
      <c r="C3093" t="s">
        <v>189</v>
      </c>
      <c r="D3093" t="s">
        <v>99</v>
      </c>
      <c r="E3093" s="2" t="str">
        <f>HYPERLINK("https://ibp.a2mac1.com/costing(costing:projects/details/8191/equipment/6946502)","Die cutting")</f>
        <v>Die cutting</v>
      </c>
      <c r="F3093" t="s">
        <v>3956</v>
      </c>
    </row>
    <row r="3094" spans="1:6" ht="12.75">
      <c r="A3094">
        <v>5384900</v>
      </c>
      <c r="B3094">
        <v>5384828</v>
      </c>
      <c r="C3094" t="s">
        <v>12</v>
      </c>
      <c r="D3094" t="s">
        <v>8</v>
      </c>
      <c r="E3094" s="2" t="str">
        <f>HYPERLINK("https://ibp.a2mac1.com/costing(costing:projects/details/8191/part/5384900)","2nd on Side Lower Trunk Panel Insulation")</f>
        <v>2nd on Side Lower Trunk Panel Insulation</v>
      </c>
      <c r="F3094" t="s">
        <v>3915</v>
      </c>
    </row>
    <row r="3095" spans="1:6" ht="12.75">
      <c r="A3095">
        <v>6973945</v>
      </c>
      <c r="B3095">
        <v>5384900</v>
      </c>
      <c r="C3095" t="s">
        <v>99</v>
      </c>
      <c r="D3095" t="s">
        <v>12</v>
      </c>
      <c r="E3095" s="2" t="str">
        <f>HYPERLINK("https://ibp.a2mac1.com/costing(costing:projects/details/8191/process/6973945)","Die cutting")</f>
        <v>Die cutting</v>
      </c>
      <c r="F3095" t="s">
        <v>3958</v>
      </c>
    </row>
    <row r="3096" spans="1:6" ht="12.75">
      <c r="A3096">
        <v>5317887</v>
      </c>
      <c r="B3096">
        <v>6973945</v>
      </c>
      <c r="C3096" t="s">
        <v>24</v>
      </c>
      <c r="D3096" t="s">
        <v>99</v>
      </c>
      <c r="E3096" s="2" t="str">
        <f>HYPERLINK("https://ibp.a2mac1.com/costing(costing:projects/details/8191/material/5317887)","PP-PET+Layer")</f>
        <v>PP-PET+Layer</v>
      </c>
      <c r="F3096" t="s">
        <v>3959</v>
      </c>
    </row>
    <row r="3097" spans="1:6" ht="12.75">
      <c r="A3097">
        <v>6946503</v>
      </c>
      <c r="B3097">
        <v>6973945</v>
      </c>
      <c r="C3097" t="s">
        <v>189</v>
      </c>
      <c r="D3097" t="s">
        <v>99</v>
      </c>
      <c r="E3097" s="2" t="str">
        <f>HYPERLINK("https://ibp.a2mac1.com/costing(costing:projects/details/8191/equipment/6946503)","Die cutting")</f>
        <v>Die cutting</v>
      </c>
      <c r="F3097" t="s">
        <v>3959</v>
      </c>
    </row>
    <row r="3098" spans="1:6" ht="12.75">
      <c r="A3098">
        <v>5384829</v>
      </c>
      <c r="B3098">
        <v>5384796</v>
      </c>
      <c r="C3098" t="s">
        <v>8</v>
      </c>
      <c r="D3098" t="s">
        <v>8</v>
      </c>
      <c r="E3098" s="2" t="str">
        <f>HYPERLINK("https://ibp.a2mac1.com/costing(costing:projects/details/8191/assembly/5384829)","Instrument Panel Insulation System")</f>
        <v>Instrument Panel Insulation System</v>
      </c>
      <c r="F3098" t="s">
        <v>3862</v>
      </c>
    </row>
    <row r="3099" spans="1:6" ht="12.75">
      <c r="A3099">
        <v>5384902</v>
      </c>
      <c r="B3099">
        <v>5384829</v>
      </c>
      <c r="C3099" t="s">
        <v>8</v>
      </c>
      <c r="D3099" t="s">
        <v>8</v>
      </c>
      <c r="E3099" s="2" t="str">
        <f>HYPERLINK("https://ibp.a2mac1.com/costing(costing:projects/details/8191/assembly/5384902)","Passenger Side")</f>
        <v>Passenger Side</v>
      </c>
      <c r="F3099" t="s">
        <v>3962</v>
      </c>
    </row>
    <row r="3100" spans="1:6" ht="12.75">
      <c r="A3100">
        <v>5385037</v>
      </c>
      <c r="B3100">
        <v>5384902</v>
      </c>
      <c r="C3100" t="s">
        <v>12</v>
      </c>
      <c r="D3100" t="s">
        <v>8</v>
      </c>
      <c r="E3100" s="2" t="str">
        <f>HYPERLINK("https://ibp.a2mac1.com/costing(costing:projects/details/8191/part/5385037)","Lower On Dashboard Body")</f>
        <v>Lower On Dashboard Body</v>
      </c>
      <c r="F3100" t="s">
        <v>3963</v>
      </c>
    </row>
    <row r="3101" spans="1:6" ht="12.75">
      <c r="A3101">
        <v>6974017</v>
      </c>
      <c r="B3101">
        <v>5385037</v>
      </c>
      <c r="C3101" t="s">
        <v>99</v>
      </c>
      <c r="D3101" t="s">
        <v>12</v>
      </c>
      <c r="E3101" s="2" t="str">
        <f>HYPERLINK("https://ibp.a2mac1.com/costing(costing:projects/details/8191/process/6974017)","Die Cutting &amp; Sealing")</f>
        <v>Die Cutting &amp; Sealing</v>
      </c>
      <c r="F3101" t="s">
        <v>3964</v>
      </c>
    </row>
    <row r="3102" spans="1:6" ht="12.75">
      <c r="A3102">
        <v>5318010</v>
      </c>
      <c r="B3102">
        <v>6974017</v>
      </c>
      <c r="C3102" t="s">
        <v>24</v>
      </c>
      <c r="D3102" t="s">
        <v>99</v>
      </c>
      <c r="E3102" s="2" t="str">
        <f>HYPERLINK("https://ibp.a2mac1.com/costing(costing:projects/details/8191/material/5318010)","PP-PET")</f>
        <v>PP-PET</v>
      </c>
      <c r="F3102" t="s">
        <v>3966</v>
      </c>
    </row>
    <row r="3103" spans="1:6" ht="12.75">
      <c r="A3103">
        <v>6946593</v>
      </c>
      <c r="B3103">
        <v>6974017</v>
      </c>
      <c r="C3103" t="s">
        <v>189</v>
      </c>
      <c r="D3103" t="s">
        <v>99</v>
      </c>
      <c r="E3103" s="2" t="str">
        <f>HYPERLINK("https://ibp.a2mac1.com/costing(costing:projects/details/8191/equipment/6946593)","Heat press cutting machine")</f>
        <v>Heat press cutting machine</v>
      </c>
      <c r="F3103" t="s">
        <v>3966</v>
      </c>
    </row>
    <row r="3104" spans="1:6" ht="12.75">
      <c r="A3104">
        <v>5384901</v>
      </c>
      <c r="B3104">
        <v>5384829</v>
      </c>
      <c r="C3104" t="s">
        <v>12</v>
      </c>
      <c r="D3104" t="s">
        <v>8</v>
      </c>
      <c r="E3104" s="2" t="str">
        <f>HYPERLINK("https://ibp.a2mac1.com/costing(costing:projects/details/8191/part/5384901)","Center Side Identical")</f>
        <v>Center Side Identical</v>
      </c>
      <c r="F3104" t="s">
        <v>3962</v>
      </c>
    </row>
    <row r="3105" spans="1:6" ht="12.75">
      <c r="A3105">
        <v>6973946</v>
      </c>
      <c r="B3105">
        <v>5384901</v>
      </c>
      <c r="C3105" t="s">
        <v>99</v>
      </c>
      <c r="D3105" t="s">
        <v>12</v>
      </c>
      <c r="E3105" s="2" t="str">
        <f>HYPERLINK("https://ibp.a2mac1.com/costing(costing:projects/details/8191/process/6973946)","Die Cutting &amp; Sealing")</f>
        <v>Die Cutting &amp; Sealing</v>
      </c>
      <c r="F3105" t="s">
        <v>3969</v>
      </c>
    </row>
    <row r="3106" spans="1:6" ht="12.75">
      <c r="A3106">
        <v>5317888</v>
      </c>
      <c r="B3106">
        <v>6973946</v>
      </c>
      <c r="C3106" t="s">
        <v>24</v>
      </c>
      <c r="D3106" t="s">
        <v>99</v>
      </c>
      <c r="E3106" s="2" t="str">
        <f>HYPERLINK("https://ibp.a2mac1.com/costing(costing:projects/details/8191/material/5317888)","PP-PET")</f>
        <v>PP-PET</v>
      </c>
      <c r="F3106" t="s">
        <v>3970</v>
      </c>
    </row>
    <row r="3107" spans="1:6" ht="12.75">
      <c r="A3107">
        <v>6946504</v>
      </c>
      <c r="B3107">
        <v>6973946</v>
      </c>
      <c r="C3107" t="s">
        <v>189</v>
      </c>
      <c r="D3107" t="s">
        <v>99</v>
      </c>
      <c r="E3107" s="2" t="str">
        <f>HYPERLINK("https://ibp.a2mac1.com/costing(costing:projects/details/8191/equipment/6946504)","Heat press cutting machine")</f>
        <v>Heat press cutting machine</v>
      </c>
      <c r="F3107" t="s">
        <v>3970</v>
      </c>
    </row>
    <row r="3108" spans="1:6" ht="12.75">
      <c r="A3108">
        <v>5317757</v>
      </c>
      <c r="B3108">
        <v>5384829</v>
      </c>
      <c r="C3108" t="s">
        <v>574</v>
      </c>
      <c r="D3108" t="s">
        <v>8</v>
      </c>
      <c r="E3108" s="2" t="str">
        <f>HYPERLINK("https://ibp.a2mac1.com/costing(costing:projects/details/8191/component/5317757)","Rivet &gt; Head rivet")</f>
        <v>Rivet &gt; Head rivet</v>
      </c>
      <c r="F3108" t="s">
        <v>3962</v>
      </c>
    </row>
    <row r="3109" spans="1:6" ht="12.75">
      <c r="A3109">
        <v>5384811</v>
      </c>
      <c r="B3109">
        <v>5384796</v>
      </c>
      <c r="C3109" t="s">
        <v>12</v>
      </c>
      <c r="D3109" t="s">
        <v>8</v>
      </c>
      <c r="E3109" s="2" t="str">
        <f>HYPERLINK("https://ibp.a2mac1.com/costing(costing:projects/details/8191/part/5384811)","Sound Insulation Engine Side Single Main")</f>
        <v>Sound Insulation Engine Side Single Main</v>
      </c>
      <c r="F3109" t="s">
        <v>3862</v>
      </c>
    </row>
    <row r="3110" spans="1:6" ht="12.75">
      <c r="A3110">
        <v>6973878</v>
      </c>
      <c r="B3110">
        <v>5384811</v>
      </c>
      <c r="C3110" t="s">
        <v>99</v>
      </c>
      <c r="D3110" t="s">
        <v>12</v>
      </c>
      <c r="E3110" s="2" t="str">
        <f>HYPERLINK("https://ibp.a2mac1.com/costing(costing:projects/details/8191/process/6973878)","Handling/Visual inspection/packaging")</f>
        <v>Handling/Visual inspection/packaging</v>
      </c>
      <c r="F3110" t="s">
        <v>3973</v>
      </c>
    </row>
    <row r="3111" spans="1:6" ht="12.75">
      <c r="A3111">
        <v>6946436</v>
      </c>
      <c r="B3111">
        <v>6973878</v>
      </c>
      <c r="C3111" t="s">
        <v>189</v>
      </c>
      <c r="D3111" t="s">
        <v>99</v>
      </c>
      <c r="E3111" s="2" t="str">
        <f>HYPERLINK("https://ibp.a2mac1.com/costing(costing:projects/details/8191/equipment/6946436)","Handling/Visual inspection/packaging")</f>
        <v>Handling/Visual inspection/packaging</v>
      </c>
      <c r="F3111" t="s">
        <v>3974</v>
      </c>
    </row>
    <row r="3112" spans="1:6" ht="12.75">
      <c r="A3112">
        <v>6973879</v>
      </c>
      <c r="B3112">
        <v>5384811</v>
      </c>
      <c r="C3112" t="s">
        <v>99</v>
      </c>
      <c r="D3112" t="s">
        <v>12</v>
      </c>
      <c r="E3112" s="2" t="str">
        <f>HYPERLINK("https://ibp.a2mac1.com/costing(costing:projects/details/8191/process/6973879)","Water jet cutting machine")</f>
        <v>Water jet cutting machine</v>
      </c>
      <c r="F3112" t="s">
        <v>3973</v>
      </c>
    </row>
    <row r="3113" spans="1:6" ht="12.75">
      <c r="A3113">
        <v>6946437</v>
      </c>
      <c r="B3113">
        <v>6973879</v>
      </c>
      <c r="C3113" t="s">
        <v>189</v>
      </c>
      <c r="D3113" t="s">
        <v>99</v>
      </c>
      <c r="E3113" s="2" t="str">
        <f>HYPERLINK("https://ibp.a2mac1.com/costing(costing:projects/details/8191/equipment/6946437)","No.01 - Waterjet Cutting ")</f>
        <v xml:space="preserve">No.01 - Waterjet Cutting </v>
      </c>
      <c r="F3113" t="s">
        <v>3975</v>
      </c>
    </row>
    <row r="3114" spans="1:6" ht="12.75">
      <c r="A3114">
        <v>6973880</v>
      </c>
      <c r="B3114">
        <v>5384811</v>
      </c>
      <c r="C3114" t="s">
        <v>99</v>
      </c>
      <c r="D3114" t="s">
        <v>12</v>
      </c>
      <c r="E3114" s="2" t="str">
        <f>HYPERLINK("https://ibp.a2mac1.com/costing(costing:projects/details/8191/process/6973880)","Thermocompression")</f>
        <v>Thermocompression</v>
      </c>
      <c r="F3114" t="s">
        <v>3973</v>
      </c>
    </row>
    <row r="3115" spans="1:6" ht="12.75">
      <c r="A3115">
        <v>6946438</v>
      </c>
      <c r="B3115">
        <v>6973880</v>
      </c>
      <c r="C3115" t="s">
        <v>189</v>
      </c>
      <c r="D3115" t="s">
        <v>99</v>
      </c>
      <c r="E3115" s="2" t="str">
        <f>HYPERLINK("https://ibp.a2mac1.com/costing(costing:projects/details/8191/equipment/6946438)","Thermocompression for Interior ")</f>
        <v xml:space="preserve">Thermocompression for Interior </v>
      </c>
      <c r="F3115" t="s">
        <v>3976</v>
      </c>
    </row>
    <row r="3116" spans="1:6" ht="12.75">
      <c r="A3116">
        <v>6973881</v>
      </c>
      <c r="B3116">
        <v>5384811</v>
      </c>
      <c r="C3116" t="s">
        <v>99</v>
      </c>
      <c r="D3116" t="s">
        <v>12</v>
      </c>
      <c r="E3116" s="2" t="str">
        <f>HYPERLINK("https://ibp.a2mac1.com/costing(costing:projects/details/8191/process/6973881)","Die cutting")</f>
        <v>Die cutting</v>
      </c>
      <c r="F3116" t="s">
        <v>3973</v>
      </c>
    </row>
    <row r="3117" spans="1:6" ht="12.75">
      <c r="A3117">
        <v>5317799</v>
      </c>
      <c r="B3117">
        <v>6973881</v>
      </c>
      <c r="C3117" t="s">
        <v>24</v>
      </c>
      <c r="D3117" t="s">
        <v>99</v>
      </c>
      <c r="E3117" s="2" t="str">
        <f>HYPERLINK("https://ibp.a2mac1.com/costing(costing:projects/details/8191/material/5317799)","EVA 5 kg/m2")</f>
        <v>EVA 5 kg/m2</v>
      </c>
      <c r="F3117" t="s">
        <v>3979</v>
      </c>
    </row>
    <row r="3118" spans="1:6" ht="12.75">
      <c r="A3118">
        <v>6946439</v>
      </c>
      <c r="B3118">
        <v>6973881</v>
      </c>
      <c r="C3118" t="s">
        <v>189</v>
      </c>
      <c r="D3118" t="s">
        <v>99</v>
      </c>
      <c r="E3118" s="2" t="str">
        <f>HYPERLINK("https://ibp.a2mac1.com/costing(costing:projects/details/8191/equipment/6946439)","Die cutting")</f>
        <v>Die cutting</v>
      </c>
      <c r="F3118" t="s">
        <v>3979</v>
      </c>
    </row>
    <row r="3119" spans="1:6" ht="12.75">
      <c r="A3119">
        <v>5384812</v>
      </c>
      <c r="B3119">
        <v>5384796</v>
      </c>
      <c r="C3119" t="s">
        <v>12</v>
      </c>
      <c r="D3119" t="s">
        <v>8</v>
      </c>
      <c r="E3119" s="2" t="str">
        <f>HYPERLINK("https://ibp.a2mac1.com/costing(costing:projects/details/8191/part/5384812)","Sound Insulation Cabin Side")</f>
        <v>Sound Insulation Cabin Side</v>
      </c>
      <c r="F3119" t="s">
        <v>3862</v>
      </c>
    </row>
    <row r="3120" spans="1:6" ht="12.75">
      <c r="A3120">
        <v>6973882</v>
      </c>
      <c r="B3120">
        <v>5384812</v>
      </c>
      <c r="C3120" t="s">
        <v>99</v>
      </c>
      <c r="D3120" t="s">
        <v>12</v>
      </c>
      <c r="E3120" s="2" t="str">
        <f>HYPERLINK("https://ibp.a2mac1.com/costing(costing:projects/details/8191/process/6973882)","Handling/Visual inspection/packaging")</f>
        <v>Handling/Visual inspection/packaging</v>
      </c>
      <c r="F3120" t="s">
        <v>3983</v>
      </c>
    </row>
    <row r="3121" spans="1:6" ht="12.75">
      <c r="A3121">
        <v>6946440</v>
      </c>
      <c r="B3121">
        <v>6973882</v>
      </c>
      <c r="C3121" t="s">
        <v>189</v>
      </c>
      <c r="D3121" t="s">
        <v>99</v>
      </c>
      <c r="E3121" s="2" t="str">
        <f>HYPERLINK("https://ibp.a2mac1.com/costing(costing:projects/details/8191/equipment/6946440)","Handling/Visual inspection/packaging")</f>
        <v>Handling/Visual inspection/packaging</v>
      </c>
      <c r="F3121" t="s">
        <v>3984</v>
      </c>
    </row>
    <row r="3122" spans="1:6" ht="12.75">
      <c r="A3122">
        <v>6973883</v>
      </c>
      <c r="B3122">
        <v>5384812</v>
      </c>
      <c r="C3122" t="s">
        <v>99</v>
      </c>
      <c r="D3122" t="s">
        <v>12</v>
      </c>
      <c r="E3122" s="2" t="str">
        <f>HYPERLINK("https://ibp.a2mac1.com/costing(costing:projects/details/8191/process/6973883)","Water jet cutting machine")</f>
        <v>Water jet cutting machine</v>
      </c>
      <c r="F3122" t="s">
        <v>3983</v>
      </c>
    </row>
    <row r="3123" spans="1:6" ht="12.75">
      <c r="A3123">
        <v>6946441</v>
      </c>
      <c r="B3123">
        <v>6973883</v>
      </c>
      <c r="C3123" t="s">
        <v>189</v>
      </c>
      <c r="D3123" t="s">
        <v>99</v>
      </c>
      <c r="E3123" s="2" t="str">
        <f>HYPERLINK("https://ibp.a2mac1.com/costing(costing:projects/details/8191/equipment/6946441)","No.01 - Waterjet Cutting ")</f>
        <v xml:space="preserve">No.01 - Waterjet Cutting </v>
      </c>
      <c r="F3123" t="s">
        <v>3985</v>
      </c>
    </row>
    <row r="3124" spans="1:6" ht="12.75">
      <c r="A3124">
        <v>6973884</v>
      </c>
      <c r="B3124">
        <v>5384812</v>
      </c>
      <c r="C3124" t="s">
        <v>99</v>
      </c>
      <c r="D3124" t="s">
        <v>12</v>
      </c>
      <c r="E3124" s="2" t="str">
        <f>HYPERLINK("https://ibp.a2mac1.com/costing(costing:projects/details/8191/process/6973884)","Foaming")</f>
        <v>Foaming</v>
      </c>
      <c r="F3124" t="s">
        <v>3983</v>
      </c>
    </row>
    <row r="3125" spans="1:6" ht="12.75">
      <c r="A3125">
        <v>5317800</v>
      </c>
      <c r="B3125">
        <v>6973884</v>
      </c>
      <c r="C3125" t="s">
        <v>24</v>
      </c>
      <c r="D3125" t="s">
        <v>99</v>
      </c>
      <c r="E3125" s="2" t="str">
        <f>HYPERLINK("https://ibp.a2mac1.com/costing(costing:projects/details/8191/material/5317800)","PUR")</f>
        <v>PUR</v>
      </c>
      <c r="F3125" t="s">
        <v>3987</v>
      </c>
    </row>
    <row r="3126" spans="1:6" ht="12.75">
      <c r="A3126">
        <v>6946442</v>
      </c>
      <c r="B3126">
        <v>6973884</v>
      </c>
      <c r="C3126" t="s">
        <v>189</v>
      </c>
      <c r="D3126" t="s">
        <v>99</v>
      </c>
      <c r="E3126" s="2" t="str">
        <f>HYPERLINK("https://ibp.a2mac1.com/costing(costing:projects/details/8191/equipment/6946442)","Foaming")</f>
        <v>Foaming</v>
      </c>
      <c r="F3126" t="s">
        <v>3987</v>
      </c>
    </row>
    <row r="3127" spans="1:6" ht="12.75">
      <c r="A3127">
        <v>6973885</v>
      </c>
      <c r="B3127">
        <v>5384812</v>
      </c>
      <c r="C3127" t="s">
        <v>99</v>
      </c>
      <c r="D3127" t="s">
        <v>12</v>
      </c>
      <c r="E3127" s="2" t="str">
        <f>HYPERLINK("https://ibp.a2mac1.com/costing(costing:projects/details/8191/process/6973885)","Thermocompression")</f>
        <v>Thermocompression</v>
      </c>
      <c r="F3127" t="s">
        <v>3983</v>
      </c>
    </row>
    <row r="3128" spans="1:6" ht="12.75">
      <c r="A3128">
        <v>6946443</v>
      </c>
      <c r="B3128">
        <v>6973885</v>
      </c>
      <c r="C3128" t="s">
        <v>189</v>
      </c>
      <c r="D3128" t="s">
        <v>99</v>
      </c>
      <c r="E3128" s="2" t="str">
        <f>HYPERLINK("https://ibp.a2mac1.com/costing(costing:projects/details/8191/equipment/6946443)","Thermocompression for Interior ")</f>
        <v xml:space="preserve">Thermocompression for Interior </v>
      </c>
      <c r="F3128" t="s">
        <v>3988</v>
      </c>
    </row>
    <row r="3129" spans="1:6" ht="12.75">
      <c r="A3129">
        <v>6973886</v>
      </c>
      <c r="B3129">
        <v>5384812</v>
      </c>
      <c r="C3129" t="s">
        <v>99</v>
      </c>
      <c r="D3129" t="s">
        <v>12</v>
      </c>
      <c r="E3129" s="2" t="str">
        <f>HYPERLINK("https://ibp.a2mac1.com/costing(costing:projects/details/8191/process/6973886)","Die cutting")</f>
        <v>Die cutting</v>
      </c>
      <c r="F3129" t="s">
        <v>3983</v>
      </c>
    </row>
    <row r="3130" spans="1:6" ht="12.75">
      <c r="A3130">
        <v>5317801</v>
      </c>
      <c r="B3130">
        <v>6973886</v>
      </c>
      <c r="C3130" t="s">
        <v>24</v>
      </c>
      <c r="D3130" t="s">
        <v>99</v>
      </c>
      <c r="E3130" s="2" t="str">
        <f>HYPERLINK("https://ibp.a2mac1.com/costing(costing:projects/details/8191/material/5317801)","EVA 5 kg/m2")</f>
        <v>EVA 5 kg/m2</v>
      </c>
      <c r="F3130" t="s">
        <v>3991</v>
      </c>
    </row>
    <row r="3131" spans="1:6" ht="12.75">
      <c r="A3131">
        <v>6946444</v>
      </c>
      <c r="B3131">
        <v>6973886</v>
      </c>
      <c r="C3131" t="s">
        <v>189</v>
      </c>
      <c r="D3131" t="s">
        <v>99</v>
      </c>
      <c r="E3131" s="2" t="str">
        <f>HYPERLINK("https://ibp.a2mac1.com/costing(costing:projects/details/8191/equipment/6946444)","Die cutting")</f>
        <v>Die cutting</v>
      </c>
      <c r="F3131" t="s">
        <v>3991</v>
      </c>
    </row>
    <row r="3132" spans="1:6" ht="12.75">
      <c r="A3132">
        <v>5384813</v>
      </c>
      <c r="B3132">
        <v>5384796</v>
      </c>
      <c r="C3132" t="s">
        <v>12</v>
      </c>
      <c r="D3132" t="s">
        <v>8</v>
      </c>
      <c r="E3132" s="2" t="str">
        <f>HYPERLINK("https://ibp.a2mac1.com/costing(costing:projects/details/8191/part/5384813)","Right Sound Insulation Cabin Side")</f>
        <v>Right Sound Insulation Cabin Side</v>
      </c>
      <c r="F3132" t="s">
        <v>3862</v>
      </c>
    </row>
    <row r="3133" spans="1:6" ht="12.75">
      <c r="A3133">
        <v>6973887</v>
      </c>
      <c r="B3133">
        <v>5384813</v>
      </c>
      <c r="C3133" t="s">
        <v>99</v>
      </c>
      <c r="D3133" t="s">
        <v>12</v>
      </c>
      <c r="E3133" s="2" t="str">
        <f>HYPERLINK("https://ibp.a2mac1.com/costing(costing:projects/details/8191/process/6973887)","Die cutting")</f>
        <v>Die cutting</v>
      </c>
      <c r="F3133" t="s">
        <v>3994</v>
      </c>
    </row>
    <row r="3134" spans="1:6" ht="12.75">
      <c r="A3134">
        <v>5317802</v>
      </c>
      <c r="B3134">
        <v>6973887</v>
      </c>
      <c r="C3134" t="s">
        <v>24</v>
      </c>
      <c r="D3134" t="s">
        <v>99</v>
      </c>
      <c r="E3134" s="2" t="str">
        <f>HYPERLINK("https://ibp.a2mac1.com/costing(costing:projects/details/8191/material/5317802)","PP-PET+Layer")</f>
        <v>PP-PET+Layer</v>
      </c>
      <c r="F3134" t="s">
        <v>3997</v>
      </c>
    </row>
    <row r="3135" spans="1:6" ht="12.75">
      <c r="A3135">
        <v>6946445</v>
      </c>
      <c r="B3135">
        <v>6973887</v>
      </c>
      <c r="C3135" t="s">
        <v>189</v>
      </c>
      <c r="D3135" t="s">
        <v>99</v>
      </c>
      <c r="E3135" s="2" t="str">
        <f>HYPERLINK("https://ibp.a2mac1.com/costing(costing:projects/details/8191/equipment/6946445)","Die cutting")</f>
        <v>Die cutting</v>
      </c>
      <c r="F3135" t="s">
        <v>3997</v>
      </c>
    </row>
    <row r="3136" spans="1:6" ht="12.75">
      <c r="A3136">
        <v>5384814</v>
      </c>
      <c r="B3136">
        <v>5384796</v>
      </c>
      <c r="C3136" t="s">
        <v>12</v>
      </c>
      <c r="D3136" t="s">
        <v>8</v>
      </c>
      <c r="E3136" s="2" t="str">
        <f>HYPERLINK("https://ibp.a2mac1.com/costing(costing:projects/details/8191/part/5384814)","Tailgate Insulation")</f>
        <v>Tailgate Insulation</v>
      </c>
      <c r="F3136" t="s">
        <v>3862</v>
      </c>
    </row>
    <row r="3137" spans="1:6" ht="12.75">
      <c r="A3137">
        <v>6973888</v>
      </c>
      <c r="B3137">
        <v>5384814</v>
      </c>
      <c r="C3137" t="s">
        <v>99</v>
      </c>
      <c r="D3137" t="s">
        <v>12</v>
      </c>
      <c r="E3137" s="2" t="str">
        <f>HYPERLINK("https://ibp.a2mac1.com/costing(costing:projects/details/8191/process/6973888)","Die cutting")</f>
        <v>Die cutting</v>
      </c>
      <c r="F3137" t="s">
        <v>3999</v>
      </c>
    </row>
    <row r="3138" spans="1:6" ht="12.75">
      <c r="A3138">
        <v>5317803</v>
      </c>
      <c r="B3138">
        <v>6973888</v>
      </c>
      <c r="C3138" t="s">
        <v>24</v>
      </c>
      <c r="D3138" t="s">
        <v>99</v>
      </c>
      <c r="E3138" s="2" t="str">
        <f>HYPERLINK("https://ibp.a2mac1.com/costing(costing:projects/details/8191/material/5317803)","PP-PET")</f>
        <v>PP-PET</v>
      </c>
      <c r="F3138" t="s">
        <v>4001</v>
      </c>
    </row>
    <row r="3139" spans="1:6" ht="12.75">
      <c r="A3139">
        <v>6946446</v>
      </c>
      <c r="B3139">
        <v>6973888</v>
      </c>
      <c r="C3139" t="s">
        <v>189</v>
      </c>
      <c r="D3139" t="s">
        <v>99</v>
      </c>
      <c r="E3139" s="2" t="str">
        <f>HYPERLINK("https://ibp.a2mac1.com/costing(costing:projects/details/8191/equipment/6946446)","Die cutting")</f>
        <v>Die cutting</v>
      </c>
      <c r="F3139" t="s">
        <v>4001</v>
      </c>
    </row>
    <row r="3140" spans="1:6" ht="12.75">
      <c r="A3140">
        <v>5384815</v>
      </c>
      <c r="B3140">
        <v>5384796</v>
      </c>
      <c r="C3140" t="s">
        <v>12</v>
      </c>
      <c r="D3140" t="s">
        <v>8</v>
      </c>
      <c r="E3140" s="2" t="str">
        <f>HYPERLINK("https://ibp.a2mac1.com/costing(costing:projects/details/8191/part/5384815)","A Pillar Left Sound Insulation and Right if Similar")</f>
        <v>A Pillar Left Sound Insulation and Right if Similar</v>
      </c>
      <c r="F3140" t="s">
        <v>3862</v>
      </c>
    </row>
    <row r="3141" spans="1:6" ht="12.75">
      <c r="A3141">
        <v>6973889</v>
      </c>
      <c r="B3141">
        <v>5384815</v>
      </c>
      <c r="C3141" t="s">
        <v>99</v>
      </c>
      <c r="D3141" t="s">
        <v>12</v>
      </c>
      <c r="E3141" s="2" t="str">
        <f>HYPERLINK("https://ibp.a2mac1.com/costing(costing:projects/details/8191/process/6973889)","Die cutting")</f>
        <v>Die cutting</v>
      </c>
      <c r="F3141" t="s">
        <v>4004</v>
      </c>
    </row>
    <row r="3142" spans="1:6" ht="12.75">
      <c r="A3142">
        <v>5317804</v>
      </c>
      <c r="B3142">
        <v>6973889</v>
      </c>
      <c r="C3142" t="s">
        <v>24</v>
      </c>
      <c r="D3142" t="s">
        <v>99</v>
      </c>
      <c r="E3142" s="2" t="str">
        <f>HYPERLINK("https://ibp.a2mac1.com/costing(costing:projects/details/8191/material/5317804)","PP-PET")</f>
        <v>PP-PET</v>
      </c>
      <c r="F3142" t="s">
        <v>4006</v>
      </c>
    </row>
    <row r="3143" spans="1:6" ht="12.75">
      <c r="A3143">
        <v>6946447</v>
      </c>
      <c r="B3143">
        <v>6973889</v>
      </c>
      <c r="C3143" t="s">
        <v>189</v>
      </c>
      <c r="D3143" t="s">
        <v>99</v>
      </c>
      <c r="E3143" s="2" t="str">
        <f>HYPERLINK("https://ibp.a2mac1.com/costing(costing:projects/details/8191/equipment/6946447)","Die cutting")</f>
        <v>Die cutting</v>
      </c>
      <c r="F3143" t="s">
        <v>4006</v>
      </c>
    </row>
    <row r="3144" spans="1:6" ht="12.75">
      <c r="A3144">
        <v>5384816</v>
      </c>
      <c r="B3144">
        <v>5384796</v>
      </c>
      <c r="C3144" t="s">
        <v>12</v>
      </c>
      <c r="D3144" t="s">
        <v>8</v>
      </c>
      <c r="E3144" s="2" t="str">
        <f>HYPERLINK("https://ibp.a2mac1.com/costing(costing:projects/details/8191/part/5384816)","A Pillar Right Sound Insulation if Different")</f>
        <v>A Pillar Right Sound Insulation if Different</v>
      </c>
      <c r="F3144" t="s">
        <v>3862</v>
      </c>
    </row>
    <row r="3145" spans="1:6" ht="12.75">
      <c r="A3145">
        <v>6973890</v>
      </c>
      <c r="B3145">
        <v>5384816</v>
      </c>
      <c r="C3145" t="s">
        <v>99</v>
      </c>
      <c r="D3145" t="s">
        <v>12</v>
      </c>
      <c r="E3145" s="2" t="str">
        <f>HYPERLINK("https://ibp.a2mac1.com/costing(costing:projects/details/8191/process/6973890)","Die cutting")</f>
        <v>Die cutting</v>
      </c>
      <c r="F3145" t="s">
        <v>4008</v>
      </c>
    </row>
    <row r="3146" spans="1:6" ht="12.75">
      <c r="A3146">
        <v>5317805</v>
      </c>
      <c r="B3146">
        <v>6973890</v>
      </c>
      <c r="C3146" t="s">
        <v>24</v>
      </c>
      <c r="D3146" t="s">
        <v>99</v>
      </c>
      <c r="E3146" s="2" t="str">
        <f>HYPERLINK("https://ibp.a2mac1.com/costing(costing:projects/details/8191/material/5317805)","PP-PET")</f>
        <v>PP-PET</v>
      </c>
      <c r="F3146" t="s">
        <v>4009</v>
      </c>
    </row>
    <row r="3147" spans="1:6" ht="12.75">
      <c r="A3147">
        <v>6946448</v>
      </c>
      <c r="B3147">
        <v>6973890</v>
      </c>
      <c r="C3147" t="s">
        <v>189</v>
      </c>
      <c r="D3147" t="s">
        <v>99</v>
      </c>
      <c r="E3147" s="2" t="str">
        <f>HYPERLINK("https://ibp.a2mac1.com/costing(costing:projects/details/8191/equipment/6946448)","Die cutting")</f>
        <v>Die cutting</v>
      </c>
      <c r="F3147" t="s">
        <v>4009</v>
      </c>
    </row>
    <row r="3148" spans="1:6" ht="12.75">
      <c r="A3148">
        <v>5384817</v>
      </c>
      <c r="B3148">
        <v>5384796</v>
      </c>
      <c r="C3148" t="s">
        <v>12</v>
      </c>
      <c r="D3148" t="s">
        <v>8</v>
      </c>
      <c r="E3148" s="2" t="str">
        <f>HYPERLINK("https://ibp.a2mac1.com/costing(costing:projects/details/8191/part/5384817)","Fuel Access Cover Insulation")</f>
        <v>Fuel Access Cover Insulation</v>
      </c>
      <c r="F3148" t="s">
        <v>3862</v>
      </c>
    </row>
    <row r="3149" spans="1:6" ht="12.75">
      <c r="A3149">
        <v>6973891</v>
      </c>
      <c r="B3149">
        <v>5384817</v>
      </c>
      <c r="C3149" t="s">
        <v>99</v>
      </c>
      <c r="D3149" t="s">
        <v>12</v>
      </c>
      <c r="E3149" s="2" t="str">
        <f>HYPERLINK("https://ibp.a2mac1.com/costing(costing:projects/details/8191/process/6973891)","Die cutting")</f>
        <v>Die cutting</v>
      </c>
      <c r="F3149" t="s">
        <v>4011</v>
      </c>
    </row>
    <row r="3150" spans="1:6" ht="12.75">
      <c r="A3150">
        <v>5317806</v>
      </c>
      <c r="B3150">
        <v>6973891</v>
      </c>
      <c r="C3150" t="s">
        <v>24</v>
      </c>
      <c r="D3150" t="s">
        <v>99</v>
      </c>
      <c r="E3150" s="2" t="str">
        <f>HYPERLINK("https://ibp.a2mac1.com/costing(costing:projects/details/8191/material/5317806)","PP-PET")</f>
        <v>PP-PET</v>
      </c>
      <c r="F3150" t="s">
        <v>4014</v>
      </c>
    </row>
    <row r="3151" spans="1:6" ht="12.75">
      <c r="A3151">
        <v>6946449</v>
      </c>
      <c r="B3151">
        <v>6973891</v>
      </c>
      <c r="C3151" t="s">
        <v>189</v>
      </c>
      <c r="D3151" t="s">
        <v>99</v>
      </c>
      <c r="E3151" s="2" t="str">
        <f>HYPERLINK("https://ibp.a2mac1.com/costing(costing:projects/details/8191/equipment/6946449)","Die cutting")</f>
        <v>Die cutting</v>
      </c>
      <c r="F3151" t="s">
        <v>4014</v>
      </c>
    </row>
    <row r="3152" spans="1:6" ht="12.75">
      <c r="A3152">
        <v>5384818</v>
      </c>
      <c r="B3152">
        <v>5384796</v>
      </c>
      <c r="C3152" t="s">
        <v>12</v>
      </c>
      <c r="D3152" t="s">
        <v>8</v>
      </c>
      <c r="E3152" s="2" t="str">
        <f>HYPERLINK("https://ibp.a2mac1.com/costing(costing:projects/details/8191/part/5384818)","Rear Bumper Sound Insulation")</f>
        <v>Rear Bumper Sound Insulation</v>
      </c>
      <c r="F3152" t="s">
        <v>3862</v>
      </c>
    </row>
    <row r="3153" spans="1:6" ht="12.75">
      <c r="A3153">
        <v>6973892</v>
      </c>
      <c r="B3153">
        <v>5384818</v>
      </c>
      <c r="C3153" t="s">
        <v>99</v>
      </c>
      <c r="D3153" t="s">
        <v>12</v>
      </c>
      <c r="E3153" s="2" t="str">
        <f>HYPERLINK("https://ibp.a2mac1.com/costing(costing:projects/details/8191/process/6973892)","Die Cutting &amp; Sealing")</f>
        <v>Die Cutting &amp; Sealing</v>
      </c>
      <c r="F3153" t="s">
        <v>4016</v>
      </c>
    </row>
    <row r="3154" spans="1:6" ht="12.75">
      <c r="A3154">
        <v>5317807</v>
      </c>
      <c r="B3154">
        <v>6973892</v>
      </c>
      <c r="C3154" t="s">
        <v>24</v>
      </c>
      <c r="D3154" t="s">
        <v>99</v>
      </c>
      <c r="E3154" s="2" t="str">
        <f>HYPERLINK("https://ibp.a2mac1.com/costing(costing:projects/details/8191/material/5317807)","PP-PET+Fabric Layer+Adhesive")</f>
        <v>PP-PET+Fabric Layer+Adhesive</v>
      </c>
      <c r="F3154" t="s">
        <v>4018</v>
      </c>
    </row>
    <row r="3155" spans="1:6" ht="12.75">
      <c r="A3155">
        <v>6946450</v>
      </c>
      <c r="B3155">
        <v>6973892</v>
      </c>
      <c r="C3155" t="s">
        <v>189</v>
      </c>
      <c r="D3155" t="s">
        <v>99</v>
      </c>
      <c r="E3155" s="2" t="str">
        <f>HYPERLINK("https://ibp.a2mac1.com/costing(costing:projects/details/8191/equipment/6946450)","Heat press cutting machine")</f>
        <v>Heat press cutting machine</v>
      </c>
      <c r="F3155" t="s">
        <v>4018</v>
      </c>
    </row>
    <row r="3156" spans="1:6" ht="12.75">
      <c r="A3156">
        <v>5384819</v>
      </c>
      <c r="B3156">
        <v>5384796</v>
      </c>
      <c r="C3156" t="s">
        <v>12</v>
      </c>
      <c r="D3156" t="s">
        <v>8</v>
      </c>
      <c r="E3156" s="2" t="str">
        <f>HYPERLINK("https://ibp.a2mac1.com/costing(costing:projects/details/8191/part/5384819)","Front Left Wheel Housing and Right if Similar")</f>
        <v>Front Left Wheel Housing and Right if Similar</v>
      </c>
      <c r="F3156" t="s">
        <v>3862</v>
      </c>
    </row>
    <row r="3157" spans="1:6" ht="12.75">
      <c r="A3157">
        <v>6973893</v>
      </c>
      <c r="B3157">
        <v>5384819</v>
      </c>
      <c r="C3157" t="s">
        <v>99</v>
      </c>
      <c r="D3157" t="s">
        <v>12</v>
      </c>
      <c r="E3157" s="2" t="str">
        <f>HYPERLINK("https://ibp.a2mac1.com/costing(costing:projects/details/8191/process/6973893)","Die Cutting &amp; Sealing")</f>
        <v>Die Cutting &amp; Sealing</v>
      </c>
      <c r="F3157" t="s">
        <v>4021</v>
      </c>
    </row>
    <row r="3158" spans="1:6" ht="12.75">
      <c r="A3158">
        <v>5317808</v>
      </c>
      <c r="B3158">
        <v>6973893</v>
      </c>
      <c r="C3158" t="s">
        <v>24</v>
      </c>
      <c r="D3158" t="s">
        <v>99</v>
      </c>
      <c r="E3158" s="2" t="str">
        <f>HYPERLINK("https://ibp.a2mac1.com/costing(costing:projects/details/8191/material/5317808)","PP-PET+Fabric Layer+Adhesive")</f>
        <v>PP-PET+Fabric Layer+Adhesive</v>
      </c>
      <c r="F3158" t="s">
        <v>4024</v>
      </c>
    </row>
    <row r="3159" spans="1:6" ht="12.75">
      <c r="A3159">
        <v>6946451</v>
      </c>
      <c r="B3159">
        <v>6973893</v>
      </c>
      <c r="C3159" t="s">
        <v>189</v>
      </c>
      <c r="D3159" t="s">
        <v>99</v>
      </c>
      <c r="E3159" s="2" t="str">
        <f>HYPERLINK("https://ibp.a2mac1.com/costing(costing:projects/details/8191/equipment/6946451)","Heat press cutting machine")</f>
        <v>Heat press cutting machine</v>
      </c>
      <c r="F3159" t="s">
        <v>4024</v>
      </c>
    </row>
    <row r="3160" spans="1:6" ht="12.75">
      <c r="A3160">
        <v>5384820</v>
      </c>
      <c r="B3160">
        <v>5384796</v>
      </c>
      <c r="C3160" t="s">
        <v>12</v>
      </c>
      <c r="D3160" t="s">
        <v>8</v>
      </c>
      <c r="E3160" s="2" t="str">
        <f>HYPERLINK("https://ibp.a2mac1.com/costing(costing:projects/details/8191/part/5384820)","2nd Insulation on Front Left Wheel Housing and right if identical")</f>
        <v>2nd Insulation on Front Left Wheel Housing and right if identical</v>
      </c>
      <c r="F3160" t="s">
        <v>3862</v>
      </c>
    </row>
    <row r="3161" spans="1:6" ht="12.75">
      <c r="A3161">
        <v>6973894</v>
      </c>
      <c r="B3161">
        <v>5384820</v>
      </c>
      <c r="C3161" t="s">
        <v>99</v>
      </c>
      <c r="D3161" t="s">
        <v>12</v>
      </c>
      <c r="E3161" s="2" t="str">
        <f>HYPERLINK("https://ibp.a2mac1.com/costing(costing:projects/details/8191/process/6973894)","Die Cutting &amp; Sealing")</f>
        <v>Die Cutting &amp; Sealing</v>
      </c>
      <c r="F3161" t="s">
        <v>4026</v>
      </c>
    </row>
    <row r="3162" spans="1:6" ht="12.75">
      <c r="A3162">
        <v>5317809</v>
      </c>
      <c r="B3162">
        <v>6973894</v>
      </c>
      <c r="C3162" t="s">
        <v>24</v>
      </c>
      <c r="D3162" t="s">
        <v>99</v>
      </c>
      <c r="E3162" s="2" t="str">
        <f>HYPERLINK("https://ibp.a2mac1.com/costing(costing:projects/details/8191/material/5317809)","PP-PET+Adhesive")</f>
        <v>PP-PET+Adhesive</v>
      </c>
      <c r="F3162" t="s">
        <v>4027</v>
      </c>
    </row>
    <row r="3163" spans="1:6" ht="12.75">
      <c r="A3163">
        <v>6946452</v>
      </c>
      <c r="B3163">
        <v>6973894</v>
      </c>
      <c r="C3163" t="s">
        <v>189</v>
      </c>
      <c r="D3163" t="s">
        <v>99</v>
      </c>
      <c r="E3163" s="2" t="str">
        <f>HYPERLINK("https://ibp.a2mac1.com/costing(costing:projects/details/8191/equipment/6946452)","Heat press cutting machine")</f>
        <v>Heat press cutting machine</v>
      </c>
      <c r="F3163" t="s">
        <v>4027</v>
      </c>
    </row>
    <row r="3164" spans="1:6" ht="12.75">
      <c r="A3164">
        <v>5384821</v>
      </c>
      <c r="B3164">
        <v>5384796</v>
      </c>
      <c r="C3164" t="s">
        <v>12</v>
      </c>
      <c r="D3164" t="s">
        <v>8</v>
      </c>
      <c r="E3164" s="2" t="str">
        <f>HYPERLINK("https://ibp.a2mac1.com/costing(costing:projects/details/8191/part/5384821)","Rear Left Wheel Housing and Right if Similar")</f>
        <v>Rear Left Wheel Housing and Right if Similar</v>
      </c>
      <c r="F3164" t="s">
        <v>3862</v>
      </c>
    </row>
    <row r="3165" spans="1:6" ht="12.75">
      <c r="A3165">
        <v>6973895</v>
      </c>
      <c r="B3165">
        <v>5384821</v>
      </c>
      <c r="C3165" t="s">
        <v>99</v>
      </c>
      <c r="D3165" t="s">
        <v>12</v>
      </c>
      <c r="E3165" s="2" t="str">
        <f>HYPERLINK("https://ibp.a2mac1.com/costing(costing:projects/details/8191/process/6973895)","Die cutting")</f>
        <v>Die cutting</v>
      </c>
      <c r="F3165" t="s">
        <v>4029</v>
      </c>
    </row>
    <row r="3166" spans="1:6" ht="12.75">
      <c r="A3166">
        <v>5317810</v>
      </c>
      <c r="B3166">
        <v>6973895</v>
      </c>
      <c r="C3166" t="s">
        <v>24</v>
      </c>
      <c r="D3166" t="s">
        <v>99</v>
      </c>
      <c r="E3166" s="2" t="str">
        <f>HYPERLINK("https://ibp.a2mac1.com/costing(costing:projects/details/8191/material/5317810)","PP-PET")</f>
        <v>PP-PET</v>
      </c>
      <c r="F3166" t="s">
        <v>4032</v>
      </c>
    </row>
    <row r="3167" spans="1:6" ht="12.75">
      <c r="A3167">
        <v>6946453</v>
      </c>
      <c r="B3167">
        <v>6973895</v>
      </c>
      <c r="C3167" t="s">
        <v>189</v>
      </c>
      <c r="D3167" t="s">
        <v>99</v>
      </c>
      <c r="E3167" s="2" t="str">
        <f>HYPERLINK("https://ibp.a2mac1.com/costing(costing:projects/details/8191/equipment/6946453)","Die cutting")</f>
        <v>Die cutting</v>
      </c>
      <c r="F3167" t="s">
        <v>4032</v>
      </c>
    </row>
    <row r="3168" spans="1:6" ht="12.75">
      <c r="A3168">
        <v>5384822</v>
      </c>
      <c r="B3168">
        <v>5384796</v>
      </c>
      <c r="C3168" t="s">
        <v>12</v>
      </c>
      <c r="D3168" t="s">
        <v>8</v>
      </c>
      <c r="E3168" s="2" t="str">
        <f>HYPERLINK("https://ibp.a2mac1.com/costing(costing:projects/details/8191/part/5384822)","In Upper Reinforcement")</f>
        <v>In Upper Reinforcement</v>
      </c>
      <c r="F3168" t="s">
        <v>3862</v>
      </c>
    </row>
    <row r="3169" spans="1:6" ht="12.75">
      <c r="A3169">
        <v>5384823</v>
      </c>
      <c r="B3169">
        <v>5384796</v>
      </c>
      <c r="C3169" t="s">
        <v>12</v>
      </c>
      <c r="D3169" t="s">
        <v>8</v>
      </c>
      <c r="E3169" s="2" t="str">
        <f>HYPERLINK("https://ibp.a2mac1.com/costing(costing:projects/details/8191/part/5384823)","Insulation Under Body   on Aerodynamics Screens")</f>
        <v>Insulation Under Body   on Aerodynamics Screens</v>
      </c>
      <c r="F3169" t="s">
        <v>3862</v>
      </c>
    </row>
    <row r="3170" spans="1:6" ht="12.75">
      <c r="A3170">
        <v>6973896</v>
      </c>
      <c r="B3170">
        <v>5384823</v>
      </c>
      <c r="C3170" t="s">
        <v>99</v>
      </c>
      <c r="D3170" t="s">
        <v>12</v>
      </c>
      <c r="E3170" s="2" t="str">
        <f>HYPERLINK("https://ibp.a2mac1.com/costing(costing:projects/details/8191/process/6973896)","Handling/Visual inspection/packaging")</f>
        <v>Handling/Visual inspection/packaging</v>
      </c>
      <c r="F3170" t="s">
        <v>4036</v>
      </c>
    </row>
    <row r="3171" spans="1:6" ht="12.75">
      <c r="A3171">
        <v>6946454</v>
      </c>
      <c r="B3171">
        <v>6973896</v>
      </c>
      <c r="C3171" t="s">
        <v>189</v>
      </c>
      <c r="D3171" t="s">
        <v>99</v>
      </c>
      <c r="E3171" s="2" t="str">
        <f>HYPERLINK("https://ibp.a2mac1.com/costing(costing:projects/details/8191/equipment/6946454)","Handling/Visual inspection/packaging")</f>
        <v>Handling/Visual inspection/packaging</v>
      </c>
      <c r="F3171" t="s">
        <v>4037</v>
      </c>
    </row>
    <row r="3172" spans="1:6" ht="12.75">
      <c r="A3172">
        <v>6973897</v>
      </c>
      <c r="B3172">
        <v>5384823</v>
      </c>
      <c r="C3172" t="s">
        <v>99</v>
      </c>
      <c r="D3172" t="s">
        <v>12</v>
      </c>
      <c r="E3172" s="2" t="str">
        <f>HYPERLINK("https://ibp.a2mac1.com/costing(costing:projects/details/8191/process/6973897)","Water jet cutting machine")</f>
        <v>Water jet cutting machine</v>
      </c>
      <c r="F3172" t="s">
        <v>4036</v>
      </c>
    </row>
    <row r="3173" spans="1:6" ht="12.75">
      <c r="A3173">
        <v>6946455</v>
      </c>
      <c r="B3173">
        <v>6973897</v>
      </c>
      <c r="C3173" t="s">
        <v>189</v>
      </c>
      <c r="D3173" t="s">
        <v>99</v>
      </c>
      <c r="E3173" s="2" t="str">
        <f>HYPERLINK("https://ibp.a2mac1.com/costing(costing:projects/details/8191/equipment/6946455)","No.01 - Waterjet Cutting ")</f>
        <v xml:space="preserve">No.01 - Waterjet Cutting </v>
      </c>
      <c r="F3173" t="s">
        <v>4038</v>
      </c>
    </row>
    <row r="3174" spans="1:6" ht="12.75">
      <c r="A3174">
        <v>6973898</v>
      </c>
      <c r="B3174">
        <v>5384823</v>
      </c>
      <c r="C3174" t="s">
        <v>99</v>
      </c>
      <c r="D3174" t="s">
        <v>12</v>
      </c>
      <c r="E3174" s="2" t="str">
        <f>HYPERLINK("https://ibp.a2mac1.com/costing(costing:projects/details/8191/process/6973898)","Thermocompression")</f>
        <v>Thermocompression</v>
      </c>
      <c r="F3174" t="s">
        <v>4036</v>
      </c>
    </row>
    <row r="3175" spans="1:6" ht="12.75">
      <c r="A3175">
        <v>6946456</v>
      </c>
      <c r="B3175">
        <v>6973898</v>
      </c>
      <c r="C3175" t="s">
        <v>189</v>
      </c>
      <c r="D3175" t="s">
        <v>99</v>
      </c>
      <c r="E3175" s="2" t="str">
        <f>HYPERLINK("https://ibp.a2mac1.com/costing(costing:projects/details/8191/equipment/6946456)","Thermocompression for Interior ")</f>
        <v xml:space="preserve">Thermocompression for Interior </v>
      </c>
      <c r="F3175" t="s">
        <v>4039</v>
      </c>
    </row>
    <row r="3176" spans="1:6" ht="12.75">
      <c r="A3176">
        <v>6973899</v>
      </c>
      <c r="B3176">
        <v>5384823</v>
      </c>
      <c r="C3176" t="s">
        <v>99</v>
      </c>
      <c r="D3176" t="s">
        <v>12</v>
      </c>
      <c r="E3176" s="2" t="str">
        <f>HYPERLINK("https://ibp.a2mac1.com/costing(costing:projects/details/8191/process/6973899)","Die cutting")</f>
        <v>Die cutting</v>
      </c>
      <c r="F3176" t="s">
        <v>4036</v>
      </c>
    </row>
    <row r="3177" spans="1:6" ht="12.75">
      <c r="A3177">
        <v>5317811</v>
      </c>
      <c r="B3177">
        <v>6973899</v>
      </c>
      <c r="C3177" t="s">
        <v>24</v>
      </c>
      <c r="D3177" t="s">
        <v>99</v>
      </c>
      <c r="E3177" s="2" t="str">
        <f>HYPERLINK("https://ibp.a2mac1.com/costing(costing:projects/details/8191/material/5317811)","PET SHOODY 1000 gsm")</f>
        <v>PET SHOODY 1000 gsm</v>
      </c>
      <c r="F3177" t="s">
        <v>4041</v>
      </c>
    </row>
    <row r="3178" spans="1:6" ht="12.75">
      <c r="A3178">
        <v>6946457</v>
      </c>
      <c r="B3178">
        <v>6973899</v>
      </c>
      <c r="C3178" t="s">
        <v>189</v>
      </c>
      <c r="D3178" t="s">
        <v>99</v>
      </c>
      <c r="E3178" s="2" t="str">
        <f>HYPERLINK("https://ibp.a2mac1.com/costing(costing:projects/details/8191/equipment/6946457)","Die cutting")</f>
        <v>Die cutting</v>
      </c>
      <c r="F3178" t="s">
        <v>4041</v>
      </c>
    </row>
    <row r="3179" spans="1:6" ht="12.75">
      <c r="A3179">
        <v>5384824</v>
      </c>
      <c r="B3179">
        <v>5384796</v>
      </c>
      <c r="C3179" t="s">
        <v>12</v>
      </c>
      <c r="D3179" t="s">
        <v>8</v>
      </c>
      <c r="E3179" s="2" t="str">
        <f>HYPERLINK("https://ibp.a2mac1.com/costing(costing:projects/details/8191/part/5384824)","2nd Insulation Under Body   on Aerodynamics Screens")</f>
        <v>2nd Insulation Under Body   on Aerodynamics Screens</v>
      </c>
      <c r="F3179" t="s">
        <v>3862</v>
      </c>
    </row>
    <row r="3180" spans="1:6" ht="12.75">
      <c r="A3180">
        <v>6973900</v>
      </c>
      <c r="B3180">
        <v>5384824</v>
      </c>
      <c r="C3180" t="s">
        <v>99</v>
      </c>
      <c r="D3180" t="s">
        <v>12</v>
      </c>
      <c r="E3180" s="2" t="str">
        <f>HYPERLINK("https://ibp.a2mac1.com/costing(costing:projects/details/8191/process/6973900)","Handling/Visual inspection/packaging")</f>
        <v>Handling/Visual inspection/packaging</v>
      </c>
      <c r="F3180" t="s">
        <v>4044</v>
      </c>
    </row>
    <row r="3181" spans="1:6" ht="12.75">
      <c r="A3181">
        <v>6946458</v>
      </c>
      <c r="B3181">
        <v>6973900</v>
      </c>
      <c r="C3181" t="s">
        <v>189</v>
      </c>
      <c r="D3181" t="s">
        <v>99</v>
      </c>
      <c r="E3181" s="2" t="str">
        <f>HYPERLINK("https://ibp.a2mac1.com/costing(costing:projects/details/8191/equipment/6946458)","Handling/Visual inspection/packaging")</f>
        <v>Handling/Visual inspection/packaging</v>
      </c>
      <c r="F3181" t="s">
        <v>4045</v>
      </c>
    </row>
    <row r="3182" spans="1:6" ht="12.75">
      <c r="A3182">
        <v>6973901</v>
      </c>
      <c r="B3182">
        <v>5384824</v>
      </c>
      <c r="C3182" t="s">
        <v>99</v>
      </c>
      <c r="D3182" t="s">
        <v>12</v>
      </c>
      <c r="E3182" s="2" t="str">
        <f>HYPERLINK("https://ibp.a2mac1.com/costing(costing:projects/details/8191/process/6973901)","Water jet cutting machine")</f>
        <v>Water jet cutting machine</v>
      </c>
      <c r="F3182" t="s">
        <v>4044</v>
      </c>
    </row>
    <row r="3183" spans="1:6" ht="12.75">
      <c r="A3183">
        <v>6946459</v>
      </c>
      <c r="B3183">
        <v>6973901</v>
      </c>
      <c r="C3183" t="s">
        <v>189</v>
      </c>
      <c r="D3183" t="s">
        <v>99</v>
      </c>
      <c r="E3183" s="2" t="str">
        <f>HYPERLINK("https://ibp.a2mac1.com/costing(costing:projects/details/8191/equipment/6946459)","No.01 - Waterjet Cutting ")</f>
        <v xml:space="preserve">No.01 - Waterjet Cutting </v>
      </c>
      <c r="F3183" t="s">
        <v>4046</v>
      </c>
    </row>
    <row r="3184" spans="1:6" ht="12.75">
      <c r="A3184">
        <v>6973902</v>
      </c>
      <c r="B3184">
        <v>5384824</v>
      </c>
      <c r="C3184" t="s">
        <v>99</v>
      </c>
      <c r="D3184" t="s">
        <v>12</v>
      </c>
      <c r="E3184" s="2" t="str">
        <f>HYPERLINK("https://ibp.a2mac1.com/costing(costing:projects/details/8191/process/6973902)","Thermocompression")</f>
        <v>Thermocompression</v>
      </c>
      <c r="F3184" t="s">
        <v>4044</v>
      </c>
    </row>
    <row r="3185" spans="1:6" ht="12.75">
      <c r="A3185">
        <v>6946460</v>
      </c>
      <c r="B3185">
        <v>6973902</v>
      </c>
      <c r="C3185" t="s">
        <v>189</v>
      </c>
      <c r="D3185" t="s">
        <v>99</v>
      </c>
      <c r="E3185" s="2" t="str">
        <f>HYPERLINK("https://ibp.a2mac1.com/costing(costing:projects/details/8191/equipment/6946460)","Thermocompression for Interior ")</f>
        <v xml:space="preserve">Thermocompression for Interior </v>
      </c>
      <c r="F3185" t="s">
        <v>4047</v>
      </c>
    </row>
    <row r="3186" spans="1:6" ht="12.75">
      <c r="A3186">
        <v>6973903</v>
      </c>
      <c r="B3186">
        <v>5384824</v>
      </c>
      <c r="C3186" t="s">
        <v>99</v>
      </c>
      <c r="D3186" t="s">
        <v>12</v>
      </c>
      <c r="E3186" s="2" t="str">
        <f>HYPERLINK("https://ibp.a2mac1.com/costing(costing:projects/details/8191/process/6973903)","Die cutting")</f>
        <v>Die cutting</v>
      </c>
      <c r="F3186" t="s">
        <v>4044</v>
      </c>
    </row>
    <row r="3187" spans="1:6" ht="12.75">
      <c r="A3187">
        <v>5317812</v>
      </c>
      <c r="B3187">
        <v>6973903</v>
      </c>
      <c r="C3187" t="s">
        <v>24</v>
      </c>
      <c r="D3187" t="s">
        <v>99</v>
      </c>
      <c r="E3187" s="2" t="str">
        <f>HYPERLINK("https://ibp.a2mac1.com/costing(costing:projects/details/8191/material/5317812)","PET SHOODY 1000 gsm")</f>
        <v>PET SHOODY 1000 gsm</v>
      </c>
      <c r="F3187" t="s">
        <v>4050</v>
      </c>
    </row>
    <row r="3188" spans="1:6" ht="12.75">
      <c r="A3188">
        <v>6946461</v>
      </c>
      <c r="B3188">
        <v>6973903</v>
      </c>
      <c r="C3188" t="s">
        <v>189</v>
      </c>
      <c r="D3188" t="s">
        <v>99</v>
      </c>
      <c r="E3188" s="2" t="str">
        <f>HYPERLINK("https://ibp.a2mac1.com/costing(costing:projects/details/8191/equipment/6946461)","Die cutting")</f>
        <v>Die cutting</v>
      </c>
      <c r="F3188" t="s">
        <v>4050</v>
      </c>
    </row>
    <row r="3189" spans="1:6" ht="12.75">
      <c r="A3189">
        <v>5384825</v>
      </c>
      <c r="B3189">
        <v>5384796</v>
      </c>
      <c r="C3189" t="s">
        <v>12</v>
      </c>
      <c r="D3189" t="s">
        <v>8</v>
      </c>
      <c r="E3189" s="2" t="str">
        <f>HYPERLINK("https://ibp.a2mac1.com/costing(costing:projects/details/8191/part/5384825)","3rd Insulation Underbody")</f>
        <v>3rd Insulation Underbody</v>
      </c>
      <c r="F3189" t="s">
        <v>3862</v>
      </c>
    </row>
    <row r="3190" spans="1:6" ht="12.75">
      <c r="A3190">
        <v>6973904</v>
      </c>
      <c r="B3190">
        <v>5384825</v>
      </c>
      <c r="C3190" t="s">
        <v>99</v>
      </c>
      <c r="D3190" t="s">
        <v>12</v>
      </c>
      <c r="E3190" s="2" t="str">
        <f>HYPERLINK("https://ibp.a2mac1.com/costing(costing:projects/details/8191/process/6973904)","Handling/Visual inspection/packaging")</f>
        <v>Handling/Visual inspection/packaging</v>
      </c>
      <c r="F3190" t="s">
        <v>4052</v>
      </c>
    </row>
    <row r="3191" spans="1:6" ht="12.75">
      <c r="A3191">
        <v>6946462</v>
      </c>
      <c r="B3191">
        <v>6973904</v>
      </c>
      <c r="C3191" t="s">
        <v>189</v>
      </c>
      <c r="D3191" t="s">
        <v>99</v>
      </c>
      <c r="E3191" s="2" t="str">
        <f>HYPERLINK("https://ibp.a2mac1.com/costing(costing:projects/details/8191/equipment/6946462)","Handling/Visual inspection/packaging")</f>
        <v>Handling/Visual inspection/packaging</v>
      </c>
      <c r="F3191" t="s">
        <v>4053</v>
      </c>
    </row>
    <row r="3192" spans="1:6" ht="12.75">
      <c r="A3192">
        <v>6973905</v>
      </c>
      <c r="B3192">
        <v>5384825</v>
      </c>
      <c r="C3192" t="s">
        <v>99</v>
      </c>
      <c r="D3192" t="s">
        <v>12</v>
      </c>
      <c r="E3192" s="2" t="str">
        <f>HYPERLINK("https://ibp.a2mac1.com/costing(costing:projects/details/8191/process/6973905)","Water jet cutting machine")</f>
        <v>Water jet cutting machine</v>
      </c>
      <c r="F3192" t="s">
        <v>4052</v>
      </c>
    </row>
    <row r="3193" spans="1:6" ht="12.75">
      <c r="A3193">
        <v>6946463</v>
      </c>
      <c r="B3193">
        <v>6973905</v>
      </c>
      <c r="C3193" t="s">
        <v>189</v>
      </c>
      <c r="D3193" t="s">
        <v>99</v>
      </c>
      <c r="E3193" s="2" t="str">
        <f>HYPERLINK("https://ibp.a2mac1.com/costing(costing:projects/details/8191/equipment/6946463)","No.01 - Waterjet Cutting ")</f>
        <v xml:space="preserve">No.01 - Waterjet Cutting </v>
      </c>
      <c r="F3193" t="s">
        <v>4054</v>
      </c>
    </row>
    <row r="3194" spans="1:6" ht="12.75">
      <c r="A3194">
        <v>6973906</v>
      </c>
      <c r="B3194">
        <v>5384825</v>
      </c>
      <c r="C3194" t="s">
        <v>99</v>
      </c>
      <c r="D3194" t="s">
        <v>12</v>
      </c>
      <c r="E3194" s="2" t="str">
        <f>HYPERLINK("https://ibp.a2mac1.com/costing(costing:projects/details/8191/process/6973906)","Thermocompression")</f>
        <v>Thermocompression</v>
      </c>
      <c r="F3194" t="s">
        <v>4052</v>
      </c>
    </row>
    <row r="3195" spans="1:6" ht="12.75">
      <c r="A3195">
        <v>6946464</v>
      </c>
      <c r="B3195">
        <v>6973906</v>
      </c>
      <c r="C3195" t="s">
        <v>189</v>
      </c>
      <c r="D3195" t="s">
        <v>99</v>
      </c>
      <c r="E3195" s="2" t="str">
        <f>HYPERLINK("https://ibp.a2mac1.com/costing(costing:projects/details/8191/equipment/6946464)","Thermocompression for Interior ")</f>
        <v xml:space="preserve">Thermocompression for Interior </v>
      </c>
      <c r="F3195" t="s">
        <v>4055</v>
      </c>
    </row>
    <row r="3196" spans="1:6" ht="12.75">
      <c r="A3196">
        <v>6973907</v>
      </c>
      <c r="B3196">
        <v>5384825</v>
      </c>
      <c r="C3196" t="s">
        <v>99</v>
      </c>
      <c r="D3196" t="s">
        <v>12</v>
      </c>
      <c r="E3196" s="2" t="str">
        <f>HYPERLINK("https://ibp.a2mac1.com/costing(costing:projects/details/8191/process/6973907)","Die cutting")</f>
        <v>Die cutting</v>
      </c>
      <c r="F3196" t="s">
        <v>4052</v>
      </c>
    </row>
    <row r="3197" spans="1:6" ht="12.75">
      <c r="A3197">
        <v>5317813</v>
      </c>
      <c r="B3197">
        <v>6973907</v>
      </c>
      <c r="C3197" t="s">
        <v>24</v>
      </c>
      <c r="D3197" t="s">
        <v>99</v>
      </c>
      <c r="E3197" s="2" t="str">
        <f>HYPERLINK("https://ibp.a2mac1.com/costing(costing:projects/details/8191/material/5317813)","PET SHOODY 1000 gsm")</f>
        <v>PET SHOODY 1000 gsm</v>
      </c>
      <c r="F3197" t="s">
        <v>4058</v>
      </c>
    </row>
    <row r="3198" spans="1:6" ht="12.75">
      <c r="A3198">
        <v>6946465</v>
      </c>
      <c r="B3198">
        <v>6973907</v>
      </c>
      <c r="C3198" t="s">
        <v>189</v>
      </c>
      <c r="D3198" t="s">
        <v>99</v>
      </c>
      <c r="E3198" s="2" t="str">
        <f>HYPERLINK("https://ibp.a2mac1.com/costing(costing:projects/details/8191/equipment/6946465)","Die cutting")</f>
        <v>Die cutting</v>
      </c>
      <c r="F3198" t="s">
        <v>4058</v>
      </c>
    </row>
    <row r="3199" spans="1:6" ht="12.75">
      <c r="A3199">
        <v>5317740</v>
      </c>
      <c r="B3199">
        <v>5384796</v>
      </c>
      <c r="C3199" t="s">
        <v>574</v>
      </c>
      <c r="D3199" t="s">
        <v>8</v>
      </c>
      <c r="E3199" s="2" t="str">
        <f>HYPERLINK("https://ibp.a2mac1.com/costing(costing:projects/details/8191/component/5317740)","Washer &gt; Lock interior washer")</f>
        <v>Washer &gt; Lock interior washer</v>
      </c>
      <c r="F3199" t="s">
        <v>3862</v>
      </c>
    </row>
    <row r="3200" spans="1:6" ht="12.75">
      <c r="A3200">
        <v>5317741</v>
      </c>
      <c r="B3200">
        <v>5384796</v>
      </c>
      <c r="C3200" t="s">
        <v>574</v>
      </c>
      <c r="D3200" t="s">
        <v>8</v>
      </c>
      <c r="E3200" s="2" t="str">
        <f>HYPERLINK("https://ibp.a2mac1.com/costing(costing:projects/details/8191/component/5317741)","Other fastener &gt; Grommet")</f>
        <v>Other fastener &gt; Grommet</v>
      </c>
      <c r="F3200" t="s">
        <v>3862</v>
      </c>
    </row>
    <row r="3201" spans="1:6" ht="12.75">
      <c r="A3201">
        <v>5317742</v>
      </c>
      <c r="B3201">
        <v>5384796</v>
      </c>
      <c r="C3201" t="s">
        <v>574</v>
      </c>
      <c r="D3201" t="s">
        <v>8</v>
      </c>
      <c r="E3201" s="2" t="str">
        <f>HYPERLINK("https://ibp.a2mac1.com/costing(costing:projects/details/8191/component/5317742)","Other fastener &gt; Colson")</f>
        <v>Other fastener &gt; Colson</v>
      </c>
      <c r="F3201" t="s">
        <v>3862</v>
      </c>
    </row>
    <row r="3202" spans="1:6" ht="12.75">
      <c r="A3202">
        <v>5317743</v>
      </c>
      <c r="B3202">
        <v>5384796</v>
      </c>
      <c r="C3202" t="s">
        <v>574</v>
      </c>
      <c r="D3202" t="s">
        <v>8</v>
      </c>
      <c r="E3202" s="2" t="str">
        <f>HYPERLINK("https://ibp.a2mac1.com/costing(costing:projects/details/8191/component/5317743)","Washer &gt; Lock interior washer")</f>
        <v>Washer &gt; Lock interior washer</v>
      </c>
      <c r="F3202" t="s">
        <v>3862</v>
      </c>
    </row>
    <row r="3203" spans="1:6" ht="12.75">
      <c r="A3203">
        <v>5384797</v>
      </c>
      <c r="B3203">
        <v>5384794</v>
      </c>
      <c r="C3203" t="s">
        <v>8</v>
      </c>
      <c r="D3203" t="s">
        <v>8</v>
      </c>
      <c r="E3203" s="2" t="str">
        <f>HYPERLINK("https://ibp.a2mac1.com/costing(costing:projects/details/8191/assembly/5384797)","Center Console")</f>
        <v>Center Console</v>
      </c>
      <c r="F3203" t="s">
        <v>2871</v>
      </c>
    </row>
    <row r="3204" spans="1:6" ht="12.75">
      <c r="A3204">
        <v>5384834</v>
      </c>
      <c r="B3204">
        <v>5384797</v>
      </c>
      <c r="C3204" t="s">
        <v>8</v>
      </c>
      <c r="D3204" t="s">
        <v>8</v>
      </c>
      <c r="E3204" s="2" t="str">
        <f>HYPERLINK("https://ibp.a2mac1.com/costing(costing:projects/details/8191/assembly/5384834)","Center Console")</f>
        <v>Center Console</v>
      </c>
      <c r="F3204" t="s">
        <v>4061</v>
      </c>
    </row>
    <row r="3205" spans="1:6" ht="12.75">
      <c r="A3205">
        <v>5384903</v>
      </c>
      <c r="B3205">
        <v>5384834</v>
      </c>
      <c r="C3205" t="s">
        <v>12</v>
      </c>
      <c r="D3205" t="s">
        <v>8</v>
      </c>
      <c r="E3205" s="2" t="str">
        <f>HYPERLINK("https://ibp.a2mac1.com/costing(costing:projects/details/8191/part/5384903)","Console Main Part Single")</f>
        <v>Console Main Part Single</v>
      </c>
      <c r="F3205" t="s">
        <v>4062</v>
      </c>
    </row>
    <row r="3206" spans="1:6" ht="12.75">
      <c r="A3206">
        <v>6973947</v>
      </c>
      <c r="B3206">
        <v>5384903</v>
      </c>
      <c r="C3206" t="s">
        <v>99</v>
      </c>
      <c r="D3206" t="s">
        <v>12</v>
      </c>
      <c r="E3206" s="2" t="str">
        <f>HYPERLINK("https://ibp.a2mac1.com/costing(costing:projects/details/8191/process/6973947)","Automated Process")</f>
        <v>Automated Process</v>
      </c>
      <c r="F3206" t="s">
        <v>4063</v>
      </c>
    </row>
    <row r="3207" spans="1:6" ht="12.75">
      <c r="A3207">
        <v>5317889</v>
      </c>
      <c r="B3207">
        <v>6973947</v>
      </c>
      <c r="C3207" t="s">
        <v>24</v>
      </c>
      <c r="D3207" t="s">
        <v>99</v>
      </c>
      <c r="E3207" s="2" t="str">
        <f>HYPERLINK("https://ibp.a2mac1.com/costing(costing:projects/details/8191/material/5317889)","PA66")</f>
        <v>PA66</v>
      </c>
      <c r="F3207" t="s">
        <v>4066</v>
      </c>
    </row>
    <row r="3208" spans="1:6" ht="12.75">
      <c r="A3208">
        <v>6946505</v>
      </c>
      <c r="B3208">
        <v>6973947</v>
      </c>
      <c r="C3208" t="s">
        <v>189</v>
      </c>
      <c r="D3208" t="s">
        <v>99</v>
      </c>
      <c r="E3208" s="2" t="str">
        <f>HYPERLINK("https://ibp.a2mac1.com/costing(costing:projects/details/8191/equipment/6946505)","Equipment (Injection Molding)")</f>
        <v>Equipment (Injection Molding)</v>
      </c>
      <c r="F3208" t="s">
        <v>4066</v>
      </c>
    </row>
    <row r="3209" spans="1:6" ht="12.75">
      <c r="A3209">
        <v>5384904</v>
      </c>
      <c r="B3209">
        <v>5384834</v>
      </c>
      <c r="C3209" t="s">
        <v>12</v>
      </c>
      <c r="D3209" t="s">
        <v>8</v>
      </c>
      <c r="E3209" s="2" t="str">
        <f>HYPERLINK("https://ibp.a2mac1.com/costing(costing:projects/details/8191/part/5384904)","Upper Trim")</f>
        <v>Upper Trim</v>
      </c>
      <c r="F3209" t="s">
        <v>4062</v>
      </c>
    </row>
    <row r="3210" spans="1:6" ht="12.75">
      <c r="A3210">
        <v>6973948</v>
      </c>
      <c r="B3210">
        <v>5384904</v>
      </c>
      <c r="C3210" t="s">
        <v>99</v>
      </c>
      <c r="D3210" t="s">
        <v>12</v>
      </c>
      <c r="E3210" s="2" t="str">
        <f>HYPERLINK("https://ibp.a2mac1.com/costing(costing:projects/details/8191/process/6973948)","Automated Process")</f>
        <v>Automated Process</v>
      </c>
      <c r="F3210" t="s">
        <v>4069</v>
      </c>
    </row>
    <row r="3211" spans="1:6" ht="12.75">
      <c r="A3211">
        <v>5317890</v>
      </c>
      <c r="B3211">
        <v>6973948</v>
      </c>
      <c r="C3211" t="s">
        <v>24</v>
      </c>
      <c r="D3211" t="s">
        <v>99</v>
      </c>
      <c r="E3211" s="2" t="str">
        <f>HYPERLINK("https://ibp.a2mac1.com/costing(costing:projects/details/8191/material/5317890)","PP-PE")</f>
        <v>PP-PE</v>
      </c>
      <c r="F3211" t="s">
        <v>4072</v>
      </c>
    </row>
    <row r="3212" spans="1:6" ht="12.75">
      <c r="A3212">
        <v>6946506</v>
      </c>
      <c r="B3212">
        <v>6973948</v>
      </c>
      <c r="C3212" t="s">
        <v>189</v>
      </c>
      <c r="D3212" t="s">
        <v>99</v>
      </c>
      <c r="E3212" s="2" t="str">
        <f>HYPERLINK("https://ibp.a2mac1.com/costing(costing:projects/details/8191/equipment/6946506)","Equipment (Injection Molding)")</f>
        <v>Equipment (Injection Molding)</v>
      </c>
      <c r="F3212" t="s">
        <v>4072</v>
      </c>
    </row>
    <row r="3213" spans="1:6" ht="12.75">
      <c r="A3213">
        <v>5384905</v>
      </c>
      <c r="B3213">
        <v>5384834</v>
      </c>
      <c r="C3213" t="s">
        <v>12</v>
      </c>
      <c r="D3213" t="s">
        <v>8</v>
      </c>
      <c r="E3213" s="2" t="str">
        <f>HYPERLINK("https://ibp.a2mac1.com/costing(costing:projects/details/8191/part/5384905)","Trim Bezel")</f>
        <v>Trim Bezel</v>
      </c>
      <c r="F3213" t="s">
        <v>4062</v>
      </c>
    </row>
    <row r="3214" spans="1:6" ht="12.75">
      <c r="A3214">
        <v>6973949</v>
      </c>
      <c r="B3214">
        <v>5384905</v>
      </c>
      <c r="C3214" t="s">
        <v>99</v>
      </c>
      <c r="D3214" t="s">
        <v>12</v>
      </c>
      <c r="E3214" s="2" t="str">
        <f>HYPERLINK("https://ibp.a2mac1.com/costing(costing:projects/details/8191/process/6973949)","Automated Process")</f>
        <v>Automated Process</v>
      </c>
      <c r="F3214" t="s">
        <v>4074</v>
      </c>
    </row>
    <row r="3215" spans="1:6" ht="12.75">
      <c r="A3215">
        <v>5317891</v>
      </c>
      <c r="B3215">
        <v>6973949</v>
      </c>
      <c r="C3215" t="s">
        <v>24</v>
      </c>
      <c r="D3215" t="s">
        <v>99</v>
      </c>
      <c r="E3215" s="2" t="str">
        <f>HYPERLINK("https://ibp.a2mac1.com/costing(costing:projects/details/8191/material/5317891)","PC-ABS")</f>
        <v>PC-ABS</v>
      </c>
      <c r="F3215" t="s">
        <v>4075</v>
      </c>
    </row>
    <row r="3216" spans="1:6" ht="12.75">
      <c r="A3216">
        <v>6946507</v>
      </c>
      <c r="B3216">
        <v>6973949</v>
      </c>
      <c r="C3216" t="s">
        <v>189</v>
      </c>
      <c r="D3216" t="s">
        <v>99</v>
      </c>
      <c r="E3216" s="2" t="str">
        <f>HYPERLINK("https://ibp.a2mac1.com/costing(costing:projects/details/8191/equipment/6946507)","Equipment (Injection Molding)")</f>
        <v>Equipment (Injection Molding)</v>
      </c>
      <c r="F3216" t="s">
        <v>4075</v>
      </c>
    </row>
    <row r="3217" spans="1:6" ht="12.75">
      <c r="A3217">
        <v>5317758</v>
      </c>
      <c r="B3217">
        <v>5384834</v>
      </c>
      <c r="C3217" t="s">
        <v>574</v>
      </c>
      <c r="D3217" t="s">
        <v>8</v>
      </c>
      <c r="E3217" s="2" t="str">
        <f>HYPERLINK("https://ibp.a2mac1.com/costing(costing:projects/details/8191/component/5317758)","Spacer/Axle &gt; Anti-buckling bush")</f>
        <v>Spacer/Axle &gt; Anti-buckling bush</v>
      </c>
      <c r="F3217" t="s">
        <v>4062</v>
      </c>
    </row>
    <row r="3218" spans="1:6" ht="12.75">
      <c r="A3218">
        <v>5317759</v>
      </c>
      <c r="B3218">
        <v>5384834</v>
      </c>
      <c r="C3218" t="s">
        <v>574</v>
      </c>
      <c r="D3218" t="s">
        <v>8</v>
      </c>
      <c r="E3218" s="2" t="str">
        <f>HYPERLINK("https://ibp.a2mac1.com/costing(costing:projects/details/8191/component/5317759)","Panel holder &gt; Clips in rectangular hole")</f>
        <v>Panel holder &gt; Clips in rectangular hole</v>
      </c>
      <c r="F3218" t="s">
        <v>4062</v>
      </c>
    </row>
    <row r="3219" spans="1:6" ht="12.75">
      <c r="A3219">
        <v>5384835</v>
      </c>
      <c r="B3219">
        <v>5384797</v>
      </c>
      <c r="C3219" t="s">
        <v>8</v>
      </c>
      <c r="D3219" t="s">
        <v>8</v>
      </c>
      <c r="E3219" s="2" t="str">
        <f>HYPERLINK("https://ibp.a2mac1.com/costing(costing:projects/details/8191/assembly/5384835)","Side Covers")</f>
        <v>Side Covers</v>
      </c>
      <c r="F3219" t="s">
        <v>4061</v>
      </c>
    </row>
    <row r="3220" spans="1:6" ht="12.75">
      <c r="A3220">
        <v>5384906</v>
      </c>
      <c r="B3220">
        <v>5384835</v>
      </c>
      <c r="C3220" t="s">
        <v>8</v>
      </c>
      <c r="D3220" t="s">
        <v>8</v>
      </c>
      <c r="E3220" s="2" t="str">
        <f>HYPERLINK("https://ibp.a2mac1.com/costing(costing:projects/details/8191/assembly/5384906)","Left Side")</f>
        <v>Left Side</v>
      </c>
      <c r="F3220" t="s">
        <v>4078</v>
      </c>
    </row>
    <row r="3221" spans="1:6" ht="12.75">
      <c r="A3221">
        <v>5385038</v>
      </c>
      <c r="B3221">
        <v>5384906</v>
      </c>
      <c r="C3221" t="s">
        <v>12</v>
      </c>
      <c r="D3221" t="s">
        <v>8</v>
      </c>
      <c r="E3221" s="2" t="str">
        <f>HYPERLINK("https://ibp.a2mac1.com/costing(costing:projects/details/8191/part/5385038)","Central")</f>
        <v>Central</v>
      </c>
      <c r="F3221" t="s">
        <v>4079</v>
      </c>
    </row>
    <row r="3222" spans="1:6" ht="12.75">
      <c r="A3222">
        <v>6974018</v>
      </c>
      <c r="B3222">
        <v>5385038</v>
      </c>
      <c r="C3222" t="s">
        <v>99</v>
      </c>
      <c r="D3222" t="s">
        <v>12</v>
      </c>
      <c r="E3222" s="2" t="str">
        <f>HYPERLINK("https://ibp.a2mac1.com/costing(costing:projects/details/8191/process/6974018)","Automated Process")</f>
        <v>Automated Process</v>
      </c>
      <c r="F3222" t="s">
        <v>4080</v>
      </c>
    </row>
    <row r="3223" spans="1:6" ht="12.75">
      <c r="A3223">
        <v>5318011</v>
      </c>
      <c r="B3223">
        <v>6974018</v>
      </c>
      <c r="C3223" t="s">
        <v>24</v>
      </c>
      <c r="D3223" t="s">
        <v>99</v>
      </c>
      <c r="E3223" s="2" t="str">
        <f>HYPERLINK("https://ibp.a2mac1.com/costing(costing:projects/details/8191/material/5318011)","PP-PE")</f>
        <v>PP-PE</v>
      </c>
      <c r="F3223" t="s">
        <v>4083</v>
      </c>
    </row>
    <row r="3224" spans="1:6" ht="12.75">
      <c r="A3224">
        <v>6946594</v>
      </c>
      <c r="B3224">
        <v>6974018</v>
      </c>
      <c r="C3224" t="s">
        <v>189</v>
      </c>
      <c r="D3224" t="s">
        <v>99</v>
      </c>
      <c r="E3224" s="2" t="str">
        <f>HYPERLINK("https://ibp.a2mac1.com/costing(costing:projects/details/8191/equipment/6946594)","Equipment (Injection Molding)")</f>
        <v>Equipment (Injection Molding)</v>
      </c>
      <c r="F3224" t="s">
        <v>4083</v>
      </c>
    </row>
    <row r="3225" spans="1:6" ht="12.75">
      <c r="A3225">
        <v>5317818</v>
      </c>
      <c r="B3225">
        <v>5384906</v>
      </c>
      <c r="C3225" t="s">
        <v>574</v>
      </c>
      <c r="D3225" t="s">
        <v>8</v>
      </c>
      <c r="E3225" s="2" t="str">
        <f>HYPERLINK("https://ibp.a2mac1.com/costing(costing:projects/details/8191/component/5317818)","Panel holder &gt; Clips in rectangular hole")</f>
        <v>Panel holder &gt; Clips in rectangular hole</v>
      </c>
      <c r="F3225" t="s">
        <v>4079</v>
      </c>
    </row>
    <row r="3226" spans="1:6" ht="12.75">
      <c r="A3226">
        <v>5384907</v>
      </c>
      <c r="B3226">
        <v>5384835</v>
      </c>
      <c r="C3226" t="s">
        <v>8</v>
      </c>
      <c r="D3226" t="s">
        <v>8</v>
      </c>
      <c r="E3226" s="2" t="str">
        <f>HYPERLINK("https://ibp.a2mac1.com/costing(costing:projects/details/8191/assembly/5384907)","Right Side")</f>
        <v>Right Side</v>
      </c>
      <c r="F3226" t="s">
        <v>4078</v>
      </c>
    </row>
    <row r="3227" spans="1:6" ht="12.75">
      <c r="A3227">
        <v>5385039</v>
      </c>
      <c r="B3227">
        <v>5384907</v>
      </c>
      <c r="C3227" t="s">
        <v>12</v>
      </c>
      <c r="D3227" t="s">
        <v>8</v>
      </c>
      <c r="E3227" s="2" t="str">
        <f>HYPERLINK("https://ibp.a2mac1.com/costing(costing:projects/details/8191/part/5385039)","Central")</f>
        <v>Central</v>
      </c>
      <c r="F3227" t="s">
        <v>4086</v>
      </c>
    </row>
    <row r="3228" spans="1:6" ht="12.75">
      <c r="A3228">
        <v>6974019</v>
      </c>
      <c r="B3228">
        <v>5385039</v>
      </c>
      <c r="C3228" t="s">
        <v>99</v>
      </c>
      <c r="D3228" t="s">
        <v>12</v>
      </c>
      <c r="E3228" s="2" t="str">
        <f>HYPERLINK("https://ibp.a2mac1.com/costing(costing:projects/details/8191/process/6974019)","Automated Process")</f>
        <v>Automated Process</v>
      </c>
      <c r="F3228" t="s">
        <v>4087</v>
      </c>
    </row>
    <row r="3229" spans="1:6" ht="12.75">
      <c r="A3229">
        <v>5318012</v>
      </c>
      <c r="B3229">
        <v>6974019</v>
      </c>
      <c r="C3229" t="s">
        <v>24</v>
      </c>
      <c r="D3229" t="s">
        <v>99</v>
      </c>
      <c r="E3229" s="2" t="str">
        <f>HYPERLINK("https://ibp.a2mac1.com/costing(costing:projects/details/8191/material/5318012)","PP-PE")</f>
        <v>PP-PE</v>
      </c>
      <c r="F3229" t="s">
        <v>4090</v>
      </c>
    </row>
    <row r="3230" spans="1:6" ht="12.75">
      <c r="A3230">
        <v>6946601</v>
      </c>
      <c r="B3230">
        <v>6974019</v>
      </c>
      <c r="C3230" t="s">
        <v>189</v>
      </c>
      <c r="D3230" t="s">
        <v>99</v>
      </c>
      <c r="E3230" s="2" t="str">
        <f>HYPERLINK("https://ibp.a2mac1.com/costing(costing:projects/details/8191/equipment/6946601)","Equipment (Injection Molding)")</f>
        <v>Equipment (Injection Molding)</v>
      </c>
      <c r="F3230" t="s">
        <v>4090</v>
      </c>
    </row>
    <row r="3231" spans="1:6" ht="12.75">
      <c r="A3231">
        <v>5317819</v>
      </c>
      <c r="B3231">
        <v>5384907</v>
      </c>
      <c r="C3231" t="s">
        <v>574</v>
      </c>
      <c r="D3231" t="s">
        <v>8</v>
      </c>
      <c r="E3231" s="2" t="str">
        <f>HYPERLINK("https://ibp.a2mac1.com/costing(costing:projects/details/8191/component/5317819)","Panel holder &gt; Clips in rectangular hole")</f>
        <v>Panel holder &gt; Clips in rectangular hole</v>
      </c>
      <c r="F3231" t="s">
        <v>4086</v>
      </c>
    </row>
    <row r="3232" spans="1:6" ht="12.75">
      <c r="A3232">
        <v>5384836</v>
      </c>
      <c r="B3232">
        <v>5384797</v>
      </c>
      <c r="C3232" t="s">
        <v>8</v>
      </c>
      <c r="D3232" t="s">
        <v>8</v>
      </c>
      <c r="E3232" s="2" t="str">
        <f>HYPERLINK("https://ibp.a2mac1.com/costing(costing:projects/details/8191/assembly/5384836)","Mounting Bracket")</f>
        <v>Mounting Bracket</v>
      </c>
      <c r="F3232" t="s">
        <v>4061</v>
      </c>
    </row>
    <row r="3233" spans="1:6" ht="12.75">
      <c r="A3233">
        <v>5384908</v>
      </c>
      <c r="B3233">
        <v>5384836</v>
      </c>
      <c r="C3233" t="s">
        <v>12</v>
      </c>
      <c r="D3233" t="s">
        <v>8</v>
      </c>
      <c r="E3233" s="2" t="str">
        <f>HYPERLINK("https://ibp.a2mac1.com/costing(costing:projects/details/8191/part/5384908)","Front Left Single and Right if Similar")</f>
        <v>Front Left Single and Right if Similar</v>
      </c>
      <c r="F3233" t="s">
        <v>4094</v>
      </c>
    </row>
    <row r="3234" spans="1:6" ht="12.75">
      <c r="A3234">
        <v>6973950</v>
      </c>
      <c r="B3234">
        <v>5384908</v>
      </c>
      <c r="C3234" t="s">
        <v>99</v>
      </c>
      <c r="D3234" t="s">
        <v>12</v>
      </c>
      <c r="E3234" s="2" t="str">
        <f>HYPERLINK("https://ibp.a2mac1.com/costing(costing:projects/details/8191/process/6973950)","Automated Process")</f>
        <v>Automated Process</v>
      </c>
      <c r="F3234" t="s">
        <v>4095</v>
      </c>
    </row>
    <row r="3235" spans="1:6" ht="12.75">
      <c r="A3235">
        <v>6973953</v>
      </c>
      <c r="B3235">
        <v>5384908</v>
      </c>
      <c r="C3235" t="s">
        <v>99</v>
      </c>
      <c r="D3235" t="s">
        <v>12</v>
      </c>
      <c r="E3235" s="2" t="str">
        <f>HYPERLINK("https://ibp.a2mac1.com/costing(costing:projects/details/8191/process/6973953)","Stamping")</f>
        <v>Stamping</v>
      </c>
      <c r="F3235" t="s">
        <v>4095</v>
      </c>
    </row>
    <row r="3236" spans="1:6" ht="12.75">
      <c r="A3236">
        <v>5317892</v>
      </c>
      <c r="B3236">
        <v>6973953</v>
      </c>
      <c r="C3236" t="s">
        <v>24</v>
      </c>
      <c r="D3236" t="s">
        <v>99</v>
      </c>
      <c r="E3236" s="2" t="str">
        <f>HYPERLINK("https://ibp.a2mac1.com/costing(costing:projects/details/8191/material/5317892)","Steel sheet (default)")</f>
        <v>Steel sheet (default)</v>
      </c>
      <c r="F3236" t="s">
        <v>4098</v>
      </c>
    </row>
    <row r="3237" spans="1:6" ht="12.75">
      <c r="A3237">
        <v>6946510</v>
      </c>
      <c r="B3237">
        <v>6973953</v>
      </c>
      <c r="C3237" t="s">
        <v>189</v>
      </c>
      <c r="D3237" t="s">
        <v>99</v>
      </c>
      <c r="E3237" s="2" t="str">
        <f>HYPERLINK("https://ibp.a2mac1.com/costing(costing:projects/details/8191/equipment/6946510)","No.01 - Progressive Press - 250T ")</f>
        <v xml:space="preserve">No.01 - Progressive Press - 250T </v>
      </c>
      <c r="F3237" t="s">
        <v>4098</v>
      </c>
    </row>
    <row r="3238" spans="1:6" ht="12.75">
      <c r="A3238">
        <v>6973952</v>
      </c>
      <c r="B3238">
        <v>5384908</v>
      </c>
      <c r="C3238" t="s">
        <v>99</v>
      </c>
      <c r="D3238" t="s">
        <v>12</v>
      </c>
      <c r="E3238" s="2" t="str">
        <f>HYPERLINK("https://ibp.a2mac1.com/costing(costing:projects/details/8191/process/6973952)","Cleaning")</f>
        <v>Cleaning</v>
      </c>
      <c r="F3238" t="s">
        <v>4095</v>
      </c>
    </row>
    <row r="3239" spans="1:6" ht="12.75">
      <c r="A3239">
        <v>6946509</v>
      </c>
      <c r="B3239">
        <v>6973952</v>
      </c>
      <c r="C3239" t="s">
        <v>189</v>
      </c>
      <c r="D3239" t="s">
        <v>99</v>
      </c>
      <c r="E3239" s="2" t="str">
        <f>HYPERLINK("https://ibp.a2mac1.com/costing(costing:projects/details/8191/equipment/6946509)","No.05 - Cleaning - Batch - 2000x2000x1200 - 500kg/batch - 3000kg/h ")</f>
        <v xml:space="preserve">No.05 - Cleaning - Batch - 2000x2000x1200 - 500kg/batch - 3000kg/h </v>
      </c>
      <c r="F3239" t="s">
        <v>4099</v>
      </c>
    </row>
    <row r="3240" spans="1:6" ht="12.75">
      <c r="A3240">
        <v>6973951</v>
      </c>
      <c r="B3240">
        <v>5384908</v>
      </c>
      <c r="C3240" t="s">
        <v>99</v>
      </c>
      <c r="D3240" t="s">
        <v>12</v>
      </c>
      <c r="E3240" s="2" t="str">
        <f>HYPERLINK("https://ibp.a2mac1.com/costing(costing:projects/details/8191/process/6973951)","Packaging")</f>
        <v>Packaging</v>
      </c>
      <c r="F3240" t="s">
        <v>4095</v>
      </c>
    </row>
    <row r="3241" spans="1:6" ht="12.75">
      <c r="A3241">
        <v>6946508</v>
      </c>
      <c r="B3241">
        <v>6973951</v>
      </c>
      <c r="C3241" t="s">
        <v>189</v>
      </c>
      <c r="D3241" t="s">
        <v>99</v>
      </c>
      <c r="E3241" s="2" t="str">
        <f>HYPERLINK("https://ibp.a2mac1.com/costing(costing:projects/details/8191/equipment/6946508)","Packaging ")</f>
        <v xml:space="preserve">Packaging </v>
      </c>
      <c r="F3241" t="s">
        <v>4100</v>
      </c>
    </row>
    <row r="3242" spans="1:6" ht="12.75">
      <c r="A3242">
        <v>5384909</v>
      </c>
      <c r="B3242">
        <v>5384836</v>
      </c>
      <c r="C3242" t="s">
        <v>12</v>
      </c>
      <c r="D3242" t="s">
        <v>8</v>
      </c>
      <c r="E3242" s="2" t="str">
        <f>HYPERLINK("https://ibp.a2mac1.com/costing(costing:projects/details/8191/part/5384909)","Rear Single Left")</f>
        <v>Rear Single Left</v>
      </c>
      <c r="F3242" t="s">
        <v>4094</v>
      </c>
    </row>
    <row r="3243" spans="1:6" ht="12.75">
      <c r="A3243">
        <v>6973954</v>
      </c>
      <c r="B3243">
        <v>5384909</v>
      </c>
      <c r="C3243" t="s">
        <v>99</v>
      </c>
      <c r="D3243" t="s">
        <v>12</v>
      </c>
      <c r="E3243" s="2" t="str">
        <f>HYPERLINK("https://ibp.a2mac1.com/costing(costing:projects/details/8191/process/6973954)","Stamping")</f>
        <v>Stamping</v>
      </c>
      <c r="F3243" t="s">
        <v>4102</v>
      </c>
    </row>
    <row r="3244" spans="1:6" ht="12.75">
      <c r="A3244">
        <v>5317893</v>
      </c>
      <c r="B3244">
        <v>6973954</v>
      </c>
      <c r="C3244" t="s">
        <v>24</v>
      </c>
      <c r="D3244" t="s">
        <v>99</v>
      </c>
      <c r="E3244" s="2" t="str">
        <f>HYPERLINK("https://ibp.a2mac1.com/costing(costing:projects/details/8191/material/5317893)","Steel sheet (default)")</f>
        <v>Steel sheet (default)</v>
      </c>
      <c r="F3244" t="s">
        <v>4105</v>
      </c>
    </row>
    <row r="3245" spans="1:6" ht="12.75">
      <c r="A3245">
        <v>6946511</v>
      </c>
      <c r="B3245">
        <v>6973954</v>
      </c>
      <c r="C3245" t="s">
        <v>189</v>
      </c>
      <c r="D3245" t="s">
        <v>99</v>
      </c>
      <c r="E3245" s="2" t="str">
        <f>HYPERLINK("https://ibp.a2mac1.com/costing(costing:projects/details/8191/equipment/6946511)","No.01 - Progressive Press - 250T ")</f>
        <v xml:space="preserve">No.01 - Progressive Press - 250T </v>
      </c>
      <c r="F3245" t="s">
        <v>4105</v>
      </c>
    </row>
    <row r="3246" spans="1:6" ht="12.75">
      <c r="A3246">
        <v>6973955</v>
      </c>
      <c r="B3246">
        <v>5384909</v>
      </c>
      <c r="C3246" t="s">
        <v>99</v>
      </c>
      <c r="D3246" t="s">
        <v>12</v>
      </c>
      <c r="E3246" s="2" t="str">
        <f>HYPERLINK("https://ibp.a2mac1.com/costing(costing:projects/details/8191/process/6973955)","Cleaning")</f>
        <v>Cleaning</v>
      </c>
      <c r="F3246" t="s">
        <v>4102</v>
      </c>
    </row>
    <row r="3247" spans="1:6" ht="12.75">
      <c r="A3247">
        <v>6946512</v>
      </c>
      <c r="B3247">
        <v>6973955</v>
      </c>
      <c r="C3247" t="s">
        <v>189</v>
      </c>
      <c r="D3247" t="s">
        <v>99</v>
      </c>
      <c r="E3247" s="2" t="str">
        <f>HYPERLINK("https://ibp.a2mac1.com/costing(costing:projects/details/8191/equipment/6946512)","No.05 - Cleaning - Batch - 2000x2000x1200 - 500kg/batch - 3000kg/h ")</f>
        <v xml:space="preserve">No.05 - Cleaning - Batch - 2000x2000x1200 - 500kg/batch - 3000kg/h </v>
      </c>
      <c r="F3247" t="s">
        <v>4106</v>
      </c>
    </row>
    <row r="3248" spans="1:6" ht="12.75">
      <c r="A3248">
        <v>6973956</v>
      </c>
      <c r="B3248">
        <v>5384909</v>
      </c>
      <c r="C3248" t="s">
        <v>99</v>
      </c>
      <c r="D3248" t="s">
        <v>12</v>
      </c>
      <c r="E3248" s="2" t="str">
        <f>HYPERLINK("https://ibp.a2mac1.com/costing(costing:projects/details/8191/process/6973956)","Packaging")</f>
        <v>Packaging</v>
      </c>
      <c r="F3248" t="s">
        <v>4102</v>
      </c>
    </row>
    <row r="3249" spans="1:6" ht="12.75">
      <c r="A3249">
        <v>6946513</v>
      </c>
      <c r="B3249">
        <v>6973956</v>
      </c>
      <c r="C3249" t="s">
        <v>189</v>
      </c>
      <c r="D3249" t="s">
        <v>99</v>
      </c>
      <c r="E3249" s="2" t="str">
        <f>HYPERLINK("https://ibp.a2mac1.com/costing(costing:projects/details/8191/equipment/6946513)","Packaging ")</f>
        <v xml:space="preserve">Packaging </v>
      </c>
      <c r="F3249" t="s">
        <v>4107</v>
      </c>
    </row>
    <row r="3250" spans="1:6" ht="12.75">
      <c r="A3250">
        <v>5317760</v>
      </c>
      <c r="B3250">
        <v>5384836</v>
      </c>
      <c r="C3250" t="s">
        <v>574</v>
      </c>
      <c r="D3250" t="s">
        <v>8</v>
      </c>
      <c r="E3250" s="2" t="str">
        <f>HYPERLINK("https://ibp.a2mac1.com/costing(costing:projects/details/8191/component/5317760)","Screw &gt; Hexagon screw with flange")</f>
        <v>Screw &gt; Hexagon screw with flange</v>
      </c>
      <c r="F3250" t="s">
        <v>4094</v>
      </c>
    </row>
    <row r="3251" spans="1:6" ht="12.75">
      <c r="A3251">
        <v>5317761</v>
      </c>
      <c r="B3251">
        <v>5384836</v>
      </c>
      <c r="C3251" t="s">
        <v>574</v>
      </c>
      <c r="D3251" t="s">
        <v>8</v>
      </c>
      <c r="E3251" s="2" t="str">
        <f>HYPERLINK("https://ibp.a2mac1.com/costing(costing:projects/details/8191/component/5317761)","Nut &gt; Pinching nut for metric screw")</f>
        <v>Nut &gt; Pinching nut for metric screw</v>
      </c>
      <c r="F3251" t="s">
        <v>4094</v>
      </c>
    </row>
    <row r="3252" spans="1:6" ht="12.75">
      <c r="A3252">
        <v>5384837</v>
      </c>
      <c r="B3252">
        <v>5384797</v>
      </c>
      <c r="C3252" t="s">
        <v>8</v>
      </c>
      <c r="D3252" t="s">
        <v>8</v>
      </c>
      <c r="E3252" s="2" t="str">
        <f>HYPERLINK("https://ibp.a2mac1.com/costing(costing:projects/details/8191/assembly/5384837)","Instrumentation")</f>
        <v>Instrumentation</v>
      </c>
      <c r="F3252" t="s">
        <v>4061</v>
      </c>
    </row>
    <row r="3253" spans="1:6" ht="12.75">
      <c r="A3253">
        <v>5384910</v>
      </c>
      <c r="B3253">
        <v>5384837</v>
      </c>
      <c r="C3253" t="s">
        <v>8</v>
      </c>
      <c r="D3253" t="s">
        <v>8</v>
      </c>
      <c r="E3253" s="2" t="str">
        <f>HYPERLINK("https://ibp.a2mac1.com/costing(costing:projects/details/8191/assembly/5384910)","Ignition Switch System")</f>
        <v>Ignition Switch System</v>
      </c>
      <c r="F3253" t="s">
        <v>4110</v>
      </c>
    </row>
    <row r="3254" spans="1:6" ht="12.75">
      <c r="A3254">
        <v>5385040</v>
      </c>
      <c r="B3254">
        <v>5384910</v>
      </c>
      <c r="C3254" t="s">
        <v>8</v>
      </c>
      <c r="D3254" t="s">
        <v>8</v>
      </c>
      <c r="E3254" s="2" t="str">
        <f>HYPERLINK("https://ibp.a2mac1.com/costing(costing:projects/details/8191/assembly/5385040)","Vehicle Keys")</f>
        <v>Vehicle Keys</v>
      </c>
      <c r="F3254" t="s">
        <v>4111</v>
      </c>
    </row>
    <row r="3255" spans="1:6" ht="12.75">
      <c r="A3255">
        <v>6974020</v>
      </c>
      <c r="B3255">
        <v>5385040</v>
      </c>
      <c r="C3255" t="s">
        <v>99</v>
      </c>
      <c r="D3255" t="s">
        <v>8</v>
      </c>
      <c r="E3255" s="2" t="str">
        <f>HYPERLINK("https://ibp.a2mac1.com/costing(costing:projects/details/8191/process/6974020)","Process [2]")</f>
        <v>Process [2]</v>
      </c>
      <c r="F3255" t="s">
        <v>4112</v>
      </c>
    </row>
    <row r="3256" spans="1:6" ht="12.75">
      <c r="A3256">
        <v>6946602</v>
      </c>
      <c r="B3256">
        <v>6974020</v>
      </c>
      <c r="C3256" t="s">
        <v>189</v>
      </c>
      <c r="D3256" t="s">
        <v>99</v>
      </c>
      <c r="E3256" s="2" t="str">
        <f>HYPERLINK("https://ibp.a2mac1.com/costing(costing:projects/details/8191/equipment/6946602)","Dummy Machine (PCBA+Final Assembly Line)")</f>
        <v>Dummy Machine (PCBA+Final Assembly Line)</v>
      </c>
      <c r="F3256" t="s">
        <v>4113</v>
      </c>
    </row>
    <row r="3257" spans="1:6" ht="12.75">
      <c r="A3257">
        <v>5317894</v>
      </c>
      <c r="B3257">
        <v>5385040</v>
      </c>
      <c r="C3257" t="s">
        <v>574</v>
      </c>
      <c r="D3257" t="s">
        <v>8</v>
      </c>
      <c r="E3257" s="2" t="str">
        <f>HYPERLINK("https://ibp.a2mac1.com/costing(costing:projects/details/8191/component/5317894)","Electronics")</f>
        <v>Electronics</v>
      </c>
      <c r="F3257" t="s">
        <v>4112</v>
      </c>
    </row>
    <row r="3258" spans="1:6" ht="12.75">
      <c r="A3258">
        <v>5317895</v>
      </c>
      <c r="B3258">
        <v>5385040</v>
      </c>
      <c r="C3258" t="s">
        <v>574</v>
      </c>
      <c r="D3258" t="s">
        <v>8</v>
      </c>
      <c r="E3258" s="2" t="str">
        <f>HYPERLINK("https://ibp.a2mac1.com/costing(costing:projects/details/8191/component/5317895)","Mechanics")</f>
        <v>Mechanics</v>
      </c>
      <c r="F3258" t="s">
        <v>4112</v>
      </c>
    </row>
    <row r="3259" spans="1:6" ht="12.75">
      <c r="A3259">
        <v>5384838</v>
      </c>
      <c r="B3259">
        <v>5384797</v>
      </c>
      <c r="C3259" t="s">
        <v>8</v>
      </c>
      <c r="D3259" t="s">
        <v>8</v>
      </c>
      <c r="E3259" s="2" t="str">
        <f>HYPERLINK("https://ibp.a2mac1.com/costing(costing:projects/details/8191/assembly/5384838)","Center Storage")</f>
        <v>Center Storage</v>
      </c>
      <c r="F3259" t="s">
        <v>4061</v>
      </c>
    </row>
    <row r="3260" spans="1:6" ht="12.75">
      <c r="A3260">
        <v>5384911</v>
      </c>
      <c r="B3260">
        <v>5384838</v>
      </c>
      <c r="C3260" t="s">
        <v>12</v>
      </c>
      <c r="D3260" t="s">
        <v>8</v>
      </c>
      <c r="E3260" s="2" t="str">
        <f>HYPERLINK("https://ibp.a2mac1.com/costing(costing:projects/details/8191/part/5384911)","Tray")</f>
        <v>Tray</v>
      </c>
      <c r="F3260" t="s">
        <v>4117</v>
      </c>
    </row>
    <row r="3261" spans="1:6" ht="12.75">
      <c r="A3261">
        <v>6973957</v>
      </c>
      <c r="B3261">
        <v>5384911</v>
      </c>
      <c r="C3261" t="s">
        <v>99</v>
      </c>
      <c r="D3261" t="s">
        <v>12</v>
      </c>
      <c r="E3261" s="2" t="str">
        <f>HYPERLINK("https://ibp.a2mac1.com/costing(costing:projects/details/8191/process/6973957)","Injection molding")</f>
        <v>Injection molding</v>
      </c>
      <c r="F3261" t="s">
        <v>4118</v>
      </c>
    </row>
    <row r="3262" spans="1:6" ht="12.75">
      <c r="A3262">
        <v>5317896</v>
      </c>
      <c r="B3262">
        <v>6973957</v>
      </c>
      <c r="C3262" t="s">
        <v>24</v>
      </c>
      <c r="D3262" t="s">
        <v>99</v>
      </c>
      <c r="E3262" s="2" t="str">
        <f>HYPERLINK("https://ibp.a2mac1.com/costing(costing:projects/details/8191/material/5317896)","PP")</f>
        <v>PP</v>
      </c>
      <c r="F3262" t="s">
        <v>4121</v>
      </c>
    </row>
    <row r="3263" spans="1:6" ht="12.75">
      <c r="A3263">
        <v>6946514</v>
      </c>
      <c r="B3263">
        <v>6973957</v>
      </c>
      <c r="C3263" t="s">
        <v>189</v>
      </c>
      <c r="D3263" t="s">
        <v>99</v>
      </c>
      <c r="E3263" s="2" t="str">
        <f>HYPERLINK("https://ibp.a2mac1.com/costing(costing:projects/details/8191/equipment/6946514)","No.06 - Injection Press - 200T - 45kW - 510x510 - Max Volume 624cm3 ")</f>
        <v xml:space="preserve">No.06 - Injection Press - 200T - 45kW - 510x510 - Max Volume 624cm3 </v>
      </c>
      <c r="F3263" t="s">
        <v>4121</v>
      </c>
    </row>
    <row r="3264" spans="1:6" ht="12.75">
      <c r="A3264">
        <v>5384912</v>
      </c>
      <c r="B3264">
        <v>5384838</v>
      </c>
      <c r="C3264" t="s">
        <v>12</v>
      </c>
      <c r="D3264" t="s">
        <v>8</v>
      </c>
      <c r="E3264" s="2" t="str">
        <f>HYPERLINK("https://ibp.a2mac1.com/costing(costing:projects/details/8191/part/5384912)","Support")</f>
        <v>Support</v>
      </c>
      <c r="F3264" t="s">
        <v>4117</v>
      </c>
    </row>
    <row r="3265" spans="1:6" ht="12.75">
      <c r="A3265">
        <v>6973958</v>
      </c>
      <c r="B3265">
        <v>5384912</v>
      </c>
      <c r="C3265" t="s">
        <v>99</v>
      </c>
      <c r="D3265" t="s">
        <v>12</v>
      </c>
      <c r="E3265" s="2" t="str">
        <f>HYPERLINK("https://ibp.a2mac1.com/costing(costing:projects/details/8191/process/6973958)","Automated Process")</f>
        <v>Automated Process</v>
      </c>
      <c r="F3265" t="s">
        <v>4125</v>
      </c>
    </row>
    <row r="3266" spans="1:6" ht="12.75">
      <c r="A3266">
        <v>5317897</v>
      </c>
      <c r="B3266">
        <v>6973958</v>
      </c>
      <c r="C3266" t="s">
        <v>24</v>
      </c>
      <c r="D3266" t="s">
        <v>99</v>
      </c>
      <c r="E3266" s="2" t="str">
        <f>HYPERLINK("https://ibp.a2mac1.com/costing(costing:projects/details/8191/material/5317897)","PC-ABS")</f>
        <v>PC-ABS</v>
      </c>
      <c r="F3266" t="s">
        <v>4128</v>
      </c>
    </row>
    <row r="3267" spans="1:6" ht="12.75">
      <c r="A3267">
        <v>6946515</v>
      </c>
      <c r="B3267">
        <v>6973958</v>
      </c>
      <c r="C3267" t="s">
        <v>189</v>
      </c>
      <c r="D3267" t="s">
        <v>99</v>
      </c>
      <c r="E3267" s="2" t="str">
        <f>HYPERLINK("https://ibp.a2mac1.com/costing(costing:projects/details/8191/equipment/6946515)","Equipment (Injection Molding)")</f>
        <v>Equipment (Injection Molding)</v>
      </c>
      <c r="F3267" t="s">
        <v>4128</v>
      </c>
    </row>
    <row r="3268" spans="1:6" ht="12.75">
      <c r="A3268">
        <v>5384913</v>
      </c>
      <c r="B3268">
        <v>5384838</v>
      </c>
      <c r="C3268" t="s">
        <v>12</v>
      </c>
      <c r="D3268" t="s">
        <v>8</v>
      </c>
      <c r="E3268" s="2" t="str">
        <f>HYPERLINK("https://ibp.a2mac1.com/costing(costing:projects/details/8191/part/5384913)","2nd Support")</f>
        <v>2nd Support</v>
      </c>
      <c r="F3268" t="s">
        <v>4117</v>
      </c>
    </row>
    <row r="3269" spans="1:6" ht="12.75">
      <c r="A3269">
        <v>6973959</v>
      </c>
      <c r="B3269">
        <v>5384913</v>
      </c>
      <c r="C3269" t="s">
        <v>99</v>
      </c>
      <c r="D3269" t="s">
        <v>12</v>
      </c>
      <c r="E3269" s="2" t="str">
        <f>HYPERLINK("https://ibp.a2mac1.com/costing(costing:projects/details/8191/process/6973959)","Automated Process")</f>
        <v>Automated Process</v>
      </c>
      <c r="F3269" t="s">
        <v>4130</v>
      </c>
    </row>
    <row r="3270" spans="1:6" ht="12.75">
      <c r="A3270">
        <v>5317898</v>
      </c>
      <c r="B3270">
        <v>6973959</v>
      </c>
      <c r="C3270" t="s">
        <v>24</v>
      </c>
      <c r="D3270" t="s">
        <v>99</v>
      </c>
      <c r="E3270" s="2" t="str">
        <f>HYPERLINK("https://ibp.a2mac1.com/costing(costing:projects/details/8191/material/5317898)","PC-ABS")</f>
        <v>PC-ABS</v>
      </c>
      <c r="F3270" t="s">
        <v>4131</v>
      </c>
    </row>
    <row r="3271" spans="1:6" ht="12.75">
      <c r="A3271">
        <v>6946516</v>
      </c>
      <c r="B3271">
        <v>6973959</v>
      </c>
      <c r="C3271" t="s">
        <v>189</v>
      </c>
      <c r="D3271" t="s">
        <v>99</v>
      </c>
      <c r="E3271" s="2" t="str">
        <f>HYPERLINK("https://ibp.a2mac1.com/costing(costing:projects/details/8191/equipment/6946516)","Equipment (Injection Molding)")</f>
        <v>Equipment (Injection Molding)</v>
      </c>
      <c r="F3271" t="s">
        <v>4131</v>
      </c>
    </row>
    <row r="3272" spans="1:6" ht="12.75">
      <c r="A3272">
        <v>5384914</v>
      </c>
      <c r="B3272">
        <v>5384838</v>
      </c>
      <c r="C3272" t="s">
        <v>12</v>
      </c>
      <c r="D3272" t="s">
        <v>8</v>
      </c>
      <c r="E3272" s="2" t="str">
        <f>HYPERLINK("https://ibp.a2mac1.com/costing(costing:projects/details/8191/part/5384914)","Cover")</f>
        <v>Cover</v>
      </c>
      <c r="F3272" t="s">
        <v>4117</v>
      </c>
    </row>
    <row r="3273" spans="1:6" ht="12.75">
      <c r="A3273">
        <v>6973960</v>
      </c>
      <c r="B3273">
        <v>5384914</v>
      </c>
      <c r="C3273" t="s">
        <v>99</v>
      </c>
      <c r="D3273" t="s">
        <v>12</v>
      </c>
      <c r="E3273" s="2" t="str">
        <f>HYPERLINK("https://ibp.a2mac1.com/costing(costing:projects/details/8191/process/6973960)","Automated Process")</f>
        <v>Automated Process</v>
      </c>
      <c r="F3273" t="s">
        <v>4133</v>
      </c>
    </row>
    <row r="3274" spans="1:6" ht="12.75">
      <c r="A3274">
        <v>5317899</v>
      </c>
      <c r="B3274">
        <v>6973960</v>
      </c>
      <c r="C3274" t="s">
        <v>24</v>
      </c>
      <c r="D3274" t="s">
        <v>99</v>
      </c>
      <c r="E3274" s="2" t="str">
        <f>HYPERLINK("https://ibp.a2mac1.com/costing(costing:projects/details/8191/material/5317899)","PC-ABS")</f>
        <v>PC-ABS</v>
      </c>
      <c r="F3274" t="s">
        <v>4136</v>
      </c>
    </row>
    <row r="3275" spans="1:6" ht="12.75">
      <c r="A3275">
        <v>5317900</v>
      </c>
      <c r="B3275">
        <v>6973960</v>
      </c>
      <c r="C3275" t="s">
        <v>24</v>
      </c>
      <c r="D3275" t="s">
        <v>99</v>
      </c>
      <c r="E3275" s="2" t="str">
        <f>HYPERLINK("https://ibp.a2mac1.com/costing(costing:projects/details/8191/material/5317900)","TPU")</f>
        <v>TPU</v>
      </c>
      <c r="F3275" t="s">
        <v>4136</v>
      </c>
    </row>
    <row r="3276" spans="1:6" ht="12.75">
      <c r="A3276">
        <v>6946517</v>
      </c>
      <c r="B3276">
        <v>6973960</v>
      </c>
      <c r="C3276" t="s">
        <v>189</v>
      </c>
      <c r="D3276" t="s">
        <v>99</v>
      </c>
      <c r="E3276" s="2" t="str">
        <f>HYPERLINK("https://ibp.a2mac1.com/costing(costing:projects/details/8191/equipment/6946517)","Equipment (Injection Molding)")</f>
        <v>Equipment (Injection Molding)</v>
      </c>
      <c r="F3276" t="s">
        <v>4136</v>
      </c>
    </row>
    <row r="3277" spans="1:6" ht="12.75">
      <c r="A3277">
        <v>6946518</v>
      </c>
      <c r="B3277">
        <v>6973960</v>
      </c>
      <c r="C3277" t="s">
        <v>189</v>
      </c>
      <c r="D3277" t="s">
        <v>99</v>
      </c>
      <c r="E3277" s="2" t="str">
        <f>HYPERLINK("https://ibp.a2mac1.com/costing(costing:projects/details/8191/equipment/6946518)","Equipment (Injection Molding)")</f>
        <v>Equipment (Injection Molding)</v>
      </c>
      <c r="F3277" t="s">
        <v>4136</v>
      </c>
    </row>
    <row r="3278" spans="1:6" ht="12.75">
      <c r="A3278">
        <v>5384915</v>
      </c>
      <c r="B3278">
        <v>5384838</v>
      </c>
      <c r="C3278" t="s">
        <v>12</v>
      </c>
      <c r="D3278" t="s">
        <v>8</v>
      </c>
      <c r="E3278" s="2" t="str">
        <f>HYPERLINK("https://ibp.a2mac1.com/costing(costing:projects/details/8191/part/5384915)","Tracks")</f>
        <v>Tracks</v>
      </c>
      <c r="F3278" t="s">
        <v>4117</v>
      </c>
    </row>
    <row r="3279" spans="1:6" ht="12.75">
      <c r="A3279">
        <v>6973961</v>
      </c>
      <c r="B3279">
        <v>5384915</v>
      </c>
      <c r="C3279" t="s">
        <v>99</v>
      </c>
      <c r="D3279" t="s">
        <v>12</v>
      </c>
      <c r="E3279" s="2" t="str">
        <f>HYPERLINK("https://ibp.a2mac1.com/costing(costing:projects/details/8191/process/6973961)","Automated Process")</f>
        <v>Automated Process</v>
      </c>
      <c r="F3279" t="s">
        <v>4139</v>
      </c>
    </row>
    <row r="3280" spans="1:6" ht="12.75">
      <c r="A3280">
        <v>5317901</v>
      </c>
      <c r="B3280">
        <v>6973961</v>
      </c>
      <c r="C3280" t="s">
        <v>24</v>
      </c>
      <c r="D3280" t="s">
        <v>99</v>
      </c>
      <c r="E3280" s="2" t="str">
        <f>HYPERLINK("https://ibp.a2mac1.com/costing(costing:projects/details/8191/material/5317901)","PC-ABS")</f>
        <v>PC-ABS</v>
      </c>
      <c r="F3280" t="s">
        <v>4140</v>
      </c>
    </row>
    <row r="3281" spans="1:6" ht="12.75">
      <c r="A3281">
        <v>6946519</v>
      </c>
      <c r="B3281">
        <v>6973961</v>
      </c>
      <c r="C3281" t="s">
        <v>189</v>
      </c>
      <c r="D3281" t="s">
        <v>99</v>
      </c>
      <c r="E3281" s="2" t="str">
        <f>HYPERLINK("https://ibp.a2mac1.com/costing(costing:projects/details/8191/equipment/6946519)","Equipment (Injection Molding)")</f>
        <v>Equipment (Injection Molding)</v>
      </c>
      <c r="F3281" t="s">
        <v>4140</v>
      </c>
    </row>
    <row r="3282" spans="1:6" ht="12.75">
      <c r="A3282">
        <v>5384916</v>
      </c>
      <c r="B3282">
        <v>5384838</v>
      </c>
      <c r="C3282" t="s">
        <v>12</v>
      </c>
      <c r="D3282" t="s">
        <v>8</v>
      </c>
      <c r="E3282" s="2" t="str">
        <f>HYPERLINK("https://ibp.a2mac1.com/costing(costing:projects/details/8191/part/5384916)","2nd Tracks if different")</f>
        <v>2nd Tracks if different</v>
      </c>
      <c r="F3282" t="s">
        <v>4117</v>
      </c>
    </row>
    <row r="3283" spans="1:6" ht="12.75">
      <c r="A3283">
        <v>6973962</v>
      </c>
      <c r="B3283">
        <v>5384916</v>
      </c>
      <c r="C3283" t="s">
        <v>99</v>
      </c>
      <c r="D3283" t="s">
        <v>12</v>
      </c>
      <c r="E3283" s="2" t="str">
        <f>HYPERLINK("https://ibp.a2mac1.com/costing(costing:projects/details/8191/process/6973962)","Automated Process")</f>
        <v>Automated Process</v>
      </c>
      <c r="F3283" t="s">
        <v>4142</v>
      </c>
    </row>
    <row r="3284" spans="1:6" ht="12.75">
      <c r="A3284">
        <v>5317904</v>
      </c>
      <c r="B3284">
        <v>6973962</v>
      </c>
      <c r="C3284" t="s">
        <v>24</v>
      </c>
      <c r="D3284" t="s">
        <v>99</v>
      </c>
      <c r="E3284" s="2" t="str">
        <f>HYPERLINK("https://ibp.a2mac1.com/costing(costing:projects/details/8191/material/5317904)","PC-ABS")</f>
        <v>PC-ABS</v>
      </c>
      <c r="F3284" t="s">
        <v>4144</v>
      </c>
    </row>
    <row r="3285" spans="1:6" ht="12.75">
      <c r="A3285">
        <v>6946520</v>
      </c>
      <c r="B3285">
        <v>6973962</v>
      </c>
      <c r="C3285" t="s">
        <v>189</v>
      </c>
      <c r="D3285" t="s">
        <v>99</v>
      </c>
      <c r="E3285" s="2" t="str">
        <f>HYPERLINK("https://ibp.a2mac1.com/costing(costing:projects/details/8191/equipment/6946520)","Equipment (Injection Molding)")</f>
        <v>Equipment (Injection Molding)</v>
      </c>
      <c r="F3285" t="s">
        <v>4144</v>
      </c>
    </row>
    <row r="3286" spans="1:6" ht="12.75">
      <c r="A3286">
        <v>5384917</v>
      </c>
      <c r="B3286">
        <v>5384838</v>
      </c>
      <c r="C3286" t="s">
        <v>12</v>
      </c>
      <c r="D3286" t="s">
        <v>8</v>
      </c>
      <c r="E3286" s="2" t="str">
        <f>HYPERLINK("https://ibp.a2mac1.com/costing(costing:projects/details/8191/part/5384917)","Bottom of Compartment")</f>
        <v>Bottom of Compartment</v>
      </c>
      <c r="F3286" t="s">
        <v>4117</v>
      </c>
    </row>
    <row r="3287" spans="1:6" ht="12.75">
      <c r="A3287">
        <v>6973963</v>
      </c>
      <c r="B3287">
        <v>5384917</v>
      </c>
      <c r="C3287" t="s">
        <v>99</v>
      </c>
      <c r="D3287" t="s">
        <v>12</v>
      </c>
      <c r="E3287" s="2" t="str">
        <f>HYPERLINK("https://ibp.a2mac1.com/costing(costing:projects/details/8191/process/6973963)","Automated Process")</f>
        <v>Automated Process</v>
      </c>
      <c r="F3287" t="s">
        <v>4146</v>
      </c>
    </row>
    <row r="3288" spans="1:6" ht="12.75">
      <c r="A3288">
        <v>5317905</v>
      </c>
      <c r="B3288">
        <v>6973963</v>
      </c>
      <c r="C3288" t="s">
        <v>24</v>
      </c>
      <c r="D3288" t="s">
        <v>99</v>
      </c>
      <c r="E3288" s="2" t="str">
        <f>HYPERLINK("https://ibp.a2mac1.com/costing(costing:projects/details/8191/material/5317905)","TPE")</f>
        <v>TPE</v>
      </c>
      <c r="F3288" t="s">
        <v>4148</v>
      </c>
    </row>
    <row r="3289" spans="1:6" ht="12.75">
      <c r="A3289">
        <v>6946521</v>
      </c>
      <c r="B3289">
        <v>6973963</v>
      </c>
      <c r="C3289" t="s">
        <v>189</v>
      </c>
      <c r="D3289" t="s">
        <v>99</v>
      </c>
      <c r="E3289" s="2" t="str">
        <f>HYPERLINK("https://ibp.a2mac1.com/costing(costing:projects/details/8191/equipment/6946521)","Equipment (Injection Molding)")</f>
        <v>Equipment (Injection Molding)</v>
      </c>
      <c r="F3289" t="s">
        <v>4148</v>
      </c>
    </row>
    <row r="3290" spans="1:6" ht="12.75">
      <c r="A3290">
        <v>5384918</v>
      </c>
      <c r="B3290">
        <v>5384838</v>
      </c>
      <c r="C3290" t="s">
        <v>12</v>
      </c>
      <c r="D3290" t="s">
        <v>8</v>
      </c>
      <c r="E3290" s="2" t="str">
        <f>HYPERLINK("https://ibp.a2mac1.com/costing(costing:projects/details/8191/part/5384918)","Lighting")</f>
        <v>Lighting</v>
      </c>
      <c r="F3290" t="s">
        <v>4117</v>
      </c>
    </row>
    <row r="3291" spans="1:6" ht="12.75">
      <c r="A3291">
        <v>5384919</v>
      </c>
      <c r="B3291">
        <v>5384838</v>
      </c>
      <c r="C3291" t="s">
        <v>12</v>
      </c>
      <c r="D3291" t="s">
        <v>8</v>
      </c>
      <c r="E3291" s="2" t="str">
        <f>HYPERLINK("https://ibp.a2mac1.com/costing(costing:projects/details/8191/part/5384919)","Lighting Diffuser")</f>
        <v>Lighting Diffuser</v>
      </c>
      <c r="F3291" t="s">
        <v>4117</v>
      </c>
    </row>
    <row r="3292" spans="1:6" ht="12.75">
      <c r="A3292">
        <v>5384920</v>
      </c>
      <c r="B3292">
        <v>5384838</v>
      </c>
      <c r="C3292" t="s">
        <v>12</v>
      </c>
      <c r="D3292" t="s">
        <v>8</v>
      </c>
      <c r="E3292" s="2" t="str">
        <f>HYPERLINK("https://ibp.a2mac1.com/costing(costing:projects/details/8191/part/5384920)","Lighting Diffuser support")</f>
        <v>Lighting Diffuser support</v>
      </c>
      <c r="F3292" t="s">
        <v>4117</v>
      </c>
    </row>
    <row r="3293" spans="1:6" ht="12.75">
      <c r="A3293">
        <v>5384921</v>
      </c>
      <c r="B3293">
        <v>5384838</v>
      </c>
      <c r="C3293" t="s">
        <v>12</v>
      </c>
      <c r="D3293" t="s">
        <v>8</v>
      </c>
      <c r="E3293" s="2" t="str">
        <f>HYPERLINK("https://ibp.a2mac1.com/costing(costing:projects/details/8191/part/5384921)","Cover Bezel")</f>
        <v>Cover Bezel</v>
      </c>
      <c r="F3293" t="s">
        <v>4117</v>
      </c>
    </row>
    <row r="3294" spans="1:6" ht="12.75">
      <c r="A3294">
        <v>6973964</v>
      </c>
      <c r="B3294">
        <v>5384921</v>
      </c>
      <c r="C3294" t="s">
        <v>99</v>
      </c>
      <c r="D3294" t="s">
        <v>12</v>
      </c>
      <c r="E3294" s="2" t="str">
        <f>HYPERLINK("https://ibp.a2mac1.com/costing(costing:projects/details/8191/process/6973964)","Automated Process")</f>
        <v>Automated Process</v>
      </c>
      <c r="F3294" t="s">
        <v>4154</v>
      </c>
    </row>
    <row r="3295" spans="1:6" ht="12.75">
      <c r="A3295">
        <v>5317906</v>
      </c>
      <c r="B3295">
        <v>6973964</v>
      </c>
      <c r="C3295" t="s">
        <v>24</v>
      </c>
      <c r="D3295" t="s">
        <v>99</v>
      </c>
      <c r="E3295" s="2" t="str">
        <f>HYPERLINK("https://ibp.a2mac1.com/costing(costing:projects/details/8191/material/5317906)","PC-ABS")</f>
        <v>PC-ABS</v>
      </c>
      <c r="F3295" t="s">
        <v>4155</v>
      </c>
    </row>
    <row r="3296" spans="1:6" ht="12.75">
      <c r="A3296">
        <v>6946522</v>
      </c>
      <c r="B3296">
        <v>6973964</v>
      </c>
      <c r="C3296" t="s">
        <v>189</v>
      </c>
      <c r="D3296" t="s">
        <v>99</v>
      </c>
      <c r="E3296" s="2" t="str">
        <f>HYPERLINK("https://ibp.a2mac1.com/costing(costing:projects/details/8191/equipment/6946522)","Equipment (Injection Molding)")</f>
        <v>Equipment (Injection Molding)</v>
      </c>
      <c r="F3296" t="s">
        <v>4155</v>
      </c>
    </row>
    <row r="3297" spans="1:6" ht="12.75">
      <c r="A3297">
        <v>5384922</v>
      </c>
      <c r="B3297">
        <v>5384838</v>
      </c>
      <c r="C3297" t="s">
        <v>12</v>
      </c>
      <c r="D3297" t="s">
        <v>8</v>
      </c>
      <c r="E3297" s="2" t="str">
        <f>HYPERLINK("https://ibp.a2mac1.com/costing(costing:projects/details/8191/part/5384922)","Partition")</f>
        <v>Partition</v>
      </c>
      <c r="F3297" t="s">
        <v>4117</v>
      </c>
    </row>
    <row r="3298" spans="1:6" ht="12.75">
      <c r="A3298">
        <v>6973965</v>
      </c>
      <c r="B3298">
        <v>5384922</v>
      </c>
      <c r="C3298" t="s">
        <v>99</v>
      </c>
      <c r="D3298" t="s">
        <v>12</v>
      </c>
      <c r="E3298" s="2" t="str">
        <f>HYPERLINK("https://ibp.a2mac1.com/costing(costing:projects/details/8191/process/6973965)","Automated Process")</f>
        <v>Automated Process</v>
      </c>
      <c r="F3298" t="s">
        <v>4157</v>
      </c>
    </row>
    <row r="3299" spans="1:6" ht="12.75">
      <c r="A3299">
        <v>5317907</v>
      </c>
      <c r="B3299">
        <v>6973965</v>
      </c>
      <c r="C3299" t="s">
        <v>24</v>
      </c>
      <c r="D3299" t="s">
        <v>99</v>
      </c>
      <c r="E3299" s="2" t="str">
        <f>HYPERLINK("https://ibp.a2mac1.com/costing(costing:projects/details/8191/material/5317907)","PLASTIC UNKNOWN")</f>
        <v>PLASTIC UNKNOWN</v>
      </c>
      <c r="F3299" t="s">
        <v>4158</v>
      </c>
    </row>
    <row r="3300" spans="1:6" ht="12.75">
      <c r="A3300">
        <v>6946523</v>
      </c>
      <c r="B3300">
        <v>6973965</v>
      </c>
      <c r="C3300" t="s">
        <v>189</v>
      </c>
      <c r="D3300" t="s">
        <v>99</v>
      </c>
      <c r="E3300" s="2" t="str">
        <f>HYPERLINK("https://ibp.a2mac1.com/costing(costing:projects/details/8191/equipment/6946523)","Equipment (Injection Molding)")</f>
        <v>Equipment (Injection Molding)</v>
      </c>
      <c r="F3300" t="s">
        <v>4158</v>
      </c>
    </row>
    <row r="3301" spans="1:6" ht="12.75">
      <c r="A3301">
        <v>5384923</v>
      </c>
      <c r="B3301">
        <v>5384838</v>
      </c>
      <c r="C3301" t="s">
        <v>12</v>
      </c>
      <c r="D3301" t="s">
        <v>8</v>
      </c>
      <c r="E3301" s="2" t="str">
        <f>HYPERLINK("https://ibp.a2mac1.com/costing(costing:projects/details/8191/part/5384923)","Partition Bezel")</f>
        <v>Partition Bezel</v>
      </c>
      <c r="F3301" t="s">
        <v>4117</v>
      </c>
    </row>
    <row r="3302" spans="1:6" ht="12.75">
      <c r="A3302">
        <v>6973966</v>
      </c>
      <c r="B3302">
        <v>5384923</v>
      </c>
      <c r="C3302" t="s">
        <v>99</v>
      </c>
      <c r="D3302" t="s">
        <v>12</v>
      </c>
      <c r="E3302" s="2" t="str">
        <f>HYPERLINK("https://ibp.a2mac1.com/costing(costing:projects/details/8191/process/6973966)","Automated Process")</f>
        <v>Automated Process</v>
      </c>
      <c r="F3302" t="s">
        <v>4160</v>
      </c>
    </row>
    <row r="3303" spans="1:6" ht="12.75">
      <c r="A3303">
        <v>5317908</v>
      </c>
      <c r="B3303">
        <v>6973966</v>
      </c>
      <c r="C3303" t="s">
        <v>24</v>
      </c>
      <c r="D3303" t="s">
        <v>99</v>
      </c>
      <c r="E3303" s="2" t="str">
        <f>HYPERLINK("https://ibp.a2mac1.com/costing(costing:projects/details/8191/material/5317908)","PC-ABS")</f>
        <v>PC-ABS</v>
      </c>
      <c r="F3303" t="s">
        <v>4163</v>
      </c>
    </row>
    <row r="3304" spans="1:6" ht="12.75">
      <c r="A3304">
        <v>6946524</v>
      </c>
      <c r="B3304">
        <v>6973966</v>
      </c>
      <c r="C3304" t="s">
        <v>189</v>
      </c>
      <c r="D3304" t="s">
        <v>99</v>
      </c>
      <c r="E3304" s="2" t="str">
        <f>HYPERLINK("https://ibp.a2mac1.com/costing(costing:projects/details/8191/equipment/6946524)","Equipment (Injection Molding)")</f>
        <v>Equipment (Injection Molding)</v>
      </c>
      <c r="F3304" t="s">
        <v>4163</v>
      </c>
    </row>
    <row r="3305" spans="1:6" ht="12.75">
      <c r="A3305">
        <v>5384924</v>
      </c>
      <c r="B3305">
        <v>5384838</v>
      </c>
      <c r="C3305" t="s">
        <v>12</v>
      </c>
      <c r="D3305" t="s">
        <v>8</v>
      </c>
      <c r="E3305" s="2" t="str">
        <f>HYPERLINK("https://ibp.a2mac1.com/costing(costing:projects/details/8191/part/5384924)","Latch Anchor")</f>
        <v>Latch Anchor</v>
      </c>
      <c r="F3305" t="s">
        <v>4117</v>
      </c>
    </row>
    <row r="3306" spans="1:6" ht="12.75">
      <c r="A3306">
        <v>6973967</v>
      </c>
      <c r="B3306">
        <v>5384924</v>
      </c>
      <c r="C3306" t="s">
        <v>99</v>
      </c>
      <c r="D3306" t="s">
        <v>12</v>
      </c>
      <c r="E3306" s="2" t="str">
        <f>HYPERLINK("https://ibp.a2mac1.com/costing(costing:projects/details/8191/process/6973967)","Automated Process")</f>
        <v>Automated Process</v>
      </c>
      <c r="F3306" t="s">
        <v>4165</v>
      </c>
    </row>
    <row r="3307" spans="1:6" ht="12.75">
      <c r="A3307">
        <v>5317909</v>
      </c>
      <c r="B3307">
        <v>6973967</v>
      </c>
      <c r="C3307" t="s">
        <v>24</v>
      </c>
      <c r="D3307" t="s">
        <v>99</v>
      </c>
      <c r="E3307" s="2" t="str">
        <f>HYPERLINK("https://ibp.a2mac1.com/costing(costing:projects/details/8191/material/5317909)","Aluminum sheet (default, e.g. EN AW1050A)")</f>
        <v>Aluminum sheet (default, e.g. EN AW1050A)</v>
      </c>
      <c r="F3307" t="s">
        <v>4168</v>
      </c>
    </row>
    <row r="3308" spans="1:6" ht="12.75">
      <c r="A3308">
        <v>6946525</v>
      </c>
      <c r="B3308">
        <v>6973967</v>
      </c>
      <c r="C3308" t="s">
        <v>189</v>
      </c>
      <c r="D3308" t="s">
        <v>99</v>
      </c>
      <c r="E3308" s="2" t="str">
        <f>HYPERLINK("https://ibp.a2mac1.com/costing(costing:projects/details/8191/equipment/6946525)","Equipment (Stamping)")</f>
        <v>Equipment (Stamping)</v>
      </c>
      <c r="F3308" t="s">
        <v>4168</v>
      </c>
    </row>
    <row r="3309" spans="1:6" ht="12.75">
      <c r="A3309">
        <v>5317762</v>
      </c>
      <c r="B3309">
        <v>5384838</v>
      </c>
      <c r="C3309" t="s">
        <v>574</v>
      </c>
      <c r="D3309" t="s">
        <v>8</v>
      </c>
      <c r="E3309" s="2" t="str">
        <f>HYPERLINK("https://ibp.a2mac1.com/costing(costing:projects/details/8191/component/5317762)","Panel holder &gt; Clips in rectangular hole")</f>
        <v>Panel holder &gt; Clips in rectangular hole</v>
      </c>
      <c r="F3309" t="s">
        <v>4117</v>
      </c>
    </row>
    <row r="3310" spans="1:6" ht="12.75">
      <c r="A3310">
        <v>5317763</v>
      </c>
      <c r="B3310">
        <v>5384838</v>
      </c>
      <c r="C3310" t="s">
        <v>574</v>
      </c>
      <c r="D3310" t="s">
        <v>8</v>
      </c>
      <c r="E3310" s="2" t="str">
        <f>HYPERLINK("https://ibp.a2mac1.com/costing(costing:projects/details/8191/component/5317763)","Screw &gt; Torx socket head cap screw with flange")</f>
        <v>Screw &gt; Torx socket head cap screw with flange</v>
      </c>
      <c r="F3310" t="s">
        <v>4117</v>
      </c>
    </row>
    <row r="3311" spans="1:6" ht="12.75">
      <c r="A3311">
        <v>5384839</v>
      </c>
      <c r="B3311">
        <v>5384797</v>
      </c>
      <c r="C3311" t="s">
        <v>8</v>
      </c>
      <c r="D3311" t="s">
        <v>8</v>
      </c>
      <c r="E3311" s="2" t="str">
        <f>HYPERLINK("https://ibp.a2mac1.com/costing(costing:projects/details/8191/assembly/5384839)","Air Vent System")</f>
        <v>Air Vent System</v>
      </c>
      <c r="F3311" t="s">
        <v>4061</v>
      </c>
    </row>
    <row r="3312" spans="1:6" ht="12.75">
      <c r="A3312">
        <v>5384925</v>
      </c>
      <c r="B3312">
        <v>5384839</v>
      </c>
      <c r="C3312" t="s">
        <v>12</v>
      </c>
      <c r="D3312" t="s">
        <v>8</v>
      </c>
      <c r="E3312" s="2" t="str">
        <f>HYPERLINK("https://ibp.a2mac1.com/costing(costing:projects/details/8191/part/5384925)","Air Vent")</f>
        <v>Air Vent</v>
      </c>
      <c r="F3312" t="s">
        <v>4171</v>
      </c>
    </row>
    <row r="3313" spans="1:6" ht="12.75">
      <c r="A3313">
        <v>6973968</v>
      </c>
      <c r="B3313">
        <v>5384925</v>
      </c>
      <c r="C3313" t="s">
        <v>99</v>
      </c>
      <c r="D3313" t="s">
        <v>12</v>
      </c>
      <c r="E3313" s="2" t="str">
        <f>HYPERLINK("https://ibp.a2mac1.com/costing(costing:projects/details/8191/process/6973968)","Automated Process [2]")</f>
        <v>Automated Process [2]</v>
      </c>
      <c r="F3313" t="s">
        <v>4172</v>
      </c>
    </row>
    <row r="3314" spans="1:6" ht="12.75">
      <c r="A3314">
        <v>5317910</v>
      </c>
      <c r="B3314">
        <v>6973968</v>
      </c>
      <c r="C3314" t="s">
        <v>24</v>
      </c>
      <c r="D3314" t="s">
        <v>99</v>
      </c>
      <c r="E3314" s="2" t="str">
        <f>HYPERLINK("https://ibp.a2mac1.com/costing(costing:projects/details/8191/material/5317910)","Material")</f>
        <v>Material</v>
      </c>
      <c r="F3314" t="s">
        <v>4173</v>
      </c>
    </row>
    <row r="3315" spans="1:6" ht="12.75">
      <c r="A3315">
        <v>6946526</v>
      </c>
      <c r="B3315">
        <v>6973968</v>
      </c>
      <c r="C3315" t="s">
        <v>189</v>
      </c>
      <c r="D3315" t="s">
        <v>99</v>
      </c>
      <c r="E3315" s="2" t="str">
        <f>HYPERLINK("https://ibp.a2mac1.com/costing(costing:projects/details/8191/equipment/6946526)","DC machine - General")</f>
        <v>DC machine - General</v>
      </c>
      <c r="F3315" t="s">
        <v>4173</v>
      </c>
    </row>
    <row r="3316" spans="1:6" ht="12.75">
      <c r="A3316">
        <v>5384926</v>
      </c>
      <c r="B3316">
        <v>5384839</v>
      </c>
      <c r="C3316" t="s">
        <v>12</v>
      </c>
      <c r="D3316" t="s">
        <v>8</v>
      </c>
      <c r="E3316" s="2" t="str">
        <f>HYPERLINK("https://ibp.a2mac1.com/costing(costing:projects/details/8191/part/5384926)","Air Vent Support")</f>
        <v>Air Vent Support</v>
      </c>
      <c r="F3316" t="s">
        <v>4171</v>
      </c>
    </row>
    <row r="3317" spans="1:6" ht="12.75">
      <c r="A3317">
        <v>6973969</v>
      </c>
      <c r="B3317">
        <v>5384926</v>
      </c>
      <c r="C3317" t="s">
        <v>99</v>
      </c>
      <c r="D3317" t="s">
        <v>12</v>
      </c>
      <c r="E3317" s="2" t="str">
        <f>HYPERLINK("https://ibp.a2mac1.com/costing(costing:projects/details/8191/process/6973969)","Automated Process")</f>
        <v>Automated Process</v>
      </c>
      <c r="F3317" t="s">
        <v>4175</v>
      </c>
    </row>
    <row r="3318" spans="1:6" ht="12.75">
      <c r="A3318">
        <v>5317911</v>
      </c>
      <c r="B3318">
        <v>6973969</v>
      </c>
      <c r="C3318" t="s">
        <v>24</v>
      </c>
      <c r="D3318" t="s">
        <v>99</v>
      </c>
      <c r="E3318" s="2" t="str">
        <f>HYPERLINK("https://ibp.a2mac1.com/costing(costing:projects/details/8191/material/5317911)","PC-ABS")</f>
        <v>PC-ABS</v>
      </c>
      <c r="F3318" t="s">
        <v>4177</v>
      </c>
    </row>
    <row r="3319" spans="1:6" ht="12.75">
      <c r="A3319">
        <v>6946527</v>
      </c>
      <c r="B3319">
        <v>6973969</v>
      </c>
      <c r="C3319" t="s">
        <v>189</v>
      </c>
      <c r="D3319" t="s">
        <v>99</v>
      </c>
      <c r="E3319" s="2" t="str">
        <f>HYPERLINK("https://ibp.a2mac1.com/costing(costing:projects/details/8191/equipment/6946527)","Equipment (Injection Molding)")</f>
        <v>Equipment (Injection Molding)</v>
      </c>
      <c r="F3319" t="s">
        <v>4177</v>
      </c>
    </row>
    <row r="3320" spans="1:6" ht="12.75">
      <c r="A3320">
        <v>5384927</v>
      </c>
      <c r="B3320">
        <v>5384839</v>
      </c>
      <c r="C3320" t="s">
        <v>12</v>
      </c>
      <c r="D3320" t="s">
        <v>8</v>
      </c>
      <c r="E3320" s="2" t="str">
        <f>HYPERLINK("https://ibp.a2mac1.com/costing(costing:projects/details/8191/part/5384927)","Air Vent Trim")</f>
        <v>Air Vent Trim</v>
      </c>
      <c r="F3320" t="s">
        <v>4171</v>
      </c>
    </row>
    <row r="3321" spans="1:6" ht="12.75">
      <c r="A3321">
        <v>6973970</v>
      </c>
      <c r="B3321">
        <v>5384927</v>
      </c>
      <c r="C3321" t="s">
        <v>99</v>
      </c>
      <c r="D3321" t="s">
        <v>12</v>
      </c>
      <c r="E3321" s="2" t="str">
        <f>HYPERLINK("https://ibp.a2mac1.com/costing(costing:projects/details/8191/process/6973970)","Automated Process")</f>
        <v>Automated Process</v>
      </c>
      <c r="F3321" t="s">
        <v>4179</v>
      </c>
    </row>
    <row r="3322" spans="1:6" ht="12.75">
      <c r="A3322">
        <v>5317912</v>
      </c>
      <c r="B3322">
        <v>6973970</v>
      </c>
      <c r="C3322" t="s">
        <v>24</v>
      </c>
      <c r="D3322" t="s">
        <v>99</v>
      </c>
      <c r="E3322" s="2" t="str">
        <f>HYPERLINK("https://ibp.a2mac1.com/costing(costing:projects/details/8191/material/5317912)","PC-ABS")</f>
        <v>PC-ABS</v>
      </c>
      <c r="F3322" t="s">
        <v>4181</v>
      </c>
    </row>
    <row r="3323" spans="1:6" ht="12.75">
      <c r="A3323">
        <v>6946528</v>
      </c>
      <c r="B3323">
        <v>6973970</v>
      </c>
      <c r="C3323" t="s">
        <v>189</v>
      </c>
      <c r="D3323" t="s">
        <v>99</v>
      </c>
      <c r="E3323" s="2" t="str">
        <f>HYPERLINK("https://ibp.a2mac1.com/costing(costing:projects/details/8191/equipment/6946528)","Equipment (Injection Molding)")</f>
        <v>Equipment (Injection Molding)</v>
      </c>
      <c r="F3323" t="s">
        <v>4181</v>
      </c>
    </row>
    <row r="3324" spans="1:6" ht="12.75">
      <c r="A3324">
        <v>6973971</v>
      </c>
      <c r="B3324">
        <v>5384927</v>
      </c>
      <c r="C3324" t="s">
        <v>99</v>
      </c>
      <c r="D3324" t="s">
        <v>12</v>
      </c>
      <c r="E3324" s="2" t="str">
        <f>HYPERLINK("https://ibp.a2mac1.com/costing(costing:projects/details/8191/process/6973971)","Painting")</f>
        <v>Painting</v>
      </c>
      <c r="F3324" t="s">
        <v>4179</v>
      </c>
    </row>
    <row r="3325" spans="1:6" ht="12.75">
      <c r="A3325">
        <v>5317913</v>
      </c>
      <c r="B3325">
        <v>6973971</v>
      </c>
      <c r="C3325" t="s">
        <v>24</v>
      </c>
      <c r="D3325" t="s">
        <v>99</v>
      </c>
      <c r="E3325" s="2" t="str">
        <f>HYPERLINK("https://ibp.a2mac1.com/costing(costing:projects/details/8191/material/5317913)","Paint - Clear Coat")</f>
        <v>Paint - Clear Coat</v>
      </c>
      <c r="F3325" t="s">
        <v>4183</v>
      </c>
    </row>
    <row r="3326" spans="1:6" ht="12.75">
      <c r="A3326">
        <v>5317914</v>
      </c>
      <c r="B3326">
        <v>6973971</v>
      </c>
      <c r="C3326" t="s">
        <v>24</v>
      </c>
      <c r="D3326" t="s">
        <v>99</v>
      </c>
      <c r="E3326" s="2" t="str">
        <f>HYPERLINK("https://ibp.a2mac1.com/costing(costing:projects/details/8191/material/5317914)","Paint - Primer")</f>
        <v>Paint - Primer</v>
      </c>
      <c r="F3326" t="s">
        <v>4183</v>
      </c>
    </row>
    <row r="3327" spans="1:6" ht="12.75">
      <c r="A3327">
        <v>5317915</v>
      </c>
      <c r="B3327">
        <v>6973971</v>
      </c>
      <c r="C3327" t="s">
        <v>24</v>
      </c>
      <c r="D3327" t="s">
        <v>99</v>
      </c>
      <c r="E3327" s="2" t="str">
        <f>HYPERLINK("https://ibp.a2mac1.com/costing(costing:projects/details/8191/material/5317915)","Paint - Base")</f>
        <v>Paint - Base</v>
      </c>
      <c r="F3327" t="s">
        <v>4183</v>
      </c>
    </row>
    <row r="3328" spans="1:6" ht="12.75">
      <c r="A3328">
        <v>6946529</v>
      </c>
      <c r="B3328">
        <v>6973971</v>
      </c>
      <c r="C3328" t="s">
        <v>189</v>
      </c>
      <c r="D3328" t="s">
        <v>99</v>
      </c>
      <c r="E3328" s="2" t="str">
        <f>HYPERLINK("https://ibp.a2mac1.com/costing(costing:projects/details/8191/equipment/6946529)","No.01 - 25000x3000x3000 - Automatic Painting Line - with 12x10kW on line ovens ")</f>
        <v xml:space="preserve">No.01 - 25000x3000x3000 - Automatic Painting Line - with 12x10kW on line ovens </v>
      </c>
      <c r="F3328" t="s">
        <v>4183</v>
      </c>
    </row>
    <row r="3329" spans="1:6" ht="12.75">
      <c r="A3329">
        <v>6946530</v>
      </c>
      <c r="B3329">
        <v>6973971</v>
      </c>
      <c r="C3329" t="s">
        <v>189</v>
      </c>
      <c r="D3329" t="s">
        <v>99</v>
      </c>
      <c r="E3329" s="2" t="str">
        <f>HYPERLINK("https://ibp.a2mac1.com/costing(costing:projects/details/8191/equipment/6946530)","Loading + Unloading + Retouching + Checking")</f>
        <v>Loading + Unloading + Retouching + Checking</v>
      </c>
      <c r="F3329" t="s">
        <v>4183</v>
      </c>
    </row>
    <row r="3330" spans="1:6" ht="12.75">
      <c r="A3330">
        <v>6946531</v>
      </c>
      <c r="B3330">
        <v>6973971</v>
      </c>
      <c r="C3330" t="s">
        <v>189</v>
      </c>
      <c r="D3330" t="s">
        <v>99</v>
      </c>
      <c r="E3330" s="2" t="str">
        <f>HYPERLINK("https://ibp.a2mac1.com/costing(costing:projects/details/8191/equipment/6946531)","Masking (If Appl.)")</f>
        <v>Masking (If Appl.)</v>
      </c>
      <c r="F3330" t="s">
        <v>4183</v>
      </c>
    </row>
    <row r="3331" spans="1:6" ht="12.75">
      <c r="A3331">
        <v>5317764</v>
      </c>
      <c r="B3331">
        <v>5384839</v>
      </c>
      <c r="C3331" t="s">
        <v>574</v>
      </c>
      <c r="D3331" t="s">
        <v>8</v>
      </c>
      <c r="E3331" s="2" t="str">
        <f>HYPERLINK("https://ibp.a2mac1.com/costing(costing:projects/details/8191/component/5317764)","Panel holder &gt; Clips in rectangular hole")</f>
        <v>Panel holder &gt; Clips in rectangular hole</v>
      </c>
      <c r="F3331" t="s">
        <v>4171</v>
      </c>
    </row>
    <row r="3332" spans="1:6" ht="12.75">
      <c r="A3332">
        <v>5317765</v>
      </c>
      <c r="B3332">
        <v>5384839</v>
      </c>
      <c r="C3332" t="s">
        <v>574</v>
      </c>
      <c r="D3332" t="s">
        <v>8</v>
      </c>
      <c r="E3332" s="2" t="str">
        <f>HYPERLINK("https://ibp.a2mac1.com/costing(costing:projects/details/8191/component/5317765)","Panel holder &gt; Clips in rectangular hole")</f>
        <v>Panel holder &gt; Clips in rectangular hole</v>
      </c>
      <c r="F3332" t="s">
        <v>4171</v>
      </c>
    </row>
    <row r="3333" spans="1:6" ht="12.75">
      <c r="A3333">
        <v>5384840</v>
      </c>
      <c r="B3333">
        <v>5384797</v>
      </c>
      <c r="C3333" t="s">
        <v>8</v>
      </c>
      <c r="D3333" t="s">
        <v>8</v>
      </c>
      <c r="E3333" s="2" t="str">
        <f>HYPERLINK("https://ibp.a2mac1.com/costing(costing:projects/details/8191/assembly/5384840)","Cup Holder")</f>
        <v>Cup Holder</v>
      </c>
      <c r="F3333" t="s">
        <v>4061</v>
      </c>
    </row>
    <row r="3334" spans="1:6" ht="12.75">
      <c r="A3334">
        <v>5384928</v>
      </c>
      <c r="B3334">
        <v>5384840</v>
      </c>
      <c r="C3334" t="s">
        <v>8</v>
      </c>
      <c r="D3334" t="s">
        <v>8</v>
      </c>
      <c r="E3334" s="2" t="str">
        <f>HYPERLINK("https://ibp.a2mac1.com/costing(costing:projects/details/8191/assembly/5384928)","Front Cup Holder")</f>
        <v>Front Cup Holder</v>
      </c>
      <c r="F3334" t="s">
        <v>4190</v>
      </c>
    </row>
    <row r="3335" spans="1:6" ht="12.75">
      <c r="A3335">
        <v>5385041</v>
      </c>
      <c r="B3335">
        <v>5384928</v>
      </c>
      <c r="C3335" t="s">
        <v>12</v>
      </c>
      <c r="D3335" t="s">
        <v>8</v>
      </c>
      <c r="E3335" s="2" t="str">
        <f>HYPERLINK("https://ibp.a2mac1.com/costing(costing:projects/details/8191/part/5385041)","Cup Holder")</f>
        <v>Cup Holder</v>
      </c>
      <c r="F3335" t="s">
        <v>4191</v>
      </c>
    </row>
    <row r="3336" spans="1:6" ht="12.75">
      <c r="A3336">
        <v>6974021</v>
      </c>
      <c r="B3336">
        <v>5385041</v>
      </c>
      <c r="C3336" t="s">
        <v>99</v>
      </c>
      <c r="D3336" t="s">
        <v>12</v>
      </c>
      <c r="E3336" s="2" t="str">
        <f>HYPERLINK("https://ibp.a2mac1.com/costing(costing:projects/details/8191/process/6974021)","Automated Process")</f>
        <v>Automated Process</v>
      </c>
      <c r="F3336" t="s">
        <v>4192</v>
      </c>
    </row>
    <row r="3337" spans="1:6" ht="12.75">
      <c r="A3337">
        <v>5318013</v>
      </c>
      <c r="B3337">
        <v>6974021</v>
      </c>
      <c r="C3337" t="s">
        <v>24</v>
      </c>
      <c r="D3337" t="s">
        <v>99</v>
      </c>
      <c r="E3337" s="2" t="str">
        <f>HYPERLINK("https://ibp.a2mac1.com/costing(costing:projects/details/8191/material/5318013)","PC-ABS")</f>
        <v>PC-ABS</v>
      </c>
      <c r="F3337" t="s">
        <v>4194</v>
      </c>
    </row>
    <row r="3338" spans="1:6" ht="12.75">
      <c r="A3338">
        <v>6946603</v>
      </c>
      <c r="B3338">
        <v>6974021</v>
      </c>
      <c r="C3338" t="s">
        <v>189</v>
      </c>
      <c r="D3338" t="s">
        <v>99</v>
      </c>
      <c r="E3338" s="2" t="str">
        <f>HYPERLINK("https://ibp.a2mac1.com/costing(costing:projects/details/8191/equipment/6946603)","Equipment (Injection Molding)")</f>
        <v>Equipment (Injection Molding)</v>
      </c>
      <c r="F3338" t="s">
        <v>4194</v>
      </c>
    </row>
    <row r="3339" spans="1:6" ht="12.75">
      <c r="A3339">
        <v>5385042</v>
      </c>
      <c r="B3339">
        <v>5384928</v>
      </c>
      <c r="C3339" t="s">
        <v>12</v>
      </c>
      <c r="D3339" t="s">
        <v>8</v>
      </c>
      <c r="E3339" s="2" t="str">
        <f>HYPERLINK("https://ibp.a2mac1.com/costing(costing:projects/details/8191/part/5385042)","Support")</f>
        <v>Support</v>
      </c>
      <c r="F3339" t="s">
        <v>4191</v>
      </c>
    </row>
    <row r="3340" spans="1:6" ht="12.75">
      <c r="A3340">
        <v>6974022</v>
      </c>
      <c r="B3340">
        <v>5385042</v>
      </c>
      <c r="C3340" t="s">
        <v>99</v>
      </c>
      <c r="D3340" t="s">
        <v>12</v>
      </c>
      <c r="E3340" s="2" t="str">
        <f>HYPERLINK("https://ibp.a2mac1.com/costing(costing:projects/details/8191/process/6974022)","Automated Process")</f>
        <v>Automated Process</v>
      </c>
      <c r="F3340" t="s">
        <v>4197</v>
      </c>
    </row>
    <row r="3341" spans="1:6" ht="12.75">
      <c r="A3341">
        <v>5318014</v>
      </c>
      <c r="B3341">
        <v>6974022</v>
      </c>
      <c r="C3341" t="s">
        <v>24</v>
      </c>
      <c r="D3341" t="s">
        <v>99</v>
      </c>
      <c r="E3341" s="2" t="str">
        <f>HYPERLINK("https://ibp.a2mac1.com/costing(costing:projects/details/8191/material/5318014)","PC-ABS")</f>
        <v>PC-ABS</v>
      </c>
      <c r="F3341" t="s">
        <v>4200</v>
      </c>
    </row>
    <row r="3342" spans="1:6" ht="12.75">
      <c r="A3342">
        <v>6946604</v>
      </c>
      <c r="B3342">
        <v>6974022</v>
      </c>
      <c r="C3342" t="s">
        <v>189</v>
      </c>
      <c r="D3342" t="s">
        <v>99</v>
      </c>
      <c r="E3342" s="2" t="str">
        <f>HYPERLINK("https://ibp.a2mac1.com/costing(costing:projects/details/8191/equipment/6946604)","Equipment (Injection Molding)")</f>
        <v>Equipment (Injection Molding)</v>
      </c>
      <c r="F3342" t="s">
        <v>4200</v>
      </c>
    </row>
    <row r="3343" spans="1:6" ht="12.75">
      <c r="A3343">
        <v>5385043</v>
      </c>
      <c r="B3343">
        <v>5384928</v>
      </c>
      <c r="C3343" t="s">
        <v>12</v>
      </c>
      <c r="D3343" t="s">
        <v>8</v>
      </c>
      <c r="E3343" s="2" t="str">
        <f>HYPERLINK("https://ibp.a2mac1.com/costing(costing:projects/details/8191/part/5385043)","2nd Support")</f>
        <v>2nd Support</v>
      </c>
      <c r="F3343" t="s">
        <v>4191</v>
      </c>
    </row>
    <row r="3344" spans="1:6" ht="12.75">
      <c r="A3344">
        <v>6974023</v>
      </c>
      <c r="B3344">
        <v>5385043</v>
      </c>
      <c r="C3344" t="s">
        <v>99</v>
      </c>
      <c r="D3344" t="s">
        <v>12</v>
      </c>
      <c r="E3344" s="2" t="str">
        <f>HYPERLINK("https://ibp.a2mac1.com/costing(costing:projects/details/8191/process/6974023)","Automated Process")</f>
        <v>Automated Process</v>
      </c>
      <c r="F3344" t="s">
        <v>4203</v>
      </c>
    </row>
    <row r="3345" spans="1:6" ht="12.75">
      <c r="A3345">
        <v>5318015</v>
      </c>
      <c r="B3345">
        <v>6974023</v>
      </c>
      <c r="C3345" t="s">
        <v>24</v>
      </c>
      <c r="D3345" t="s">
        <v>99</v>
      </c>
      <c r="E3345" s="2" t="str">
        <f>HYPERLINK("https://ibp.a2mac1.com/costing(costing:projects/details/8191/material/5318015)","PC-ABS")</f>
        <v>PC-ABS</v>
      </c>
      <c r="F3345" t="s">
        <v>4206</v>
      </c>
    </row>
    <row r="3346" spans="1:6" ht="12.75">
      <c r="A3346">
        <v>6946605</v>
      </c>
      <c r="B3346">
        <v>6974023</v>
      </c>
      <c r="C3346" t="s">
        <v>189</v>
      </c>
      <c r="D3346" t="s">
        <v>99</v>
      </c>
      <c r="E3346" s="2" t="str">
        <f>HYPERLINK("https://ibp.a2mac1.com/costing(costing:projects/details/8191/equipment/6946605)","Equipment (Injection Molding)")</f>
        <v>Equipment (Injection Molding)</v>
      </c>
      <c r="F3346" t="s">
        <v>4206</v>
      </c>
    </row>
    <row r="3347" spans="1:6" ht="12.75">
      <c r="A3347">
        <v>5385044</v>
      </c>
      <c r="B3347">
        <v>5384928</v>
      </c>
      <c r="C3347" t="s">
        <v>12</v>
      </c>
      <c r="D3347" t="s">
        <v>8</v>
      </c>
      <c r="E3347" s="2" t="str">
        <f>HYPERLINK("https://ibp.a2mac1.com/costing(costing:projects/details/8191/part/5385044)","Mechanism")</f>
        <v>Mechanism</v>
      </c>
      <c r="F3347" t="s">
        <v>4191</v>
      </c>
    </row>
    <row r="3348" spans="1:6" ht="12.75">
      <c r="A3348">
        <v>6974024</v>
      </c>
      <c r="B3348">
        <v>5385044</v>
      </c>
      <c r="C3348" t="s">
        <v>99</v>
      </c>
      <c r="D3348" t="s">
        <v>12</v>
      </c>
      <c r="E3348" s="2" t="str">
        <f>HYPERLINK("https://ibp.a2mac1.com/costing(costing:projects/details/8191/process/6974024)","Automated Process")</f>
        <v>Automated Process</v>
      </c>
      <c r="F3348" t="s">
        <v>4208</v>
      </c>
    </row>
    <row r="3349" spans="1:6" ht="12.75">
      <c r="A3349">
        <v>5318016</v>
      </c>
      <c r="B3349">
        <v>6974024</v>
      </c>
      <c r="C3349" t="s">
        <v>24</v>
      </c>
      <c r="D3349" t="s">
        <v>99</v>
      </c>
      <c r="E3349" s="2" t="str">
        <f>HYPERLINK("https://ibp.a2mac1.com/costing(costing:projects/details/8191/material/5318016)","PC-ABS")</f>
        <v>PC-ABS</v>
      </c>
      <c r="F3349" t="s">
        <v>4209</v>
      </c>
    </row>
    <row r="3350" spans="1:6" ht="12.75">
      <c r="A3350">
        <v>6946606</v>
      </c>
      <c r="B3350">
        <v>6974024</v>
      </c>
      <c r="C3350" t="s">
        <v>189</v>
      </c>
      <c r="D3350" t="s">
        <v>99</v>
      </c>
      <c r="E3350" s="2" t="str">
        <f>HYPERLINK("https://ibp.a2mac1.com/costing(costing:projects/details/8191/equipment/6946606)","Equipment (Injection Molding)")</f>
        <v>Equipment (Injection Molding)</v>
      </c>
      <c r="F3350" t="s">
        <v>4209</v>
      </c>
    </row>
    <row r="3351" spans="1:6" ht="12.75">
      <c r="A3351">
        <v>5385045</v>
      </c>
      <c r="B3351">
        <v>5384928</v>
      </c>
      <c r="C3351" t="s">
        <v>12</v>
      </c>
      <c r="D3351" t="s">
        <v>8</v>
      </c>
      <c r="E3351" s="2" t="str">
        <f>HYPERLINK("https://ibp.a2mac1.com/costing(costing:projects/details/8191/part/5385045)","Bottom of Compartment")</f>
        <v>Bottom of Compartment</v>
      </c>
      <c r="F3351" t="s">
        <v>4191</v>
      </c>
    </row>
    <row r="3352" spans="1:6" ht="12.75">
      <c r="A3352">
        <v>6974025</v>
      </c>
      <c r="B3352">
        <v>5385045</v>
      </c>
      <c r="C3352" t="s">
        <v>99</v>
      </c>
      <c r="D3352" t="s">
        <v>12</v>
      </c>
      <c r="E3352" s="2" t="str">
        <f>HYPERLINK("https://ibp.a2mac1.com/costing(costing:projects/details/8191/process/6974025)","Automated Process")</f>
        <v>Automated Process</v>
      </c>
      <c r="F3352" t="s">
        <v>4211</v>
      </c>
    </row>
    <row r="3353" spans="1:6" ht="12.75">
      <c r="A3353">
        <v>5318017</v>
      </c>
      <c r="B3353">
        <v>6974025</v>
      </c>
      <c r="C3353" t="s">
        <v>24</v>
      </c>
      <c r="D3353" t="s">
        <v>99</v>
      </c>
      <c r="E3353" s="2" t="str">
        <f>HYPERLINK("https://ibp.a2mac1.com/costing(costing:projects/details/8191/material/5318017)","TPE")</f>
        <v>TPE</v>
      </c>
      <c r="F3353" t="s">
        <v>4214</v>
      </c>
    </row>
    <row r="3354" spans="1:6" ht="12.75">
      <c r="A3354">
        <v>6946607</v>
      </c>
      <c r="B3354">
        <v>6974025</v>
      </c>
      <c r="C3354" t="s">
        <v>189</v>
      </c>
      <c r="D3354" t="s">
        <v>99</v>
      </c>
      <c r="E3354" s="2" t="str">
        <f>HYPERLINK("https://ibp.a2mac1.com/costing(costing:projects/details/8191/equipment/6946607)","Equipment (Injection Molding)")</f>
        <v>Equipment (Injection Molding)</v>
      </c>
      <c r="F3354" t="s">
        <v>4214</v>
      </c>
    </row>
    <row r="3355" spans="1:6" ht="12.75">
      <c r="A3355">
        <v>5385046</v>
      </c>
      <c r="B3355">
        <v>5384928</v>
      </c>
      <c r="C3355" t="s">
        <v>12</v>
      </c>
      <c r="D3355" t="s">
        <v>8</v>
      </c>
      <c r="E3355" s="2" t="str">
        <f>HYPERLINK("https://ibp.a2mac1.com/costing(costing:projects/details/8191/part/5385046)","Latch Anchor")</f>
        <v>Latch Anchor</v>
      </c>
      <c r="F3355" t="s">
        <v>4191</v>
      </c>
    </row>
    <row r="3356" spans="1:6" ht="12.75">
      <c r="A3356">
        <v>6974026</v>
      </c>
      <c r="B3356">
        <v>5385046</v>
      </c>
      <c r="C3356" t="s">
        <v>99</v>
      </c>
      <c r="D3356" t="s">
        <v>12</v>
      </c>
      <c r="E3356" s="2" t="str">
        <f>HYPERLINK("https://ibp.a2mac1.com/costing(costing:projects/details/8191/process/6974026)","Automated Process")</f>
        <v>Automated Process</v>
      </c>
      <c r="F3356" t="s">
        <v>4216</v>
      </c>
    </row>
    <row r="3357" spans="1:6" ht="12.75">
      <c r="A3357">
        <v>5318018</v>
      </c>
      <c r="B3357">
        <v>6974026</v>
      </c>
      <c r="C3357" t="s">
        <v>24</v>
      </c>
      <c r="D3357" t="s">
        <v>99</v>
      </c>
      <c r="E3357" s="2" t="str">
        <f>HYPERLINK("https://ibp.a2mac1.com/costing(costing:projects/details/8191/material/5318018)","PC-ABS")</f>
        <v>PC-ABS</v>
      </c>
      <c r="F3357" t="s">
        <v>4217</v>
      </c>
    </row>
    <row r="3358" spans="1:6" ht="12.75">
      <c r="A3358">
        <v>6946608</v>
      </c>
      <c r="B3358">
        <v>6974026</v>
      </c>
      <c r="C3358" t="s">
        <v>189</v>
      </c>
      <c r="D3358" t="s">
        <v>99</v>
      </c>
      <c r="E3358" s="2" t="str">
        <f>HYPERLINK("https://ibp.a2mac1.com/costing(costing:projects/details/8191/equipment/6946608)","Equipment (Injection Molding)")</f>
        <v>Equipment (Injection Molding)</v>
      </c>
      <c r="F3358" t="s">
        <v>4217</v>
      </c>
    </row>
    <row r="3359" spans="1:6" ht="12.75">
      <c r="A3359">
        <v>5317820</v>
      </c>
      <c r="B3359">
        <v>5384928</v>
      </c>
      <c r="C3359" t="s">
        <v>574</v>
      </c>
      <c r="D3359" t="s">
        <v>8</v>
      </c>
      <c r="E3359" s="2" t="str">
        <f>HYPERLINK("https://ibp.a2mac1.com/costing(costing:projects/details/8191/component/5317820)","Panel holder &gt; Clips in rectangular hole")</f>
        <v>Panel holder &gt; Clips in rectangular hole</v>
      </c>
      <c r="F3359" t="s">
        <v>4191</v>
      </c>
    </row>
    <row r="3360" spans="1:6" ht="12.75">
      <c r="A3360">
        <v>5384841</v>
      </c>
      <c r="B3360">
        <v>5384797</v>
      </c>
      <c r="C3360" t="s">
        <v>8</v>
      </c>
      <c r="D3360" t="s">
        <v>8</v>
      </c>
      <c r="E3360" s="2" t="str">
        <f>HYPERLINK("https://ibp.a2mac1.com/costing(costing:projects/details/8191/assembly/5384841)","Phone System Support")</f>
        <v>Phone System Support</v>
      </c>
      <c r="F3360" t="s">
        <v>4061</v>
      </c>
    </row>
    <row r="3361" spans="1:6" ht="12.75">
      <c r="A3361">
        <v>5384929</v>
      </c>
      <c r="B3361">
        <v>5384841</v>
      </c>
      <c r="C3361" t="s">
        <v>12</v>
      </c>
      <c r="D3361" t="s">
        <v>8</v>
      </c>
      <c r="E3361" s="2" t="str">
        <f>HYPERLINK("https://ibp.a2mac1.com/costing(costing:projects/details/8191/part/5384929)","Storage")</f>
        <v>Storage</v>
      </c>
      <c r="F3361" t="s">
        <v>4221</v>
      </c>
    </row>
    <row r="3362" spans="1:6" ht="12.75">
      <c r="A3362">
        <v>6973972</v>
      </c>
      <c r="B3362">
        <v>5384929</v>
      </c>
      <c r="C3362" t="s">
        <v>99</v>
      </c>
      <c r="D3362" t="s">
        <v>12</v>
      </c>
      <c r="E3362" s="2" t="str">
        <f>HYPERLINK("https://ibp.a2mac1.com/costing(costing:projects/details/8191/process/6973972)","Automated Process")</f>
        <v>Automated Process</v>
      </c>
      <c r="F3362" t="s">
        <v>4222</v>
      </c>
    </row>
    <row r="3363" spans="1:6" ht="12.75">
      <c r="A3363">
        <v>5317916</v>
      </c>
      <c r="B3363">
        <v>6973972</v>
      </c>
      <c r="C3363" t="s">
        <v>24</v>
      </c>
      <c r="D3363" t="s">
        <v>99</v>
      </c>
      <c r="E3363" s="2" t="str">
        <f>HYPERLINK("https://ibp.a2mac1.com/costing(costing:projects/details/8191/material/5317916)","PC-ABS")</f>
        <v>PC-ABS</v>
      </c>
      <c r="F3363" t="s">
        <v>4225</v>
      </c>
    </row>
    <row r="3364" spans="1:6" ht="12.75">
      <c r="A3364">
        <v>6946532</v>
      </c>
      <c r="B3364">
        <v>6973972</v>
      </c>
      <c r="C3364" t="s">
        <v>189</v>
      </c>
      <c r="D3364" t="s">
        <v>99</v>
      </c>
      <c r="E3364" s="2" t="str">
        <f>HYPERLINK("https://ibp.a2mac1.com/costing(costing:projects/details/8191/equipment/6946532)","Equipment (Injection Molding)")</f>
        <v>Equipment (Injection Molding)</v>
      </c>
      <c r="F3364" t="s">
        <v>4225</v>
      </c>
    </row>
    <row r="3365" spans="1:6" ht="12.75">
      <c r="A3365">
        <v>5384830</v>
      </c>
      <c r="B3365">
        <v>5384797</v>
      </c>
      <c r="C3365" t="s">
        <v>12</v>
      </c>
      <c r="D3365" t="s">
        <v>8</v>
      </c>
      <c r="E3365" s="2" t="str">
        <f>HYPERLINK("https://ibp.a2mac1.com/costing(costing:projects/details/8191/part/5384830)","Front Cover")</f>
        <v>Front Cover</v>
      </c>
      <c r="F3365" t="s">
        <v>4061</v>
      </c>
    </row>
    <row r="3366" spans="1:6" ht="12.75">
      <c r="A3366">
        <v>6973908</v>
      </c>
      <c r="B3366">
        <v>5384830</v>
      </c>
      <c r="C3366" t="s">
        <v>99</v>
      </c>
      <c r="D3366" t="s">
        <v>12</v>
      </c>
      <c r="E3366" s="2" t="str">
        <f>HYPERLINK("https://ibp.a2mac1.com/costing(costing:projects/details/8191/process/6973908)","Automated Process")</f>
        <v>Automated Process</v>
      </c>
      <c r="F3366" t="s">
        <v>4228</v>
      </c>
    </row>
    <row r="3367" spans="1:6" ht="12.75">
      <c r="A3367">
        <v>5317814</v>
      </c>
      <c r="B3367">
        <v>6973908</v>
      </c>
      <c r="C3367" t="s">
        <v>24</v>
      </c>
      <c r="D3367" t="s">
        <v>99</v>
      </c>
      <c r="E3367" s="2" t="str">
        <f>HYPERLINK("https://ibp.a2mac1.com/costing(costing:projects/details/8191/material/5317814)","PP-PE")</f>
        <v>PP-PE</v>
      </c>
      <c r="F3367" t="s">
        <v>4231</v>
      </c>
    </row>
    <row r="3368" spans="1:6" ht="12.75">
      <c r="A3368">
        <v>6946466</v>
      </c>
      <c r="B3368">
        <v>6973908</v>
      </c>
      <c r="C3368" t="s">
        <v>189</v>
      </c>
      <c r="D3368" t="s">
        <v>99</v>
      </c>
      <c r="E3368" s="2" t="str">
        <f>HYPERLINK("https://ibp.a2mac1.com/costing(costing:projects/details/8191/equipment/6946466)","Equipment (Injection Molding)")</f>
        <v>Equipment (Injection Molding)</v>
      </c>
      <c r="F3368" t="s">
        <v>4231</v>
      </c>
    </row>
    <row r="3369" spans="1:6" ht="12.75">
      <c r="A3369">
        <v>5384831</v>
      </c>
      <c r="B3369">
        <v>5384797</v>
      </c>
      <c r="C3369" t="s">
        <v>12</v>
      </c>
      <c r="D3369" t="s">
        <v>8</v>
      </c>
      <c r="E3369" s="2" t="str">
        <f>HYPERLINK("https://ibp.a2mac1.com/costing(costing:projects/details/8191/part/5384831)","Rear Cover")</f>
        <v>Rear Cover</v>
      </c>
      <c r="F3369" t="s">
        <v>4061</v>
      </c>
    </row>
    <row r="3370" spans="1:6" ht="12.75">
      <c r="A3370">
        <v>6973909</v>
      </c>
      <c r="B3370">
        <v>5384831</v>
      </c>
      <c r="C3370" t="s">
        <v>99</v>
      </c>
      <c r="D3370" t="s">
        <v>12</v>
      </c>
      <c r="E3370" s="2" t="str">
        <f>HYPERLINK("https://ibp.a2mac1.com/costing(costing:projects/details/8191/process/6973909)","Automated Process")</f>
        <v>Automated Process</v>
      </c>
      <c r="F3370" t="s">
        <v>4233</v>
      </c>
    </row>
    <row r="3371" spans="1:6" ht="12.75">
      <c r="A3371">
        <v>5317815</v>
      </c>
      <c r="B3371">
        <v>6973909</v>
      </c>
      <c r="C3371" t="s">
        <v>24</v>
      </c>
      <c r="D3371" t="s">
        <v>99</v>
      </c>
      <c r="E3371" s="2" t="str">
        <f>HYPERLINK("https://ibp.a2mac1.com/costing(costing:projects/details/8191/material/5317815)","PP-PE")</f>
        <v>PP-PE</v>
      </c>
      <c r="F3371" t="s">
        <v>4236</v>
      </c>
    </row>
    <row r="3372" spans="1:6" ht="12.75">
      <c r="A3372">
        <v>6946467</v>
      </c>
      <c r="B3372">
        <v>6973909</v>
      </c>
      <c r="C3372" t="s">
        <v>189</v>
      </c>
      <c r="D3372" t="s">
        <v>99</v>
      </c>
      <c r="E3372" s="2" t="str">
        <f>HYPERLINK("https://ibp.a2mac1.com/costing(costing:projects/details/8191/equipment/6946467)","Equipment (Injection Molding)")</f>
        <v>Equipment (Injection Molding)</v>
      </c>
      <c r="F3372" t="s">
        <v>4236</v>
      </c>
    </row>
    <row r="3373" spans="1:6" ht="12.75">
      <c r="A3373">
        <v>5384832</v>
      </c>
      <c r="B3373">
        <v>5384797</v>
      </c>
      <c r="C3373" t="s">
        <v>12</v>
      </c>
      <c r="D3373" t="s">
        <v>8</v>
      </c>
      <c r="E3373" s="2" t="str">
        <f>HYPERLINK("https://ibp.a2mac1.com/costing(costing:projects/details/8191/part/5384832)","Card Holder")</f>
        <v>Card Holder</v>
      </c>
      <c r="F3373" t="s">
        <v>4061</v>
      </c>
    </row>
    <row r="3374" spans="1:6" ht="12.75">
      <c r="A3374">
        <v>6973910</v>
      </c>
      <c r="B3374">
        <v>5384832</v>
      </c>
      <c r="C3374" t="s">
        <v>99</v>
      </c>
      <c r="D3374" t="s">
        <v>12</v>
      </c>
      <c r="E3374" s="2" t="str">
        <f>HYPERLINK("https://ibp.a2mac1.com/costing(costing:projects/details/8191/process/6973910)","Automated Process")</f>
        <v>Automated Process</v>
      </c>
      <c r="F3374" t="s">
        <v>4238</v>
      </c>
    </row>
    <row r="3375" spans="1:6" ht="12.75">
      <c r="A3375">
        <v>5317816</v>
      </c>
      <c r="B3375">
        <v>6973910</v>
      </c>
      <c r="C3375" t="s">
        <v>24</v>
      </c>
      <c r="D3375" t="s">
        <v>99</v>
      </c>
      <c r="E3375" s="2" t="str">
        <f>HYPERLINK("https://ibp.a2mac1.com/costing(costing:projects/details/8191/material/5317816)","PC-ABS")</f>
        <v>PC-ABS</v>
      </c>
      <c r="F3375" t="s">
        <v>4239</v>
      </c>
    </row>
    <row r="3376" spans="1:6" ht="12.75">
      <c r="A3376">
        <v>6946468</v>
      </c>
      <c r="B3376">
        <v>6973910</v>
      </c>
      <c r="C3376" t="s">
        <v>189</v>
      </c>
      <c r="D3376" t="s">
        <v>99</v>
      </c>
      <c r="E3376" s="2" t="str">
        <f>HYPERLINK("https://ibp.a2mac1.com/costing(costing:projects/details/8191/equipment/6946468)","Equipment (Injection Molding)")</f>
        <v>Equipment (Injection Molding)</v>
      </c>
      <c r="F3376" t="s">
        <v>4239</v>
      </c>
    </row>
    <row r="3377" spans="1:6" ht="12.75">
      <c r="A3377">
        <v>5384833</v>
      </c>
      <c r="B3377">
        <v>5384797</v>
      </c>
      <c r="C3377" t="s">
        <v>12</v>
      </c>
      <c r="D3377" t="s">
        <v>8</v>
      </c>
      <c r="E3377" s="2" t="str">
        <f>HYPERLINK("https://ibp.a2mac1.com/costing(costing:projects/details/8191/part/5384833)","Logo")</f>
        <v>Logo</v>
      </c>
      <c r="F3377" t="s">
        <v>4061</v>
      </c>
    </row>
    <row r="3378" spans="1:6" ht="12.75">
      <c r="A3378">
        <v>6973911</v>
      </c>
      <c r="B3378">
        <v>5384833</v>
      </c>
      <c r="C3378" t="s">
        <v>99</v>
      </c>
      <c r="D3378" t="s">
        <v>12</v>
      </c>
      <c r="E3378" s="2" t="str">
        <f>HYPERLINK("https://ibp.a2mac1.com/costing(costing:projects/details/8191/process/6973911)","Automated Process")</f>
        <v>Automated Process</v>
      </c>
      <c r="F3378" t="s">
        <v>4241</v>
      </c>
    </row>
    <row r="3379" spans="1:6" ht="12.75">
      <c r="A3379">
        <v>5317817</v>
      </c>
      <c r="B3379">
        <v>6973911</v>
      </c>
      <c r="C3379" t="s">
        <v>24</v>
      </c>
      <c r="D3379" t="s">
        <v>99</v>
      </c>
      <c r="E3379" s="2" t="str">
        <f>HYPERLINK("https://ibp.a2mac1.com/costing(costing:projects/details/8191/material/5317817)","PC-ABS")</f>
        <v>PC-ABS</v>
      </c>
      <c r="F3379" t="s">
        <v>4242</v>
      </c>
    </row>
    <row r="3380" spans="1:6" ht="12.75">
      <c r="A3380">
        <v>6946469</v>
      </c>
      <c r="B3380">
        <v>6973911</v>
      </c>
      <c r="C3380" t="s">
        <v>189</v>
      </c>
      <c r="D3380" t="s">
        <v>99</v>
      </c>
      <c r="E3380" s="2" t="str">
        <f>HYPERLINK("https://ibp.a2mac1.com/costing(costing:projects/details/8191/equipment/6946469)","Equipment (Injection Molding)")</f>
        <v>Equipment (Injection Molding)</v>
      </c>
      <c r="F3380" t="s">
        <v>4242</v>
      </c>
    </row>
    <row r="3381" spans="1:6" ht="12.75">
      <c r="A3381">
        <v>5317744</v>
      </c>
      <c r="B3381">
        <v>5384797</v>
      </c>
      <c r="C3381" t="s">
        <v>574</v>
      </c>
      <c r="D3381" t="s">
        <v>8</v>
      </c>
      <c r="E3381" s="2" t="str">
        <f>HYPERLINK("https://ibp.a2mac1.com/costing(costing:projects/details/8191/component/5317744)","Panel holder &gt; Clips in rectangular hole")</f>
        <v>Panel holder &gt; Clips in rectangular hole</v>
      </c>
      <c r="F3381" t="s">
        <v>4061</v>
      </c>
    </row>
    <row r="3382" spans="1:6" ht="12.75">
      <c r="A3382">
        <v>5317745</v>
      </c>
      <c r="B3382">
        <v>5384797</v>
      </c>
      <c r="C3382" t="s">
        <v>574</v>
      </c>
      <c r="D3382" t="s">
        <v>8</v>
      </c>
      <c r="E3382" s="2" t="str">
        <f>HYPERLINK("https://ibp.a2mac1.com/costing(costing:projects/details/8191/component/5317745)","Panel holder &gt; Clips in rectangular hole")</f>
        <v>Panel holder &gt; Clips in rectangular hole</v>
      </c>
      <c r="F3382" t="s">
        <v>4061</v>
      </c>
    </row>
    <row r="3383" spans="1:6" ht="12.75">
      <c r="A3383">
        <v>5384798</v>
      </c>
      <c r="B3383">
        <v>5384794</v>
      </c>
      <c r="C3383" t="s">
        <v>8</v>
      </c>
      <c r="D3383" t="s">
        <v>8</v>
      </c>
      <c r="E3383" s="2" t="str">
        <f>HYPERLINK("https://ibp.a2mac1.com/costing(costing:projects/details/8191/assembly/5384798)","Trims Parts")</f>
        <v>Trims Parts</v>
      </c>
      <c r="F3383" t="s">
        <v>2871</v>
      </c>
    </row>
    <row r="3384" spans="1:6" ht="12.75">
      <c r="A3384">
        <v>5384842</v>
      </c>
      <c r="B3384">
        <v>5384798</v>
      </c>
      <c r="C3384" t="s">
        <v>8</v>
      </c>
      <c r="D3384" t="s">
        <v>8</v>
      </c>
      <c r="E3384" s="2" t="str">
        <f>HYPERLINK("https://ibp.a2mac1.com/costing(costing:projects/details/8191/assembly/5384842)","Roof Elements")</f>
        <v>Roof Elements</v>
      </c>
      <c r="F3384" t="s">
        <v>4245</v>
      </c>
    </row>
    <row r="3385" spans="1:6" ht="12.75">
      <c r="A3385">
        <v>5384930</v>
      </c>
      <c r="B3385">
        <v>5384842</v>
      </c>
      <c r="C3385" t="s">
        <v>8</v>
      </c>
      <c r="D3385" t="s">
        <v>8</v>
      </c>
      <c r="E3385" s="2" t="str">
        <f>HYPERLINK("https://ibp.a2mac1.com/costing(costing:projects/details/8191/assembly/5384930)","Sun Visors")</f>
        <v>Sun Visors</v>
      </c>
      <c r="F3385" t="s">
        <v>4246</v>
      </c>
    </row>
    <row r="3386" spans="1:6" ht="12.75">
      <c r="A3386">
        <v>5385047</v>
      </c>
      <c r="B3386">
        <v>5384930</v>
      </c>
      <c r="C3386" t="s">
        <v>12</v>
      </c>
      <c r="D3386" t="s">
        <v>8</v>
      </c>
      <c r="E3386" s="2" t="str">
        <f>HYPERLINK("https://ibp.a2mac1.com/costing(costing:projects/details/8191/part/5385047)","Driver Side")</f>
        <v>Driver Side</v>
      </c>
      <c r="F3386" t="s">
        <v>4247</v>
      </c>
    </row>
    <row r="3387" spans="1:6" ht="12.75">
      <c r="A3387">
        <v>6974027</v>
      </c>
      <c r="B3387">
        <v>5385047</v>
      </c>
      <c r="C3387" t="s">
        <v>99</v>
      </c>
      <c r="D3387" t="s">
        <v>12</v>
      </c>
      <c r="E3387" s="2" t="str">
        <f>HYPERLINK("https://ibp.a2mac1.com/costing(costing:projects/details/8191/process/6974027)","Automated Process")</f>
        <v>Automated Process</v>
      </c>
      <c r="F3387" t="s">
        <v>4248</v>
      </c>
    </row>
    <row r="3388" spans="1:6" ht="12.75">
      <c r="A3388">
        <v>5318019</v>
      </c>
      <c r="B3388">
        <v>6974027</v>
      </c>
      <c r="C3388" t="s">
        <v>24</v>
      </c>
      <c r="D3388" t="s">
        <v>99</v>
      </c>
      <c r="E3388" s="2" t="str">
        <f>HYPERLINK("https://ibp.a2mac1.com/costing(costing:projects/details/8191/material/5318019)","Material")</f>
        <v>Material</v>
      </c>
      <c r="F3388" t="s">
        <v>4249</v>
      </c>
    </row>
    <row r="3389" spans="1:6" ht="12.75">
      <c r="A3389">
        <v>6946609</v>
      </c>
      <c r="B3389">
        <v>6974027</v>
      </c>
      <c r="C3389" t="s">
        <v>189</v>
      </c>
      <c r="D3389" t="s">
        <v>99</v>
      </c>
      <c r="E3389" s="2" t="str">
        <f>HYPERLINK("https://ibp.a2mac1.com/costing(costing:projects/details/8191/equipment/6946609)","DC machine - General")</f>
        <v>DC machine - General</v>
      </c>
      <c r="F3389" t="s">
        <v>4249</v>
      </c>
    </row>
    <row r="3390" spans="1:6" ht="12.75">
      <c r="A3390">
        <v>5385048</v>
      </c>
      <c r="B3390">
        <v>5384930</v>
      </c>
      <c r="C3390" t="s">
        <v>12</v>
      </c>
      <c r="D3390" t="s">
        <v>8</v>
      </c>
      <c r="E3390" s="2" t="str">
        <f>HYPERLINK("https://ibp.a2mac1.com/costing(costing:projects/details/8191/part/5385048)","Passenger Side")</f>
        <v>Passenger Side</v>
      </c>
      <c r="F3390" t="s">
        <v>4247</v>
      </c>
    </row>
    <row r="3391" spans="1:6" ht="12.75">
      <c r="A3391">
        <v>6974028</v>
      </c>
      <c r="B3391">
        <v>5385048</v>
      </c>
      <c r="C3391" t="s">
        <v>99</v>
      </c>
      <c r="D3391" t="s">
        <v>12</v>
      </c>
      <c r="E3391" s="2" t="str">
        <f>HYPERLINK("https://ibp.a2mac1.com/costing(costing:projects/details/8191/process/6974028)","Automated Process [2]")</f>
        <v>Automated Process [2]</v>
      </c>
      <c r="F3391" t="s">
        <v>4252</v>
      </c>
    </row>
    <row r="3392" spans="1:6" ht="12.75">
      <c r="A3392">
        <v>5318020</v>
      </c>
      <c r="B3392">
        <v>6974028</v>
      </c>
      <c r="C3392" t="s">
        <v>24</v>
      </c>
      <c r="D3392" t="s">
        <v>99</v>
      </c>
      <c r="E3392" s="2" t="str">
        <f>HYPERLINK("https://ibp.a2mac1.com/costing(costing:projects/details/8191/material/5318020)","Material")</f>
        <v>Material</v>
      </c>
      <c r="F3392" t="s">
        <v>4253</v>
      </c>
    </row>
    <row r="3393" spans="1:6" ht="12.75">
      <c r="A3393">
        <v>6946610</v>
      </c>
      <c r="B3393">
        <v>6974028</v>
      </c>
      <c r="C3393" t="s">
        <v>189</v>
      </c>
      <c r="D3393" t="s">
        <v>99</v>
      </c>
      <c r="E3393" s="2" t="str">
        <f>HYPERLINK("https://ibp.a2mac1.com/costing(costing:projects/details/8191/equipment/6946610)","DC machine - General")</f>
        <v>DC machine - General</v>
      </c>
      <c r="F3393" t="s">
        <v>4253</v>
      </c>
    </row>
    <row r="3394" spans="1:6" ht="12.75">
      <c r="A3394">
        <v>5317821</v>
      </c>
      <c r="B3394">
        <v>5384930</v>
      </c>
      <c r="C3394" t="s">
        <v>574</v>
      </c>
      <c r="D3394" t="s">
        <v>8</v>
      </c>
      <c r="E3394" s="2" t="str">
        <f>HYPERLINK("https://ibp.a2mac1.com/costing(costing:projects/details/8191/component/5317821)","Nut &gt; Clipping nut for metal sheet screw")</f>
        <v>Nut &gt; Clipping nut for metal sheet screw</v>
      </c>
      <c r="F3394" t="s">
        <v>4247</v>
      </c>
    </row>
    <row r="3395" spans="1:6" ht="12.75">
      <c r="A3395">
        <v>5317822</v>
      </c>
      <c r="B3395">
        <v>5384930</v>
      </c>
      <c r="C3395" t="s">
        <v>574</v>
      </c>
      <c r="D3395" t="s">
        <v>8</v>
      </c>
      <c r="E3395" s="2" t="str">
        <f>HYPERLINK("https://ibp.a2mac1.com/costing(costing:projects/details/8191/component/5317822)","Nut &gt; Clipping nut for metal sheet screw")</f>
        <v>Nut &gt; Clipping nut for metal sheet screw</v>
      </c>
      <c r="F3395" t="s">
        <v>4247</v>
      </c>
    </row>
    <row r="3396" spans="1:6" ht="12.75">
      <c r="A3396">
        <v>5384931</v>
      </c>
      <c r="B3396">
        <v>5384842</v>
      </c>
      <c r="C3396" t="s">
        <v>8</v>
      </c>
      <c r="D3396" t="s">
        <v>8</v>
      </c>
      <c r="E3396" s="2" t="str">
        <f>HYPERLINK("https://ibp.a2mac1.com/costing(costing:projects/details/8191/assembly/5384931)","Reading Light")</f>
        <v>Reading Light</v>
      </c>
      <c r="F3396" t="s">
        <v>4246</v>
      </c>
    </row>
    <row r="3397" spans="1:6" ht="12.75">
      <c r="A3397">
        <v>5385049</v>
      </c>
      <c r="B3397">
        <v>5384931</v>
      </c>
      <c r="C3397" t="s">
        <v>12</v>
      </c>
      <c r="D3397" t="s">
        <v>8</v>
      </c>
      <c r="E3397" s="2" t="str">
        <f>HYPERLINK("https://ibp.a2mac1.com/costing(costing:projects/details/8191/part/5385049)","Front")</f>
        <v>Front</v>
      </c>
      <c r="F3397" t="s">
        <v>4256</v>
      </c>
    </row>
    <row r="3398" spans="1:6" ht="12.75">
      <c r="A3398">
        <v>6974029</v>
      </c>
      <c r="B3398">
        <v>5385049</v>
      </c>
      <c r="C3398" t="s">
        <v>99</v>
      </c>
      <c r="D3398" t="s">
        <v>12</v>
      </c>
      <c r="E3398" s="2" t="str">
        <f>HYPERLINK("https://ibp.a2mac1.com/costing(costing:projects/details/8191/process/6974029)","Process")</f>
        <v>Process</v>
      </c>
      <c r="F3398" t="s">
        <v>4257</v>
      </c>
    </row>
    <row r="3399" spans="1:6" ht="12.75">
      <c r="A3399">
        <v>6946611</v>
      </c>
      <c r="B3399">
        <v>6974029</v>
      </c>
      <c r="C3399" t="s">
        <v>189</v>
      </c>
      <c r="D3399" t="s">
        <v>99</v>
      </c>
      <c r="E3399" s="2" t="str">
        <f>HYPERLINK("https://ibp.a2mac1.com/costing(costing:projects/details/8191/equipment/6946611)","Dummy Machine (PCBA+Final Assembly Line)")</f>
        <v>Dummy Machine (PCBA+Final Assembly Line)</v>
      </c>
      <c r="F3399" t="s">
        <v>4258</v>
      </c>
    </row>
    <row r="3400" spans="1:6" ht="12.75">
      <c r="A3400">
        <v>5317917</v>
      </c>
      <c r="B3400">
        <v>5385049</v>
      </c>
      <c r="C3400" t="s">
        <v>574</v>
      </c>
      <c r="D3400" t="s">
        <v>12</v>
      </c>
      <c r="E3400" s="2" t="str">
        <f>HYPERLINK("https://ibp.a2mac1.com/costing(costing:projects/details/8191/component/5317917)","Mechanics")</f>
        <v>Mechanics</v>
      </c>
      <c r="F3400" t="s">
        <v>4257</v>
      </c>
    </row>
    <row r="3401" spans="1:6" ht="12.75">
      <c r="A3401">
        <v>5317918</v>
      </c>
      <c r="B3401">
        <v>5385049</v>
      </c>
      <c r="C3401" t="s">
        <v>574</v>
      </c>
      <c r="D3401" t="s">
        <v>12</v>
      </c>
      <c r="E3401" s="2" t="str">
        <f>HYPERLINK("https://ibp.a2mac1.com/costing(costing:projects/details/8191/component/5317918)","Electronics")</f>
        <v>Electronics</v>
      </c>
      <c r="F3401" t="s">
        <v>4257</v>
      </c>
    </row>
    <row r="3402" spans="1:6" ht="12.75">
      <c r="A3402">
        <v>5385050</v>
      </c>
      <c r="B3402">
        <v>5384931</v>
      </c>
      <c r="C3402" t="s">
        <v>12</v>
      </c>
      <c r="D3402" t="s">
        <v>8</v>
      </c>
      <c r="E3402" s="2" t="str">
        <f>HYPERLINK("https://ibp.a2mac1.com/costing(costing:projects/details/8191/part/5385050)","2nd Front")</f>
        <v>2nd Front</v>
      </c>
      <c r="F3402" t="s">
        <v>4256</v>
      </c>
    </row>
    <row r="3403" spans="1:6" ht="12.75">
      <c r="A3403">
        <v>5385051</v>
      </c>
      <c r="B3403">
        <v>5384931</v>
      </c>
      <c r="C3403" t="s">
        <v>12</v>
      </c>
      <c r="D3403" t="s">
        <v>8</v>
      </c>
      <c r="E3403" s="2" t="str">
        <f>HYPERLINK("https://ibp.a2mac1.com/costing(costing:projects/details/8191/part/5385051)","Rear Reading Light 2nd Row")</f>
        <v>Rear Reading Light 2nd Row</v>
      </c>
      <c r="F3403" t="s">
        <v>4256</v>
      </c>
    </row>
    <row r="3404" spans="1:6" ht="12.75">
      <c r="A3404">
        <v>5385052</v>
      </c>
      <c r="B3404">
        <v>5384931</v>
      </c>
      <c r="C3404" t="s">
        <v>12</v>
      </c>
      <c r="D3404" t="s">
        <v>8</v>
      </c>
      <c r="E3404" s="2" t="str">
        <f>HYPERLINK("https://ibp.a2mac1.com/costing(costing:projects/details/8191/part/5385052)","Rear Reading Light Support")</f>
        <v>Rear Reading Light Support</v>
      </c>
      <c r="F3404" t="s">
        <v>4256</v>
      </c>
    </row>
    <row r="3405" spans="1:6" ht="12.75">
      <c r="A3405">
        <v>5385053</v>
      </c>
      <c r="B3405">
        <v>5384931</v>
      </c>
      <c r="C3405" t="s">
        <v>12</v>
      </c>
      <c r="D3405" t="s">
        <v>8</v>
      </c>
      <c r="E3405" s="2" t="str">
        <f>HYPERLINK("https://ibp.a2mac1.com/costing(costing:projects/details/8191/part/5385053)","Rear Reading Light Trim")</f>
        <v>Rear Reading Light Trim</v>
      </c>
      <c r="F3405" t="s">
        <v>4256</v>
      </c>
    </row>
    <row r="3406" spans="1:6" ht="12.75">
      <c r="A3406">
        <v>5317823</v>
      </c>
      <c r="B3406">
        <v>5384931</v>
      </c>
      <c r="C3406" t="s">
        <v>574</v>
      </c>
      <c r="D3406" t="s">
        <v>8</v>
      </c>
      <c r="E3406" s="2" t="str">
        <f>HYPERLINK("https://ibp.a2mac1.com/costing(costing:projects/details/8191/component/5317823)","Panel holder &gt; Clips in rectangular hole")</f>
        <v>Panel holder &gt; Clips in rectangular hole</v>
      </c>
      <c r="F3406" t="s">
        <v>4256</v>
      </c>
    </row>
    <row r="3407" spans="1:6" ht="12.75">
      <c r="A3407">
        <v>5317824</v>
      </c>
      <c r="B3407">
        <v>5384931</v>
      </c>
      <c r="C3407" t="s">
        <v>574</v>
      </c>
      <c r="D3407" t="s">
        <v>8</v>
      </c>
      <c r="E3407" s="2" t="str">
        <f>HYPERLINK("https://ibp.a2mac1.com/costing(costing:projects/details/8191/component/5317824)","Other fastener &gt; Attachment")</f>
        <v>Other fastener &gt; Attachment</v>
      </c>
      <c r="F3407" t="s">
        <v>4256</v>
      </c>
    </row>
    <row r="3408" spans="1:6" ht="12.75">
      <c r="A3408">
        <v>5384932</v>
      </c>
      <c r="B3408">
        <v>5384842</v>
      </c>
      <c r="C3408" t="s">
        <v>8</v>
      </c>
      <c r="D3408" t="s">
        <v>8</v>
      </c>
      <c r="E3408" s="2" t="str">
        <f>HYPERLINK("https://ibp.a2mac1.com/costing(costing:projects/details/8191/assembly/5384932)","Storage System")</f>
        <v>Storage System</v>
      </c>
      <c r="F3408" t="s">
        <v>4246</v>
      </c>
    </row>
    <row r="3409" spans="1:6" ht="12.75">
      <c r="A3409">
        <v>5385054</v>
      </c>
      <c r="B3409">
        <v>5384932</v>
      </c>
      <c r="C3409" t="s">
        <v>12</v>
      </c>
      <c r="D3409" t="s">
        <v>8</v>
      </c>
      <c r="E3409" s="2" t="str">
        <f>HYPERLINK("https://ibp.a2mac1.com/costing(costing:projects/details/8191/part/5385054)","Dummy Cover")</f>
        <v>Dummy Cover</v>
      </c>
      <c r="F3409" t="s">
        <v>4270</v>
      </c>
    </row>
    <row r="3410" spans="1:6" ht="12.75">
      <c r="A3410">
        <v>6974030</v>
      </c>
      <c r="B3410">
        <v>5385054</v>
      </c>
      <c r="C3410" t="s">
        <v>99</v>
      </c>
      <c r="D3410" t="s">
        <v>12</v>
      </c>
      <c r="E3410" s="2" t="str">
        <f>HYPERLINK("https://ibp.a2mac1.com/costing(costing:projects/details/8191/process/6974030)","Automated Process")</f>
        <v>Automated Process</v>
      </c>
      <c r="F3410" t="s">
        <v>4271</v>
      </c>
    </row>
    <row r="3411" spans="1:6" ht="12.75">
      <c r="A3411">
        <v>5318021</v>
      </c>
      <c r="B3411">
        <v>6974030</v>
      </c>
      <c r="C3411" t="s">
        <v>24</v>
      </c>
      <c r="D3411" t="s">
        <v>99</v>
      </c>
      <c r="E3411" s="2" t="str">
        <f>HYPERLINK("https://ibp.a2mac1.com/costing(costing:projects/details/8191/material/5318021)","PC-ABS")</f>
        <v>PC-ABS</v>
      </c>
      <c r="F3411" t="s">
        <v>4274</v>
      </c>
    </row>
    <row r="3412" spans="1:6" ht="12.75">
      <c r="A3412">
        <v>6946612</v>
      </c>
      <c r="B3412">
        <v>6974030</v>
      </c>
      <c r="C3412" t="s">
        <v>189</v>
      </c>
      <c r="D3412" t="s">
        <v>99</v>
      </c>
      <c r="E3412" s="2" t="str">
        <f>HYPERLINK("https://ibp.a2mac1.com/costing(costing:projects/details/8191/equipment/6946612)","Equipment (Injection Molding)")</f>
        <v>Equipment (Injection Molding)</v>
      </c>
      <c r="F3412" t="s">
        <v>4274</v>
      </c>
    </row>
    <row r="3413" spans="1:6" ht="12.75">
      <c r="A3413">
        <v>5384934</v>
      </c>
      <c r="B3413">
        <v>5384842</v>
      </c>
      <c r="C3413" t="s">
        <v>8</v>
      </c>
      <c r="D3413" t="s">
        <v>8</v>
      </c>
      <c r="E3413" s="2" t="str">
        <f>HYPERLINK("https://ibp.a2mac1.com/costing(costing:projects/details/8191/assembly/5384934)","Side Upper Handle")</f>
        <v>Side Upper Handle</v>
      </c>
      <c r="F3413" t="s">
        <v>4246</v>
      </c>
    </row>
    <row r="3414" spans="1:6" ht="12.75">
      <c r="A3414">
        <v>5385055</v>
      </c>
      <c r="B3414">
        <v>5384934</v>
      </c>
      <c r="C3414" t="s">
        <v>12</v>
      </c>
      <c r="D3414" t="s">
        <v>8</v>
      </c>
      <c r="E3414" s="2" t="str">
        <f>HYPERLINK("https://ibp.a2mac1.com/costing(costing:projects/details/8191/part/5385055)","Front Handle Interface")</f>
        <v>Front Handle Interface</v>
      </c>
      <c r="F3414" t="s">
        <v>4277</v>
      </c>
    </row>
    <row r="3415" spans="1:6" ht="12.75">
      <c r="A3415">
        <v>6974031</v>
      </c>
      <c r="B3415">
        <v>5385055</v>
      </c>
      <c r="C3415" t="s">
        <v>99</v>
      </c>
      <c r="D3415" t="s">
        <v>12</v>
      </c>
      <c r="E3415" s="2" t="str">
        <f>HYPERLINK("https://ibp.a2mac1.com/costing(costing:projects/details/8191/process/6974031)","Injection molding")</f>
        <v>Injection molding</v>
      </c>
      <c r="F3415" t="s">
        <v>4278</v>
      </c>
    </row>
    <row r="3416" spans="1:6" ht="12.75">
      <c r="A3416">
        <v>5318022</v>
      </c>
      <c r="B3416">
        <v>6974031</v>
      </c>
      <c r="C3416" t="s">
        <v>24</v>
      </c>
      <c r="D3416" t="s">
        <v>99</v>
      </c>
      <c r="E3416" s="2" t="str">
        <f>HYPERLINK("https://ibp.a2mac1.com/costing(costing:projects/details/8191/material/5318022)","PP")</f>
        <v>PP</v>
      </c>
      <c r="F3416" t="s">
        <v>4281</v>
      </c>
    </row>
    <row r="3417" spans="1:6" ht="12.75">
      <c r="A3417">
        <v>6946613</v>
      </c>
      <c r="B3417">
        <v>6974031</v>
      </c>
      <c r="C3417" t="s">
        <v>189</v>
      </c>
      <c r="D3417" t="s">
        <v>99</v>
      </c>
      <c r="E3417" s="2" t="str">
        <f>HYPERLINK("https://ibp.a2mac1.com/costing(costing:projects/details/8191/equipment/6946613)","No.01 - Injection Press - 40T - 18kW - 270x270 - Max Volume 128cm3 ")</f>
        <v xml:space="preserve">No.01 - Injection Press - 40T - 18kW - 270x270 - Max Volume 128cm3 </v>
      </c>
      <c r="F3417" t="s">
        <v>4281</v>
      </c>
    </row>
    <row r="3418" spans="1:6" ht="12.75">
      <c r="A3418">
        <v>5385056</v>
      </c>
      <c r="B3418">
        <v>5384934</v>
      </c>
      <c r="C3418" t="s">
        <v>12</v>
      </c>
      <c r="D3418" t="s">
        <v>8</v>
      </c>
      <c r="E3418" s="2" t="str">
        <f>HYPERLINK("https://ibp.a2mac1.com/costing(costing:projects/details/8191/part/5385056)","Rear Handle Interface")</f>
        <v>Rear Handle Interface</v>
      </c>
      <c r="F3418" t="s">
        <v>4277</v>
      </c>
    </row>
    <row r="3419" spans="1:6" ht="12.75">
      <c r="A3419">
        <v>6974032</v>
      </c>
      <c r="B3419">
        <v>5385056</v>
      </c>
      <c r="C3419" t="s">
        <v>99</v>
      </c>
      <c r="D3419" t="s">
        <v>12</v>
      </c>
      <c r="E3419" s="2" t="str">
        <f>HYPERLINK("https://ibp.a2mac1.com/costing(costing:projects/details/8191/process/6974032)","Injection molding")</f>
        <v>Injection molding</v>
      </c>
      <c r="F3419" t="s">
        <v>4284</v>
      </c>
    </row>
    <row r="3420" spans="1:6" ht="12.75">
      <c r="A3420">
        <v>5318023</v>
      </c>
      <c r="B3420">
        <v>6974032</v>
      </c>
      <c r="C3420" t="s">
        <v>24</v>
      </c>
      <c r="D3420" t="s">
        <v>99</v>
      </c>
      <c r="E3420" s="2" t="str">
        <f>HYPERLINK("https://ibp.a2mac1.com/costing(costing:projects/details/8191/material/5318023)","PP")</f>
        <v>PP</v>
      </c>
      <c r="F3420" t="s">
        <v>4285</v>
      </c>
    </row>
    <row r="3421" spans="1:6" ht="12.75">
      <c r="A3421">
        <v>6946614</v>
      </c>
      <c r="B3421">
        <v>6974032</v>
      </c>
      <c r="C3421" t="s">
        <v>189</v>
      </c>
      <c r="D3421" t="s">
        <v>99</v>
      </c>
      <c r="E3421" s="2" t="str">
        <f>HYPERLINK("https://ibp.a2mac1.com/costing(costing:projects/details/8191/equipment/6946614)","No.01 - Injection Press - 40T - 18kW - 270x270 - Max Volume 128cm3 ")</f>
        <v xml:space="preserve">No.01 - Injection Press - 40T - 18kW - 270x270 - Max Volume 128cm3 </v>
      </c>
      <c r="F3421" t="s">
        <v>4285</v>
      </c>
    </row>
    <row r="3422" spans="1:6" ht="12.75">
      <c r="A3422">
        <v>5385057</v>
      </c>
      <c r="B3422">
        <v>5384934</v>
      </c>
      <c r="C3422" t="s">
        <v>12</v>
      </c>
      <c r="D3422" t="s">
        <v>8</v>
      </c>
      <c r="E3422" s="2" t="str">
        <f>HYPERLINK("https://ibp.a2mac1.com/costing(costing:projects/details/8191/part/5385057)","Rear")</f>
        <v>Rear</v>
      </c>
      <c r="F3422" t="s">
        <v>4277</v>
      </c>
    </row>
    <row r="3423" spans="1:6" ht="12.75">
      <c r="A3423">
        <v>6974035</v>
      </c>
      <c r="B3423">
        <v>5385057</v>
      </c>
      <c r="C3423" t="s">
        <v>99</v>
      </c>
      <c r="D3423" t="s">
        <v>12</v>
      </c>
      <c r="E3423" s="2" t="str">
        <f>HYPERLINK("https://ibp.a2mac1.com/costing(costing:projects/details/8191/process/6974035)","Automated process")</f>
        <v>Automated process</v>
      </c>
      <c r="F3423" t="s">
        <v>4287</v>
      </c>
    </row>
    <row r="3424" spans="1:6" ht="12.75">
      <c r="A3424">
        <v>5318024</v>
      </c>
      <c r="B3424">
        <v>6974035</v>
      </c>
      <c r="C3424" t="s">
        <v>24</v>
      </c>
      <c r="D3424" t="s">
        <v>99</v>
      </c>
      <c r="E3424" s="2" t="str">
        <f>HYPERLINK("https://ibp.a2mac1.com/costing(costing:projects/details/8191/material/5318024)","Material")</f>
        <v>Material</v>
      </c>
      <c r="F3424" t="s">
        <v>4288</v>
      </c>
    </row>
    <row r="3425" spans="1:6" ht="12.75">
      <c r="A3425">
        <v>6946615</v>
      </c>
      <c r="B3425">
        <v>6974035</v>
      </c>
      <c r="C3425" t="s">
        <v>189</v>
      </c>
      <c r="D3425" t="s">
        <v>99</v>
      </c>
      <c r="E3425" s="2" t="str">
        <f>HYPERLINK("https://ibp.a2mac1.com/costing(costing:projects/details/8191/equipment/6946615)","DC machine - General")</f>
        <v>DC machine - General</v>
      </c>
      <c r="F3425" t="s">
        <v>4288</v>
      </c>
    </row>
    <row r="3426" spans="1:6" ht="12.75">
      <c r="A3426">
        <v>5317920</v>
      </c>
      <c r="B3426">
        <v>5385057</v>
      </c>
      <c r="C3426" t="s">
        <v>574</v>
      </c>
      <c r="D3426" t="s">
        <v>12</v>
      </c>
      <c r="E3426" s="2" t="str">
        <f>HYPERLINK("https://ibp.a2mac1.com/costing(costing:projects/details/8191/component/5317920)","Panel holder &gt; Clips in rectangular hole")</f>
        <v>Panel holder &gt; Clips in rectangular hole</v>
      </c>
      <c r="F3426" t="s">
        <v>4287</v>
      </c>
    </row>
    <row r="3427" spans="1:6" ht="12.75">
      <c r="A3427">
        <v>5317921</v>
      </c>
      <c r="B3427">
        <v>5385057</v>
      </c>
      <c r="C3427" t="s">
        <v>574</v>
      </c>
      <c r="D3427" t="s">
        <v>12</v>
      </c>
      <c r="E3427" s="2" t="str">
        <f>HYPERLINK("https://ibp.a2mac1.com/costing(costing:projects/details/8191/component/5317921)","Other fastener &gt; Attachment")</f>
        <v>Other fastener &gt; Attachment</v>
      </c>
      <c r="F3427" t="s">
        <v>4287</v>
      </c>
    </row>
    <row r="3428" spans="1:6" ht="12.75">
      <c r="A3428">
        <v>5317922</v>
      </c>
      <c r="B3428">
        <v>5385057</v>
      </c>
      <c r="C3428" t="s">
        <v>574</v>
      </c>
      <c r="D3428" t="s">
        <v>12</v>
      </c>
      <c r="E3428" s="2" t="str">
        <f>HYPERLINK("https://ibp.a2mac1.com/costing(costing:projects/details/8191/component/5317922)","Fasteners")</f>
        <v>Fasteners</v>
      </c>
      <c r="F3428" t="s">
        <v>4287</v>
      </c>
    </row>
    <row r="3429" spans="1:6" ht="12.75">
      <c r="A3429">
        <v>5385058</v>
      </c>
      <c r="B3429">
        <v>5384934</v>
      </c>
      <c r="C3429" t="s">
        <v>12</v>
      </c>
      <c r="D3429" t="s">
        <v>8</v>
      </c>
      <c r="E3429" s="2" t="str">
        <f>HYPERLINK("https://ibp.a2mac1.com/costing(costing:projects/details/8191/part/5385058)","Front")</f>
        <v>Front</v>
      </c>
      <c r="F3429" t="s">
        <v>4277</v>
      </c>
    </row>
    <row r="3430" spans="1:6" ht="12.75">
      <c r="A3430">
        <v>6974036</v>
      </c>
      <c r="B3430">
        <v>5385058</v>
      </c>
      <c r="C3430" t="s">
        <v>99</v>
      </c>
      <c r="D3430" t="s">
        <v>12</v>
      </c>
      <c r="E3430" s="2" t="str">
        <f>HYPERLINK("https://ibp.a2mac1.com/costing(costing:projects/details/8191/process/6974036)","Automated process")</f>
        <v>Automated process</v>
      </c>
      <c r="F3430" t="s">
        <v>4292</v>
      </c>
    </row>
    <row r="3431" spans="1:6" ht="12.75">
      <c r="A3431">
        <v>5318025</v>
      </c>
      <c r="B3431">
        <v>6974036</v>
      </c>
      <c r="C3431" t="s">
        <v>24</v>
      </c>
      <c r="D3431" t="s">
        <v>99</v>
      </c>
      <c r="E3431" s="2" t="str">
        <f>HYPERLINK("https://ibp.a2mac1.com/costing(costing:projects/details/8191/material/5318025)","Material")</f>
        <v>Material</v>
      </c>
      <c r="F3431" t="s">
        <v>4293</v>
      </c>
    </row>
    <row r="3432" spans="1:6" ht="12.75">
      <c r="A3432">
        <v>6946616</v>
      </c>
      <c r="B3432">
        <v>6974036</v>
      </c>
      <c r="C3432" t="s">
        <v>189</v>
      </c>
      <c r="D3432" t="s">
        <v>99</v>
      </c>
      <c r="E3432" s="2" t="str">
        <f>HYPERLINK("https://ibp.a2mac1.com/costing(costing:projects/details/8191/equipment/6946616)","DC machine - General")</f>
        <v>DC machine - General</v>
      </c>
      <c r="F3432" t="s">
        <v>4293</v>
      </c>
    </row>
    <row r="3433" spans="1:6" ht="12.75">
      <c r="A3433">
        <v>5317923</v>
      </c>
      <c r="B3433">
        <v>5385058</v>
      </c>
      <c r="C3433" t="s">
        <v>574</v>
      </c>
      <c r="D3433" t="s">
        <v>12</v>
      </c>
      <c r="E3433" s="2" t="str">
        <f>HYPERLINK("https://ibp.a2mac1.com/costing(costing:projects/details/8191/component/5317923)","Other fastener &gt; Attachment")</f>
        <v>Other fastener &gt; Attachment</v>
      </c>
      <c r="F3433" t="s">
        <v>4292</v>
      </c>
    </row>
    <row r="3434" spans="1:6" ht="12.75">
      <c r="A3434">
        <v>5317924</v>
      </c>
      <c r="B3434">
        <v>5385058</v>
      </c>
      <c r="C3434" t="s">
        <v>574</v>
      </c>
      <c r="D3434" t="s">
        <v>12</v>
      </c>
      <c r="E3434" s="2" t="str">
        <f>HYPERLINK("https://ibp.a2mac1.com/costing(costing:projects/details/8191/component/5317924)","Panel holder &gt; Clips in rectangular hole")</f>
        <v>Panel holder &gt; Clips in rectangular hole</v>
      </c>
      <c r="F3434" t="s">
        <v>4292</v>
      </c>
    </row>
    <row r="3435" spans="1:6" ht="12.75">
      <c r="A3435">
        <v>5317925</v>
      </c>
      <c r="B3435">
        <v>5385058</v>
      </c>
      <c r="C3435" t="s">
        <v>574</v>
      </c>
      <c r="D3435" t="s">
        <v>12</v>
      </c>
      <c r="E3435" s="2" t="str">
        <f>HYPERLINK("https://ibp.a2mac1.com/costing(costing:projects/details/8191/component/5317925)","Fasteners")</f>
        <v>Fasteners</v>
      </c>
      <c r="F3435" t="s">
        <v>4292</v>
      </c>
    </row>
    <row r="3436" spans="1:6" ht="12.75">
      <c r="A3436">
        <v>5384933</v>
      </c>
      <c r="B3436">
        <v>5384842</v>
      </c>
      <c r="C3436" t="s">
        <v>12</v>
      </c>
      <c r="D3436" t="s">
        <v>8</v>
      </c>
      <c r="E3436" s="2" t="str">
        <f>HYPERLINK("https://ibp.a2mac1.com/costing(costing:projects/details/8191/part/5384933)","Hanger Support")</f>
        <v>Hanger Support</v>
      </c>
      <c r="F3436" t="s">
        <v>4246</v>
      </c>
    </row>
    <row r="3437" spans="1:6" ht="12.75">
      <c r="A3437">
        <v>6973973</v>
      </c>
      <c r="B3437">
        <v>5384933</v>
      </c>
      <c r="C3437" t="s">
        <v>99</v>
      </c>
      <c r="D3437" t="s">
        <v>12</v>
      </c>
      <c r="E3437" s="2" t="str">
        <f>HYPERLINK("https://ibp.a2mac1.com/costing(costing:projects/details/8191/process/6973973)","Injection molding")</f>
        <v>Injection molding</v>
      </c>
      <c r="F3437" t="s">
        <v>4297</v>
      </c>
    </row>
    <row r="3438" spans="1:6" ht="12.75">
      <c r="A3438">
        <v>5317919</v>
      </c>
      <c r="B3438">
        <v>6973973</v>
      </c>
      <c r="C3438" t="s">
        <v>24</v>
      </c>
      <c r="D3438" t="s">
        <v>99</v>
      </c>
      <c r="E3438" s="2" t="str">
        <f>HYPERLINK("https://ibp.a2mac1.com/costing(costing:projects/details/8191/material/5317919)","HDPE")</f>
        <v>HDPE</v>
      </c>
      <c r="F3438" t="s">
        <v>4299</v>
      </c>
    </row>
    <row r="3439" spans="1:6" ht="12.75">
      <c r="A3439">
        <v>6946533</v>
      </c>
      <c r="B3439">
        <v>6973973</v>
      </c>
      <c r="C3439" t="s">
        <v>189</v>
      </c>
      <c r="D3439" t="s">
        <v>99</v>
      </c>
      <c r="E3439" s="2" t="str">
        <f>HYPERLINK("https://ibp.a2mac1.com/costing(costing:projects/details/8191/equipment/6946533)","No.01 - Injection Press - 40T - 18kW - 270x270 - Max Volume 128cm3 ")</f>
        <v xml:space="preserve">No.01 - Injection Press - 40T - 18kW - 270x270 - Max Volume 128cm3 </v>
      </c>
      <c r="F3439" t="s">
        <v>4299</v>
      </c>
    </row>
    <row r="3440" spans="1:6" ht="12.75">
      <c r="A3440">
        <v>5317825</v>
      </c>
      <c r="B3440">
        <v>5384933</v>
      </c>
      <c r="C3440" t="s">
        <v>574</v>
      </c>
      <c r="D3440" t="s">
        <v>12</v>
      </c>
      <c r="E3440" s="2" t="str">
        <f>HYPERLINK("https://ibp.a2mac1.com/costing(costing:projects/details/8191/component/5317825)","Other fastener &gt; Snap Tooling")</f>
        <v>Other fastener &gt; Snap Tooling</v>
      </c>
      <c r="F3440" t="s">
        <v>4297</v>
      </c>
    </row>
    <row r="3441" spans="1:6" ht="12.75">
      <c r="A3441">
        <v>5317766</v>
      </c>
      <c r="B3441">
        <v>5384842</v>
      </c>
      <c r="C3441" t="s">
        <v>574</v>
      </c>
      <c r="D3441" t="s">
        <v>8</v>
      </c>
      <c r="E3441" s="2" t="str">
        <f>HYPERLINK("https://ibp.a2mac1.com/costing(costing:projects/details/8191/component/5317766)","Other fastener &gt; Snap Tooling")</f>
        <v>Other fastener &gt; Snap Tooling</v>
      </c>
      <c r="F3441" t="s">
        <v>4246</v>
      </c>
    </row>
    <row r="3442" spans="1:6" ht="12.75">
      <c r="A3442">
        <v>5384843</v>
      </c>
      <c r="B3442">
        <v>5384798</v>
      </c>
      <c r="C3442" t="s">
        <v>8</v>
      </c>
      <c r="D3442" t="s">
        <v>8</v>
      </c>
      <c r="E3442" s="2" t="str">
        <f>HYPERLINK("https://ibp.a2mac1.com/costing(costing:projects/details/8191/assembly/5384843)","Panels")</f>
        <v>Panels</v>
      </c>
      <c r="F3442" t="s">
        <v>4245</v>
      </c>
    </row>
    <row r="3443" spans="1:6" ht="12.75">
      <c r="A3443">
        <v>5384935</v>
      </c>
      <c r="B3443">
        <v>5384843</v>
      </c>
      <c r="C3443" t="s">
        <v>8</v>
      </c>
      <c r="D3443" t="s">
        <v>8</v>
      </c>
      <c r="E3443" s="2" t="str">
        <f>HYPERLINK("https://ibp.a2mac1.com/costing(costing:projects/details/8191/assembly/5384935)","Left Side")</f>
        <v>Left Side</v>
      </c>
      <c r="F3443" t="s">
        <v>4304</v>
      </c>
    </row>
    <row r="3444" spans="1:6" ht="12.75">
      <c r="A3444">
        <v>5385067</v>
      </c>
      <c r="B3444">
        <v>5384935</v>
      </c>
      <c r="C3444" t="s">
        <v>8</v>
      </c>
      <c r="D3444" t="s">
        <v>8</v>
      </c>
      <c r="E3444" s="2" t="str">
        <f>HYPERLINK("https://ibp.a2mac1.com/costing(costing:projects/details/8191/assembly/5385067)","Door Step Inner Panel")</f>
        <v>Door Step Inner Panel</v>
      </c>
      <c r="F3444" t="s">
        <v>4305</v>
      </c>
    </row>
    <row r="3445" spans="1:6" ht="12.75">
      <c r="A3445">
        <v>5385108</v>
      </c>
      <c r="B3445">
        <v>5385067</v>
      </c>
      <c r="C3445" t="s">
        <v>12</v>
      </c>
      <c r="D3445" t="s">
        <v>8</v>
      </c>
      <c r="E3445" s="2" t="str">
        <f>HYPERLINK("https://ibp.a2mac1.com/costing(costing:projects/details/8191/part/5385108)","Front")</f>
        <v>Front</v>
      </c>
      <c r="F3445" t="s">
        <v>4306</v>
      </c>
    </row>
    <row r="3446" spans="1:6" ht="12.75">
      <c r="A3446">
        <v>6974114</v>
      </c>
      <c r="B3446">
        <v>5385108</v>
      </c>
      <c r="C3446" t="s">
        <v>99</v>
      </c>
      <c r="D3446" t="s">
        <v>12</v>
      </c>
      <c r="E3446" s="2" t="str">
        <f>HYPERLINK("https://ibp.a2mac1.com/costing(costing:projects/details/8191/process/6974114)","Automated Process")</f>
        <v>Automated Process</v>
      </c>
      <c r="F3446" t="s">
        <v>4307</v>
      </c>
    </row>
    <row r="3447" spans="1:6" ht="12.75">
      <c r="A3447">
        <v>5318131</v>
      </c>
      <c r="B3447">
        <v>6974114</v>
      </c>
      <c r="C3447" t="s">
        <v>24</v>
      </c>
      <c r="D3447" t="s">
        <v>99</v>
      </c>
      <c r="E3447" s="2" t="str">
        <f>HYPERLINK("https://ibp.a2mac1.com/costing(costing:projects/details/8191/material/5318131)","PP-PE")</f>
        <v>PP-PE</v>
      </c>
      <c r="F3447" t="s">
        <v>4310</v>
      </c>
    </row>
    <row r="3448" spans="1:6" ht="12.75">
      <c r="A3448">
        <v>6946688</v>
      </c>
      <c r="B3448">
        <v>6974114</v>
      </c>
      <c r="C3448" t="s">
        <v>189</v>
      </c>
      <c r="D3448" t="s">
        <v>99</v>
      </c>
      <c r="E3448" s="2" t="str">
        <f>HYPERLINK("https://ibp.a2mac1.com/costing(costing:projects/details/8191/equipment/6946688)","Equipment (Injection Molding)")</f>
        <v>Equipment (Injection Molding)</v>
      </c>
      <c r="F3448" t="s">
        <v>4310</v>
      </c>
    </row>
    <row r="3449" spans="1:6" ht="12.75">
      <c r="A3449">
        <v>5317926</v>
      </c>
      <c r="B3449">
        <v>5385067</v>
      </c>
      <c r="C3449" t="s">
        <v>574</v>
      </c>
      <c r="D3449" t="s">
        <v>8</v>
      </c>
      <c r="E3449" s="2" t="str">
        <f>HYPERLINK("https://ibp.a2mac1.com/costing(costing:projects/details/8191/component/5317926)","Panel holder &gt; Clips in rectangular hole")</f>
        <v>Panel holder &gt; Clips in rectangular hole</v>
      </c>
      <c r="F3449" t="s">
        <v>4306</v>
      </c>
    </row>
    <row r="3450" spans="1:6" ht="12.75">
      <c r="A3450">
        <v>5385059</v>
      </c>
      <c r="B3450">
        <v>5384935</v>
      </c>
      <c r="C3450" t="s">
        <v>12</v>
      </c>
      <c r="D3450" t="s">
        <v>8</v>
      </c>
      <c r="E3450" s="2" t="str">
        <f>HYPERLINK("https://ibp.a2mac1.com/costing(costing:projects/details/8191/part/5385059)","A Pillar Upper Panel")</f>
        <v>A Pillar Upper Panel</v>
      </c>
      <c r="F3450" t="s">
        <v>4305</v>
      </c>
    </row>
    <row r="3451" spans="1:6" ht="12.75">
      <c r="A3451">
        <v>6974037</v>
      </c>
      <c r="B3451">
        <v>5385059</v>
      </c>
      <c r="C3451" t="s">
        <v>99</v>
      </c>
      <c r="D3451" t="s">
        <v>12</v>
      </c>
      <c r="E3451" s="2" t="str">
        <f>HYPERLINK("https://ibp.a2mac1.com/costing(costing:projects/details/8191/process/6974037)","Automated Process")</f>
        <v>Automated Process</v>
      </c>
      <c r="F3451" t="s">
        <v>4313</v>
      </c>
    </row>
    <row r="3452" spans="1:6" ht="12.75">
      <c r="A3452">
        <v>5318026</v>
      </c>
      <c r="B3452">
        <v>6974037</v>
      </c>
      <c r="C3452" t="s">
        <v>24</v>
      </c>
      <c r="D3452" t="s">
        <v>99</v>
      </c>
      <c r="E3452" s="2" t="str">
        <f>HYPERLINK("https://ibp.a2mac1.com/costing(costing:projects/details/8191/material/5318026)","PP-GF25")</f>
        <v>PP-GF25</v>
      </c>
      <c r="F3452" t="s">
        <v>4317</v>
      </c>
    </row>
    <row r="3453" spans="1:6" ht="12.75">
      <c r="A3453">
        <v>5318027</v>
      </c>
      <c r="B3453">
        <v>6974037</v>
      </c>
      <c r="C3453" t="s">
        <v>24</v>
      </c>
      <c r="D3453" t="s">
        <v>99</v>
      </c>
      <c r="E3453" s="2" t="str">
        <f>HYPERLINK("https://ibp.a2mac1.com/costing(costing:projects/details/8191/material/5318027)","Fabric  skin")</f>
        <v>Fabric  skin</v>
      </c>
      <c r="F3453" t="s">
        <v>4317</v>
      </c>
    </row>
    <row r="3454" spans="1:6" ht="12.75">
      <c r="A3454">
        <v>6946617</v>
      </c>
      <c r="B3454">
        <v>6974037</v>
      </c>
      <c r="C3454" t="s">
        <v>189</v>
      </c>
      <c r="D3454" t="s">
        <v>99</v>
      </c>
      <c r="E3454" s="2" t="str">
        <f>HYPERLINK("https://ibp.a2mac1.com/costing(costing:projects/details/8191/equipment/6946617)","Equipment (Injection Molding)")</f>
        <v>Equipment (Injection Molding)</v>
      </c>
      <c r="F3454" t="s">
        <v>4317</v>
      </c>
    </row>
    <row r="3455" spans="1:6" ht="12.75">
      <c r="A3455">
        <v>5385060</v>
      </c>
      <c r="B3455">
        <v>5384935</v>
      </c>
      <c r="C3455" t="s">
        <v>12</v>
      </c>
      <c r="D3455" t="s">
        <v>8</v>
      </c>
      <c r="E3455" s="2" t="str">
        <f>HYPERLINK("https://ibp.a2mac1.com/costing(costing:projects/details/8191/part/5385060)","A Pillar Central Panel")</f>
        <v>A Pillar Central Panel</v>
      </c>
      <c r="F3455" t="s">
        <v>4305</v>
      </c>
    </row>
    <row r="3456" spans="1:6" ht="12.75">
      <c r="A3456">
        <v>6974038</v>
      </c>
      <c r="B3456">
        <v>5385060</v>
      </c>
      <c r="C3456" t="s">
        <v>99</v>
      </c>
      <c r="D3456" t="s">
        <v>12</v>
      </c>
      <c r="E3456" s="2" t="str">
        <f>HYPERLINK("https://ibp.a2mac1.com/costing(costing:projects/details/8191/process/6974038)","Automated Process")</f>
        <v>Automated Process</v>
      </c>
      <c r="F3456" t="s">
        <v>4321</v>
      </c>
    </row>
    <row r="3457" spans="1:6" ht="12.75">
      <c r="A3457">
        <v>5318028</v>
      </c>
      <c r="B3457">
        <v>6974038</v>
      </c>
      <c r="C3457" t="s">
        <v>24</v>
      </c>
      <c r="D3457" t="s">
        <v>99</v>
      </c>
      <c r="E3457" s="2" t="str">
        <f>HYPERLINK("https://ibp.a2mac1.com/costing(costing:projects/details/8191/material/5318028)","PP-PE")</f>
        <v>PP-PE</v>
      </c>
      <c r="F3457" t="s">
        <v>4324</v>
      </c>
    </row>
    <row r="3458" spans="1:6" ht="12.75">
      <c r="A3458">
        <v>6946618</v>
      </c>
      <c r="B3458">
        <v>6974038</v>
      </c>
      <c r="C3458" t="s">
        <v>189</v>
      </c>
      <c r="D3458" t="s">
        <v>99</v>
      </c>
      <c r="E3458" s="2" t="str">
        <f>HYPERLINK("https://ibp.a2mac1.com/costing(costing:projects/details/8191/equipment/6946618)","Equipment (Injection Molding)")</f>
        <v>Equipment (Injection Molding)</v>
      </c>
      <c r="F3458" t="s">
        <v>4324</v>
      </c>
    </row>
    <row r="3459" spans="1:6" ht="12.75">
      <c r="A3459">
        <v>5385061</v>
      </c>
      <c r="B3459">
        <v>5384935</v>
      </c>
      <c r="C3459" t="s">
        <v>12</v>
      </c>
      <c r="D3459" t="s">
        <v>8</v>
      </c>
      <c r="E3459" s="2" t="str">
        <f>HYPERLINK("https://ibp.a2mac1.com/costing(costing:projects/details/8191/part/5385061)","A Pillar Lower Panel")</f>
        <v>A Pillar Lower Panel</v>
      </c>
      <c r="F3459" t="s">
        <v>4305</v>
      </c>
    </row>
    <row r="3460" spans="1:6" ht="12.75">
      <c r="A3460">
        <v>6974039</v>
      </c>
      <c r="B3460">
        <v>5385061</v>
      </c>
      <c r="C3460" t="s">
        <v>99</v>
      </c>
      <c r="D3460" t="s">
        <v>12</v>
      </c>
      <c r="E3460" s="2" t="str">
        <f>HYPERLINK("https://ibp.a2mac1.com/costing(costing:projects/details/8191/process/6974039)","Automated Process")</f>
        <v>Automated Process</v>
      </c>
      <c r="F3460" t="s">
        <v>4326</v>
      </c>
    </row>
    <row r="3461" spans="1:6" ht="12.75">
      <c r="A3461">
        <v>5318029</v>
      </c>
      <c r="B3461">
        <v>6974039</v>
      </c>
      <c r="C3461" t="s">
        <v>24</v>
      </c>
      <c r="D3461" t="s">
        <v>99</v>
      </c>
      <c r="E3461" s="2" t="str">
        <f>HYPERLINK("https://ibp.a2mac1.com/costing(costing:projects/details/8191/material/5318029)","PP-PE")</f>
        <v>PP-PE</v>
      </c>
      <c r="F3461" t="s">
        <v>4327</v>
      </c>
    </row>
    <row r="3462" spans="1:6" ht="12.75">
      <c r="A3462">
        <v>6946619</v>
      </c>
      <c r="B3462">
        <v>6974039</v>
      </c>
      <c r="C3462" t="s">
        <v>189</v>
      </c>
      <c r="D3462" t="s">
        <v>99</v>
      </c>
      <c r="E3462" s="2" t="str">
        <f>HYPERLINK("https://ibp.a2mac1.com/costing(costing:projects/details/8191/equipment/6946619)","Equipment (Injection Molding)")</f>
        <v>Equipment (Injection Molding)</v>
      </c>
      <c r="F3462" t="s">
        <v>4327</v>
      </c>
    </row>
    <row r="3463" spans="1:6" ht="12.75">
      <c r="A3463">
        <v>5385062</v>
      </c>
      <c r="B3463">
        <v>5384935</v>
      </c>
      <c r="C3463" t="s">
        <v>12</v>
      </c>
      <c r="D3463" t="s">
        <v>8</v>
      </c>
      <c r="E3463" s="2" t="str">
        <f>HYPERLINK("https://ibp.a2mac1.com/costing(costing:projects/details/8191/part/5385062)","B Pillar Upper Panel")</f>
        <v>B Pillar Upper Panel</v>
      </c>
      <c r="F3463" t="s">
        <v>4305</v>
      </c>
    </row>
    <row r="3464" spans="1:6" ht="12.75">
      <c r="A3464">
        <v>6974040</v>
      </c>
      <c r="B3464">
        <v>5385062</v>
      </c>
      <c r="C3464" t="s">
        <v>99</v>
      </c>
      <c r="D3464" t="s">
        <v>12</v>
      </c>
      <c r="E3464" s="2" t="str">
        <f>HYPERLINK("https://ibp.a2mac1.com/costing(costing:projects/details/8191/process/6974040)","Automated Process")</f>
        <v>Automated Process</v>
      </c>
      <c r="F3464" t="s">
        <v>4329</v>
      </c>
    </row>
    <row r="3465" spans="1:6" ht="12.75">
      <c r="A3465">
        <v>5318030</v>
      </c>
      <c r="B3465">
        <v>6974040</v>
      </c>
      <c r="C3465" t="s">
        <v>24</v>
      </c>
      <c r="D3465" t="s">
        <v>99</v>
      </c>
      <c r="E3465" s="2" t="str">
        <f>HYPERLINK("https://ibp.a2mac1.com/costing(costing:projects/details/8191/material/5318030)","PP-PE-TD15")</f>
        <v>PP-PE-TD15</v>
      </c>
      <c r="F3465" t="s">
        <v>4333</v>
      </c>
    </row>
    <row r="3466" spans="1:6" ht="12.75">
      <c r="A3466">
        <v>5318031</v>
      </c>
      <c r="B3466">
        <v>6974040</v>
      </c>
      <c r="C3466" t="s">
        <v>24</v>
      </c>
      <c r="D3466" t="s">
        <v>99</v>
      </c>
      <c r="E3466" s="2" t="str">
        <f>HYPERLINK("https://ibp.a2mac1.com/costing(costing:projects/details/8191/material/5318031)","Fabric  skin")</f>
        <v>Fabric  skin</v>
      </c>
      <c r="F3466" t="s">
        <v>4333</v>
      </c>
    </row>
    <row r="3467" spans="1:6" ht="12.75">
      <c r="A3467">
        <v>6946620</v>
      </c>
      <c r="B3467">
        <v>6974040</v>
      </c>
      <c r="C3467" t="s">
        <v>189</v>
      </c>
      <c r="D3467" t="s">
        <v>99</v>
      </c>
      <c r="E3467" s="2" t="str">
        <f>HYPERLINK("https://ibp.a2mac1.com/costing(costing:projects/details/8191/equipment/6946620)","Equipment (Injection Molding)")</f>
        <v>Equipment (Injection Molding)</v>
      </c>
      <c r="F3467" t="s">
        <v>4333</v>
      </c>
    </row>
    <row r="3468" spans="1:6" ht="12.75">
      <c r="A3468">
        <v>5385063</v>
      </c>
      <c r="B3468">
        <v>5384935</v>
      </c>
      <c r="C3468" t="s">
        <v>12</v>
      </c>
      <c r="D3468" t="s">
        <v>8</v>
      </c>
      <c r="E3468" s="2" t="str">
        <f>HYPERLINK("https://ibp.a2mac1.com/costing(costing:projects/details/8191/part/5385063)","B Pillar Lower Panel")</f>
        <v>B Pillar Lower Panel</v>
      </c>
      <c r="F3468" t="s">
        <v>4305</v>
      </c>
    </row>
    <row r="3469" spans="1:6" ht="12.75">
      <c r="A3469">
        <v>6974041</v>
      </c>
      <c r="B3469">
        <v>5385063</v>
      </c>
      <c r="C3469" t="s">
        <v>99</v>
      </c>
      <c r="D3469" t="s">
        <v>12</v>
      </c>
      <c r="E3469" s="2" t="str">
        <f>HYPERLINK("https://ibp.a2mac1.com/costing(costing:projects/details/8191/process/6974041)","Automated Process")</f>
        <v>Automated Process</v>
      </c>
      <c r="F3469" t="s">
        <v>4337</v>
      </c>
    </row>
    <row r="3470" spans="1:6" ht="12.75">
      <c r="A3470">
        <v>5318032</v>
      </c>
      <c r="B3470">
        <v>6974041</v>
      </c>
      <c r="C3470" t="s">
        <v>24</v>
      </c>
      <c r="D3470" t="s">
        <v>99</v>
      </c>
      <c r="E3470" s="2" t="str">
        <f>HYPERLINK("https://ibp.a2mac1.com/costing(costing:projects/details/8191/material/5318032)","PP-PE")</f>
        <v>PP-PE</v>
      </c>
      <c r="F3470" t="s">
        <v>4340</v>
      </c>
    </row>
    <row r="3471" spans="1:6" ht="12.75">
      <c r="A3471">
        <v>6946621</v>
      </c>
      <c r="B3471">
        <v>6974041</v>
      </c>
      <c r="C3471" t="s">
        <v>189</v>
      </c>
      <c r="D3471" t="s">
        <v>99</v>
      </c>
      <c r="E3471" s="2" t="str">
        <f>HYPERLINK("https://ibp.a2mac1.com/costing(costing:projects/details/8191/equipment/6946621)","Equipment (Injection Molding)")</f>
        <v>Equipment (Injection Molding)</v>
      </c>
      <c r="F3471" t="s">
        <v>4340</v>
      </c>
    </row>
    <row r="3472" spans="1:6" ht="12.75">
      <c r="A3472">
        <v>5385064</v>
      </c>
      <c r="B3472">
        <v>5384935</v>
      </c>
      <c r="C3472" t="s">
        <v>12</v>
      </c>
      <c r="D3472" t="s">
        <v>8</v>
      </c>
      <c r="E3472" s="2" t="str">
        <f>HYPERLINK("https://ibp.a2mac1.com/costing(costing:projects/details/8191/part/5385064)","B Pillar Panel Support")</f>
        <v>B Pillar Panel Support</v>
      </c>
      <c r="F3472" t="s">
        <v>4305</v>
      </c>
    </row>
    <row r="3473" spans="1:6" ht="12.75">
      <c r="A3473">
        <v>6974042</v>
      </c>
      <c r="B3473">
        <v>5385064</v>
      </c>
      <c r="C3473" t="s">
        <v>99</v>
      </c>
      <c r="D3473" t="s">
        <v>12</v>
      </c>
      <c r="E3473" s="2" t="str">
        <f>HYPERLINK("https://ibp.a2mac1.com/costing(costing:projects/details/8191/process/6974042)","Automated Process")</f>
        <v>Automated Process</v>
      </c>
      <c r="F3473" t="s">
        <v>4342</v>
      </c>
    </row>
    <row r="3474" spans="1:6" ht="12.75">
      <c r="A3474">
        <v>5318033</v>
      </c>
      <c r="B3474">
        <v>6974042</v>
      </c>
      <c r="C3474" t="s">
        <v>24</v>
      </c>
      <c r="D3474" t="s">
        <v>99</v>
      </c>
      <c r="E3474" s="2" t="str">
        <f>HYPERLINK("https://ibp.a2mac1.com/costing(costing:projects/details/8191/material/5318033)","PP-PE-TD15")</f>
        <v>PP-PE-TD15</v>
      </c>
      <c r="F3474" t="s">
        <v>4343</v>
      </c>
    </row>
    <row r="3475" spans="1:6" ht="12.75">
      <c r="A3475">
        <v>6946622</v>
      </c>
      <c r="B3475">
        <v>6974042</v>
      </c>
      <c r="C3475" t="s">
        <v>189</v>
      </c>
      <c r="D3475" t="s">
        <v>99</v>
      </c>
      <c r="E3475" s="2" t="str">
        <f>HYPERLINK("https://ibp.a2mac1.com/costing(costing:projects/details/8191/equipment/6946622)","Equipment (Injection Molding)")</f>
        <v>Equipment (Injection Molding)</v>
      </c>
      <c r="F3475" t="s">
        <v>4343</v>
      </c>
    </row>
    <row r="3476" spans="1:6" ht="12.75">
      <c r="A3476">
        <v>5385065</v>
      </c>
      <c r="B3476">
        <v>5384935</v>
      </c>
      <c r="C3476" t="s">
        <v>12</v>
      </c>
      <c r="D3476" t="s">
        <v>8</v>
      </c>
      <c r="E3476" s="2" t="str">
        <f>HYPERLINK("https://ibp.a2mac1.com/costing(costing:projects/details/8191/part/5385065)","C Pillar Lower Panel")</f>
        <v>C Pillar Lower Panel</v>
      </c>
      <c r="F3476" t="s">
        <v>4305</v>
      </c>
    </row>
    <row r="3477" spans="1:6" ht="12.75">
      <c r="A3477">
        <v>6974043</v>
      </c>
      <c r="B3477">
        <v>5385065</v>
      </c>
      <c r="C3477" t="s">
        <v>99</v>
      </c>
      <c r="D3477" t="s">
        <v>12</v>
      </c>
      <c r="E3477" s="2" t="str">
        <f>HYPERLINK("https://ibp.a2mac1.com/costing(costing:projects/details/8191/process/6974043)","Automated Process")</f>
        <v>Automated Process</v>
      </c>
      <c r="F3477" t="s">
        <v>4345</v>
      </c>
    </row>
    <row r="3478" spans="1:6" ht="12.75">
      <c r="A3478">
        <v>5318034</v>
      </c>
      <c r="B3478">
        <v>6974043</v>
      </c>
      <c r="C3478" t="s">
        <v>24</v>
      </c>
      <c r="D3478" t="s">
        <v>99</v>
      </c>
      <c r="E3478" s="2" t="str">
        <f>HYPERLINK("https://ibp.a2mac1.com/costing(costing:projects/details/8191/material/5318034)","PP-PE")</f>
        <v>PP-PE</v>
      </c>
      <c r="F3478" t="s">
        <v>4348</v>
      </c>
    </row>
    <row r="3479" spans="1:6" ht="12.75">
      <c r="A3479">
        <v>6946623</v>
      </c>
      <c r="B3479">
        <v>6974043</v>
      </c>
      <c r="C3479" t="s">
        <v>189</v>
      </c>
      <c r="D3479" t="s">
        <v>99</v>
      </c>
      <c r="E3479" s="2" t="str">
        <f>HYPERLINK("https://ibp.a2mac1.com/costing(costing:projects/details/8191/equipment/6946623)","Equipment (Injection Molding)")</f>
        <v>Equipment (Injection Molding)</v>
      </c>
      <c r="F3479" t="s">
        <v>4348</v>
      </c>
    </row>
    <row r="3480" spans="1:6" ht="12.75">
      <c r="A3480">
        <v>5385066</v>
      </c>
      <c r="B3480">
        <v>5384935</v>
      </c>
      <c r="C3480" t="s">
        <v>12</v>
      </c>
      <c r="D3480" t="s">
        <v>8</v>
      </c>
      <c r="E3480" s="2" t="str">
        <f>HYPERLINK("https://ibp.a2mac1.com/costing(costing:projects/details/8191/part/5385066)","Rear Quarter Panel")</f>
        <v>Rear Quarter Panel</v>
      </c>
      <c r="F3480" t="s">
        <v>4305</v>
      </c>
    </row>
    <row r="3481" spans="1:6" ht="12.75">
      <c r="A3481">
        <v>6974044</v>
      </c>
      <c r="B3481">
        <v>5385066</v>
      </c>
      <c r="C3481" t="s">
        <v>99</v>
      </c>
      <c r="D3481" t="s">
        <v>12</v>
      </c>
      <c r="E3481" s="2" t="str">
        <f>HYPERLINK("https://ibp.a2mac1.com/costing(costing:projects/details/8191/process/6974044)","Automated Process")</f>
        <v>Automated Process</v>
      </c>
      <c r="F3481" t="s">
        <v>4350</v>
      </c>
    </row>
    <row r="3482" spans="1:6" ht="12.75">
      <c r="A3482">
        <v>5318035</v>
      </c>
      <c r="B3482">
        <v>6974044</v>
      </c>
      <c r="C3482" t="s">
        <v>24</v>
      </c>
      <c r="D3482" t="s">
        <v>99</v>
      </c>
      <c r="E3482" s="2" t="str">
        <f>HYPERLINK("https://ibp.a2mac1.com/costing(costing:projects/details/8191/material/5318035)","PP-TD15")</f>
        <v>PP-TD15</v>
      </c>
      <c r="F3482" t="s">
        <v>4354</v>
      </c>
    </row>
    <row r="3483" spans="1:6" ht="12.75">
      <c r="A3483">
        <v>5318036</v>
      </c>
      <c r="B3483">
        <v>6974044</v>
      </c>
      <c r="C3483" t="s">
        <v>24</v>
      </c>
      <c r="D3483" t="s">
        <v>99</v>
      </c>
      <c r="E3483" s="2" t="str">
        <f>HYPERLINK("https://ibp.a2mac1.com/costing(costing:projects/details/8191/material/5318036)","Fabric  skin")</f>
        <v>Fabric  skin</v>
      </c>
      <c r="F3483" t="s">
        <v>4354</v>
      </c>
    </row>
    <row r="3484" spans="1:6" ht="12.75">
      <c r="A3484">
        <v>6946624</v>
      </c>
      <c r="B3484">
        <v>6974044</v>
      </c>
      <c r="C3484" t="s">
        <v>189</v>
      </c>
      <c r="D3484" t="s">
        <v>99</v>
      </c>
      <c r="E3484" s="2" t="str">
        <f>HYPERLINK("https://ibp.a2mac1.com/costing(costing:projects/details/8191/equipment/6946624)","Equipment (Injection Molding)")</f>
        <v>Equipment (Injection Molding)</v>
      </c>
      <c r="F3484" t="s">
        <v>4354</v>
      </c>
    </row>
    <row r="3485" spans="1:6" ht="12.75">
      <c r="A3485">
        <v>5317826</v>
      </c>
      <c r="B3485">
        <v>5384935</v>
      </c>
      <c r="C3485" t="s">
        <v>574</v>
      </c>
      <c r="D3485" t="s">
        <v>8</v>
      </c>
      <c r="E3485" s="2" t="str">
        <f>HYPERLINK("https://ibp.a2mac1.com/costing(costing:projects/details/8191/component/5317826)","Panel holder &gt; Clips in rectangular hole")</f>
        <v>Panel holder &gt; Clips in rectangular hole</v>
      </c>
      <c r="F3485" t="s">
        <v>4305</v>
      </c>
    </row>
    <row r="3486" spans="1:6" ht="12.75">
      <c r="A3486">
        <v>5317827</v>
      </c>
      <c r="B3486">
        <v>5384935</v>
      </c>
      <c r="C3486" t="s">
        <v>574</v>
      </c>
      <c r="D3486" t="s">
        <v>8</v>
      </c>
      <c r="E3486" s="2" t="str">
        <f>HYPERLINK("https://ibp.a2mac1.com/costing(costing:projects/details/8191/component/5317827)","Rivet &gt; Head rivet")</f>
        <v>Rivet &gt; Head rivet</v>
      </c>
      <c r="F3486" t="s">
        <v>4305</v>
      </c>
    </row>
    <row r="3487" spans="1:6" ht="12.75">
      <c r="A3487">
        <v>5317828</v>
      </c>
      <c r="B3487">
        <v>5384935</v>
      </c>
      <c r="C3487" t="s">
        <v>574</v>
      </c>
      <c r="D3487" t="s">
        <v>8</v>
      </c>
      <c r="E3487" s="2" t="str">
        <f>HYPERLINK("https://ibp.a2mac1.com/costing(costing:projects/details/8191/component/5317828)","Panel holder &gt; Clips in rectangular hole")</f>
        <v>Panel holder &gt; Clips in rectangular hole</v>
      </c>
      <c r="F3487" t="s">
        <v>4305</v>
      </c>
    </row>
    <row r="3488" spans="1:6" ht="12.75">
      <c r="A3488">
        <v>5317829</v>
      </c>
      <c r="B3488">
        <v>5384935</v>
      </c>
      <c r="C3488" t="s">
        <v>574</v>
      </c>
      <c r="D3488" t="s">
        <v>8</v>
      </c>
      <c r="E3488" s="2" t="str">
        <f>HYPERLINK("https://ibp.a2mac1.com/costing(costing:projects/details/8191/component/5317829)","Panel holder &gt; Clips in rectangular hole")</f>
        <v>Panel holder &gt; Clips in rectangular hole</v>
      </c>
      <c r="F3488" t="s">
        <v>4305</v>
      </c>
    </row>
    <row r="3489" spans="1:6" ht="12.75">
      <c r="A3489">
        <v>5317830</v>
      </c>
      <c r="B3489">
        <v>5384935</v>
      </c>
      <c r="C3489" t="s">
        <v>574</v>
      </c>
      <c r="D3489" t="s">
        <v>8</v>
      </c>
      <c r="E3489" s="2" t="str">
        <f>HYPERLINK("https://ibp.a2mac1.com/costing(costing:projects/details/8191/component/5317830)","Panel holder &gt; Clips in round hole")</f>
        <v>Panel holder &gt; Clips in round hole</v>
      </c>
      <c r="F3489" t="s">
        <v>4305</v>
      </c>
    </row>
    <row r="3490" spans="1:6" ht="12.75">
      <c r="A3490">
        <v>5317831</v>
      </c>
      <c r="B3490">
        <v>5384935</v>
      </c>
      <c r="C3490" t="s">
        <v>574</v>
      </c>
      <c r="D3490" t="s">
        <v>8</v>
      </c>
      <c r="E3490" s="2" t="str">
        <f>HYPERLINK("https://ibp.a2mac1.com/costing(costing:projects/details/8191/component/5317831)","Panel holder &gt; Clips in rectangular hole")</f>
        <v>Panel holder &gt; Clips in rectangular hole</v>
      </c>
      <c r="F3490" t="s">
        <v>4305</v>
      </c>
    </row>
    <row r="3491" spans="1:6" ht="12.75">
      <c r="A3491">
        <v>5384936</v>
      </c>
      <c r="B3491">
        <v>5384843</v>
      </c>
      <c r="C3491" t="s">
        <v>8</v>
      </c>
      <c r="D3491" t="s">
        <v>8</v>
      </c>
      <c r="E3491" s="2" t="str">
        <f>HYPERLINK("https://ibp.a2mac1.com/costing(costing:projects/details/8191/assembly/5384936)","Right Side")</f>
        <v>Right Side</v>
      </c>
      <c r="F3491" t="s">
        <v>4304</v>
      </c>
    </row>
    <row r="3492" spans="1:6" ht="12.75">
      <c r="A3492">
        <v>5385076</v>
      </c>
      <c r="B3492">
        <v>5384936</v>
      </c>
      <c r="C3492" t="s">
        <v>8</v>
      </c>
      <c r="D3492" t="s">
        <v>8</v>
      </c>
      <c r="E3492" s="2" t="str">
        <f>HYPERLINK("https://ibp.a2mac1.com/costing(costing:projects/details/8191/assembly/5385076)","Door Step Inner Panel")</f>
        <v>Door Step Inner Panel</v>
      </c>
      <c r="F3492" t="s">
        <v>4359</v>
      </c>
    </row>
    <row r="3493" spans="1:6" ht="12.75">
      <c r="A3493">
        <v>5385109</v>
      </c>
      <c r="B3493">
        <v>5385076</v>
      </c>
      <c r="C3493" t="s">
        <v>12</v>
      </c>
      <c r="D3493" t="s">
        <v>8</v>
      </c>
      <c r="E3493" s="2" t="str">
        <f>HYPERLINK("https://ibp.a2mac1.com/costing(costing:projects/details/8191/part/5385109)","Front")</f>
        <v>Front</v>
      </c>
      <c r="F3493" t="s">
        <v>4360</v>
      </c>
    </row>
    <row r="3494" spans="1:6" ht="12.75">
      <c r="A3494">
        <v>6974115</v>
      </c>
      <c r="B3494">
        <v>5385109</v>
      </c>
      <c r="C3494" t="s">
        <v>99</v>
      </c>
      <c r="D3494" t="s">
        <v>12</v>
      </c>
      <c r="E3494" s="2" t="str">
        <f>HYPERLINK("https://ibp.a2mac1.com/costing(costing:projects/details/8191/process/6974115)","Automated Process")</f>
        <v>Automated Process</v>
      </c>
      <c r="F3494" t="s">
        <v>4361</v>
      </c>
    </row>
    <row r="3495" spans="1:6" ht="12.75">
      <c r="A3495">
        <v>5318132</v>
      </c>
      <c r="B3495">
        <v>6974115</v>
      </c>
      <c r="C3495" t="s">
        <v>24</v>
      </c>
      <c r="D3495" t="s">
        <v>99</v>
      </c>
      <c r="E3495" s="2" t="str">
        <f>HYPERLINK("https://ibp.a2mac1.com/costing(costing:projects/details/8191/material/5318132)","PP-PE")</f>
        <v>PP-PE</v>
      </c>
      <c r="F3495" t="s">
        <v>4364</v>
      </c>
    </row>
    <row r="3496" spans="1:6" ht="12.75">
      <c r="A3496">
        <v>6946689</v>
      </c>
      <c r="B3496">
        <v>6974115</v>
      </c>
      <c r="C3496" t="s">
        <v>189</v>
      </c>
      <c r="D3496" t="s">
        <v>99</v>
      </c>
      <c r="E3496" s="2" t="str">
        <f>HYPERLINK("https://ibp.a2mac1.com/costing(costing:projects/details/8191/equipment/6946689)","Equipment (Injection Molding)")</f>
        <v>Equipment (Injection Molding)</v>
      </c>
      <c r="F3496" t="s">
        <v>4364</v>
      </c>
    </row>
    <row r="3497" spans="1:6" ht="12.75">
      <c r="A3497">
        <v>5317927</v>
      </c>
      <c r="B3497">
        <v>5385076</v>
      </c>
      <c r="C3497" t="s">
        <v>574</v>
      </c>
      <c r="D3497" t="s">
        <v>8</v>
      </c>
      <c r="E3497" s="2" t="str">
        <f>HYPERLINK("https://ibp.a2mac1.com/costing(costing:projects/details/8191/component/5317927)","Panel holder &gt; Clips in rectangular hole")</f>
        <v>Panel holder &gt; Clips in rectangular hole</v>
      </c>
      <c r="F3497" t="s">
        <v>4360</v>
      </c>
    </row>
    <row r="3498" spans="1:6" ht="12.75">
      <c r="A3498">
        <v>5385068</v>
      </c>
      <c r="B3498">
        <v>5384936</v>
      </c>
      <c r="C3498" t="s">
        <v>12</v>
      </c>
      <c r="D3498" t="s">
        <v>8</v>
      </c>
      <c r="E3498" s="2" t="str">
        <f>HYPERLINK("https://ibp.a2mac1.com/costing(costing:projects/details/8191/part/5385068)","A Pillar Upper Panel")</f>
        <v>A Pillar Upper Panel</v>
      </c>
      <c r="F3498" t="s">
        <v>4359</v>
      </c>
    </row>
    <row r="3499" spans="1:6" ht="12.75">
      <c r="A3499">
        <v>6974045</v>
      </c>
      <c r="B3499">
        <v>5385068</v>
      </c>
      <c r="C3499" t="s">
        <v>99</v>
      </c>
      <c r="D3499" t="s">
        <v>12</v>
      </c>
      <c r="E3499" s="2" t="str">
        <f>HYPERLINK("https://ibp.a2mac1.com/costing(costing:projects/details/8191/process/6974045)","Automated Process")</f>
        <v>Automated Process</v>
      </c>
      <c r="F3499" t="s">
        <v>4367</v>
      </c>
    </row>
    <row r="3500" spans="1:6" ht="12.75">
      <c r="A3500">
        <v>5318037</v>
      </c>
      <c r="B3500">
        <v>6974045</v>
      </c>
      <c r="C3500" t="s">
        <v>24</v>
      </c>
      <c r="D3500" t="s">
        <v>99</v>
      </c>
      <c r="E3500" s="2" t="str">
        <f>HYPERLINK("https://ibp.a2mac1.com/costing(costing:projects/details/8191/material/5318037)","PP-GF25")</f>
        <v>PP-GF25</v>
      </c>
      <c r="F3500" t="s">
        <v>4368</v>
      </c>
    </row>
    <row r="3501" spans="1:6" ht="12.75">
      <c r="A3501">
        <v>5318038</v>
      </c>
      <c r="B3501">
        <v>6974045</v>
      </c>
      <c r="C3501" t="s">
        <v>24</v>
      </c>
      <c r="D3501" t="s">
        <v>99</v>
      </c>
      <c r="E3501" s="2" t="str">
        <f>HYPERLINK("https://ibp.a2mac1.com/costing(costing:projects/details/8191/material/5318038)","Fabric  skin")</f>
        <v>Fabric  skin</v>
      </c>
      <c r="F3501" t="s">
        <v>4368</v>
      </c>
    </row>
    <row r="3502" spans="1:6" ht="12.75">
      <c r="A3502">
        <v>6946625</v>
      </c>
      <c r="B3502">
        <v>6974045</v>
      </c>
      <c r="C3502" t="s">
        <v>189</v>
      </c>
      <c r="D3502" t="s">
        <v>99</v>
      </c>
      <c r="E3502" s="2" t="str">
        <f>HYPERLINK("https://ibp.a2mac1.com/costing(costing:projects/details/8191/equipment/6946625)","Equipment (Injection Molding)")</f>
        <v>Equipment (Injection Molding)</v>
      </c>
      <c r="F3502" t="s">
        <v>4368</v>
      </c>
    </row>
    <row r="3503" spans="1:6" ht="12.75">
      <c r="A3503">
        <v>5385069</v>
      </c>
      <c r="B3503">
        <v>5384936</v>
      </c>
      <c r="C3503" t="s">
        <v>12</v>
      </c>
      <c r="D3503" t="s">
        <v>8</v>
      </c>
      <c r="E3503" s="2" t="str">
        <f>HYPERLINK("https://ibp.a2mac1.com/costing(costing:projects/details/8191/part/5385069)","A Pillar Central Panel")</f>
        <v>A Pillar Central Panel</v>
      </c>
      <c r="F3503" t="s">
        <v>4359</v>
      </c>
    </row>
    <row r="3504" spans="1:6" ht="12.75">
      <c r="A3504">
        <v>6974046</v>
      </c>
      <c r="B3504">
        <v>5385069</v>
      </c>
      <c r="C3504" t="s">
        <v>99</v>
      </c>
      <c r="D3504" t="s">
        <v>12</v>
      </c>
      <c r="E3504" s="2" t="str">
        <f>HYPERLINK("https://ibp.a2mac1.com/costing(costing:projects/details/8191/process/6974046)","Automated Process")</f>
        <v>Automated Process</v>
      </c>
      <c r="F3504" t="s">
        <v>4370</v>
      </c>
    </row>
    <row r="3505" spans="1:6" ht="12.75">
      <c r="A3505">
        <v>5318039</v>
      </c>
      <c r="B3505">
        <v>6974046</v>
      </c>
      <c r="C3505" t="s">
        <v>24</v>
      </c>
      <c r="D3505" t="s">
        <v>99</v>
      </c>
      <c r="E3505" s="2" t="str">
        <f>HYPERLINK("https://ibp.a2mac1.com/costing(costing:projects/details/8191/material/5318039)","PP-PE")</f>
        <v>PP-PE</v>
      </c>
      <c r="F3505" t="s">
        <v>4371</v>
      </c>
    </row>
    <row r="3506" spans="1:6" ht="12.75">
      <c r="A3506">
        <v>6946626</v>
      </c>
      <c r="B3506">
        <v>6974046</v>
      </c>
      <c r="C3506" t="s">
        <v>189</v>
      </c>
      <c r="D3506" t="s">
        <v>99</v>
      </c>
      <c r="E3506" s="2" t="str">
        <f>HYPERLINK("https://ibp.a2mac1.com/costing(costing:projects/details/8191/equipment/6946626)","Equipment (Injection Molding)")</f>
        <v>Equipment (Injection Molding)</v>
      </c>
      <c r="F3506" t="s">
        <v>4371</v>
      </c>
    </row>
    <row r="3507" spans="1:6" ht="12.75">
      <c r="A3507">
        <v>5385070</v>
      </c>
      <c r="B3507">
        <v>5384936</v>
      </c>
      <c r="C3507" t="s">
        <v>12</v>
      </c>
      <c r="D3507" t="s">
        <v>8</v>
      </c>
      <c r="E3507" s="2" t="str">
        <f>HYPERLINK("https://ibp.a2mac1.com/costing(costing:projects/details/8191/part/5385070)","A Pillar Lower Panel")</f>
        <v>A Pillar Lower Panel</v>
      </c>
      <c r="F3507" t="s">
        <v>4359</v>
      </c>
    </row>
    <row r="3508" spans="1:6" ht="12.75">
      <c r="A3508">
        <v>6974047</v>
      </c>
      <c r="B3508">
        <v>5385070</v>
      </c>
      <c r="C3508" t="s">
        <v>99</v>
      </c>
      <c r="D3508" t="s">
        <v>12</v>
      </c>
      <c r="E3508" s="2" t="str">
        <f>HYPERLINK("https://ibp.a2mac1.com/costing(costing:projects/details/8191/process/6974047)","Automated Process")</f>
        <v>Automated Process</v>
      </c>
      <c r="F3508" t="s">
        <v>4373</v>
      </c>
    </row>
    <row r="3509" spans="1:6" ht="12.75">
      <c r="A3509">
        <v>5318040</v>
      </c>
      <c r="B3509">
        <v>6974047</v>
      </c>
      <c r="C3509" t="s">
        <v>24</v>
      </c>
      <c r="D3509" t="s">
        <v>99</v>
      </c>
      <c r="E3509" s="2" t="str">
        <f>HYPERLINK("https://ibp.a2mac1.com/costing(costing:projects/details/8191/material/5318040)","PP-PE")</f>
        <v>PP-PE</v>
      </c>
      <c r="F3509" t="s">
        <v>4374</v>
      </c>
    </row>
    <row r="3510" spans="1:6" ht="12.75">
      <c r="A3510">
        <v>6946627</v>
      </c>
      <c r="B3510">
        <v>6974047</v>
      </c>
      <c r="C3510" t="s">
        <v>189</v>
      </c>
      <c r="D3510" t="s">
        <v>99</v>
      </c>
      <c r="E3510" s="2" t="str">
        <f>HYPERLINK("https://ibp.a2mac1.com/costing(costing:projects/details/8191/equipment/6946627)","Equipment (Injection Molding)")</f>
        <v>Equipment (Injection Molding)</v>
      </c>
      <c r="F3510" t="s">
        <v>4374</v>
      </c>
    </row>
    <row r="3511" spans="1:6" ht="12.75">
      <c r="A3511">
        <v>5385071</v>
      </c>
      <c r="B3511">
        <v>5384936</v>
      </c>
      <c r="C3511" t="s">
        <v>12</v>
      </c>
      <c r="D3511" t="s">
        <v>8</v>
      </c>
      <c r="E3511" s="2" t="str">
        <f>HYPERLINK("https://ibp.a2mac1.com/costing(costing:projects/details/8191/part/5385071)","B Pillar Upper Panel")</f>
        <v>B Pillar Upper Panel</v>
      </c>
      <c r="F3511" t="s">
        <v>4359</v>
      </c>
    </row>
    <row r="3512" spans="1:6" ht="12.75">
      <c r="A3512">
        <v>6974048</v>
      </c>
      <c r="B3512">
        <v>5385071</v>
      </c>
      <c r="C3512" t="s">
        <v>99</v>
      </c>
      <c r="D3512" t="s">
        <v>12</v>
      </c>
      <c r="E3512" s="2" t="str">
        <f>HYPERLINK("https://ibp.a2mac1.com/costing(costing:projects/details/8191/process/6974048)","Automated Process")</f>
        <v>Automated Process</v>
      </c>
      <c r="F3512" t="s">
        <v>4376</v>
      </c>
    </row>
    <row r="3513" spans="1:6" ht="12.75">
      <c r="A3513">
        <v>5318041</v>
      </c>
      <c r="B3513">
        <v>6974048</v>
      </c>
      <c r="C3513" t="s">
        <v>24</v>
      </c>
      <c r="D3513" t="s">
        <v>99</v>
      </c>
      <c r="E3513" s="2" t="str">
        <f>HYPERLINK("https://ibp.a2mac1.com/costing(costing:projects/details/8191/material/5318041)","PP-PE-TD15")</f>
        <v>PP-PE-TD15</v>
      </c>
      <c r="F3513" t="s">
        <v>4377</v>
      </c>
    </row>
    <row r="3514" spans="1:6" ht="12.75">
      <c r="A3514">
        <v>5318042</v>
      </c>
      <c r="B3514">
        <v>6974048</v>
      </c>
      <c r="C3514" t="s">
        <v>24</v>
      </c>
      <c r="D3514" t="s">
        <v>99</v>
      </c>
      <c r="E3514" s="2" t="str">
        <f>HYPERLINK("https://ibp.a2mac1.com/costing(costing:projects/details/8191/material/5318042)","Fabric  skin")</f>
        <v>Fabric  skin</v>
      </c>
      <c r="F3514" t="s">
        <v>4377</v>
      </c>
    </row>
    <row r="3515" spans="1:6" ht="12.75">
      <c r="A3515">
        <v>6946628</v>
      </c>
      <c r="B3515">
        <v>6974048</v>
      </c>
      <c r="C3515" t="s">
        <v>189</v>
      </c>
      <c r="D3515" t="s">
        <v>99</v>
      </c>
      <c r="E3515" s="2" t="str">
        <f>HYPERLINK("https://ibp.a2mac1.com/costing(costing:projects/details/8191/equipment/6946628)","Equipment (Injection Molding)")</f>
        <v>Equipment (Injection Molding)</v>
      </c>
      <c r="F3515" t="s">
        <v>4377</v>
      </c>
    </row>
    <row r="3516" spans="1:6" ht="12.75">
      <c r="A3516">
        <v>5385072</v>
      </c>
      <c r="B3516">
        <v>5384936</v>
      </c>
      <c r="C3516" t="s">
        <v>12</v>
      </c>
      <c r="D3516" t="s">
        <v>8</v>
      </c>
      <c r="E3516" s="2" t="str">
        <f>HYPERLINK("https://ibp.a2mac1.com/costing(costing:projects/details/8191/part/5385072)","B Pillar Lower Panel")</f>
        <v>B Pillar Lower Panel</v>
      </c>
      <c r="F3516" t="s">
        <v>4359</v>
      </c>
    </row>
    <row r="3517" spans="1:6" ht="12.75">
      <c r="A3517">
        <v>6974049</v>
      </c>
      <c r="B3517">
        <v>5385072</v>
      </c>
      <c r="C3517" t="s">
        <v>99</v>
      </c>
      <c r="D3517" t="s">
        <v>12</v>
      </c>
      <c r="E3517" s="2" t="str">
        <f>HYPERLINK("https://ibp.a2mac1.com/costing(costing:projects/details/8191/process/6974049)","Automated Process")</f>
        <v>Automated Process</v>
      </c>
      <c r="F3517" t="s">
        <v>4379</v>
      </c>
    </row>
    <row r="3518" spans="1:6" ht="12.75">
      <c r="A3518">
        <v>5318043</v>
      </c>
      <c r="B3518">
        <v>6974049</v>
      </c>
      <c r="C3518" t="s">
        <v>24</v>
      </c>
      <c r="D3518" t="s">
        <v>99</v>
      </c>
      <c r="E3518" s="2" t="str">
        <f>HYPERLINK("https://ibp.a2mac1.com/costing(costing:projects/details/8191/material/5318043)","PP-PE")</f>
        <v>PP-PE</v>
      </c>
      <c r="F3518" t="s">
        <v>4381</v>
      </c>
    </row>
    <row r="3519" spans="1:6" ht="12.75">
      <c r="A3519">
        <v>6946629</v>
      </c>
      <c r="B3519">
        <v>6974049</v>
      </c>
      <c r="C3519" t="s">
        <v>189</v>
      </c>
      <c r="D3519" t="s">
        <v>99</v>
      </c>
      <c r="E3519" s="2" t="str">
        <f>HYPERLINK("https://ibp.a2mac1.com/costing(costing:projects/details/8191/equipment/6946629)","Equipment (Injection Molding)")</f>
        <v>Equipment (Injection Molding)</v>
      </c>
      <c r="F3519" t="s">
        <v>4381</v>
      </c>
    </row>
    <row r="3520" spans="1:6" ht="12.75">
      <c r="A3520">
        <v>5385073</v>
      </c>
      <c r="B3520">
        <v>5384936</v>
      </c>
      <c r="C3520" t="s">
        <v>12</v>
      </c>
      <c r="D3520" t="s">
        <v>8</v>
      </c>
      <c r="E3520" s="2" t="str">
        <f>HYPERLINK("https://ibp.a2mac1.com/costing(costing:projects/details/8191/part/5385073)","B Pillar Support Panel")</f>
        <v>B Pillar Support Panel</v>
      </c>
      <c r="F3520" t="s">
        <v>4359</v>
      </c>
    </row>
    <row r="3521" spans="1:6" ht="12.75">
      <c r="A3521">
        <v>6974050</v>
      </c>
      <c r="B3521">
        <v>5385073</v>
      </c>
      <c r="C3521" t="s">
        <v>99</v>
      </c>
      <c r="D3521" t="s">
        <v>12</v>
      </c>
      <c r="E3521" s="2" t="str">
        <f>HYPERLINK("https://ibp.a2mac1.com/costing(costing:projects/details/8191/process/6974050)","Automated Process")</f>
        <v>Automated Process</v>
      </c>
      <c r="F3521" t="s">
        <v>4383</v>
      </c>
    </row>
    <row r="3522" spans="1:6" ht="12.75">
      <c r="A3522">
        <v>5318044</v>
      </c>
      <c r="B3522">
        <v>6974050</v>
      </c>
      <c r="C3522" t="s">
        <v>24</v>
      </c>
      <c r="D3522" t="s">
        <v>99</v>
      </c>
      <c r="E3522" s="2" t="str">
        <f>HYPERLINK("https://ibp.a2mac1.com/costing(costing:projects/details/8191/material/5318044)","PP-PE-TD15")</f>
        <v>PP-PE-TD15</v>
      </c>
      <c r="F3522" t="s">
        <v>4384</v>
      </c>
    </row>
    <row r="3523" spans="1:6" ht="12.75">
      <c r="A3523">
        <v>6946630</v>
      </c>
      <c r="B3523">
        <v>6974050</v>
      </c>
      <c r="C3523" t="s">
        <v>189</v>
      </c>
      <c r="D3523" t="s">
        <v>99</v>
      </c>
      <c r="E3523" s="2" t="str">
        <f>HYPERLINK("https://ibp.a2mac1.com/costing(costing:projects/details/8191/equipment/6946630)","Equipment (Injection Molding)")</f>
        <v>Equipment (Injection Molding)</v>
      </c>
      <c r="F3523" t="s">
        <v>4384</v>
      </c>
    </row>
    <row r="3524" spans="1:6" ht="12.75">
      <c r="A3524">
        <v>5385074</v>
      </c>
      <c r="B3524">
        <v>5384936</v>
      </c>
      <c r="C3524" t="s">
        <v>12</v>
      </c>
      <c r="D3524" t="s">
        <v>8</v>
      </c>
      <c r="E3524" s="2" t="str">
        <f>HYPERLINK("https://ibp.a2mac1.com/costing(costing:projects/details/8191/part/5385074)","C Pillar Lower Panel")</f>
        <v>C Pillar Lower Panel</v>
      </c>
      <c r="F3524" t="s">
        <v>4359</v>
      </c>
    </row>
    <row r="3525" spans="1:6" ht="12.75">
      <c r="A3525">
        <v>6974051</v>
      </c>
      <c r="B3525">
        <v>5385074</v>
      </c>
      <c r="C3525" t="s">
        <v>99</v>
      </c>
      <c r="D3525" t="s">
        <v>12</v>
      </c>
      <c r="E3525" s="2" t="str">
        <f>HYPERLINK("https://ibp.a2mac1.com/costing(costing:projects/details/8191/process/6974051)","Automated Process")</f>
        <v>Automated Process</v>
      </c>
      <c r="F3525" t="s">
        <v>4386</v>
      </c>
    </row>
    <row r="3526" spans="1:6" ht="12.75">
      <c r="A3526">
        <v>5318045</v>
      </c>
      <c r="B3526">
        <v>6974051</v>
      </c>
      <c r="C3526" t="s">
        <v>24</v>
      </c>
      <c r="D3526" t="s">
        <v>99</v>
      </c>
      <c r="E3526" s="2" t="str">
        <f>HYPERLINK("https://ibp.a2mac1.com/costing(costing:projects/details/8191/material/5318045)","PP-PE")</f>
        <v>PP-PE</v>
      </c>
      <c r="F3526" t="s">
        <v>4389</v>
      </c>
    </row>
    <row r="3527" spans="1:6" ht="12.75">
      <c r="A3527">
        <v>6946631</v>
      </c>
      <c r="B3527">
        <v>6974051</v>
      </c>
      <c r="C3527" t="s">
        <v>189</v>
      </c>
      <c r="D3527" t="s">
        <v>99</v>
      </c>
      <c r="E3527" s="2" t="str">
        <f>HYPERLINK("https://ibp.a2mac1.com/costing(costing:projects/details/8191/equipment/6946631)","Equipment (Injection Molding)")</f>
        <v>Equipment (Injection Molding)</v>
      </c>
      <c r="F3527" t="s">
        <v>4389</v>
      </c>
    </row>
    <row r="3528" spans="1:6" ht="12.75">
      <c r="A3528">
        <v>5385075</v>
      </c>
      <c r="B3528">
        <v>5384936</v>
      </c>
      <c r="C3528" t="s">
        <v>12</v>
      </c>
      <c r="D3528" t="s">
        <v>8</v>
      </c>
      <c r="E3528" s="2" t="str">
        <f>HYPERLINK("https://ibp.a2mac1.com/costing(costing:projects/details/8191/part/5385075)","Rear Quarter Panel")</f>
        <v>Rear Quarter Panel</v>
      </c>
      <c r="F3528" t="s">
        <v>4359</v>
      </c>
    </row>
    <row r="3529" spans="1:6" ht="12.75">
      <c r="A3529">
        <v>6974052</v>
      </c>
      <c r="B3529">
        <v>5385075</v>
      </c>
      <c r="C3529" t="s">
        <v>99</v>
      </c>
      <c r="D3529" t="s">
        <v>12</v>
      </c>
      <c r="E3529" s="2" t="str">
        <f>HYPERLINK("https://ibp.a2mac1.com/costing(costing:projects/details/8191/process/6974052)","Automated Process")</f>
        <v>Automated Process</v>
      </c>
      <c r="F3529" t="s">
        <v>4391</v>
      </c>
    </row>
    <row r="3530" spans="1:6" ht="12.75">
      <c r="A3530">
        <v>5318046</v>
      </c>
      <c r="B3530">
        <v>6974052</v>
      </c>
      <c r="C3530" t="s">
        <v>24</v>
      </c>
      <c r="D3530" t="s">
        <v>99</v>
      </c>
      <c r="E3530" s="2" t="str">
        <f>HYPERLINK("https://ibp.a2mac1.com/costing(costing:projects/details/8191/material/5318046)","PP-TD15")</f>
        <v>PP-TD15</v>
      </c>
      <c r="F3530" t="s">
        <v>4394</v>
      </c>
    </row>
    <row r="3531" spans="1:6" ht="12.75">
      <c r="A3531">
        <v>5318047</v>
      </c>
      <c r="B3531">
        <v>6974052</v>
      </c>
      <c r="C3531" t="s">
        <v>24</v>
      </c>
      <c r="D3531" t="s">
        <v>99</v>
      </c>
      <c r="E3531" s="2" t="str">
        <f>HYPERLINK("https://ibp.a2mac1.com/costing(costing:projects/details/8191/material/5318047)","Fabric  skin")</f>
        <v>Fabric  skin</v>
      </c>
      <c r="F3531" t="s">
        <v>4394</v>
      </c>
    </row>
    <row r="3532" spans="1:6" ht="12.75">
      <c r="A3532">
        <v>6946632</v>
      </c>
      <c r="B3532">
        <v>6974052</v>
      </c>
      <c r="C3532" t="s">
        <v>189</v>
      </c>
      <c r="D3532" t="s">
        <v>99</v>
      </c>
      <c r="E3532" s="2" t="str">
        <f>HYPERLINK("https://ibp.a2mac1.com/costing(costing:projects/details/8191/equipment/6946632)","Equipment (Injection Molding)")</f>
        <v>Equipment (Injection Molding)</v>
      </c>
      <c r="F3532" t="s">
        <v>4394</v>
      </c>
    </row>
    <row r="3533" spans="1:6" ht="12.75">
      <c r="A3533">
        <v>5317832</v>
      </c>
      <c r="B3533">
        <v>5384936</v>
      </c>
      <c r="C3533" t="s">
        <v>574</v>
      </c>
      <c r="D3533" t="s">
        <v>8</v>
      </c>
      <c r="E3533" s="2" t="str">
        <f>HYPERLINK("https://ibp.a2mac1.com/costing(costing:projects/details/8191/component/5317832)","Panel holder &gt; Clips in rectangular hole")</f>
        <v>Panel holder &gt; Clips in rectangular hole</v>
      </c>
      <c r="F3533" t="s">
        <v>4359</v>
      </c>
    </row>
    <row r="3534" spans="1:6" ht="12.75">
      <c r="A3534">
        <v>5317833</v>
      </c>
      <c r="B3534">
        <v>5384936</v>
      </c>
      <c r="C3534" t="s">
        <v>574</v>
      </c>
      <c r="D3534" t="s">
        <v>8</v>
      </c>
      <c r="E3534" s="2" t="str">
        <f>HYPERLINK("https://ibp.a2mac1.com/costing(costing:projects/details/8191/component/5317833)","Panel holder &gt; Clips in rectangular hole")</f>
        <v>Panel holder &gt; Clips in rectangular hole</v>
      </c>
      <c r="F3534" t="s">
        <v>4359</v>
      </c>
    </row>
    <row r="3535" spans="1:6" ht="12.75">
      <c r="A3535">
        <v>5317834</v>
      </c>
      <c r="B3535">
        <v>5384936</v>
      </c>
      <c r="C3535" t="s">
        <v>574</v>
      </c>
      <c r="D3535" t="s">
        <v>8</v>
      </c>
      <c r="E3535" s="2" t="str">
        <f>HYPERLINK("https://ibp.a2mac1.com/costing(costing:projects/details/8191/component/5317834)","Panel holder &gt; Clips in rectangular hole")</f>
        <v>Panel holder &gt; Clips in rectangular hole</v>
      </c>
      <c r="F3535" t="s">
        <v>4359</v>
      </c>
    </row>
    <row r="3536" spans="1:6" ht="12.75">
      <c r="A3536">
        <v>5317835</v>
      </c>
      <c r="B3536">
        <v>5384936</v>
      </c>
      <c r="C3536" t="s">
        <v>574</v>
      </c>
      <c r="D3536" t="s">
        <v>8</v>
      </c>
      <c r="E3536" s="2" t="str">
        <f>HYPERLINK("https://ibp.a2mac1.com/costing(costing:projects/details/8191/component/5317835)","Panel holder &gt; Clips in rectangular hole")</f>
        <v>Panel holder &gt; Clips in rectangular hole</v>
      </c>
      <c r="F3536" t="s">
        <v>4359</v>
      </c>
    </row>
    <row r="3537" spans="1:6" ht="12.75">
      <c r="A3537">
        <v>5317836</v>
      </c>
      <c r="B3537">
        <v>5384936</v>
      </c>
      <c r="C3537" t="s">
        <v>574</v>
      </c>
      <c r="D3537" t="s">
        <v>8</v>
      </c>
      <c r="E3537" s="2" t="str">
        <f>HYPERLINK("https://ibp.a2mac1.com/costing(costing:projects/details/8191/component/5317836)","Panel holder &gt; Clips in round hole")</f>
        <v>Panel holder &gt; Clips in round hole</v>
      </c>
      <c r="F3537" t="s">
        <v>4359</v>
      </c>
    </row>
    <row r="3538" spans="1:6" ht="12.75">
      <c r="A3538">
        <v>5317837</v>
      </c>
      <c r="B3538">
        <v>5384936</v>
      </c>
      <c r="C3538" t="s">
        <v>574</v>
      </c>
      <c r="D3538" t="s">
        <v>8</v>
      </c>
      <c r="E3538" s="2" t="str">
        <f>HYPERLINK("https://ibp.a2mac1.com/costing(costing:projects/details/8191/component/5317837)","Panel holder &gt; Clips in rectangular hole")</f>
        <v>Panel holder &gt; Clips in rectangular hole</v>
      </c>
      <c r="F3538" t="s">
        <v>4359</v>
      </c>
    </row>
    <row r="3539" spans="1:6" ht="12.75">
      <c r="A3539">
        <v>5384937</v>
      </c>
      <c r="B3539">
        <v>5384843</v>
      </c>
      <c r="C3539" t="s">
        <v>8</v>
      </c>
      <c r="D3539" t="s">
        <v>8</v>
      </c>
      <c r="E3539" s="2" t="str">
        <f>HYPERLINK("https://ibp.a2mac1.com/costing(costing:projects/details/8191/assembly/5384937)","Trunk")</f>
        <v>Trunk</v>
      </c>
      <c r="F3539" t="s">
        <v>4304</v>
      </c>
    </row>
    <row r="3540" spans="1:6" ht="12.75">
      <c r="A3540">
        <v>5385078</v>
      </c>
      <c r="B3540">
        <v>5384937</v>
      </c>
      <c r="C3540" t="s">
        <v>8</v>
      </c>
      <c r="D3540" t="s">
        <v>8</v>
      </c>
      <c r="E3540" s="2" t="str">
        <f>HYPERLINK("https://ibp.a2mac1.com/costing(costing:projects/details/8191/assembly/5385078)","Left Side Compartments")</f>
        <v>Left Side Compartments</v>
      </c>
      <c r="F3540" t="s">
        <v>4397</v>
      </c>
    </row>
    <row r="3541" spans="1:6" ht="12.75">
      <c r="A3541">
        <v>5385110</v>
      </c>
      <c r="B3541">
        <v>5385078</v>
      </c>
      <c r="C3541" t="s">
        <v>12</v>
      </c>
      <c r="D3541" t="s">
        <v>8</v>
      </c>
      <c r="E3541" s="2" t="str">
        <f>HYPERLINK("https://ibp.a2mac1.com/costing(costing:projects/details/8191/part/5385110)","Lower")</f>
        <v>Lower</v>
      </c>
      <c r="F3541" t="s">
        <v>4398</v>
      </c>
    </row>
    <row r="3542" spans="1:6" ht="12.75">
      <c r="A3542">
        <v>6974116</v>
      </c>
      <c r="B3542">
        <v>5385110</v>
      </c>
      <c r="C3542" t="s">
        <v>99</v>
      </c>
      <c r="D3542" t="s">
        <v>12</v>
      </c>
      <c r="E3542" s="2" t="str">
        <f>HYPERLINK("https://ibp.a2mac1.com/costing(costing:projects/details/8191/process/6974116)","Automated Process")</f>
        <v>Automated Process</v>
      </c>
      <c r="F3542" t="s">
        <v>4399</v>
      </c>
    </row>
    <row r="3543" spans="1:6" ht="12.75">
      <c r="A3543">
        <v>5318133</v>
      </c>
      <c r="B3543">
        <v>6974116</v>
      </c>
      <c r="C3543" t="s">
        <v>24</v>
      </c>
      <c r="D3543" t="s">
        <v>99</v>
      </c>
      <c r="E3543" s="2" t="str">
        <f>HYPERLINK("https://ibp.a2mac1.com/costing(costing:projects/details/8191/material/5318133)","PET-PE")</f>
        <v>PET-PE</v>
      </c>
      <c r="F3543" t="s">
        <v>4402</v>
      </c>
    </row>
    <row r="3544" spans="1:6" ht="12.75">
      <c r="A3544">
        <v>5318134</v>
      </c>
      <c r="B3544">
        <v>6974116</v>
      </c>
      <c r="C3544" t="s">
        <v>24</v>
      </c>
      <c r="D3544" t="s">
        <v>99</v>
      </c>
      <c r="E3544" s="2" t="str">
        <f>HYPERLINK("https://ibp.a2mac1.com/costing(costing:projects/details/8191/material/5318134)","PP")</f>
        <v>PP</v>
      </c>
      <c r="F3544" t="s">
        <v>4402</v>
      </c>
    </row>
    <row r="3545" spans="1:6" ht="12.75">
      <c r="A3545">
        <v>5318135</v>
      </c>
      <c r="B3545">
        <v>6974116</v>
      </c>
      <c r="C3545" t="s">
        <v>24</v>
      </c>
      <c r="D3545" t="s">
        <v>99</v>
      </c>
      <c r="E3545" s="2" t="str">
        <f>HYPERLINK("https://ibp.a2mac1.com/costing(costing:projects/details/8191/material/5318135)","BW")</f>
        <v>BW</v>
      </c>
      <c r="F3545" t="s">
        <v>4402</v>
      </c>
    </row>
    <row r="3546" spans="1:6" ht="12.75">
      <c r="A3546">
        <v>6946690</v>
      </c>
      <c r="B3546">
        <v>6974116</v>
      </c>
      <c r="C3546" t="s">
        <v>189</v>
      </c>
      <c r="D3546" t="s">
        <v>99</v>
      </c>
      <c r="E3546" s="2" t="str">
        <f>HYPERLINK("https://ibp.a2mac1.com/costing(costing:projects/details/8191/equipment/6946690)","DC machine - General")</f>
        <v>DC machine - General</v>
      </c>
      <c r="F3546" t="s">
        <v>4402</v>
      </c>
    </row>
    <row r="3547" spans="1:6" ht="12.75">
      <c r="A3547">
        <v>5385111</v>
      </c>
      <c r="B3547">
        <v>5385078</v>
      </c>
      <c r="C3547" t="s">
        <v>12</v>
      </c>
      <c r="D3547" t="s">
        <v>8</v>
      </c>
      <c r="E3547" s="2" t="str">
        <f>HYPERLINK("https://ibp.a2mac1.com/costing(costing:projects/details/8191/part/5385111)","Upper")</f>
        <v>Upper</v>
      </c>
      <c r="F3547" t="s">
        <v>4398</v>
      </c>
    </row>
    <row r="3548" spans="1:6" ht="12.75">
      <c r="A3548">
        <v>6974117</v>
      </c>
      <c r="B3548">
        <v>5385111</v>
      </c>
      <c r="C3548" t="s">
        <v>99</v>
      </c>
      <c r="D3548" t="s">
        <v>12</v>
      </c>
      <c r="E3548" s="2" t="str">
        <f>HYPERLINK("https://ibp.a2mac1.com/costing(costing:projects/details/8191/process/6974117)","Automated Process")</f>
        <v>Automated Process</v>
      </c>
      <c r="F3548" t="s">
        <v>4407</v>
      </c>
    </row>
    <row r="3549" spans="1:6" ht="12.75">
      <c r="A3549">
        <v>5318136</v>
      </c>
      <c r="B3549">
        <v>6974117</v>
      </c>
      <c r="C3549" t="s">
        <v>24</v>
      </c>
      <c r="D3549" t="s">
        <v>99</v>
      </c>
      <c r="E3549" s="2" t="str">
        <f>HYPERLINK("https://ibp.a2mac1.com/costing(costing:projects/details/8191/material/5318136)","PP-PE-TD15")</f>
        <v>PP-PE-TD15</v>
      </c>
      <c r="F3549" t="s">
        <v>4409</v>
      </c>
    </row>
    <row r="3550" spans="1:6" ht="12.75">
      <c r="A3550">
        <v>6946691</v>
      </c>
      <c r="B3550">
        <v>6974117</v>
      </c>
      <c r="C3550" t="s">
        <v>189</v>
      </c>
      <c r="D3550" t="s">
        <v>99</v>
      </c>
      <c r="E3550" s="2" t="str">
        <f>HYPERLINK("https://ibp.a2mac1.com/costing(costing:projects/details/8191/equipment/6946691)","Equipment (Injection Molding)")</f>
        <v>Equipment (Injection Molding)</v>
      </c>
      <c r="F3550" t="s">
        <v>4409</v>
      </c>
    </row>
    <row r="3551" spans="1:6" ht="12.75">
      <c r="A3551">
        <v>5317928</v>
      </c>
      <c r="B3551">
        <v>5385078</v>
      </c>
      <c r="C3551" t="s">
        <v>574</v>
      </c>
      <c r="D3551" t="s">
        <v>8</v>
      </c>
      <c r="E3551" s="2" t="str">
        <f>HYPERLINK("https://ibp.a2mac1.com/costing(costing:projects/details/8191/component/5317928)","Panel holder &gt; Clips in rectangular hole")</f>
        <v>Panel holder &gt; Clips in rectangular hole</v>
      </c>
      <c r="F3551" t="s">
        <v>4398</v>
      </c>
    </row>
    <row r="3552" spans="1:6" ht="12.75">
      <c r="A3552">
        <v>5317929</v>
      </c>
      <c r="B3552">
        <v>5385078</v>
      </c>
      <c r="C3552" t="s">
        <v>574</v>
      </c>
      <c r="D3552" t="s">
        <v>8</v>
      </c>
      <c r="E3552" s="2" t="str">
        <f>HYPERLINK("https://ibp.a2mac1.com/costing(costing:projects/details/8191/component/5317929)","Other fastener &gt; Snap Tooling")</f>
        <v>Other fastener &gt; Snap Tooling</v>
      </c>
      <c r="F3552" t="s">
        <v>4398</v>
      </c>
    </row>
    <row r="3553" spans="1:6" ht="12.75">
      <c r="A3553">
        <v>5385079</v>
      </c>
      <c r="B3553">
        <v>5384937</v>
      </c>
      <c r="C3553" t="s">
        <v>8</v>
      </c>
      <c r="D3553" t="s">
        <v>8</v>
      </c>
      <c r="E3553" s="2" t="str">
        <f>HYPERLINK("https://ibp.a2mac1.com/costing(costing:projects/details/8191/assembly/5385079)","Right Side Compartments")</f>
        <v>Right Side Compartments</v>
      </c>
      <c r="F3553" t="s">
        <v>4397</v>
      </c>
    </row>
    <row r="3554" spans="1:6" ht="12.75">
      <c r="A3554">
        <v>5385112</v>
      </c>
      <c r="B3554">
        <v>5385079</v>
      </c>
      <c r="C3554" t="s">
        <v>12</v>
      </c>
      <c r="D3554" t="s">
        <v>8</v>
      </c>
      <c r="E3554" s="2" t="str">
        <f>HYPERLINK("https://ibp.a2mac1.com/costing(costing:projects/details/8191/part/5385112)","Lower")</f>
        <v>Lower</v>
      </c>
      <c r="F3554" t="s">
        <v>4412</v>
      </c>
    </row>
    <row r="3555" spans="1:6" ht="12.75">
      <c r="A3555">
        <v>6974118</v>
      </c>
      <c r="B3555">
        <v>5385112</v>
      </c>
      <c r="C3555" t="s">
        <v>99</v>
      </c>
      <c r="D3555" t="s">
        <v>12</v>
      </c>
      <c r="E3555" s="2" t="str">
        <f>HYPERLINK("https://ibp.a2mac1.com/costing(costing:projects/details/8191/process/6974118)","Automated Process")</f>
        <v>Automated Process</v>
      </c>
      <c r="F3555" t="s">
        <v>4413</v>
      </c>
    </row>
    <row r="3556" spans="1:6" ht="12.75">
      <c r="A3556">
        <v>5318137</v>
      </c>
      <c r="B3556">
        <v>6974118</v>
      </c>
      <c r="C3556" t="s">
        <v>24</v>
      </c>
      <c r="D3556" t="s">
        <v>99</v>
      </c>
      <c r="E3556" s="2" t="str">
        <f>HYPERLINK("https://ibp.a2mac1.com/costing(costing:projects/details/8191/material/5318137)","PET-PE")</f>
        <v>PET-PE</v>
      </c>
      <c r="F3556" t="s">
        <v>4416</v>
      </c>
    </row>
    <row r="3557" spans="1:6" ht="12.75">
      <c r="A3557">
        <v>5318138</v>
      </c>
      <c r="B3557">
        <v>6974118</v>
      </c>
      <c r="C3557" t="s">
        <v>24</v>
      </c>
      <c r="D3557" t="s">
        <v>99</v>
      </c>
      <c r="E3557" s="2" t="str">
        <f>HYPERLINK("https://ibp.a2mac1.com/costing(costing:projects/details/8191/material/5318138)","PP")</f>
        <v>PP</v>
      </c>
      <c r="F3557" t="s">
        <v>4416</v>
      </c>
    </row>
    <row r="3558" spans="1:6" ht="12.75">
      <c r="A3558">
        <v>5318139</v>
      </c>
      <c r="B3558">
        <v>6974118</v>
      </c>
      <c r="C3558" t="s">
        <v>24</v>
      </c>
      <c r="D3558" t="s">
        <v>99</v>
      </c>
      <c r="E3558" s="2" t="str">
        <f>HYPERLINK("https://ibp.a2mac1.com/costing(costing:projects/details/8191/material/5318139)","BW")</f>
        <v>BW</v>
      </c>
      <c r="F3558" t="s">
        <v>4416</v>
      </c>
    </row>
    <row r="3559" spans="1:6" ht="12.75">
      <c r="A3559">
        <v>6946692</v>
      </c>
      <c r="B3559">
        <v>6974118</v>
      </c>
      <c r="C3559" t="s">
        <v>189</v>
      </c>
      <c r="D3559" t="s">
        <v>99</v>
      </c>
      <c r="E3559" s="2" t="str">
        <f>HYPERLINK("https://ibp.a2mac1.com/costing(costing:projects/details/8191/equipment/6946692)","DC machine - General")</f>
        <v>DC machine - General</v>
      </c>
      <c r="F3559" t="s">
        <v>4416</v>
      </c>
    </row>
    <row r="3560" spans="1:6" ht="12.75">
      <c r="A3560">
        <v>5385113</v>
      </c>
      <c r="B3560">
        <v>5385079</v>
      </c>
      <c r="C3560" t="s">
        <v>12</v>
      </c>
      <c r="D3560" t="s">
        <v>8</v>
      </c>
      <c r="E3560" s="2" t="str">
        <f>HYPERLINK("https://ibp.a2mac1.com/costing(costing:projects/details/8191/part/5385113)","Upper")</f>
        <v>Upper</v>
      </c>
      <c r="F3560" t="s">
        <v>4412</v>
      </c>
    </row>
    <row r="3561" spans="1:6" ht="12.75">
      <c r="A3561">
        <v>6974119</v>
      </c>
      <c r="B3561">
        <v>5385113</v>
      </c>
      <c r="C3561" t="s">
        <v>99</v>
      </c>
      <c r="D3561" t="s">
        <v>12</v>
      </c>
      <c r="E3561" s="2" t="str">
        <f>HYPERLINK("https://ibp.a2mac1.com/costing(costing:projects/details/8191/process/6974119)","Automated Process")</f>
        <v>Automated Process</v>
      </c>
      <c r="F3561" t="s">
        <v>4419</v>
      </c>
    </row>
    <row r="3562" spans="1:6" ht="12.75">
      <c r="A3562">
        <v>5318140</v>
      </c>
      <c r="B3562">
        <v>6974119</v>
      </c>
      <c r="C3562" t="s">
        <v>24</v>
      </c>
      <c r="D3562" t="s">
        <v>99</v>
      </c>
      <c r="E3562" s="2" t="str">
        <f>HYPERLINK("https://ibp.a2mac1.com/costing(costing:projects/details/8191/material/5318140)","PP-PE-TD15")</f>
        <v>PP-PE-TD15</v>
      </c>
      <c r="F3562" t="s">
        <v>4422</v>
      </c>
    </row>
    <row r="3563" spans="1:6" ht="12.75">
      <c r="A3563">
        <v>6946693</v>
      </c>
      <c r="B3563">
        <v>6974119</v>
      </c>
      <c r="C3563" t="s">
        <v>189</v>
      </c>
      <c r="D3563" t="s">
        <v>99</v>
      </c>
      <c r="E3563" s="2" t="str">
        <f>HYPERLINK("https://ibp.a2mac1.com/costing(costing:projects/details/8191/equipment/6946693)","Equipment (Injection Molding)")</f>
        <v>Equipment (Injection Molding)</v>
      </c>
      <c r="F3563" t="s">
        <v>4422</v>
      </c>
    </row>
    <row r="3564" spans="1:6" ht="12.75">
      <c r="A3564">
        <v>5385114</v>
      </c>
      <c r="B3564">
        <v>5385079</v>
      </c>
      <c r="C3564" t="s">
        <v>12</v>
      </c>
      <c r="D3564" t="s">
        <v>8</v>
      </c>
      <c r="E3564" s="2" t="str">
        <f>HYPERLINK("https://ibp.a2mac1.com/costing(costing:projects/details/8191/part/5385114)","Access Panel")</f>
        <v>Access Panel</v>
      </c>
      <c r="F3564" t="s">
        <v>4412</v>
      </c>
    </row>
    <row r="3565" spans="1:6" ht="12.75">
      <c r="A3565">
        <v>6974120</v>
      </c>
      <c r="B3565">
        <v>5385114</v>
      </c>
      <c r="C3565" t="s">
        <v>99</v>
      </c>
      <c r="D3565" t="s">
        <v>12</v>
      </c>
      <c r="E3565" s="2" t="str">
        <f>HYPERLINK("https://ibp.a2mac1.com/costing(costing:projects/details/8191/process/6974120)","Automated Process")</f>
        <v>Automated Process</v>
      </c>
      <c r="F3565" t="s">
        <v>4424</v>
      </c>
    </row>
    <row r="3566" spans="1:6" ht="12.75">
      <c r="A3566">
        <v>5318141</v>
      </c>
      <c r="B3566">
        <v>6974120</v>
      </c>
      <c r="C3566" t="s">
        <v>24</v>
      </c>
      <c r="D3566" t="s">
        <v>99</v>
      </c>
      <c r="E3566" s="2" t="str">
        <f>HYPERLINK("https://ibp.a2mac1.com/costing(costing:projects/details/8191/material/5318141)","PP-PE-TD15")</f>
        <v>PP-PE-TD15</v>
      </c>
      <c r="F3566" t="s">
        <v>4425</v>
      </c>
    </row>
    <row r="3567" spans="1:6" ht="12.75">
      <c r="A3567">
        <v>6946694</v>
      </c>
      <c r="B3567">
        <v>6974120</v>
      </c>
      <c r="C3567" t="s">
        <v>189</v>
      </c>
      <c r="D3567" t="s">
        <v>99</v>
      </c>
      <c r="E3567" s="2" t="str">
        <f>HYPERLINK("https://ibp.a2mac1.com/costing(costing:projects/details/8191/equipment/6946694)","Equipment (Injection Molding)")</f>
        <v>Equipment (Injection Molding)</v>
      </c>
      <c r="F3567" t="s">
        <v>4425</v>
      </c>
    </row>
    <row r="3568" spans="1:6" ht="12.75">
      <c r="A3568">
        <v>6946695</v>
      </c>
      <c r="B3568">
        <v>6974120</v>
      </c>
      <c r="C3568" t="s">
        <v>189</v>
      </c>
      <c r="D3568" t="s">
        <v>99</v>
      </c>
      <c r="E3568" s="2" t="str">
        <f>HYPERLINK("https://ibp.a2mac1.com/costing(costing:projects/details/8191/equipment/6946695)","Equipment (Injection Molding)")</f>
        <v>Equipment (Injection Molding)</v>
      </c>
      <c r="F3568" t="s">
        <v>4425</v>
      </c>
    </row>
    <row r="3569" spans="1:6" ht="12.75">
      <c r="A3569">
        <v>5317930</v>
      </c>
      <c r="B3569">
        <v>5385079</v>
      </c>
      <c r="C3569" t="s">
        <v>574</v>
      </c>
      <c r="D3569" t="s">
        <v>8</v>
      </c>
      <c r="E3569" s="2" t="str">
        <f>HYPERLINK("https://ibp.a2mac1.com/costing(costing:projects/details/8191/component/5317930)","Other fastener &gt; Snap Tooling")</f>
        <v>Other fastener &gt; Snap Tooling</v>
      </c>
      <c r="F3569" t="s">
        <v>4412</v>
      </c>
    </row>
    <row r="3570" spans="1:6" ht="12.75">
      <c r="A3570">
        <v>5317931</v>
      </c>
      <c r="B3570">
        <v>5385079</v>
      </c>
      <c r="C3570" t="s">
        <v>574</v>
      </c>
      <c r="D3570" t="s">
        <v>8</v>
      </c>
      <c r="E3570" s="2" t="str">
        <f>HYPERLINK("https://ibp.a2mac1.com/costing(costing:projects/details/8191/component/5317931)","Screw &gt; Torx socket head cap screw with flange")</f>
        <v>Screw &gt; Torx socket head cap screw with flange</v>
      </c>
      <c r="F3570" t="s">
        <v>4412</v>
      </c>
    </row>
    <row r="3571" spans="1:6" ht="12.75">
      <c r="A3571">
        <v>5385077</v>
      </c>
      <c r="B3571">
        <v>5384937</v>
      </c>
      <c r="C3571" t="s">
        <v>12</v>
      </c>
      <c r="D3571" t="s">
        <v>8</v>
      </c>
      <c r="E3571" s="2" t="str">
        <f>HYPERLINK("https://ibp.a2mac1.com/costing(costing:projects/details/8191/part/5385077)","Sill Panel")</f>
        <v>Sill Panel</v>
      </c>
      <c r="F3571" t="s">
        <v>4397</v>
      </c>
    </row>
    <row r="3572" spans="1:6" ht="12.75">
      <c r="A3572">
        <v>6974053</v>
      </c>
      <c r="B3572">
        <v>5385077</v>
      </c>
      <c r="C3572" t="s">
        <v>99</v>
      </c>
      <c r="D3572" t="s">
        <v>12</v>
      </c>
      <c r="E3572" s="2" t="str">
        <f>HYPERLINK("https://ibp.a2mac1.com/costing(costing:projects/details/8191/process/6974053)","Automated Process")</f>
        <v>Automated Process</v>
      </c>
      <c r="F3572" t="s">
        <v>4428</v>
      </c>
    </row>
    <row r="3573" spans="1:6" ht="12.75">
      <c r="A3573">
        <v>5318048</v>
      </c>
      <c r="B3573">
        <v>6974053</v>
      </c>
      <c r="C3573" t="s">
        <v>24</v>
      </c>
      <c r="D3573" t="s">
        <v>99</v>
      </c>
      <c r="E3573" s="2" t="str">
        <f>HYPERLINK("https://ibp.a2mac1.com/costing(costing:projects/details/8191/material/5318048)","PLASTIC UNKNOWN")</f>
        <v>PLASTIC UNKNOWN</v>
      </c>
      <c r="F3573" t="s">
        <v>4431</v>
      </c>
    </row>
    <row r="3574" spans="1:6" ht="12.75">
      <c r="A3574">
        <v>6946633</v>
      </c>
      <c r="B3574">
        <v>6974053</v>
      </c>
      <c r="C3574" t="s">
        <v>189</v>
      </c>
      <c r="D3574" t="s">
        <v>99</v>
      </c>
      <c r="E3574" s="2" t="str">
        <f>HYPERLINK("https://ibp.a2mac1.com/costing(costing:projects/details/8191/equipment/6946633)","Equipment (Injection Molding)")</f>
        <v>Equipment (Injection Molding)</v>
      </c>
      <c r="F3574" t="s">
        <v>4431</v>
      </c>
    </row>
    <row r="3575" spans="1:6" ht="12.75">
      <c r="A3575">
        <v>5317838</v>
      </c>
      <c r="B3575">
        <v>5384937</v>
      </c>
      <c r="C3575" t="s">
        <v>574</v>
      </c>
      <c r="D3575" t="s">
        <v>8</v>
      </c>
      <c r="E3575" s="2" t="str">
        <f>HYPERLINK("https://ibp.a2mac1.com/costing(costing:projects/details/8191/component/5317838)","Panel holder &gt; Clips in rectangular hole")</f>
        <v>Panel holder &gt; Clips in rectangular hole</v>
      </c>
      <c r="F3575" t="s">
        <v>4397</v>
      </c>
    </row>
    <row r="3576" spans="1:6" ht="12.75">
      <c r="A3576">
        <v>5384844</v>
      </c>
      <c r="B3576">
        <v>5384798</v>
      </c>
      <c r="C3576" t="s">
        <v>8</v>
      </c>
      <c r="D3576" t="s">
        <v>8</v>
      </c>
      <c r="E3576" s="2" t="str">
        <f>HYPERLINK("https://ibp.a2mac1.com/costing(costing:projects/details/8191/assembly/5384844)","Mirror System")</f>
        <v>Mirror System</v>
      </c>
      <c r="F3576" t="s">
        <v>4245</v>
      </c>
    </row>
    <row r="3577" spans="1:6" ht="12.75">
      <c r="A3577">
        <v>5384938</v>
      </c>
      <c r="B3577">
        <v>5384844</v>
      </c>
      <c r="C3577" t="s">
        <v>12</v>
      </c>
      <c r="D3577" t="s">
        <v>8</v>
      </c>
      <c r="E3577" s="2" t="str">
        <f>HYPERLINK("https://ibp.a2mac1.com/costing(costing:projects/details/8191/part/5384938)","Rear View Mirror")</f>
        <v>Rear View Mirror</v>
      </c>
      <c r="F3577" t="s">
        <v>4436</v>
      </c>
    </row>
    <row r="3578" spans="1:6" ht="12.75">
      <c r="A3578">
        <v>6973974</v>
      </c>
      <c r="B3578">
        <v>5384938</v>
      </c>
      <c r="C3578" t="s">
        <v>99</v>
      </c>
      <c r="D3578" t="s">
        <v>12</v>
      </c>
      <c r="E3578" s="2" t="str">
        <f>HYPERLINK("https://ibp.a2mac1.com/costing(costing:projects/details/8191/process/6973974)","Process")</f>
        <v>Process</v>
      </c>
      <c r="F3578" t="s">
        <v>4437</v>
      </c>
    </row>
    <row r="3579" spans="1:6" ht="12.75">
      <c r="A3579">
        <v>6946534</v>
      </c>
      <c r="B3579">
        <v>6973974</v>
      </c>
      <c r="C3579" t="s">
        <v>189</v>
      </c>
      <c r="D3579" t="s">
        <v>99</v>
      </c>
      <c r="E3579" s="2" t="str">
        <f>HYPERLINK("https://ibp.a2mac1.com/costing(costing:projects/details/8191/equipment/6946534)","Dummy Machine (PCBA+Final Assembly Line)")</f>
        <v>Dummy Machine (PCBA+Final Assembly Line)</v>
      </c>
      <c r="F3579" t="s">
        <v>4438</v>
      </c>
    </row>
    <row r="3580" spans="1:6" ht="12.75">
      <c r="A3580">
        <v>5317839</v>
      </c>
      <c r="B3580">
        <v>5384938</v>
      </c>
      <c r="C3580" t="s">
        <v>574</v>
      </c>
      <c r="D3580" t="s">
        <v>12</v>
      </c>
      <c r="E3580" s="2" t="str">
        <f>HYPERLINK("https://ibp.a2mac1.com/costing(costing:projects/details/8191/component/5317839)","Electronics")</f>
        <v>Electronics</v>
      </c>
      <c r="F3580" t="s">
        <v>4437</v>
      </c>
    </row>
    <row r="3581" spans="1:6" ht="12.75">
      <c r="A3581">
        <v>5317840</v>
      </c>
      <c r="B3581">
        <v>5384938</v>
      </c>
      <c r="C3581" t="s">
        <v>574</v>
      </c>
      <c r="D3581" t="s">
        <v>12</v>
      </c>
      <c r="E3581" s="2" t="str">
        <f>HYPERLINK("https://ibp.a2mac1.com/costing(costing:projects/details/8191/component/5317840)","Mechanics")</f>
        <v>Mechanics</v>
      </c>
      <c r="F3581" t="s">
        <v>4437</v>
      </c>
    </row>
    <row r="3582" spans="1:6" ht="12.75">
      <c r="A3582">
        <v>5384939</v>
      </c>
      <c r="B3582">
        <v>5384844</v>
      </c>
      <c r="C3582" t="s">
        <v>12</v>
      </c>
      <c r="D3582" t="s">
        <v>8</v>
      </c>
      <c r="E3582" s="2" t="str">
        <f>HYPERLINK("https://ibp.a2mac1.com/costing(costing:projects/details/8191/part/5384939)","Trim")</f>
        <v>Trim</v>
      </c>
      <c r="F3582" t="s">
        <v>4436</v>
      </c>
    </row>
    <row r="3583" spans="1:6" ht="12.75">
      <c r="A3583">
        <v>6973975</v>
      </c>
      <c r="B3583">
        <v>5384939</v>
      </c>
      <c r="C3583" t="s">
        <v>99</v>
      </c>
      <c r="D3583" t="s">
        <v>12</v>
      </c>
      <c r="E3583" s="2" t="str">
        <f>HYPERLINK("https://ibp.a2mac1.com/costing(costing:projects/details/8191/process/6973975)","Automated Process")</f>
        <v>Automated Process</v>
      </c>
      <c r="F3583" t="s">
        <v>4441</v>
      </c>
    </row>
    <row r="3584" spans="1:6" ht="12.75">
      <c r="A3584">
        <v>5317932</v>
      </c>
      <c r="B3584">
        <v>6973975</v>
      </c>
      <c r="C3584" t="s">
        <v>24</v>
      </c>
      <c r="D3584" t="s">
        <v>99</v>
      </c>
      <c r="E3584" s="2" t="str">
        <f>HYPERLINK("https://ibp.a2mac1.com/costing(costing:projects/details/8191/material/5317932)","PC-ASA")</f>
        <v>PC-ASA</v>
      </c>
      <c r="F3584" t="s">
        <v>4442</v>
      </c>
    </row>
    <row r="3585" spans="1:6" ht="12.75">
      <c r="A3585">
        <v>6946535</v>
      </c>
      <c r="B3585">
        <v>6973975</v>
      </c>
      <c r="C3585" t="s">
        <v>189</v>
      </c>
      <c r="D3585" t="s">
        <v>99</v>
      </c>
      <c r="E3585" s="2" t="str">
        <f>HYPERLINK("https://ibp.a2mac1.com/costing(costing:projects/details/8191/equipment/6946535)","Equipment (Injection Molding)")</f>
        <v>Equipment (Injection Molding)</v>
      </c>
      <c r="F3585" t="s">
        <v>4442</v>
      </c>
    </row>
    <row r="3586" spans="1:6" ht="12.75">
      <c r="A3586">
        <v>5384940</v>
      </c>
      <c r="B3586">
        <v>5384844</v>
      </c>
      <c r="C3586" t="s">
        <v>12</v>
      </c>
      <c r="D3586" t="s">
        <v>8</v>
      </c>
      <c r="E3586" s="2" t="str">
        <f>HYPERLINK("https://ibp.a2mac1.com/costing(costing:projects/details/8191/part/5384940)","Stand Support")</f>
        <v>Stand Support</v>
      </c>
      <c r="F3586" t="s">
        <v>4436</v>
      </c>
    </row>
    <row r="3587" spans="1:6" ht="12.75">
      <c r="A3587">
        <v>6973976</v>
      </c>
      <c r="B3587">
        <v>5384940</v>
      </c>
      <c r="C3587" t="s">
        <v>99</v>
      </c>
      <c r="D3587" t="s">
        <v>12</v>
      </c>
      <c r="E3587" s="2" t="str">
        <f>HYPERLINK("https://ibp.a2mac1.com/costing(costing:projects/details/8191/process/6973976)","Automated Process")</f>
        <v>Automated Process</v>
      </c>
      <c r="F3587" t="s">
        <v>4445</v>
      </c>
    </row>
    <row r="3588" spans="1:6" ht="12.75">
      <c r="A3588">
        <v>5317933</v>
      </c>
      <c r="B3588">
        <v>6973976</v>
      </c>
      <c r="C3588" t="s">
        <v>24</v>
      </c>
      <c r="D3588" t="s">
        <v>99</v>
      </c>
      <c r="E3588" s="2" t="str">
        <f>HYPERLINK("https://ibp.a2mac1.com/costing(costing:projects/details/8191/material/5317933)","Steel sheet (default)")</f>
        <v>Steel sheet (default)</v>
      </c>
      <c r="F3588" t="s">
        <v>4447</v>
      </c>
    </row>
    <row r="3589" spans="1:6" ht="12.75">
      <c r="A3589">
        <v>6946536</v>
      </c>
      <c r="B3589">
        <v>6973976</v>
      </c>
      <c r="C3589" t="s">
        <v>189</v>
      </c>
      <c r="D3589" t="s">
        <v>99</v>
      </c>
      <c r="E3589" s="2" t="str">
        <f>HYPERLINK("https://ibp.a2mac1.com/costing(costing:projects/details/8191/equipment/6946536)","DC machine - General")</f>
        <v>DC machine - General</v>
      </c>
      <c r="F3589" t="s">
        <v>4447</v>
      </c>
    </row>
    <row r="3590" spans="1:6" ht="12.75">
      <c r="A3590">
        <v>5384941</v>
      </c>
      <c r="B3590">
        <v>5384844</v>
      </c>
      <c r="C3590" t="s">
        <v>12</v>
      </c>
      <c r="D3590" t="s">
        <v>8</v>
      </c>
      <c r="E3590" s="2" t="str">
        <f>HYPERLINK("https://ibp.a2mac1.com/costing(costing:projects/details/8191/part/5384941)","2nd Trim")</f>
        <v>2nd Trim</v>
      </c>
      <c r="F3590" t="s">
        <v>4436</v>
      </c>
    </row>
    <row r="3591" spans="1:6" ht="12.75">
      <c r="A3591">
        <v>6973977</v>
      </c>
      <c r="B3591">
        <v>5384941</v>
      </c>
      <c r="C3591" t="s">
        <v>99</v>
      </c>
      <c r="D3591" t="s">
        <v>12</v>
      </c>
      <c r="E3591" s="2" t="str">
        <f>HYPERLINK("https://ibp.a2mac1.com/costing(costing:projects/details/8191/process/6973977)","Automated Process")</f>
        <v>Automated Process</v>
      </c>
      <c r="F3591" t="s">
        <v>4449</v>
      </c>
    </row>
    <row r="3592" spans="1:6" ht="12.75">
      <c r="A3592">
        <v>5317934</v>
      </c>
      <c r="B3592">
        <v>6973977</v>
      </c>
      <c r="C3592" t="s">
        <v>24</v>
      </c>
      <c r="D3592" t="s">
        <v>99</v>
      </c>
      <c r="E3592" s="2" t="str">
        <f>HYPERLINK("https://ibp.a2mac1.com/costing(costing:projects/details/8191/material/5317934)","ASA-PC")</f>
        <v>ASA-PC</v>
      </c>
      <c r="F3592" t="s">
        <v>4450</v>
      </c>
    </row>
    <row r="3593" spans="1:6" ht="12.75">
      <c r="A3593">
        <v>6946537</v>
      </c>
      <c r="B3593">
        <v>6973977</v>
      </c>
      <c r="C3593" t="s">
        <v>189</v>
      </c>
      <c r="D3593" t="s">
        <v>99</v>
      </c>
      <c r="E3593" s="2" t="str">
        <f>HYPERLINK("https://ibp.a2mac1.com/costing(costing:projects/details/8191/equipment/6946537)","Equipment (Injection Molding)")</f>
        <v>Equipment (Injection Molding)</v>
      </c>
      <c r="F3593" t="s">
        <v>4450</v>
      </c>
    </row>
    <row r="3594" spans="1:6" ht="12.75">
      <c r="A3594">
        <v>5317767</v>
      </c>
      <c r="B3594">
        <v>5384844</v>
      </c>
      <c r="C3594" t="s">
        <v>574</v>
      </c>
      <c r="D3594" t="s">
        <v>8</v>
      </c>
      <c r="E3594" s="2" t="str">
        <f>HYPERLINK("https://ibp.a2mac1.com/costing(costing:projects/details/8191/component/5317767)","Screw &gt; Torx socket head cap screw")</f>
        <v>Screw &gt; Torx socket head cap screw</v>
      </c>
      <c r="F3594" t="s">
        <v>4436</v>
      </c>
    </row>
    <row r="3595" spans="1:6" ht="12.75">
      <c r="A3595">
        <v>5384845</v>
      </c>
      <c r="B3595">
        <v>5384798</v>
      </c>
      <c r="C3595" t="s">
        <v>8</v>
      </c>
      <c r="D3595" t="s">
        <v>8</v>
      </c>
      <c r="E3595" s="2" t="str">
        <f>HYPERLINK("https://ibp.a2mac1.com/costing(costing:projects/details/8191/assembly/5384845)","Parcel Tray System")</f>
        <v>Parcel Tray System</v>
      </c>
      <c r="F3595" t="s">
        <v>4245</v>
      </c>
    </row>
    <row r="3596" spans="1:6" ht="12.75">
      <c r="A3596">
        <v>5384942</v>
      </c>
      <c r="B3596">
        <v>5384845</v>
      </c>
      <c r="C3596" t="s">
        <v>12</v>
      </c>
      <c r="D3596" t="s">
        <v>8</v>
      </c>
      <c r="E3596" s="2" t="str">
        <f>HYPERLINK("https://ibp.a2mac1.com/costing(costing:projects/details/8191/part/5384942)","Parcel Tray")</f>
        <v>Parcel Tray</v>
      </c>
      <c r="F3596" t="s">
        <v>4455</v>
      </c>
    </row>
    <row r="3597" spans="1:6" ht="12.75">
      <c r="A3597">
        <v>6973978</v>
      </c>
      <c r="B3597">
        <v>5384942</v>
      </c>
      <c r="C3597" t="s">
        <v>99</v>
      </c>
      <c r="D3597" t="s">
        <v>12</v>
      </c>
      <c r="E3597" s="2" t="str">
        <f>HYPERLINK("https://ibp.a2mac1.com/costing(costing:projects/details/8191/process/6973978)","Automated process")</f>
        <v>Automated process</v>
      </c>
      <c r="F3597" t="s">
        <v>4456</v>
      </c>
    </row>
    <row r="3598" spans="1:6" ht="12.75">
      <c r="A3598">
        <v>5317935</v>
      </c>
      <c r="B3598">
        <v>6973978</v>
      </c>
      <c r="C3598" t="s">
        <v>24</v>
      </c>
      <c r="D3598" t="s">
        <v>99</v>
      </c>
      <c r="E3598" s="2" t="str">
        <f>HYPERLINK("https://ibp.a2mac1.com/costing(costing:projects/details/8191/material/5317935)","Material")</f>
        <v>Material</v>
      </c>
      <c r="F3598" t="s">
        <v>4457</v>
      </c>
    </row>
    <row r="3599" spans="1:6" ht="12.75">
      <c r="A3599">
        <v>6946538</v>
      </c>
      <c r="B3599">
        <v>6973978</v>
      </c>
      <c r="C3599" t="s">
        <v>189</v>
      </c>
      <c r="D3599" t="s">
        <v>99</v>
      </c>
      <c r="E3599" s="2" t="str">
        <f>HYPERLINK("https://ibp.a2mac1.com/costing(costing:projects/details/8191/equipment/6946538)","DC machine - General")</f>
        <v>DC machine - General</v>
      </c>
      <c r="F3599" t="s">
        <v>4457</v>
      </c>
    </row>
    <row r="3600" spans="1:6" ht="12.75">
      <c r="A3600">
        <v>5317841</v>
      </c>
      <c r="B3600">
        <v>5384942</v>
      </c>
      <c r="C3600" t="s">
        <v>574</v>
      </c>
      <c r="D3600" t="s">
        <v>12</v>
      </c>
      <c r="E3600" s="2" t="str">
        <f>HYPERLINK("https://ibp.a2mac1.com/costing(costing:projects/details/8191/component/5317841)","Other fastener &gt; Insert")</f>
        <v>Other fastener &gt; Insert</v>
      </c>
      <c r="F3600" t="s">
        <v>4456</v>
      </c>
    </row>
    <row r="3601" spans="1:6" ht="12.75">
      <c r="A3601">
        <v>5384846</v>
      </c>
      <c r="B3601">
        <v>5384798</v>
      </c>
      <c r="C3601" t="s">
        <v>8</v>
      </c>
      <c r="D3601" t="s">
        <v>8</v>
      </c>
      <c r="E3601" s="2" t="str">
        <f>HYPERLINK("https://ibp.a2mac1.com/costing(costing:projects/details/8191/assembly/5384846)","Floor Carpeting")</f>
        <v>Floor Carpeting</v>
      </c>
      <c r="F3601" t="s">
        <v>4245</v>
      </c>
    </row>
    <row r="3602" spans="1:6" ht="12.75">
      <c r="A3602">
        <v>5384943</v>
      </c>
      <c r="B3602">
        <v>5384846</v>
      </c>
      <c r="C3602" t="s">
        <v>8</v>
      </c>
      <c r="D3602" t="s">
        <v>8</v>
      </c>
      <c r="E3602" s="2" t="str">
        <f>HYPERLINK("https://ibp.a2mac1.com/costing(costing:projects/details/8191/assembly/5384943)","Interior")</f>
        <v>Interior</v>
      </c>
      <c r="F3602" t="s">
        <v>4462</v>
      </c>
    </row>
    <row r="3603" spans="1:6" ht="12.75">
      <c r="A3603">
        <v>5385083</v>
      </c>
      <c r="B3603">
        <v>5384943</v>
      </c>
      <c r="C3603" t="s">
        <v>8</v>
      </c>
      <c r="D3603" t="s">
        <v>8</v>
      </c>
      <c r="E3603" s="2" t="str">
        <f>HYPERLINK("https://ibp.a2mac1.com/costing(costing:projects/details/8191/assembly/5385083)","Floor Mats")</f>
        <v>Floor Mats</v>
      </c>
      <c r="F3603" t="s">
        <v>4463</v>
      </c>
    </row>
    <row r="3604" spans="1:6" ht="12.75">
      <c r="A3604">
        <v>5385115</v>
      </c>
      <c r="B3604">
        <v>5385083</v>
      </c>
      <c r="C3604" t="s">
        <v>12</v>
      </c>
      <c r="D3604" t="s">
        <v>8</v>
      </c>
      <c r="E3604" s="2" t="str">
        <f>HYPERLINK("https://ibp.a2mac1.com/costing(costing:projects/details/8191/part/5385115)","Rear Right")</f>
        <v>Rear Right</v>
      </c>
      <c r="F3604" t="s">
        <v>4464</v>
      </c>
    </row>
    <row r="3605" spans="1:6" ht="12.75">
      <c r="A3605">
        <v>6974121</v>
      </c>
      <c r="B3605">
        <v>5385115</v>
      </c>
      <c r="C3605" t="s">
        <v>99</v>
      </c>
      <c r="D3605" t="s">
        <v>12</v>
      </c>
      <c r="E3605" s="2" t="str">
        <f>HYPERLINK("https://ibp.a2mac1.com/costing(costing:projects/details/8191/process/6974121)","Automated process")</f>
        <v>Automated process</v>
      </c>
      <c r="F3605" t="s">
        <v>4465</v>
      </c>
    </row>
    <row r="3606" spans="1:6" ht="12.75">
      <c r="A3606">
        <v>5318142</v>
      </c>
      <c r="B3606">
        <v>6974121</v>
      </c>
      <c r="C3606" t="s">
        <v>24</v>
      </c>
      <c r="D3606" t="s">
        <v>99</v>
      </c>
      <c r="E3606" s="2" t="str">
        <f>HYPERLINK("https://ibp.a2mac1.com/costing(costing:projects/details/8191/material/5318142)","Material")</f>
        <v>Material</v>
      </c>
      <c r="F3606" t="s">
        <v>4466</v>
      </c>
    </row>
    <row r="3607" spans="1:6" ht="12.75">
      <c r="A3607">
        <v>6946696</v>
      </c>
      <c r="B3607">
        <v>6974121</v>
      </c>
      <c r="C3607" t="s">
        <v>189</v>
      </c>
      <c r="D3607" t="s">
        <v>99</v>
      </c>
      <c r="E3607" s="2" t="str">
        <f>HYPERLINK("https://ibp.a2mac1.com/costing(costing:projects/details/8191/equipment/6946696)","DC machine - General")</f>
        <v>DC machine - General</v>
      </c>
      <c r="F3607" t="s">
        <v>4466</v>
      </c>
    </row>
    <row r="3608" spans="1:6" ht="12.75">
      <c r="A3608">
        <v>5318054</v>
      </c>
      <c r="B3608">
        <v>5385115</v>
      </c>
      <c r="C3608" t="s">
        <v>574</v>
      </c>
      <c r="D3608" t="s">
        <v>12</v>
      </c>
      <c r="E3608" s="2" t="str">
        <f>HYPERLINK("https://ibp.a2mac1.com/costing(costing:projects/details/8191/component/5318054)","Fasteners")</f>
        <v>Fasteners</v>
      </c>
      <c r="F3608" t="s">
        <v>4465</v>
      </c>
    </row>
    <row r="3609" spans="1:6" ht="12.75">
      <c r="A3609">
        <v>5385116</v>
      </c>
      <c r="B3609">
        <v>5385083</v>
      </c>
      <c r="C3609" t="s">
        <v>12</v>
      </c>
      <c r="D3609" t="s">
        <v>8</v>
      </c>
      <c r="E3609" s="2" t="str">
        <f>HYPERLINK("https://ibp.a2mac1.com/costing(costing:projects/details/8191/part/5385116)","Rear Left")</f>
        <v>Rear Left</v>
      </c>
      <c r="F3609" t="s">
        <v>4464</v>
      </c>
    </row>
    <row r="3610" spans="1:6" ht="12.75">
      <c r="A3610">
        <v>6974122</v>
      </c>
      <c r="B3610">
        <v>5385116</v>
      </c>
      <c r="C3610" t="s">
        <v>99</v>
      </c>
      <c r="D3610" t="s">
        <v>12</v>
      </c>
      <c r="E3610" s="2" t="str">
        <f>HYPERLINK("https://ibp.a2mac1.com/costing(costing:projects/details/8191/process/6974122)","Automated process")</f>
        <v>Automated process</v>
      </c>
      <c r="F3610" t="s">
        <v>4469</v>
      </c>
    </row>
    <row r="3611" spans="1:6" ht="12.75">
      <c r="A3611">
        <v>5318143</v>
      </c>
      <c r="B3611">
        <v>6974122</v>
      </c>
      <c r="C3611" t="s">
        <v>24</v>
      </c>
      <c r="D3611" t="s">
        <v>99</v>
      </c>
      <c r="E3611" s="2" t="str">
        <f>HYPERLINK("https://ibp.a2mac1.com/costing(costing:projects/details/8191/material/5318143)","Material")</f>
        <v>Material</v>
      </c>
      <c r="F3611" t="s">
        <v>4470</v>
      </c>
    </row>
    <row r="3612" spans="1:6" ht="12.75">
      <c r="A3612">
        <v>6946697</v>
      </c>
      <c r="B3612">
        <v>6974122</v>
      </c>
      <c r="C3612" t="s">
        <v>189</v>
      </c>
      <c r="D3612" t="s">
        <v>99</v>
      </c>
      <c r="E3612" s="2" t="str">
        <f>HYPERLINK("https://ibp.a2mac1.com/costing(costing:projects/details/8191/equipment/6946697)","DC machine - General")</f>
        <v>DC machine - General</v>
      </c>
      <c r="F3612" t="s">
        <v>4470</v>
      </c>
    </row>
    <row r="3613" spans="1:6" ht="12.75">
      <c r="A3613">
        <v>5318055</v>
      </c>
      <c r="B3613">
        <v>5385116</v>
      </c>
      <c r="C3613" t="s">
        <v>574</v>
      </c>
      <c r="D3613" t="s">
        <v>12</v>
      </c>
      <c r="E3613" s="2" t="str">
        <f>HYPERLINK("https://ibp.a2mac1.com/costing(costing:projects/details/8191/component/5318055)","Fasteners")</f>
        <v>Fasteners</v>
      </c>
      <c r="F3613" t="s">
        <v>4469</v>
      </c>
    </row>
    <row r="3614" spans="1:6" ht="12.75">
      <c r="A3614">
        <v>5385117</v>
      </c>
      <c r="B3614">
        <v>5385083</v>
      </c>
      <c r="C3614" t="s">
        <v>12</v>
      </c>
      <c r="D3614" t="s">
        <v>8</v>
      </c>
      <c r="E3614" s="2" t="str">
        <f>HYPERLINK("https://ibp.a2mac1.com/costing(costing:projects/details/8191/part/5385117)","Passenger")</f>
        <v>Passenger</v>
      </c>
      <c r="F3614" t="s">
        <v>4464</v>
      </c>
    </row>
    <row r="3615" spans="1:6" ht="12.75">
      <c r="A3615">
        <v>6974123</v>
      </c>
      <c r="B3615">
        <v>5385117</v>
      </c>
      <c r="C3615" t="s">
        <v>99</v>
      </c>
      <c r="D3615" t="s">
        <v>12</v>
      </c>
      <c r="E3615" s="2" t="str">
        <f>HYPERLINK("https://ibp.a2mac1.com/costing(costing:projects/details/8191/process/6974123)","Automated process")</f>
        <v>Automated process</v>
      </c>
      <c r="F3615" t="s">
        <v>4473</v>
      </c>
    </row>
    <row r="3616" spans="1:6" ht="12.75">
      <c r="A3616">
        <v>5318144</v>
      </c>
      <c r="B3616">
        <v>6974123</v>
      </c>
      <c r="C3616" t="s">
        <v>24</v>
      </c>
      <c r="D3616" t="s">
        <v>99</v>
      </c>
      <c r="E3616" s="2" t="str">
        <f>HYPERLINK("https://ibp.a2mac1.com/costing(costing:projects/details/8191/material/5318144)","Material")</f>
        <v>Material</v>
      </c>
      <c r="F3616" t="s">
        <v>4474</v>
      </c>
    </row>
    <row r="3617" spans="1:6" ht="12.75">
      <c r="A3617">
        <v>6946698</v>
      </c>
      <c r="B3617">
        <v>6974123</v>
      </c>
      <c r="C3617" t="s">
        <v>189</v>
      </c>
      <c r="D3617" t="s">
        <v>99</v>
      </c>
      <c r="E3617" s="2" t="str">
        <f>HYPERLINK("https://ibp.a2mac1.com/costing(costing:projects/details/8191/equipment/6946698)","DC machine - General")</f>
        <v>DC machine - General</v>
      </c>
      <c r="F3617" t="s">
        <v>4474</v>
      </c>
    </row>
    <row r="3618" spans="1:6" ht="12.75">
      <c r="A3618">
        <v>5318056</v>
      </c>
      <c r="B3618">
        <v>5385117</v>
      </c>
      <c r="C3618" t="s">
        <v>574</v>
      </c>
      <c r="D3618" t="s">
        <v>12</v>
      </c>
      <c r="E3618" s="2" t="str">
        <f>HYPERLINK("https://ibp.a2mac1.com/costing(costing:projects/details/8191/component/5318056)","Fasteners")</f>
        <v>Fasteners</v>
      </c>
      <c r="F3618" t="s">
        <v>4473</v>
      </c>
    </row>
    <row r="3619" spans="1:6" ht="12.75">
      <c r="A3619">
        <v>5385118</v>
      </c>
      <c r="B3619">
        <v>5385083</v>
      </c>
      <c r="C3619" t="s">
        <v>12</v>
      </c>
      <c r="D3619" t="s">
        <v>8</v>
      </c>
      <c r="E3619" s="2" t="str">
        <f>HYPERLINK("https://ibp.a2mac1.com/costing(costing:projects/details/8191/part/5385118)","Driver")</f>
        <v>Driver</v>
      </c>
      <c r="F3619" t="s">
        <v>4464</v>
      </c>
    </row>
    <row r="3620" spans="1:6" ht="12.75">
      <c r="A3620">
        <v>6974124</v>
      </c>
      <c r="B3620">
        <v>5385118</v>
      </c>
      <c r="C3620" t="s">
        <v>99</v>
      </c>
      <c r="D3620" t="s">
        <v>12</v>
      </c>
      <c r="E3620" s="2" t="str">
        <f>HYPERLINK("https://ibp.a2mac1.com/costing(costing:projects/details/8191/process/6974124)","Automated process")</f>
        <v>Automated process</v>
      </c>
      <c r="F3620" t="s">
        <v>4477</v>
      </c>
    </row>
    <row r="3621" spans="1:6" ht="12.75">
      <c r="A3621">
        <v>5318145</v>
      </c>
      <c r="B3621">
        <v>6974124</v>
      </c>
      <c r="C3621" t="s">
        <v>24</v>
      </c>
      <c r="D3621" t="s">
        <v>99</v>
      </c>
      <c r="E3621" s="2" t="str">
        <f>HYPERLINK("https://ibp.a2mac1.com/costing(costing:projects/details/8191/material/5318145)","Material")</f>
        <v>Material</v>
      </c>
      <c r="F3621" t="s">
        <v>4478</v>
      </c>
    </row>
    <row r="3622" spans="1:6" ht="12.75">
      <c r="A3622">
        <v>6946699</v>
      </c>
      <c r="B3622">
        <v>6974124</v>
      </c>
      <c r="C3622" t="s">
        <v>189</v>
      </c>
      <c r="D3622" t="s">
        <v>99</v>
      </c>
      <c r="E3622" s="2" t="str">
        <f>HYPERLINK("https://ibp.a2mac1.com/costing(costing:projects/details/8191/equipment/6946699)","DC machine - General")</f>
        <v>DC machine - General</v>
      </c>
      <c r="F3622" t="s">
        <v>4478</v>
      </c>
    </row>
    <row r="3623" spans="1:6" ht="12.75">
      <c r="A3623">
        <v>5318057</v>
      </c>
      <c r="B3623">
        <v>5385118</v>
      </c>
      <c r="C3623" t="s">
        <v>574</v>
      </c>
      <c r="D3623" t="s">
        <v>12</v>
      </c>
      <c r="E3623" s="2" t="str">
        <f>HYPERLINK("https://ibp.a2mac1.com/costing(costing:projects/details/8191/component/5318057)","Fasteners")</f>
        <v>Fasteners</v>
      </c>
      <c r="F3623" t="s">
        <v>4477</v>
      </c>
    </row>
    <row r="3624" spans="1:6" ht="12.75">
      <c r="A3624">
        <v>5385080</v>
      </c>
      <c r="B3624">
        <v>5384943</v>
      </c>
      <c r="C3624" t="s">
        <v>12</v>
      </c>
      <c r="D3624" t="s">
        <v>8</v>
      </c>
      <c r="E3624" s="2" t="str">
        <f>HYPERLINK("https://ibp.a2mac1.com/costing(costing:projects/details/8191/part/5385080)","Floor Mat Anchors")</f>
        <v>Floor Mat Anchors</v>
      </c>
      <c r="F3624" t="s">
        <v>4463</v>
      </c>
    </row>
    <row r="3625" spans="1:6" ht="12.75">
      <c r="A3625">
        <v>6974054</v>
      </c>
      <c r="B3625">
        <v>5385080</v>
      </c>
      <c r="C3625" t="s">
        <v>99</v>
      </c>
      <c r="D3625" t="s">
        <v>12</v>
      </c>
      <c r="E3625" s="2" t="str">
        <f>HYPERLINK("https://ibp.a2mac1.com/costing(costing:projects/details/8191/process/6974054)","Automated Process")</f>
        <v>Automated Process</v>
      </c>
      <c r="F3625" t="s">
        <v>4482</v>
      </c>
    </row>
    <row r="3626" spans="1:6" ht="12.75">
      <c r="A3626">
        <v>5318049</v>
      </c>
      <c r="B3626">
        <v>6974054</v>
      </c>
      <c r="C3626" t="s">
        <v>24</v>
      </c>
      <c r="D3626" t="s">
        <v>99</v>
      </c>
      <c r="E3626" s="2" t="str">
        <f>HYPERLINK("https://ibp.a2mac1.com/costing(costing:projects/details/8191/material/5318049)","PA66")</f>
        <v>PA66</v>
      </c>
      <c r="F3626" t="s">
        <v>4483</v>
      </c>
    </row>
    <row r="3627" spans="1:6" ht="12.75">
      <c r="A3627">
        <v>6946634</v>
      </c>
      <c r="B3627">
        <v>6974054</v>
      </c>
      <c r="C3627" t="s">
        <v>189</v>
      </c>
      <c r="D3627" t="s">
        <v>99</v>
      </c>
      <c r="E3627" s="2" t="str">
        <f>HYPERLINK("https://ibp.a2mac1.com/costing(costing:projects/details/8191/equipment/6946634)","Equipment (Injection Molding)")</f>
        <v>Equipment (Injection Molding)</v>
      </c>
      <c r="F3627" t="s">
        <v>4483</v>
      </c>
    </row>
    <row r="3628" spans="1:6" ht="12.75">
      <c r="A3628">
        <v>5385081</v>
      </c>
      <c r="B3628">
        <v>5384943</v>
      </c>
      <c r="C3628" t="s">
        <v>12</v>
      </c>
      <c r="D3628" t="s">
        <v>8</v>
      </c>
      <c r="E3628" s="2" t="str">
        <f>HYPERLINK("https://ibp.a2mac1.com/costing(costing:projects/details/8191/part/5385081)","Floor Carpeting Shim")</f>
        <v>Floor Carpeting Shim</v>
      </c>
      <c r="F3628" t="s">
        <v>4463</v>
      </c>
    </row>
    <row r="3629" spans="1:6" ht="12.75">
      <c r="A3629">
        <v>6974055</v>
      </c>
      <c r="B3629">
        <v>5385081</v>
      </c>
      <c r="C3629" t="s">
        <v>99</v>
      </c>
      <c r="D3629" t="s">
        <v>12</v>
      </c>
      <c r="E3629" s="2" t="str">
        <f>HYPERLINK("https://ibp.a2mac1.com/costing(costing:projects/details/8191/process/6974055)","Injection molding")</f>
        <v>Injection molding</v>
      </c>
      <c r="F3629" t="s">
        <v>4485</v>
      </c>
    </row>
    <row r="3630" spans="1:6" ht="12.75">
      <c r="A3630">
        <v>5318050</v>
      </c>
      <c r="B3630">
        <v>6974055</v>
      </c>
      <c r="C3630" t="s">
        <v>24</v>
      </c>
      <c r="D3630" t="s">
        <v>99</v>
      </c>
      <c r="E3630" s="2" t="str">
        <f>HYPERLINK("https://ibp.a2mac1.com/costing(costing:projects/details/8191/material/5318050)","HDPE")</f>
        <v>HDPE</v>
      </c>
      <c r="F3630" t="s">
        <v>4487</v>
      </c>
    </row>
    <row r="3631" spans="1:6" ht="12.75">
      <c r="A3631">
        <v>6946635</v>
      </c>
      <c r="B3631">
        <v>6974055</v>
      </c>
      <c r="C3631" t="s">
        <v>189</v>
      </c>
      <c r="D3631" t="s">
        <v>99</v>
      </c>
      <c r="E3631" s="2" t="str">
        <f>HYPERLINK("https://ibp.a2mac1.com/costing(costing:projects/details/8191/equipment/6946635)","No.01 - Injection Press - 40T - 18kW - 270x270 - Max Volume 128cm3 ")</f>
        <v xml:space="preserve">No.01 - Injection Press - 40T - 18kW - 270x270 - Max Volume 128cm3 </v>
      </c>
      <c r="F3631" t="s">
        <v>4487</v>
      </c>
    </row>
    <row r="3632" spans="1:6" ht="12.75">
      <c r="A3632">
        <v>5385082</v>
      </c>
      <c r="B3632">
        <v>5384943</v>
      </c>
      <c r="C3632" t="s">
        <v>12</v>
      </c>
      <c r="D3632" t="s">
        <v>8</v>
      </c>
      <c r="E3632" s="2" t="str">
        <f>HYPERLINK("https://ibp.a2mac1.com/costing(costing:projects/details/8191/part/5385082)","Complete Carpet")</f>
        <v>Complete Carpet</v>
      </c>
      <c r="F3632" t="s">
        <v>4463</v>
      </c>
    </row>
    <row r="3633" spans="1:6" ht="12.75">
      <c r="A3633">
        <v>6974056</v>
      </c>
      <c r="B3633">
        <v>5385082</v>
      </c>
      <c r="C3633" t="s">
        <v>99</v>
      </c>
      <c r="D3633" t="s">
        <v>12</v>
      </c>
      <c r="E3633" s="2" t="str">
        <f>HYPERLINK("https://ibp.a2mac1.com/costing(costing:projects/details/8191/process/6974056)","Thermocompression")</f>
        <v>Thermocompression</v>
      </c>
      <c r="F3633" t="s">
        <v>4490</v>
      </c>
    </row>
    <row r="3634" spans="1:6" ht="12.75">
      <c r="A3634">
        <v>5318051</v>
      </c>
      <c r="B3634">
        <v>6974056</v>
      </c>
      <c r="C3634" t="s">
        <v>24</v>
      </c>
      <c r="D3634" t="s">
        <v>99</v>
      </c>
      <c r="E3634" s="2" t="str">
        <f>HYPERLINK("https://ibp.a2mac1.com/costing(costing:projects/details/8191/material/5318051)","Fabric - NP-PET felt")</f>
        <v>Fabric - NP-PET felt</v>
      </c>
      <c r="F3634" t="s">
        <v>4493</v>
      </c>
    </row>
    <row r="3635" spans="1:6" ht="12.75">
      <c r="A3635">
        <v>6946636</v>
      </c>
      <c r="B3635">
        <v>6974056</v>
      </c>
      <c r="C3635" t="s">
        <v>189</v>
      </c>
      <c r="D3635" t="s">
        <v>99</v>
      </c>
      <c r="E3635" s="2" t="str">
        <f>HYPERLINK("https://ibp.a2mac1.com/costing(costing:projects/details/8191/equipment/6946636)","No.01 - Hot Forming Furnace Module ")</f>
        <v xml:space="preserve">No.01 - Hot Forming Furnace Module </v>
      </c>
      <c r="F3635" t="s">
        <v>4493</v>
      </c>
    </row>
    <row r="3636" spans="1:6" ht="12.75">
      <c r="A3636">
        <v>6974057</v>
      </c>
      <c r="B3636">
        <v>5385082</v>
      </c>
      <c r="C3636" t="s">
        <v>99</v>
      </c>
      <c r="D3636" t="s">
        <v>12</v>
      </c>
      <c r="E3636" s="2" t="str">
        <f>HYPERLINK("https://ibp.a2mac1.com/costing(costing:projects/details/8191/process/6974057)","Waterjet cutting")</f>
        <v>Waterjet cutting</v>
      </c>
      <c r="F3636" t="s">
        <v>4490</v>
      </c>
    </row>
    <row r="3637" spans="1:6" ht="12.75">
      <c r="A3637">
        <v>6946637</v>
      </c>
      <c r="B3637">
        <v>6974057</v>
      </c>
      <c r="C3637" t="s">
        <v>189</v>
      </c>
      <c r="D3637" t="s">
        <v>99</v>
      </c>
      <c r="E3637" s="2" t="str">
        <f>HYPERLINK("https://ibp.a2mac1.com/costing(costing:projects/details/8191/equipment/6946637)","No.01 - Waterjet Cutting ")</f>
        <v xml:space="preserve">No.01 - Waterjet Cutting </v>
      </c>
      <c r="F3637" t="s">
        <v>4495</v>
      </c>
    </row>
    <row r="3638" spans="1:6" ht="12.75">
      <c r="A3638">
        <v>6974058</v>
      </c>
      <c r="B3638">
        <v>5385082</v>
      </c>
      <c r="C3638" t="s">
        <v>99</v>
      </c>
      <c r="D3638" t="s">
        <v>12</v>
      </c>
      <c r="E3638" s="2" t="str">
        <f>HYPERLINK("https://ibp.a2mac1.com/costing(costing:projects/details/8191/process/6974058)","Gluing")</f>
        <v>Gluing</v>
      </c>
      <c r="F3638" t="s">
        <v>4490</v>
      </c>
    </row>
    <row r="3639" spans="1:6" ht="12.75">
      <c r="A3639">
        <v>5318052</v>
      </c>
      <c r="B3639">
        <v>6974058</v>
      </c>
      <c r="C3639" t="s">
        <v>24</v>
      </c>
      <c r="D3639" t="s">
        <v>99</v>
      </c>
      <c r="E3639" s="2" t="str">
        <f>HYPERLINK("https://ibp.a2mac1.com/costing(costing:projects/details/8191/material/5318052)","Adhesive, standard (default)")</f>
        <v>Adhesive, standard (default)</v>
      </c>
      <c r="F3639" t="s">
        <v>4498</v>
      </c>
    </row>
    <row r="3640" spans="1:6" ht="12.75">
      <c r="A3640">
        <v>5318053</v>
      </c>
      <c r="B3640">
        <v>6974058</v>
      </c>
      <c r="C3640" t="s">
        <v>24</v>
      </c>
      <c r="D3640" t="s">
        <v>99</v>
      </c>
      <c r="E3640" s="2" t="str">
        <f>HYPERLINK("https://ibp.a2mac1.com/costing(costing:projects/details/8191/material/5318053)","Recycled fabrics")</f>
        <v>Recycled fabrics</v>
      </c>
      <c r="F3640" t="s">
        <v>4498</v>
      </c>
    </row>
    <row r="3641" spans="1:6" ht="12.75">
      <c r="A3641">
        <v>6946638</v>
      </c>
      <c r="B3641">
        <v>6974058</v>
      </c>
      <c r="C3641" t="s">
        <v>189</v>
      </c>
      <c r="D3641" t="s">
        <v>99</v>
      </c>
      <c r="E3641" s="2" t="str">
        <f>HYPERLINK("https://ibp.a2mac1.com/costing(costing:projects/details/8191/equipment/6946638)","Gluing equipment")</f>
        <v>Gluing equipment</v>
      </c>
      <c r="F3641" t="s">
        <v>4498</v>
      </c>
    </row>
    <row r="3642" spans="1:6" ht="12.75">
      <c r="A3642">
        <v>6974059</v>
      </c>
      <c r="B3642">
        <v>5385082</v>
      </c>
      <c r="C3642" t="s">
        <v>99</v>
      </c>
      <c r="D3642" t="s">
        <v>12</v>
      </c>
      <c r="E3642" s="2" t="str">
        <f>HYPERLINK("https://ibp.a2mac1.com/costing(costing:projects/details/8191/process/6974059)","Assembly")</f>
        <v>Assembly</v>
      </c>
      <c r="F3642" t="s">
        <v>4490</v>
      </c>
    </row>
    <row r="3643" spans="1:6" ht="12.75">
      <c r="A3643">
        <v>6946662</v>
      </c>
      <c r="B3643">
        <v>6974059</v>
      </c>
      <c r="C3643" t="s">
        <v>189</v>
      </c>
      <c r="D3643" t="s">
        <v>99</v>
      </c>
      <c r="E3643" s="2" t="str">
        <f>HYPERLINK("https://ibp.a2mac1.com/costing(costing:projects/details/8191/equipment/6946662)","Assembly Station with additional equipment ")</f>
        <v xml:space="preserve">Assembly Station with additional equipment </v>
      </c>
      <c r="F3643" t="s">
        <v>4500</v>
      </c>
    </row>
    <row r="3644" spans="1:6" ht="12.75">
      <c r="A3644">
        <v>6974060</v>
      </c>
      <c r="B3644">
        <v>5385082</v>
      </c>
      <c r="C3644" t="s">
        <v>99</v>
      </c>
      <c r="D3644" t="s">
        <v>12</v>
      </c>
      <c r="E3644" s="2" t="str">
        <f>HYPERLINK("https://ibp.a2mac1.com/costing(costing:projects/details/8191/process/6974060)","Handling/Inspection")</f>
        <v>Handling/Inspection</v>
      </c>
      <c r="F3644" t="s">
        <v>4490</v>
      </c>
    </row>
    <row r="3645" spans="1:6" ht="12.75">
      <c r="A3645">
        <v>6946663</v>
      </c>
      <c r="B3645">
        <v>6974060</v>
      </c>
      <c r="C3645" t="s">
        <v>189</v>
      </c>
      <c r="D3645" t="s">
        <v>99</v>
      </c>
      <c r="E3645" s="2" t="str">
        <f>HYPERLINK("https://ibp.a2mac1.com/costing(costing:projects/details/8191/equipment/6946663)","Packaging")</f>
        <v>Packaging</v>
      </c>
      <c r="F3645" t="s">
        <v>4502</v>
      </c>
    </row>
    <row r="3646" spans="1:6" ht="12.75">
      <c r="A3646">
        <v>5317936</v>
      </c>
      <c r="B3646">
        <v>5385082</v>
      </c>
      <c r="C3646" t="s">
        <v>574</v>
      </c>
      <c r="D3646" t="s">
        <v>12</v>
      </c>
      <c r="E3646" s="2" t="str">
        <f>HYPERLINK("https://ibp.a2mac1.com/costing(costing:projects/details/8191/component/5317936)","Covers/pads")</f>
        <v>Covers/pads</v>
      </c>
      <c r="F3646" t="s">
        <v>4490</v>
      </c>
    </row>
    <row r="3647" spans="1:6" ht="12.75">
      <c r="A3647">
        <v>5317937</v>
      </c>
      <c r="B3647">
        <v>5385082</v>
      </c>
      <c r="C3647" t="s">
        <v>574</v>
      </c>
      <c r="D3647" t="s">
        <v>12</v>
      </c>
      <c r="E3647" s="2" t="str">
        <f>HYPERLINK("https://ibp.a2mac1.com/costing(costing:projects/details/8191/component/5317937)","Labels")</f>
        <v>Labels</v>
      </c>
      <c r="F3647" t="s">
        <v>4490</v>
      </c>
    </row>
    <row r="3648" spans="1:6" ht="12.75">
      <c r="A3648">
        <v>5384944</v>
      </c>
      <c r="B3648">
        <v>5384846</v>
      </c>
      <c r="C3648" t="s">
        <v>8</v>
      </c>
      <c r="D3648" t="s">
        <v>8</v>
      </c>
      <c r="E3648" s="2" t="str">
        <f>HYPERLINK("https://ibp.a2mac1.com/costing(costing:projects/details/8191/assembly/5384944)","Trunk")</f>
        <v>Trunk</v>
      </c>
      <c r="F3648" t="s">
        <v>4462</v>
      </c>
    </row>
    <row r="3649" spans="1:6" ht="12.75">
      <c r="A3649">
        <v>5385085</v>
      </c>
      <c r="B3649">
        <v>5384944</v>
      </c>
      <c r="C3649" t="s">
        <v>8</v>
      </c>
      <c r="D3649" t="s">
        <v>8</v>
      </c>
      <c r="E3649" s="2" t="str">
        <f>HYPERLINK("https://ibp.a2mac1.com/costing(costing:projects/details/8191/assembly/5385085)","Removable Floor System")</f>
        <v>Removable Floor System</v>
      </c>
      <c r="F3649" t="s">
        <v>4507</v>
      </c>
    </row>
    <row r="3650" spans="1:6" ht="12.75">
      <c r="A3650">
        <v>5385119</v>
      </c>
      <c r="B3650">
        <v>5385085</v>
      </c>
      <c r="C3650" t="s">
        <v>12</v>
      </c>
      <c r="D3650" t="s">
        <v>8</v>
      </c>
      <c r="E3650" s="2" t="str">
        <f>HYPERLINK("https://ibp.a2mac1.com/costing(costing:projects/details/8191/part/5385119)","Main Floor")</f>
        <v>Main Floor</v>
      </c>
      <c r="F3650" t="s">
        <v>4508</v>
      </c>
    </row>
    <row r="3651" spans="1:6" ht="12.75">
      <c r="A3651">
        <v>6974125</v>
      </c>
      <c r="B3651">
        <v>5385119</v>
      </c>
      <c r="C3651" t="s">
        <v>99</v>
      </c>
      <c r="D3651" t="s">
        <v>12</v>
      </c>
      <c r="E3651" s="2" t="str">
        <f>HYPERLINK("https://ibp.a2mac1.com/costing(costing:projects/details/8191/process/6974125)","Automated Process")</f>
        <v>Automated Process</v>
      </c>
      <c r="F3651" t="s">
        <v>4509</v>
      </c>
    </row>
    <row r="3652" spans="1:6" ht="12.75">
      <c r="A3652">
        <v>5318146</v>
      </c>
      <c r="B3652">
        <v>6974125</v>
      </c>
      <c r="C3652" t="s">
        <v>24</v>
      </c>
      <c r="D3652" t="s">
        <v>99</v>
      </c>
      <c r="E3652" s="2" t="str">
        <f>HYPERLINK("https://ibp.a2mac1.com/costing(costing:projects/details/8191/material/5318146)","Material")</f>
        <v>Material</v>
      </c>
      <c r="F3652" t="s">
        <v>4510</v>
      </c>
    </row>
    <row r="3653" spans="1:6" ht="12.75">
      <c r="A3653">
        <v>6946700</v>
      </c>
      <c r="B3653">
        <v>6974125</v>
      </c>
      <c r="C3653" t="s">
        <v>189</v>
      </c>
      <c r="D3653" t="s">
        <v>99</v>
      </c>
      <c r="E3653" s="2" t="str">
        <f>HYPERLINK("https://ibp.a2mac1.com/costing(costing:projects/details/8191/equipment/6946700)","DC machine - General")</f>
        <v>DC machine - General</v>
      </c>
      <c r="F3653" t="s">
        <v>4510</v>
      </c>
    </row>
    <row r="3654" spans="1:6" ht="12.75">
      <c r="A3654">
        <v>5385120</v>
      </c>
      <c r="B3654">
        <v>5385085</v>
      </c>
      <c r="C3654" t="s">
        <v>12</v>
      </c>
      <c r="D3654" t="s">
        <v>8</v>
      </c>
      <c r="E3654" s="2" t="str">
        <f>HYPERLINK("https://ibp.a2mac1.com/costing(costing:projects/details/8191/part/5385120)","Support Panel and Right if Similar")</f>
        <v>Support Panel and Right if Similar</v>
      </c>
      <c r="F3654" t="s">
        <v>4508</v>
      </c>
    </row>
    <row r="3655" spans="1:6" ht="12.75">
      <c r="A3655">
        <v>6974126</v>
      </c>
      <c r="B3655">
        <v>5385120</v>
      </c>
      <c r="C3655" t="s">
        <v>99</v>
      </c>
      <c r="D3655" t="s">
        <v>12</v>
      </c>
      <c r="E3655" s="2" t="str">
        <f>HYPERLINK("https://ibp.a2mac1.com/costing(costing:projects/details/8191/process/6974126)","Injection molding")</f>
        <v>Injection molding</v>
      </c>
      <c r="F3655" t="s">
        <v>4514</v>
      </c>
    </row>
    <row r="3656" spans="1:6" ht="12.75">
      <c r="A3656">
        <v>5318147</v>
      </c>
      <c r="B3656">
        <v>6974126</v>
      </c>
      <c r="C3656" t="s">
        <v>24</v>
      </c>
      <c r="D3656" t="s">
        <v>99</v>
      </c>
      <c r="E3656" s="2" t="str">
        <f>HYPERLINK("https://ibp.a2mac1.com/costing(costing:projects/details/8191/material/5318147)","PP")</f>
        <v>PP</v>
      </c>
      <c r="F3656" t="s">
        <v>4517</v>
      </c>
    </row>
    <row r="3657" spans="1:6" ht="12.75">
      <c r="A3657">
        <v>6946701</v>
      </c>
      <c r="B3657">
        <v>6974126</v>
      </c>
      <c r="C3657" t="s">
        <v>189</v>
      </c>
      <c r="D3657" t="s">
        <v>99</v>
      </c>
      <c r="E3657" s="2" t="str">
        <f>HYPERLINK("https://ibp.a2mac1.com/costing(costing:projects/details/8191/equipment/6946701)","No.12 - Injection Press - 800T - 160kW - 1120x1120 - Max Volume 5374cm3 ")</f>
        <v xml:space="preserve">No.12 - Injection Press - 800T - 160kW - 1120x1120 - Max Volume 5374cm3 </v>
      </c>
      <c r="F3657" t="s">
        <v>4517</v>
      </c>
    </row>
    <row r="3658" spans="1:6" ht="12.75">
      <c r="A3658">
        <v>5318059</v>
      </c>
      <c r="B3658">
        <v>5385120</v>
      </c>
      <c r="C3658" t="s">
        <v>574</v>
      </c>
      <c r="D3658" t="s">
        <v>12</v>
      </c>
      <c r="E3658" s="2" t="str">
        <f>HYPERLINK("https://ibp.a2mac1.com/costing(costing:projects/details/8191/component/5318059)","Screw &gt; Torx socket head cap screw with flange")</f>
        <v>Screw &gt; Torx socket head cap screw with flange</v>
      </c>
      <c r="F3658" t="s">
        <v>4514</v>
      </c>
    </row>
    <row r="3659" spans="1:6" ht="12.75">
      <c r="A3659">
        <v>5385121</v>
      </c>
      <c r="B3659">
        <v>5385085</v>
      </c>
      <c r="C3659" t="s">
        <v>12</v>
      </c>
      <c r="D3659" t="s">
        <v>8</v>
      </c>
      <c r="E3659" s="2" t="str">
        <f>HYPERLINK("https://ibp.a2mac1.com/costing(costing:projects/details/8191/part/5385121)","Support Panel Right")</f>
        <v>Support Panel Right</v>
      </c>
      <c r="F3659" t="s">
        <v>4508</v>
      </c>
    </row>
    <row r="3660" spans="1:6" ht="12.75">
      <c r="A3660">
        <v>6974127</v>
      </c>
      <c r="B3660">
        <v>5385121</v>
      </c>
      <c r="C3660" t="s">
        <v>99</v>
      </c>
      <c r="D3660" t="s">
        <v>12</v>
      </c>
      <c r="E3660" s="2" t="str">
        <f>HYPERLINK("https://ibp.a2mac1.com/costing(costing:projects/details/8191/process/6974127)","Injection molding")</f>
        <v>Injection molding</v>
      </c>
      <c r="F3660" t="s">
        <v>4520</v>
      </c>
    </row>
    <row r="3661" spans="1:6" ht="12.75">
      <c r="A3661">
        <v>5318148</v>
      </c>
      <c r="B3661">
        <v>6974127</v>
      </c>
      <c r="C3661" t="s">
        <v>24</v>
      </c>
      <c r="D3661" t="s">
        <v>99</v>
      </c>
      <c r="E3661" s="2" t="str">
        <f>HYPERLINK("https://ibp.a2mac1.com/costing(costing:projects/details/8191/material/5318148)","PP")</f>
        <v>PP</v>
      </c>
      <c r="F3661" t="s">
        <v>4523</v>
      </c>
    </row>
    <row r="3662" spans="1:6" ht="12.75">
      <c r="A3662">
        <v>6946702</v>
      </c>
      <c r="B3662">
        <v>6974127</v>
      </c>
      <c r="C3662" t="s">
        <v>189</v>
      </c>
      <c r="D3662" t="s">
        <v>99</v>
      </c>
      <c r="E3662" s="2" t="str">
        <f>HYPERLINK("https://ibp.a2mac1.com/costing(costing:projects/details/8191/equipment/6946702)","No.12 - Injection Press - 800T - 160kW - 1120x1120 - Max Volume 5374cm3 ")</f>
        <v xml:space="preserve">No.12 - Injection Press - 800T - 160kW - 1120x1120 - Max Volume 5374cm3 </v>
      </c>
      <c r="F3662" t="s">
        <v>4523</v>
      </c>
    </row>
    <row r="3663" spans="1:6" ht="12.75">
      <c r="A3663">
        <v>5318060</v>
      </c>
      <c r="B3663">
        <v>5385121</v>
      </c>
      <c r="C3663" t="s">
        <v>574</v>
      </c>
      <c r="D3663" t="s">
        <v>12</v>
      </c>
      <c r="E3663" s="2" t="str">
        <f>HYPERLINK("https://ibp.a2mac1.com/costing(costing:projects/details/8191/component/5318060)","Screw &gt; Torx socket head cap screw with flange")</f>
        <v>Screw &gt; Torx socket head cap screw with flange</v>
      </c>
      <c r="F3663" t="s">
        <v>4520</v>
      </c>
    </row>
    <row r="3664" spans="1:6" ht="12.75">
      <c r="A3664">
        <v>5385122</v>
      </c>
      <c r="B3664">
        <v>5385085</v>
      </c>
      <c r="C3664" t="s">
        <v>12</v>
      </c>
      <c r="D3664" t="s">
        <v>8</v>
      </c>
      <c r="E3664" s="2" t="str">
        <f>HYPERLINK("https://ibp.a2mac1.com/costing(costing:projects/details/8191/part/5385122)","Reinforcement / Bracket Handle")</f>
        <v>Reinforcement / Bracket Handle</v>
      </c>
      <c r="F3664" t="s">
        <v>4508</v>
      </c>
    </row>
    <row r="3665" spans="1:6" ht="12.75">
      <c r="A3665">
        <v>6974128</v>
      </c>
      <c r="B3665">
        <v>5385122</v>
      </c>
      <c r="C3665" t="s">
        <v>99</v>
      </c>
      <c r="D3665" t="s">
        <v>12</v>
      </c>
      <c r="E3665" s="2" t="str">
        <f>HYPERLINK("https://ibp.a2mac1.com/costing(costing:projects/details/8191/process/6974128)","Handling/Visual Inspection/Packaging")</f>
        <v>Handling/Visual Inspection/Packaging</v>
      </c>
      <c r="F3665" t="s">
        <v>4525</v>
      </c>
    </row>
    <row r="3666" spans="1:6" ht="12.75">
      <c r="A3666">
        <v>6946703</v>
      </c>
      <c r="B3666">
        <v>6974128</v>
      </c>
      <c r="C3666" t="s">
        <v>189</v>
      </c>
      <c r="D3666" t="s">
        <v>99</v>
      </c>
      <c r="E3666" s="2" t="str">
        <f>HYPERLINK("https://ibp.a2mac1.com/costing(costing:projects/details/8191/equipment/6946703)","Packaging")</f>
        <v>Packaging</v>
      </c>
      <c r="F3666" t="s">
        <v>4526</v>
      </c>
    </row>
    <row r="3667" spans="1:6" ht="12.75">
      <c r="A3667">
        <v>6974129</v>
      </c>
      <c r="B3667">
        <v>5385122</v>
      </c>
      <c r="C3667" t="s">
        <v>99</v>
      </c>
      <c r="D3667" t="s">
        <v>12</v>
      </c>
      <c r="E3667" s="2" t="str">
        <f>HYPERLINK("https://ibp.a2mac1.com/costing(costing:projects/details/8191/process/6974129)","Injection molding")</f>
        <v>Injection molding</v>
      </c>
      <c r="F3667" t="s">
        <v>4525</v>
      </c>
    </row>
    <row r="3668" spans="1:6" ht="12.75">
      <c r="A3668">
        <v>5318149</v>
      </c>
      <c r="B3668">
        <v>6974129</v>
      </c>
      <c r="C3668" t="s">
        <v>24</v>
      </c>
      <c r="D3668" t="s">
        <v>99</v>
      </c>
      <c r="E3668" s="2" t="str">
        <f>HYPERLINK("https://ibp.a2mac1.com/costing(costing:projects/details/8191/material/5318149)","ABS")</f>
        <v>ABS</v>
      </c>
      <c r="F3668" t="s">
        <v>4529</v>
      </c>
    </row>
    <row r="3669" spans="1:6" ht="12.75">
      <c r="A3669">
        <v>6946704</v>
      </c>
      <c r="B3669">
        <v>6974129</v>
      </c>
      <c r="C3669" t="s">
        <v>189</v>
      </c>
      <c r="D3669" t="s">
        <v>99</v>
      </c>
      <c r="E3669" s="2" t="str">
        <f>HYPERLINK("https://ibp.a2mac1.com/costing(costing:projects/details/8191/equipment/6946704)","No.03 - Injection Press - 80T - 30kW - 370x370 - Max Volume 260cm3 ")</f>
        <v xml:space="preserve">No.03 - Injection Press - 80T - 30kW - 370x370 - Max Volume 260cm3 </v>
      </c>
      <c r="F3669" t="s">
        <v>4529</v>
      </c>
    </row>
    <row r="3670" spans="1:6" ht="12.75">
      <c r="A3670">
        <v>5385123</v>
      </c>
      <c r="B3670">
        <v>5385085</v>
      </c>
      <c r="C3670" t="s">
        <v>12</v>
      </c>
      <c r="D3670" t="s">
        <v>8</v>
      </c>
      <c r="E3670" s="2" t="str">
        <f>HYPERLINK("https://ibp.a2mac1.com/costing(costing:projects/details/8191/part/5385123)","Handle")</f>
        <v>Handle</v>
      </c>
      <c r="F3670" t="s">
        <v>4508</v>
      </c>
    </row>
    <row r="3671" spans="1:6" ht="12.75">
      <c r="A3671">
        <v>6974130</v>
      </c>
      <c r="B3671">
        <v>5385123</v>
      </c>
      <c r="C3671" t="s">
        <v>99</v>
      </c>
      <c r="D3671" t="s">
        <v>12</v>
      </c>
      <c r="E3671" s="2" t="str">
        <f>HYPERLINK("https://ibp.a2mac1.com/costing(costing:projects/details/8191/process/6974130)","Handling/Visual Inspection/Packaging")</f>
        <v>Handling/Visual Inspection/Packaging</v>
      </c>
      <c r="F3671" t="s">
        <v>4533</v>
      </c>
    </row>
    <row r="3672" spans="1:6" ht="12.75">
      <c r="A3672">
        <v>6946705</v>
      </c>
      <c r="B3672">
        <v>6974130</v>
      </c>
      <c r="C3672" t="s">
        <v>189</v>
      </c>
      <c r="D3672" t="s">
        <v>99</v>
      </c>
      <c r="E3672" s="2" t="str">
        <f>HYPERLINK("https://ibp.a2mac1.com/costing(costing:projects/details/8191/equipment/6946705)","Packaging")</f>
        <v>Packaging</v>
      </c>
      <c r="F3672" t="s">
        <v>4534</v>
      </c>
    </row>
    <row r="3673" spans="1:6" ht="12.75">
      <c r="A3673">
        <v>6974131</v>
      </c>
      <c r="B3673">
        <v>5385123</v>
      </c>
      <c r="C3673" t="s">
        <v>99</v>
      </c>
      <c r="D3673" t="s">
        <v>12</v>
      </c>
      <c r="E3673" s="2" t="str">
        <f>HYPERLINK("https://ibp.a2mac1.com/costing(costing:projects/details/8191/process/6974131)","Injection molding")</f>
        <v>Injection molding</v>
      </c>
      <c r="F3673" t="s">
        <v>4533</v>
      </c>
    </row>
    <row r="3674" spans="1:6" ht="12.75">
      <c r="A3674">
        <v>5318150</v>
      </c>
      <c r="B3674">
        <v>6974131</v>
      </c>
      <c r="C3674" t="s">
        <v>24</v>
      </c>
      <c r="D3674" t="s">
        <v>99</v>
      </c>
      <c r="E3674" s="2" t="str">
        <f>HYPERLINK("https://ibp.a2mac1.com/costing(costing:projects/details/8191/material/5318150)","PA6")</f>
        <v>PA6</v>
      </c>
      <c r="F3674" t="s">
        <v>4537</v>
      </c>
    </row>
    <row r="3675" spans="1:6" ht="12.75">
      <c r="A3675">
        <v>6946706</v>
      </c>
      <c r="B3675">
        <v>6974131</v>
      </c>
      <c r="C3675" t="s">
        <v>189</v>
      </c>
      <c r="D3675" t="s">
        <v>99</v>
      </c>
      <c r="E3675" s="2" t="str">
        <f>HYPERLINK("https://ibp.a2mac1.com/costing(costing:projects/details/8191/equipment/6946706)","No.02 - Injection Press - 60T - 25kW - 320x320 - Max Volume 164cm3 ")</f>
        <v xml:space="preserve">No.02 - Injection Press - 60T - 25kW - 320x320 - Max Volume 164cm3 </v>
      </c>
      <c r="F3675" t="s">
        <v>4537</v>
      </c>
    </row>
    <row r="3676" spans="1:6" ht="12.75">
      <c r="A3676">
        <v>5317938</v>
      </c>
      <c r="B3676">
        <v>5385085</v>
      </c>
      <c r="C3676" t="s">
        <v>574</v>
      </c>
      <c r="D3676" t="s">
        <v>8</v>
      </c>
      <c r="E3676" s="2" t="str">
        <f>HYPERLINK("https://ibp.a2mac1.com/costing(costing:projects/details/8191/component/5317938)","Screw &gt; Torx socket head cap screw with flange")</f>
        <v>Screw &gt; Torx socket head cap screw with flange</v>
      </c>
      <c r="F3676" t="s">
        <v>4508</v>
      </c>
    </row>
    <row r="3677" spans="1:6" ht="12.75">
      <c r="A3677">
        <v>5317939</v>
      </c>
      <c r="B3677">
        <v>5385085</v>
      </c>
      <c r="C3677" t="s">
        <v>574</v>
      </c>
      <c r="D3677" t="s">
        <v>8</v>
      </c>
      <c r="E3677" s="2" t="str">
        <f>HYPERLINK("https://ibp.a2mac1.com/costing(costing:projects/details/8191/component/5317939)","Screw &gt; Torx socket head cap screw with flange")</f>
        <v>Screw &gt; Torx socket head cap screw with flange</v>
      </c>
      <c r="F3677" t="s">
        <v>4508</v>
      </c>
    </row>
    <row r="3678" spans="1:6" ht="12.75">
      <c r="A3678">
        <v>5385084</v>
      </c>
      <c r="B3678">
        <v>5384944</v>
      </c>
      <c r="C3678" t="s">
        <v>12</v>
      </c>
      <c r="D3678" t="s">
        <v>8</v>
      </c>
      <c r="E3678" s="2" t="str">
        <f>HYPERLINK("https://ibp.a2mac1.com/costing(costing:projects/details/8191/part/5385084)","Upper Layer")</f>
        <v>Upper Layer</v>
      </c>
      <c r="F3678" t="s">
        <v>4507</v>
      </c>
    </row>
    <row r="3679" spans="1:6" ht="12.75">
      <c r="A3679">
        <v>6974061</v>
      </c>
      <c r="B3679">
        <v>5385084</v>
      </c>
      <c r="C3679" t="s">
        <v>99</v>
      </c>
      <c r="D3679" t="s">
        <v>12</v>
      </c>
      <c r="E3679" s="2" t="str">
        <f>HYPERLINK("https://ibp.a2mac1.com/costing(costing:projects/details/8191/process/6974061)","Automated Process")</f>
        <v>Automated Process</v>
      </c>
      <c r="F3679" t="s">
        <v>4542</v>
      </c>
    </row>
    <row r="3680" spans="1:6" ht="12.75">
      <c r="A3680">
        <v>5318058</v>
      </c>
      <c r="B3680">
        <v>6974061</v>
      </c>
      <c r="C3680" t="s">
        <v>24</v>
      </c>
      <c r="D3680" t="s">
        <v>99</v>
      </c>
      <c r="E3680" s="2" t="str">
        <f>HYPERLINK("https://ibp.a2mac1.com/costing(costing:projects/details/8191/material/5318058)","Material")</f>
        <v>Material</v>
      </c>
      <c r="F3680" t="s">
        <v>4543</v>
      </c>
    </row>
    <row r="3681" spans="1:6" ht="12.75">
      <c r="A3681">
        <v>6946664</v>
      </c>
      <c r="B3681">
        <v>6974061</v>
      </c>
      <c r="C3681" t="s">
        <v>189</v>
      </c>
      <c r="D3681" t="s">
        <v>99</v>
      </c>
      <c r="E3681" s="2" t="str">
        <f>HYPERLINK("https://ibp.a2mac1.com/costing(costing:projects/details/8191/equipment/6946664)","DC machine - General")</f>
        <v>DC machine - General</v>
      </c>
      <c r="F3681" t="s">
        <v>4543</v>
      </c>
    </row>
    <row r="3682" spans="1:6" ht="12.75">
      <c r="A3682">
        <v>5384847</v>
      </c>
      <c r="B3682">
        <v>5384798</v>
      </c>
      <c r="C3682" t="s">
        <v>8</v>
      </c>
      <c r="D3682" t="s">
        <v>8</v>
      </c>
      <c r="E3682" s="2" t="str">
        <f>HYPERLINK("https://ibp.a2mac1.com/costing(costing:projects/details/8191/assembly/5384847)","Speakers System")</f>
        <v>Speakers System</v>
      </c>
      <c r="F3682" t="s">
        <v>4245</v>
      </c>
    </row>
    <row r="3683" spans="1:6" ht="12.75">
      <c r="A3683">
        <v>5384945</v>
      </c>
      <c r="B3683">
        <v>5384847</v>
      </c>
      <c r="C3683" t="s">
        <v>8</v>
      </c>
      <c r="D3683" t="s">
        <v>8</v>
      </c>
      <c r="E3683" s="2" t="str">
        <f>HYPERLINK("https://ibp.a2mac1.com/costing(costing:projects/details/8191/assembly/5384945)","Tweeter System")</f>
        <v>Tweeter System</v>
      </c>
      <c r="F3683" t="s">
        <v>4548</v>
      </c>
    </row>
    <row r="3684" spans="1:6" ht="12.75">
      <c r="A3684">
        <v>5385086</v>
      </c>
      <c r="B3684">
        <v>5384945</v>
      </c>
      <c r="C3684" t="s">
        <v>12</v>
      </c>
      <c r="D3684" t="s">
        <v>8</v>
      </c>
      <c r="E3684" s="2" t="str">
        <f>HYPERLINK("https://ibp.a2mac1.com/costing(costing:projects/details/8191/part/5385086)","Tweeter on A Pillar")</f>
        <v>Tweeter on A Pillar</v>
      </c>
      <c r="F3684" t="s">
        <v>4549</v>
      </c>
    </row>
    <row r="3685" spans="1:6" ht="12.75">
      <c r="A3685">
        <v>5385087</v>
      </c>
      <c r="B3685">
        <v>5384945</v>
      </c>
      <c r="C3685" t="s">
        <v>12</v>
      </c>
      <c r="D3685" t="s">
        <v>8</v>
      </c>
      <c r="E3685" s="2" t="str">
        <f>HYPERLINK("https://ibp.a2mac1.com/costing(costing:projects/details/8191/part/5385087)","Tweeter Grille on A Pillar")</f>
        <v>Tweeter Grille on A Pillar</v>
      </c>
      <c r="F3685" t="s">
        <v>4549</v>
      </c>
    </row>
    <row r="3686" spans="1:6" ht="12.75">
      <c r="A3686">
        <v>5317842</v>
      </c>
      <c r="B3686">
        <v>5384945</v>
      </c>
      <c r="C3686" t="s">
        <v>574</v>
      </c>
      <c r="D3686" t="s">
        <v>8</v>
      </c>
      <c r="E3686" s="2" t="str">
        <f>HYPERLINK("https://ibp.a2mac1.com/costing(costing:projects/details/8191/component/5317842)","Other fastener &gt; Snap Tooling")</f>
        <v>Other fastener &gt; Snap Tooling</v>
      </c>
      <c r="F3686" t="s">
        <v>4549</v>
      </c>
    </row>
    <row r="3687" spans="1:6" ht="12.75">
      <c r="A3687">
        <v>5384848</v>
      </c>
      <c r="B3687">
        <v>5384798</v>
      </c>
      <c r="C3687" t="s">
        <v>8</v>
      </c>
      <c r="D3687" t="s">
        <v>8</v>
      </c>
      <c r="E3687" s="2" t="str">
        <f>HYPERLINK("https://ibp.a2mac1.com/costing(costing:projects/details/8191/assembly/5384848)","Tie Bracket System")</f>
        <v>Tie Bracket System</v>
      </c>
      <c r="F3687" t="s">
        <v>4245</v>
      </c>
    </row>
    <row r="3688" spans="1:6" ht="12.75">
      <c r="A3688">
        <v>5384946</v>
      </c>
      <c r="B3688">
        <v>5384848</v>
      </c>
      <c r="C3688" t="s">
        <v>12</v>
      </c>
      <c r="D3688" t="s">
        <v>8</v>
      </c>
      <c r="E3688" s="2" t="str">
        <f>HYPERLINK("https://ibp.a2mac1.com/costing(costing:projects/details/8191/part/5384946)","Tie Bracket")</f>
        <v>Tie Bracket</v>
      </c>
      <c r="F3688" t="s">
        <v>4555</v>
      </c>
    </row>
    <row r="3689" spans="1:6" ht="12.75">
      <c r="A3689">
        <v>6973979</v>
      </c>
      <c r="B3689">
        <v>5384946</v>
      </c>
      <c r="C3689" t="s">
        <v>99</v>
      </c>
      <c r="D3689" t="s">
        <v>12</v>
      </c>
      <c r="E3689" s="2" t="str">
        <f>HYPERLINK("https://ibp.a2mac1.com/costing(costing:projects/details/8191/process/6973979)","Injection molding")</f>
        <v>Injection molding</v>
      </c>
      <c r="F3689" t="s">
        <v>4556</v>
      </c>
    </row>
    <row r="3690" spans="1:6" ht="12.75">
      <c r="A3690">
        <v>5317940</v>
      </c>
      <c r="B3690">
        <v>6973979</v>
      </c>
      <c r="C3690" t="s">
        <v>24</v>
      </c>
      <c r="D3690" t="s">
        <v>99</v>
      </c>
      <c r="E3690" s="2" t="str">
        <f>HYPERLINK("https://ibp.a2mac1.com/costing(costing:projects/details/8191/material/5317940)","POM")</f>
        <v>POM</v>
      </c>
      <c r="F3690" t="s">
        <v>4558</v>
      </c>
    </row>
    <row r="3691" spans="1:6" ht="12.75">
      <c r="A3691">
        <v>6946539</v>
      </c>
      <c r="B3691">
        <v>6973979</v>
      </c>
      <c r="C3691" t="s">
        <v>189</v>
      </c>
      <c r="D3691" t="s">
        <v>99</v>
      </c>
      <c r="E3691" s="2" t="str">
        <f>HYPERLINK("https://ibp.a2mac1.com/costing(costing:projects/details/8191/equipment/6946539)","No.01 - Injection Press - 40T - 18kW - 270x270 - Max Volume 128cm3 ")</f>
        <v xml:space="preserve">No.01 - Injection Press - 40T - 18kW - 270x270 - Max Volume 128cm3 </v>
      </c>
      <c r="F3691" t="s">
        <v>4558</v>
      </c>
    </row>
    <row r="3692" spans="1:6" ht="12.75">
      <c r="A3692">
        <v>5384849</v>
      </c>
      <c r="B3692">
        <v>5384798</v>
      </c>
      <c r="C3692" t="s">
        <v>8</v>
      </c>
      <c r="D3692" t="s">
        <v>8</v>
      </c>
      <c r="E3692" s="2" t="str">
        <f>HYPERLINK("https://ibp.a2mac1.com/costing(costing:projects/details/8191/assembly/5384849)","Interior Lighting System")</f>
        <v>Interior Lighting System</v>
      </c>
      <c r="F3692" t="s">
        <v>4245</v>
      </c>
    </row>
    <row r="3693" spans="1:6" ht="12.75">
      <c r="A3693">
        <v>5384947</v>
      </c>
      <c r="B3693">
        <v>5384849</v>
      </c>
      <c r="C3693" t="s">
        <v>12</v>
      </c>
      <c r="D3693" t="s">
        <v>8</v>
      </c>
      <c r="E3693" s="2" t="str">
        <f>HYPERLINK("https://ibp.a2mac1.com/costing(costing:projects/details/8191/part/5384947)","Trunk Light")</f>
        <v>Trunk Light</v>
      </c>
      <c r="F3693" t="s">
        <v>4562</v>
      </c>
    </row>
    <row r="3694" spans="1:6" ht="12.75">
      <c r="A3694">
        <v>5384850</v>
      </c>
      <c r="B3694">
        <v>5384798</v>
      </c>
      <c r="C3694" t="s">
        <v>8</v>
      </c>
      <c r="D3694" t="s">
        <v>8</v>
      </c>
      <c r="E3694" s="2" t="str">
        <f>HYPERLINK("https://ibp.a2mac1.com/costing(costing:projects/details/8191/assembly/5384850)","Floor and Insert System")</f>
        <v>Floor and Insert System</v>
      </c>
      <c r="F3694" t="s">
        <v>4245</v>
      </c>
    </row>
    <row r="3695" spans="1:6" ht="12.75">
      <c r="A3695">
        <v>5384948</v>
      </c>
      <c r="B3695">
        <v>5384850</v>
      </c>
      <c r="C3695" t="s">
        <v>12</v>
      </c>
      <c r="D3695" t="s">
        <v>8</v>
      </c>
      <c r="E3695" s="2" t="str">
        <f>HYPERLINK("https://ibp.a2mac1.com/costing(costing:projects/details/8191/part/5384948)","Front Left Padding")</f>
        <v>Front Left Padding</v>
      </c>
      <c r="F3695" t="s">
        <v>4565</v>
      </c>
    </row>
    <row r="3696" spans="1:6" ht="12.75">
      <c r="A3696">
        <v>6973980</v>
      </c>
      <c r="B3696">
        <v>5384948</v>
      </c>
      <c r="C3696" t="s">
        <v>99</v>
      </c>
      <c r="D3696" t="s">
        <v>12</v>
      </c>
      <c r="E3696" s="2" t="str">
        <f>HYPERLINK("https://ibp.a2mac1.com/costing(costing:projects/details/8191/process/6973980)","Press")</f>
        <v>Press</v>
      </c>
      <c r="F3696" t="s">
        <v>4566</v>
      </c>
    </row>
    <row r="3697" spans="1:6" ht="12.75">
      <c r="A3697">
        <v>5317941</v>
      </c>
      <c r="B3697">
        <v>6973980</v>
      </c>
      <c r="C3697" t="s">
        <v>24</v>
      </c>
      <c r="D3697" t="s">
        <v>99</v>
      </c>
      <c r="E3697" s="2" t="str">
        <f>HYPERLINK("https://ibp.a2mac1.com/costing(costing:projects/details/8191/material/5317941)","EPP")</f>
        <v>EPP</v>
      </c>
      <c r="F3697" t="s">
        <v>4569</v>
      </c>
    </row>
    <row r="3698" spans="1:6" ht="12.75">
      <c r="A3698">
        <v>6946540</v>
      </c>
      <c r="B3698">
        <v>6973980</v>
      </c>
      <c r="C3698" t="s">
        <v>189</v>
      </c>
      <c r="D3698" t="s">
        <v>99</v>
      </c>
      <c r="E3698" s="2" t="str">
        <f>HYPERLINK("https://ibp.a2mac1.com/costing(costing:projects/details/8191/equipment/6946540)","EPP-EPS Press No. 03 - 1400x1000")</f>
        <v>EPP-EPS Press No. 03 - 1400x1000</v>
      </c>
      <c r="F3698" t="s">
        <v>4569</v>
      </c>
    </row>
    <row r="3699" spans="1:6" ht="12.75">
      <c r="A3699">
        <v>6973981</v>
      </c>
      <c r="B3699">
        <v>5384948</v>
      </c>
      <c r="C3699" t="s">
        <v>99</v>
      </c>
      <c r="D3699" t="s">
        <v>12</v>
      </c>
      <c r="E3699" s="2" t="str">
        <f>HYPERLINK("https://ibp.a2mac1.com/costing(costing:projects/details/8191/process/6973981)","Steam facility")</f>
        <v>Steam facility</v>
      </c>
      <c r="F3699" t="s">
        <v>4566</v>
      </c>
    </row>
    <row r="3700" spans="1:6" ht="12.75">
      <c r="A3700">
        <v>6946541</v>
      </c>
      <c r="B3700">
        <v>6973981</v>
      </c>
      <c r="C3700" t="s">
        <v>189</v>
      </c>
      <c r="D3700" t="s">
        <v>99</v>
      </c>
      <c r="E3700" s="2" t="str">
        <f>HYPERLINK("https://ibp.a2mac1.com/costing(costing:projects/details/8191/equipment/6946541)","EPP-EPS Foaming - Steam Facility")</f>
        <v>EPP-EPS Foaming - Steam Facility</v>
      </c>
      <c r="F3700" t="s">
        <v>4570</v>
      </c>
    </row>
    <row r="3701" spans="1:6" ht="12.75">
      <c r="A3701">
        <v>5384949</v>
      </c>
      <c r="B3701">
        <v>5384850</v>
      </c>
      <c r="C3701" t="s">
        <v>12</v>
      </c>
      <c r="D3701" t="s">
        <v>8</v>
      </c>
      <c r="E3701" s="2" t="str">
        <f>HYPERLINK("https://ibp.a2mac1.com/costing(costing:projects/details/8191/part/5384949)","Front Right Padding")</f>
        <v>Front Right Padding</v>
      </c>
      <c r="F3701" t="s">
        <v>4565</v>
      </c>
    </row>
    <row r="3702" spans="1:6" ht="12.75">
      <c r="A3702">
        <v>6973982</v>
      </c>
      <c r="B3702">
        <v>5384949</v>
      </c>
      <c r="C3702" t="s">
        <v>99</v>
      </c>
      <c r="D3702" t="s">
        <v>12</v>
      </c>
      <c r="E3702" s="2" t="str">
        <f>HYPERLINK("https://ibp.a2mac1.com/costing(costing:projects/details/8191/process/6973982)","Press")</f>
        <v>Press</v>
      </c>
      <c r="F3702" t="s">
        <v>4572</v>
      </c>
    </row>
    <row r="3703" spans="1:6" ht="12.75">
      <c r="A3703">
        <v>5317942</v>
      </c>
      <c r="B3703">
        <v>6973982</v>
      </c>
      <c r="C3703" t="s">
        <v>24</v>
      </c>
      <c r="D3703" t="s">
        <v>99</v>
      </c>
      <c r="E3703" s="2" t="str">
        <f>HYPERLINK("https://ibp.a2mac1.com/costing(costing:projects/details/8191/material/5317942)","EPP")</f>
        <v>EPP</v>
      </c>
      <c r="F3703" t="s">
        <v>4575</v>
      </c>
    </row>
    <row r="3704" spans="1:6" ht="12.75">
      <c r="A3704">
        <v>6946542</v>
      </c>
      <c r="B3704">
        <v>6973982</v>
      </c>
      <c r="C3704" t="s">
        <v>189</v>
      </c>
      <c r="D3704" t="s">
        <v>99</v>
      </c>
      <c r="E3704" s="2" t="str">
        <f>HYPERLINK("https://ibp.a2mac1.com/costing(costing:projects/details/8191/equipment/6946542)","EPP-EPS Press No. 03 - 1400x1000")</f>
        <v>EPP-EPS Press No. 03 - 1400x1000</v>
      </c>
      <c r="F3704" t="s">
        <v>4575</v>
      </c>
    </row>
    <row r="3705" spans="1:6" ht="12.75">
      <c r="A3705">
        <v>6973983</v>
      </c>
      <c r="B3705">
        <v>5384949</v>
      </c>
      <c r="C3705" t="s">
        <v>99</v>
      </c>
      <c r="D3705" t="s">
        <v>12</v>
      </c>
      <c r="E3705" s="2" t="str">
        <f>HYPERLINK("https://ibp.a2mac1.com/costing(costing:projects/details/8191/process/6973983)","Steam facility")</f>
        <v>Steam facility</v>
      </c>
      <c r="F3705" t="s">
        <v>4572</v>
      </c>
    </row>
    <row r="3706" spans="1:6" ht="12.75">
      <c r="A3706">
        <v>6946543</v>
      </c>
      <c r="B3706">
        <v>6973983</v>
      </c>
      <c r="C3706" t="s">
        <v>189</v>
      </c>
      <c r="D3706" t="s">
        <v>99</v>
      </c>
      <c r="E3706" s="2" t="str">
        <f>HYPERLINK("https://ibp.a2mac1.com/costing(costing:projects/details/8191/equipment/6946543)","EPP-EPS Foaming - Steam Facility")</f>
        <v>EPP-EPS Foaming - Steam Facility</v>
      </c>
      <c r="F3706" t="s">
        <v>4576</v>
      </c>
    </row>
    <row r="3707" spans="1:6" ht="12.75">
      <c r="A3707">
        <v>5384851</v>
      </c>
      <c r="B3707">
        <v>5384798</v>
      </c>
      <c r="C3707" t="s">
        <v>8</v>
      </c>
      <c r="D3707" t="s">
        <v>8</v>
      </c>
      <c r="E3707" s="2" t="str">
        <f>HYPERLINK("https://ibp.a2mac1.com/costing(costing:projects/details/8191/assembly/5384851)","Headliner Filler")</f>
        <v>Headliner Filler</v>
      </c>
      <c r="F3707" t="s">
        <v>4245</v>
      </c>
    </row>
    <row r="3708" spans="1:6" ht="12.75">
      <c r="A3708">
        <v>5384950</v>
      </c>
      <c r="B3708">
        <v>5384851</v>
      </c>
      <c r="C3708" t="s">
        <v>12</v>
      </c>
      <c r="D3708" t="s">
        <v>8</v>
      </c>
      <c r="E3708" s="2" t="str">
        <f>HYPERLINK("https://ibp.a2mac1.com/costing(costing:projects/details/8191/part/5384950)","Headliner filler")</f>
        <v>Headliner filler</v>
      </c>
      <c r="F3708" t="s">
        <v>4579</v>
      </c>
    </row>
    <row r="3709" spans="1:6" ht="12.75">
      <c r="A3709">
        <v>6973984</v>
      </c>
      <c r="B3709">
        <v>5384950</v>
      </c>
      <c r="C3709" t="s">
        <v>99</v>
      </c>
      <c r="D3709" t="s">
        <v>12</v>
      </c>
      <c r="E3709" s="2" t="str">
        <f>HYPERLINK("https://ibp.a2mac1.com/costing(costing:projects/details/8191/process/6973984)","Automated process")</f>
        <v>Automated process</v>
      </c>
      <c r="F3709" t="s">
        <v>4580</v>
      </c>
    </row>
    <row r="3710" spans="1:6" ht="12.75">
      <c r="A3710">
        <v>5317943</v>
      </c>
      <c r="B3710">
        <v>6973984</v>
      </c>
      <c r="C3710" t="s">
        <v>24</v>
      </c>
      <c r="D3710" t="s">
        <v>99</v>
      </c>
      <c r="E3710" s="2" t="str">
        <f>HYPERLINK("https://ibp.a2mac1.com/costing(costing:projects/details/8191/material/5317943)","Material")</f>
        <v>Material</v>
      </c>
      <c r="F3710" t="s">
        <v>4581</v>
      </c>
    </row>
    <row r="3711" spans="1:6" ht="12.75">
      <c r="A3711">
        <v>6946544</v>
      </c>
      <c r="B3711">
        <v>6973984</v>
      </c>
      <c r="C3711" t="s">
        <v>189</v>
      </c>
      <c r="D3711" t="s">
        <v>99</v>
      </c>
      <c r="E3711" s="2" t="str">
        <f>HYPERLINK("https://ibp.a2mac1.com/costing(costing:projects/details/8191/equipment/6946544)","DC machine - General")</f>
        <v>DC machine - General</v>
      </c>
      <c r="F3711" t="s">
        <v>4581</v>
      </c>
    </row>
    <row r="3712" spans="1:6" ht="12.75">
      <c r="A3712">
        <v>5317843</v>
      </c>
      <c r="B3712">
        <v>5384950</v>
      </c>
      <c r="C3712" t="s">
        <v>574</v>
      </c>
      <c r="D3712" t="s">
        <v>12</v>
      </c>
      <c r="E3712" s="2" t="str">
        <f>HYPERLINK("https://ibp.a2mac1.com/costing(costing:projects/details/8191/component/5317843)","Fasteners")</f>
        <v>Fasteners</v>
      </c>
      <c r="F3712" t="s">
        <v>4580</v>
      </c>
    </row>
    <row r="3713" spans="1:6" ht="12.75">
      <c r="A3713">
        <v>5388126</v>
      </c>
      <c r="B3713">
        <v>8191</v>
      </c>
      <c r="C3713" t="s">
        <v>8</v>
      </c>
      <c r="D3713" t="s">
        <v>6</v>
      </c>
      <c r="E3713" s="2" t="str">
        <f>HYPERLINK("https://ibp.a2mac1.com/costing(costing:projects/details/8191/assembly/5388126)","Body")</f>
        <v>Body</v>
      </c>
      <c r="F3713" t="s">
        <v>9</v>
      </c>
    </row>
    <row r="3714" spans="1:6" ht="12.75">
      <c r="A3714">
        <v>5388127</v>
      </c>
      <c r="B3714">
        <v>5388126</v>
      </c>
      <c r="C3714" t="s">
        <v>8</v>
      </c>
      <c r="D3714" t="s">
        <v>8</v>
      </c>
      <c r="E3714" s="2" t="str">
        <f>HYPERLINK("https://ibp.a2mac1.com/costing(costing:projects/details/8191/assembly/5388127)","Closures")</f>
        <v>Closures</v>
      </c>
      <c r="F3714" t="s">
        <v>4589</v>
      </c>
    </row>
    <row r="3715" spans="1:6" ht="12.75">
      <c r="A3715">
        <v>5388133</v>
      </c>
      <c r="B3715">
        <v>5388127</v>
      </c>
      <c r="C3715" t="s">
        <v>8</v>
      </c>
      <c r="D3715" t="s">
        <v>8</v>
      </c>
      <c r="E3715" s="2" t="str">
        <f>HYPERLINK("https://ibp.a2mac1.com/costing(costing:projects/details/8191/assembly/5388133)","Driver Door")</f>
        <v>Driver Door</v>
      </c>
      <c r="F3715" t="s">
        <v>4590</v>
      </c>
    </row>
    <row r="3716" spans="1:6" ht="12.75">
      <c r="A3716">
        <v>5388171</v>
      </c>
      <c r="B3716">
        <v>5388133</v>
      </c>
      <c r="C3716" t="s">
        <v>8</v>
      </c>
      <c r="D3716" t="s">
        <v>8</v>
      </c>
      <c r="E3716" s="2" t="str">
        <f>HYPERLINK("https://ibp.a2mac1.com/costing(costing:projects/details/8191/assembly/5388171)","Driver Door")</f>
        <v>Driver Door</v>
      </c>
      <c r="F3716" t="s">
        <v>4591</v>
      </c>
    </row>
    <row r="3717" spans="1:6" ht="12.75">
      <c r="A3717">
        <v>5388345</v>
      </c>
      <c r="B3717">
        <v>5388171</v>
      </c>
      <c r="C3717" t="s">
        <v>8</v>
      </c>
      <c r="D3717" t="s">
        <v>8</v>
      </c>
      <c r="E3717" s="2" t="str">
        <f>HYPERLINK("https://ibp.a2mac1.com/costing(costing:projects/details/8191/assembly/5388345)","Housing Assy ")</f>
        <v xml:space="preserve">Housing Assy </v>
      </c>
      <c r="F3717" t="s">
        <v>4592</v>
      </c>
    </row>
    <row r="3718" spans="1:6" ht="12.75">
      <c r="A3718">
        <v>5388733</v>
      </c>
      <c r="B3718">
        <v>5388345</v>
      </c>
      <c r="C3718" t="s">
        <v>8</v>
      </c>
      <c r="D3718" t="s">
        <v>8</v>
      </c>
      <c r="E3718" s="2" t="str">
        <f>HYPERLINK("https://ibp.a2mac1.com/costing(costing:projects/details/8191/assembly/5388733)","Housing")</f>
        <v>Housing</v>
      </c>
      <c r="F3718" t="s">
        <v>4593</v>
      </c>
    </row>
    <row r="3719" spans="1:6" ht="12.75">
      <c r="A3719">
        <v>5389145</v>
      </c>
      <c r="B3719">
        <v>5388733</v>
      </c>
      <c r="C3719" t="s">
        <v>12</v>
      </c>
      <c r="D3719" t="s">
        <v>8</v>
      </c>
      <c r="E3719" s="2" t="str">
        <f>HYPERLINK("https://ibp.a2mac1.com/costing(costing:projects/details/8191/part/5389145)","Part 01 single/front")</f>
        <v>Part 01 single/front</v>
      </c>
      <c r="F3719" t="s">
        <v>4594</v>
      </c>
    </row>
    <row r="3720" spans="1:6" ht="12.75">
      <c r="A3720">
        <v>6975797</v>
      </c>
      <c r="B3720">
        <v>5389145</v>
      </c>
      <c r="C3720" t="s">
        <v>99</v>
      </c>
      <c r="D3720" t="s">
        <v>12</v>
      </c>
      <c r="E3720" s="2" t="str">
        <f>HYPERLINK("https://ibp.a2mac1.com/costing(costing:projects/details/8191/process/6975797)","Manufacturing Process")</f>
        <v>Manufacturing Process</v>
      </c>
      <c r="F3720" t="s">
        <v>4595</v>
      </c>
    </row>
    <row r="3721" spans="1:6" ht="12.75">
      <c r="A3721">
        <v>5320241</v>
      </c>
      <c r="B3721">
        <v>6975797</v>
      </c>
      <c r="C3721" t="s">
        <v>24</v>
      </c>
      <c r="D3721" t="s">
        <v>99</v>
      </c>
      <c r="E3721" s="2" t="str">
        <f>HYPERLINK("https://ibp.a2mac1.com/costing(costing:projects/details/8191/material/5320241)","Standard Structural Steel sheet")</f>
        <v>Standard Structural Steel sheet</v>
      </c>
      <c r="F3721" t="s">
        <v>4598</v>
      </c>
    </row>
    <row r="3722" spans="1:6" ht="12.75">
      <c r="A3722">
        <v>6948392</v>
      </c>
      <c r="B3722">
        <v>6975797</v>
      </c>
      <c r="C3722" t="s">
        <v>189</v>
      </c>
      <c r="D3722" t="s">
        <v>99</v>
      </c>
      <c r="E3722" s="2" t="str">
        <f>HYPERLINK("https://ibp.a2mac1.com/costing(costing:projects/details/8191/equipment/6948392)","Equipment (Stamping)")</f>
        <v>Equipment (Stamping)</v>
      </c>
      <c r="F3722" t="s">
        <v>4598</v>
      </c>
    </row>
    <row r="3723" spans="1:6" ht="12.75">
      <c r="A3723">
        <v>5388734</v>
      </c>
      <c r="B3723">
        <v>5388345</v>
      </c>
      <c r="C3723" t="s">
        <v>8</v>
      </c>
      <c r="D3723" t="s">
        <v>8</v>
      </c>
      <c r="E3723" s="2" t="str">
        <f>HYPERLINK("https://ibp.a2mac1.com/costing(costing:projects/details/8191/assembly/5388734)","Reinforcements")</f>
        <v>Reinforcements</v>
      </c>
      <c r="F3723" t="s">
        <v>4593</v>
      </c>
    </row>
    <row r="3724" spans="1:6" ht="12.75">
      <c r="A3724">
        <v>5389146</v>
      </c>
      <c r="B3724">
        <v>5388734</v>
      </c>
      <c r="C3724" t="s">
        <v>12</v>
      </c>
      <c r="D3724" t="s">
        <v>8</v>
      </c>
      <c r="E3724" s="2" t="str">
        <f>HYPERLINK("https://ibp.a2mac1.com/costing(costing:projects/details/8191/part/5389146)","Part 02")</f>
        <v>Part 02</v>
      </c>
      <c r="F3724" t="s">
        <v>4600</v>
      </c>
    </row>
    <row r="3725" spans="1:6" ht="12.75">
      <c r="A3725">
        <v>6975798</v>
      </c>
      <c r="B3725">
        <v>5389146</v>
      </c>
      <c r="C3725" t="s">
        <v>99</v>
      </c>
      <c r="D3725" t="s">
        <v>12</v>
      </c>
      <c r="E3725" s="2" t="str">
        <f>HYPERLINK("https://ibp.a2mac1.com/costing(costing:projects/details/8191/process/6975798)","Manufacturing Process")</f>
        <v>Manufacturing Process</v>
      </c>
      <c r="F3725" t="s">
        <v>4601</v>
      </c>
    </row>
    <row r="3726" spans="1:6" ht="12.75">
      <c r="A3726">
        <v>5320242</v>
      </c>
      <c r="B3726">
        <v>6975798</v>
      </c>
      <c r="C3726" t="s">
        <v>24</v>
      </c>
      <c r="D3726" t="s">
        <v>99</v>
      </c>
      <c r="E3726" s="2" t="str">
        <f>HYPERLINK("https://ibp.a2mac1.com/costing(costing:projects/details/8191/material/5320242)","Standard Structural Steel sheet")</f>
        <v>Standard Structural Steel sheet</v>
      </c>
      <c r="F3726" t="s">
        <v>4604</v>
      </c>
    </row>
    <row r="3727" spans="1:6" ht="12.75">
      <c r="A3727">
        <v>6948393</v>
      </c>
      <c r="B3727">
        <v>6975798</v>
      </c>
      <c r="C3727" t="s">
        <v>189</v>
      </c>
      <c r="D3727" t="s">
        <v>99</v>
      </c>
      <c r="E3727" s="2" t="str">
        <f>HYPERLINK("https://ibp.a2mac1.com/costing(costing:projects/details/8191/equipment/6948393)","Equipment (Stamping)")</f>
        <v>Equipment (Stamping)</v>
      </c>
      <c r="F3727" t="s">
        <v>4604</v>
      </c>
    </row>
    <row r="3728" spans="1:6" ht="12.75">
      <c r="A3728">
        <v>5389147</v>
      </c>
      <c r="B3728">
        <v>5388734</v>
      </c>
      <c r="C3728" t="s">
        <v>12</v>
      </c>
      <c r="D3728" t="s">
        <v>8</v>
      </c>
      <c r="E3728" s="2" t="str">
        <f>HYPERLINK("https://ibp.a2mac1.com/costing(costing:projects/details/8191/part/5389147)","Part 01 single/main")</f>
        <v>Part 01 single/main</v>
      </c>
      <c r="F3728" t="s">
        <v>4600</v>
      </c>
    </row>
    <row r="3729" spans="1:6" ht="12.75">
      <c r="A3729">
        <v>6975799</v>
      </c>
      <c r="B3729">
        <v>5389147</v>
      </c>
      <c r="C3729" t="s">
        <v>99</v>
      </c>
      <c r="D3729" t="s">
        <v>12</v>
      </c>
      <c r="E3729" s="2" t="str">
        <f>HYPERLINK("https://ibp.a2mac1.com/costing(costing:projects/details/8191/process/6975799)","Manufacturing Process")</f>
        <v>Manufacturing Process</v>
      </c>
      <c r="F3729" t="s">
        <v>4606</v>
      </c>
    </row>
    <row r="3730" spans="1:6" ht="12.75">
      <c r="A3730">
        <v>5320243</v>
      </c>
      <c r="B3730">
        <v>6975799</v>
      </c>
      <c r="C3730" t="s">
        <v>24</v>
      </c>
      <c r="D3730" t="s">
        <v>99</v>
      </c>
      <c r="E3730" s="2" t="str">
        <f>HYPERLINK("https://ibp.a2mac1.com/costing(costing:projects/details/8191/material/5320243)","Standard Structural Steel sheet")</f>
        <v>Standard Structural Steel sheet</v>
      </c>
      <c r="F3730" t="s">
        <v>4608</v>
      </c>
    </row>
    <row r="3731" spans="1:6" ht="12.75">
      <c r="A3731">
        <v>6948394</v>
      </c>
      <c r="B3731">
        <v>6975799</v>
      </c>
      <c r="C3731" t="s">
        <v>189</v>
      </c>
      <c r="D3731" t="s">
        <v>99</v>
      </c>
      <c r="E3731" s="2" t="str">
        <f>HYPERLINK("https://ibp.a2mac1.com/costing(costing:projects/details/8191/equipment/6948394)","Equipment (Stamping)")</f>
        <v>Equipment (Stamping)</v>
      </c>
      <c r="F3731" t="s">
        <v>4608</v>
      </c>
    </row>
    <row r="3732" spans="1:6" ht="12.75">
      <c r="A3732">
        <v>5388735</v>
      </c>
      <c r="B3732">
        <v>5388345</v>
      </c>
      <c r="C3732" t="s">
        <v>8</v>
      </c>
      <c r="D3732" t="s">
        <v>8</v>
      </c>
      <c r="E3732" s="2" t="str">
        <f>HYPERLINK("https://ibp.a2mac1.com/costing(costing:projects/details/8191/assembly/5388735)","Fixing parts")</f>
        <v>Fixing parts</v>
      </c>
      <c r="F3732" t="s">
        <v>4593</v>
      </c>
    </row>
    <row r="3733" spans="1:6" ht="12.75">
      <c r="A3733">
        <v>5389148</v>
      </c>
      <c r="B3733">
        <v>5388735</v>
      </c>
      <c r="C3733" t="s">
        <v>8</v>
      </c>
      <c r="D3733" t="s">
        <v>8</v>
      </c>
      <c r="E3733" s="2" t="str">
        <f>HYPERLINK("https://ibp.a2mac1.com/costing(costing:projects/details/8191/assembly/5389148)","Front")</f>
        <v>Front</v>
      </c>
      <c r="F3733" t="s">
        <v>4609</v>
      </c>
    </row>
    <row r="3734" spans="1:6" ht="12.75">
      <c r="A3734">
        <v>5389409</v>
      </c>
      <c r="B3734">
        <v>5389148</v>
      </c>
      <c r="C3734" t="s">
        <v>12</v>
      </c>
      <c r="D3734" t="s">
        <v>8</v>
      </c>
      <c r="E3734" s="2" t="str">
        <f>HYPERLINK("https://ibp.a2mac1.com/costing(costing:projects/details/8191/part/5389409)","Part 03")</f>
        <v>Part 03</v>
      </c>
      <c r="F3734" t="s">
        <v>4610</v>
      </c>
    </row>
    <row r="3735" spans="1:6" ht="12.75">
      <c r="A3735">
        <v>6975878</v>
      </c>
      <c r="B3735">
        <v>5389409</v>
      </c>
      <c r="C3735" t="s">
        <v>99</v>
      </c>
      <c r="D3735" t="s">
        <v>12</v>
      </c>
      <c r="E3735" s="2" t="str">
        <f>HYPERLINK("https://ibp.a2mac1.com/costing(costing:projects/details/8191/process/6975878)","Manufacturing Process")</f>
        <v>Manufacturing Process</v>
      </c>
      <c r="F3735" t="s">
        <v>4611</v>
      </c>
    </row>
    <row r="3736" spans="1:6" ht="12.75">
      <c r="A3736">
        <v>5320342</v>
      </c>
      <c r="B3736">
        <v>6975878</v>
      </c>
      <c r="C3736" t="s">
        <v>24</v>
      </c>
      <c r="D3736" t="s">
        <v>99</v>
      </c>
      <c r="E3736" s="2" t="str">
        <f>HYPERLINK("https://ibp.a2mac1.com/costing(costing:projects/details/8191/material/5320342)","Standard Structural Steel sheet")</f>
        <v>Standard Structural Steel sheet</v>
      </c>
      <c r="F3736" t="s">
        <v>4613</v>
      </c>
    </row>
    <row r="3737" spans="1:6" ht="12.75">
      <c r="A3737">
        <v>6948497</v>
      </c>
      <c r="B3737">
        <v>6975878</v>
      </c>
      <c r="C3737" t="s">
        <v>189</v>
      </c>
      <c r="D3737" t="s">
        <v>99</v>
      </c>
      <c r="E3737" s="2" t="str">
        <f>HYPERLINK("https://ibp.a2mac1.com/costing(costing:projects/details/8191/equipment/6948497)","Equipment (Stamping)")</f>
        <v>Equipment (Stamping)</v>
      </c>
      <c r="F3737" t="s">
        <v>4613</v>
      </c>
    </row>
    <row r="3738" spans="1:6" ht="12.75">
      <c r="A3738">
        <v>5389410</v>
      </c>
      <c r="B3738">
        <v>5389148</v>
      </c>
      <c r="C3738" t="s">
        <v>12</v>
      </c>
      <c r="D3738" t="s">
        <v>8</v>
      </c>
      <c r="E3738" s="2" t="str">
        <f>HYPERLINK("https://ibp.a2mac1.com/costing(costing:projects/details/8191/part/5389410)","Part 02")</f>
        <v>Part 02</v>
      </c>
      <c r="F3738" t="s">
        <v>4610</v>
      </c>
    </row>
    <row r="3739" spans="1:6" ht="12.75">
      <c r="A3739">
        <v>6975879</v>
      </c>
      <c r="B3739">
        <v>5389410</v>
      </c>
      <c r="C3739" t="s">
        <v>99</v>
      </c>
      <c r="D3739" t="s">
        <v>12</v>
      </c>
      <c r="E3739" s="2" t="str">
        <f>HYPERLINK("https://ibp.a2mac1.com/costing(costing:projects/details/8191/process/6975879)","Manufacturing Process")</f>
        <v>Manufacturing Process</v>
      </c>
      <c r="F3739" t="s">
        <v>4614</v>
      </c>
    </row>
    <row r="3740" spans="1:6" ht="12.75">
      <c r="A3740">
        <v>5320343</v>
      </c>
      <c r="B3740">
        <v>6975879</v>
      </c>
      <c r="C3740" t="s">
        <v>24</v>
      </c>
      <c r="D3740" t="s">
        <v>99</v>
      </c>
      <c r="E3740" s="2" t="str">
        <f>HYPERLINK("https://ibp.a2mac1.com/costing(costing:projects/details/8191/material/5320343)","Standard Structural Steel sheet")</f>
        <v>Standard Structural Steel sheet</v>
      </c>
      <c r="F3740" t="s">
        <v>4616</v>
      </c>
    </row>
    <row r="3741" spans="1:6" ht="12.75">
      <c r="A3741">
        <v>6948498</v>
      </c>
      <c r="B3741">
        <v>6975879</v>
      </c>
      <c r="C3741" t="s">
        <v>189</v>
      </c>
      <c r="D3741" t="s">
        <v>99</v>
      </c>
      <c r="E3741" s="2" t="str">
        <f>HYPERLINK("https://ibp.a2mac1.com/costing(costing:projects/details/8191/equipment/6948498)","Equipment (Stamping)")</f>
        <v>Equipment (Stamping)</v>
      </c>
      <c r="F3741" t="s">
        <v>4616</v>
      </c>
    </row>
    <row r="3742" spans="1:6" ht="12.75">
      <c r="A3742">
        <v>5389411</v>
      </c>
      <c r="B3742">
        <v>5389148</v>
      </c>
      <c r="C3742" t="s">
        <v>12</v>
      </c>
      <c r="D3742" t="s">
        <v>8</v>
      </c>
      <c r="E3742" s="2" t="str">
        <f>HYPERLINK("https://ibp.a2mac1.com/costing(costing:projects/details/8191/part/5389411)","Part 01 single/main")</f>
        <v>Part 01 single/main</v>
      </c>
      <c r="F3742" t="s">
        <v>4610</v>
      </c>
    </row>
    <row r="3743" spans="1:6" ht="12.75">
      <c r="A3743">
        <v>6975880</v>
      </c>
      <c r="B3743">
        <v>5389411</v>
      </c>
      <c r="C3743" t="s">
        <v>99</v>
      </c>
      <c r="D3743" t="s">
        <v>12</v>
      </c>
      <c r="E3743" s="2" t="str">
        <f>HYPERLINK("https://ibp.a2mac1.com/costing(costing:projects/details/8191/process/6975880)","Manufacturing Process")</f>
        <v>Manufacturing Process</v>
      </c>
      <c r="F3743" t="s">
        <v>4617</v>
      </c>
    </row>
    <row r="3744" spans="1:6" ht="12.75">
      <c r="A3744">
        <v>5320344</v>
      </c>
      <c r="B3744">
        <v>6975880</v>
      </c>
      <c r="C3744" t="s">
        <v>24</v>
      </c>
      <c r="D3744" t="s">
        <v>99</v>
      </c>
      <c r="E3744" s="2" t="str">
        <f>HYPERLINK("https://ibp.a2mac1.com/costing(costing:projects/details/8191/material/5320344)","Standard Structural Steel sheet")</f>
        <v>Standard Structural Steel sheet</v>
      </c>
      <c r="F3744" t="s">
        <v>4619</v>
      </c>
    </row>
    <row r="3745" spans="1:6" ht="12.75">
      <c r="A3745">
        <v>6948499</v>
      </c>
      <c r="B3745">
        <v>6975880</v>
      </c>
      <c r="C3745" t="s">
        <v>189</v>
      </c>
      <c r="D3745" t="s">
        <v>99</v>
      </c>
      <c r="E3745" s="2" t="str">
        <f>HYPERLINK("https://ibp.a2mac1.com/costing(costing:projects/details/8191/equipment/6948499)","Equipment (Stamping)")</f>
        <v>Equipment (Stamping)</v>
      </c>
      <c r="F3745" t="s">
        <v>4619</v>
      </c>
    </row>
    <row r="3746" spans="1:6" ht="12.75">
      <c r="A3746">
        <v>5388346</v>
      </c>
      <c r="B3746">
        <v>5388171</v>
      </c>
      <c r="C3746" t="s">
        <v>8</v>
      </c>
      <c r="D3746" t="s">
        <v>8</v>
      </c>
      <c r="E3746" s="2" t="str">
        <f>HYPERLINK("https://ibp.a2mac1.com/costing(costing:projects/details/8191/assembly/5388346)","Anti-intrusion beams")</f>
        <v>Anti-intrusion beams</v>
      </c>
      <c r="F3746" t="s">
        <v>4592</v>
      </c>
    </row>
    <row r="3747" spans="1:6" ht="12.75">
      <c r="A3747">
        <v>5388736</v>
      </c>
      <c r="B3747">
        <v>5388346</v>
      </c>
      <c r="C3747" t="s">
        <v>8</v>
      </c>
      <c r="D3747" t="s">
        <v>8</v>
      </c>
      <c r="E3747" s="2" t="str">
        <f>HYPERLINK("https://ibp.a2mac1.com/costing(costing:projects/details/8191/assembly/5388736)","Beam 01")</f>
        <v>Beam 01</v>
      </c>
      <c r="F3747" t="s">
        <v>4620</v>
      </c>
    </row>
    <row r="3748" spans="1:6" ht="12.75">
      <c r="A3748">
        <v>5389149</v>
      </c>
      <c r="B3748">
        <v>5388736</v>
      </c>
      <c r="C3748" t="s">
        <v>8</v>
      </c>
      <c r="D3748" t="s">
        <v>8</v>
      </c>
      <c r="E3748" s="2" t="str">
        <f>HYPERLINK("https://ibp.a2mac1.com/costing(costing:projects/details/8191/assembly/5389149)","Beam")</f>
        <v>Beam</v>
      </c>
      <c r="F3748" t="s">
        <v>4621</v>
      </c>
    </row>
    <row r="3749" spans="1:6" ht="12.75">
      <c r="A3749">
        <v>5389412</v>
      </c>
      <c r="B3749">
        <v>5389149</v>
      </c>
      <c r="C3749" t="s">
        <v>12</v>
      </c>
      <c r="D3749" t="s">
        <v>8</v>
      </c>
      <c r="E3749" s="2" t="str">
        <f>HYPERLINK("https://ibp.a2mac1.com/costing(costing:projects/details/8191/part/5389412)","Part 01 single/main")</f>
        <v>Part 01 single/main</v>
      </c>
      <c r="F3749" t="s">
        <v>4622</v>
      </c>
    </row>
    <row r="3750" spans="1:6" ht="12.75">
      <c r="A3750">
        <v>6975881</v>
      </c>
      <c r="B3750">
        <v>5389412</v>
      </c>
      <c r="C3750" t="s">
        <v>99</v>
      </c>
      <c r="D3750" t="s">
        <v>12</v>
      </c>
      <c r="E3750" s="2" t="str">
        <f>HYPERLINK("https://ibp.a2mac1.com/costing(costing:projects/details/8191/process/6975881)","Manufacturing Process")</f>
        <v>Manufacturing Process</v>
      </c>
      <c r="F3750" t="s">
        <v>4623</v>
      </c>
    </row>
    <row r="3751" spans="1:6" ht="12.75">
      <c r="A3751">
        <v>5320345</v>
      </c>
      <c r="B3751">
        <v>6975881</v>
      </c>
      <c r="C3751" t="s">
        <v>24</v>
      </c>
      <c r="D3751" t="s">
        <v>99</v>
      </c>
      <c r="E3751" s="2" t="str">
        <f>HYPERLINK("https://ibp.a2mac1.com/costing(costing:projects/details/8191/material/5320345)","Standard Structural Steel sheet")</f>
        <v>Standard Structural Steel sheet</v>
      </c>
      <c r="F3751" t="s">
        <v>4626</v>
      </c>
    </row>
    <row r="3752" spans="1:6" ht="12.75">
      <c r="A3752">
        <v>6948500</v>
      </c>
      <c r="B3752">
        <v>6975881</v>
      </c>
      <c r="C3752" t="s">
        <v>189</v>
      </c>
      <c r="D3752" t="s">
        <v>99</v>
      </c>
      <c r="E3752" s="2" t="str">
        <f>HYPERLINK("https://ibp.a2mac1.com/costing(costing:projects/details/8191/equipment/6948500)","Equipment (Stamping)")</f>
        <v>Equipment (Stamping)</v>
      </c>
      <c r="F3752" t="s">
        <v>4626</v>
      </c>
    </row>
    <row r="3753" spans="1:6" ht="12.75">
      <c r="A3753">
        <v>5388347</v>
      </c>
      <c r="B3753">
        <v>5388171</v>
      </c>
      <c r="C3753" t="s">
        <v>8</v>
      </c>
      <c r="D3753" t="s">
        <v>8</v>
      </c>
      <c r="E3753" s="2" t="str">
        <f>HYPERLINK("https://ibp.a2mac1.com/costing(costing:projects/details/8191/assembly/5388347)","Window frame assy")</f>
        <v>Window frame assy</v>
      </c>
      <c r="F3753" t="s">
        <v>4592</v>
      </c>
    </row>
    <row r="3754" spans="1:6" ht="12.75">
      <c r="A3754">
        <v>5388737</v>
      </c>
      <c r="B3754">
        <v>5388347</v>
      </c>
      <c r="C3754" t="s">
        <v>8</v>
      </c>
      <c r="D3754" t="s">
        <v>8</v>
      </c>
      <c r="E3754" s="2" t="str">
        <f>HYPERLINK("https://ibp.a2mac1.com/costing(costing:projects/details/8191/assembly/5388737)","Reinforcements")</f>
        <v>Reinforcements</v>
      </c>
      <c r="F3754" t="s">
        <v>4627</v>
      </c>
    </row>
    <row r="3755" spans="1:6" ht="12.75">
      <c r="A3755">
        <v>5389150</v>
      </c>
      <c r="B3755">
        <v>5388737</v>
      </c>
      <c r="C3755" t="s">
        <v>12</v>
      </c>
      <c r="D3755" t="s">
        <v>8</v>
      </c>
      <c r="E3755" s="2" t="str">
        <f>HYPERLINK("https://ibp.a2mac1.com/costing(costing:projects/details/8191/part/5389150)","Part 01 single/main")</f>
        <v>Part 01 single/main</v>
      </c>
      <c r="F3755" t="s">
        <v>4628</v>
      </c>
    </row>
    <row r="3756" spans="1:6" ht="12.75">
      <c r="A3756">
        <v>6975800</v>
      </c>
      <c r="B3756">
        <v>5389150</v>
      </c>
      <c r="C3756" t="s">
        <v>99</v>
      </c>
      <c r="D3756" t="s">
        <v>12</v>
      </c>
      <c r="E3756" s="2" t="str">
        <f>HYPERLINK("https://ibp.a2mac1.com/costing(costing:projects/details/8191/process/6975800)","Manufacturing Process")</f>
        <v>Manufacturing Process</v>
      </c>
      <c r="F3756" t="s">
        <v>4629</v>
      </c>
    </row>
    <row r="3757" spans="1:6" ht="12.75">
      <c r="A3757">
        <v>5320244</v>
      </c>
      <c r="B3757">
        <v>6975800</v>
      </c>
      <c r="C3757" t="s">
        <v>24</v>
      </c>
      <c r="D3757" t="s">
        <v>99</v>
      </c>
      <c r="E3757" s="2" t="str">
        <f>HYPERLINK("https://ibp.a2mac1.com/costing(costing:projects/details/8191/material/5320244)","Standard Structural Steel sheet")</f>
        <v>Standard Structural Steel sheet</v>
      </c>
      <c r="F3757" t="s">
        <v>4630</v>
      </c>
    </row>
    <row r="3758" spans="1:6" ht="12.75">
      <c r="A3758">
        <v>6948395</v>
      </c>
      <c r="B3758">
        <v>6975800</v>
      </c>
      <c r="C3758" t="s">
        <v>189</v>
      </c>
      <c r="D3758" t="s">
        <v>99</v>
      </c>
      <c r="E3758" s="2" t="str">
        <f>HYPERLINK("https://ibp.a2mac1.com/costing(costing:projects/details/8191/equipment/6948395)","Equipment (Stamping)")</f>
        <v>Equipment (Stamping)</v>
      </c>
      <c r="F3758" t="s">
        <v>4630</v>
      </c>
    </row>
    <row r="3759" spans="1:6" ht="12.75">
      <c r="A3759">
        <v>5388738</v>
      </c>
      <c r="B3759">
        <v>5388347</v>
      </c>
      <c r="C3759" t="s">
        <v>8</v>
      </c>
      <c r="D3759" t="s">
        <v>8</v>
      </c>
      <c r="E3759" s="2" t="str">
        <f>HYPERLINK("https://ibp.a2mac1.com/costing(costing:projects/details/8191/assembly/5388738)","Glass slides")</f>
        <v>Glass slides</v>
      </c>
      <c r="F3759" t="s">
        <v>4627</v>
      </c>
    </row>
    <row r="3760" spans="1:6" ht="12.75">
      <c r="A3760">
        <v>5389151</v>
      </c>
      <c r="B3760">
        <v>5388738</v>
      </c>
      <c r="C3760" t="s">
        <v>8</v>
      </c>
      <c r="D3760" t="s">
        <v>8</v>
      </c>
      <c r="E3760" s="2" t="str">
        <f>HYPERLINK("https://ibp.a2mac1.com/costing(costing:projects/details/8191/assembly/5389151)","Front")</f>
        <v>Front</v>
      </c>
      <c r="F3760" t="s">
        <v>4631</v>
      </c>
    </row>
    <row r="3761" spans="1:6" ht="12.75">
      <c r="A3761">
        <v>5389413</v>
      </c>
      <c r="B3761">
        <v>5389151</v>
      </c>
      <c r="C3761" t="s">
        <v>8</v>
      </c>
      <c r="D3761" t="s">
        <v>8</v>
      </c>
      <c r="E3761" s="2" t="str">
        <f>HYPERLINK("https://ibp.a2mac1.com/costing(costing:projects/details/8191/assembly/5389413)","Slide")</f>
        <v>Slide</v>
      </c>
      <c r="F3761" t="s">
        <v>4632</v>
      </c>
    </row>
    <row r="3762" spans="1:6" ht="12.75">
      <c r="A3762">
        <v>5389713</v>
      </c>
      <c r="B3762">
        <v>5389413</v>
      </c>
      <c r="C3762" t="s">
        <v>12</v>
      </c>
      <c r="D3762" t="s">
        <v>8</v>
      </c>
      <c r="E3762" s="2" t="str">
        <f>HYPERLINK("https://ibp.a2mac1.com/costing(costing:projects/details/8191/part/5389713)","Part 01 single/main")</f>
        <v>Part 01 single/main</v>
      </c>
      <c r="F3762" t="s">
        <v>4633</v>
      </c>
    </row>
    <row r="3763" spans="1:6" ht="12.75">
      <c r="A3763">
        <v>6976137</v>
      </c>
      <c r="B3763">
        <v>5389713</v>
      </c>
      <c r="C3763" t="s">
        <v>99</v>
      </c>
      <c r="D3763" t="s">
        <v>12</v>
      </c>
      <c r="E3763" s="2" t="str">
        <f>HYPERLINK("https://ibp.a2mac1.com/costing(costing:projects/details/8191/process/6976137)","Manufacturing Process")</f>
        <v>Manufacturing Process</v>
      </c>
      <c r="F3763" t="s">
        <v>4634</v>
      </c>
    </row>
    <row r="3764" spans="1:6" ht="12.75">
      <c r="A3764">
        <v>5320546</v>
      </c>
      <c r="B3764">
        <v>6976137</v>
      </c>
      <c r="C3764" t="s">
        <v>24</v>
      </c>
      <c r="D3764" t="s">
        <v>99</v>
      </c>
      <c r="E3764" s="2" t="str">
        <f>HYPERLINK("https://ibp.a2mac1.com/costing(costing:projects/details/8191/material/5320546)","Standard Structural Steel sheet")</f>
        <v>Standard Structural Steel sheet</v>
      </c>
      <c r="F3764" t="s">
        <v>4636</v>
      </c>
    </row>
    <row r="3765" spans="1:6" ht="12.75">
      <c r="A3765">
        <v>6948731</v>
      </c>
      <c r="B3765">
        <v>6976137</v>
      </c>
      <c r="C3765" t="s">
        <v>189</v>
      </c>
      <c r="D3765" t="s">
        <v>99</v>
      </c>
      <c r="E3765" s="2" t="str">
        <f>HYPERLINK("https://ibp.a2mac1.com/costing(costing:projects/details/8191/equipment/6948731)","Equipment (Stamping)")</f>
        <v>Equipment (Stamping)</v>
      </c>
      <c r="F3765" t="s">
        <v>4636</v>
      </c>
    </row>
    <row r="3766" spans="1:6" ht="12.75">
      <c r="A3766">
        <v>5388739</v>
      </c>
      <c r="B3766">
        <v>5388347</v>
      </c>
      <c r="C3766" t="s">
        <v>8</v>
      </c>
      <c r="D3766" t="s">
        <v>8</v>
      </c>
      <c r="E3766" s="2" t="str">
        <f>HYPERLINK("https://ibp.a2mac1.com/costing(costing:projects/details/8191/assembly/5388739)","Frame")</f>
        <v>Frame</v>
      </c>
      <c r="F3766" t="s">
        <v>4627</v>
      </c>
    </row>
    <row r="3767" spans="1:6" ht="12.75">
      <c r="A3767">
        <v>5389152</v>
      </c>
      <c r="B3767">
        <v>5388739</v>
      </c>
      <c r="C3767" t="s">
        <v>12</v>
      </c>
      <c r="D3767" t="s">
        <v>8</v>
      </c>
      <c r="E3767" s="2" t="str">
        <f>HYPERLINK("https://ibp.a2mac1.com/costing(costing:projects/details/8191/part/5389152)","Part 01 single/front")</f>
        <v>Part 01 single/front</v>
      </c>
      <c r="F3767" t="s">
        <v>4637</v>
      </c>
    </row>
    <row r="3768" spans="1:6" ht="12.75">
      <c r="A3768">
        <v>6975801</v>
      </c>
      <c r="B3768">
        <v>5389152</v>
      </c>
      <c r="C3768" t="s">
        <v>99</v>
      </c>
      <c r="D3768" t="s">
        <v>12</v>
      </c>
      <c r="E3768" s="2" t="str">
        <f>HYPERLINK("https://ibp.a2mac1.com/costing(costing:projects/details/8191/process/6975801)","Manufacturing Process")</f>
        <v>Manufacturing Process</v>
      </c>
      <c r="F3768" t="s">
        <v>4638</v>
      </c>
    </row>
    <row r="3769" spans="1:6" ht="12.75">
      <c r="A3769">
        <v>5320245</v>
      </c>
      <c r="B3769">
        <v>6975801</v>
      </c>
      <c r="C3769" t="s">
        <v>24</v>
      </c>
      <c r="D3769" t="s">
        <v>99</v>
      </c>
      <c r="E3769" s="2" t="str">
        <f>HYPERLINK("https://ibp.a2mac1.com/costing(costing:projects/details/8191/material/5320245)","Standard Structural Steel sheet")</f>
        <v>Standard Structural Steel sheet</v>
      </c>
      <c r="F3769" t="s">
        <v>4639</v>
      </c>
    </row>
    <row r="3770" spans="1:6" ht="12.75">
      <c r="A3770">
        <v>6948396</v>
      </c>
      <c r="B3770">
        <v>6975801</v>
      </c>
      <c r="C3770" t="s">
        <v>189</v>
      </c>
      <c r="D3770" t="s">
        <v>99</v>
      </c>
      <c r="E3770" s="2" t="str">
        <f>HYPERLINK("https://ibp.a2mac1.com/costing(costing:projects/details/8191/equipment/6948396)","Equipment (Stamping)")</f>
        <v>Equipment (Stamping)</v>
      </c>
      <c r="F3770" t="s">
        <v>4639</v>
      </c>
    </row>
    <row r="3771" spans="1:6" ht="12.75">
      <c r="A3771">
        <v>5388348</v>
      </c>
      <c r="B3771">
        <v>5388171</v>
      </c>
      <c r="C3771" t="s">
        <v>8</v>
      </c>
      <c r="D3771" t="s">
        <v>8</v>
      </c>
      <c r="E3771" s="2" t="str">
        <f>HYPERLINK("https://ibp.a2mac1.com/costing(costing:projects/details/8191/assembly/5388348)","Top roll assy ")</f>
        <v xml:space="preserve">Top roll assy </v>
      </c>
      <c r="F3771" t="s">
        <v>4592</v>
      </c>
    </row>
    <row r="3772" spans="1:6" ht="12.75">
      <c r="A3772">
        <v>5388740</v>
      </c>
      <c r="B3772">
        <v>5388348</v>
      </c>
      <c r="C3772" t="s">
        <v>8</v>
      </c>
      <c r="D3772" t="s">
        <v>8</v>
      </c>
      <c r="E3772" s="2" t="str">
        <f>HYPERLINK("https://ibp.a2mac1.com/costing(costing:projects/details/8191/assembly/5388740)","Cross member 01 (outer)")</f>
        <v>Cross member 01 (outer)</v>
      </c>
      <c r="F3772" t="s">
        <v>4640</v>
      </c>
    </row>
    <row r="3773" spans="1:6" ht="12.75">
      <c r="A3773">
        <v>5389153</v>
      </c>
      <c r="B3773">
        <v>5388740</v>
      </c>
      <c r="C3773" t="s">
        <v>8</v>
      </c>
      <c r="D3773" t="s">
        <v>8</v>
      </c>
      <c r="E3773" s="2" t="str">
        <f>HYPERLINK("https://ibp.a2mac1.com/costing(costing:projects/details/8191/assembly/5389153)","Cross member")</f>
        <v>Cross member</v>
      </c>
      <c r="F3773" t="s">
        <v>4641</v>
      </c>
    </row>
    <row r="3774" spans="1:6" ht="12.75">
      <c r="A3774">
        <v>5389414</v>
      </c>
      <c r="B3774">
        <v>5389153</v>
      </c>
      <c r="C3774" t="s">
        <v>12</v>
      </c>
      <c r="D3774" t="s">
        <v>8</v>
      </c>
      <c r="E3774" s="2" t="str">
        <f>HYPERLINK("https://ibp.a2mac1.com/costing(costing:projects/details/8191/part/5389414)","Part 01 single/main")</f>
        <v>Part 01 single/main</v>
      </c>
      <c r="F3774" t="s">
        <v>4642</v>
      </c>
    </row>
    <row r="3775" spans="1:6" ht="12.75">
      <c r="A3775">
        <v>6975882</v>
      </c>
      <c r="B3775">
        <v>5389414</v>
      </c>
      <c r="C3775" t="s">
        <v>99</v>
      </c>
      <c r="D3775" t="s">
        <v>12</v>
      </c>
      <c r="E3775" s="2" t="str">
        <f>HYPERLINK("https://ibp.a2mac1.com/costing(costing:projects/details/8191/process/6975882)","Manufacturing Process")</f>
        <v>Manufacturing Process</v>
      </c>
      <c r="F3775" t="s">
        <v>4643</v>
      </c>
    </row>
    <row r="3776" spans="1:6" ht="12.75">
      <c r="A3776">
        <v>5320346</v>
      </c>
      <c r="B3776">
        <v>6975882</v>
      </c>
      <c r="C3776" t="s">
        <v>24</v>
      </c>
      <c r="D3776" t="s">
        <v>99</v>
      </c>
      <c r="E3776" s="2" t="str">
        <f>HYPERLINK("https://ibp.a2mac1.com/costing(costing:projects/details/8191/material/5320346)","Standard Structural Steel sheet")</f>
        <v>Standard Structural Steel sheet</v>
      </c>
      <c r="F3776" t="s">
        <v>4646</v>
      </c>
    </row>
    <row r="3777" spans="1:6" ht="12.75">
      <c r="A3777">
        <v>6948501</v>
      </c>
      <c r="B3777">
        <v>6975882</v>
      </c>
      <c r="C3777" t="s">
        <v>189</v>
      </c>
      <c r="D3777" t="s">
        <v>99</v>
      </c>
      <c r="E3777" s="2" t="str">
        <f>HYPERLINK("https://ibp.a2mac1.com/costing(costing:projects/details/8191/equipment/6948501)","Equipment (Stamping)")</f>
        <v>Equipment (Stamping)</v>
      </c>
      <c r="F3777" t="s">
        <v>4646</v>
      </c>
    </row>
    <row r="3778" spans="1:6" ht="12.75">
      <c r="A3778">
        <v>5389415</v>
      </c>
      <c r="B3778">
        <v>5389153</v>
      </c>
      <c r="C3778" t="s">
        <v>12</v>
      </c>
      <c r="D3778" t="s">
        <v>8</v>
      </c>
      <c r="E3778" s="2" t="str">
        <f>HYPERLINK("https://ibp.a2mac1.com/costing(costing:projects/details/8191/part/5389415)","Part 02")</f>
        <v>Part 02</v>
      </c>
      <c r="F3778" t="s">
        <v>4642</v>
      </c>
    </row>
    <row r="3779" spans="1:6" ht="12.75">
      <c r="A3779">
        <v>6975883</v>
      </c>
      <c r="B3779">
        <v>5389415</v>
      </c>
      <c r="C3779" t="s">
        <v>99</v>
      </c>
      <c r="D3779" t="s">
        <v>12</v>
      </c>
      <c r="E3779" s="2" t="str">
        <f>HYPERLINK("https://ibp.a2mac1.com/costing(costing:projects/details/8191/process/6975883)","Manufacturing Process")</f>
        <v>Manufacturing Process</v>
      </c>
      <c r="F3779" t="s">
        <v>4647</v>
      </c>
    </row>
    <row r="3780" spans="1:6" ht="12.75">
      <c r="A3780">
        <v>5320347</v>
      </c>
      <c r="B3780">
        <v>6975883</v>
      </c>
      <c r="C3780" t="s">
        <v>24</v>
      </c>
      <c r="D3780" t="s">
        <v>99</v>
      </c>
      <c r="E3780" s="2" t="str">
        <f>HYPERLINK("https://ibp.a2mac1.com/costing(costing:projects/details/8191/material/5320347)","Standard Structural Steel sheet")</f>
        <v>Standard Structural Steel sheet</v>
      </c>
      <c r="F3780" t="s">
        <v>4650</v>
      </c>
    </row>
    <row r="3781" spans="1:6" ht="12.75">
      <c r="A3781">
        <v>6948502</v>
      </c>
      <c r="B3781">
        <v>6975883</v>
      </c>
      <c r="C3781" t="s">
        <v>189</v>
      </c>
      <c r="D3781" t="s">
        <v>99</v>
      </c>
      <c r="E3781" s="2" t="str">
        <f>HYPERLINK("https://ibp.a2mac1.com/costing(costing:projects/details/8191/equipment/6948502)","Equipment (Stamping)")</f>
        <v>Equipment (Stamping)</v>
      </c>
      <c r="F3781" t="s">
        <v>4650</v>
      </c>
    </row>
    <row r="3782" spans="1:6" ht="12.75">
      <c r="A3782">
        <v>5389154</v>
      </c>
      <c r="B3782">
        <v>5388740</v>
      </c>
      <c r="C3782" t="s">
        <v>8</v>
      </c>
      <c r="D3782" t="s">
        <v>8</v>
      </c>
      <c r="E3782" s="2" t="str">
        <f>HYPERLINK("https://ibp.a2mac1.com/costing(costing:projects/details/8191/assembly/5389154)","Fixing parts")</f>
        <v>Fixing parts</v>
      </c>
      <c r="F3782" t="s">
        <v>4641</v>
      </c>
    </row>
    <row r="3783" spans="1:6" ht="12.75">
      <c r="A3783">
        <v>5389416</v>
      </c>
      <c r="B3783">
        <v>5389154</v>
      </c>
      <c r="C3783" t="s">
        <v>12</v>
      </c>
      <c r="D3783" t="s">
        <v>8</v>
      </c>
      <c r="E3783" s="2" t="str">
        <f>HYPERLINK("https://ibp.a2mac1.com/costing(costing:projects/details/8191/part/5389416)","Part 01 single/main")</f>
        <v>Part 01 single/main</v>
      </c>
      <c r="F3783" t="s">
        <v>4651</v>
      </c>
    </row>
    <row r="3784" spans="1:6" ht="12.75">
      <c r="A3784">
        <v>6975884</v>
      </c>
      <c r="B3784">
        <v>5389416</v>
      </c>
      <c r="C3784" t="s">
        <v>99</v>
      </c>
      <c r="D3784" t="s">
        <v>12</v>
      </c>
      <c r="E3784" s="2" t="str">
        <f>HYPERLINK("https://ibp.a2mac1.com/costing(costing:projects/details/8191/process/6975884)","Manufacturing Process")</f>
        <v>Manufacturing Process</v>
      </c>
      <c r="F3784" t="s">
        <v>4652</v>
      </c>
    </row>
    <row r="3785" spans="1:6" ht="12.75">
      <c r="A3785">
        <v>5320348</v>
      </c>
      <c r="B3785">
        <v>6975884</v>
      </c>
      <c r="C3785" t="s">
        <v>24</v>
      </c>
      <c r="D3785" t="s">
        <v>99</v>
      </c>
      <c r="E3785" s="2" t="str">
        <f>HYPERLINK("https://ibp.a2mac1.com/costing(costing:projects/details/8191/material/5320348)","Standard Structural Steel sheet")</f>
        <v>Standard Structural Steel sheet</v>
      </c>
      <c r="F3785" t="s">
        <v>4654</v>
      </c>
    </row>
    <row r="3786" spans="1:6" ht="12.75">
      <c r="A3786">
        <v>6948503</v>
      </c>
      <c r="B3786">
        <v>6975884</v>
      </c>
      <c r="C3786" t="s">
        <v>189</v>
      </c>
      <c r="D3786" t="s">
        <v>99</v>
      </c>
      <c r="E3786" s="2" t="str">
        <f>HYPERLINK("https://ibp.a2mac1.com/costing(costing:projects/details/8191/equipment/6948503)","Equipment (Stamping)")</f>
        <v>Equipment (Stamping)</v>
      </c>
      <c r="F3786" t="s">
        <v>4654</v>
      </c>
    </row>
    <row r="3787" spans="1:6" ht="12.75">
      <c r="A3787">
        <v>5388741</v>
      </c>
      <c r="B3787">
        <v>5388348</v>
      </c>
      <c r="C3787" t="s">
        <v>8</v>
      </c>
      <c r="D3787" t="s">
        <v>8</v>
      </c>
      <c r="E3787" s="2" t="str">
        <f>HYPERLINK("https://ibp.a2mac1.com/costing(costing:projects/details/8191/assembly/5388741)","Cross member 02 (inner)")</f>
        <v>Cross member 02 (inner)</v>
      </c>
      <c r="F3787" t="s">
        <v>4640</v>
      </c>
    </row>
    <row r="3788" spans="1:6" ht="12.75">
      <c r="A3788">
        <v>5389155</v>
      </c>
      <c r="B3788">
        <v>5388741</v>
      </c>
      <c r="C3788" t="s">
        <v>8</v>
      </c>
      <c r="D3788" t="s">
        <v>8</v>
      </c>
      <c r="E3788" s="2" t="str">
        <f>HYPERLINK("https://ibp.a2mac1.com/costing(costing:projects/details/8191/assembly/5389155)","Cross member")</f>
        <v>Cross member</v>
      </c>
      <c r="F3788" t="s">
        <v>4655</v>
      </c>
    </row>
    <row r="3789" spans="1:6" ht="12.75">
      <c r="A3789">
        <v>5389417</v>
      </c>
      <c r="B3789">
        <v>5389155</v>
      </c>
      <c r="C3789" t="s">
        <v>12</v>
      </c>
      <c r="D3789" t="s">
        <v>8</v>
      </c>
      <c r="E3789" s="2" t="str">
        <f>HYPERLINK("https://ibp.a2mac1.com/costing(costing:projects/details/8191/part/5389417)","Part 01 single/main")</f>
        <v>Part 01 single/main</v>
      </c>
      <c r="F3789" t="s">
        <v>4656</v>
      </c>
    </row>
    <row r="3790" spans="1:6" ht="12.75">
      <c r="A3790">
        <v>6975885</v>
      </c>
      <c r="B3790">
        <v>5389417</v>
      </c>
      <c r="C3790" t="s">
        <v>99</v>
      </c>
      <c r="D3790" t="s">
        <v>12</v>
      </c>
      <c r="E3790" s="2" t="str">
        <f>HYPERLINK("https://ibp.a2mac1.com/costing(costing:projects/details/8191/process/6975885)","Manufacturing Process")</f>
        <v>Manufacturing Process</v>
      </c>
      <c r="F3790" t="s">
        <v>4657</v>
      </c>
    </row>
    <row r="3791" spans="1:6" ht="12.75">
      <c r="A3791">
        <v>5320349</v>
      </c>
      <c r="B3791">
        <v>6975885</v>
      </c>
      <c r="C3791" t="s">
        <v>24</v>
      </c>
      <c r="D3791" t="s">
        <v>99</v>
      </c>
      <c r="E3791" s="2" t="str">
        <f>HYPERLINK("https://ibp.a2mac1.com/costing(costing:projects/details/8191/material/5320349)","Standard Structural Steel sheet")</f>
        <v>Standard Structural Steel sheet</v>
      </c>
      <c r="F3791" t="s">
        <v>4660</v>
      </c>
    </row>
    <row r="3792" spans="1:6" ht="12.75">
      <c r="A3792">
        <v>6948504</v>
      </c>
      <c r="B3792">
        <v>6975885</v>
      </c>
      <c r="C3792" t="s">
        <v>189</v>
      </c>
      <c r="D3792" t="s">
        <v>99</v>
      </c>
      <c r="E3792" s="2" t="str">
        <f>HYPERLINK("https://ibp.a2mac1.com/costing(costing:projects/details/8191/equipment/6948504)","Equipment (Stamping)")</f>
        <v>Equipment (Stamping)</v>
      </c>
      <c r="F3792" t="s">
        <v>4660</v>
      </c>
    </row>
    <row r="3793" spans="1:6" ht="12.75">
      <c r="A3793">
        <v>5388349</v>
      </c>
      <c r="B3793">
        <v>5388171</v>
      </c>
      <c r="C3793" t="s">
        <v>8</v>
      </c>
      <c r="D3793" t="s">
        <v>8</v>
      </c>
      <c r="E3793" s="2" t="str">
        <f>HYPERLINK("https://ibp.a2mac1.com/costing(costing:projects/details/8191/assembly/5388349)","Outer panel")</f>
        <v>Outer panel</v>
      </c>
      <c r="F3793" t="s">
        <v>4592</v>
      </c>
    </row>
    <row r="3794" spans="1:6" ht="12.75">
      <c r="A3794">
        <v>5388742</v>
      </c>
      <c r="B3794">
        <v>5388349</v>
      </c>
      <c r="C3794" t="s">
        <v>8</v>
      </c>
      <c r="D3794" t="s">
        <v>8</v>
      </c>
      <c r="E3794" s="2" t="str">
        <f>HYPERLINK("https://ibp.a2mac1.com/costing(costing:projects/details/8191/assembly/5388742)","Panel")</f>
        <v>Panel</v>
      </c>
      <c r="F3794" t="s">
        <v>4661</v>
      </c>
    </row>
    <row r="3795" spans="1:6" ht="12.75">
      <c r="A3795">
        <v>5389156</v>
      </c>
      <c r="B3795">
        <v>5388742</v>
      </c>
      <c r="C3795" t="s">
        <v>12</v>
      </c>
      <c r="D3795" t="s">
        <v>8</v>
      </c>
      <c r="E3795" s="2" t="str">
        <f>HYPERLINK("https://ibp.a2mac1.com/costing(costing:projects/details/8191/part/5389156)","Part 01 single/main")</f>
        <v>Part 01 single/main</v>
      </c>
      <c r="F3795" t="s">
        <v>4662</v>
      </c>
    </row>
    <row r="3796" spans="1:6" ht="12.75">
      <c r="A3796">
        <v>6975802</v>
      </c>
      <c r="B3796">
        <v>5389156</v>
      </c>
      <c r="C3796" t="s">
        <v>99</v>
      </c>
      <c r="D3796" t="s">
        <v>12</v>
      </c>
      <c r="E3796" s="2" t="str">
        <f>HYPERLINK("https://ibp.a2mac1.com/costing(costing:projects/details/8191/process/6975802)","Manufacturing Process")</f>
        <v>Manufacturing Process</v>
      </c>
      <c r="F3796" t="s">
        <v>4663</v>
      </c>
    </row>
    <row r="3797" spans="1:6" ht="12.75">
      <c r="A3797">
        <v>5320246</v>
      </c>
      <c r="B3797">
        <v>6975802</v>
      </c>
      <c r="C3797" t="s">
        <v>24</v>
      </c>
      <c r="D3797" t="s">
        <v>99</v>
      </c>
      <c r="E3797" s="2" t="str">
        <f>HYPERLINK("https://ibp.a2mac1.com/costing(costing:projects/details/8191/material/5320246)","Standard Structural Steel sheet")</f>
        <v>Standard Structural Steel sheet</v>
      </c>
      <c r="F3797" t="s">
        <v>4666</v>
      </c>
    </row>
    <row r="3798" spans="1:6" ht="12.75">
      <c r="A3798">
        <v>6948397</v>
      </c>
      <c r="B3798">
        <v>6975802</v>
      </c>
      <c r="C3798" t="s">
        <v>189</v>
      </c>
      <c r="D3798" t="s">
        <v>99</v>
      </c>
      <c r="E3798" s="2" t="str">
        <f>HYPERLINK("https://ibp.a2mac1.com/costing(costing:projects/details/8191/equipment/6948397)","Equipment (Stamping)")</f>
        <v>Equipment (Stamping)</v>
      </c>
      <c r="F3798" t="s">
        <v>4666</v>
      </c>
    </row>
    <row r="3799" spans="1:6" ht="12.75">
      <c r="A3799">
        <v>6975277</v>
      </c>
      <c r="B3799">
        <v>5388171</v>
      </c>
      <c r="C3799" t="s">
        <v>99</v>
      </c>
      <c r="D3799" t="s">
        <v>8</v>
      </c>
      <c r="E3799" s="2" t="str">
        <f>HYPERLINK("https://ibp.a2mac1.com/costing(costing:projects/details/8191/process/6975277)","Assembly")</f>
        <v>Assembly</v>
      </c>
      <c r="F3799" t="s">
        <v>4592</v>
      </c>
    </row>
    <row r="3800" spans="1:6" ht="12.75">
      <c r="A3800">
        <v>6947833</v>
      </c>
      <c r="B3800">
        <v>6975277</v>
      </c>
      <c r="C3800" t="s">
        <v>189</v>
      </c>
      <c r="D3800" t="s">
        <v>99</v>
      </c>
      <c r="E3800" s="2" t="str">
        <f>HYPERLINK("https://ibp.a2mac1.com/costing(costing:projects/details/8191/equipment/6947833)","Assembly line")</f>
        <v>Assembly line</v>
      </c>
      <c r="F3800" t="s">
        <v>4667</v>
      </c>
    </row>
    <row r="3801" spans="1:6" ht="12.75">
      <c r="A3801">
        <v>5388173</v>
      </c>
      <c r="B3801">
        <v>5388133</v>
      </c>
      <c r="C3801" t="s">
        <v>8</v>
      </c>
      <c r="D3801" t="s">
        <v>8</v>
      </c>
      <c r="E3801" s="2" t="str">
        <f>HYPERLINK("https://ibp.a2mac1.com/costing(costing:projects/details/8191/assembly/5388173)","Door Panel")</f>
        <v>Door Panel</v>
      </c>
      <c r="F3801" t="s">
        <v>4591</v>
      </c>
    </row>
    <row r="3802" spans="1:6" ht="12.75">
      <c r="A3802">
        <v>5388355</v>
      </c>
      <c r="B3802">
        <v>5388173</v>
      </c>
      <c r="C3802" t="s">
        <v>8</v>
      </c>
      <c r="D3802" t="s">
        <v>8</v>
      </c>
      <c r="E3802" s="2" t="str">
        <f>HYPERLINK("https://ibp.a2mac1.com/costing(costing:projects/details/8191/assembly/5388355)","Door handle")</f>
        <v>Door handle</v>
      </c>
      <c r="F3802" t="s">
        <v>4670</v>
      </c>
    </row>
    <row r="3803" spans="1:6" ht="12.75">
      <c r="A3803">
        <v>5388743</v>
      </c>
      <c r="B3803">
        <v>5388355</v>
      </c>
      <c r="C3803" t="s">
        <v>12</v>
      </c>
      <c r="D3803" t="s">
        <v>8</v>
      </c>
      <c r="E3803" s="2" t="str">
        <f>HYPERLINK("https://ibp.a2mac1.com/costing(costing:projects/details/8191/part/5388743)","Handle Support")</f>
        <v>Handle Support</v>
      </c>
      <c r="F3803" t="s">
        <v>4671</v>
      </c>
    </row>
    <row r="3804" spans="1:6" ht="12.75">
      <c r="A3804">
        <v>6975601</v>
      </c>
      <c r="B3804">
        <v>5388743</v>
      </c>
      <c r="C3804" t="s">
        <v>99</v>
      </c>
      <c r="D3804" t="s">
        <v>12</v>
      </c>
      <c r="E3804" s="2" t="str">
        <f>HYPERLINK("https://ibp.a2mac1.com/costing(costing:projects/details/8191/process/6975601)","Automated Process")</f>
        <v>Automated Process</v>
      </c>
      <c r="F3804" t="s">
        <v>4672</v>
      </c>
    </row>
    <row r="3805" spans="1:6" ht="12.75">
      <c r="A3805">
        <v>5320059</v>
      </c>
      <c r="B3805">
        <v>6975601</v>
      </c>
      <c r="C3805" t="s">
        <v>24</v>
      </c>
      <c r="D3805" t="s">
        <v>99</v>
      </c>
      <c r="E3805" s="2" t="str">
        <f>HYPERLINK("https://ibp.a2mac1.com/costing(costing:projects/details/8191/material/5320059)","ABS")</f>
        <v>ABS</v>
      </c>
      <c r="F3805" t="s">
        <v>4675</v>
      </c>
    </row>
    <row r="3806" spans="1:6" ht="12.75">
      <c r="A3806">
        <v>6948218</v>
      </c>
      <c r="B3806">
        <v>6975601</v>
      </c>
      <c r="C3806" t="s">
        <v>189</v>
      </c>
      <c r="D3806" t="s">
        <v>99</v>
      </c>
      <c r="E3806" s="2" t="str">
        <f>HYPERLINK("https://ibp.a2mac1.com/costing(costing:projects/details/8191/equipment/6948218)","Equipment (Injection Molding)")</f>
        <v>Equipment (Injection Molding)</v>
      </c>
      <c r="F3806" t="s">
        <v>4675</v>
      </c>
    </row>
    <row r="3807" spans="1:6" ht="12.75">
      <c r="A3807">
        <v>5388744</v>
      </c>
      <c r="B3807">
        <v>5388355</v>
      </c>
      <c r="C3807" t="s">
        <v>12</v>
      </c>
      <c r="D3807" t="s">
        <v>8</v>
      </c>
      <c r="E3807" s="2" t="str">
        <f>HYPERLINK("https://ibp.a2mac1.com/costing(costing:projects/details/8191/part/5388744)","2nd Handle Support")</f>
        <v>2nd Handle Support</v>
      </c>
      <c r="F3807" t="s">
        <v>4671</v>
      </c>
    </row>
    <row r="3808" spans="1:6" ht="12.75">
      <c r="A3808">
        <v>6975602</v>
      </c>
      <c r="B3808">
        <v>5388744</v>
      </c>
      <c r="C3808" t="s">
        <v>99</v>
      </c>
      <c r="D3808" t="s">
        <v>12</v>
      </c>
      <c r="E3808" s="2" t="str">
        <f>HYPERLINK("https://ibp.a2mac1.com/costing(costing:projects/details/8191/process/6975602)","Automated Process")</f>
        <v>Automated Process</v>
      </c>
      <c r="F3808" t="s">
        <v>4677</v>
      </c>
    </row>
    <row r="3809" spans="1:6" ht="12.75">
      <c r="A3809">
        <v>5320060</v>
      </c>
      <c r="B3809">
        <v>6975602</v>
      </c>
      <c r="C3809" t="s">
        <v>24</v>
      </c>
      <c r="D3809" t="s">
        <v>99</v>
      </c>
      <c r="E3809" s="2" t="str">
        <f>HYPERLINK("https://ibp.a2mac1.com/costing(costing:projects/details/8191/material/5320060)","ABS")</f>
        <v>ABS</v>
      </c>
      <c r="F3809" t="s">
        <v>4680</v>
      </c>
    </row>
    <row r="3810" spans="1:6" ht="12.75">
      <c r="A3810">
        <v>6948219</v>
      </c>
      <c r="B3810">
        <v>6975602</v>
      </c>
      <c r="C3810" t="s">
        <v>189</v>
      </c>
      <c r="D3810" t="s">
        <v>99</v>
      </c>
      <c r="E3810" s="2" t="str">
        <f>HYPERLINK("https://ibp.a2mac1.com/costing(costing:projects/details/8191/equipment/6948219)","Equipment (Injection Molding)")</f>
        <v>Equipment (Injection Molding)</v>
      </c>
      <c r="F3810" t="s">
        <v>4680</v>
      </c>
    </row>
    <row r="3811" spans="1:6" ht="12.75">
      <c r="A3811">
        <v>5319548</v>
      </c>
      <c r="B3811">
        <v>5388355</v>
      </c>
      <c r="C3811" t="s">
        <v>574</v>
      </c>
      <c r="D3811" t="s">
        <v>8</v>
      </c>
      <c r="E3811" s="2" t="str">
        <f>HYPERLINK("https://ibp.a2mac1.com/costing(costing:projects/details/8191/component/5319548)","Screw &gt; Torx socket head cap screw")</f>
        <v>Screw &gt; Torx socket head cap screw</v>
      </c>
      <c r="F3811" t="s">
        <v>4671</v>
      </c>
    </row>
    <row r="3812" spans="1:6" ht="12.75">
      <c r="A3812">
        <v>5388350</v>
      </c>
      <c r="B3812">
        <v>5388173</v>
      </c>
      <c r="C3812" t="s">
        <v>12</v>
      </c>
      <c r="D3812" t="s">
        <v>8</v>
      </c>
      <c r="E3812" s="2" t="str">
        <f>HYPERLINK("https://ibp.a2mac1.com/costing(costing:projects/details/8191/part/5388350)","Panel carrier")</f>
        <v>Panel carrier</v>
      </c>
      <c r="F3812" t="s">
        <v>4670</v>
      </c>
    </row>
    <row r="3813" spans="1:6" ht="12.75">
      <c r="A3813">
        <v>6975366</v>
      </c>
      <c r="B3813">
        <v>5388350</v>
      </c>
      <c r="C3813" t="s">
        <v>99</v>
      </c>
      <c r="D3813" t="s">
        <v>12</v>
      </c>
      <c r="E3813" s="2" t="str">
        <f>HYPERLINK("https://ibp.a2mac1.com/costing(costing:projects/details/8191/process/6975366)","Automated Process")</f>
        <v>Automated Process</v>
      </c>
      <c r="F3813" t="s">
        <v>4684</v>
      </c>
    </row>
    <row r="3814" spans="1:6" ht="12.75">
      <c r="A3814">
        <v>5319730</v>
      </c>
      <c r="B3814">
        <v>6975366</v>
      </c>
      <c r="C3814" t="s">
        <v>24</v>
      </c>
      <c r="D3814" t="s">
        <v>99</v>
      </c>
      <c r="E3814" s="2" t="str">
        <f>HYPERLINK("https://ibp.a2mac1.com/costing(costing:projects/details/8191/material/5319730)","PP")</f>
        <v>PP</v>
      </c>
      <c r="F3814" t="s">
        <v>4687</v>
      </c>
    </row>
    <row r="3815" spans="1:6" ht="12.75">
      <c r="A3815">
        <v>6947943</v>
      </c>
      <c r="B3815">
        <v>6975366</v>
      </c>
      <c r="C3815" t="s">
        <v>189</v>
      </c>
      <c r="D3815" t="s">
        <v>99</v>
      </c>
      <c r="E3815" s="2" t="str">
        <f>HYPERLINK("https://ibp.a2mac1.com/costing(costing:projects/details/8191/equipment/6947943)","Equipment (Injection Molding)")</f>
        <v>Equipment (Injection Molding)</v>
      </c>
      <c r="F3815" t="s">
        <v>4687</v>
      </c>
    </row>
    <row r="3816" spans="1:6" ht="12.75">
      <c r="A3816">
        <v>5388351</v>
      </c>
      <c r="B3816">
        <v>5388173</v>
      </c>
      <c r="C3816" t="s">
        <v>12</v>
      </c>
      <c r="D3816" t="s">
        <v>8</v>
      </c>
      <c r="E3816" s="2" t="str">
        <f>HYPERLINK("https://ibp.a2mac1.com/costing(costing:projects/details/8191/part/5388351)","Armrest")</f>
        <v>Armrest</v>
      </c>
      <c r="F3816" t="s">
        <v>4670</v>
      </c>
    </row>
    <row r="3817" spans="1:6" ht="12.75">
      <c r="A3817">
        <v>6975367</v>
      </c>
      <c r="B3817">
        <v>5388351</v>
      </c>
      <c r="C3817" t="s">
        <v>99</v>
      </c>
      <c r="D3817" t="s">
        <v>12</v>
      </c>
      <c r="E3817" s="2" t="str">
        <f>HYPERLINK("https://ibp.a2mac1.com/costing(costing:projects/details/8191/process/6975367)","Automated Process")</f>
        <v>Automated Process</v>
      </c>
      <c r="F3817" t="s">
        <v>4689</v>
      </c>
    </row>
    <row r="3818" spans="1:6" ht="12.75">
      <c r="A3818">
        <v>5319731</v>
      </c>
      <c r="B3818">
        <v>6975367</v>
      </c>
      <c r="C3818" t="s">
        <v>24</v>
      </c>
      <c r="D3818" t="s">
        <v>99</v>
      </c>
      <c r="E3818" s="2" t="str">
        <f>HYPERLINK("https://ibp.a2mac1.com/costing(costing:projects/details/8191/material/5319731)","PVC")</f>
        <v>PVC</v>
      </c>
      <c r="F3818" t="s">
        <v>4692</v>
      </c>
    </row>
    <row r="3819" spans="1:6" ht="12.75">
      <c r="A3819">
        <v>5319732</v>
      </c>
      <c r="B3819">
        <v>6975367</v>
      </c>
      <c r="C3819" t="s">
        <v>24</v>
      </c>
      <c r="D3819" t="s">
        <v>99</v>
      </c>
      <c r="E3819" s="2" t="str">
        <f>HYPERLINK("https://ibp.a2mac1.com/costing(costing:projects/details/8191/material/5319732)","PP")</f>
        <v>PP</v>
      </c>
      <c r="F3819" t="s">
        <v>4692</v>
      </c>
    </row>
    <row r="3820" spans="1:6" ht="12.75">
      <c r="A3820">
        <v>6947944</v>
      </c>
      <c r="B3820">
        <v>6975367</v>
      </c>
      <c r="C3820" t="s">
        <v>189</v>
      </c>
      <c r="D3820" t="s">
        <v>99</v>
      </c>
      <c r="E3820" s="2" t="str">
        <f>HYPERLINK("https://ibp.a2mac1.com/costing(costing:projects/details/8191/equipment/6947944)","DC machine - General")</f>
        <v>DC machine - General</v>
      </c>
      <c r="F3820" t="s">
        <v>4692</v>
      </c>
    </row>
    <row r="3821" spans="1:6" ht="12.75">
      <c r="A3821">
        <v>5388352</v>
      </c>
      <c r="B3821">
        <v>5388173</v>
      </c>
      <c r="C3821" t="s">
        <v>12</v>
      </c>
      <c r="D3821" t="s">
        <v>8</v>
      </c>
      <c r="E3821" s="2" t="str">
        <f>HYPERLINK("https://ibp.a2mac1.com/costing(costing:projects/details/8191/part/5388352)","Upper Band")</f>
        <v>Upper Band</v>
      </c>
      <c r="F3821" t="s">
        <v>4670</v>
      </c>
    </row>
    <row r="3822" spans="1:6" ht="12.75">
      <c r="A3822">
        <v>6975368</v>
      </c>
      <c r="B3822">
        <v>5388352</v>
      </c>
      <c r="C3822" t="s">
        <v>99</v>
      </c>
      <c r="D3822" t="s">
        <v>12</v>
      </c>
      <c r="E3822" s="2" t="str">
        <f>HYPERLINK("https://ibp.a2mac1.com/costing(costing:projects/details/8191/process/6975368)","Automated Process")</f>
        <v>Automated Process</v>
      </c>
      <c r="F3822" t="s">
        <v>4695</v>
      </c>
    </row>
    <row r="3823" spans="1:6" ht="12.75">
      <c r="A3823">
        <v>5319733</v>
      </c>
      <c r="B3823">
        <v>6975368</v>
      </c>
      <c r="C3823" t="s">
        <v>24</v>
      </c>
      <c r="D3823" t="s">
        <v>99</v>
      </c>
      <c r="E3823" s="2" t="str">
        <f>HYPERLINK("https://ibp.a2mac1.com/costing(costing:projects/details/8191/material/5319733)","ABS")</f>
        <v>ABS</v>
      </c>
      <c r="F3823" t="s">
        <v>4698</v>
      </c>
    </row>
    <row r="3824" spans="1:6" ht="12.75">
      <c r="A3824">
        <v>5319734</v>
      </c>
      <c r="B3824">
        <v>6975368</v>
      </c>
      <c r="C3824" t="s">
        <v>24</v>
      </c>
      <c r="D3824" t="s">
        <v>99</v>
      </c>
      <c r="E3824" s="2" t="str">
        <f>HYPERLINK("https://ibp.a2mac1.com/costing(costing:projects/details/8191/material/5319734)","PVC")</f>
        <v>PVC</v>
      </c>
      <c r="F3824" t="s">
        <v>4698</v>
      </c>
    </row>
    <row r="3825" spans="1:6" ht="12.75">
      <c r="A3825">
        <v>6947945</v>
      </c>
      <c r="B3825">
        <v>6975368</v>
      </c>
      <c r="C3825" t="s">
        <v>189</v>
      </c>
      <c r="D3825" t="s">
        <v>99</v>
      </c>
      <c r="E3825" s="2" t="str">
        <f>HYPERLINK("https://ibp.a2mac1.com/costing(costing:projects/details/8191/equipment/6947945)","DC machine - General")</f>
        <v>DC machine - General</v>
      </c>
      <c r="F3825" t="s">
        <v>4698</v>
      </c>
    </row>
    <row r="3826" spans="1:6" ht="12.75">
      <c r="A3826">
        <v>5388353</v>
      </c>
      <c r="B3826">
        <v>5388173</v>
      </c>
      <c r="C3826" t="s">
        <v>12</v>
      </c>
      <c r="D3826" t="s">
        <v>8</v>
      </c>
      <c r="E3826" s="2" t="str">
        <f>HYPERLINK("https://ibp.a2mac1.com/costing(costing:projects/details/8191/part/5388353)","Door Map Pocket Bottom")</f>
        <v>Door Map Pocket Bottom</v>
      </c>
      <c r="F3826" t="s">
        <v>4670</v>
      </c>
    </row>
    <row r="3827" spans="1:6" ht="12.75">
      <c r="A3827">
        <v>6975369</v>
      </c>
      <c r="B3827">
        <v>5388353</v>
      </c>
      <c r="C3827" t="s">
        <v>99</v>
      </c>
      <c r="D3827" t="s">
        <v>12</v>
      </c>
      <c r="E3827" s="2" t="str">
        <f>HYPERLINK("https://ibp.a2mac1.com/costing(costing:projects/details/8191/process/6975369)","Automated Process")</f>
        <v>Automated Process</v>
      </c>
      <c r="F3827" t="s">
        <v>4701</v>
      </c>
    </row>
    <row r="3828" spans="1:6" ht="12.75">
      <c r="A3828">
        <v>5319735</v>
      </c>
      <c r="B3828">
        <v>6975369</v>
      </c>
      <c r="C3828" t="s">
        <v>24</v>
      </c>
      <c r="D3828" t="s">
        <v>99</v>
      </c>
      <c r="E3828" s="2" t="str">
        <f>HYPERLINK("https://ibp.a2mac1.com/costing(costing:projects/details/8191/material/5319735)","PP")</f>
        <v>PP</v>
      </c>
      <c r="F3828" t="s">
        <v>4704</v>
      </c>
    </row>
    <row r="3829" spans="1:6" ht="12.75">
      <c r="A3829">
        <v>6947946</v>
      </c>
      <c r="B3829">
        <v>6975369</v>
      </c>
      <c r="C3829" t="s">
        <v>189</v>
      </c>
      <c r="D3829" t="s">
        <v>99</v>
      </c>
      <c r="E3829" s="2" t="str">
        <f>HYPERLINK("https://ibp.a2mac1.com/costing(costing:projects/details/8191/equipment/6947946)","Equipment (Injection Molding)")</f>
        <v>Equipment (Injection Molding)</v>
      </c>
      <c r="F3829" t="s">
        <v>4704</v>
      </c>
    </row>
    <row r="3830" spans="1:6" ht="12.75">
      <c r="A3830">
        <v>5388354</v>
      </c>
      <c r="B3830">
        <v>5388173</v>
      </c>
      <c r="C3830" t="s">
        <v>12</v>
      </c>
      <c r="D3830" t="s">
        <v>8</v>
      </c>
      <c r="E3830" s="2" t="str">
        <f>HYPERLINK("https://ibp.a2mac1.com/costing(costing:projects/details/8191/part/5388354)","Locking Indicator Trim")</f>
        <v>Locking Indicator Trim</v>
      </c>
      <c r="F3830" t="s">
        <v>4670</v>
      </c>
    </row>
    <row r="3831" spans="1:6" ht="12.75">
      <c r="A3831">
        <v>6975370</v>
      </c>
      <c r="B3831">
        <v>5388354</v>
      </c>
      <c r="C3831" t="s">
        <v>99</v>
      </c>
      <c r="D3831" t="s">
        <v>12</v>
      </c>
      <c r="E3831" s="2" t="str">
        <f>HYPERLINK("https://ibp.a2mac1.com/costing(costing:projects/details/8191/process/6975370)","Automated Process")</f>
        <v>Automated Process</v>
      </c>
      <c r="F3831" t="s">
        <v>4706</v>
      </c>
    </row>
    <row r="3832" spans="1:6" ht="12.75">
      <c r="A3832">
        <v>5319736</v>
      </c>
      <c r="B3832">
        <v>6975370</v>
      </c>
      <c r="C3832" t="s">
        <v>24</v>
      </c>
      <c r="D3832" t="s">
        <v>99</v>
      </c>
      <c r="E3832" s="2" t="str">
        <f>HYPERLINK("https://ibp.a2mac1.com/costing(costing:projects/details/8191/material/5319736)","ABS")</f>
        <v>ABS</v>
      </c>
      <c r="F3832" t="s">
        <v>4707</v>
      </c>
    </row>
    <row r="3833" spans="1:6" ht="12.75">
      <c r="A3833">
        <v>6947947</v>
      </c>
      <c r="B3833">
        <v>6975370</v>
      </c>
      <c r="C3833" t="s">
        <v>189</v>
      </c>
      <c r="D3833" t="s">
        <v>99</v>
      </c>
      <c r="E3833" s="2" t="str">
        <f>HYPERLINK("https://ibp.a2mac1.com/costing(costing:projects/details/8191/equipment/6947947)","Equipment (Injection Molding)")</f>
        <v>Equipment (Injection Molding)</v>
      </c>
      <c r="F3833" t="s">
        <v>4707</v>
      </c>
    </row>
    <row r="3834" spans="1:6" ht="12.75">
      <c r="A3834">
        <v>5319453</v>
      </c>
      <c r="B3834">
        <v>5388173</v>
      </c>
      <c r="C3834" t="s">
        <v>574</v>
      </c>
      <c r="D3834" t="s">
        <v>8</v>
      </c>
      <c r="E3834" s="2" t="str">
        <f>HYPERLINK("https://ibp.a2mac1.com/costing(costing:projects/details/8191/component/5319453)","Panel holder &gt; Clips in round hole")</f>
        <v>Panel holder &gt; Clips in round hole</v>
      </c>
      <c r="F3834" t="s">
        <v>4670</v>
      </c>
    </row>
    <row r="3835" spans="1:6" ht="12.75">
      <c r="A3835">
        <v>5319454</v>
      </c>
      <c r="B3835">
        <v>5388173</v>
      </c>
      <c r="C3835" t="s">
        <v>574</v>
      </c>
      <c r="D3835" t="s">
        <v>8</v>
      </c>
      <c r="E3835" s="2" t="str">
        <f>HYPERLINK("https://ibp.a2mac1.com/costing(costing:projects/details/8191/component/5319454)","Other fastener &gt; Snap Tooling")</f>
        <v>Other fastener &gt; Snap Tooling</v>
      </c>
      <c r="F3835" t="s">
        <v>4670</v>
      </c>
    </row>
    <row r="3836" spans="1:6" ht="12.75">
      <c r="A3836">
        <v>5319455</v>
      </c>
      <c r="B3836">
        <v>5388173</v>
      </c>
      <c r="C3836" t="s">
        <v>574</v>
      </c>
      <c r="D3836" t="s">
        <v>8</v>
      </c>
      <c r="E3836" s="2" t="str">
        <f>HYPERLINK("https://ibp.a2mac1.com/costing(costing:projects/details/8191/component/5319455)","Other fastener &gt; Snap Tooling")</f>
        <v>Other fastener &gt; Snap Tooling</v>
      </c>
      <c r="F3836" t="s">
        <v>4670</v>
      </c>
    </row>
    <row r="3837" spans="1:6" ht="12.75">
      <c r="A3837">
        <v>5319456</v>
      </c>
      <c r="B3837">
        <v>5388173</v>
      </c>
      <c r="C3837" t="s">
        <v>574</v>
      </c>
      <c r="D3837" t="s">
        <v>8</v>
      </c>
      <c r="E3837" s="2" t="str">
        <f>HYPERLINK("https://ibp.a2mac1.com/costing(costing:projects/details/8191/component/5319456)","Other fastener &gt; Snap Tooling")</f>
        <v>Other fastener &gt; Snap Tooling</v>
      </c>
      <c r="F3837" t="s">
        <v>4670</v>
      </c>
    </row>
    <row r="3838" spans="1:6" ht="12.75">
      <c r="A3838">
        <v>5388174</v>
      </c>
      <c r="B3838">
        <v>5388133</v>
      </c>
      <c r="C3838" t="s">
        <v>8</v>
      </c>
      <c r="D3838" t="s">
        <v>8</v>
      </c>
      <c r="E3838" s="2" t="str">
        <f>HYPERLINK("https://ibp.a2mac1.com/costing(costing:projects/details/8191/assembly/5388174)","Door Mechanism")</f>
        <v>Door Mechanism</v>
      </c>
      <c r="F3838" t="s">
        <v>4591</v>
      </c>
    </row>
    <row r="3839" spans="1:6" ht="12.75">
      <c r="A3839">
        <v>5388362</v>
      </c>
      <c r="B3839">
        <v>5388174</v>
      </c>
      <c r="C3839" t="s">
        <v>8</v>
      </c>
      <c r="D3839" t="s">
        <v>8</v>
      </c>
      <c r="E3839" s="2" t="str">
        <f>HYPERLINK("https://ibp.a2mac1.com/costing(costing:projects/details/8191/assembly/5388362)","Interior Side")</f>
        <v>Interior Side</v>
      </c>
      <c r="F3839" t="s">
        <v>4710</v>
      </c>
    </row>
    <row r="3840" spans="1:6" ht="12.75">
      <c r="A3840">
        <v>5388747</v>
      </c>
      <c r="B3840">
        <v>5388362</v>
      </c>
      <c r="C3840" t="s">
        <v>8</v>
      </c>
      <c r="D3840" t="s">
        <v>8</v>
      </c>
      <c r="E3840" s="2" t="str">
        <f>HYPERLINK("https://ibp.a2mac1.com/costing(costing:projects/details/8191/assembly/5388747)","Fastners")</f>
        <v>Fastners</v>
      </c>
      <c r="F3840" t="s">
        <v>4711</v>
      </c>
    </row>
    <row r="3841" spans="1:6" ht="12.75">
      <c r="A3841">
        <v>5319757</v>
      </c>
      <c r="B3841">
        <v>5388747</v>
      </c>
      <c r="C3841" t="s">
        <v>574</v>
      </c>
      <c r="D3841" t="s">
        <v>8</v>
      </c>
      <c r="E3841" s="2" t="str">
        <f>HYPERLINK("https://ibp.a2mac1.com/costing(costing:projects/details/8191/component/5319757)","Pin clip &gt; Dowel pin")</f>
        <v>Pin clip &gt; Dowel pin</v>
      </c>
      <c r="F3841" t="s">
        <v>4712</v>
      </c>
    </row>
    <row r="3842" spans="1:6" ht="12.75">
      <c r="A3842">
        <v>5319758</v>
      </c>
      <c r="B3842">
        <v>5388747</v>
      </c>
      <c r="C3842" t="s">
        <v>574</v>
      </c>
      <c r="D3842" t="s">
        <v>8</v>
      </c>
      <c r="E3842" s="2" t="str">
        <f>HYPERLINK("https://ibp.a2mac1.com/costing(costing:projects/details/8191/component/5319758)","Other fastener &gt; Snap Tooling")</f>
        <v>Other fastener &gt; Snap Tooling</v>
      </c>
      <c r="F3842" t="s">
        <v>4712</v>
      </c>
    </row>
    <row r="3843" spans="1:6" ht="12.75">
      <c r="A3843">
        <v>5388745</v>
      </c>
      <c r="B3843">
        <v>5388362</v>
      </c>
      <c r="C3843" t="s">
        <v>12</v>
      </c>
      <c r="D3843" t="s">
        <v>8</v>
      </c>
      <c r="E3843" s="2" t="str">
        <f>HYPERLINK("https://ibp.a2mac1.com/costing(costing:projects/details/8191/part/5388745)","Opening Control")</f>
        <v>Opening Control</v>
      </c>
      <c r="F3843" t="s">
        <v>4711</v>
      </c>
    </row>
    <row r="3844" spans="1:6" ht="12.75">
      <c r="A3844">
        <v>6975603</v>
      </c>
      <c r="B3844">
        <v>5388745</v>
      </c>
      <c r="C3844" t="s">
        <v>99</v>
      </c>
      <c r="D3844" t="s">
        <v>12</v>
      </c>
      <c r="E3844" s="2" t="str">
        <f>HYPERLINK("https://ibp.a2mac1.com/costing(costing:projects/details/8191/process/6975603)","Injection molding")</f>
        <v>Injection molding</v>
      </c>
      <c r="F3844" t="s">
        <v>4713</v>
      </c>
    </row>
    <row r="3845" spans="1:6" ht="12.75">
      <c r="A3845">
        <v>5320061</v>
      </c>
      <c r="B3845">
        <v>6975603</v>
      </c>
      <c r="C3845" t="s">
        <v>24</v>
      </c>
      <c r="D3845" t="s">
        <v>99</v>
      </c>
      <c r="E3845" s="2" t="str">
        <f>HYPERLINK("https://ibp.a2mac1.com/costing(costing:projects/details/8191/material/5320061)","PC-ABS")</f>
        <v>PC-ABS</v>
      </c>
      <c r="F3845" t="s">
        <v>4714</v>
      </c>
    </row>
    <row r="3846" spans="1:6" ht="12.75">
      <c r="A3846">
        <v>6948220</v>
      </c>
      <c r="B3846">
        <v>6975603</v>
      </c>
      <c r="C3846" t="s">
        <v>189</v>
      </c>
      <c r="D3846" t="s">
        <v>99</v>
      </c>
      <c r="E3846" s="2" t="str">
        <f>HYPERLINK("https://ibp.a2mac1.com/costing(costing:projects/details/8191/equipment/6948220)","Equipment (Injection Molding)")</f>
        <v>Equipment (Injection Molding)</v>
      </c>
      <c r="F3846" t="s">
        <v>4714</v>
      </c>
    </row>
    <row r="3847" spans="1:6" ht="12.75">
      <c r="A3847">
        <v>5388746</v>
      </c>
      <c r="B3847">
        <v>5388362</v>
      </c>
      <c r="C3847" t="s">
        <v>12</v>
      </c>
      <c r="D3847" t="s">
        <v>8</v>
      </c>
      <c r="E3847" s="2" t="str">
        <f>HYPERLINK("https://ibp.a2mac1.com/costing(costing:projects/details/8191/part/5388746)","Opening Control Support")</f>
        <v>Opening Control Support</v>
      </c>
      <c r="F3847" t="s">
        <v>4711</v>
      </c>
    </row>
    <row r="3848" spans="1:6" ht="12.75">
      <c r="A3848">
        <v>6975605</v>
      </c>
      <c r="B3848">
        <v>5388746</v>
      </c>
      <c r="C3848" t="s">
        <v>99</v>
      </c>
      <c r="D3848" t="s">
        <v>12</v>
      </c>
      <c r="E3848" s="2" t="str">
        <f>HYPERLINK("https://ibp.a2mac1.com/costing(costing:projects/details/8191/process/6975605)","Injection molding")</f>
        <v>Injection molding</v>
      </c>
      <c r="F3848" t="s">
        <v>4717</v>
      </c>
    </row>
    <row r="3849" spans="1:6" ht="12.75">
      <c r="A3849">
        <v>5320062</v>
      </c>
      <c r="B3849">
        <v>6975605</v>
      </c>
      <c r="C3849" t="s">
        <v>24</v>
      </c>
      <c r="D3849" t="s">
        <v>99</v>
      </c>
      <c r="E3849" s="2" t="str">
        <f>HYPERLINK("https://ibp.a2mac1.com/costing(costing:projects/details/8191/material/5320062)","ABS-PC")</f>
        <v>ABS-PC</v>
      </c>
      <c r="F3849" t="s">
        <v>4720</v>
      </c>
    </row>
    <row r="3850" spans="1:6" ht="12.75">
      <c r="A3850">
        <v>6948222</v>
      </c>
      <c r="B3850">
        <v>6975605</v>
      </c>
      <c r="C3850" t="s">
        <v>189</v>
      </c>
      <c r="D3850" t="s">
        <v>99</v>
      </c>
      <c r="E3850" s="2" t="str">
        <f>HYPERLINK("https://ibp.a2mac1.com/costing(costing:projects/details/8191/equipment/6948222)","No.04 - Injection Press - 100T - 33kW - 400x400 - Max Volume 260cm3 ")</f>
        <v xml:space="preserve">No.04 - Injection Press - 100T - 33kW - 400x400 - Max Volume 260cm3 </v>
      </c>
      <c r="F3850" t="s">
        <v>4720</v>
      </c>
    </row>
    <row r="3851" spans="1:6" ht="12.75">
      <c r="A3851">
        <v>6975604</v>
      </c>
      <c r="B3851">
        <v>5388746</v>
      </c>
      <c r="C3851" t="s">
        <v>99</v>
      </c>
      <c r="D3851" t="s">
        <v>12</v>
      </c>
      <c r="E3851" s="2" t="str">
        <f>HYPERLINK("https://ibp.a2mac1.com/costing(costing:projects/details/8191/process/6975604)","Handling/Visual Inspection/Packaging")</f>
        <v>Handling/Visual Inspection/Packaging</v>
      </c>
      <c r="F3851" t="s">
        <v>4717</v>
      </c>
    </row>
    <row r="3852" spans="1:6" ht="12.75">
      <c r="A3852">
        <v>6948221</v>
      </c>
      <c r="B3852">
        <v>6975604</v>
      </c>
      <c r="C3852" t="s">
        <v>189</v>
      </c>
      <c r="D3852" t="s">
        <v>99</v>
      </c>
      <c r="E3852" s="2" t="str">
        <f>HYPERLINK("https://ibp.a2mac1.com/costing(costing:projects/details/8191/equipment/6948221)","Packaging")</f>
        <v>Packaging</v>
      </c>
      <c r="F3852" t="s">
        <v>4721</v>
      </c>
    </row>
    <row r="3853" spans="1:6" ht="12.75">
      <c r="A3853">
        <v>5388363</v>
      </c>
      <c r="B3853">
        <v>5388174</v>
      </c>
      <c r="C3853" t="s">
        <v>8</v>
      </c>
      <c r="D3853" t="s">
        <v>8</v>
      </c>
      <c r="E3853" s="2" t="str">
        <f>HYPERLINK("https://ibp.a2mac1.com/costing(costing:projects/details/8191/assembly/5388363)","Exterior Side")</f>
        <v>Exterior Side</v>
      </c>
      <c r="F3853" t="s">
        <v>4710</v>
      </c>
    </row>
    <row r="3854" spans="1:6" ht="12.75">
      <c r="A3854">
        <v>5388755</v>
      </c>
      <c r="B3854">
        <v>5388363</v>
      </c>
      <c r="C3854" t="s">
        <v>8</v>
      </c>
      <c r="D3854" t="s">
        <v>8</v>
      </c>
      <c r="E3854" s="2" t="str">
        <f>HYPERLINK("https://ibp.a2mac1.com/costing(costing:projects/details/8191/assembly/5388755)","Fastners")</f>
        <v>Fastners</v>
      </c>
      <c r="F3854" t="s">
        <v>4724</v>
      </c>
    </row>
    <row r="3855" spans="1:6" ht="12.75">
      <c r="A3855">
        <v>5319759</v>
      </c>
      <c r="B3855">
        <v>5388755</v>
      </c>
      <c r="C3855" t="s">
        <v>574</v>
      </c>
      <c r="D3855" t="s">
        <v>8</v>
      </c>
      <c r="E3855" s="2" t="str">
        <f>HYPERLINK("https://ibp.a2mac1.com/costing(costing:projects/details/8191/component/5319759)","Pin clip &gt; Dowel pin")</f>
        <v>Pin clip &gt; Dowel pin</v>
      </c>
      <c r="F3855" t="s">
        <v>4725</v>
      </c>
    </row>
    <row r="3856" spans="1:6" ht="12.75">
      <c r="A3856">
        <v>5319760</v>
      </c>
      <c r="B3856">
        <v>5388755</v>
      </c>
      <c r="C3856" t="s">
        <v>574</v>
      </c>
      <c r="D3856" t="s">
        <v>8</v>
      </c>
      <c r="E3856" s="2" t="str">
        <f>HYPERLINK("https://ibp.a2mac1.com/costing(costing:projects/details/8191/component/5319760)","Other fastener &gt; Attachment")</f>
        <v>Other fastener &gt; Attachment</v>
      </c>
      <c r="F3856" t="s">
        <v>4725</v>
      </c>
    </row>
    <row r="3857" spans="1:6" ht="12.75">
      <c r="A3857">
        <v>5388748</v>
      </c>
      <c r="B3857">
        <v>5388363</v>
      </c>
      <c r="C3857" t="s">
        <v>12</v>
      </c>
      <c r="D3857" t="s">
        <v>8</v>
      </c>
      <c r="E3857" s="2" t="str">
        <f>HYPERLINK("https://ibp.a2mac1.com/costing(costing:projects/details/8191/part/5388748)","Opening Control")</f>
        <v>Opening Control</v>
      </c>
      <c r="F3857" t="s">
        <v>4724</v>
      </c>
    </row>
    <row r="3858" spans="1:6" ht="12.75">
      <c r="A3858">
        <v>6975606</v>
      </c>
      <c r="B3858">
        <v>5388748</v>
      </c>
      <c r="C3858" t="s">
        <v>99</v>
      </c>
      <c r="D3858" t="s">
        <v>12</v>
      </c>
      <c r="E3858" s="2" t="str">
        <f>HYPERLINK("https://ibp.a2mac1.com/costing(costing:projects/details/8191/process/6975606)","Injection molding")</f>
        <v>Injection molding</v>
      </c>
      <c r="F3858" t="s">
        <v>4726</v>
      </c>
    </row>
    <row r="3859" spans="1:6" ht="12.75">
      <c r="A3859">
        <v>5320063</v>
      </c>
      <c r="B3859">
        <v>6975606</v>
      </c>
      <c r="C3859" t="s">
        <v>24</v>
      </c>
      <c r="D3859" t="s">
        <v>99</v>
      </c>
      <c r="E3859" s="2" t="str">
        <f>HYPERLINK("https://ibp.a2mac1.com/costing(costing:projects/details/8191/material/5320063)","PA 6 GF 40")</f>
        <v>PA 6 GF 40</v>
      </c>
      <c r="F3859" t="s">
        <v>4728</v>
      </c>
    </row>
    <row r="3860" spans="1:6" ht="12.75">
      <c r="A3860">
        <v>6948223</v>
      </c>
      <c r="B3860">
        <v>6975606</v>
      </c>
      <c r="C3860" t="s">
        <v>189</v>
      </c>
      <c r="D3860" t="s">
        <v>99</v>
      </c>
      <c r="E3860" s="2" t="str">
        <f>HYPERLINK("https://ibp.a2mac1.com/costing(costing:projects/details/8191/equipment/6948223)","No.03 - Injection Press - 80T - 30kW - 370x370 - Max Volume 260cm3 ")</f>
        <v xml:space="preserve">No.03 - Injection Press - 80T - 30kW - 370x370 - Max Volume 260cm3 </v>
      </c>
      <c r="F3860" t="s">
        <v>4728</v>
      </c>
    </row>
    <row r="3861" spans="1:6" ht="12.75">
      <c r="A3861">
        <v>6975607</v>
      </c>
      <c r="B3861">
        <v>5388748</v>
      </c>
      <c r="C3861" t="s">
        <v>99</v>
      </c>
      <c r="D3861" t="s">
        <v>12</v>
      </c>
      <c r="E3861" s="2" t="str">
        <f>HYPERLINK("https://ibp.a2mac1.com/costing(costing:projects/details/8191/process/6975607)","Handling/Visual Inspection/Packaging")</f>
        <v>Handling/Visual Inspection/Packaging</v>
      </c>
      <c r="F3861" t="s">
        <v>4726</v>
      </c>
    </row>
    <row r="3862" spans="1:6" ht="12.75">
      <c r="A3862">
        <v>6948224</v>
      </c>
      <c r="B3862">
        <v>6975607</v>
      </c>
      <c r="C3862" t="s">
        <v>189</v>
      </c>
      <c r="D3862" t="s">
        <v>99</v>
      </c>
      <c r="E3862" s="2" t="str">
        <f>HYPERLINK("https://ibp.a2mac1.com/costing(costing:projects/details/8191/equipment/6948224)","Packaging")</f>
        <v>Packaging</v>
      </c>
      <c r="F3862" t="s">
        <v>4729</v>
      </c>
    </row>
    <row r="3863" spans="1:6" ht="12.75">
      <c r="A3863">
        <v>5388749</v>
      </c>
      <c r="B3863">
        <v>5388363</v>
      </c>
      <c r="C3863" t="s">
        <v>12</v>
      </c>
      <c r="D3863" t="s">
        <v>8</v>
      </c>
      <c r="E3863" s="2" t="str">
        <f>HYPERLINK("https://ibp.a2mac1.com/costing(costing:projects/details/8191/part/5388749)","Opening Control Support")</f>
        <v>Opening Control Support</v>
      </c>
      <c r="F3863" t="s">
        <v>4724</v>
      </c>
    </row>
    <row r="3864" spans="1:6" ht="12.75">
      <c r="A3864">
        <v>6975608</v>
      </c>
      <c r="B3864">
        <v>5388749</v>
      </c>
      <c r="C3864" t="s">
        <v>99</v>
      </c>
      <c r="D3864" t="s">
        <v>12</v>
      </c>
      <c r="E3864" s="2" t="str">
        <f>HYPERLINK("https://ibp.a2mac1.com/costing(costing:projects/details/8191/process/6975608)","Injection molding")</f>
        <v>Injection molding</v>
      </c>
      <c r="F3864" t="s">
        <v>4732</v>
      </c>
    </row>
    <row r="3865" spans="1:6" ht="12.75">
      <c r="A3865">
        <v>5320064</v>
      </c>
      <c r="B3865">
        <v>6975608</v>
      </c>
      <c r="C3865" t="s">
        <v>24</v>
      </c>
      <c r="D3865" t="s">
        <v>99</v>
      </c>
      <c r="E3865" s="2" t="str">
        <f>HYPERLINK("https://ibp.a2mac1.com/costing(costing:projects/details/8191/material/5320064)","PBT-GF30")</f>
        <v>PBT-GF30</v>
      </c>
      <c r="F3865" t="s">
        <v>4735</v>
      </c>
    </row>
    <row r="3866" spans="1:6" ht="12.75">
      <c r="A3866">
        <v>6948225</v>
      </c>
      <c r="B3866">
        <v>6975608</v>
      </c>
      <c r="C3866" t="s">
        <v>189</v>
      </c>
      <c r="D3866" t="s">
        <v>99</v>
      </c>
      <c r="E3866" s="2" t="str">
        <f>HYPERLINK("https://ibp.a2mac1.com/costing(costing:projects/details/8191/equipment/6948225)","No.06 - Injection Press - 200T - 45kW - 510x510 - Max Volume 624cm3 ")</f>
        <v xml:space="preserve">No.06 - Injection Press - 200T - 45kW - 510x510 - Max Volume 624cm3 </v>
      </c>
      <c r="F3866" t="s">
        <v>4735</v>
      </c>
    </row>
    <row r="3867" spans="1:6" ht="12.75">
      <c r="A3867">
        <v>6975609</v>
      </c>
      <c r="B3867">
        <v>5388749</v>
      </c>
      <c r="C3867" t="s">
        <v>99</v>
      </c>
      <c r="D3867" t="s">
        <v>12</v>
      </c>
      <c r="E3867" s="2" t="str">
        <f>HYPERLINK("https://ibp.a2mac1.com/costing(costing:projects/details/8191/process/6975609)","Handling/Visual Inspection/Packaging")</f>
        <v>Handling/Visual Inspection/Packaging</v>
      </c>
      <c r="F3867" t="s">
        <v>4732</v>
      </c>
    </row>
    <row r="3868" spans="1:6" ht="12.75">
      <c r="A3868">
        <v>6948226</v>
      </c>
      <c r="B3868">
        <v>6975609</v>
      </c>
      <c r="C3868" t="s">
        <v>189</v>
      </c>
      <c r="D3868" t="s">
        <v>99</v>
      </c>
      <c r="E3868" s="2" t="str">
        <f>HYPERLINK("https://ibp.a2mac1.com/costing(costing:projects/details/8191/equipment/6948226)","Packaging")</f>
        <v>Packaging</v>
      </c>
      <c r="F3868" t="s">
        <v>4736</v>
      </c>
    </row>
    <row r="3869" spans="1:6" ht="12.75">
      <c r="A3869">
        <v>5388750</v>
      </c>
      <c r="B3869">
        <v>5388363</v>
      </c>
      <c r="C3869" t="s">
        <v>12</v>
      </c>
      <c r="D3869" t="s">
        <v>8</v>
      </c>
      <c r="E3869" s="2" t="str">
        <f>HYPERLINK("https://ibp.a2mac1.com/costing(costing:projects/details/8191/part/5388750)","2nd Opening Control Support")</f>
        <v>2nd Opening Control Support</v>
      </c>
      <c r="F3869" t="s">
        <v>4724</v>
      </c>
    </row>
    <row r="3870" spans="1:6" ht="12.75">
      <c r="A3870">
        <v>6975611</v>
      </c>
      <c r="B3870">
        <v>5388750</v>
      </c>
      <c r="C3870" t="s">
        <v>99</v>
      </c>
      <c r="D3870" t="s">
        <v>12</v>
      </c>
      <c r="E3870" s="2" t="str">
        <f>HYPERLINK("https://ibp.a2mac1.com/costing(costing:projects/details/8191/process/6975611)","Injection molding")</f>
        <v>Injection molding</v>
      </c>
      <c r="F3870" t="s">
        <v>4739</v>
      </c>
    </row>
    <row r="3871" spans="1:6" ht="12.75">
      <c r="A3871">
        <v>5320065</v>
      </c>
      <c r="B3871">
        <v>6975611</v>
      </c>
      <c r="C3871" t="s">
        <v>24</v>
      </c>
      <c r="D3871" t="s">
        <v>99</v>
      </c>
      <c r="E3871" s="2" t="str">
        <f>HYPERLINK("https://ibp.a2mac1.com/costing(costing:projects/details/8191/material/5320065)","PA6-GF30")</f>
        <v>PA6-GF30</v>
      </c>
      <c r="F3871" t="s">
        <v>4742</v>
      </c>
    </row>
    <row r="3872" spans="1:6" ht="12.75">
      <c r="A3872">
        <v>6948228</v>
      </c>
      <c r="B3872">
        <v>6975611</v>
      </c>
      <c r="C3872" t="s">
        <v>189</v>
      </c>
      <c r="D3872" t="s">
        <v>99</v>
      </c>
      <c r="E3872" s="2" t="str">
        <f>HYPERLINK("https://ibp.a2mac1.com/costing(costing:projects/details/8191/equipment/6948228)","No.02 - Injection Press - 60T - 25kW - 320x320 - Max Volume 164cm3 ")</f>
        <v xml:space="preserve">No.02 - Injection Press - 60T - 25kW - 320x320 - Max Volume 164cm3 </v>
      </c>
      <c r="F3872" t="s">
        <v>4742</v>
      </c>
    </row>
    <row r="3873" spans="1:6" ht="12.75">
      <c r="A3873">
        <v>6975610</v>
      </c>
      <c r="B3873">
        <v>5388750</v>
      </c>
      <c r="C3873" t="s">
        <v>99</v>
      </c>
      <c r="D3873" t="s">
        <v>12</v>
      </c>
      <c r="E3873" s="2" t="str">
        <f>HYPERLINK("https://ibp.a2mac1.com/costing(costing:projects/details/8191/process/6975610)","Handling/Visual Inspection/Packaging")</f>
        <v>Handling/Visual Inspection/Packaging</v>
      </c>
      <c r="F3873" t="s">
        <v>4739</v>
      </c>
    </row>
    <row r="3874" spans="1:6" ht="12.75">
      <c r="A3874">
        <v>6948227</v>
      </c>
      <c r="B3874">
        <v>6975610</v>
      </c>
      <c r="C3874" t="s">
        <v>189</v>
      </c>
      <c r="D3874" t="s">
        <v>99</v>
      </c>
      <c r="E3874" s="2" t="str">
        <f>HYPERLINK("https://ibp.a2mac1.com/costing(costing:projects/details/8191/equipment/6948227)","Packaging")</f>
        <v>Packaging</v>
      </c>
      <c r="F3874" t="s">
        <v>4743</v>
      </c>
    </row>
    <row r="3875" spans="1:6" ht="12.75">
      <c r="A3875">
        <v>5388751</v>
      </c>
      <c r="B3875">
        <v>5388363</v>
      </c>
      <c r="C3875" t="s">
        <v>12</v>
      </c>
      <c r="D3875" t="s">
        <v>8</v>
      </c>
      <c r="E3875" s="2" t="str">
        <f>HYPERLINK("https://ibp.a2mac1.com/costing(costing:projects/details/8191/part/5388751)","Bezel")</f>
        <v>Bezel</v>
      </c>
      <c r="F3875" t="s">
        <v>4724</v>
      </c>
    </row>
    <row r="3876" spans="1:6" ht="12.75">
      <c r="A3876">
        <v>6975612</v>
      </c>
      <c r="B3876">
        <v>5388751</v>
      </c>
      <c r="C3876" t="s">
        <v>99</v>
      </c>
      <c r="D3876" t="s">
        <v>12</v>
      </c>
      <c r="E3876" s="2" t="str">
        <f>HYPERLINK("https://ibp.a2mac1.com/costing(costing:projects/details/8191/process/6975612)","Injection molding")</f>
        <v>Injection molding</v>
      </c>
      <c r="F3876" t="s">
        <v>4745</v>
      </c>
    </row>
    <row r="3877" spans="1:6" ht="12.75">
      <c r="A3877">
        <v>5320066</v>
      </c>
      <c r="B3877">
        <v>6975612</v>
      </c>
      <c r="C3877" t="s">
        <v>24</v>
      </c>
      <c r="D3877" t="s">
        <v>99</v>
      </c>
      <c r="E3877" s="2" t="str">
        <f>HYPERLINK("https://ibp.a2mac1.com/costing(costing:projects/details/8191/material/5320066)","PC-ABS")</f>
        <v>PC-ABS</v>
      </c>
      <c r="F3877" t="s">
        <v>4748</v>
      </c>
    </row>
    <row r="3878" spans="1:6" ht="12.75">
      <c r="A3878">
        <v>6948229</v>
      </c>
      <c r="B3878">
        <v>6975612</v>
      </c>
      <c r="C3878" t="s">
        <v>189</v>
      </c>
      <c r="D3878" t="s">
        <v>99</v>
      </c>
      <c r="E3878" s="2" t="str">
        <f>HYPERLINK("https://ibp.a2mac1.com/costing(costing:projects/details/8191/equipment/6948229)","Equipment (Injection Molding)")</f>
        <v>Equipment (Injection Molding)</v>
      </c>
      <c r="F3878" t="s">
        <v>4748</v>
      </c>
    </row>
    <row r="3879" spans="1:6" ht="12.75">
      <c r="A3879">
        <v>5388752</v>
      </c>
      <c r="B3879">
        <v>5388363</v>
      </c>
      <c r="C3879" t="s">
        <v>12</v>
      </c>
      <c r="D3879" t="s">
        <v>8</v>
      </c>
      <c r="E3879" s="2" t="str">
        <f>HYPERLINK("https://ibp.a2mac1.com/costing(costing:projects/details/8191/part/5388752)","Welcome Light")</f>
        <v>Welcome Light</v>
      </c>
      <c r="F3879" t="s">
        <v>4724</v>
      </c>
    </row>
    <row r="3880" spans="1:6" ht="12.75">
      <c r="A3880">
        <v>5388753</v>
      </c>
      <c r="B3880">
        <v>5388363</v>
      </c>
      <c r="C3880" t="s">
        <v>12</v>
      </c>
      <c r="D3880" t="s">
        <v>8</v>
      </c>
      <c r="E3880" s="2" t="str">
        <f>HYPERLINK("https://ibp.a2mac1.com/costing(costing:projects/details/8191/part/5388753)","Unlocking Contactor")</f>
        <v>Unlocking Contactor</v>
      </c>
      <c r="F3880" t="s">
        <v>4724</v>
      </c>
    </row>
    <row r="3881" spans="1:6" ht="12.75">
      <c r="A3881">
        <v>5388754</v>
      </c>
      <c r="B3881">
        <v>5388363</v>
      </c>
      <c r="C3881" t="s">
        <v>12</v>
      </c>
      <c r="D3881" t="s">
        <v>8</v>
      </c>
      <c r="E3881" s="2" t="str">
        <f>HYPERLINK("https://ibp.a2mac1.com/costing(costing:projects/details/8191/part/5388754)","Seal")</f>
        <v>Seal</v>
      </c>
      <c r="F3881" t="s">
        <v>4724</v>
      </c>
    </row>
    <row r="3882" spans="1:6" ht="12.75">
      <c r="A3882">
        <v>6975613</v>
      </c>
      <c r="B3882">
        <v>5388754</v>
      </c>
      <c r="C3882" t="s">
        <v>99</v>
      </c>
      <c r="D3882" t="s">
        <v>12</v>
      </c>
      <c r="E3882" s="2" t="str">
        <f>HYPERLINK("https://ibp.a2mac1.com/costing(costing:projects/details/8191/process/6975613)","Injection molding")</f>
        <v>Injection molding</v>
      </c>
      <c r="F3882" t="s">
        <v>4753</v>
      </c>
    </row>
    <row r="3883" spans="1:6" ht="12.75">
      <c r="A3883">
        <v>5320067</v>
      </c>
      <c r="B3883">
        <v>6975613</v>
      </c>
      <c r="C3883" t="s">
        <v>24</v>
      </c>
      <c r="D3883" t="s">
        <v>99</v>
      </c>
      <c r="E3883" s="2" t="str">
        <f>HYPERLINK("https://ibp.a2mac1.com/costing(costing:projects/details/8191/material/5320067)","TPE")</f>
        <v>TPE</v>
      </c>
      <c r="F3883" t="s">
        <v>4756</v>
      </c>
    </row>
    <row r="3884" spans="1:6" ht="12.75">
      <c r="A3884">
        <v>5320068</v>
      </c>
      <c r="B3884">
        <v>6975613</v>
      </c>
      <c r="C3884" t="s">
        <v>24</v>
      </c>
      <c r="D3884" t="s">
        <v>99</v>
      </c>
      <c r="E3884" s="2" t="str">
        <f>HYPERLINK("https://ibp.a2mac1.com/costing(costing:projects/details/8191/material/5320068)","PP")</f>
        <v>PP</v>
      </c>
      <c r="F3884" t="s">
        <v>4756</v>
      </c>
    </row>
    <row r="3885" spans="1:6" ht="12.75">
      <c r="A3885">
        <v>6948230</v>
      </c>
      <c r="B3885">
        <v>6975613</v>
      </c>
      <c r="C3885" t="s">
        <v>189</v>
      </c>
      <c r="D3885" t="s">
        <v>99</v>
      </c>
      <c r="E3885" s="2" t="str">
        <f>HYPERLINK("https://ibp.a2mac1.com/costing(costing:projects/details/8191/equipment/6948230)","Equipment (Injection Molding)")</f>
        <v>Equipment (Injection Molding)</v>
      </c>
      <c r="F3885" t="s">
        <v>4756</v>
      </c>
    </row>
    <row r="3886" spans="1:6" ht="12.75">
      <c r="A3886">
        <v>6948231</v>
      </c>
      <c r="B3886">
        <v>6975613</v>
      </c>
      <c r="C3886" t="s">
        <v>189</v>
      </c>
      <c r="D3886" t="s">
        <v>99</v>
      </c>
      <c r="E3886" s="2" t="str">
        <f>HYPERLINK("https://ibp.a2mac1.com/costing(costing:projects/details/8191/equipment/6948231)","Equipment (Injection Molding)")</f>
        <v>Equipment (Injection Molding)</v>
      </c>
      <c r="F3886" t="s">
        <v>4756</v>
      </c>
    </row>
    <row r="3887" spans="1:6" ht="12.75">
      <c r="A3887">
        <v>6975380</v>
      </c>
      <c r="B3887">
        <v>5388363</v>
      </c>
      <c r="C3887" t="s">
        <v>99</v>
      </c>
      <c r="D3887" t="s">
        <v>8</v>
      </c>
      <c r="E3887" s="2" t="str">
        <f>HYPERLINK("https://ibp.a2mac1.com/costing(costing:projects/details/8191/process/6975380)","Assembly")</f>
        <v>Assembly</v>
      </c>
      <c r="F3887" t="s">
        <v>4724</v>
      </c>
    </row>
    <row r="3888" spans="1:6" ht="12.75">
      <c r="A3888">
        <v>6947957</v>
      </c>
      <c r="B3888">
        <v>6975380</v>
      </c>
      <c r="C3888" t="s">
        <v>189</v>
      </c>
      <c r="D3888" t="s">
        <v>99</v>
      </c>
      <c r="E3888" s="2" t="str">
        <f>HYPERLINK("https://ibp.a2mac1.com/costing(costing:projects/details/8191/equipment/6947957)","Assembly line")</f>
        <v>Assembly line</v>
      </c>
      <c r="F3888" t="s">
        <v>4759</v>
      </c>
    </row>
    <row r="3889" spans="1:6" ht="12.75">
      <c r="A3889">
        <v>5388364</v>
      </c>
      <c r="B3889">
        <v>5388174</v>
      </c>
      <c r="C3889" t="s">
        <v>8</v>
      </c>
      <c r="D3889" t="s">
        <v>8</v>
      </c>
      <c r="E3889" s="2" t="str">
        <f>HYPERLINK("https://ibp.a2mac1.com/costing(costing:projects/details/8191/assembly/5388364)","Fastners")</f>
        <v>Fastners</v>
      </c>
      <c r="F3889" t="s">
        <v>4710</v>
      </c>
    </row>
    <row r="3890" spans="1:6" ht="12.75">
      <c r="A3890">
        <v>5319551</v>
      </c>
      <c r="B3890">
        <v>5388364</v>
      </c>
      <c r="C3890" t="s">
        <v>574</v>
      </c>
      <c r="D3890" t="s">
        <v>8</v>
      </c>
      <c r="E3890" s="2" t="str">
        <f>HYPERLINK("https://ibp.a2mac1.com/costing(costing:projects/details/8191/component/5319551)","Screw &gt; 12 point socket head cap screw [2]")</f>
        <v>Screw &gt; 12 point socket head cap screw [2]</v>
      </c>
      <c r="F3890" t="s">
        <v>4761</v>
      </c>
    </row>
    <row r="3891" spans="1:6" ht="12.75">
      <c r="A3891">
        <v>5319552</v>
      </c>
      <c r="B3891">
        <v>5388364</v>
      </c>
      <c r="C3891" t="s">
        <v>574</v>
      </c>
      <c r="D3891" t="s">
        <v>8</v>
      </c>
      <c r="E3891" s="2" t="str">
        <f>HYPERLINK("https://ibp.a2mac1.com/costing(costing:projects/details/8191/component/5319552)","Screw &gt; Torx socket head cap screw")</f>
        <v>Screw &gt; Torx socket head cap screw</v>
      </c>
      <c r="F3891" t="s">
        <v>4761</v>
      </c>
    </row>
    <row r="3892" spans="1:6" ht="12.75">
      <c r="A3892">
        <v>5319553</v>
      </c>
      <c r="B3892">
        <v>5388364</v>
      </c>
      <c r="C3892" t="s">
        <v>574</v>
      </c>
      <c r="D3892" t="s">
        <v>8</v>
      </c>
      <c r="E3892" s="2" t="str">
        <f>HYPERLINK("https://ibp.a2mac1.com/costing(costing:projects/details/8191/component/5319553)","Screw &gt; 12 point socket head cap screw")</f>
        <v>Screw &gt; 12 point socket head cap screw</v>
      </c>
      <c r="F3892" t="s">
        <v>4761</v>
      </c>
    </row>
    <row r="3893" spans="1:6" ht="12.75">
      <c r="A3893">
        <v>5388356</v>
      </c>
      <c r="B3893">
        <v>5388174</v>
      </c>
      <c r="C3893" t="s">
        <v>12</v>
      </c>
      <c r="D3893" t="s">
        <v>8</v>
      </c>
      <c r="E3893" s="2" t="str">
        <f>HYPERLINK("https://ibp.a2mac1.com/costing(costing:projects/details/8191/part/5388356)","Door Latch")</f>
        <v>Door Latch</v>
      </c>
      <c r="F3893" t="s">
        <v>4710</v>
      </c>
    </row>
    <row r="3894" spans="1:6" ht="12.75">
      <c r="A3894">
        <v>6975371</v>
      </c>
      <c r="B3894">
        <v>5388356</v>
      </c>
      <c r="C3894" t="s">
        <v>99</v>
      </c>
      <c r="D3894" t="s">
        <v>12</v>
      </c>
      <c r="E3894" s="2" t="str">
        <f>HYPERLINK("https://ibp.a2mac1.com/costing(costing:projects/details/8191/process/6975371)","Process")</f>
        <v>Process</v>
      </c>
      <c r="F3894" t="s">
        <v>4762</v>
      </c>
    </row>
    <row r="3895" spans="1:6" ht="12.75">
      <c r="A3895">
        <v>6947948</v>
      </c>
      <c r="B3895">
        <v>6975371</v>
      </c>
      <c r="C3895" t="s">
        <v>189</v>
      </c>
      <c r="D3895" t="s">
        <v>99</v>
      </c>
      <c r="E3895" s="2" t="str">
        <f>HYPERLINK("https://ibp.a2mac1.com/costing(costing:projects/details/8191/equipment/6947948)","Dummy Machine (PCBA+Final Assembly Line)")</f>
        <v>Dummy Machine (PCBA+Final Assembly Line)</v>
      </c>
      <c r="F3895" t="s">
        <v>4763</v>
      </c>
    </row>
    <row r="3896" spans="1:6" ht="12.75">
      <c r="A3896">
        <v>5319549</v>
      </c>
      <c r="B3896">
        <v>5388356</v>
      </c>
      <c r="C3896" t="s">
        <v>574</v>
      </c>
      <c r="D3896" t="s">
        <v>12</v>
      </c>
      <c r="E3896" s="2" t="str">
        <f>HYPERLINK("https://ibp.a2mac1.com/costing(costing:projects/details/8191/component/5319549)","Mechanics")</f>
        <v>Mechanics</v>
      </c>
      <c r="F3896" t="s">
        <v>4762</v>
      </c>
    </row>
    <row r="3897" spans="1:6" ht="12.75">
      <c r="A3897">
        <v>5319550</v>
      </c>
      <c r="B3897">
        <v>5388356</v>
      </c>
      <c r="C3897" t="s">
        <v>574</v>
      </c>
      <c r="D3897" t="s">
        <v>12</v>
      </c>
      <c r="E3897" s="2" t="str">
        <f>HYPERLINK("https://ibp.a2mac1.com/costing(costing:projects/details/8191/component/5319550)","Electronics")</f>
        <v>Electronics</v>
      </c>
      <c r="F3897" t="s">
        <v>4762</v>
      </c>
    </row>
    <row r="3898" spans="1:6" ht="12.75">
      <c r="A3898">
        <v>5388357</v>
      </c>
      <c r="B3898">
        <v>5388174</v>
      </c>
      <c r="C3898" t="s">
        <v>12</v>
      </c>
      <c r="D3898" t="s">
        <v>8</v>
      </c>
      <c r="E3898" s="2" t="str">
        <f>HYPERLINK("https://ibp.a2mac1.com/costing(costing:projects/details/8191/part/5388357)","Door Striker")</f>
        <v>Door Striker</v>
      </c>
      <c r="F3898" t="s">
        <v>4710</v>
      </c>
    </row>
    <row r="3899" spans="1:6" ht="12.75">
      <c r="A3899">
        <v>6975373</v>
      </c>
      <c r="B3899">
        <v>5388357</v>
      </c>
      <c r="C3899" t="s">
        <v>99</v>
      </c>
      <c r="D3899" t="s">
        <v>12</v>
      </c>
      <c r="E3899" s="2" t="str">
        <f>HYPERLINK("https://ibp.a2mac1.com/costing(costing:projects/details/8191/process/6975373)","Stamping ")</f>
        <v xml:space="preserve">Stamping </v>
      </c>
      <c r="F3899" t="s">
        <v>4768</v>
      </c>
    </row>
    <row r="3900" spans="1:6" ht="12.75">
      <c r="A3900">
        <v>5319737</v>
      </c>
      <c r="B3900">
        <v>6975373</v>
      </c>
      <c r="C3900" t="s">
        <v>24</v>
      </c>
      <c r="D3900" t="s">
        <v>99</v>
      </c>
      <c r="E3900" s="2" t="str">
        <f>HYPERLINK("https://ibp.a2mac1.com/costing(costing:projects/details/8191/material/5319737)","Standard Structural Steel sheet")</f>
        <v>Standard Structural Steel sheet</v>
      </c>
      <c r="F3900" t="s">
        <v>4770</v>
      </c>
    </row>
    <row r="3901" spans="1:6" ht="12.75">
      <c r="A3901">
        <v>6947950</v>
      </c>
      <c r="B3901">
        <v>6975373</v>
      </c>
      <c r="C3901" t="s">
        <v>189</v>
      </c>
      <c r="D3901" t="s">
        <v>99</v>
      </c>
      <c r="E3901" s="2" t="str">
        <f>HYPERLINK("https://ibp.a2mac1.com/costing(costing:projects/details/8191/equipment/6947950)","Equipment (Stamping)")</f>
        <v>Equipment (Stamping)</v>
      </c>
      <c r="F3901" t="s">
        <v>4770</v>
      </c>
    </row>
    <row r="3902" spans="1:6" ht="12.75">
      <c r="A3902">
        <v>6975374</v>
      </c>
      <c r="B3902">
        <v>5388357</v>
      </c>
      <c r="C3902" t="s">
        <v>99</v>
      </c>
      <c r="D3902" t="s">
        <v>12</v>
      </c>
      <c r="E3902" s="2" t="str">
        <f>HYPERLINK("https://ibp.a2mac1.com/costing(costing:projects/details/8191/process/6975374)","Wire Bending")</f>
        <v>Wire Bending</v>
      </c>
      <c r="F3902" t="s">
        <v>4768</v>
      </c>
    </row>
    <row r="3903" spans="1:6" ht="12.75">
      <c r="A3903">
        <v>6947951</v>
      </c>
      <c r="B3903">
        <v>6975374</v>
      </c>
      <c r="C3903" t="s">
        <v>189</v>
      </c>
      <c r="D3903" t="s">
        <v>99</v>
      </c>
      <c r="E3903" s="2" t="str">
        <f>HYPERLINK("https://ibp.a2mac1.com/costing(costing:projects/details/8191/equipment/6947951)","No.01 - Generic CN Wire Bending ")</f>
        <v xml:space="preserve">No.01 - Generic CN Wire Bending </v>
      </c>
      <c r="F3903" t="s">
        <v>4773</v>
      </c>
    </row>
    <row r="3904" spans="1:6" ht="12.75">
      <c r="A3904">
        <v>6975372</v>
      </c>
      <c r="B3904">
        <v>5388357</v>
      </c>
      <c r="C3904" t="s">
        <v>99</v>
      </c>
      <c r="D3904" t="s">
        <v>12</v>
      </c>
      <c r="E3904" s="2" t="str">
        <f>HYPERLINK("https://ibp.a2mac1.com/costing(costing:projects/details/8191/process/6975372)","Press fit")</f>
        <v>Press fit</v>
      </c>
      <c r="F3904" t="s">
        <v>4768</v>
      </c>
    </row>
    <row r="3905" spans="1:6" ht="12.75">
      <c r="A3905">
        <v>6947949</v>
      </c>
      <c r="B3905">
        <v>6975372</v>
      </c>
      <c r="C3905" t="s">
        <v>189</v>
      </c>
      <c r="D3905" t="s">
        <v>99</v>
      </c>
      <c r="E3905" s="2" t="str">
        <f>HYPERLINK("https://ibp.a2mac1.com/costing(costing:projects/details/8191/equipment/6947949)","No.04 - Press Fit Assembly ")</f>
        <v xml:space="preserve">No.04 - Press Fit Assembly </v>
      </c>
      <c r="F3905" t="s">
        <v>4774</v>
      </c>
    </row>
    <row r="3906" spans="1:6" ht="12.75">
      <c r="A3906">
        <v>5388358</v>
      </c>
      <c r="B3906">
        <v>5388174</v>
      </c>
      <c r="C3906" t="s">
        <v>12</v>
      </c>
      <c r="D3906" t="s">
        <v>8</v>
      </c>
      <c r="E3906" s="2" t="str">
        <f>HYPERLINK("https://ibp.a2mac1.com/costing(costing:projects/details/8191/part/5388358)","Lock Cylinder")</f>
        <v>Lock Cylinder</v>
      </c>
      <c r="F3906" t="s">
        <v>4710</v>
      </c>
    </row>
    <row r="3907" spans="1:6" ht="12.75">
      <c r="A3907">
        <v>6975375</v>
      </c>
      <c r="B3907">
        <v>5388358</v>
      </c>
      <c r="C3907" t="s">
        <v>99</v>
      </c>
      <c r="D3907" t="s">
        <v>12</v>
      </c>
      <c r="E3907" s="2" t="str">
        <f>HYPERLINK("https://ibp.a2mac1.com/costing(costing:projects/details/8191/process/6975375)","Casting")</f>
        <v>Casting</v>
      </c>
      <c r="F3907" t="s">
        <v>4776</v>
      </c>
    </row>
    <row r="3908" spans="1:6" ht="12.75">
      <c r="A3908">
        <v>5319738</v>
      </c>
      <c r="B3908">
        <v>6975375</v>
      </c>
      <c r="C3908" t="s">
        <v>24</v>
      </c>
      <c r="D3908" t="s">
        <v>99</v>
      </c>
      <c r="E3908" s="2" t="str">
        <f>HYPERLINK("https://ibp.a2mac1.com/costing(costing:projects/details/8191/material/5319738)","ZL0410 / ZnAl4Cu1 / Z35531 / Z-A4UI / ZX03 / 2.2141.05 / Zamak5 (Ingot)")</f>
        <v>ZL0410 / ZnAl4Cu1 / Z35531 / Z-A4UI / ZX03 / 2.2141.05 / Zamak5 (Ingot)</v>
      </c>
      <c r="F3908" t="s">
        <v>4779</v>
      </c>
    </row>
    <row r="3909" spans="1:6" ht="12.75">
      <c r="A3909">
        <v>6947952</v>
      </c>
      <c r="B3909">
        <v>6975375</v>
      </c>
      <c r="C3909" t="s">
        <v>189</v>
      </c>
      <c r="D3909" t="s">
        <v>99</v>
      </c>
      <c r="E3909" s="2" t="str">
        <f>HYPERLINK("https://ibp.a2mac1.com/costing(costing:projects/details/8191/equipment/6947952)","Equipment (Casting)")</f>
        <v>Equipment (Casting)</v>
      </c>
      <c r="F3909" t="s">
        <v>4779</v>
      </c>
    </row>
    <row r="3910" spans="1:6" ht="12.75">
      <c r="A3910">
        <v>5388359</v>
      </c>
      <c r="B3910">
        <v>5388174</v>
      </c>
      <c r="C3910" t="s">
        <v>12</v>
      </c>
      <c r="D3910" t="s">
        <v>8</v>
      </c>
      <c r="E3910" s="2" t="str">
        <f>HYPERLINK("https://ibp.a2mac1.com/costing(costing:projects/details/8191/part/5388359)","Lock Cylinder Support")</f>
        <v>Lock Cylinder Support</v>
      </c>
      <c r="F3910" t="s">
        <v>4710</v>
      </c>
    </row>
    <row r="3911" spans="1:6" ht="12.75">
      <c r="A3911">
        <v>6975376</v>
      </c>
      <c r="B3911">
        <v>5388359</v>
      </c>
      <c r="C3911" t="s">
        <v>99</v>
      </c>
      <c r="D3911" t="s">
        <v>12</v>
      </c>
      <c r="E3911" s="2" t="str">
        <f>HYPERLINK("https://ibp.a2mac1.com/costing(costing:projects/details/8191/process/6975376)","Stamping ")</f>
        <v xml:space="preserve">Stamping </v>
      </c>
      <c r="F3911" t="s">
        <v>4782</v>
      </c>
    </row>
    <row r="3912" spans="1:6" ht="12.75">
      <c r="A3912">
        <v>5319739</v>
      </c>
      <c r="B3912">
        <v>6975376</v>
      </c>
      <c r="C3912" t="s">
        <v>24</v>
      </c>
      <c r="D3912" t="s">
        <v>99</v>
      </c>
      <c r="E3912" s="2" t="str">
        <f>HYPERLINK("https://ibp.a2mac1.com/costing(costing:projects/details/8191/material/5319739)","Standard Structural Steel sheet")</f>
        <v>Standard Structural Steel sheet</v>
      </c>
      <c r="F3912" t="s">
        <v>4783</v>
      </c>
    </row>
    <row r="3913" spans="1:6" ht="12.75">
      <c r="A3913">
        <v>6947953</v>
      </c>
      <c r="B3913">
        <v>6975376</v>
      </c>
      <c r="C3913" t="s">
        <v>189</v>
      </c>
      <c r="D3913" t="s">
        <v>99</v>
      </c>
      <c r="E3913" s="2" t="str">
        <f>HYPERLINK("https://ibp.a2mac1.com/costing(costing:projects/details/8191/equipment/6947953)","Equipment (Stamping)")</f>
        <v>Equipment (Stamping)</v>
      </c>
      <c r="F3913" t="s">
        <v>4783</v>
      </c>
    </row>
    <row r="3914" spans="1:6" ht="12.75">
      <c r="A3914">
        <v>5388360</v>
      </c>
      <c r="B3914">
        <v>5388174</v>
      </c>
      <c r="C3914" t="s">
        <v>12</v>
      </c>
      <c r="D3914" t="s">
        <v>8</v>
      </c>
      <c r="E3914" s="2" t="str">
        <f>HYPERLINK("https://ibp.a2mac1.com/costing(costing:projects/details/8191/part/5388360)","Lock Cylinder Trim Cover")</f>
        <v>Lock Cylinder Trim Cover</v>
      </c>
      <c r="F3914" t="s">
        <v>4710</v>
      </c>
    </row>
    <row r="3915" spans="1:6" ht="12.75">
      <c r="A3915">
        <v>6975378</v>
      </c>
      <c r="B3915">
        <v>5388360</v>
      </c>
      <c r="C3915" t="s">
        <v>99</v>
      </c>
      <c r="D3915" t="s">
        <v>12</v>
      </c>
      <c r="E3915" s="2" t="str">
        <f>HYPERLINK("https://ibp.a2mac1.com/costing(costing:projects/details/8191/process/6975378)","Injection molding")</f>
        <v>Injection molding</v>
      </c>
      <c r="F3915" t="s">
        <v>4785</v>
      </c>
    </row>
    <row r="3916" spans="1:6" ht="12.75">
      <c r="A3916">
        <v>5319740</v>
      </c>
      <c r="B3916">
        <v>6975378</v>
      </c>
      <c r="C3916" t="s">
        <v>24</v>
      </c>
      <c r="D3916" t="s">
        <v>99</v>
      </c>
      <c r="E3916" s="2" t="str">
        <f>HYPERLINK("https://ibp.a2mac1.com/costing(costing:projects/details/8191/material/5319740)","ABS-PC")</f>
        <v>ABS-PC</v>
      </c>
      <c r="F3916" t="s">
        <v>4787</v>
      </c>
    </row>
    <row r="3917" spans="1:6" ht="12.75">
      <c r="A3917">
        <v>6947955</v>
      </c>
      <c r="B3917">
        <v>6975378</v>
      </c>
      <c r="C3917" t="s">
        <v>189</v>
      </c>
      <c r="D3917" t="s">
        <v>99</v>
      </c>
      <c r="E3917" s="2" t="str">
        <f>HYPERLINK("https://ibp.a2mac1.com/costing(costing:projects/details/8191/equipment/6947955)","No.01 - Injection Press - 40T - 18kW - 270x270 - Max Volume 128cm3 ")</f>
        <v xml:space="preserve">No.01 - Injection Press - 40T - 18kW - 270x270 - Max Volume 128cm3 </v>
      </c>
      <c r="F3917" t="s">
        <v>4787</v>
      </c>
    </row>
    <row r="3918" spans="1:6" ht="12.75">
      <c r="A3918">
        <v>6975377</v>
      </c>
      <c r="B3918">
        <v>5388360</v>
      </c>
      <c r="C3918" t="s">
        <v>99</v>
      </c>
      <c r="D3918" t="s">
        <v>12</v>
      </c>
      <c r="E3918" s="2" t="str">
        <f>HYPERLINK("https://ibp.a2mac1.com/costing(costing:projects/details/8191/process/6975377)","Handling/Visual Inspection/Packaging")</f>
        <v>Handling/Visual Inspection/Packaging</v>
      </c>
      <c r="F3918" t="s">
        <v>4785</v>
      </c>
    </row>
    <row r="3919" spans="1:6" ht="12.75">
      <c r="A3919">
        <v>6947954</v>
      </c>
      <c r="B3919">
        <v>6975377</v>
      </c>
      <c r="C3919" t="s">
        <v>189</v>
      </c>
      <c r="D3919" t="s">
        <v>99</v>
      </c>
      <c r="E3919" s="2" t="str">
        <f>HYPERLINK("https://ibp.a2mac1.com/costing(costing:projects/details/8191/equipment/6947954)","Packaging")</f>
        <v>Packaging</v>
      </c>
      <c r="F3919" t="s">
        <v>4788</v>
      </c>
    </row>
    <row r="3920" spans="1:6" ht="12.75">
      <c r="A3920">
        <v>5388361</v>
      </c>
      <c r="B3920">
        <v>5388174</v>
      </c>
      <c r="C3920" t="s">
        <v>12</v>
      </c>
      <c r="D3920" t="s">
        <v>8</v>
      </c>
      <c r="E3920" s="2" t="str">
        <f>HYPERLINK("https://ibp.a2mac1.com/costing(costing:projects/details/8191/part/5388361)","Lock Cylinder Mechanism")</f>
        <v>Lock Cylinder Mechanism</v>
      </c>
      <c r="F3920" t="s">
        <v>4710</v>
      </c>
    </row>
    <row r="3921" spans="1:6" ht="12.75">
      <c r="A3921">
        <v>6975379</v>
      </c>
      <c r="B3921">
        <v>5388361</v>
      </c>
      <c r="C3921" t="s">
        <v>99</v>
      </c>
      <c r="D3921" t="s">
        <v>12</v>
      </c>
      <c r="E3921" s="2" t="str">
        <f>HYPERLINK("https://ibp.a2mac1.com/costing(costing:projects/details/8191/process/6975379)","Stamping ")</f>
        <v xml:space="preserve">Stamping </v>
      </c>
      <c r="F3921" t="s">
        <v>4790</v>
      </c>
    </row>
    <row r="3922" spans="1:6" ht="12.75">
      <c r="A3922">
        <v>5319756</v>
      </c>
      <c r="B3922">
        <v>6975379</v>
      </c>
      <c r="C3922" t="s">
        <v>24</v>
      </c>
      <c r="D3922" t="s">
        <v>99</v>
      </c>
      <c r="E3922" s="2" t="str">
        <f>HYPERLINK("https://ibp.a2mac1.com/costing(costing:projects/details/8191/material/5319756)","Standard Structural Steel sheet")</f>
        <v>Standard Structural Steel sheet</v>
      </c>
      <c r="F3922" t="s">
        <v>4791</v>
      </c>
    </row>
    <row r="3923" spans="1:6" ht="12.75">
      <c r="A3923">
        <v>6947956</v>
      </c>
      <c r="B3923">
        <v>6975379</v>
      </c>
      <c r="C3923" t="s">
        <v>189</v>
      </c>
      <c r="D3923" t="s">
        <v>99</v>
      </c>
      <c r="E3923" s="2" t="str">
        <f>HYPERLINK("https://ibp.a2mac1.com/costing(costing:projects/details/8191/equipment/6947956)","Equipment (Stamping)")</f>
        <v>Equipment (Stamping)</v>
      </c>
      <c r="F3923" t="s">
        <v>4791</v>
      </c>
    </row>
    <row r="3924" spans="1:6" ht="12.75">
      <c r="A3924">
        <v>5388175</v>
      </c>
      <c r="B3924">
        <v>5388133</v>
      </c>
      <c r="C3924" t="s">
        <v>8</v>
      </c>
      <c r="D3924" t="s">
        <v>8</v>
      </c>
      <c r="E3924" s="2" t="str">
        <f>HYPERLINK("https://ibp.a2mac1.com/costing(costing:projects/details/8191/assembly/5388175)","Window System")</f>
        <v>Window System</v>
      </c>
      <c r="F3924" t="s">
        <v>4591</v>
      </c>
    </row>
    <row r="3925" spans="1:6" ht="12.75">
      <c r="A3925">
        <v>5388368</v>
      </c>
      <c r="B3925">
        <v>5388175</v>
      </c>
      <c r="C3925" t="s">
        <v>8</v>
      </c>
      <c r="D3925" t="s">
        <v>8</v>
      </c>
      <c r="E3925" s="2" t="str">
        <f>HYPERLINK("https://ibp.a2mac1.com/costing(costing:projects/details/8191/assembly/5388368)","Window")</f>
        <v>Window</v>
      </c>
      <c r="F3925" t="s">
        <v>4794</v>
      </c>
    </row>
    <row r="3926" spans="1:6" ht="12.75">
      <c r="A3926">
        <v>6975382</v>
      </c>
      <c r="B3926">
        <v>5388368</v>
      </c>
      <c r="C3926" t="s">
        <v>99</v>
      </c>
      <c r="D3926" t="s">
        <v>8</v>
      </c>
      <c r="E3926" s="2" t="str">
        <f>HYPERLINK("https://ibp.a2mac1.com/costing(costing:projects/details/8191/process/6975382)","Automated Process")</f>
        <v>Automated Process</v>
      </c>
      <c r="F3926" t="s">
        <v>4795</v>
      </c>
    </row>
    <row r="3927" spans="1:6" ht="12.75">
      <c r="A3927">
        <v>5319764</v>
      </c>
      <c r="B3927">
        <v>6975382</v>
      </c>
      <c r="C3927" t="s">
        <v>24</v>
      </c>
      <c r="D3927" t="s">
        <v>99</v>
      </c>
      <c r="E3927" s="2" t="str">
        <f>HYPERLINK("https://ibp.a2mac1.com/costing(costing:projects/details/8191/material/5319764)","Material")</f>
        <v>Material</v>
      </c>
      <c r="F3927" t="s">
        <v>4796</v>
      </c>
    </row>
    <row r="3928" spans="1:6" ht="12.75">
      <c r="A3928">
        <v>6947961</v>
      </c>
      <c r="B3928">
        <v>6975382</v>
      </c>
      <c r="C3928" t="s">
        <v>189</v>
      </c>
      <c r="D3928" t="s">
        <v>99</v>
      </c>
      <c r="E3928" s="2" t="str">
        <f>HYPERLINK("https://ibp.a2mac1.com/costing(costing:projects/details/8191/equipment/6947961)","DC machine - General")</f>
        <v>DC machine - General</v>
      </c>
      <c r="F3928" t="s">
        <v>4796</v>
      </c>
    </row>
    <row r="3929" spans="1:6" ht="12.75">
      <c r="A3929">
        <v>5388365</v>
      </c>
      <c r="B3929">
        <v>5388175</v>
      </c>
      <c r="C3929" t="s">
        <v>12</v>
      </c>
      <c r="D3929" t="s">
        <v>8</v>
      </c>
      <c r="E3929" s="2" t="str">
        <f>HYPERLINK("https://ibp.a2mac1.com/costing(costing:projects/details/8191/part/5388365)","Front Quarter Window")</f>
        <v>Front Quarter Window</v>
      </c>
      <c r="F3929" t="s">
        <v>4794</v>
      </c>
    </row>
    <row r="3930" spans="1:6" ht="12.75">
      <c r="A3930">
        <v>6975381</v>
      </c>
      <c r="B3930">
        <v>5388365</v>
      </c>
      <c r="C3930" t="s">
        <v>99</v>
      </c>
      <c r="D3930" t="s">
        <v>12</v>
      </c>
      <c r="E3930" s="2" t="str">
        <f>HYPERLINK("https://ibp.a2mac1.com/costing(costing:projects/details/8191/process/6975381)","Automated Process")</f>
        <v>Automated Process</v>
      </c>
      <c r="F3930" t="s">
        <v>4799</v>
      </c>
    </row>
    <row r="3931" spans="1:6" ht="12.75">
      <c r="A3931">
        <v>5319761</v>
      </c>
      <c r="B3931">
        <v>6975381</v>
      </c>
      <c r="C3931" t="s">
        <v>24</v>
      </c>
      <c r="D3931" t="s">
        <v>99</v>
      </c>
      <c r="E3931" s="2" t="str">
        <f>HYPERLINK("https://ibp.a2mac1.com/costing(costing:projects/details/8191/material/5319761)","PA6")</f>
        <v>PA6</v>
      </c>
      <c r="F3931" t="s">
        <v>4802</v>
      </c>
    </row>
    <row r="3932" spans="1:6" ht="12.75">
      <c r="A3932">
        <v>5319762</v>
      </c>
      <c r="B3932">
        <v>6975381</v>
      </c>
      <c r="C3932" t="s">
        <v>24</v>
      </c>
      <c r="D3932" t="s">
        <v>99</v>
      </c>
      <c r="E3932" s="2" t="str">
        <f>HYPERLINK("https://ibp.a2mac1.com/costing(costing:projects/details/8191/material/5319762)","PA66")</f>
        <v>PA66</v>
      </c>
      <c r="F3932" t="s">
        <v>4802</v>
      </c>
    </row>
    <row r="3933" spans="1:6" ht="12.75">
      <c r="A3933">
        <v>5319763</v>
      </c>
      <c r="B3933">
        <v>6975381</v>
      </c>
      <c r="C3933" t="s">
        <v>24</v>
      </c>
      <c r="D3933" t="s">
        <v>99</v>
      </c>
      <c r="E3933" s="2" t="str">
        <f>HYPERLINK("https://ibp.a2mac1.com/costing(costing:projects/details/8191/material/5319763)","Glass (default, float glass)")</f>
        <v>Glass (default, float glass)</v>
      </c>
      <c r="F3933" t="s">
        <v>4802</v>
      </c>
    </row>
    <row r="3934" spans="1:6" ht="12.75">
      <c r="A3934">
        <v>6947958</v>
      </c>
      <c r="B3934">
        <v>6975381</v>
      </c>
      <c r="C3934" t="s">
        <v>189</v>
      </c>
      <c r="D3934" t="s">
        <v>99</v>
      </c>
      <c r="E3934" s="2" t="str">
        <f>HYPERLINK("https://ibp.a2mac1.com/costing(costing:projects/details/8191/equipment/6947958)","Equipment (Injection Molding)")</f>
        <v>Equipment (Injection Molding)</v>
      </c>
      <c r="F3934" t="s">
        <v>4802</v>
      </c>
    </row>
    <row r="3935" spans="1:6" ht="12.75">
      <c r="A3935">
        <v>6947959</v>
      </c>
      <c r="B3935">
        <v>6975381</v>
      </c>
      <c r="C3935" t="s">
        <v>189</v>
      </c>
      <c r="D3935" t="s">
        <v>99</v>
      </c>
      <c r="E3935" s="2" t="str">
        <f>HYPERLINK("https://ibp.a2mac1.com/costing(costing:projects/details/8191/equipment/6947959)","Equipment (Injection Molding)")</f>
        <v>Equipment (Injection Molding)</v>
      </c>
      <c r="F3935" t="s">
        <v>4802</v>
      </c>
    </row>
    <row r="3936" spans="1:6" ht="12.75">
      <c r="A3936">
        <v>6947960</v>
      </c>
      <c r="B3936">
        <v>6975381</v>
      </c>
      <c r="C3936" t="s">
        <v>189</v>
      </c>
      <c r="D3936" t="s">
        <v>99</v>
      </c>
      <c r="E3936" s="2" t="str">
        <f>HYPERLINK("https://ibp.a2mac1.com/costing(costing:projects/details/8191/equipment/6947960)","Equipment (Standard Process)")</f>
        <v>Equipment (Standard Process)</v>
      </c>
      <c r="F3936" t="s">
        <v>4802</v>
      </c>
    </row>
    <row r="3937" spans="1:6" ht="12.75">
      <c r="A3937">
        <v>5388366</v>
      </c>
      <c r="B3937">
        <v>5388175</v>
      </c>
      <c r="C3937" t="s">
        <v>12</v>
      </c>
      <c r="D3937" t="s">
        <v>8</v>
      </c>
      <c r="E3937" s="2" t="str">
        <f>HYPERLINK("https://ibp.a2mac1.com/costing(costing:projects/details/8191/part/5388366)","Window Regulator")</f>
        <v>Window Regulator</v>
      </c>
      <c r="F3937" t="s">
        <v>4794</v>
      </c>
    </row>
    <row r="3938" spans="1:6" ht="12.75">
      <c r="A3938">
        <v>5388367</v>
      </c>
      <c r="B3938">
        <v>5388175</v>
      </c>
      <c r="C3938" t="s">
        <v>12</v>
      </c>
      <c r="D3938" t="s">
        <v>8</v>
      </c>
      <c r="E3938" s="2" t="str">
        <f>HYPERLINK("https://ibp.a2mac1.com/costing(costing:projects/details/8191/part/5388367)","Window Regulator Motor")</f>
        <v>Window Regulator Motor</v>
      </c>
      <c r="F3938" t="s">
        <v>4794</v>
      </c>
    </row>
    <row r="3939" spans="1:6" ht="12.75">
      <c r="A3939">
        <v>6975278</v>
      </c>
      <c r="B3939">
        <v>5388175</v>
      </c>
      <c r="C3939" t="s">
        <v>99</v>
      </c>
      <c r="D3939" t="s">
        <v>8</v>
      </c>
      <c r="E3939" s="2" t="str">
        <f>HYPERLINK("https://ibp.a2mac1.com/costing(costing:projects/details/8191/process/6975278)","Assembly")</f>
        <v>Assembly</v>
      </c>
      <c r="F3939" t="s">
        <v>4794</v>
      </c>
    </row>
    <row r="3940" spans="1:6" ht="12.75">
      <c r="A3940">
        <v>6947834</v>
      </c>
      <c r="B3940">
        <v>6975278</v>
      </c>
      <c r="C3940" t="s">
        <v>189</v>
      </c>
      <c r="D3940" t="s">
        <v>99</v>
      </c>
      <c r="E3940" s="2" t="str">
        <f>HYPERLINK("https://ibp.a2mac1.com/costing(costing:projects/details/8191/equipment/6947834)","Assembly line")</f>
        <v>Assembly line</v>
      </c>
      <c r="F3940" t="s">
        <v>4811</v>
      </c>
    </row>
    <row r="3941" spans="1:6" ht="12.75">
      <c r="A3941">
        <v>5388176</v>
      </c>
      <c r="B3941">
        <v>5388133</v>
      </c>
      <c r="C3941" t="s">
        <v>8</v>
      </c>
      <c r="D3941" t="s">
        <v>8</v>
      </c>
      <c r="E3941" s="2" t="str">
        <f>HYPERLINK("https://ibp.a2mac1.com/costing(costing:projects/details/8191/assembly/5388176)","Sealing System")</f>
        <v>Sealing System</v>
      </c>
      <c r="F3941" t="s">
        <v>4591</v>
      </c>
    </row>
    <row r="3942" spans="1:6" ht="12.75">
      <c r="A3942">
        <v>5388372</v>
      </c>
      <c r="B3942">
        <v>5388176</v>
      </c>
      <c r="C3942" t="s">
        <v>8</v>
      </c>
      <c r="D3942" t="s">
        <v>8</v>
      </c>
      <c r="E3942" s="2" t="str">
        <f>HYPERLINK("https://ibp.a2mac1.com/costing(costing:projects/details/8191/assembly/5388372)","Door Weatherstripping")</f>
        <v>Door Weatherstripping</v>
      </c>
      <c r="F3942" t="s">
        <v>4813</v>
      </c>
    </row>
    <row r="3943" spans="1:6" ht="12.75">
      <c r="A3943">
        <v>5388756</v>
      </c>
      <c r="B3943">
        <v>5388372</v>
      </c>
      <c r="C3943" t="s">
        <v>12</v>
      </c>
      <c r="D3943" t="s">
        <v>8</v>
      </c>
      <c r="E3943" s="2" t="str">
        <f>HYPERLINK("https://ibp.a2mac1.com/costing(costing:projects/details/8191/part/5388756)","On Body")</f>
        <v>On Body</v>
      </c>
      <c r="F3943" t="s">
        <v>4814</v>
      </c>
    </row>
    <row r="3944" spans="1:6" ht="12.75">
      <c r="A3944">
        <v>6975615</v>
      </c>
      <c r="B3944">
        <v>5388756</v>
      </c>
      <c r="C3944" t="s">
        <v>99</v>
      </c>
      <c r="D3944" t="s">
        <v>12</v>
      </c>
      <c r="E3944" s="2" t="str">
        <f>HYPERLINK("https://ibp.a2mac1.com/costing(costing:projects/details/8191/process/6975615)","Seal Extrusion (Multi Layer)")</f>
        <v>Seal Extrusion (Multi Layer)</v>
      </c>
      <c r="F3944" t="s">
        <v>4815</v>
      </c>
    </row>
    <row r="3945" spans="1:6" ht="12.75">
      <c r="A3945">
        <v>5320069</v>
      </c>
      <c r="B3945">
        <v>6975615</v>
      </c>
      <c r="C3945" t="s">
        <v>24</v>
      </c>
      <c r="D3945" t="s">
        <v>99</v>
      </c>
      <c r="E3945" s="2" t="str">
        <f>HYPERLINK("https://ibp.a2mac1.com/costing(costing:projects/details/8191/material/5320069)","EPDM")</f>
        <v>EPDM</v>
      </c>
      <c r="F3945" t="s">
        <v>4819</v>
      </c>
    </row>
    <row r="3946" spans="1:6" ht="12.75">
      <c r="A3946">
        <v>5320070</v>
      </c>
      <c r="B3946">
        <v>6975615</v>
      </c>
      <c r="C3946" t="s">
        <v>24</v>
      </c>
      <c r="D3946" t="s">
        <v>99</v>
      </c>
      <c r="E3946" s="2" t="str">
        <f>HYPERLINK("https://ibp.a2mac1.com/costing(costing:projects/details/8191/material/5320070)","Standard Structural Steel sheet")</f>
        <v>Standard Structural Steel sheet</v>
      </c>
      <c r="F3946" t="s">
        <v>4819</v>
      </c>
    </row>
    <row r="3947" spans="1:6" ht="12.75">
      <c r="A3947">
        <v>6948233</v>
      </c>
      <c r="B3947">
        <v>6975615</v>
      </c>
      <c r="C3947" t="s">
        <v>189</v>
      </c>
      <c r="D3947" t="s">
        <v>99</v>
      </c>
      <c r="E3947" s="2" t="str">
        <f>HYPERLINK("https://ibp.a2mac1.com/costing(costing:projects/details/8191/equipment/6948233)","Rubber Extrusion machine")</f>
        <v>Rubber Extrusion machine</v>
      </c>
      <c r="F3947" t="s">
        <v>4819</v>
      </c>
    </row>
    <row r="3948" spans="1:6" ht="12.75">
      <c r="A3948">
        <v>6975614</v>
      </c>
      <c r="B3948">
        <v>5388756</v>
      </c>
      <c r="C3948" t="s">
        <v>99</v>
      </c>
      <c r="D3948" t="s">
        <v>12</v>
      </c>
      <c r="E3948" s="2" t="str">
        <f>HYPERLINK("https://ibp.a2mac1.com/costing(costing:projects/details/8191/process/6975614)","End Glueing/Vulcanizing, Check and Pack")</f>
        <v>End Glueing/Vulcanizing, Check and Pack</v>
      </c>
      <c r="F3948" t="s">
        <v>4815</v>
      </c>
    </row>
    <row r="3949" spans="1:6" ht="12.75">
      <c r="A3949">
        <v>6948232</v>
      </c>
      <c r="B3949">
        <v>6975614</v>
      </c>
      <c r="C3949" t="s">
        <v>189</v>
      </c>
      <c r="D3949" t="s">
        <v>99</v>
      </c>
      <c r="E3949" s="2" t="str">
        <f>HYPERLINK("https://ibp.a2mac1.com/costing(costing:projects/details/8191/equipment/6948232)","Seal welding/joining station, manual")</f>
        <v>Seal welding/joining station, manual</v>
      </c>
      <c r="F3949" t="s">
        <v>4823</v>
      </c>
    </row>
    <row r="3950" spans="1:6" ht="12.75">
      <c r="A3950">
        <v>5388757</v>
      </c>
      <c r="B3950">
        <v>5388372</v>
      </c>
      <c r="C3950" t="s">
        <v>12</v>
      </c>
      <c r="D3950" t="s">
        <v>8</v>
      </c>
      <c r="E3950" s="2" t="str">
        <f>HYPERLINK("https://ibp.a2mac1.com/costing(costing:projects/details/8191/part/5388757)","On Door")</f>
        <v>On Door</v>
      </c>
      <c r="F3950" t="s">
        <v>4814</v>
      </c>
    </row>
    <row r="3951" spans="1:6" ht="12.75">
      <c r="A3951">
        <v>6975616</v>
      </c>
      <c r="B3951">
        <v>5388757</v>
      </c>
      <c r="C3951" t="s">
        <v>99</v>
      </c>
      <c r="D3951" t="s">
        <v>12</v>
      </c>
      <c r="E3951" s="2" t="str">
        <f>HYPERLINK("https://ibp.a2mac1.com/costing(costing:projects/details/8191/process/6975616)","Seal Extrusion (Multi Layer)")</f>
        <v>Seal Extrusion (Multi Layer)</v>
      </c>
      <c r="F3951" t="s">
        <v>4826</v>
      </c>
    </row>
    <row r="3952" spans="1:6" ht="12.75">
      <c r="A3952">
        <v>5320071</v>
      </c>
      <c r="B3952">
        <v>6975616</v>
      </c>
      <c r="C3952" t="s">
        <v>24</v>
      </c>
      <c r="D3952" t="s">
        <v>99</v>
      </c>
      <c r="E3952" s="2" t="str">
        <f>HYPERLINK("https://ibp.a2mac1.com/costing(costing:projects/details/8191/material/5320071)","EPDM")</f>
        <v>EPDM</v>
      </c>
      <c r="F3952" t="s">
        <v>4829</v>
      </c>
    </row>
    <row r="3953" spans="1:6" ht="12.75">
      <c r="A3953">
        <v>5320072</v>
      </c>
      <c r="B3953">
        <v>6975616</v>
      </c>
      <c r="C3953" t="s">
        <v>24</v>
      </c>
      <c r="D3953" t="s">
        <v>99</v>
      </c>
      <c r="E3953" s="2" t="str">
        <f>HYPERLINK("https://ibp.a2mac1.com/costing(costing:projects/details/8191/material/5320072)","Standard Structural Steel sheet")</f>
        <v>Standard Structural Steel sheet</v>
      </c>
      <c r="F3953" t="s">
        <v>4829</v>
      </c>
    </row>
    <row r="3954" spans="1:6" ht="12.75">
      <c r="A3954">
        <v>6948234</v>
      </c>
      <c r="B3954">
        <v>6975616</v>
      </c>
      <c r="C3954" t="s">
        <v>189</v>
      </c>
      <c r="D3954" t="s">
        <v>99</v>
      </c>
      <c r="E3954" s="2" t="str">
        <f>HYPERLINK("https://ibp.a2mac1.com/costing(costing:projects/details/8191/equipment/6948234)","Rubber Extrusion machine")</f>
        <v>Rubber Extrusion machine</v>
      </c>
      <c r="F3954" t="s">
        <v>4829</v>
      </c>
    </row>
    <row r="3955" spans="1:6" ht="12.75">
      <c r="A3955">
        <v>6975617</v>
      </c>
      <c r="B3955">
        <v>5388757</v>
      </c>
      <c r="C3955" t="s">
        <v>99</v>
      </c>
      <c r="D3955" t="s">
        <v>12</v>
      </c>
      <c r="E3955" s="2" t="str">
        <f>HYPERLINK("https://ibp.a2mac1.com/costing(costing:projects/details/8191/process/6975617)","End Glueing/Vulcanizing, Check and Pack")</f>
        <v>End Glueing/Vulcanizing, Check and Pack</v>
      </c>
      <c r="F3955" t="s">
        <v>4826</v>
      </c>
    </row>
    <row r="3956" spans="1:6" ht="12.75">
      <c r="A3956">
        <v>6948235</v>
      </c>
      <c r="B3956">
        <v>6975617</v>
      </c>
      <c r="C3956" t="s">
        <v>189</v>
      </c>
      <c r="D3956" t="s">
        <v>99</v>
      </c>
      <c r="E3956" s="2" t="str">
        <f>HYPERLINK("https://ibp.a2mac1.com/costing(costing:projects/details/8191/equipment/6948235)","Seal welding/joining station, manual")</f>
        <v>Seal welding/joining station, manual</v>
      </c>
      <c r="F3956" t="s">
        <v>4832</v>
      </c>
    </row>
    <row r="3957" spans="1:6" ht="12.75">
      <c r="A3957">
        <v>5388369</v>
      </c>
      <c r="B3957">
        <v>5388176</v>
      </c>
      <c r="C3957" t="s">
        <v>12</v>
      </c>
      <c r="D3957" t="s">
        <v>8</v>
      </c>
      <c r="E3957" s="2" t="str">
        <f>HYPERLINK("https://ibp.a2mac1.com/costing(costing:projects/details/8191/part/5388369)","Interior Weatherstrip")</f>
        <v>Interior Weatherstrip</v>
      </c>
      <c r="F3957" t="s">
        <v>4813</v>
      </c>
    </row>
    <row r="3958" spans="1:6" ht="12.75">
      <c r="A3958">
        <v>6975383</v>
      </c>
      <c r="B3958">
        <v>5388369</v>
      </c>
      <c r="C3958" t="s">
        <v>99</v>
      </c>
      <c r="D3958" t="s">
        <v>12</v>
      </c>
      <c r="E3958" s="2" t="str">
        <f>HYPERLINK("https://ibp.a2mac1.com/costing(costing:projects/details/8191/process/6975383)","Seal Extrusion")</f>
        <v>Seal Extrusion</v>
      </c>
      <c r="F3958" t="s">
        <v>4835</v>
      </c>
    </row>
    <row r="3959" spans="1:6" ht="12.75">
      <c r="A3959">
        <v>5319765</v>
      </c>
      <c r="B3959">
        <v>6975383</v>
      </c>
      <c r="C3959" t="s">
        <v>24</v>
      </c>
      <c r="D3959" t="s">
        <v>99</v>
      </c>
      <c r="E3959" s="2" t="str">
        <f>HYPERLINK("https://ibp.a2mac1.com/costing(costing:projects/details/8191/material/5319765)","PP-EPDM")</f>
        <v>PP-EPDM</v>
      </c>
      <c r="F3959" t="s">
        <v>4838</v>
      </c>
    </row>
    <row r="3960" spans="1:6" ht="12.75">
      <c r="A3960">
        <v>6947962</v>
      </c>
      <c r="B3960">
        <v>6975383</v>
      </c>
      <c r="C3960" t="s">
        <v>189</v>
      </c>
      <c r="D3960" t="s">
        <v>99</v>
      </c>
      <c r="E3960" s="2" t="str">
        <f>HYPERLINK("https://ibp.a2mac1.com/costing(costing:projects/details/8191/equipment/6947962)","Rubber Extrusion machine")</f>
        <v>Rubber Extrusion machine</v>
      </c>
      <c r="F3960" t="s">
        <v>4838</v>
      </c>
    </row>
    <row r="3961" spans="1:6" ht="12.75">
      <c r="A3961">
        <v>5388370</v>
      </c>
      <c r="B3961">
        <v>5388176</v>
      </c>
      <c r="C3961" t="s">
        <v>12</v>
      </c>
      <c r="D3961" t="s">
        <v>8</v>
      </c>
      <c r="E3961" s="2" t="str">
        <f>HYPERLINK("https://ibp.a2mac1.com/costing(costing:projects/details/8191/part/5388370)","Exterior Weatherstrip")</f>
        <v>Exterior Weatherstrip</v>
      </c>
      <c r="F3961" t="s">
        <v>4813</v>
      </c>
    </row>
    <row r="3962" spans="1:6" ht="12.75">
      <c r="A3962">
        <v>6975384</v>
      </c>
      <c r="B3962">
        <v>5388370</v>
      </c>
      <c r="C3962" t="s">
        <v>99</v>
      </c>
      <c r="D3962" t="s">
        <v>12</v>
      </c>
      <c r="E3962" s="2" t="str">
        <f>HYPERLINK("https://ibp.a2mac1.com/costing(costing:projects/details/8191/process/6975384)","Seal Extrusion")</f>
        <v>Seal Extrusion</v>
      </c>
      <c r="F3962" t="s">
        <v>4842</v>
      </c>
    </row>
    <row r="3963" spans="1:6" ht="12.75">
      <c r="A3963">
        <v>5319766</v>
      </c>
      <c r="B3963">
        <v>6975384</v>
      </c>
      <c r="C3963" t="s">
        <v>24</v>
      </c>
      <c r="D3963" t="s">
        <v>99</v>
      </c>
      <c r="E3963" s="2" t="str">
        <f>HYPERLINK("https://ibp.a2mac1.com/costing(costing:projects/details/8191/material/5319766)","EPDM")</f>
        <v>EPDM</v>
      </c>
      <c r="F3963" t="s">
        <v>4844</v>
      </c>
    </row>
    <row r="3964" spans="1:6" ht="12.75">
      <c r="A3964">
        <v>5319767</v>
      </c>
      <c r="B3964">
        <v>6975384</v>
      </c>
      <c r="C3964" t="s">
        <v>24</v>
      </c>
      <c r="D3964" t="s">
        <v>99</v>
      </c>
      <c r="E3964" s="2" t="str">
        <f>HYPERLINK("https://ibp.a2mac1.com/costing(costing:projects/details/8191/material/5319767)","Aluminum for extrusion (default, e.g. EN-AW6016)")</f>
        <v>Aluminum for extrusion (default, e.g. EN-AW6016)</v>
      </c>
      <c r="F3964" t="s">
        <v>4844</v>
      </c>
    </row>
    <row r="3965" spans="1:6" ht="12.75">
      <c r="A3965">
        <v>6947963</v>
      </c>
      <c r="B3965">
        <v>6975384</v>
      </c>
      <c r="C3965" t="s">
        <v>189</v>
      </c>
      <c r="D3965" t="s">
        <v>99</v>
      </c>
      <c r="E3965" s="2" t="str">
        <f>HYPERLINK("https://ibp.a2mac1.com/costing(costing:projects/details/8191/equipment/6947963)","Rubber Extrusion machine")</f>
        <v>Rubber Extrusion machine</v>
      </c>
      <c r="F3965" t="s">
        <v>4844</v>
      </c>
    </row>
    <row r="3966" spans="1:6" ht="12.75">
      <c r="A3966">
        <v>5388371</v>
      </c>
      <c r="B3966">
        <v>5388176</v>
      </c>
      <c r="C3966" t="s">
        <v>12</v>
      </c>
      <c r="D3966" t="s">
        <v>8</v>
      </c>
      <c r="E3966" s="2" t="str">
        <f>HYPERLINK("https://ibp.a2mac1.com/costing(costing:projects/details/8191/part/5388371)","Glass Run Channel Seal")</f>
        <v>Glass Run Channel Seal</v>
      </c>
      <c r="F3966" t="s">
        <v>4813</v>
      </c>
    </row>
    <row r="3967" spans="1:6" ht="12.75">
      <c r="A3967">
        <v>6975385</v>
      </c>
      <c r="B3967">
        <v>5388371</v>
      </c>
      <c r="C3967" t="s">
        <v>99</v>
      </c>
      <c r="D3967" t="s">
        <v>12</v>
      </c>
      <c r="E3967" s="2" t="str">
        <f>HYPERLINK("https://ibp.a2mac1.com/costing(costing:projects/details/8191/process/6975385)","Seal Extrusion")</f>
        <v>Seal Extrusion</v>
      </c>
      <c r="F3967" t="s">
        <v>4849</v>
      </c>
    </row>
    <row r="3968" spans="1:6" ht="12.75">
      <c r="A3968">
        <v>5319768</v>
      </c>
      <c r="B3968">
        <v>6975385</v>
      </c>
      <c r="C3968" t="s">
        <v>24</v>
      </c>
      <c r="D3968" t="s">
        <v>99</v>
      </c>
      <c r="E3968" s="2" t="str">
        <f>HYPERLINK("https://ibp.a2mac1.com/costing(costing:projects/details/8191/material/5319768)","EPDM")</f>
        <v>EPDM</v>
      </c>
      <c r="F3968" t="s">
        <v>4850</v>
      </c>
    </row>
    <row r="3969" spans="1:6" ht="12.75">
      <c r="A3969">
        <v>5319769</v>
      </c>
      <c r="B3969">
        <v>6975385</v>
      </c>
      <c r="C3969" t="s">
        <v>24</v>
      </c>
      <c r="D3969" t="s">
        <v>99</v>
      </c>
      <c r="E3969" s="2" t="str">
        <f>HYPERLINK("https://ibp.a2mac1.com/costing(costing:projects/details/8191/material/5319769)","Aluminum for extrusion (default, e.g. EN-AW6016)")</f>
        <v>Aluminum for extrusion (default, e.g. EN-AW6016)</v>
      </c>
      <c r="F3969" t="s">
        <v>4850</v>
      </c>
    </row>
    <row r="3970" spans="1:6" ht="12.75">
      <c r="A3970">
        <v>6947964</v>
      </c>
      <c r="B3970">
        <v>6975385</v>
      </c>
      <c r="C3970" t="s">
        <v>189</v>
      </c>
      <c r="D3970" t="s">
        <v>99</v>
      </c>
      <c r="E3970" s="2" t="str">
        <f>HYPERLINK("https://ibp.a2mac1.com/costing(costing:projects/details/8191/equipment/6947964)","Rubber Extrusion machine")</f>
        <v>Rubber Extrusion machine</v>
      </c>
      <c r="F3970" t="s">
        <v>4850</v>
      </c>
    </row>
    <row r="3971" spans="1:6" ht="12.75">
      <c r="A3971">
        <v>5388177</v>
      </c>
      <c r="B3971">
        <v>5388133</v>
      </c>
      <c r="C3971" t="s">
        <v>8</v>
      </c>
      <c r="D3971" t="s">
        <v>8</v>
      </c>
      <c r="E3971" s="2" t="str">
        <f>HYPERLINK("https://ibp.a2mac1.com/costing(costing:projects/details/8191/assembly/5388177)","Hinges")</f>
        <v>Hinges</v>
      </c>
      <c r="F3971" t="s">
        <v>4591</v>
      </c>
    </row>
    <row r="3972" spans="1:6" ht="12.75">
      <c r="A3972">
        <v>5388374</v>
      </c>
      <c r="B3972">
        <v>5388177</v>
      </c>
      <c r="C3972" t="s">
        <v>8</v>
      </c>
      <c r="D3972" t="s">
        <v>8</v>
      </c>
      <c r="E3972" s="2" t="str">
        <f>HYPERLINK("https://ibp.a2mac1.com/costing(costing:projects/details/8191/assembly/5388374)","Upper")</f>
        <v>Upper</v>
      </c>
      <c r="F3972" t="s">
        <v>4856</v>
      </c>
    </row>
    <row r="3973" spans="1:6" ht="12.75">
      <c r="A3973">
        <v>5388758</v>
      </c>
      <c r="B3973">
        <v>5388374</v>
      </c>
      <c r="C3973" t="s">
        <v>8</v>
      </c>
      <c r="D3973" t="s">
        <v>8</v>
      </c>
      <c r="E3973" s="2" t="str">
        <f>HYPERLINK("https://ibp.a2mac1.com/costing(costing:projects/details/8191/assembly/5388758)","On Body")</f>
        <v>On Body</v>
      </c>
      <c r="F3973" t="s">
        <v>4857</v>
      </c>
    </row>
    <row r="3974" spans="1:6" ht="12.75">
      <c r="A3974">
        <v>5389157</v>
      </c>
      <c r="B3974">
        <v>5388758</v>
      </c>
      <c r="C3974" t="s">
        <v>12</v>
      </c>
      <c r="D3974" t="s">
        <v>8</v>
      </c>
      <c r="E3974" s="2" t="str">
        <f>HYPERLINK("https://ibp.a2mac1.com/costing(costing:projects/details/8191/part/5389157)","Part 01 single/main")</f>
        <v>Part 01 single/main</v>
      </c>
      <c r="F3974" t="s">
        <v>4858</v>
      </c>
    </row>
    <row r="3975" spans="1:6" ht="12.75">
      <c r="A3975">
        <v>6975803</v>
      </c>
      <c r="B3975">
        <v>5389157</v>
      </c>
      <c r="C3975" t="s">
        <v>99</v>
      </c>
      <c r="D3975" t="s">
        <v>12</v>
      </c>
      <c r="E3975" s="2" t="str">
        <f>HYPERLINK("https://ibp.a2mac1.com/costing(costing:projects/details/8191/process/6975803)","Manufacturing Process")</f>
        <v>Manufacturing Process</v>
      </c>
      <c r="F3975" t="s">
        <v>4859</v>
      </c>
    </row>
    <row r="3976" spans="1:6" ht="12.75">
      <c r="A3976">
        <v>5320247</v>
      </c>
      <c r="B3976">
        <v>6975803</v>
      </c>
      <c r="C3976" t="s">
        <v>24</v>
      </c>
      <c r="D3976" t="s">
        <v>99</v>
      </c>
      <c r="E3976" s="2" t="str">
        <f>HYPERLINK("https://ibp.a2mac1.com/costing(costing:projects/details/8191/material/5320247)","Standard Structural Steel sheet")</f>
        <v>Standard Structural Steel sheet</v>
      </c>
      <c r="F3976" t="s">
        <v>4861</v>
      </c>
    </row>
    <row r="3977" spans="1:6" ht="12.75">
      <c r="A3977">
        <v>6948398</v>
      </c>
      <c r="B3977">
        <v>6975803</v>
      </c>
      <c r="C3977" t="s">
        <v>189</v>
      </c>
      <c r="D3977" t="s">
        <v>99</v>
      </c>
      <c r="E3977" s="2" t="str">
        <f>HYPERLINK("https://ibp.a2mac1.com/costing(costing:projects/details/8191/equipment/6948398)","Equipment (Casting)")</f>
        <v>Equipment (Casting)</v>
      </c>
      <c r="F3977" t="s">
        <v>4861</v>
      </c>
    </row>
    <row r="3978" spans="1:6" ht="12.75">
      <c r="A3978">
        <v>5388759</v>
      </c>
      <c r="B3978">
        <v>5388374</v>
      </c>
      <c r="C3978" t="s">
        <v>8</v>
      </c>
      <c r="D3978" t="s">
        <v>8</v>
      </c>
      <c r="E3978" s="2" t="str">
        <f>HYPERLINK("https://ibp.a2mac1.com/costing(costing:projects/details/8191/assembly/5388759)","On Door")</f>
        <v>On Door</v>
      </c>
      <c r="F3978" t="s">
        <v>4857</v>
      </c>
    </row>
    <row r="3979" spans="1:6" ht="12.75">
      <c r="A3979">
        <v>5389158</v>
      </c>
      <c r="B3979">
        <v>5388759</v>
      </c>
      <c r="C3979" t="s">
        <v>12</v>
      </c>
      <c r="D3979" t="s">
        <v>8</v>
      </c>
      <c r="E3979" s="2" t="str">
        <f>HYPERLINK("https://ibp.a2mac1.com/costing(costing:projects/details/8191/part/5389158)","Part 01 single/main")</f>
        <v>Part 01 single/main</v>
      </c>
      <c r="F3979" t="s">
        <v>4863</v>
      </c>
    </row>
    <row r="3980" spans="1:6" ht="12.75">
      <c r="A3980">
        <v>6975804</v>
      </c>
      <c r="B3980">
        <v>5389158</v>
      </c>
      <c r="C3980" t="s">
        <v>99</v>
      </c>
      <c r="D3980" t="s">
        <v>12</v>
      </c>
      <c r="E3980" s="2" t="str">
        <f>HYPERLINK("https://ibp.a2mac1.com/costing(costing:projects/details/8191/process/6975804)","Manufacturing Process")</f>
        <v>Manufacturing Process</v>
      </c>
      <c r="F3980" t="s">
        <v>4864</v>
      </c>
    </row>
    <row r="3981" spans="1:6" ht="12.75">
      <c r="A3981">
        <v>5320248</v>
      </c>
      <c r="B3981">
        <v>6975804</v>
      </c>
      <c r="C3981" t="s">
        <v>24</v>
      </c>
      <c r="D3981" t="s">
        <v>99</v>
      </c>
      <c r="E3981" s="2" t="str">
        <f>HYPERLINK("https://ibp.a2mac1.com/costing(costing:projects/details/8191/material/5320248)","Standard Structural Steel sheet")</f>
        <v>Standard Structural Steel sheet</v>
      </c>
      <c r="F3981" t="s">
        <v>4866</v>
      </c>
    </row>
    <row r="3982" spans="1:6" ht="12.75">
      <c r="A3982">
        <v>6948399</v>
      </c>
      <c r="B3982">
        <v>6975804</v>
      </c>
      <c r="C3982" t="s">
        <v>189</v>
      </c>
      <c r="D3982" t="s">
        <v>99</v>
      </c>
      <c r="E3982" s="2" t="str">
        <f>HYPERLINK("https://ibp.a2mac1.com/costing(costing:projects/details/8191/equipment/6948399)","Equipment (Casting)")</f>
        <v>Equipment (Casting)</v>
      </c>
      <c r="F3982" t="s">
        <v>4866</v>
      </c>
    </row>
    <row r="3983" spans="1:6" ht="12.75">
      <c r="A3983">
        <v>5388760</v>
      </c>
      <c r="B3983">
        <v>5388374</v>
      </c>
      <c r="C3983" t="s">
        <v>8</v>
      </c>
      <c r="D3983" t="s">
        <v>8</v>
      </c>
      <c r="E3983" s="2" t="str">
        <f>HYPERLINK("https://ibp.a2mac1.com/costing(costing:projects/details/8191/assembly/5388760)","Fastners")</f>
        <v>Fastners</v>
      </c>
      <c r="F3983" t="s">
        <v>4857</v>
      </c>
    </row>
    <row r="3984" spans="1:6" ht="12.75">
      <c r="A3984">
        <v>5319770</v>
      </c>
      <c r="B3984">
        <v>5388760</v>
      </c>
      <c r="C3984" t="s">
        <v>574</v>
      </c>
      <c r="D3984" t="s">
        <v>8</v>
      </c>
      <c r="E3984" s="2" t="str">
        <f>HYPERLINK("https://ibp.a2mac1.com/costing(costing:projects/details/8191/component/5319770)","Screw &gt; Hexagon screw with flange")</f>
        <v>Screw &gt; Hexagon screw with flange</v>
      </c>
      <c r="F3984" t="s">
        <v>4868</v>
      </c>
    </row>
    <row r="3985" spans="1:6" ht="12.75">
      <c r="A3985">
        <v>5319771</v>
      </c>
      <c r="B3985">
        <v>5388760</v>
      </c>
      <c r="C3985" t="s">
        <v>574</v>
      </c>
      <c r="D3985" t="s">
        <v>8</v>
      </c>
      <c r="E3985" s="2" t="str">
        <f>HYPERLINK("https://ibp.a2mac1.com/costing(costing:projects/details/8191/component/5319771)","Screw &gt; Torx socket head cap screw")</f>
        <v>Screw &gt; Torx socket head cap screw</v>
      </c>
      <c r="F3985" t="s">
        <v>4868</v>
      </c>
    </row>
    <row r="3986" spans="1:6" ht="12.75">
      <c r="A3986">
        <v>5388375</v>
      </c>
      <c r="B3986">
        <v>5388177</v>
      </c>
      <c r="C3986" t="s">
        <v>8</v>
      </c>
      <c r="D3986" t="s">
        <v>8</v>
      </c>
      <c r="E3986" s="2" t="str">
        <f>HYPERLINK("https://ibp.a2mac1.com/costing(costing:projects/details/8191/assembly/5388375)","Lower")</f>
        <v>Lower</v>
      </c>
      <c r="F3986" t="s">
        <v>4856</v>
      </c>
    </row>
    <row r="3987" spans="1:6" ht="12.75">
      <c r="A3987">
        <v>5388761</v>
      </c>
      <c r="B3987">
        <v>5388375</v>
      </c>
      <c r="C3987" t="s">
        <v>8</v>
      </c>
      <c r="D3987" t="s">
        <v>8</v>
      </c>
      <c r="E3987" s="2" t="str">
        <f>HYPERLINK("https://ibp.a2mac1.com/costing(costing:projects/details/8191/assembly/5388761)","On Body")</f>
        <v>On Body</v>
      </c>
      <c r="F3987" t="s">
        <v>4870</v>
      </c>
    </row>
    <row r="3988" spans="1:6" ht="12.75">
      <c r="A3988">
        <v>5389159</v>
      </c>
      <c r="B3988">
        <v>5388761</v>
      </c>
      <c r="C3988" t="s">
        <v>12</v>
      </c>
      <c r="D3988" t="s">
        <v>8</v>
      </c>
      <c r="E3988" s="2" t="str">
        <f>HYPERLINK("https://ibp.a2mac1.com/costing(costing:projects/details/8191/part/5389159)","Part 01 single/main")</f>
        <v>Part 01 single/main</v>
      </c>
      <c r="F3988" t="s">
        <v>4871</v>
      </c>
    </row>
    <row r="3989" spans="1:6" ht="12.75">
      <c r="A3989">
        <v>6975805</v>
      </c>
      <c r="B3989">
        <v>5389159</v>
      </c>
      <c r="C3989" t="s">
        <v>99</v>
      </c>
      <c r="D3989" t="s">
        <v>12</v>
      </c>
      <c r="E3989" s="2" t="str">
        <f>HYPERLINK("https://ibp.a2mac1.com/costing(costing:projects/details/8191/process/6975805)","Manufacturing Process")</f>
        <v>Manufacturing Process</v>
      </c>
      <c r="F3989" t="s">
        <v>4872</v>
      </c>
    </row>
    <row r="3990" spans="1:6" ht="12.75">
      <c r="A3990">
        <v>5320249</v>
      </c>
      <c r="B3990">
        <v>6975805</v>
      </c>
      <c r="C3990" t="s">
        <v>24</v>
      </c>
      <c r="D3990" t="s">
        <v>99</v>
      </c>
      <c r="E3990" s="2" t="str">
        <f>HYPERLINK("https://ibp.a2mac1.com/costing(costing:projects/details/8191/material/5320249)","Standard Structural Steel sheet")</f>
        <v>Standard Structural Steel sheet</v>
      </c>
      <c r="F3990" t="s">
        <v>4873</v>
      </c>
    </row>
    <row r="3991" spans="1:6" ht="12.75">
      <c r="A3991">
        <v>6948400</v>
      </c>
      <c r="B3991">
        <v>6975805</v>
      </c>
      <c r="C3991" t="s">
        <v>189</v>
      </c>
      <c r="D3991" t="s">
        <v>99</v>
      </c>
      <c r="E3991" s="2" t="str">
        <f>HYPERLINK("https://ibp.a2mac1.com/costing(costing:projects/details/8191/equipment/6948400)","Equipment (Casting)")</f>
        <v>Equipment (Casting)</v>
      </c>
      <c r="F3991" t="s">
        <v>4873</v>
      </c>
    </row>
    <row r="3992" spans="1:6" ht="12.75">
      <c r="A3992">
        <v>5388762</v>
      </c>
      <c r="B3992">
        <v>5388375</v>
      </c>
      <c r="C3992" t="s">
        <v>8</v>
      </c>
      <c r="D3992" t="s">
        <v>8</v>
      </c>
      <c r="E3992" s="2" t="str">
        <f>HYPERLINK("https://ibp.a2mac1.com/costing(costing:projects/details/8191/assembly/5388762)","On Door")</f>
        <v>On Door</v>
      </c>
      <c r="F3992" t="s">
        <v>4870</v>
      </c>
    </row>
    <row r="3993" spans="1:6" ht="12.75">
      <c r="A3993">
        <v>5389160</v>
      </c>
      <c r="B3993">
        <v>5388762</v>
      </c>
      <c r="C3993" t="s">
        <v>12</v>
      </c>
      <c r="D3993" t="s">
        <v>8</v>
      </c>
      <c r="E3993" s="2" t="str">
        <f>HYPERLINK("https://ibp.a2mac1.com/costing(costing:projects/details/8191/part/5389160)","Part 01 single/main")</f>
        <v>Part 01 single/main</v>
      </c>
      <c r="F3993" t="s">
        <v>4875</v>
      </c>
    </row>
    <row r="3994" spans="1:6" ht="12.75">
      <c r="A3994">
        <v>6975806</v>
      </c>
      <c r="B3994">
        <v>5389160</v>
      </c>
      <c r="C3994" t="s">
        <v>99</v>
      </c>
      <c r="D3994" t="s">
        <v>12</v>
      </c>
      <c r="E3994" s="2" t="str">
        <f>HYPERLINK("https://ibp.a2mac1.com/costing(costing:projects/details/8191/process/6975806)","Manufacturing Process")</f>
        <v>Manufacturing Process</v>
      </c>
      <c r="F3994" t="s">
        <v>4876</v>
      </c>
    </row>
    <row r="3995" spans="1:6" ht="12.75">
      <c r="A3995">
        <v>5320250</v>
      </c>
      <c r="B3995">
        <v>6975806</v>
      </c>
      <c r="C3995" t="s">
        <v>24</v>
      </c>
      <c r="D3995" t="s">
        <v>99</v>
      </c>
      <c r="E3995" s="2" t="str">
        <f>HYPERLINK("https://ibp.a2mac1.com/costing(costing:projects/details/8191/material/5320250)","Standard Structural Steel sheet")</f>
        <v>Standard Structural Steel sheet</v>
      </c>
      <c r="F3995" t="s">
        <v>4878</v>
      </c>
    </row>
    <row r="3996" spans="1:6" ht="12.75">
      <c r="A3996">
        <v>6948401</v>
      </c>
      <c r="B3996">
        <v>6975806</v>
      </c>
      <c r="C3996" t="s">
        <v>189</v>
      </c>
      <c r="D3996" t="s">
        <v>99</v>
      </c>
      <c r="E3996" s="2" t="str">
        <f>HYPERLINK("https://ibp.a2mac1.com/costing(costing:projects/details/8191/equipment/6948401)","Equipment (Casting)")</f>
        <v>Equipment (Casting)</v>
      </c>
      <c r="F3996" t="s">
        <v>4878</v>
      </c>
    </row>
    <row r="3997" spans="1:6" ht="12.75">
      <c r="A3997">
        <v>5388763</v>
      </c>
      <c r="B3997">
        <v>5388375</v>
      </c>
      <c r="C3997" t="s">
        <v>8</v>
      </c>
      <c r="D3997" t="s">
        <v>8</v>
      </c>
      <c r="E3997" s="2" t="str">
        <f>HYPERLINK("https://ibp.a2mac1.com/costing(costing:projects/details/8191/assembly/5388763)","Fastners")</f>
        <v>Fastners</v>
      </c>
      <c r="F3997" t="s">
        <v>4870</v>
      </c>
    </row>
    <row r="3998" spans="1:6" ht="12.75">
      <c r="A3998">
        <v>5319772</v>
      </c>
      <c r="B3998">
        <v>5388763</v>
      </c>
      <c r="C3998" t="s">
        <v>574</v>
      </c>
      <c r="D3998" t="s">
        <v>8</v>
      </c>
      <c r="E3998" s="2" t="str">
        <f>HYPERLINK("https://ibp.a2mac1.com/costing(costing:projects/details/8191/component/5319772)","Screw &gt; 12 point flange screw with flange")</f>
        <v>Screw &gt; 12 point flange screw with flange</v>
      </c>
      <c r="F3998" t="s">
        <v>4880</v>
      </c>
    </row>
    <row r="3999" spans="1:6" ht="12.75">
      <c r="A3999">
        <v>5319773</v>
      </c>
      <c r="B3999">
        <v>5388763</v>
      </c>
      <c r="C3999" t="s">
        <v>574</v>
      </c>
      <c r="D3999" t="s">
        <v>8</v>
      </c>
      <c r="E3999" s="2" t="str">
        <f>HYPERLINK("https://ibp.a2mac1.com/costing(costing:projects/details/8191/component/5319773)","Screw &gt; Torx socket head cap screw")</f>
        <v>Screw &gt; Torx socket head cap screw</v>
      </c>
      <c r="F3999" t="s">
        <v>4880</v>
      </c>
    </row>
    <row r="4000" spans="1:6" ht="12.75">
      <c r="A4000">
        <v>5388376</v>
      </c>
      <c r="B4000">
        <v>5388177</v>
      </c>
      <c r="C4000" t="s">
        <v>8</v>
      </c>
      <c r="D4000" t="s">
        <v>8</v>
      </c>
      <c r="E4000" s="2" t="str">
        <f>HYPERLINK("https://ibp.a2mac1.com/costing(costing:projects/details/8191/assembly/5388376)","Fastners")</f>
        <v>Fastners</v>
      </c>
      <c r="F4000" t="s">
        <v>4856</v>
      </c>
    </row>
    <row r="4001" spans="1:6" ht="12.75">
      <c r="A4001">
        <v>5319554</v>
      </c>
      <c r="B4001">
        <v>5388376</v>
      </c>
      <c r="C4001" t="s">
        <v>574</v>
      </c>
      <c r="D4001" t="s">
        <v>8</v>
      </c>
      <c r="E4001" s="2" t="str">
        <f>HYPERLINK("https://ibp.a2mac1.com/costing(costing:projects/details/8191/component/5319554)","Screw &gt; Torx socket head cap screw with flange")</f>
        <v>Screw &gt; Torx socket head cap screw with flange</v>
      </c>
      <c r="F4001" t="s">
        <v>4882</v>
      </c>
    </row>
    <row r="4002" spans="1:6" ht="12.75">
      <c r="A4002">
        <v>5388373</v>
      </c>
      <c r="B4002">
        <v>5388177</v>
      </c>
      <c r="C4002" t="s">
        <v>12</v>
      </c>
      <c r="D4002" t="s">
        <v>8</v>
      </c>
      <c r="E4002" s="2" t="str">
        <f>HYPERLINK("https://ibp.a2mac1.com/costing(costing:projects/details/8191/part/5388373)","Door Stopper")</f>
        <v>Door Stopper</v>
      </c>
      <c r="F4002" t="s">
        <v>4856</v>
      </c>
    </row>
    <row r="4003" spans="1:6" ht="12.75">
      <c r="A4003">
        <v>5388178</v>
      </c>
      <c r="B4003">
        <v>5388133</v>
      </c>
      <c r="C4003" t="s">
        <v>8</v>
      </c>
      <c r="D4003" t="s">
        <v>8</v>
      </c>
      <c r="E4003" s="2" t="str">
        <f>HYPERLINK("https://ibp.a2mac1.com/costing(costing:projects/details/8191/assembly/5388178)","Power System")</f>
        <v>Power System</v>
      </c>
      <c r="F4003" t="s">
        <v>4591</v>
      </c>
    </row>
    <row r="4004" spans="1:6" ht="12.75">
      <c r="A4004">
        <v>5388382</v>
      </c>
      <c r="B4004">
        <v>5388178</v>
      </c>
      <c r="C4004" t="s">
        <v>8</v>
      </c>
      <c r="D4004" t="s">
        <v>8</v>
      </c>
      <c r="E4004" s="2" t="str">
        <f>HYPERLINK("https://ibp.a2mac1.com/costing(costing:projects/details/8191/assembly/5388382)","Door ECU")</f>
        <v>Door ECU</v>
      </c>
      <c r="F4004" t="s">
        <v>4886</v>
      </c>
    </row>
    <row r="4005" spans="1:6" ht="12.75">
      <c r="A4005">
        <v>6975386</v>
      </c>
      <c r="B4005">
        <v>5388382</v>
      </c>
      <c r="C4005" t="s">
        <v>99</v>
      </c>
      <c r="D4005" t="s">
        <v>8</v>
      </c>
      <c r="E4005" s="2" t="str">
        <f>HYPERLINK("https://ibp.a2mac1.com/costing(costing:projects/details/8191/process/6975386)","Process")</f>
        <v>Process</v>
      </c>
      <c r="F4005" t="s">
        <v>4887</v>
      </c>
    </row>
    <row r="4006" spans="1:6" ht="12.75">
      <c r="A4006">
        <v>6947965</v>
      </c>
      <c r="B4006">
        <v>6975386</v>
      </c>
      <c r="C4006" t="s">
        <v>189</v>
      </c>
      <c r="D4006" t="s">
        <v>99</v>
      </c>
      <c r="E4006" s="2" t="str">
        <f>HYPERLINK("https://ibp.a2mac1.com/costing(costing:projects/details/8191/equipment/6947965)","Dummy Machine (PCBA+Final Assembly Line)")</f>
        <v>Dummy Machine (PCBA+Final Assembly Line)</v>
      </c>
      <c r="F4006" t="s">
        <v>4888</v>
      </c>
    </row>
    <row r="4007" spans="1:6" ht="12.75">
      <c r="A4007">
        <v>5319555</v>
      </c>
      <c r="B4007">
        <v>5388382</v>
      </c>
      <c r="C4007" t="s">
        <v>574</v>
      </c>
      <c r="D4007" t="s">
        <v>8</v>
      </c>
      <c r="E4007" s="2" t="str">
        <f>HYPERLINK("https://ibp.a2mac1.com/costing(costing:projects/details/8191/component/5319555)","Mechanics")</f>
        <v>Mechanics</v>
      </c>
      <c r="F4007" t="s">
        <v>4887</v>
      </c>
    </row>
    <row r="4008" spans="1:6" ht="12.75">
      <c r="A4008">
        <v>5319556</v>
      </c>
      <c r="B4008">
        <v>5388382</v>
      </c>
      <c r="C4008" t="s">
        <v>574</v>
      </c>
      <c r="D4008" t="s">
        <v>8</v>
      </c>
      <c r="E4008" s="2" t="str">
        <f>HYPERLINK("https://ibp.a2mac1.com/costing(costing:projects/details/8191/component/5319556)","Electronics")</f>
        <v>Electronics</v>
      </c>
      <c r="F4008" t="s">
        <v>4887</v>
      </c>
    </row>
    <row r="4009" spans="1:6" ht="12.75">
      <c r="A4009">
        <v>5388387</v>
      </c>
      <c r="B4009">
        <v>5388178</v>
      </c>
      <c r="C4009" t="s">
        <v>8</v>
      </c>
      <c r="D4009" t="s">
        <v>8</v>
      </c>
      <c r="E4009" s="2" t="str">
        <f>HYPERLINK("https://ibp.a2mac1.com/costing(costing:projects/details/8191/assembly/5388387)","Ambiant Light")</f>
        <v>Ambiant Light</v>
      </c>
      <c r="F4009" t="s">
        <v>4886</v>
      </c>
    </row>
    <row r="4010" spans="1:6" ht="12.75">
      <c r="A4010">
        <v>5388764</v>
      </c>
      <c r="B4010">
        <v>5388387</v>
      </c>
      <c r="C4010" t="s">
        <v>12</v>
      </c>
      <c r="D4010" t="s">
        <v>8</v>
      </c>
      <c r="E4010" s="2" t="str">
        <f>HYPERLINK("https://ibp.a2mac1.com/costing(costing:projects/details/8191/part/5388764)","Lighting")</f>
        <v>Lighting</v>
      </c>
      <c r="F4010" t="s">
        <v>4890</v>
      </c>
    </row>
    <row r="4011" spans="1:6" ht="12.75">
      <c r="A4011">
        <v>5388765</v>
      </c>
      <c r="B4011">
        <v>5388387</v>
      </c>
      <c r="C4011" t="s">
        <v>12</v>
      </c>
      <c r="D4011" t="s">
        <v>8</v>
      </c>
      <c r="E4011" s="2" t="str">
        <f>HYPERLINK("https://ibp.a2mac1.com/costing(costing:projects/details/8191/part/5388765)","2nd Light")</f>
        <v>2nd Light</v>
      </c>
      <c r="F4011" t="s">
        <v>4890</v>
      </c>
    </row>
    <row r="4012" spans="1:6" ht="12.75">
      <c r="A4012">
        <v>5388766</v>
      </c>
      <c r="B4012">
        <v>5388387</v>
      </c>
      <c r="C4012" t="s">
        <v>12</v>
      </c>
      <c r="D4012" t="s">
        <v>8</v>
      </c>
      <c r="E4012" s="2" t="str">
        <f>HYPERLINK("https://ibp.a2mac1.com/costing(costing:projects/details/8191/part/5388766)","Light Diffuser")</f>
        <v>Light Diffuser</v>
      </c>
      <c r="F4012" t="s">
        <v>4890</v>
      </c>
    </row>
    <row r="4013" spans="1:6" ht="12.75">
      <c r="A4013">
        <v>5388767</v>
      </c>
      <c r="B4013">
        <v>5388387</v>
      </c>
      <c r="C4013" t="s">
        <v>12</v>
      </c>
      <c r="D4013" t="s">
        <v>8</v>
      </c>
      <c r="E4013" s="2" t="str">
        <f>HYPERLINK("https://ibp.a2mac1.com/costing(costing:projects/details/8191/part/5388767)","2nd Light Diffuser")</f>
        <v>2nd Light Diffuser</v>
      </c>
      <c r="F4013" t="s">
        <v>4890</v>
      </c>
    </row>
    <row r="4014" spans="1:6" ht="12.75">
      <c r="A4014">
        <v>5388388</v>
      </c>
      <c r="B4014">
        <v>5388178</v>
      </c>
      <c r="C4014" t="s">
        <v>8</v>
      </c>
      <c r="D4014" t="s">
        <v>8</v>
      </c>
      <c r="E4014" s="2" t="str">
        <f>HYPERLINK("https://ibp.a2mac1.com/costing(costing:projects/details/8191/assembly/5388388)","Fastners")</f>
        <v>Fastners</v>
      </c>
      <c r="F4014" t="s">
        <v>4886</v>
      </c>
    </row>
    <row r="4015" spans="1:6" ht="12.75">
      <c r="A4015">
        <v>5319557</v>
      </c>
      <c r="B4015">
        <v>5388388</v>
      </c>
      <c r="C4015" t="s">
        <v>574</v>
      </c>
      <c r="D4015" t="s">
        <v>8</v>
      </c>
      <c r="E4015" s="2" t="str">
        <f>HYPERLINK("https://ibp.a2mac1.com/costing(costing:projects/details/8191/component/5319557)","Tube/cluster support &gt; Tube/cluster beribboned support in hole")</f>
        <v>Tube/cluster support &gt; Tube/cluster beribboned support in hole</v>
      </c>
      <c r="F4015" t="s">
        <v>4896</v>
      </c>
    </row>
    <row r="4016" spans="1:6" ht="12.75">
      <c r="A4016">
        <v>5319558</v>
      </c>
      <c r="B4016">
        <v>5388388</v>
      </c>
      <c r="C4016" t="s">
        <v>574</v>
      </c>
      <c r="D4016" t="s">
        <v>8</v>
      </c>
      <c r="E4016" s="2" t="str">
        <f>HYPERLINK("https://ibp.a2mac1.com/costing(costing:projects/details/8191/component/5319558)","Tube/cluster support &gt; Tube/cluster strap support between tube/cluster")</f>
        <v>Tube/cluster support &gt; Tube/cluster strap support between tube/cluster</v>
      </c>
      <c r="F4016" t="s">
        <v>4896</v>
      </c>
    </row>
    <row r="4017" spans="1:6" ht="12.75">
      <c r="A4017">
        <v>5388377</v>
      </c>
      <c r="B4017">
        <v>5388178</v>
      </c>
      <c r="C4017" t="s">
        <v>12</v>
      </c>
      <c r="D4017" t="s">
        <v>8</v>
      </c>
      <c r="E4017" s="2" t="str">
        <f>HYPERLINK("https://ibp.a2mac1.com/costing(costing:projects/details/8191/part/5388377)","Harness")</f>
        <v>Harness</v>
      </c>
      <c r="F4017" t="s">
        <v>4886</v>
      </c>
    </row>
    <row r="4018" spans="1:6" ht="12.75">
      <c r="A4018">
        <v>5388378</v>
      </c>
      <c r="B4018">
        <v>5388178</v>
      </c>
      <c r="C4018" t="s">
        <v>12</v>
      </c>
      <c r="D4018" t="s">
        <v>8</v>
      </c>
      <c r="E4018" s="2" t="str">
        <f>HYPERLINK("https://ibp.a2mac1.com/costing(costing:projects/details/8191/part/5388378)","2nd Harness")</f>
        <v>2nd Harness</v>
      </c>
      <c r="F4018" t="s">
        <v>4886</v>
      </c>
    </row>
    <row r="4019" spans="1:6" ht="12.75">
      <c r="A4019">
        <v>5388379</v>
      </c>
      <c r="B4019">
        <v>5388178</v>
      </c>
      <c r="C4019" t="s">
        <v>12</v>
      </c>
      <c r="D4019" t="s">
        <v>8</v>
      </c>
      <c r="E4019" s="2" t="str">
        <f>HYPERLINK("https://ibp.a2mac1.com/costing(costing:projects/details/8191/part/5388379)","Lighting Wiring Harness")</f>
        <v>Lighting Wiring Harness</v>
      </c>
      <c r="F4019" t="s">
        <v>4886</v>
      </c>
    </row>
    <row r="4020" spans="1:6" ht="12.75">
      <c r="A4020">
        <v>5388380</v>
      </c>
      <c r="B4020">
        <v>5388178</v>
      </c>
      <c r="C4020" t="s">
        <v>12</v>
      </c>
      <c r="D4020" t="s">
        <v>8</v>
      </c>
      <c r="E4020" s="2" t="str">
        <f>HYPERLINK("https://ibp.a2mac1.com/costing(costing:projects/details/8191/part/5388380)","Harness Grommet")</f>
        <v>Harness Grommet</v>
      </c>
      <c r="F4020" t="s">
        <v>4886</v>
      </c>
    </row>
    <row r="4021" spans="1:6" ht="12.75">
      <c r="A4021">
        <v>5388381</v>
      </c>
      <c r="B4021">
        <v>5388178</v>
      </c>
      <c r="C4021" t="s">
        <v>12</v>
      </c>
      <c r="D4021" t="s">
        <v>8</v>
      </c>
      <c r="E4021" s="2" t="str">
        <f>HYPERLINK("https://ibp.a2mac1.com/costing(costing:projects/details/8191/part/5388381)","2nd Harness Grommet")</f>
        <v>2nd Harness Grommet</v>
      </c>
      <c r="F4021" t="s">
        <v>4886</v>
      </c>
    </row>
    <row r="4022" spans="1:6" ht="12.75">
      <c r="A4022">
        <v>5388386</v>
      </c>
      <c r="B4022">
        <v>5388178</v>
      </c>
      <c r="C4022" t="s">
        <v>12</v>
      </c>
      <c r="D4022" t="s">
        <v>8</v>
      </c>
      <c r="E4022" s="2" t="str">
        <f>HYPERLINK("https://ibp.a2mac1.com/costing(costing:projects/details/8191/part/5388386)","Locking Indicator")</f>
        <v>Locking Indicator</v>
      </c>
      <c r="F4022" t="s">
        <v>4886</v>
      </c>
    </row>
    <row r="4023" spans="1:6" ht="12.75">
      <c r="A4023">
        <v>5388179</v>
      </c>
      <c r="B4023">
        <v>5388133</v>
      </c>
      <c r="C4023" t="s">
        <v>8</v>
      </c>
      <c r="D4023" t="s">
        <v>8</v>
      </c>
      <c r="E4023" s="2" t="str">
        <f>HYPERLINK("https://ibp.a2mac1.com/costing(costing:projects/details/8191/assembly/5388179)","Molding System")</f>
        <v>Molding System</v>
      </c>
      <c r="F4023" t="s">
        <v>4591</v>
      </c>
    </row>
    <row r="4024" spans="1:6" ht="12.75">
      <c r="A4024">
        <v>5388393</v>
      </c>
      <c r="B4024">
        <v>5388179</v>
      </c>
      <c r="C4024" t="s">
        <v>8</v>
      </c>
      <c r="D4024" t="s">
        <v>8</v>
      </c>
      <c r="E4024" s="2" t="str">
        <f>HYPERLINK("https://ibp.a2mac1.com/costing(costing:projects/details/8191/assembly/5388393)","Fastners")</f>
        <v>Fastners</v>
      </c>
      <c r="F4024" t="s">
        <v>4907</v>
      </c>
    </row>
    <row r="4025" spans="1:6" ht="12.75">
      <c r="A4025">
        <v>5319559</v>
      </c>
      <c r="B4025">
        <v>5388393</v>
      </c>
      <c r="C4025" t="s">
        <v>574</v>
      </c>
      <c r="D4025" t="s">
        <v>8</v>
      </c>
      <c r="E4025" s="2" t="str">
        <f>HYPERLINK("https://ibp.a2mac1.com/costing(costing:projects/details/8191/component/5319559)","Panel holder &gt; Clips in round hole")</f>
        <v>Panel holder &gt; Clips in round hole</v>
      </c>
      <c r="F4025" t="s">
        <v>4908</v>
      </c>
    </row>
    <row r="4026" spans="1:6" ht="12.75">
      <c r="A4026">
        <v>5319560</v>
      </c>
      <c r="B4026">
        <v>5388393</v>
      </c>
      <c r="C4026" t="s">
        <v>574</v>
      </c>
      <c r="D4026" t="s">
        <v>8</v>
      </c>
      <c r="E4026" s="2" t="str">
        <f>HYPERLINK("https://ibp.a2mac1.com/costing(costing:projects/details/8191/component/5319560)","Rivet &gt; Screw rivet")</f>
        <v>Rivet &gt; Screw rivet</v>
      </c>
      <c r="F4026" t="s">
        <v>4908</v>
      </c>
    </row>
    <row r="4027" spans="1:6" ht="12.75">
      <c r="A4027">
        <v>5388389</v>
      </c>
      <c r="B4027">
        <v>5388179</v>
      </c>
      <c r="C4027" t="s">
        <v>12</v>
      </c>
      <c r="D4027" t="s">
        <v>8</v>
      </c>
      <c r="E4027" s="2" t="str">
        <f>HYPERLINK("https://ibp.a2mac1.com/costing(costing:projects/details/8191/part/5388389)","Side Protection Molding")</f>
        <v>Side Protection Molding</v>
      </c>
      <c r="F4027" t="s">
        <v>4907</v>
      </c>
    </row>
    <row r="4028" spans="1:6" ht="12.75">
      <c r="A4028">
        <v>6975387</v>
      </c>
      <c r="B4028">
        <v>5388389</v>
      </c>
      <c r="C4028" t="s">
        <v>99</v>
      </c>
      <c r="D4028" t="s">
        <v>12</v>
      </c>
      <c r="E4028" s="2" t="str">
        <f>HYPERLINK("https://ibp.a2mac1.com/costing(costing:projects/details/8191/process/6975387)","Injection molding")</f>
        <v>Injection molding</v>
      </c>
      <c r="F4028" t="s">
        <v>4909</v>
      </c>
    </row>
    <row r="4029" spans="1:6" ht="12.75">
      <c r="A4029">
        <v>5319774</v>
      </c>
      <c r="B4029">
        <v>6975387</v>
      </c>
      <c r="C4029" t="s">
        <v>24</v>
      </c>
      <c r="D4029" t="s">
        <v>99</v>
      </c>
      <c r="E4029" s="2" t="str">
        <f>HYPERLINK("https://ibp.a2mac1.com/costing(costing:projects/details/8191/material/5319774)","PP-TD20")</f>
        <v>PP-TD20</v>
      </c>
      <c r="F4029" t="s">
        <v>4912</v>
      </c>
    </row>
    <row r="4030" spans="1:6" ht="12.75">
      <c r="A4030">
        <v>6947966</v>
      </c>
      <c r="B4030">
        <v>6975387</v>
      </c>
      <c r="C4030" t="s">
        <v>189</v>
      </c>
      <c r="D4030" t="s">
        <v>99</v>
      </c>
      <c r="E4030" s="2" t="str">
        <f>HYPERLINK("https://ibp.a2mac1.com/costing(costing:projects/details/8191/equipment/6947966)","No.13 - Injection Press - 1000T - 191kW - 1230x1230 - Max Volume 7815cm3 ")</f>
        <v xml:space="preserve">No.13 - Injection Press - 1000T - 191kW - 1230x1230 - Max Volume 7815cm3 </v>
      </c>
      <c r="F4030" t="s">
        <v>4912</v>
      </c>
    </row>
    <row r="4031" spans="1:6" ht="12.75">
      <c r="A4031">
        <v>6975388</v>
      </c>
      <c r="B4031">
        <v>5388389</v>
      </c>
      <c r="C4031" t="s">
        <v>99</v>
      </c>
      <c r="D4031" t="s">
        <v>12</v>
      </c>
      <c r="E4031" s="2" t="str">
        <f>HYPERLINK("https://ibp.a2mac1.com/costing(costing:projects/details/8191/process/6975388)","Handling/Visual Inspection/Packaging")</f>
        <v>Handling/Visual Inspection/Packaging</v>
      </c>
      <c r="F4031" t="s">
        <v>4909</v>
      </c>
    </row>
    <row r="4032" spans="1:6" ht="12.75">
      <c r="A4032">
        <v>6947967</v>
      </c>
      <c r="B4032">
        <v>6975388</v>
      </c>
      <c r="C4032" t="s">
        <v>189</v>
      </c>
      <c r="D4032" t="s">
        <v>99</v>
      </c>
      <c r="E4032" s="2" t="str">
        <f>HYPERLINK("https://ibp.a2mac1.com/costing(costing:projects/details/8191/equipment/6947967)","Packaging")</f>
        <v>Packaging</v>
      </c>
      <c r="F4032" t="s">
        <v>4913</v>
      </c>
    </row>
    <row r="4033" spans="1:6" ht="12.75">
      <c r="A4033">
        <v>5388390</v>
      </c>
      <c r="B4033">
        <v>5388179</v>
      </c>
      <c r="C4033" t="s">
        <v>12</v>
      </c>
      <c r="D4033" t="s">
        <v>8</v>
      </c>
      <c r="E4033" s="2" t="str">
        <f>HYPERLINK("https://ibp.a2mac1.com/costing(costing:projects/details/8191/part/5388390)","B Pillar Accent")</f>
        <v>B Pillar Accent</v>
      </c>
      <c r="F4033" t="s">
        <v>4907</v>
      </c>
    </row>
    <row r="4034" spans="1:6" ht="12.75">
      <c r="A4034">
        <v>6975389</v>
      </c>
      <c r="B4034">
        <v>5388390</v>
      </c>
      <c r="C4034" t="s">
        <v>99</v>
      </c>
      <c r="D4034" t="s">
        <v>12</v>
      </c>
      <c r="E4034" s="2" t="str">
        <f>HYPERLINK("https://ibp.a2mac1.com/costing(costing:projects/details/8191/process/6975389)","Injection molding")</f>
        <v>Injection molding</v>
      </c>
      <c r="F4034" t="s">
        <v>4915</v>
      </c>
    </row>
    <row r="4035" spans="1:6" ht="12.75">
      <c r="A4035">
        <v>5319775</v>
      </c>
      <c r="B4035">
        <v>6975389</v>
      </c>
      <c r="C4035" t="s">
        <v>24</v>
      </c>
      <c r="D4035" t="s">
        <v>99</v>
      </c>
      <c r="E4035" s="2" t="str">
        <f>HYPERLINK("https://ibp.a2mac1.com/costing(costing:projects/details/8191/material/5319775)","PMMA")</f>
        <v>PMMA</v>
      </c>
      <c r="F4035" t="s">
        <v>4918</v>
      </c>
    </row>
    <row r="4036" spans="1:6" ht="12.75">
      <c r="A4036">
        <v>6947968</v>
      </c>
      <c r="B4036">
        <v>6975389</v>
      </c>
      <c r="C4036" t="s">
        <v>189</v>
      </c>
      <c r="D4036" t="s">
        <v>99</v>
      </c>
      <c r="E4036" s="2" t="str">
        <f>HYPERLINK("https://ibp.a2mac1.com/costing(costing:projects/details/8191/equipment/6947968)","No.07 - Injection Press - 250T - 63kW - 570x570 - Max Volume 958cm3 ")</f>
        <v xml:space="preserve">No.07 - Injection Press - 250T - 63kW - 570x570 - Max Volume 958cm3 </v>
      </c>
      <c r="F4036" t="s">
        <v>4918</v>
      </c>
    </row>
    <row r="4037" spans="1:6" ht="12.75">
      <c r="A4037">
        <v>6975390</v>
      </c>
      <c r="B4037">
        <v>5388390</v>
      </c>
      <c r="C4037" t="s">
        <v>99</v>
      </c>
      <c r="D4037" t="s">
        <v>12</v>
      </c>
      <c r="E4037" s="2" t="str">
        <f>HYPERLINK("https://ibp.a2mac1.com/costing(costing:projects/details/8191/process/6975390)","Handling/Visual Inspection/Packaging")</f>
        <v>Handling/Visual Inspection/Packaging</v>
      </c>
      <c r="F4037" t="s">
        <v>4915</v>
      </c>
    </row>
    <row r="4038" spans="1:6" ht="12.75">
      <c r="A4038">
        <v>6947969</v>
      </c>
      <c r="B4038">
        <v>6975390</v>
      </c>
      <c r="C4038" t="s">
        <v>189</v>
      </c>
      <c r="D4038" t="s">
        <v>99</v>
      </c>
      <c r="E4038" s="2" t="str">
        <f>HYPERLINK("https://ibp.a2mac1.com/costing(costing:projects/details/8191/equipment/6947969)","Packaging")</f>
        <v>Packaging</v>
      </c>
      <c r="F4038" t="s">
        <v>4919</v>
      </c>
    </row>
    <row r="4039" spans="1:6" ht="12.75">
      <c r="A4039">
        <v>5388391</v>
      </c>
      <c r="B4039">
        <v>5388179</v>
      </c>
      <c r="C4039" t="s">
        <v>12</v>
      </c>
      <c r="D4039" t="s">
        <v>8</v>
      </c>
      <c r="E4039" s="2" t="str">
        <f>HYPERLINK("https://ibp.a2mac1.com/costing(costing:projects/details/8191/part/5388391)","Outer Upper Trim")</f>
        <v>Outer Upper Trim</v>
      </c>
      <c r="F4039" t="s">
        <v>4907</v>
      </c>
    </row>
    <row r="4040" spans="1:6" ht="12.75">
      <c r="A4040">
        <v>6975391</v>
      </c>
      <c r="B4040">
        <v>5388391</v>
      </c>
      <c r="C4040" t="s">
        <v>99</v>
      </c>
      <c r="D4040" t="s">
        <v>12</v>
      </c>
      <c r="E4040" s="2" t="str">
        <f>HYPERLINK("https://ibp.a2mac1.com/costing(costing:projects/details/8191/process/6975391)","Injection molding")</f>
        <v>Injection molding</v>
      </c>
      <c r="F4040" t="s">
        <v>4921</v>
      </c>
    </row>
    <row r="4041" spans="1:6" ht="12.75">
      <c r="A4041">
        <v>5319776</v>
      </c>
      <c r="B4041">
        <v>6975391</v>
      </c>
      <c r="C4041" t="s">
        <v>24</v>
      </c>
      <c r="D4041" t="s">
        <v>99</v>
      </c>
      <c r="E4041" s="2" t="str">
        <f>HYPERLINK("https://ibp.a2mac1.com/costing(costing:projects/details/8191/material/5319776)","ABS")</f>
        <v>ABS</v>
      </c>
      <c r="F4041" t="s">
        <v>4922</v>
      </c>
    </row>
    <row r="4042" spans="1:6" ht="12.75">
      <c r="A4042">
        <v>5319777</v>
      </c>
      <c r="B4042">
        <v>6975391</v>
      </c>
      <c r="C4042" t="s">
        <v>24</v>
      </c>
      <c r="D4042" t="s">
        <v>99</v>
      </c>
      <c r="E4042" s="2" t="str">
        <f>HYPERLINK("https://ibp.a2mac1.com/costing(costing:projects/details/8191/material/5319777)","PMMA")</f>
        <v>PMMA</v>
      </c>
      <c r="F4042" t="s">
        <v>4922</v>
      </c>
    </row>
    <row r="4043" spans="1:6" ht="12.75">
      <c r="A4043">
        <v>6947970</v>
      </c>
      <c r="B4043">
        <v>6975391</v>
      </c>
      <c r="C4043" t="s">
        <v>189</v>
      </c>
      <c r="D4043" t="s">
        <v>99</v>
      </c>
      <c r="E4043" s="2" t="str">
        <f>HYPERLINK("https://ibp.a2mac1.com/costing(costing:projects/details/8191/equipment/6947970)","Equipment (Injection Molding)")</f>
        <v>Equipment (Injection Molding)</v>
      </c>
      <c r="F4043" t="s">
        <v>4922</v>
      </c>
    </row>
    <row r="4044" spans="1:6" ht="12.75">
      <c r="A4044">
        <v>6947971</v>
      </c>
      <c r="B4044">
        <v>6975391</v>
      </c>
      <c r="C4044" t="s">
        <v>189</v>
      </c>
      <c r="D4044" t="s">
        <v>99</v>
      </c>
      <c r="E4044" s="2" t="str">
        <f>HYPERLINK("https://ibp.a2mac1.com/costing(costing:projects/details/8191/equipment/6947971)","Equipment (Injection Molding)")</f>
        <v>Equipment (Injection Molding)</v>
      </c>
      <c r="F4044" t="s">
        <v>4922</v>
      </c>
    </row>
    <row r="4045" spans="1:6" ht="12.75">
      <c r="A4045">
        <v>5388392</v>
      </c>
      <c r="B4045">
        <v>5388179</v>
      </c>
      <c r="C4045" t="s">
        <v>12</v>
      </c>
      <c r="D4045" t="s">
        <v>8</v>
      </c>
      <c r="E4045" s="2" t="str">
        <f>HYPERLINK("https://ibp.a2mac1.com/costing(costing:projects/details/8191/part/5388392)","Exterior Front Trim")</f>
        <v>Exterior Front Trim</v>
      </c>
      <c r="F4045" t="s">
        <v>4907</v>
      </c>
    </row>
    <row r="4046" spans="1:6" ht="12.75">
      <c r="A4046">
        <v>6975392</v>
      </c>
      <c r="B4046">
        <v>5388392</v>
      </c>
      <c r="C4046" t="s">
        <v>99</v>
      </c>
      <c r="D4046" t="s">
        <v>12</v>
      </c>
      <c r="E4046" s="2" t="str">
        <f>HYPERLINK("https://ibp.a2mac1.com/costing(costing:projects/details/8191/process/6975392)","Injection molding")</f>
        <v>Injection molding</v>
      </c>
      <c r="F4046" t="s">
        <v>4924</v>
      </c>
    </row>
    <row r="4047" spans="1:6" ht="12.75">
      <c r="A4047">
        <v>5319778</v>
      </c>
      <c r="B4047">
        <v>6975392</v>
      </c>
      <c r="C4047" t="s">
        <v>24</v>
      </c>
      <c r="D4047" t="s">
        <v>99</v>
      </c>
      <c r="E4047" s="2" t="str">
        <f>HYPERLINK("https://ibp.a2mac1.com/costing(costing:projects/details/8191/material/5319778)","ABS")</f>
        <v>ABS</v>
      </c>
      <c r="F4047" t="s">
        <v>4926</v>
      </c>
    </row>
    <row r="4048" spans="1:6" ht="12.75">
      <c r="A4048">
        <v>6947972</v>
      </c>
      <c r="B4048">
        <v>6975392</v>
      </c>
      <c r="C4048" t="s">
        <v>189</v>
      </c>
      <c r="D4048" t="s">
        <v>99</v>
      </c>
      <c r="E4048" s="2" t="str">
        <f>HYPERLINK("https://ibp.a2mac1.com/costing(costing:projects/details/8191/equipment/6947972)","Equipment (Injection Molding)")</f>
        <v>Equipment (Injection Molding)</v>
      </c>
      <c r="F4048" t="s">
        <v>4926</v>
      </c>
    </row>
    <row r="4049" spans="1:6" ht="12.75">
      <c r="A4049">
        <v>5388180</v>
      </c>
      <c r="B4049">
        <v>5388133</v>
      </c>
      <c r="C4049" t="s">
        <v>8</v>
      </c>
      <c r="D4049" t="s">
        <v>8</v>
      </c>
      <c r="E4049" s="2" t="str">
        <f>HYPERLINK("https://ibp.a2mac1.com/costing(costing:projects/details/8191/assembly/5388180)","Rear View Mirror System")</f>
        <v>Rear View Mirror System</v>
      </c>
      <c r="F4049" t="s">
        <v>4591</v>
      </c>
    </row>
    <row r="4050" spans="1:6" ht="12.75">
      <c r="A4050">
        <v>5388394</v>
      </c>
      <c r="B4050">
        <v>5388180</v>
      </c>
      <c r="C4050" t="s">
        <v>8</v>
      </c>
      <c r="D4050" t="s">
        <v>8</v>
      </c>
      <c r="E4050" s="2" t="str">
        <f>HYPERLINK("https://ibp.a2mac1.com/costing(costing:projects/details/8191/assembly/5388394)","Outside Rear View Mirror")</f>
        <v>Outside Rear View Mirror</v>
      </c>
      <c r="F4050" t="s">
        <v>4929</v>
      </c>
    </row>
    <row r="4051" spans="1:6" ht="12.75">
      <c r="A4051">
        <v>5388785</v>
      </c>
      <c r="B4051">
        <v>5388394</v>
      </c>
      <c r="C4051" t="s">
        <v>8</v>
      </c>
      <c r="D4051" t="s">
        <v>8</v>
      </c>
      <c r="E4051" s="2" t="str">
        <f>HYPERLINK("https://ibp.a2mac1.com/costing(costing:projects/details/8191/assembly/5388785)","Fastners")</f>
        <v>Fastners</v>
      </c>
      <c r="F4051" t="s">
        <v>4930</v>
      </c>
    </row>
    <row r="4052" spans="1:6" ht="12.75">
      <c r="A4052">
        <v>5319779</v>
      </c>
      <c r="B4052">
        <v>5388785</v>
      </c>
      <c r="C4052" t="s">
        <v>574</v>
      </c>
      <c r="D4052" t="s">
        <v>8</v>
      </c>
      <c r="E4052" s="2" t="str">
        <f>HYPERLINK("https://ibp.a2mac1.com/costing(costing:projects/details/8191/component/5319779)","Screw &gt; 12 point socket head cap screw with flange")</f>
        <v>Screw &gt; 12 point socket head cap screw with flange</v>
      </c>
      <c r="F4052" t="s">
        <v>4931</v>
      </c>
    </row>
    <row r="4053" spans="1:6" ht="12.75">
      <c r="A4053">
        <v>5319780</v>
      </c>
      <c r="B4053">
        <v>5388785</v>
      </c>
      <c r="C4053" t="s">
        <v>574</v>
      </c>
      <c r="D4053" t="s">
        <v>8</v>
      </c>
      <c r="E4053" s="2" t="str">
        <f>HYPERLINK("https://ibp.a2mac1.com/costing(costing:projects/details/8191/component/5319780)","Screw &gt; Torx socket head cap screw")</f>
        <v>Screw &gt; Torx socket head cap screw</v>
      </c>
      <c r="F4053" t="s">
        <v>4931</v>
      </c>
    </row>
    <row r="4054" spans="1:6" ht="12.75">
      <c r="A4054">
        <v>5319781</v>
      </c>
      <c r="B4054">
        <v>5388785</v>
      </c>
      <c r="C4054" t="s">
        <v>574</v>
      </c>
      <c r="D4054" t="s">
        <v>8</v>
      </c>
      <c r="E4054" s="2" t="str">
        <f>HYPERLINK("https://ibp.a2mac1.com/costing(costing:projects/details/8191/component/5319781)","Washer &gt; Plate washer")</f>
        <v>Washer &gt; Plate washer</v>
      </c>
      <c r="F4054" t="s">
        <v>4931</v>
      </c>
    </row>
    <row r="4055" spans="1:6" ht="12.75">
      <c r="A4055">
        <v>5319782</v>
      </c>
      <c r="B4055">
        <v>5388785</v>
      </c>
      <c r="C4055" t="s">
        <v>574</v>
      </c>
      <c r="D4055" t="s">
        <v>8</v>
      </c>
      <c r="E4055" s="2" t="str">
        <f>HYPERLINK("https://ibp.a2mac1.com/costing(costing:projects/details/8191/component/5319782)","Tube/cluster support &gt; Tube/cluster strap support in hole")</f>
        <v>Tube/cluster support &gt; Tube/cluster strap support in hole</v>
      </c>
      <c r="F4055" t="s">
        <v>4931</v>
      </c>
    </row>
    <row r="4056" spans="1:6" ht="12.75">
      <c r="A4056">
        <v>5319783</v>
      </c>
      <c r="B4056">
        <v>5388785</v>
      </c>
      <c r="C4056" t="s">
        <v>574</v>
      </c>
      <c r="D4056" t="s">
        <v>8</v>
      </c>
      <c r="E4056" s="2" t="str">
        <f>HYPERLINK("https://ibp.a2mac1.com/costing(costing:projects/details/8191/component/5319783)","Screw &gt; Torx socket head cap screw")</f>
        <v>Screw &gt; Torx socket head cap screw</v>
      </c>
      <c r="F4056" t="s">
        <v>4931</v>
      </c>
    </row>
    <row r="4057" spans="1:6" ht="12.75">
      <c r="A4057">
        <v>5319784</v>
      </c>
      <c r="B4057">
        <v>5388785</v>
      </c>
      <c r="C4057" t="s">
        <v>574</v>
      </c>
      <c r="D4057" t="s">
        <v>8</v>
      </c>
      <c r="E4057" s="2" t="str">
        <f>HYPERLINK("https://ibp.a2mac1.com/costing(costing:projects/details/8191/component/5319784)","Screw &gt; Torx socket head cap screw")</f>
        <v>Screw &gt; Torx socket head cap screw</v>
      </c>
      <c r="F4057" t="s">
        <v>4931</v>
      </c>
    </row>
    <row r="4058" spans="1:6" ht="12.75">
      <c r="A4058">
        <v>5319785</v>
      </c>
      <c r="B4058">
        <v>5388785</v>
      </c>
      <c r="C4058" t="s">
        <v>574</v>
      </c>
      <c r="D4058" t="s">
        <v>8</v>
      </c>
      <c r="E4058" s="2" t="str">
        <f>HYPERLINK("https://ibp.a2mac1.com/costing(costing:projects/details/8191/component/5319785)","Screw &gt; Torx socket head cap screw")</f>
        <v>Screw &gt; Torx socket head cap screw</v>
      </c>
      <c r="F4058" t="s">
        <v>4931</v>
      </c>
    </row>
    <row r="4059" spans="1:6" ht="12.75">
      <c r="A4059">
        <v>5319786</v>
      </c>
      <c r="B4059">
        <v>5388785</v>
      </c>
      <c r="C4059" t="s">
        <v>574</v>
      </c>
      <c r="D4059" t="s">
        <v>8</v>
      </c>
      <c r="E4059" s="2" t="str">
        <f>HYPERLINK("https://ibp.a2mac1.com/costing(costing:projects/details/8191/component/5319786)","Screw &gt; Torx socket head cap screw")</f>
        <v>Screw &gt; Torx socket head cap screw</v>
      </c>
      <c r="F4059" t="s">
        <v>4931</v>
      </c>
    </row>
    <row r="4060" spans="1:6" ht="12.75">
      <c r="A4060">
        <v>5319787</v>
      </c>
      <c r="B4060">
        <v>5388785</v>
      </c>
      <c r="C4060" t="s">
        <v>574</v>
      </c>
      <c r="D4060" t="s">
        <v>8</v>
      </c>
      <c r="E4060" s="2" t="str">
        <f>HYPERLINK("https://ibp.a2mac1.com/costing(costing:projects/details/8191/component/5319787)","Screw &gt; Torx socket head cap screw")</f>
        <v>Screw &gt; Torx socket head cap screw</v>
      </c>
      <c r="F4060" t="s">
        <v>4931</v>
      </c>
    </row>
    <row r="4061" spans="1:6" ht="12.75">
      <c r="A4061">
        <v>5388768</v>
      </c>
      <c r="B4061">
        <v>5388394</v>
      </c>
      <c r="C4061" t="s">
        <v>12</v>
      </c>
      <c r="D4061" t="s">
        <v>8</v>
      </c>
      <c r="E4061" s="2" t="str">
        <f>HYPERLINK("https://ibp.a2mac1.com/costing(costing:projects/details/8191/part/5388768)","Mirror")</f>
        <v>Mirror</v>
      </c>
      <c r="F4061" t="s">
        <v>4930</v>
      </c>
    </row>
    <row r="4062" spans="1:6" ht="12.75">
      <c r="A4062">
        <v>5388769</v>
      </c>
      <c r="B4062">
        <v>5388394</v>
      </c>
      <c r="C4062" t="s">
        <v>12</v>
      </c>
      <c r="D4062" t="s">
        <v>8</v>
      </c>
      <c r="E4062" s="2" t="str">
        <f>HYPERLINK("https://ibp.a2mac1.com/costing(costing:projects/details/8191/part/5388769)","Frame")</f>
        <v>Frame</v>
      </c>
      <c r="F4062" t="s">
        <v>4930</v>
      </c>
    </row>
    <row r="4063" spans="1:6" ht="12.75">
      <c r="A4063">
        <v>6975625</v>
      </c>
      <c r="B4063">
        <v>5388769</v>
      </c>
      <c r="C4063" t="s">
        <v>99</v>
      </c>
      <c r="D4063" t="s">
        <v>12</v>
      </c>
      <c r="E4063" s="2" t="str">
        <f>HYPERLINK("https://ibp.a2mac1.com/costing(costing:projects/details/8191/process/6975625)","Furnace heating")</f>
        <v>Furnace heating</v>
      </c>
      <c r="F4063" t="s">
        <v>4935</v>
      </c>
    </row>
    <row r="4064" spans="1:6" ht="12.75">
      <c r="A4064">
        <v>5320073</v>
      </c>
      <c r="B4064">
        <v>6975625</v>
      </c>
      <c r="C4064" t="s">
        <v>24</v>
      </c>
      <c r="D4064" t="s">
        <v>99</v>
      </c>
      <c r="E4064" s="2" t="str">
        <f>HYPERLINK("https://ibp.a2mac1.com/costing(costing:projects/details/8191/material/5320073)","Aluminum for casting (default, e.g. A380/ADC10/EN-AC46500)")</f>
        <v>Aluminum for casting (default, e.g. A380/ADC10/EN-AC46500)</v>
      </c>
      <c r="F4064" t="s">
        <v>4938</v>
      </c>
    </row>
    <row r="4065" spans="1:6" ht="12.75">
      <c r="A4065">
        <v>6948243</v>
      </c>
      <c r="B4065">
        <v>6975625</v>
      </c>
      <c r="C4065" t="s">
        <v>189</v>
      </c>
      <c r="D4065" t="s">
        <v>99</v>
      </c>
      <c r="E4065" s="2" t="str">
        <f>HYPERLINK("https://ibp.a2mac1.com/costing(costing:projects/details/8191/equipment/6948243)","No.01 - T,TF 10/11")</f>
        <v>No.01 - T,TF 10/11</v>
      </c>
      <c r="F4065" t="s">
        <v>4938</v>
      </c>
    </row>
    <row r="4066" spans="1:6" ht="12.75">
      <c r="A4066">
        <v>6975624</v>
      </c>
      <c r="B4066">
        <v>5388769</v>
      </c>
      <c r="C4066" t="s">
        <v>99</v>
      </c>
      <c r="D4066" t="s">
        <v>12</v>
      </c>
      <c r="E4066" s="2" t="str">
        <f>HYPERLINK("https://ibp.a2mac1.com/costing(costing:projects/details/8191/process/6975624)","Transport with laddle")</f>
        <v>Transport with laddle</v>
      </c>
      <c r="F4066" t="s">
        <v>4935</v>
      </c>
    </row>
    <row r="4067" spans="1:6" ht="12.75">
      <c r="A4067">
        <v>6948242</v>
      </c>
      <c r="B4067">
        <v>6975624</v>
      </c>
      <c r="C4067" t="s">
        <v>189</v>
      </c>
      <c r="D4067" t="s">
        <v>99</v>
      </c>
      <c r="E4067" s="2" t="str">
        <f>HYPERLINK("https://ibp.a2mac1.com/costing(costing:projects/details/8191/equipment/6948242)","No.01 - Buhler ladel Model 4,5L ")</f>
        <v xml:space="preserve">No.01 - Buhler ladel Model 4,5L </v>
      </c>
      <c r="F4067" t="s">
        <v>4939</v>
      </c>
    </row>
    <row r="4068" spans="1:6" ht="12.75">
      <c r="A4068">
        <v>6975623</v>
      </c>
      <c r="B4068">
        <v>5388769</v>
      </c>
      <c r="C4068" t="s">
        <v>99</v>
      </c>
      <c r="D4068" t="s">
        <v>12</v>
      </c>
      <c r="E4068" s="2" t="str">
        <f>HYPERLINK("https://ibp.a2mac1.com/costing(costing:projects/details/8191/process/6975623)","Pressing (Cold Chamber)")</f>
        <v>Pressing (Cold Chamber)</v>
      </c>
      <c r="F4068" t="s">
        <v>4935</v>
      </c>
    </row>
    <row r="4069" spans="1:6" ht="12.75">
      <c r="A4069">
        <v>6948241</v>
      </c>
      <c r="B4069">
        <v>6975623</v>
      </c>
      <c r="C4069" t="s">
        <v>189</v>
      </c>
      <c r="D4069" t="s">
        <v>99</v>
      </c>
      <c r="E4069" s="2" t="str">
        <f>HYPERLINK("https://ibp.a2mac1.com/costing(costing:projects/details/8191/equipment/6948241)","No.02 - Idra - OL 560 S ")</f>
        <v xml:space="preserve">No.02 - Idra - OL 560 S </v>
      </c>
      <c r="F4069" t="s">
        <v>4940</v>
      </c>
    </row>
    <row r="4070" spans="1:6" ht="12.75">
      <c r="A4070">
        <v>6975618</v>
      </c>
      <c r="B4070">
        <v>5388769</v>
      </c>
      <c r="C4070" t="s">
        <v>99</v>
      </c>
      <c r="D4070" t="s">
        <v>12</v>
      </c>
      <c r="E4070" s="2" t="str">
        <f>HYPERLINK("https://ibp.a2mac1.com/costing(costing:projects/details/8191/process/6975618)","Machining [ Drilling &amp; Threading ]")</f>
        <v>Machining [ Drilling &amp; Threading ]</v>
      </c>
      <c r="F4070" t="s">
        <v>4935</v>
      </c>
    </row>
    <row r="4071" spans="1:6" ht="12.75">
      <c r="A4071">
        <v>6948236</v>
      </c>
      <c r="B4071">
        <v>6975618</v>
      </c>
      <c r="C4071" t="s">
        <v>189</v>
      </c>
      <c r="D4071" t="s">
        <v>99</v>
      </c>
      <c r="E4071" s="2" t="str">
        <f>HYPERLINK("https://ibp.a2mac1.com/costing(costing:projects/details/8191/equipment/6948236)","Machining Center, small ")</f>
        <v xml:space="preserve">Machining Center, small </v>
      </c>
      <c r="F4071" t="s">
        <v>4942</v>
      </c>
    </row>
    <row r="4072" spans="1:6" ht="12.75">
      <c r="A4072">
        <v>6975621</v>
      </c>
      <c r="B4072">
        <v>5388769</v>
      </c>
      <c r="C4072" t="s">
        <v>99</v>
      </c>
      <c r="D4072" t="s">
        <v>12</v>
      </c>
      <c r="E4072" s="2" t="str">
        <f>HYPERLINK("https://ibp.a2mac1.com/costing(costing:projects/details/8191/process/6975621)","Trimming")</f>
        <v>Trimming</v>
      </c>
      <c r="F4072" t="s">
        <v>4935</v>
      </c>
    </row>
    <row r="4073" spans="1:6" ht="12.75">
      <c r="A4073">
        <v>6948239</v>
      </c>
      <c r="B4073">
        <v>6975621</v>
      </c>
      <c r="C4073" t="s">
        <v>189</v>
      </c>
      <c r="D4073" t="s">
        <v>99</v>
      </c>
      <c r="E4073" s="2" t="str">
        <f>HYPERLINK("https://ibp.a2mac1.com/costing(costing:projects/details/8191/equipment/6948239)","No.01 - Bodytrimming - 500x400x400 - 15kg/Mould ")</f>
        <v xml:space="preserve">No.01 - Bodytrimming - 500x400x400 - 15kg/Mould </v>
      </c>
      <c r="F4073" t="s">
        <v>4943</v>
      </c>
    </row>
    <row r="4074" spans="1:6" ht="12.75">
      <c r="A4074">
        <v>6975622</v>
      </c>
      <c r="B4074">
        <v>5388769</v>
      </c>
      <c r="C4074" t="s">
        <v>99</v>
      </c>
      <c r="D4074" t="s">
        <v>12</v>
      </c>
      <c r="E4074" s="2" t="str">
        <f>HYPERLINK("https://ibp.a2mac1.com/costing(costing:projects/details/8191/process/6975622)","Deburing ")</f>
        <v xml:space="preserve">Deburing </v>
      </c>
      <c r="F4074" t="s">
        <v>4935</v>
      </c>
    </row>
    <row r="4075" spans="1:6" ht="12.75">
      <c r="A4075">
        <v>6948240</v>
      </c>
      <c r="B4075">
        <v>6975622</v>
      </c>
      <c r="C4075" t="s">
        <v>189</v>
      </c>
      <c r="D4075" t="s">
        <v>99</v>
      </c>
      <c r="E4075" s="2" t="str">
        <f>HYPERLINK("https://ibp.a2mac1.com/costing(costing:projects/details/8191/equipment/6948240)","Manual deburring ")</f>
        <v xml:space="preserve">Manual deburring </v>
      </c>
      <c r="F4075" t="s">
        <v>4945</v>
      </c>
    </row>
    <row r="4076" spans="1:6" ht="12.75">
      <c r="A4076">
        <v>6975619</v>
      </c>
      <c r="B4076">
        <v>5388769</v>
      </c>
      <c r="C4076" t="s">
        <v>99</v>
      </c>
      <c r="D4076" t="s">
        <v>12</v>
      </c>
      <c r="E4076" s="2" t="str">
        <f>HYPERLINK("https://ibp.a2mac1.com/costing(costing:projects/details/8191/process/6975619)","Inspection ")</f>
        <v xml:space="preserve">Inspection </v>
      </c>
      <c r="F4076" t="s">
        <v>4935</v>
      </c>
    </row>
    <row r="4077" spans="1:6" ht="12.75">
      <c r="A4077">
        <v>6948237</v>
      </c>
      <c r="B4077">
        <v>6975619</v>
      </c>
      <c r="C4077" t="s">
        <v>189</v>
      </c>
      <c r="D4077" t="s">
        <v>99</v>
      </c>
      <c r="E4077" s="2" t="str">
        <f>HYPERLINK("https://ibp.a2mac1.com/costing(costing:projects/details/8191/equipment/6948237)","Automated Optical Inspection ")</f>
        <v xml:space="preserve">Automated Optical Inspection </v>
      </c>
      <c r="F4077" t="s">
        <v>4946</v>
      </c>
    </row>
    <row r="4078" spans="1:6" ht="12.75">
      <c r="A4078">
        <v>6975620</v>
      </c>
      <c r="B4078">
        <v>5388769</v>
      </c>
      <c r="C4078" t="s">
        <v>99</v>
      </c>
      <c r="D4078" t="s">
        <v>12</v>
      </c>
      <c r="E4078" s="2" t="str">
        <f>HYPERLINK("https://ibp.a2mac1.com/costing(costing:projects/details/8191/process/6975620)","Handling/Packiging")</f>
        <v>Handling/Packiging</v>
      </c>
      <c r="F4078" t="s">
        <v>4935</v>
      </c>
    </row>
    <row r="4079" spans="1:6" ht="12.75">
      <c r="A4079">
        <v>6948238</v>
      </c>
      <c r="B4079">
        <v>6975620</v>
      </c>
      <c r="C4079" t="s">
        <v>189</v>
      </c>
      <c r="D4079" t="s">
        <v>99</v>
      </c>
      <c r="E4079" s="2" t="str">
        <f>HYPERLINK("https://ibp.a2mac1.com/costing(costing:projects/details/8191/equipment/6948238)","Packaging ")</f>
        <v xml:space="preserve">Packaging </v>
      </c>
      <c r="F4079" t="s">
        <v>4947</v>
      </c>
    </row>
    <row r="4080" spans="1:6" ht="12.75">
      <c r="A4080">
        <v>5388770</v>
      </c>
      <c r="B4080">
        <v>5388394</v>
      </c>
      <c r="C4080" t="s">
        <v>12</v>
      </c>
      <c r="D4080" t="s">
        <v>8</v>
      </c>
      <c r="E4080" s="2" t="str">
        <f>HYPERLINK("https://ibp.a2mac1.com/costing(costing:projects/details/8191/part/5388770)","Mirror Attaching Plate")</f>
        <v>Mirror Attaching Plate</v>
      </c>
      <c r="F4080" t="s">
        <v>4930</v>
      </c>
    </row>
    <row r="4081" spans="1:6" ht="12.75">
      <c r="A4081">
        <v>5388771</v>
      </c>
      <c r="B4081">
        <v>5388394</v>
      </c>
      <c r="C4081" t="s">
        <v>12</v>
      </c>
      <c r="D4081" t="s">
        <v>8</v>
      </c>
      <c r="E4081" s="2" t="str">
        <f>HYPERLINK("https://ibp.a2mac1.com/costing(costing:projects/details/8191/part/5388771)","Mirror Attaching Plate Support")</f>
        <v>Mirror Attaching Plate Support</v>
      </c>
      <c r="F4081" t="s">
        <v>4930</v>
      </c>
    </row>
    <row r="4082" spans="1:6" ht="12.75">
      <c r="A4082">
        <v>6975626</v>
      </c>
      <c r="B4082">
        <v>5388771</v>
      </c>
      <c r="C4082" t="s">
        <v>99</v>
      </c>
      <c r="D4082" t="s">
        <v>12</v>
      </c>
      <c r="E4082" s="2" t="str">
        <f>HYPERLINK("https://ibp.a2mac1.com/costing(costing:projects/details/8191/process/6975626)","Injection molding")</f>
        <v>Injection molding</v>
      </c>
      <c r="F4082" t="s">
        <v>4953</v>
      </c>
    </row>
    <row r="4083" spans="1:6" ht="12.75">
      <c r="A4083">
        <v>5320074</v>
      </c>
      <c r="B4083">
        <v>6975626</v>
      </c>
      <c r="C4083" t="s">
        <v>24</v>
      </c>
      <c r="D4083" t="s">
        <v>99</v>
      </c>
      <c r="E4083" s="2" t="str">
        <f>HYPERLINK("https://ibp.a2mac1.com/costing(costing:projects/details/8191/material/5320074)","PA66-GF30")</f>
        <v>PA66-GF30</v>
      </c>
      <c r="F4083" t="s">
        <v>4955</v>
      </c>
    </row>
    <row r="4084" spans="1:6" ht="12.75">
      <c r="A4084">
        <v>6948244</v>
      </c>
      <c r="B4084">
        <v>6975626</v>
      </c>
      <c r="C4084" t="s">
        <v>189</v>
      </c>
      <c r="D4084" t="s">
        <v>99</v>
      </c>
      <c r="E4084" s="2" t="str">
        <f>HYPERLINK("https://ibp.a2mac1.com/costing(costing:projects/details/8191/equipment/6948244)","No.02 - Injection Press - 60T - 25kW - 320x320 - Max Volume 164cm3 ")</f>
        <v xml:space="preserve">No.02 - Injection Press - 60T - 25kW - 320x320 - Max Volume 164cm3 </v>
      </c>
      <c r="F4084" t="s">
        <v>4955</v>
      </c>
    </row>
    <row r="4085" spans="1:6" ht="12.75">
      <c r="A4085">
        <v>6975627</v>
      </c>
      <c r="B4085">
        <v>5388771</v>
      </c>
      <c r="C4085" t="s">
        <v>99</v>
      </c>
      <c r="D4085" t="s">
        <v>12</v>
      </c>
      <c r="E4085" s="2" t="str">
        <f>HYPERLINK("https://ibp.a2mac1.com/costing(costing:projects/details/8191/process/6975627)","Handling/Visual Inspection/Packaging")</f>
        <v>Handling/Visual Inspection/Packaging</v>
      </c>
      <c r="F4085" t="s">
        <v>4953</v>
      </c>
    </row>
    <row r="4086" spans="1:6" ht="12.75">
      <c r="A4086">
        <v>6948245</v>
      </c>
      <c r="B4086">
        <v>6975627</v>
      </c>
      <c r="C4086" t="s">
        <v>189</v>
      </c>
      <c r="D4086" t="s">
        <v>99</v>
      </c>
      <c r="E4086" s="2" t="str">
        <f>HYPERLINK("https://ibp.a2mac1.com/costing(costing:projects/details/8191/equipment/6948245)","Packaging")</f>
        <v>Packaging</v>
      </c>
      <c r="F4086" t="s">
        <v>4956</v>
      </c>
    </row>
    <row r="4087" spans="1:6" ht="12.75">
      <c r="A4087">
        <v>5388772</v>
      </c>
      <c r="B4087">
        <v>5388394</v>
      </c>
      <c r="C4087" t="s">
        <v>12</v>
      </c>
      <c r="D4087" t="s">
        <v>8</v>
      </c>
      <c r="E4087" s="2" t="str">
        <f>HYPERLINK("https://ibp.a2mac1.com/costing(costing:projects/details/8191/part/5388772)","Harness")</f>
        <v>Harness</v>
      </c>
      <c r="F4087" t="s">
        <v>4930</v>
      </c>
    </row>
    <row r="4088" spans="1:6" ht="12.75">
      <c r="A4088">
        <v>5388773</v>
      </c>
      <c r="B4088">
        <v>5388394</v>
      </c>
      <c r="C4088" t="s">
        <v>12</v>
      </c>
      <c r="D4088" t="s">
        <v>8</v>
      </c>
      <c r="E4088" s="2" t="str">
        <f>HYPERLINK("https://ibp.a2mac1.com/costing(costing:projects/details/8191/part/5388773)","2nd Mirror Harness")</f>
        <v>2nd Mirror Harness</v>
      </c>
      <c r="F4088" t="s">
        <v>4930</v>
      </c>
    </row>
    <row r="4089" spans="1:6" ht="12.75">
      <c r="A4089">
        <v>5388774</v>
      </c>
      <c r="B4089">
        <v>5388394</v>
      </c>
      <c r="C4089" t="s">
        <v>12</v>
      </c>
      <c r="D4089" t="s">
        <v>8</v>
      </c>
      <c r="E4089" s="2" t="str">
        <f>HYPERLINK("https://ibp.a2mac1.com/costing(costing:projects/details/8191/part/5388774)","Front Shell")</f>
        <v>Front Shell</v>
      </c>
      <c r="F4089" t="s">
        <v>4930</v>
      </c>
    </row>
    <row r="4090" spans="1:6" ht="12.75">
      <c r="A4090">
        <v>6975628</v>
      </c>
      <c r="B4090">
        <v>5388774</v>
      </c>
      <c r="C4090" t="s">
        <v>99</v>
      </c>
      <c r="D4090" t="s">
        <v>12</v>
      </c>
      <c r="E4090" s="2" t="str">
        <f>HYPERLINK("https://ibp.a2mac1.com/costing(costing:projects/details/8191/process/6975628)","Injection molding")</f>
        <v>Injection molding</v>
      </c>
      <c r="F4090" t="s">
        <v>4960</v>
      </c>
    </row>
    <row r="4091" spans="1:6" ht="12.75">
      <c r="A4091">
        <v>5320075</v>
      </c>
      <c r="B4091">
        <v>6975628</v>
      </c>
      <c r="C4091" t="s">
        <v>24</v>
      </c>
      <c r="D4091" t="s">
        <v>99</v>
      </c>
      <c r="E4091" s="2" t="str">
        <f>HYPERLINK("https://ibp.a2mac1.com/costing(costing:projects/details/8191/material/5320075)","ASA")</f>
        <v>ASA</v>
      </c>
      <c r="F4091" t="s">
        <v>4962</v>
      </c>
    </row>
    <row r="4092" spans="1:6" ht="12.75">
      <c r="A4092">
        <v>6948246</v>
      </c>
      <c r="B4092">
        <v>6975628</v>
      </c>
      <c r="C4092" t="s">
        <v>189</v>
      </c>
      <c r="D4092" t="s">
        <v>99</v>
      </c>
      <c r="E4092" s="2" t="str">
        <f>HYPERLINK("https://ibp.a2mac1.com/costing(costing:projects/details/8191/equipment/6948246)","No.05 - Injection Press - 125T - 34kW - 500x500 - Max Volume 260cm3 ")</f>
        <v xml:space="preserve">No.05 - Injection Press - 125T - 34kW - 500x500 - Max Volume 260cm3 </v>
      </c>
      <c r="F4092" t="s">
        <v>4962</v>
      </c>
    </row>
    <row r="4093" spans="1:6" ht="12.75">
      <c r="A4093">
        <v>6975629</v>
      </c>
      <c r="B4093">
        <v>5388774</v>
      </c>
      <c r="C4093" t="s">
        <v>99</v>
      </c>
      <c r="D4093" t="s">
        <v>12</v>
      </c>
      <c r="E4093" s="2" t="str">
        <f>HYPERLINK("https://ibp.a2mac1.com/costing(costing:projects/details/8191/process/6975629)","Handling/Visual Inspection/Packaging")</f>
        <v>Handling/Visual Inspection/Packaging</v>
      </c>
      <c r="F4093" t="s">
        <v>4960</v>
      </c>
    </row>
    <row r="4094" spans="1:6" ht="12.75">
      <c r="A4094">
        <v>6948247</v>
      </c>
      <c r="B4094">
        <v>6975629</v>
      </c>
      <c r="C4094" t="s">
        <v>189</v>
      </c>
      <c r="D4094" t="s">
        <v>99</v>
      </c>
      <c r="E4094" s="2" t="str">
        <f>HYPERLINK("https://ibp.a2mac1.com/costing(costing:projects/details/8191/equipment/6948247)","Packaging")</f>
        <v>Packaging</v>
      </c>
      <c r="F4094" t="s">
        <v>4963</v>
      </c>
    </row>
    <row r="4095" spans="1:6" ht="12.75">
      <c r="A4095">
        <v>5388775</v>
      </c>
      <c r="B4095">
        <v>5388394</v>
      </c>
      <c r="C4095" t="s">
        <v>12</v>
      </c>
      <c r="D4095" t="s">
        <v>8</v>
      </c>
      <c r="E4095" s="2" t="str">
        <f>HYPERLINK("https://ibp.a2mac1.com/costing(costing:projects/details/8191/part/5388775)","Lower Shell")</f>
        <v>Lower Shell</v>
      </c>
      <c r="F4095" t="s">
        <v>4930</v>
      </c>
    </row>
    <row r="4096" spans="1:6" ht="12.75">
      <c r="A4096">
        <v>6975631</v>
      </c>
      <c r="B4096">
        <v>5388775</v>
      </c>
      <c r="C4096" t="s">
        <v>99</v>
      </c>
      <c r="D4096" t="s">
        <v>12</v>
      </c>
      <c r="E4096" s="2" t="str">
        <f>HYPERLINK("https://ibp.a2mac1.com/costing(costing:projects/details/8191/process/6975631)","Injection molding")</f>
        <v>Injection molding</v>
      </c>
      <c r="F4096" t="s">
        <v>4966</v>
      </c>
    </row>
    <row r="4097" spans="1:6" ht="12.75">
      <c r="A4097">
        <v>5320076</v>
      </c>
      <c r="B4097">
        <v>6975631</v>
      </c>
      <c r="C4097" t="s">
        <v>24</v>
      </c>
      <c r="D4097" t="s">
        <v>99</v>
      </c>
      <c r="E4097" s="2" t="str">
        <f>HYPERLINK("https://ibp.a2mac1.com/costing(costing:projects/details/8191/material/5320076)","ASA")</f>
        <v>ASA</v>
      </c>
      <c r="F4097" t="s">
        <v>4968</v>
      </c>
    </row>
    <row r="4098" spans="1:6" ht="12.75">
      <c r="A4098">
        <v>6948249</v>
      </c>
      <c r="B4098">
        <v>6975631</v>
      </c>
      <c r="C4098" t="s">
        <v>189</v>
      </c>
      <c r="D4098" t="s">
        <v>99</v>
      </c>
      <c r="E4098" s="2" t="str">
        <f>HYPERLINK("https://ibp.a2mac1.com/costing(costing:projects/details/8191/equipment/6948249)","No.04 - Injection Press - 100T - 33kW - 400x400 - Max Volume 260cm3 ")</f>
        <v xml:space="preserve">No.04 - Injection Press - 100T - 33kW - 400x400 - Max Volume 260cm3 </v>
      </c>
      <c r="F4098" t="s">
        <v>4968</v>
      </c>
    </row>
    <row r="4099" spans="1:6" ht="12.75">
      <c r="A4099">
        <v>6975630</v>
      </c>
      <c r="B4099">
        <v>5388775</v>
      </c>
      <c r="C4099" t="s">
        <v>99</v>
      </c>
      <c r="D4099" t="s">
        <v>12</v>
      </c>
      <c r="E4099" s="2" t="str">
        <f>HYPERLINK("https://ibp.a2mac1.com/costing(costing:projects/details/8191/process/6975630)","Handling/Visual Inspection/Packaging")</f>
        <v>Handling/Visual Inspection/Packaging</v>
      </c>
      <c r="F4099" t="s">
        <v>4966</v>
      </c>
    </row>
    <row r="4100" spans="1:6" ht="12.75">
      <c r="A4100">
        <v>6948248</v>
      </c>
      <c r="B4100">
        <v>6975630</v>
      </c>
      <c r="C4100" t="s">
        <v>189</v>
      </c>
      <c r="D4100" t="s">
        <v>99</v>
      </c>
      <c r="E4100" s="2" t="str">
        <f>HYPERLINK("https://ibp.a2mac1.com/costing(costing:projects/details/8191/equipment/6948248)","Packaging")</f>
        <v>Packaging</v>
      </c>
      <c r="F4100" t="s">
        <v>4970</v>
      </c>
    </row>
    <row r="4101" spans="1:6" ht="12.75">
      <c r="A4101">
        <v>5388776</v>
      </c>
      <c r="B4101">
        <v>5388394</v>
      </c>
      <c r="C4101" t="s">
        <v>12</v>
      </c>
      <c r="D4101" t="s">
        <v>8</v>
      </c>
      <c r="E4101" s="2" t="str">
        <f>HYPERLINK("https://ibp.a2mac1.com/costing(costing:projects/details/8191/part/5388776)","Support Cover")</f>
        <v>Support Cover</v>
      </c>
      <c r="F4101" t="s">
        <v>4930</v>
      </c>
    </row>
    <row r="4102" spans="1:6" ht="12.75">
      <c r="A4102">
        <v>6975632</v>
      </c>
      <c r="B4102">
        <v>5388776</v>
      </c>
      <c r="C4102" t="s">
        <v>99</v>
      </c>
      <c r="D4102" t="s">
        <v>12</v>
      </c>
      <c r="E4102" s="2" t="str">
        <f>HYPERLINK("https://ibp.a2mac1.com/costing(costing:projects/details/8191/process/6975632)","Injection molding")</f>
        <v>Injection molding</v>
      </c>
      <c r="F4102" t="s">
        <v>4972</v>
      </c>
    </row>
    <row r="4103" spans="1:6" ht="12.75">
      <c r="A4103">
        <v>5320077</v>
      </c>
      <c r="B4103">
        <v>6975632</v>
      </c>
      <c r="C4103" t="s">
        <v>24</v>
      </c>
      <c r="D4103" t="s">
        <v>99</v>
      </c>
      <c r="E4103" s="2" t="str">
        <f>HYPERLINK("https://ibp.a2mac1.com/costing(costing:projects/details/8191/material/5320077)","ASA")</f>
        <v>ASA</v>
      </c>
      <c r="F4103" t="s">
        <v>4975</v>
      </c>
    </row>
    <row r="4104" spans="1:6" ht="12.75">
      <c r="A4104">
        <v>6948250</v>
      </c>
      <c r="B4104">
        <v>6975632</v>
      </c>
      <c r="C4104" t="s">
        <v>189</v>
      </c>
      <c r="D4104" t="s">
        <v>99</v>
      </c>
      <c r="E4104" s="2" t="str">
        <f>HYPERLINK("https://ibp.a2mac1.com/costing(costing:projects/details/8191/equipment/6948250)","No.04 - Injection Press - 100T - 33kW - 400x400 - Max Volume 260cm3 ")</f>
        <v xml:space="preserve">No.04 - Injection Press - 100T - 33kW - 400x400 - Max Volume 260cm3 </v>
      </c>
      <c r="F4104" t="s">
        <v>4975</v>
      </c>
    </row>
    <row r="4105" spans="1:6" ht="12.75">
      <c r="A4105">
        <v>6975633</v>
      </c>
      <c r="B4105">
        <v>5388776</v>
      </c>
      <c r="C4105" t="s">
        <v>99</v>
      </c>
      <c r="D4105" t="s">
        <v>12</v>
      </c>
      <c r="E4105" s="2" t="str">
        <f>HYPERLINK("https://ibp.a2mac1.com/costing(costing:projects/details/8191/process/6975633)","Handling/Visual Inspection/Packaging")</f>
        <v>Handling/Visual Inspection/Packaging</v>
      </c>
      <c r="F4105" t="s">
        <v>4972</v>
      </c>
    </row>
    <row r="4106" spans="1:6" ht="12.75">
      <c r="A4106">
        <v>6948251</v>
      </c>
      <c r="B4106">
        <v>6975633</v>
      </c>
      <c r="C4106" t="s">
        <v>189</v>
      </c>
      <c r="D4106" t="s">
        <v>99</v>
      </c>
      <c r="E4106" s="2" t="str">
        <f>HYPERLINK("https://ibp.a2mac1.com/costing(costing:projects/details/8191/equipment/6948251)","Packaging")</f>
        <v>Packaging</v>
      </c>
      <c r="F4106" t="s">
        <v>4976</v>
      </c>
    </row>
    <row r="4107" spans="1:6" ht="12.75">
      <c r="A4107">
        <v>5388777</v>
      </c>
      <c r="B4107">
        <v>5388394</v>
      </c>
      <c r="C4107" t="s">
        <v>12</v>
      </c>
      <c r="D4107" t="s">
        <v>8</v>
      </c>
      <c r="E4107" s="2" t="str">
        <f>HYPERLINK("https://ibp.a2mac1.com/costing(costing:projects/details/8191/part/5388777)","Support Seal")</f>
        <v>Support Seal</v>
      </c>
      <c r="F4107" t="s">
        <v>4930</v>
      </c>
    </row>
    <row r="4108" spans="1:6" ht="12.75">
      <c r="A4108">
        <v>6975634</v>
      </c>
      <c r="B4108">
        <v>5388777</v>
      </c>
      <c r="C4108" t="s">
        <v>99</v>
      </c>
      <c r="D4108" t="s">
        <v>12</v>
      </c>
      <c r="E4108" s="2" t="str">
        <f>HYPERLINK("https://ibp.a2mac1.com/costing(costing:projects/details/8191/process/6975634)","Injection molding")</f>
        <v>Injection molding</v>
      </c>
      <c r="F4108" t="s">
        <v>4978</v>
      </c>
    </row>
    <row r="4109" spans="1:6" ht="12.75">
      <c r="A4109">
        <v>5320078</v>
      </c>
      <c r="B4109">
        <v>6975634</v>
      </c>
      <c r="C4109" t="s">
        <v>24</v>
      </c>
      <c r="D4109" t="s">
        <v>99</v>
      </c>
      <c r="E4109" s="2" t="str">
        <f>HYPERLINK("https://ibp.a2mac1.com/costing(costing:projects/details/8191/material/5320078)","PP")</f>
        <v>PP</v>
      </c>
      <c r="F4109" t="s">
        <v>4979</v>
      </c>
    </row>
    <row r="4110" spans="1:6" ht="12.75">
      <c r="A4110">
        <v>5320079</v>
      </c>
      <c r="B4110">
        <v>6975634</v>
      </c>
      <c r="C4110" t="s">
        <v>24</v>
      </c>
      <c r="D4110" t="s">
        <v>99</v>
      </c>
      <c r="E4110" s="2" t="str">
        <f>HYPERLINK("https://ibp.a2mac1.com/costing(costing:projects/details/8191/material/5320079)","TPE")</f>
        <v>TPE</v>
      </c>
      <c r="F4110" t="s">
        <v>4979</v>
      </c>
    </row>
    <row r="4111" spans="1:6" ht="12.75">
      <c r="A4111">
        <v>6948252</v>
      </c>
      <c r="B4111">
        <v>6975634</v>
      </c>
      <c r="C4111" t="s">
        <v>189</v>
      </c>
      <c r="D4111" t="s">
        <v>99</v>
      </c>
      <c r="E4111" s="2" t="str">
        <f>HYPERLINK("https://ibp.a2mac1.com/costing(costing:projects/details/8191/equipment/6948252)","Equipment (Injection Molding)")</f>
        <v>Equipment (Injection Molding)</v>
      </c>
      <c r="F4111" t="s">
        <v>4979</v>
      </c>
    </row>
    <row r="4112" spans="1:6" ht="12.75">
      <c r="A4112">
        <v>6948253</v>
      </c>
      <c r="B4112">
        <v>6975634</v>
      </c>
      <c r="C4112" t="s">
        <v>189</v>
      </c>
      <c r="D4112" t="s">
        <v>99</v>
      </c>
      <c r="E4112" s="2" t="str">
        <f>HYPERLINK("https://ibp.a2mac1.com/costing(costing:projects/details/8191/equipment/6948253)","Equipment (Injection Molding)")</f>
        <v>Equipment (Injection Molding)</v>
      </c>
      <c r="F4112" t="s">
        <v>4979</v>
      </c>
    </row>
    <row r="4113" spans="1:6" ht="12.75">
      <c r="A4113">
        <v>5388778</v>
      </c>
      <c r="B4113">
        <v>5388394</v>
      </c>
      <c r="C4113" t="s">
        <v>12</v>
      </c>
      <c r="D4113" t="s">
        <v>8</v>
      </c>
      <c r="E4113" s="2" t="str">
        <f>HYPERLINK("https://ibp.a2mac1.com/costing(costing:projects/details/8191/part/5388778)","Seal Cover")</f>
        <v>Seal Cover</v>
      </c>
      <c r="F4113" t="s">
        <v>4930</v>
      </c>
    </row>
    <row r="4114" spans="1:6" ht="12.75">
      <c r="A4114">
        <v>6975635</v>
      </c>
      <c r="B4114">
        <v>5388778</v>
      </c>
      <c r="C4114" t="s">
        <v>99</v>
      </c>
      <c r="D4114" t="s">
        <v>12</v>
      </c>
      <c r="E4114" s="2" t="str">
        <f>HYPERLINK("https://ibp.a2mac1.com/costing(costing:projects/details/8191/process/6975635)","Injection molding")</f>
        <v>Injection molding</v>
      </c>
      <c r="F4114" t="s">
        <v>4982</v>
      </c>
    </row>
    <row r="4115" spans="1:6" ht="12.75">
      <c r="A4115">
        <v>5320080</v>
      </c>
      <c r="B4115">
        <v>6975635</v>
      </c>
      <c r="C4115" t="s">
        <v>24</v>
      </c>
      <c r="D4115" t="s">
        <v>99</v>
      </c>
      <c r="E4115" s="2" t="str">
        <f>HYPERLINK("https://ibp.a2mac1.com/costing(costing:projects/details/8191/material/5320080)","PP")</f>
        <v>PP</v>
      </c>
      <c r="F4115" t="s">
        <v>4983</v>
      </c>
    </row>
    <row r="4116" spans="1:6" ht="12.75">
      <c r="A4116">
        <v>5320081</v>
      </c>
      <c r="B4116">
        <v>6975635</v>
      </c>
      <c r="C4116" t="s">
        <v>24</v>
      </c>
      <c r="D4116" t="s">
        <v>99</v>
      </c>
      <c r="E4116" s="2" t="str">
        <f>HYPERLINK("https://ibp.a2mac1.com/costing(costing:projects/details/8191/material/5320081)","TPE")</f>
        <v>TPE</v>
      </c>
      <c r="F4116" t="s">
        <v>4983</v>
      </c>
    </row>
    <row r="4117" spans="1:6" ht="12.75">
      <c r="A4117">
        <v>6948254</v>
      </c>
      <c r="B4117">
        <v>6975635</v>
      </c>
      <c r="C4117" t="s">
        <v>189</v>
      </c>
      <c r="D4117" t="s">
        <v>99</v>
      </c>
      <c r="E4117" s="2" t="str">
        <f>HYPERLINK("https://ibp.a2mac1.com/costing(costing:projects/details/8191/equipment/6948254)","Equipment (Injection Molding)")</f>
        <v>Equipment (Injection Molding)</v>
      </c>
      <c r="F4117" t="s">
        <v>4983</v>
      </c>
    </row>
    <row r="4118" spans="1:6" ht="12.75">
      <c r="A4118">
        <v>6948255</v>
      </c>
      <c r="B4118">
        <v>6975635</v>
      </c>
      <c r="C4118" t="s">
        <v>189</v>
      </c>
      <c r="D4118" t="s">
        <v>99</v>
      </c>
      <c r="E4118" s="2" t="str">
        <f>HYPERLINK("https://ibp.a2mac1.com/costing(costing:projects/details/8191/equipment/6948255)","Equipment (Injection Molding)")</f>
        <v>Equipment (Injection Molding)</v>
      </c>
      <c r="F4118" t="s">
        <v>4983</v>
      </c>
    </row>
    <row r="4119" spans="1:6" ht="12.75">
      <c r="A4119">
        <v>5388779</v>
      </c>
      <c r="B4119">
        <v>5388394</v>
      </c>
      <c r="C4119" t="s">
        <v>12</v>
      </c>
      <c r="D4119" t="s">
        <v>8</v>
      </c>
      <c r="E4119" s="2" t="str">
        <f>HYPERLINK("https://ibp.a2mac1.com/costing(costing:projects/details/8191/part/5388779)","Turn Signal")</f>
        <v>Turn Signal</v>
      </c>
      <c r="F4119" t="s">
        <v>4930</v>
      </c>
    </row>
    <row r="4120" spans="1:6" ht="12.75">
      <c r="A4120">
        <v>5388780</v>
      </c>
      <c r="B4120">
        <v>5388394</v>
      </c>
      <c r="C4120" t="s">
        <v>12</v>
      </c>
      <c r="D4120" t="s">
        <v>8</v>
      </c>
      <c r="E4120" s="2" t="str">
        <f>HYPERLINK("https://ibp.a2mac1.com/costing(costing:projects/details/8191/part/5388780)","Welcome Light")</f>
        <v>Welcome Light</v>
      </c>
      <c r="F4120" t="s">
        <v>4930</v>
      </c>
    </row>
    <row r="4121" spans="1:6" ht="12.75">
      <c r="A4121">
        <v>5388781</v>
      </c>
      <c r="B4121">
        <v>5388394</v>
      </c>
      <c r="C4121" t="s">
        <v>12</v>
      </c>
      <c r="D4121" t="s">
        <v>8</v>
      </c>
      <c r="E4121" s="2" t="str">
        <f>HYPERLINK("https://ibp.a2mac1.com/costing(costing:projects/details/8191/part/5388781)","Folding Motor")</f>
        <v>Folding Motor</v>
      </c>
      <c r="F4121" t="s">
        <v>4930</v>
      </c>
    </row>
    <row r="4122" spans="1:6" ht="12.75">
      <c r="A4122">
        <v>5388782</v>
      </c>
      <c r="B4122">
        <v>5388394</v>
      </c>
      <c r="C4122" t="s">
        <v>12</v>
      </c>
      <c r="D4122" t="s">
        <v>8</v>
      </c>
      <c r="E4122" s="2" t="str">
        <f>HYPERLINK("https://ibp.a2mac1.com/costing(costing:projects/details/8191/part/5388782)","Folding Motor Support")</f>
        <v>Folding Motor Support</v>
      </c>
      <c r="F4122" t="s">
        <v>4930</v>
      </c>
    </row>
    <row r="4123" spans="1:6" ht="12.75">
      <c r="A4123">
        <v>6975636</v>
      </c>
      <c r="B4123">
        <v>5388782</v>
      </c>
      <c r="C4123" t="s">
        <v>99</v>
      </c>
      <c r="D4123" t="s">
        <v>12</v>
      </c>
      <c r="E4123" s="2" t="str">
        <f>HYPERLINK("https://ibp.a2mac1.com/costing(costing:projects/details/8191/process/6975636)","Furnace heating")</f>
        <v>Furnace heating</v>
      </c>
      <c r="F4123" t="s">
        <v>4992</v>
      </c>
    </row>
    <row r="4124" spans="1:6" ht="12.75">
      <c r="A4124">
        <v>5320082</v>
      </c>
      <c r="B4124">
        <v>6975636</v>
      </c>
      <c r="C4124" t="s">
        <v>24</v>
      </c>
      <c r="D4124" t="s">
        <v>99</v>
      </c>
      <c r="E4124" s="2" t="str">
        <f>HYPERLINK("https://ibp.a2mac1.com/costing(costing:projects/details/8191/material/5320082)","Aluminum for casting (default, e.g. A380/ADC10/EN-AC46500)")</f>
        <v>Aluminum for casting (default, e.g. A380/ADC10/EN-AC46500)</v>
      </c>
      <c r="F4124" t="s">
        <v>4994</v>
      </c>
    </row>
    <row r="4125" spans="1:6" ht="12.75">
      <c r="A4125">
        <v>6948256</v>
      </c>
      <c r="B4125">
        <v>6975636</v>
      </c>
      <c r="C4125" t="s">
        <v>189</v>
      </c>
      <c r="D4125" t="s">
        <v>99</v>
      </c>
      <c r="E4125" s="2" t="str">
        <f>HYPERLINK("https://ibp.a2mac1.com/costing(costing:projects/details/8191/equipment/6948256)","No.01 - T,TF 10/11")</f>
        <v>No.01 - T,TF 10/11</v>
      </c>
      <c r="F4125" t="s">
        <v>4994</v>
      </c>
    </row>
    <row r="4126" spans="1:6" ht="12.75">
      <c r="A4126">
        <v>6975637</v>
      </c>
      <c r="B4126">
        <v>5388782</v>
      </c>
      <c r="C4126" t="s">
        <v>99</v>
      </c>
      <c r="D4126" t="s">
        <v>12</v>
      </c>
      <c r="E4126" s="2" t="str">
        <f>HYPERLINK("https://ibp.a2mac1.com/costing(costing:projects/details/8191/process/6975637)","Transport with laddle")</f>
        <v>Transport with laddle</v>
      </c>
      <c r="F4126" t="s">
        <v>4992</v>
      </c>
    </row>
    <row r="4127" spans="1:6" ht="12.75">
      <c r="A4127">
        <v>6948257</v>
      </c>
      <c r="B4127">
        <v>6975637</v>
      </c>
      <c r="C4127" t="s">
        <v>189</v>
      </c>
      <c r="D4127" t="s">
        <v>99</v>
      </c>
      <c r="E4127" s="2" t="str">
        <f>HYPERLINK("https://ibp.a2mac1.com/costing(costing:projects/details/8191/equipment/6948257)","No.01 - Buhler ladel Model 4,5L ")</f>
        <v xml:space="preserve">No.01 - Buhler ladel Model 4,5L </v>
      </c>
      <c r="F4127" t="s">
        <v>4995</v>
      </c>
    </row>
    <row r="4128" spans="1:6" ht="12.75">
      <c r="A4128">
        <v>6975638</v>
      </c>
      <c r="B4128">
        <v>5388782</v>
      </c>
      <c r="C4128" t="s">
        <v>99</v>
      </c>
      <c r="D4128" t="s">
        <v>12</v>
      </c>
      <c r="E4128" s="2" t="str">
        <f>HYPERLINK("https://ibp.a2mac1.com/costing(costing:projects/details/8191/process/6975638)","Pressing (Cold Chamber)")</f>
        <v>Pressing (Cold Chamber)</v>
      </c>
      <c r="F4128" t="s">
        <v>4992</v>
      </c>
    </row>
    <row r="4129" spans="1:6" ht="12.75">
      <c r="A4129">
        <v>6948258</v>
      </c>
      <c r="B4129">
        <v>6975638</v>
      </c>
      <c r="C4129" t="s">
        <v>189</v>
      </c>
      <c r="D4129" t="s">
        <v>99</v>
      </c>
      <c r="E4129" s="2" t="str">
        <f>HYPERLINK("https://ibp.a2mac1.com/costing(costing:projects/details/8191/equipment/6948258)","No.01 - Idra - OL 420 S ")</f>
        <v xml:space="preserve">No.01 - Idra - OL 420 S </v>
      </c>
      <c r="F4129" t="s">
        <v>4996</v>
      </c>
    </row>
    <row r="4130" spans="1:6" ht="12.75">
      <c r="A4130">
        <v>5388783</v>
      </c>
      <c r="B4130">
        <v>5388394</v>
      </c>
      <c r="C4130" t="s">
        <v>12</v>
      </c>
      <c r="D4130" t="s">
        <v>8</v>
      </c>
      <c r="E4130" s="2" t="str">
        <f>HYPERLINK("https://ibp.a2mac1.com/costing(costing:projects/details/8191/part/5388783)","Blind Spot Monitor Light")</f>
        <v>Blind Spot Monitor Light</v>
      </c>
      <c r="F4130" t="s">
        <v>4930</v>
      </c>
    </row>
    <row r="4131" spans="1:6" ht="12.75">
      <c r="A4131">
        <v>5388784</v>
      </c>
      <c r="B4131">
        <v>5388394</v>
      </c>
      <c r="C4131" t="s">
        <v>12</v>
      </c>
      <c r="D4131" t="s">
        <v>8</v>
      </c>
      <c r="E4131" s="2" t="str">
        <f>HYPERLINK("https://ibp.a2mac1.com/costing(costing:projects/details/8191/part/5388784)","Shell")</f>
        <v>Shell</v>
      </c>
      <c r="F4131" t="s">
        <v>4930</v>
      </c>
    </row>
    <row r="4132" spans="1:6" ht="12.75">
      <c r="A4132">
        <v>6975657</v>
      </c>
      <c r="B4132">
        <v>5388784</v>
      </c>
      <c r="C4132" t="s">
        <v>99</v>
      </c>
      <c r="D4132" t="s">
        <v>12</v>
      </c>
      <c r="E4132" s="2" t="str">
        <f>HYPERLINK("https://ibp.a2mac1.com/costing(costing:projects/details/8191/process/6975657)","Injection molding")</f>
        <v>Injection molding</v>
      </c>
      <c r="F4132" t="s">
        <v>5000</v>
      </c>
    </row>
    <row r="4133" spans="1:6" ht="12.75">
      <c r="A4133">
        <v>5320083</v>
      </c>
      <c r="B4133">
        <v>6975657</v>
      </c>
      <c r="C4133" t="s">
        <v>24</v>
      </c>
      <c r="D4133" t="s">
        <v>99</v>
      </c>
      <c r="E4133" s="2" t="str">
        <f>HYPERLINK("https://ibp.a2mac1.com/costing(costing:projects/details/8191/material/5320083)","ABS")</f>
        <v>ABS</v>
      </c>
      <c r="F4133" t="s">
        <v>5002</v>
      </c>
    </row>
    <row r="4134" spans="1:6" ht="12.75">
      <c r="A4134">
        <v>6948259</v>
      </c>
      <c r="B4134">
        <v>6975657</v>
      </c>
      <c r="C4134" t="s">
        <v>189</v>
      </c>
      <c r="D4134" t="s">
        <v>99</v>
      </c>
      <c r="E4134" s="2" t="str">
        <f>HYPERLINK("https://ibp.a2mac1.com/costing(costing:projects/details/8191/equipment/6948259)","No.05 - Injection Press - 125T - 34kW - 500x500 - Max Volume 260cm3 ")</f>
        <v xml:space="preserve">No.05 - Injection Press - 125T - 34kW - 500x500 - Max Volume 260cm3 </v>
      </c>
      <c r="F4134" t="s">
        <v>5002</v>
      </c>
    </row>
    <row r="4135" spans="1:6" ht="12.75">
      <c r="A4135">
        <v>6975659</v>
      </c>
      <c r="B4135">
        <v>5388784</v>
      </c>
      <c r="C4135" t="s">
        <v>99</v>
      </c>
      <c r="D4135" t="s">
        <v>12</v>
      </c>
      <c r="E4135" s="2" t="str">
        <f>HYPERLINK("https://ibp.a2mac1.com/costing(costing:projects/details/8191/process/6975659)","Handling and Packaging")</f>
        <v>Handling and Packaging</v>
      </c>
      <c r="F4135" t="s">
        <v>5000</v>
      </c>
    </row>
    <row r="4136" spans="1:6" ht="12.75">
      <c r="A4136">
        <v>6948261</v>
      </c>
      <c r="B4136">
        <v>6975659</v>
      </c>
      <c r="C4136" t="s">
        <v>189</v>
      </c>
      <c r="D4136" t="s">
        <v>99</v>
      </c>
      <c r="E4136" s="2" t="str">
        <f>HYPERLINK("https://ibp.a2mac1.com/costing(costing:projects/details/8191/equipment/6948261)","Packaging station")</f>
        <v>Packaging station</v>
      </c>
      <c r="F4136" t="s">
        <v>5003</v>
      </c>
    </row>
    <row r="4137" spans="1:6" ht="12.75">
      <c r="A4137">
        <v>6975658</v>
      </c>
      <c r="B4137">
        <v>5388784</v>
      </c>
      <c r="C4137" t="s">
        <v>99</v>
      </c>
      <c r="D4137" t="s">
        <v>12</v>
      </c>
      <c r="E4137" s="2" t="str">
        <f>HYPERLINK("https://ibp.a2mac1.com/costing(costing:projects/details/8191/process/6975658)","Painting")</f>
        <v>Painting</v>
      </c>
      <c r="F4137" t="s">
        <v>5000</v>
      </c>
    </row>
    <row r="4138" spans="1:6" ht="12.75">
      <c r="A4138">
        <v>5320084</v>
      </c>
      <c r="B4138">
        <v>6975658</v>
      </c>
      <c r="C4138" t="s">
        <v>24</v>
      </c>
      <c r="D4138" t="s">
        <v>99</v>
      </c>
      <c r="E4138" s="2" t="str">
        <f>HYPERLINK("https://ibp.a2mac1.com/costing(costing:projects/details/8191/material/5320084)","Paint: Primer")</f>
        <v>Paint: Primer</v>
      </c>
      <c r="F4138" t="s">
        <v>5006</v>
      </c>
    </row>
    <row r="4139" spans="1:6" ht="12.75">
      <c r="A4139">
        <v>5320085</v>
      </c>
      <c r="B4139">
        <v>6975658</v>
      </c>
      <c r="C4139" t="s">
        <v>24</v>
      </c>
      <c r="D4139" t="s">
        <v>99</v>
      </c>
      <c r="E4139" s="2" t="str">
        <f>HYPERLINK("https://ibp.a2mac1.com/costing(costing:projects/details/8191/material/5320085)","Paint: Base")</f>
        <v>Paint: Base</v>
      </c>
      <c r="F4139" t="s">
        <v>5006</v>
      </c>
    </row>
    <row r="4140" spans="1:6" ht="12.75">
      <c r="A4140">
        <v>5320086</v>
      </c>
      <c r="B4140">
        <v>6975658</v>
      </c>
      <c r="C4140" t="s">
        <v>24</v>
      </c>
      <c r="D4140" t="s">
        <v>99</v>
      </c>
      <c r="E4140" s="2" t="str">
        <f>HYPERLINK("https://ibp.a2mac1.com/costing(costing:projects/details/8191/material/5320086)","Paint: Clear Coat")</f>
        <v>Paint: Clear Coat</v>
      </c>
      <c r="F4140" t="s">
        <v>5006</v>
      </c>
    </row>
    <row r="4141" spans="1:6" ht="12.75">
      <c r="A4141">
        <v>6948260</v>
      </c>
      <c r="B4141">
        <v>6975658</v>
      </c>
      <c r="C4141" t="s">
        <v>189</v>
      </c>
      <c r="D4141" t="s">
        <v>99</v>
      </c>
      <c r="E4141" s="2" t="str">
        <f>HYPERLINK("https://ibp.a2mac1.com/costing(costing:projects/details/8191/equipment/6948260)","No.01 - 25000x3000x3000 - Automatic Painting Line - with 12x10kW on line ovens")</f>
        <v>No.01 - 25000x3000x3000 - Automatic Painting Line - with 12x10kW on line ovens</v>
      </c>
      <c r="F4141" t="s">
        <v>5006</v>
      </c>
    </row>
    <row r="4142" spans="1:6" ht="12.75">
      <c r="A4142">
        <v>6975393</v>
      </c>
      <c r="B4142">
        <v>5388394</v>
      </c>
      <c r="C4142" t="s">
        <v>99</v>
      </c>
      <c r="D4142" t="s">
        <v>8</v>
      </c>
      <c r="E4142" s="2" t="str">
        <f>HYPERLINK("https://ibp.a2mac1.com/costing(costing:projects/details/8191/process/6975393)","Rear View Mirror Final Assembly")</f>
        <v>Rear View Mirror Final Assembly</v>
      </c>
      <c r="F4142" t="s">
        <v>4930</v>
      </c>
    </row>
    <row r="4143" spans="1:6" ht="12.75">
      <c r="A4143">
        <v>6947973</v>
      </c>
      <c r="B4143">
        <v>6975393</v>
      </c>
      <c r="C4143" t="s">
        <v>189</v>
      </c>
      <c r="D4143" t="s">
        <v>99</v>
      </c>
      <c r="E4143" s="2" t="str">
        <f>HYPERLINK("https://ibp.a2mac1.com/costing(costing:projects/details/8191/equipment/6947973)","Glass Pre Assembly Line")</f>
        <v>Glass Pre Assembly Line</v>
      </c>
      <c r="F4143" t="s">
        <v>5013</v>
      </c>
    </row>
    <row r="4144" spans="1:6" ht="12.75">
      <c r="A4144">
        <v>5388181</v>
      </c>
      <c r="B4144">
        <v>5388133</v>
      </c>
      <c r="C4144" t="s">
        <v>8</v>
      </c>
      <c r="D4144" t="s">
        <v>8</v>
      </c>
      <c r="E4144" s="2" t="str">
        <f>HYPERLINK("https://ibp.a2mac1.com/costing(costing:projects/details/8191/assembly/5388181)","Power Controls")</f>
        <v>Power Controls</v>
      </c>
      <c r="F4144" t="s">
        <v>4591</v>
      </c>
    </row>
    <row r="4145" spans="1:6" ht="12.75">
      <c r="A4145">
        <v>5388399</v>
      </c>
      <c r="B4145">
        <v>5388181</v>
      </c>
      <c r="C4145" t="s">
        <v>8</v>
      </c>
      <c r="D4145" t="s">
        <v>8</v>
      </c>
      <c r="E4145" s="2" t="str">
        <f>HYPERLINK("https://ibp.a2mac1.com/costing(costing:projects/details/8191/assembly/5388399)","Fastners")</f>
        <v>Fastners</v>
      </c>
      <c r="F4145" t="s">
        <v>5016</v>
      </c>
    </row>
    <row r="4146" spans="1:6" ht="12.75">
      <c r="A4146">
        <v>5319561</v>
      </c>
      <c r="B4146">
        <v>5388399</v>
      </c>
      <c r="C4146" t="s">
        <v>574</v>
      </c>
      <c r="D4146" t="s">
        <v>8</v>
      </c>
      <c r="E4146" s="2" t="str">
        <f>HYPERLINK("https://ibp.a2mac1.com/costing(costing:projects/details/8191/component/5319561)","Panel holder &gt; Clips for panel side")</f>
        <v>Panel holder &gt; Clips for panel side</v>
      </c>
      <c r="F4146" t="s">
        <v>5017</v>
      </c>
    </row>
    <row r="4147" spans="1:6" ht="12.75">
      <c r="A4147">
        <v>5388395</v>
      </c>
      <c r="B4147">
        <v>5388181</v>
      </c>
      <c r="C4147" t="s">
        <v>12</v>
      </c>
      <c r="D4147" t="s">
        <v>8</v>
      </c>
      <c r="E4147" s="2" t="str">
        <f>HYPERLINK("https://ibp.a2mac1.com/costing(costing:projects/details/8191/part/5388395)","Electric Windows Lift Control")</f>
        <v>Electric Windows Lift Control</v>
      </c>
      <c r="F4147" t="s">
        <v>5016</v>
      </c>
    </row>
    <row r="4148" spans="1:6" ht="12.75">
      <c r="A4148">
        <v>5388396</v>
      </c>
      <c r="B4148">
        <v>5388181</v>
      </c>
      <c r="C4148" t="s">
        <v>12</v>
      </c>
      <c r="D4148" t="s">
        <v>8</v>
      </c>
      <c r="E4148" s="2" t="str">
        <f>HYPERLINK("https://ibp.a2mac1.com/costing(costing:projects/details/8191/part/5388396)","Electric Windows Lift Control Support")</f>
        <v>Electric Windows Lift Control Support</v>
      </c>
      <c r="F4148" t="s">
        <v>5016</v>
      </c>
    </row>
    <row r="4149" spans="1:6" ht="12.75">
      <c r="A4149">
        <v>6975394</v>
      </c>
      <c r="B4149">
        <v>5388396</v>
      </c>
      <c r="C4149" t="s">
        <v>99</v>
      </c>
      <c r="D4149" t="s">
        <v>12</v>
      </c>
      <c r="E4149" s="2" t="str">
        <f>HYPERLINK("https://ibp.a2mac1.com/costing(costing:projects/details/8191/process/6975394)","Injection molding")</f>
        <v>Injection molding</v>
      </c>
      <c r="F4149" t="s">
        <v>5020</v>
      </c>
    </row>
    <row r="4150" spans="1:6" ht="12.75">
      <c r="A4150">
        <v>5319788</v>
      </c>
      <c r="B4150">
        <v>6975394</v>
      </c>
      <c r="C4150" t="s">
        <v>24</v>
      </c>
      <c r="D4150" t="s">
        <v>99</v>
      </c>
      <c r="E4150" s="2" t="str">
        <f>HYPERLINK("https://ibp.a2mac1.com/costing(costing:projects/details/8191/material/5319788)","ABS-PC")</f>
        <v>ABS-PC</v>
      </c>
      <c r="F4150" t="s">
        <v>5023</v>
      </c>
    </row>
    <row r="4151" spans="1:6" ht="12.75">
      <c r="A4151">
        <v>6947974</v>
      </c>
      <c r="B4151">
        <v>6975394</v>
      </c>
      <c r="C4151" t="s">
        <v>189</v>
      </c>
      <c r="D4151" t="s">
        <v>99</v>
      </c>
      <c r="E4151" s="2" t="str">
        <f>HYPERLINK("https://ibp.a2mac1.com/costing(costing:projects/details/8191/equipment/6947974)","No.07 - Injection Press - 250T - 63kW - 570x570 - Max Volume 958cm3 ")</f>
        <v xml:space="preserve">No.07 - Injection Press - 250T - 63kW - 570x570 - Max Volume 958cm3 </v>
      </c>
      <c r="F4151" t="s">
        <v>5023</v>
      </c>
    </row>
    <row r="4152" spans="1:6" ht="12.75">
      <c r="A4152">
        <v>6975395</v>
      </c>
      <c r="B4152">
        <v>5388396</v>
      </c>
      <c r="C4152" t="s">
        <v>99</v>
      </c>
      <c r="D4152" t="s">
        <v>12</v>
      </c>
      <c r="E4152" s="2" t="str">
        <f>HYPERLINK("https://ibp.a2mac1.com/costing(costing:projects/details/8191/process/6975395)","Handling/Visual Inspection/Packaging")</f>
        <v>Handling/Visual Inspection/Packaging</v>
      </c>
      <c r="F4152" t="s">
        <v>5020</v>
      </c>
    </row>
    <row r="4153" spans="1:6" ht="12.75">
      <c r="A4153">
        <v>6947975</v>
      </c>
      <c r="B4153">
        <v>6975395</v>
      </c>
      <c r="C4153" t="s">
        <v>189</v>
      </c>
      <c r="D4153" t="s">
        <v>99</v>
      </c>
      <c r="E4153" s="2" t="str">
        <f>HYPERLINK("https://ibp.a2mac1.com/costing(costing:projects/details/8191/equipment/6947975)","Packaging")</f>
        <v>Packaging</v>
      </c>
      <c r="F4153" t="s">
        <v>5024</v>
      </c>
    </row>
    <row r="4154" spans="1:6" ht="12.75">
      <c r="A4154">
        <v>5388397</v>
      </c>
      <c r="B4154">
        <v>5388181</v>
      </c>
      <c r="C4154" t="s">
        <v>12</v>
      </c>
      <c r="D4154" t="s">
        <v>8</v>
      </c>
      <c r="E4154" s="2" t="str">
        <f>HYPERLINK("https://ibp.a2mac1.com/costing(costing:projects/details/8191/part/5388397)","Trunk Lid   Tailgate Opening Switch")</f>
        <v>Trunk Lid   Tailgate Opening Switch</v>
      </c>
      <c r="F4154" t="s">
        <v>5016</v>
      </c>
    </row>
    <row r="4155" spans="1:6" ht="12.75">
      <c r="A4155">
        <v>5388398</v>
      </c>
      <c r="B4155">
        <v>5388181</v>
      </c>
      <c r="C4155" t="s">
        <v>12</v>
      </c>
      <c r="D4155" t="s">
        <v>8</v>
      </c>
      <c r="E4155" s="2" t="str">
        <f>HYPERLINK("https://ibp.a2mac1.com/costing(costing:projects/details/8191/part/5388398)","Trunk Lid   Tailgate Opening Switch Support")</f>
        <v>Trunk Lid   Tailgate Opening Switch Support</v>
      </c>
      <c r="F4155" t="s">
        <v>5016</v>
      </c>
    </row>
    <row r="4156" spans="1:6" ht="12.75">
      <c r="A4156">
        <v>5388182</v>
      </c>
      <c r="B4156">
        <v>5388133</v>
      </c>
      <c r="C4156" t="s">
        <v>8</v>
      </c>
      <c r="D4156" t="s">
        <v>8</v>
      </c>
      <c r="E4156" s="2" t="str">
        <f>HYPERLINK("https://ibp.a2mac1.com/costing(costing:projects/details/8191/assembly/5388182)","Speaker System")</f>
        <v>Speaker System</v>
      </c>
      <c r="F4156" t="s">
        <v>4591</v>
      </c>
    </row>
    <row r="4157" spans="1:6" ht="12.75">
      <c r="A4157">
        <v>5388400</v>
      </c>
      <c r="B4157">
        <v>5388182</v>
      </c>
      <c r="C4157" t="s">
        <v>12</v>
      </c>
      <c r="D4157" t="s">
        <v>8</v>
      </c>
      <c r="E4157" s="2" t="str">
        <f>HYPERLINK("https://ibp.a2mac1.com/costing(costing:projects/details/8191/part/5388400)","Speaker")</f>
        <v>Speaker</v>
      </c>
      <c r="F4157" t="s">
        <v>5029</v>
      </c>
    </row>
    <row r="4158" spans="1:6" ht="12.75">
      <c r="A4158">
        <v>5388183</v>
      </c>
      <c r="B4158">
        <v>5388133</v>
      </c>
      <c r="C4158" t="s">
        <v>8</v>
      </c>
      <c r="D4158" t="s">
        <v>8</v>
      </c>
      <c r="E4158" s="2" t="str">
        <f>HYPERLINK("https://ibp.a2mac1.com/costing(costing:projects/details/8191/assembly/5388183)","Fastners")</f>
        <v>Fastners</v>
      </c>
      <c r="F4158" t="s">
        <v>4591</v>
      </c>
    </row>
    <row r="4159" spans="1:6" ht="12.75">
      <c r="A4159">
        <v>5319457</v>
      </c>
      <c r="B4159">
        <v>5388183</v>
      </c>
      <c r="C4159" t="s">
        <v>574</v>
      </c>
      <c r="D4159" t="s">
        <v>8</v>
      </c>
      <c r="E4159" s="2" t="str">
        <f>HYPERLINK("https://ibp.a2mac1.com/costing(costing:projects/details/8191/component/5319457)","Screw &gt; Torx socket head cap screw with flange")</f>
        <v>Screw &gt; Torx socket head cap screw with flange</v>
      </c>
      <c r="F4159" t="s">
        <v>5033</v>
      </c>
    </row>
    <row r="4160" spans="1:6" ht="12.75">
      <c r="A4160">
        <v>5319458</v>
      </c>
      <c r="B4160">
        <v>5388183</v>
      </c>
      <c r="C4160" t="s">
        <v>574</v>
      </c>
      <c r="D4160" t="s">
        <v>8</v>
      </c>
      <c r="E4160" s="2" t="str">
        <f>HYPERLINK("https://ibp.a2mac1.com/costing(costing:projects/details/8191/component/5319458)","Hole plug &gt; Round hole")</f>
        <v>Hole plug &gt; Round hole</v>
      </c>
      <c r="F4160" t="s">
        <v>5033</v>
      </c>
    </row>
    <row r="4161" spans="1:6" ht="12.75">
      <c r="A4161">
        <v>5388172</v>
      </c>
      <c r="B4161">
        <v>5388133</v>
      </c>
      <c r="C4161" t="s">
        <v>12</v>
      </c>
      <c r="D4161" t="s">
        <v>8</v>
      </c>
      <c r="E4161" s="2" t="str">
        <f>HYPERLINK("https://ibp.a2mac1.com/costing(costing:projects/details/8191/part/5388172)","Hole Plug")</f>
        <v>Hole Plug</v>
      </c>
      <c r="F4161" t="s">
        <v>4591</v>
      </c>
    </row>
    <row r="4162" spans="1:6" ht="12.75">
      <c r="A4162">
        <v>5388134</v>
      </c>
      <c r="B4162">
        <v>5388127</v>
      </c>
      <c r="C4162" t="s">
        <v>8</v>
      </c>
      <c r="D4162" t="s">
        <v>8</v>
      </c>
      <c r="E4162" s="2" t="str">
        <f>HYPERLINK("https://ibp.a2mac1.com/costing(costing:projects/details/8191/assembly/5388134)","Rear Door Left")</f>
        <v>Rear Door Left</v>
      </c>
      <c r="F4162" t="s">
        <v>4590</v>
      </c>
    </row>
    <row r="4163" spans="1:6" ht="12.75">
      <c r="A4163">
        <v>5388184</v>
      </c>
      <c r="B4163">
        <v>5388134</v>
      </c>
      <c r="C4163" t="s">
        <v>8</v>
      </c>
      <c r="D4163" t="s">
        <v>8</v>
      </c>
      <c r="E4163" s="2" t="str">
        <f>HYPERLINK("https://ibp.a2mac1.com/costing(costing:projects/details/8191/assembly/5388184)","Rear Door Left")</f>
        <v>Rear Door Left</v>
      </c>
      <c r="F4163" t="s">
        <v>5036</v>
      </c>
    </row>
    <row r="4164" spans="1:6" ht="12.75">
      <c r="A4164">
        <v>5388401</v>
      </c>
      <c r="B4164">
        <v>5388184</v>
      </c>
      <c r="C4164" t="s">
        <v>8</v>
      </c>
      <c r="D4164" t="s">
        <v>8</v>
      </c>
      <c r="E4164" s="2" t="str">
        <f>HYPERLINK("https://ibp.a2mac1.com/costing(costing:projects/details/8191/assembly/5388401)","Housing Assy ")</f>
        <v xml:space="preserve">Housing Assy </v>
      </c>
      <c r="F4164" t="s">
        <v>5037</v>
      </c>
    </row>
    <row r="4165" spans="1:6" ht="12.75">
      <c r="A4165">
        <v>5388786</v>
      </c>
      <c r="B4165">
        <v>5388401</v>
      </c>
      <c r="C4165" t="s">
        <v>8</v>
      </c>
      <c r="D4165" t="s">
        <v>8</v>
      </c>
      <c r="E4165" s="2" t="str">
        <f>HYPERLINK("https://ibp.a2mac1.com/costing(costing:projects/details/8191/assembly/5388786)","Housing")</f>
        <v>Housing</v>
      </c>
      <c r="F4165" t="s">
        <v>5038</v>
      </c>
    </row>
    <row r="4166" spans="1:6" ht="12.75">
      <c r="A4166">
        <v>5389161</v>
      </c>
      <c r="B4166">
        <v>5388786</v>
      </c>
      <c r="C4166" t="s">
        <v>12</v>
      </c>
      <c r="D4166" t="s">
        <v>8</v>
      </c>
      <c r="E4166" s="2" t="str">
        <f>HYPERLINK("https://ibp.a2mac1.com/costing(costing:projects/details/8191/part/5389161)","Part 01 single/front")</f>
        <v>Part 01 single/front</v>
      </c>
      <c r="F4166" t="s">
        <v>5039</v>
      </c>
    </row>
    <row r="4167" spans="1:6" ht="12.75">
      <c r="A4167">
        <v>6975807</v>
      </c>
      <c r="B4167">
        <v>5389161</v>
      </c>
      <c r="C4167" t="s">
        <v>99</v>
      </c>
      <c r="D4167" t="s">
        <v>12</v>
      </c>
      <c r="E4167" s="2" t="str">
        <f>HYPERLINK("https://ibp.a2mac1.com/costing(costing:projects/details/8191/process/6975807)","Manufacturing Process")</f>
        <v>Manufacturing Process</v>
      </c>
      <c r="F4167" t="s">
        <v>5040</v>
      </c>
    </row>
    <row r="4168" spans="1:6" ht="12.75">
      <c r="A4168">
        <v>5320251</v>
      </c>
      <c r="B4168">
        <v>6975807</v>
      </c>
      <c r="C4168" t="s">
        <v>24</v>
      </c>
      <c r="D4168" t="s">
        <v>99</v>
      </c>
      <c r="E4168" s="2" t="str">
        <f>HYPERLINK("https://ibp.a2mac1.com/costing(costing:projects/details/8191/material/5320251)","Standard Structural Steel sheet")</f>
        <v>Standard Structural Steel sheet</v>
      </c>
      <c r="F4168" t="s">
        <v>5043</v>
      </c>
    </row>
    <row r="4169" spans="1:6" ht="12.75">
      <c r="A4169">
        <v>6948402</v>
      </c>
      <c r="B4169">
        <v>6975807</v>
      </c>
      <c r="C4169" t="s">
        <v>189</v>
      </c>
      <c r="D4169" t="s">
        <v>99</v>
      </c>
      <c r="E4169" s="2" t="str">
        <f>HYPERLINK("https://ibp.a2mac1.com/costing(costing:projects/details/8191/equipment/6948402)","Equipment (Stamping)")</f>
        <v>Equipment (Stamping)</v>
      </c>
      <c r="F4169" t="s">
        <v>5043</v>
      </c>
    </row>
    <row r="4170" spans="1:6" ht="12.75">
      <c r="A4170">
        <v>5388787</v>
      </c>
      <c r="B4170">
        <v>5388401</v>
      </c>
      <c r="C4170" t="s">
        <v>8</v>
      </c>
      <c r="D4170" t="s">
        <v>8</v>
      </c>
      <c r="E4170" s="2" t="str">
        <f>HYPERLINK("https://ibp.a2mac1.com/costing(costing:projects/details/8191/assembly/5388787)","Reinforcements")</f>
        <v>Reinforcements</v>
      </c>
      <c r="F4170" t="s">
        <v>5038</v>
      </c>
    </row>
    <row r="4171" spans="1:6" ht="12.75">
      <c r="A4171">
        <v>5389162</v>
      </c>
      <c r="B4171">
        <v>5388787</v>
      </c>
      <c r="C4171" t="s">
        <v>12</v>
      </c>
      <c r="D4171" t="s">
        <v>8</v>
      </c>
      <c r="E4171" s="2" t="str">
        <f>HYPERLINK("https://ibp.a2mac1.com/costing(costing:projects/details/8191/part/5389162)","Part 01 single/main")</f>
        <v>Part 01 single/main</v>
      </c>
      <c r="F4171" t="s">
        <v>5044</v>
      </c>
    </row>
    <row r="4172" spans="1:6" ht="12.75">
      <c r="A4172">
        <v>6975808</v>
      </c>
      <c r="B4172">
        <v>5389162</v>
      </c>
      <c r="C4172" t="s">
        <v>99</v>
      </c>
      <c r="D4172" t="s">
        <v>12</v>
      </c>
      <c r="E4172" s="2" t="str">
        <f>HYPERLINK("https://ibp.a2mac1.com/costing(costing:projects/details/8191/process/6975808)","Manufacturing Process")</f>
        <v>Manufacturing Process</v>
      </c>
      <c r="F4172" t="s">
        <v>5045</v>
      </c>
    </row>
    <row r="4173" spans="1:6" ht="12.75">
      <c r="A4173">
        <v>5320252</v>
      </c>
      <c r="B4173">
        <v>6975808</v>
      </c>
      <c r="C4173" t="s">
        <v>24</v>
      </c>
      <c r="D4173" t="s">
        <v>99</v>
      </c>
      <c r="E4173" s="2" t="str">
        <f>HYPERLINK("https://ibp.a2mac1.com/costing(costing:projects/details/8191/material/5320252)","Standard Structural Steel sheet")</f>
        <v>Standard Structural Steel sheet</v>
      </c>
      <c r="F4173" t="s">
        <v>5048</v>
      </c>
    </row>
    <row r="4174" spans="1:6" ht="12.75">
      <c r="A4174">
        <v>6948403</v>
      </c>
      <c r="B4174">
        <v>6975808</v>
      </c>
      <c r="C4174" t="s">
        <v>189</v>
      </c>
      <c r="D4174" t="s">
        <v>99</v>
      </c>
      <c r="E4174" s="2" t="str">
        <f>HYPERLINK("https://ibp.a2mac1.com/costing(costing:projects/details/8191/equipment/6948403)","Equipment (Stamping)")</f>
        <v>Equipment (Stamping)</v>
      </c>
      <c r="F4174" t="s">
        <v>5048</v>
      </c>
    </row>
    <row r="4175" spans="1:6" ht="12.75">
      <c r="A4175">
        <v>5389163</v>
      </c>
      <c r="B4175">
        <v>5388787</v>
      </c>
      <c r="C4175" t="s">
        <v>12</v>
      </c>
      <c r="D4175" t="s">
        <v>8</v>
      </c>
      <c r="E4175" s="2" t="str">
        <f>HYPERLINK("https://ibp.a2mac1.com/costing(costing:projects/details/8191/part/5389163)","Part 02")</f>
        <v>Part 02</v>
      </c>
      <c r="F4175" t="s">
        <v>5044</v>
      </c>
    </row>
    <row r="4176" spans="1:6" ht="12.75">
      <c r="A4176">
        <v>6975809</v>
      </c>
      <c r="B4176">
        <v>5389163</v>
      </c>
      <c r="C4176" t="s">
        <v>99</v>
      </c>
      <c r="D4176" t="s">
        <v>12</v>
      </c>
      <c r="E4176" s="2" t="str">
        <f>HYPERLINK("https://ibp.a2mac1.com/costing(costing:projects/details/8191/process/6975809)","Manufacturing Process")</f>
        <v>Manufacturing Process</v>
      </c>
      <c r="F4176" t="s">
        <v>5049</v>
      </c>
    </row>
    <row r="4177" spans="1:6" ht="12.75">
      <c r="A4177">
        <v>5320253</v>
      </c>
      <c r="B4177">
        <v>6975809</v>
      </c>
      <c r="C4177" t="s">
        <v>24</v>
      </c>
      <c r="D4177" t="s">
        <v>99</v>
      </c>
      <c r="E4177" s="2" t="str">
        <f>HYPERLINK("https://ibp.a2mac1.com/costing(costing:projects/details/8191/material/5320253)","Standard Structural Steel sheet")</f>
        <v>Standard Structural Steel sheet</v>
      </c>
      <c r="F4177" t="s">
        <v>5051</v>
      </c>
    </row>
    <row r="4178" spans="1:6" ht="12.75">
      <c r="A4178">
        <v>6948404</v>
      </c>
      <c r="B4178">
        <v>6975809</v>
      </c>
      <c r="C4178" t="s">
        <v>189</v>
      </c>
      <c r="D4178" t="s">
        <v>99</v>
      </c>
      <c r="E4178" s="2" t="str">
        <f>HYPERLINK("https://ibp.a2mac1.com/costing(costing:projects/details/8191/equipment/6948404)","Equipment (Stamping)")</f>
        <v>Equipment (Stamping)</v>
      </c>
      <c r="F4178" t="s">
        <v>5051</v>
      </c>
    </row>
    <row r="4179" spans="1:6" ht="12.75">
      <c r="A4179">
        <v>5388788</v>
      </c>
      <c r="B4179">
        <v>5388401</v>
      </c>
      <c r="C4179" t="s">
        <v>8</v>
      </c>
      <c r="D4179" t="s">
        <v>8</v>
      </c>
      <c r="E4179" s="2" t="str">
        <f>HYPERLINK("https://ibp.a2mac1.com/costing(costing:projects/details/8191/assembly/5388788)","Fixing parts")</f>
        <v>Fixing parts</v>
      </c>
      <c r="F4179" t="s">
        <v>5038</v>
      </c>
    </row>
    <row r="4180" spans="1:6" ht="12.75">
      <c r="A4180">
        <v>5389164</v>
      </c>
      <c r="B4180">
        <v>5388788</v>
      </c>
      <c r="C4180" t="s">
        <v>8</v>
      </c>
      <c r="D4180" t="s">
        <v>8</v>
      </c>
      <c r="E4180" s="2" t="str">
        <f>HYPERLINK("https://ibp.a2mac1.com/costing(costing:projects/details/8191/assembly/5389164)","Front")</f>
        <v>Front</v>
      </c>
      <c r="F4180" t="s">
        <v>5052</v>
      </c>
    </row>
    <row r="4181" spans="1:6" ht="12.75">
      <c r="A4181">
        <v>5389418</v>
      </c>
      <c r="B4181">
        <v>5389164</v>
      </c>
      <c r="C4181" t="s">
        <v>12</v>
      </c>
      <c r="D4181" t="s">
        <v>8</v>
      </c>
      <c r="E4181" s="2" t="str">
        <f>HYPERLINK("https://ibp.a2mac1.com/costing(costing:projects/details/8191/part/5389418)","Part 01 single/main")</f>
        <v>Part 01 single/main</v>
      </c>
      <c r="F4181" t="s">
        <v>5053</v>
      </c>
    </row>
    <row r="4182" spans="1:6" ht="12.75">
      <c r="A4182">
        <v>6975886</v>
      </c>
      <c r="B4182">
        <v>5389418</v>
      </c>
      <c r="C4182" t="s">
        <v>99</v>
      </c>
      <c r="D4182" t="s">
        <v>12</v>
      </c>
      <c r="E4182" s="2" t="str">
        <f>HYPERLINK("https://ibp.a2mac1.com/costing(costing:projects/details/8191/process/6975886)","Manufacturing Process")</f>
        <v>Manufacturing Process</v>
      </c>
      <c r="F4182" t="s">
        <v>5054</v>
      </c>
    </row>
    <row r="4183" spans="1:6" ht="12.75">
      <c r="A4183">
        <v>5320350</v>
      </c>
      <c r="B4183">
        <v>6975886</v>
      </c>
      <c r="C4183" t="s">
        <v>24</v>
      </c>
      <c r="D4183" t="s">
        <v>99</v>
      </c>
      <c r="E4183" s="2" t="str">
        <f>HYPERLINK("https://ibp.a2mac1.com/costing(costing:projects/details/8191/material/5320350)","Standard Structural Steel sheet")</f>
        <v>Standard Structural Steel sheet</v>
      </c>
      <c r="F4183" t="s">
        <v>5055</v>
      </c>
    </row>
    <row r="4184" spans="1:6" ht="12.75">
      <c r="A4184">
        <v>6948505</v>
      </c>
      <c r="B4184">
        <v>6975886</v>
      </c>
      <c r="C4184" t="s">
        <v>189</v>
      </c>
      <c r="D4184" t="s">
        <v>99</v>
      </c>
      <c r="E4184" s="2" t="str">
        <f>HYPERLINK("https://ibp.a2mac1.com/costing(costing:projects/details/8191/equipment/6948505)","Equipment (Stamping)")</f>
        <v>Equipment (Stamping)</v>
      </c>
      <c r="F4184" t="s">
        <v>5055</v>
      </c>
    </row>
    <row r="4185" spans="1:6" ht="12.75">
      <c r="A4185">
        <v>5389419</v>
      </c>
      <c r="B4185">
        <v>5389164</v>
      </c>
      <c r="C4185" t="s">
        <v>12</v>
      </c>
      <c r="D4185" t="s">
        <v>8</v>
      </c>
      <c r="E4185" s="2" t="str">
        <f>HYPERLINK("https://ibp.a2mac1.com/costing(costing:projects/details/8191/part/5389419)","Part 02")</f>
        <v>Part 02</v>
      </c>
      <c r="F4185" t="s">
        <v>5053</v>
      </c>
    </row>
    <row r="4186" spans="1:6" ht="12.75">
      <c r="A4186">
        <v>6975887</v>
      </c>
      <c r="B4186">
        <v>5389419</v>
      </c>
      <c r="C4186" t="s">
        <v>99</v>
      </c>
      <c r="D4186" t="s">
        <v>12</v>
      </c>
      <c r="E4186" s="2" t="str">
        <f>HYPERLINK("https://ibp.a2mac1.com/costing(costing:projects/details/8191/process/6975887)","Manufacturing Process")</f>
        <v>Manufacturing Process</v>
      </c>
      <c r="F4186" t="s">
        <v>5056</v>
      </c>
    </row>
    <row r="4187" spans="1:6" ht="12.75">
      <c r="A4187">
        <v>5320351</v>
      </c>
      <c r="B4187">
        <v>6975887</v>
      </c>
      <c r="C4187" t="s">
        <v>24</v>
      </c>
      <c r="D4187" t="s">
        <v>99</v>
      </c>
      <c r="E4187" s="2" t="str">
        <f>HYPERLINK("https://ibp.a2mac1.com/costing(costing:projects/details/8191/material/5320351)","Standard Structural Steel sheet")</f>
        <v>Standard Structural Steel sheet</v>
      </c>
      <c r="F4187" t="s">
        <v>5059</v>
      </c>
    </row>
    <row r="4188" spans="1:6" ht="12.75">
      <c r="A4188">
        <v>6948506</v>
      </c>
      <c r="B4188">
        <v>6975887</v>
      </c>
      <c r="C4188" t="s">
        <v>189</v>
      </c>
      <c r="D4188" t="s">
        <v>99</v>
      </c>
      <c r="E4188" s="2" t="str">
        <f>HYPERLINK("https://ibp.a2mac1.com/costing(costing:projects/details/8191/equipment/6948506)","Equipment (Stamping)")</f>
        <v>Equipment (Stamping)</v>
      </c>
      <c r="F4188" t="s">
        <v>5059</v>
      </c>
    </row>
    <row r="4189" spans="1:6" ht="12.75">
      <c r="A4189">
        <v>5388402</v>
      </c>
      <c r="B4189">
        <v>5388184</v>
      </c>
      <c r="C4189" t="s">
        <v>8</v>
      </c>
      <c r="D4189" t="s">
        <v>8</v>
      </c>
      <c r="E4189" s="2" t="str">
        <f>HYPERLINK("https://ibp.a2mac1.com/costing(costing:projects/details/8191/assembly/5388402)","Anti-intrusion beams")</f>
        <v>Anti-intrusion beams</v>
      </c>
      <c r="F4189" t="s">
        <v>5037</v>
      </c>
    </row>
    <row r="4190" spans="1:6" ht="12.75">
      <c r="A4190">
        <v>5388789</v>
      </c>
      <c r="B4190">
        <v>5388402</v>
      </c>
      <c r="C4190" t="s">
        <v>8</v>
      </c>
      <c r="D4190" t="s">
        <v>8</v>
      </c>
      <c r="E4190" s="2" t="str">
        <f>HYPERLINK("https://ibp.a2mac1.com/costing(costing:projects/details/8191/assembly/5388789)","Beam 01")</f>
        <v>Beam 01</v>
      </c>
      <c r="F4190" t="s">
        <v>5060</v>
      </c>
    </row>
    <row r="4191" spans="1:6" ht="12.75">
      <c r="A4191">
        <v>5389165</v>
      </c>
      <c r="B4191">
        <v>5388789</v>
      </c>
      <c r="C4191" t="s">
        <v>8</v>
      </c>
      <c r="D4191" t="s">
        <v>8</v>
      </c>
      <c r="E4191" s="2" t="str">
        <f>HYPERLINK("https://ibp.a2mac1.com/costing(costing:projects/details/8191/assembly/5389165)","Beam")</f>
        <v>Beam</v>
      </c>
      <c r="F4191" t="s">
        <v>5061</v>
      </c>
    </row>
    <row r="4192" spans="1:6" ht="12.75">
      <c r="A4192">
        <v>5389420</v>
      </c>
      <c r="B4192">
        <v>5389165</v>
      </c>
      <c r="C4192" t="s">
        <v>12</v>
      </c>
      <c r="D4192" t="s">
        <v>8</v>
      </c>
      <c r="E4192" s="2" t="str">
        <f>HYPERLINK("https://ibp.a2mac1.com/costing(costing:projects/details/8191/part/5389420)","Part 01 single/main")</f>
        <v>Part 01 single/main</v>
      </c>
      <c r="F4192" t="s">
        <v>5062</v>
      </c>
    </row>
    <row r="4193" spans="1:6" ht="12.75">
      <c r="A4193">
        <v>6975888</v>
      </c>
      <c r="B4193">
        <v>5389420</v>
      </c>
      <c r="C4193" t="s">
        <v>99</v>
      </c>
      <c r="D4193" t="s">
        <v>12</v>
      </c>
      <c r="E4193" s="2" t="str">
        <f>HYPERLINK("https://ibp.a2mac1.com/costing(costing:projects/details/8191/process/6975888)","Manufacturing Process")</f>
        <v>Manufacturing Process</v>
      </c>
      <c r="F4193" t="s">
        <v>5063</v>
      </c>
    </row>
    <row r="4194" spans="1:6" ht="12.75">
      <c r="A4194">
        <v>5320352</v>
      </c>
      <c r="B4194">
        <v>6975888</v>
      </c>
      <c r="C4194" t="s">
        <v>24</v>
      </c>
      <c r="D4194" t="s">
        <v>99</v>
      </c>
      <c r="E4194" s="2" t="str">
        <f>HYPERLINK("https://ibp.a2mac1.com/costing(costing:projects/details/8191/material/5320352)","Standard Structural Steel sheet")</f>
        <v>Standard Structural Steel sheet</v>
      </c>
      <c r="F4194" t="s">
        <v>5066</v>
      </c>
    </row>
    <row r="4195" spans="1:6" ht="12.75">
      <c r="A4195">
        <v>6948507</v>
      </c>
      <c r="B4195">
        <v>6975888</v>
      </c>
      <c r="C4195" t="s">
        <v>189</v>
      </c>
      <c r="D4195" t="s">
        <v>99</v>
      </c>
      <c r="E4195" s="2" t="str">
        <f>HYPERLINK("https://ibp.a2mac1.com/costing(costing:projects/details/8191/equipment/6948507)","Equipment (Stamping)")</f>
        <v>Equipment (Stamping)</v>
      </c>
      <c r="F4195" t="s">
        <v>5066</v>
      </c>
    </row>
    <row r="4196" spans="1:6" ht="12.75">
      <c r="A4196">
        <v>5388403</v>
      </c>
      <c r="B4196">
        <v>5388184</v>
      </c>
      <c r="C4196" t="s">
        <v>8</v>
      </c>
      <c r="D4196" t="s">
        <v>8</v>
      </c>
      <c r="E4196" s="2" t="str">
        <f>HYPERLINK("https://ibp.a2mac1.com/costing(costing:projects/details/8191/assembly/5388403)","Window frame assy")</f>
        <v>Window frame assy</v>
      </c>
      <c r="F4196" t="s">
        <v>5037</v>
      </c>
    </row>
    <row r="4197" spans="1:6" ht="12.75">
      <c r="A4197">
        <v>5388790</v>
      </c>
      <c r="B4197">
        <v>5388403</v>
      </c>
      <c r="C4197" t="s">
        <v>8</v>
      </c>
      <c r="D4197" t="s">
        <v>8</v>
      </c>
      <c r="E4197" s="2" t="str">
        <f>HYPERLINK("https://ibp.a2mac1.com/costing(costing:projects/details/8191/assembly/5388790)","Frame")</f>
        <v>Frame</v>
      </c>
      <c r="F4197" t="s">
        <v>5067</v>
      </c>
    </row>
    <row r="4198" spans="1:6" ht="12.75">
      <c r="A4198">
        <v>5389166</v>
      </c>
      <c r="B4198">
        <v>5388790</v>
      </c>
      <c r="C4198" t="s">
        <v>12</v>
      </c>
      <c r="D4198" t="s">
        <v>8</v>
      </c>
      <c r="E4198" s="2" t="str">
        <f>HYPERLINK("https://ibp.a2mac1.com/costing(costing:projects/details/8191/part/5389166)","Part 01 single/front")</f>
        <v>Part 01 single/front</v>
      </c>
      <c r="F4198" t="s">
        <v>5068</v>
      </c>
    </row>
    <row r="4199" spans="1:6" ht="12.75">
      <c r="A4199">
        <v>6975810</v>
      </c>
      <c r="B4199">
        <v>5389166</v>
      </c>
      <c r="C4199" t="s">
        <v>99</v>
      </c>
      <c r="D4199" t="s">
        <v>12</v>
      </c>
      <c r="E4199" s="2" t="str">
        <f>HYPERLINK("https://ibp.a2mac1.com/costing(costing:projects/details/8191/process/6975810)","Manufacturing Process")</f>
        <v>Manufacturing Process</v>
      </c>
      <c r="F4199" t="s">
        <v>5069</v>
      </c>
    </row>
    <row r="4200" spans="1:6" ht="12.75">
      <c r="A4200">
        <v>5320254</v>
      </c>
      <c r="B4200">
        <v>6975810</v>
      </c>
      <c r="C4200" t="s">
        <v>24</v>
      </c>
      <c r="D4200" t="s">
        <v>99</v>
      </c>
      <c r="E4200" s="2" t="str">
        <f>HYPERLINK("https://ibp.a2mac1.com/costing(costing:projects/details/8191/material/5320254)","Standard Structural Steel sheet")</f>
        <v>Standard Structural Steel sheet</v>
      </c>
      <c r="F4200" t="s">
        <v>5072</v>
      </c>
    </row>
    <row r="4201" spans="1:6" ht="12.75">
      <c r="A4201">
        <v>6948405</v>
      </c>
      <c r="B4201">
        <v>6975810</v>
      </c>
      <c r="C4201" t="s">
        <v>189</v>
      </c>
      <c r="D4201" t="s">
        <v>99</v>
      </c>
      <c r="E4201" s="2" t="str">
        <f>HYPERLINK("https://ibp.a2mac1.com/costing(costing:projects/details/8191/equipment/6948405)","Equipment (Stamping)")</f>
        <v>Equipment (Stamping)</v>
      </c>
      <c r="F4201" t="s">
        <v>5072</v>
      </c>
    </row>
    <row r="4202" spans="1:6" ht="12.75">
      <c r="A4202">
        <v>5388404</v>
      </c>
      <c r="B4202">
        <v>5388184</v>
      </c>
      <c r="C4202" t="s">
        <v>8</v>
      </c>
      <c r="D4202" t="s">
        <v>8</v>
      </c>
      <c r="E4202" s="2" t="str">
        <f>HYPERLINK("https://ibp.a2mac1.com/costing(costing:projects/details/8191/assembly/5388404)","Top roll assy ")</f>
        <v xml:space="preserve">Top roll assy </v>
      </c>
      <c r="F4202" t="s">
        <v>5037</v>
      </c>
    </row>
    <row r="4203" spans="1:6" ht="12.75">
      <c r="A4203">
        <v>5388791</v>
      </c>
      <c r="B4203">
        <v>5388404</v>
      </c>
      <c r="C4203" t="s">
        <v>8</v>
      </c>
      <c r="D4203" t="s">
        <v>8</v>
      </c>
      <c r="E4203" s="2" t="str">
        <f>HYPERLINK("https://ibp.a2mac1.com/costing(costing:projects/details/8191/assembly/5388791)","Cross member 01 (outer)")</f>
        <v>Cross member 01 (outer)</v>
      </c>
      <c r="F4203" t="s">
        <v>5073</v>
      </c>
    </row>
    <row r="4204" spans="1:6" ht="12.75">
      <c r="A4204">
        <v>5389167</v>
      </c>
      <c r="B4204">
        <v>5388791</v>
      </c>
      <c r="C4204" t="s">
        <v>8</v>
      </c>
      <c r="D4204" t="s">
        <v>8</v>
      </c>
      <c r="E4204" s="2" t="str">
        <f>HYPERLINK("https://ibp.a2mac1.com/costing(costing:projects/details/8191/assembly/5389167)","Cross member")</f>
        <v>Cross member</v>
      </c>
      <c r="F4204" t="s">
        <v>5074</v>
      </c>
    </row>
    <row r="4205" spans="1:6" ht="12.75">
      <c r="A4205">
        <v>5389421</v>
      </c>
      <c r="B4205">
        <v>5389167</v>
      </c>
      <c r="C4205" t="s">
        <v>12</v>
      </c>
      <c r="D4205" t="s">
        <v>8</v>
      </c>
      <c r="E4205" s="2" t="str">
        <f>HYPERLINK("https://ibp.a2mac1.com/costing(costing:projects/details/8191/part/5389421)","Part 01 single/main")</f>
        <v>Part 01 single/main</v>
      </c>
      <c r="F4205" t="s">
        <v>5075</v>
      </c>
    </row>
    <row r="4206" spans="1:6" ht="12.75">
      <c r="A4206">
        <v>6975889</v>
      </c>
      <c r="B4206">
        <v>5389421</v>
      </c>
      <c r="C4206" t="s">
        <v>99</v>
      </c>
      <c r="D4206" t="s">
        <v>12</v>
      </c>
      <c r="E4206" s="2" t="str">
        <f>HYPERLINK("https://ibp.a2mac1.com/costing(costing:projects/details/8191/process/6975889)","Manufacturing Process")</f>
        <v>Manufacturing Process</v>
      </c>
      <c r="F4206" t="s">
        <v>5076</v>
      </c>
    </row>
    <row r="4207" spans="1:6" ht="12.75">
      <c r="A4207">
        <v>5320353</v>
      </c>
      <c r="B4207">
        <v>6975889</v>
      </c>
      <c r="C4207" t="s">
        <v>24</v>
      </c>
      <c r="D4207" t="s">
        <v>99</v>
      </c>
      <c r="E4207" s="2" t="str">
        <f>HYPERLINK("https://ibp.a2mac1.com/costing(costing:projects/details/8191/material/5320353)","Standard Structural Steel sheet")</f>
        <v>Standard Structural Steel sheet</v>
      </c>
      <c r="F4207" t="s">
        <v>5079</v>
      </c>
    </row>
    <row r="4208" spans="1:6" ht="12.75">
      <c r="A4208">
        <v>6948508</v>
      </c>
      <c r="B4208">
        <v>6975889</v>
      </c>
      <c r="C4208" t="s">
        <v>189</v>
      </c>
      <c r="D4208" t="s">
        <v>99</v>
      </c>
      <c r="E4208" s="2" t="str">
        <f>HYPERLINK("https://ibp.a2mac1.com/costing(costing:projects/details/8191/equipment/6948508)","Equipment (Stamping)")</f>
        <v>Equipment (Stamping)</v>
      </c>
      <c r="F4208" t="s">
        <v>5079</v>
      </c>
    </row>
    <row r="4209" spans="1:6" ht="12.75">
      <c r="A4209">
        <v>5388405</v>
      </c>
      <c r="B4209">
        <v>5388184</v>
      </c>
      <c r="C4209" t="s">
        <v>8</v>
      </c>
      <c r="D4209" t="s">
        <v>8</v>
      </c>
      <c r="E4209" s="2" t="str">
        <f>HYPERLINK("https://ibp.a2mac1.com/costing(costing:projects/details/8191/assembly/5388405)","Outer panel")</f>
        <v>Outer panel</v>
      </c>
      <c r="F4209" t="s">
        <v>5037</v>
      </c>
    </row>
    <row r="4210" spans="1:6" ht="12.75">
      <c r="A4210">
        <v>5388792</v>
      </c>
      <c r="B4210">
        <v>5388405</v>
      </c>
      <c r="C4210" t="s">
        <v>8</v>
      </c>
      <c r="D4210" t="s">
        <v>8</v>
      </c>
      <c r="E4210" s="2" t="str">
        <f>HYPERLINK("https://ibp.a2mac1.com/costing(costing:projects/details/8191/assembly/5388792)","Panel")</f>
        <v>Panel</v>
      </c>
      <c r="F4210" t="s">
        <v>5080</v>
      </c>
    </row>
    <row r="4211" spans="1:6" ht="12.75">
      <c r="A4211">
        <v>5389168</v>
      </c>
      <c r="B4211">
        <v>5388792</v>
      </c>
      <c r="C4211" t="s">
        <v>12</v>
      </c>
      <c r="D4211" t="s">
        <v>8</v>
      </c>
      <c r="E4211" s="2" t="str">
        <f>HYPERLINK("https://ibp.a2mac1.com/costing(costing:projects/details/8191/part/5389168)","Part 01 single/main")</f>
        <v>Part 01 single/main</v>
      </c>
      <c r="F4211" t="s">
        <v>5081</v>
      </c>
    </row>
    <row r="4212" spans="1:6" ht="12.75">
      <c r="A4212">
        <v>6975811</v>
      </c>
      <c r="B4212">
        <v>5389168</v>
      </c>
      <c r="C4212" t="s">
        <v>99</v>
      </c>
      <c r="D4212" t="s">
        <v>12</v>
      </c>
      <c r="E4212" s="2" t="str">
        <f>HYPERLINK("https://ibp.a2mac1.com/costing(costing:projects/details/8191/process/6975811)","Manufacturing Process")</f>
        <v>Manufacturing Process</v>
      </c>
      <c r="F4212" t="s">
        <v>5082</v>
      </c>
    </row>
    <row r="4213" spans="1:6" ht="12.75">
      <c r="A4213">
        <v>5320255</v>
      </c>
      <c r="B4213">
        <v>6975811</v>
      </c>
      <c r="C4213" t="s">
        <v>24</v>
      </c>
      <c r="D4213" t="s">
        <v>99</v>
      </c>
      <c r="E4213" s="2" t="str">
        <f>HYPERLINK("https://ibp.a2mac1.com/costing(costing:projects/details/8191/material/5320255)","Standard Structural Steel sheet")</f>
        <v>Standard Structural Steel sheet</v>
      </c>
      <c r="F4213" t="s">
        <v>5085</v>
      </c>
    </row>
    <row r="4214" spans="1:6" ht="12.75">
      <c r="A4214">
        <v>6948406</v>
      </c>
      <c r="B4214">
        <v>6975811</v>
      </c>
      <c r="C4214" t="s">
        <v>189</v>
      </c>
      <c r="D4214" t="s">
        <v>99</v>
      </c>
      <c r="E4214" s="2" t="str">
        <f>HYPERLINK("https://ibp.a2mac1.com/costing(costing:projects/details/8191/equipment/6948406)","Equipment (Stamping)")</f>
        <v>Equipment (Stamping)</v>
      </c>
      <c r="F4214" t="s">
        <v>5085</v>
      </c>
    </row>
    <row r="4215" spans="1:6" ht="12.75">
      <c r="A4215">
        <v>5388793</v>
      </c>
      <c r="B4215">
        <v>5388405</v>
      </c>
      <c r="C4215" t="s">
        <v>8</v>
      </c>
      <c r="D4215" t="s">
        <v>8</v>
      </c>
      <c r="E4215" s="2" t="str">
        <f>HYPERLINK("https://ibp.a2mac1.com/costing(costing:projects/details/8191/assembly/5388793)","Reinforcements")</f>
        <v>Reinforcements</v>
      </c>
      <c r="F4215" t="s">
        <v>5080</v>
      </c>
    </row>
    <row r="4216" spans="1:6" ht="12.75">
      <c r="A4216">
        <v>5389169</v>
      </c>
      <c r="B4216">
        <v>5388793</v>
      </c>
      <c r="C4216" t="s">
        <v>8</v>
      </c>
      <c r="D4216" t="s">
        <v>8</v>
      </c>
      <c r="E4216" s="2" t="str">
        <f>HYPERLINK("https://ibp.a2mac1.com/costing(costing:projects/details/8191/assembly/5389169)","Reinforcement")</f>
        <v>Reinforcement</v>
      </c>
      <c r="F4216" t="s">
        <v>5086</v>
      </c>
    </row>
    <row r="4217" spans="1:6" ht="12.75">
      <c r="A4217">
        <v>5389422</v>
      </c>
      <c r="B4217">
        <v>5389169</v>
      </c>
      <c r="C4217" t="s">
        <v>12</v>
      </c>
      <c r="D4217" t="s">
        <v>8</v>
      </c>
      <c r="E4217" s="2" t="str">
        <f>HYPERLINK("https://ibp.a2mac1.com/costing(costing:projects/details/8191/part/5389422)","Part 01 single/main")</f>
        <v>Part 01 single/main</v>
      </c>
      <c r="F4217" t="s">
        <v>5087</v>
      </c>
    </row>
    <row r="4218" spans="1:6" ht="12.75">
      <c r="A4218">
        <v>6975890</v>
      </c>
      <c r="B4218">
        <v>5389422</v>
      </c>
      <c r="C4218" t="s">
        <v>99</v>
      </c>
      <c r="D4218" t="s">
        <v>12</v>
      </c>
      <c r="E4218" s="2" t="str">
        <f>HYPERLINK("https://ibp.a2mac1.com/costing(costing:projects/details/8191/process/6975890)","Manufacturing Process")</f>
        <v>Manufacturing Process</v>
      </c>
      <c r="F4218" t="s">
        <v>5088</v>
      </c>
    </row>
    <row r="4219" spans="1:6" ht="12.75">
      <c r="A4219">
        <v>5320354</v>
      </c>
      <c r="B4219">
        <v>6975890</v>
      </c>
      <c r="C4219" t="s">
        <v>24</v>
      </c>
      <c r="D4219" t="s">
        <v>99</v>
      </c>
      <c r="E4219" s="2" t="str">
        <f>HYPERLINK("https://ibp.a2mac1.com/costing(costing:projects/details/8191/material/5320354)","Standard Structural Steel sheet")</f>
        <v>Standard Structural Steel sheet</v>
      </c>
      <c r="F4219" t="s">
        <v>5091</v>
      </c>
    </row>
    <row r="4220" spans="1:6" ht="12.75">
      <c r="A4220">
        <v>6948509</v>
      </c>
      <c r="B4220">
        <v>6975890</v>
      </c>
      <c r="C4220" t="s">
        <v>189</v>
      </c>
      <c r="D4220" t="s">
        <v>99</v>
      </c>
      <c r="E4220" s="2" t="str">
        <f>HYPERLINK("https://ibp.a2mac1.com/costing(costing:projects/details/8191/equipment/6948509)","Equipment (Stamping)")</f>
        <v>Equipment (Stamping)</v>
      </c>
      <c r="F4220" t="s">
        <v>5091</v>
      </c>
    </row>
    <row r="4221" spans="1:6" ht="12.75">
      <c r="A4221">
        <v>6975279</v>
      </c>
      <c r="B4221">
        <v>5388184</v>
      </c>
      <c r="C4221" t="s">
        <v>99</v>
      </c>
      <c r="D4221" t="s">
        <v>8</v>
      </c>
      <c r="E4221" s="2" t="str">
        <f>HYPERLINK("https://ibp.a2mac1.com/costing(costing:projects/details/8191/process/6975279)","Assembly")</f>
        <v>Assembly</v>
      </c>
      <c r="F4221" t="s">
        <v>5037</v>
      </c>
    </row>
    <row r="4222" spans="1:6" ht="12.75">
      <c r="A4222">
        <v>6947835</v>
      </c>
      <c r="B4222">
        <v>6975279</v>
      </c>
      <c r="C4222" t="s">
        <v>189</v>
      </c>
      <c r="D4222" t="s">
        <v>99</v>
      </c>
      <c r="E4222" s="2" t="str">
        <f>HYPERLINK("https://ibp.a2mac1.com/costing(costing:projects/details/8191/equipment/6947835)","Assembly line")</f>
        <v>Assembly line</v>
      </c>
      <c r="F4222" t="s">
        <v>5092</v>
      </c>
    </row>
    <row r="4223" spans="1:6" ht="12.75">
      <c r="A4223">
        <v>5388186</v>
      </c>
      <c r="B4223">
        <v>5388134</v>
      </c>
      <c r="C4223" t="s">
        <v>8</v>
      </c>
      <c r="D4223" t="s">
        <v>8</v>
      </c>
      <c r="E4223" s="2" t="str">
        <f>HYPERLINK("https://ibp.a2mac1.com/costing(costing:projects/details/8191/assembly/5388186)","Door Panel")</f>
        <v>Door Panel</v>
      </c>
      <c r="F4223" t="s">
        <v>5036</v>
      </c>
    </row>
    <row r="4224" spans="1:6" ht="12.75">
      <c r="A4224">
        <v>5388411</v>
      </c>
      <c r="B4224">
        <v>5388186</v>
      </c>
      <c r="C4224" t="s">
        <v>8</v>
      </c>
      <c r="D4224" t="s">
        <v>8</v>
      </c>
      <c r="E4224" s="2" t="str">
        <f>HYPERLINK("https://ibp.a2mac1.com/costing(costing:projects/details/8191/assembly/5388411)","Inner Door Handle")</f>
        <v>Inner Door Handle</v>
      </c>
      <c r="F4224" t="s">
        <v>5095</v>
      </c>
    </row>
    <row r="4225" spans="1:6" ht="12.75">
      <c r="A4225">
        <v>5388794</v>
      </c>
      <c r="B4225">
        <v>5388411</v>
      </c>
      <c r="C4225" t="s">
        <v>12</v>
      </c>
      <c r="D4225" t="s">
        <v>8</v>
      </c>
      <c r="E4225" s="2" t="str">
        <f>HYPERLINK("https://ibp.a2mac1.com/costing(costing:projects/details/8191/part/5388794)","Opening Control")</f>
        <v>Opening Control</v>
      </c>
      <c r="F4225" t="s">
        <v>5096</v>
      </c>
    </row>
    <row r="4226" spans="1:6" ht="12.75">
      <c r="A4226">
        <v>5319562</v>
      </c>
      <c r="B4226">
        <v>5388411</v>
      </c>
      <c r="C4226" t="s">
        <v>574</v>
      </c>
      <c r="D4226" t="s">
        <v>8</v>
      </c>
      <c r="E4226" s="2" t="str">
        <f>HYPERLINK("https://ibp.a2mac1.com/costing(costing:projects/details/8191/component/5319562)","Screw &gt; Torx socket head cap screw")</f>
        <v>Screw &gt; Torx socket head cap screw</v>
      </c>
      <c r="F4226" t="s">
        <v>5096</v>
      </c>
    </row>
    <row r="4227" spans="1:6" ht="12.75">
      <c r="A4227">
        <v>5388406</v>
      </c>
      <c r="B4227">
        <v>5388186</v>
      </c>
      <c r="C4227" t="s">
        <v>12</v>
      </c>
      <c r="D4227" t="s">
        <v>8</v>
      </c>
      <c r="E4227" s="2" t="str">
        <f>HYPERLINK("https://ibp.a2mac1.com/costing(costing:projects/details/8191/part/5388406)","Panel Carrier")</f>
        <v>Panel Carrier</v>
      </c>
      <c r="F4227" t="s">
        <v>5095</v>
      </c>
    </row>
    <row r="4228" spans="1:6" ht="12.75">
      <c r="A4228">
        <v>6975396</v>
      </c>
      <c r="B4228">
        <v>5388406</v>
      </c>
      <c r="C4228" t="s">
        <v>99</v>
      </c>
      <c r="D4228" t="s">
        <v>12</v>
      </c>
      <c r="E4228" s="2" t="str">
        <f>HYPERLINK("https://ibp.a2mac1.com/costing(costing:projects/details/8191/process/6975396)","Automated Process")</f>
        <v>Automated Process</v>
      </c>
      <c r="F4228" t="s">
        <v>5099</v>
      </c>
    </row>
    <row r="4229" spans="1:6" ht="12.75">
      <c r="A4229">
        <v>5319789</v>
      </c>
      <c r="B4229">
        <v>6975396</v>
      </c>
      <c r="C4229" t="s">
        <v>24</v>
      </c>
      <c r="D4229" t="s">
        <v>99</v>
      </c>
      <c r="E4229" s="2" t="str">
        <f>HYPERLINK("https://ibp.a2mac1.com/costing(costing:projects/details/8191/material/5319789)","PP")</f>
        <v>PP</v>
      </c>
      <c r="F4229" t="s">
        <v>5102</v>
      </c>
    </row>
    <row r="4230" spans="1:6" ht="12.75">
      <c r="A4230">
        <v>6947976</v>
      </c>
      <c r="B4230">
        <v>6975396</v>
      </c>
      <c r="C4230" t="s">
        <v>189</v>
      </c>
      <c r="D4230" t="s">
        <v>99</v>
      </c>
      <c r="E4230" s="2" t="str">
        <f>HYPERLINK("https://ibp.a2mac1.com/costing(costing:projects/details/8191/equipment/6947976)","Equipment (Injection Molding)")</f>
        <v>Equipment (Injection Molding)</v>
      </c>
      <c r="F4230" t="s">
        <v>5102</v>
      </c>
    </row>
    <row r="4231" spans="1:6" ht="12.75">
      <c r="A4231">
        <v>5388407</v>
      </c>
      <c r="B4231">
        <v>5388186</v>
      </c>
      <c r="C4231" t="s">
        <v>12</v>
      </c>
      <c r="D4231" t="s">
        <v>8</v>
      </c>
      <c r="E4231" s="2" t="str">
        <f>HYPERLINK("https://ibp.a2mac1.com/costing(costing:projects/details/8191/part/5388407)","Insert")</f>
        <v>Insert</v>
      </c>
      <c r="F4231" t="s">
        <v>5095</v>
      </c>
    </row>
    <row r="4232" spans="1:6" ht="12.75">
      <c r="A4232">
        <v>6975397</v>
      </c>
      <c r="B4232">
        <v>5388407</v>
      </c>
      <c r="C4232" t="s">
        <v>99</v>
      </c>
      <c r="D4232" t="s">
        <v>12</v>
      </c>
      <c r="E4232" s="2" t="str">
        <f>HYPERLINK("https://ibp.a2mac1.com/costing(costing:projects/details/8191/process/6975397)","Automated Process")</f>
        <v>Automated Process</v>
      </c>
      <c r="F4232" t="s">
        <v>5104</v>
      </c>
    </row>
    <row r="4233" spans="1:6" ht="12.75">
      <c r="A4233">
        <v>5319790</v>
      </c>
      <c r="B4233">
        <v>6975397</v>
      </c>
      <c r="C4233" t="s">
        <v>24</v>
      </c>
      <c r="D4233" t="s">
        <v>99</v>
      </c>
      <c r="E4233" s="2" t="str">
        <f>HYPERLINK("https://ibp.a2mac1.com/costing(costing:projects/details/8191/material/5319790)","PP")</f>
        <v>PP</v>
      </c>
      <c r="F4233" t="s">
        <v>5107</v>
      </c>
    </row>
    <row r="4234" spans="1:6" ht="12.75">
      <c r="A4234">
        <v>5319791</v>
      </c>
      <c r="B4234">
        <v>6975397</v>
      </c>
      <c r="C4234" t="s">
        <v>24</v>
      </c>
      <c r="D4234" t="s">
        <v>99</v>
      </c>
      <c r="E4234" s="2" t="str">
        <f>HYPERLINK("https://ibp.a2mac1.com/costing(costing:projects/details/8191/material/5319791)","PVC")</f>
        <v>PVC</v>
      </c>
      <c r="F4234" t="s">
        <v>5107</v>
      </c>
    </row>
    <row r="4235" spans="1:6" ht="12.75">
      <c r="A4235">
        <v>6947977</v>
      </c>
      <c r="B4235">
        <v>6975397</v>
      </c>
      <c r="C4235" t="s">
        <v>189</v>
      </c>
      <c r="D4235" t="s">
        <v>99</v>
      </c>
      <c r="E4235" s="2" t="str">
        <f>HYPERLINK("https://ibp.a2mac1.com/costing(costing:projects/details/8191/equipment/6947977)","DC machine - General")</f>
        <v>DC machine - General</v>
      </c>
      <c r="F4235" t="s">
        <v>5107</v>
      </c>
    </row>
    <row r="4236" spans="1:6" ht="12.75">
      <c r="A4236">
        <v>5388408</v>
      </c>
      <c r="B4236">
        <v>5388186</v>
      </c>
      <c r="C4236" t="s">
        <v>12</v>
      </c>
      <c r="D4236" t="s">
        <v>8</v>
      </c>
      <c r="E4236" s="2" t="str">
        <f>HYPERLINK("https://ibp.a2mac1.com/costing(costing:projects/details/8191/part/5388408)","Electric Window Lift Control Trim")</f>
        <v>Electric Window Lift Control Trim</v>
      </c>
      <c r="F4236" t="s">
        <v>5095</v>
      </c>
    </row>
    <row r="4237" spans="1:6" ht="12.75">
      <c r="A4237">
        <v>5388409</v>
      </c>
      <c r="B4237">
        <v>5388186</v>
      </c>
      <c r="C4237" t="s">
        <v>12</v>
      </c>
      <c r="D4237" t="s">
        <v>8</v>
      </c>
      <c r="E4237" s="2" t="str">
        <f>HYPERLINK("https://ibp.a2mac1.com/costing(costing:projects/details/8191/part/5388409)","Upper Band")</f>
        <v>Upper Band</v>
      </c>
      <c r="F4237" t="s">
        <v>5095</v>
      </c>
    </row>
    <row r="4238" spans="1:6" ht="12.75">
      <c r="A4238">
        <v>6975398</v>
      </c>
      <c r="B4238">
        <v>5388409</v>
      </c>
      <c r="C4238" t="s">
        <v>99</v>
      </c>
      <c r="D4238" t="s">
        <v>12</v>
      </c>
      <c r="E4238" s="2" t="str">
        <f>HYPERLINK("https://ibp.a2mac1.com/costing(costing:projects/details/8191/process/6975398)","Automated Process")</f>
        <v>Automated Process</v>
      </c>
      <c r="F4238" t="s">
        <v>5111</v>
      </c>
    </row>
    <row r="4239" spans="1:6" ht="12.75">
      <c r="A4239">
        <v>5319792</v>
      </c>
      <c r="B4239">
        <v>6975398</v>
      </c>
      <c r="C4239" t="s">
        <v>24</v>
      </c>
      <c r="D4239" t="s">
        <v>99</v>
      </c>
      <c r="E4239" s="2" t="str">
        <f>HYPERLINK("https://ibp.a2mac1.com/costing(costing:projects/details/8191/material/5319792)","PP")</f>
        <v>PP</v>
      </c>
      <c r="F4239" t="s">
        <v>5114</v>
      </c>
    </row>
    <row r="4240" spans="1:6" ht="12.75">
      <c r="A4240">
        <v>6947978</v>
      </c>
      <c r="B4240">
        <v>6975398</v>
      </c>
      <c r="C4240" t="s">
        <v>189</v>
      </c>
      <c r="D4240" t="s">
        <v>99</v>
      </c>
      <c r="E4240" s="2" t="str">
        <f>HYPERLINK("https://ibp.a2mac1.com/costing(costing:projects/details/8191/equipment/6947978)","Equipment (Injection Molding)")</f>
        <v>Equipment (Injection Molding)</v>
      </c>
      <c r="F4240" t="s">
        <v>5114</v>
      </c>
    </row>
    <row r="4241" spans="1:6" ht="12.75">
      <c r="A4241">
        <v>5388410</v>
      </c>
      <c r="B4241">
        <v>5388186</v>
      </c>
      <c r="C4241" t="s">
        <v>12</v>
      </c>
      <c r="D4241" t="s">
        <v>8</v>
      </c>
      <c r="E4241" s="2" t="str">
        <f>HYPERLINK("https://ibp.a2mac1.com/costing(costing:projects/details/8191/part/5388410)","Door Map Pocket Bottom")</f>
        <v>Door Map Pocket Bottom</v>
      </c>
      <c r="F4241" t="s">
        <v>5095</v>
      </c>
    </row>
    <row r="4242" spans="1:6" ht="12.75">
      <c r="A4242">
        <v>6975399</v>
      </c>
      <c r="B4242">
        <v>5388410</v>
      </c>
      <c r="C4242" t="s">
        <v>99</v>
      </c>
      <c r="D4242" t="s">
        <v>12</v>
      </c>
      <c r="E4242" s="2" t="str">
        <f>HYPERLINK("https://ibp.a2mac1.com/costing(costing:projects/details/8191/process/6975399)","Automated Process")</f>
        <v>Automated Process</v>
      </c>
      <c r="F4242" t="s">
        <v>5116</v>
      </c>
    </row>
    <row r="4243" spans="1:6" ht="12.75">
      <c r="A4243">
        <v>5319793</v>
      </c>
      <c r="B4243">
        <v>6975399</v>
      </c>
      <c r="C4243" t="s">
        <v>24</v>
      </c>
      <c r="D4243" t="s">
        <v>99</v>
      </c>
      <c r="E4243" s="2" t="str">
        <f>HYPERLINK("https://ibp.a2mac1.com/costing(costing:projects/details/8191/material/5319793)","PP")</f>
        <v>PP</v>
      </c>
      <c r="F4243" t="s">
        <v>5119</v>
      </c>
    </row>
    <row r="4244" spans="1:6" ht="12.75">
      <c r="A4244">
        <v>6947979</v>
      </c>
      <c r="B4244">
        <v>6975399</v>
      </c>
      <c r="C4244" t="s">
        <v>189</v>
      </c>
      <c r="D4244" t="s">
        <v>99</v>
      </c>
      <c r="E4244" s="2" t="str">
        <f>HYPERLINK("https://ibp.a2mac1.com/costing(costing:projects/details/8191/equipment/6947979)","Equipment (Injection Molding)")</f>
        <v>Equipment (Injection Molding)</v>
      </c>
      <c r="F4244" t="s">
        <v>5119</v>
      </c>
    </row>
    <row r="4245" spans="1:6" ht="12.75">
      <c r="A4245">
        <v>5319459</v>
      </c>
      <c r="B4245">
        <v>5388186</v>
      </c>
      <c r="C4245" t="s">
        <v>574</v>
      </c>
      <c r="D4245" t="s">
        <v>8</v>
      </c>
      <c r="E4245" s="2" t="str">
        <f>HYPERLINK("https://ibp.a2mac1.com/costing(costing:projects/details/8191/component/5319459)","Panel holder &gt; Clips in round hole")</f>
        <v>Panel holder &gt; Clips in round hole</v>
      </c>
      <c r="F4245" t="s">
        <v>5095</v>
      </c>
    </row>
    <row r="4246" spans="1:6" ht="12.75">
      <c r="A4246">
        <v>5319460</v>
      </c>
      <c r="B4246">
        <v>5388186</v>
      </c>
      <c r="C4246" t="s">
        <v>574</v>
      </c>
      <c r="D4246" t="s">
        <v>8</v>
      </c>
      <c r="E4246" s="2" t="str">
        <f>HYPERLINK("https://ibp.a2mac1.com/costing(costing:projects/details/8191/component/5319460)","Other fastener &gt; Snap Tooling")</f>
        <v>Other fastener &gt; Snap Tooling</v>
      </c>
      <c r="F4246" t="s">
        <v>5095</v>
      </c>
    </row>
    <row r="4247" spans="1:6" ht="12.75">
      <c r="A4247">
        <v>5319461</v>
      </c>
      <c r="B4247">
        <v>5388186</v>
      </c>
      <c r="C4247" t="s">
        <v>574</v>
      </c>
      <c r="D4247" t="s">
        <v>8</v>
      </c>
      <c r="E4247" s="2" t="str">
        <f>HYPERLINK("https://ibp.a2mac1.com/costing(costing:projects/details/8191/component/5319461)","Panel holder &gt; Clips for panel side")</f>
        <v>Panel holder &gt; Clips for panel side</v>
      </c>
      <c r="F4247" t="s">
        <v>5095</v>
      </c>
    </row>
    <row r="4248" spans="1:6" ht="12.75">
      <c r="A4248">
        <v>5319462</v>
      </c>
      <c r="B4248">
        <v>5388186</v>
      </c>
      <c r="C4248" t="s">
        <v>574</v>
      </c>
      <c r="D4248" t="s">
        <v>8</v>
      </c>
      <c r="E4248" s="2" t="str">
        <f>HYPERLINK("https://ibp.a2mac1.com/costing(costing:projects/details/8191/component/5319462)","Other fastener &gt; Snap Tooling")</f>
        <v>Other fastener &gt; Snap Tooling</v>
      </c>
      <c r="F4248" t="s">
        <v>5095</v>
      </c>
    </row>
    <row r="4249" spans="1:6" ht="12.75">
      <c r="A4249">
        <v>5319463</v>
      </c>
      <c r="B4249">
        <v>5388186</v>
      </c>
      <c r="C4249" t="s">
        <v>574</v>
      </c>
      <c r="D4249" t="s">
        <v>8</v>
      </c>
      <c r="E4249" s="2" t="str">
        <f>HYPERLINK("https://ibp.a2mac1.com/costing(costing:projects/details/8191/component/5319463)","Panel holder &gt; Clips in round hole")</f>
        <v>Panel holder &gt; Clips in round hole</v>
      </c>
      <c r="F4249" t="s">
        <v>5095</v>
      </c>
    </row>
    <row r="4250" spans="1:6" ht="12.75">
      <c r="A4250">
        <v>5388187</v>
      </c>
      <c r="B4250">
        <v>5388134</v>
      </c>
      <c r="C4250" t="s">
        <v>8</v>
      </c>
      <c r="D4250" t="s">
        <v>8</v>
      </c>
      <c r="E4250" s="2" t="str">
        <f>HYPERLINK("https://ibp.a2mac1.com/costing(costing:projects/details/8191/assembly/5388187)","Door Mechanism")</f>
        <v>Door Mechanism</v>
      </c>
      <c r="F4250" t="s">
        <v>5036</v>
      </c>
    </row>
    <row r="4251" spans="1:6" ht="12.75">
      <c r="A4251">
        <v>5388414</v>
      </c>
      <c r="B4251">
        <v>5388187</v>
      </c>
      <c r="C4251" t="s">
        <v>8</v>
      </c>
      <c r="D4251" t="s">
        <v>8</v>
      </c>
      <c r="E4251" s="2" t="str">
        <f>HYPERLINK("https://ibp.a2mac1.com/costing(costing:projects/details/8191/assembly/5388414)","Interior Side")</f>
        <v>Interior Side</v>
      </c>
      <c r="F4251" t="s">
        <v>5122</v>
      </c>
    </row>
    <row r="4252" spans="1:6" ht="12.75">
      <c r="A4252">
        <v>5388797</v>
      </c>
      <c r="B4252">
        <v>5388414</v>
      </c>
      <c r="C4252" t="s">
        <v>8</v>
      </c>
      <c r="D4252" t="s">
        <v>8</v>
      </c>
      <c r="E4252" s="2" t="str">
        <f>HYPERLINK("https://ibp.a2mac1.com/costing(costing:projects/details/8191/assembly/5388797)","Fastners")</f>
        <v>Fastners</v>
      </c>
      <c r="F4252" t="s">
        <v>5123</v>
      </c>
    </row>
    <row r="4253" spans="1:6" ht="12.75">
      <c r="A4253">
        <v>5319795</v>
      </c>
      <c r="B4253">
        <v>5388797</v>
      </c>
      <c r="C4253" t="s">
        <v>574</v>
      </c>
      <c r="D4253" t="s">
        <v>8</v>
      </c>
      <c r="E4253" s="2" t="str">
        <f>HYPERLINK("https://ibp.a2mac1.com/costing(costing:projects/details/8191/component/5319795)","Pin clip &gt; Taper pin")</f>
        <v>Pin clip &gt; Taper pin</v>
      </c>
      <c r="F4253" t="s">
        <v>5124</v>
      </c>
    </row>
    <row r="4254" spans="1:6" ht="12.75">
      <c r="A4254">
        <v>5319796</v>
      </c>
      <c r="B4254">
        <v>5388797</v>
      </c>
      <c r="C4254" t="s">
        <v>574</v>
      </c>
      <c r="D4254" t="s">
        <v>8</v>
      </c>
      <c r="E4254" s="2" t="str">
        <f>HYPERLINK("https://ibp.a2mac1.com/costing(costing:projects/details/8191/component/5319796)","Other fastener &gt; Snap Tooling")</f>
        <v>Other fastener &gt; Snap Tooling</v>
      </c>
      <c r="F4254" t="s">
        <v>5124</v>
      </c>
    </row>
    <row r="4255" spans="1:6" ht="12.75">
      <c r="A4255">
        <v>5388795</v>
      </c>
      <c r="B4255">
        <v>5388414</v>
      </c>
      <c r="C4255" t="s">
        <v>12</v>
      </c>
      <c r="D4255" t="s">
        <v>8</v>
      </c>
      <c r="E4255" s="2" t="str">
        <f>HYPERLINK("https://ibp.a2mac1.com/costing(costing:projects/details/8191/part/5388795)","Opening Control")</f>
        <v>Opening Control</v>
      </c>
      <c r="F4255" t="s">
        <v>5123</v>
      </c>
    </row>
    <row r="4256" spans="1:6" ht="12.75">
      <c r="A4256">
        <v>6975660</v>
      </c>
      <c r="B4256">
        <v>5388795</v>
      </c>
      <c r="C4256" t="s">
        <v>99</v>
      </c>
      <c r="D4256" t="s">
        <v>12</v>
      </c>
      <c r="E4256" s="2" t="str">
        <f>HYPERLINK("https://ibp.a2mac1.com/costing(costing:projects/details/8191/process/6975660)","Injection molding")</f>
        <v>Injection molding</v>
      </c>
      <c r="F4256" t="s">
        <v>5125</v>
      </c>
    </row>
    <row r="4257" spans="1:6" ht="12.75">
      <c r="A4257">
        <v>5320087</v>
      </c>
      <c r="B4257">
        <v>6975660</v>
      </c>
      <c r="C4257" t="s">
        <v>24</v>
      </c>
      <c r="D4257" t="s">
        <v>99</v>
      </c>
      <c r="E4257" s="2" t="str">
        <f>HYPERLINK("https://ibp.a2mac1.com/costing(costing:projects/details/8191/material/5320087)","PC-ABS")</f>
        <v>PC-ABS</v>
      </c>
      <c r="F4257" t="s">
        <v>5126</v>
      </c>
    </row>
    <row r="4258" spans="1:6" ht="12.75">
      <c r="A4258">
        <v>6948262</v>
      </c>
      <c r="B4258">
        <v>6975660</v>
      </c>
      <c r="C4258" t="s">
        <v>189</v>
      </c>
      <c r="D4258" t="s">
        <v>99</v>
      </c>
      <c r="E4258" s="2" t="str">
        <f>HYPERLINK("https://ibp.a2mac1.com/costing(costing:projects/details/8191/equipment/6948262)","Equipment (Injection Molding)")</f>
        <v>Equipment (Injection Molding)</v>
      </c>
      <c r="F4258" t="s">
        <v>5126</v>
      </c>
    </row>
    <row r="4259" spans="1:6" ht="12.75">
      <c r="A4259">
        <v>5388796</v>
      </c>
      <c r="B4259">
        <v>5388414</v>
      </c>
      <c r="C4259" t="s">
        <v>12</v>
      </c>
      <c r="D4259" t="s">
        <v>8</v>
      </c>
      <c r="E4259" s="2" t="str">
        <f>HYPERLINK("https://ibp.a2mac1.com/costing(costing:projects/details/8191/part/5388796)","Opening Control Support")</f>
        <v>Opening Control Support</v>
      </c>
      <c r="F4259" t="s">
        <v>5123</v>
      </c>
    </row>
    <row r="4260" spans="1:6" ht="12.75">
      <c r="A4260">
        <v>6975661</v>
      </c>
      <c r="B4260">
        <v>5388796</v>
      </c>
      <c r="C4260" t="s">
        <v>99</v>
      </c>
      <c r="D4260" t="s">
        <v>12</v>
      </c>
      <c r="E4260" s="2" t="str">
        <f>HYPERLINK("https://ibp.a2mac1.com/costing(costing:projects/details/8191/process/6975661)","Injection molding")</f>
        <v>Injection molding</v>
      </c>
      <c r="F4260" t="s">
        <v>5128</v>
      </c>
    </row>
    <row r="4261" spans="1:6" ht="12.75">
      <c r="A4261">
        <v>5320088</v>
      </c>
      <c r="B4261">
        <v>6975661</v>
      </c>
      <c r="C4261" t="s">
        <v>24</v>
      </c>
      <c r="D4261" t="s">
        <v>99</v>
      </c>
      <c r="E4261" s="2" t="str">
        <f>HYPERLINK("https://ibp.a2mac1.com/costing(costing:projects/details/8191/material/5320088)","ABS-PC")</f>
        <v>ABS-PC</v>
      </c>
      <c r="F4261" t="s">
        <v>5129</v>
      </c>
    </row>
    <row r="4262" spans="1:6" ht="12.75">
      <c r="A4262">
        <v>6948263</v>
      </c>
      <c r="B4262">
        <v>6975661</v>
      </c>
      <c r="C4262" t="s">
        <v>189</v>
      </c>
      <c r="D4262" t="s">
        <v>99</v>
      </c>
      <c r="E4262" s="2" t="str">
        <f>HYPERLINK("https://ibp.a2mac1.com/costing(costing:projects/details/8191/equipment/6948263)","No.04 - Injection Press - 100T - 33kW - 400x400 - Max Volume 260cm3 ")</f>
        <v xml:space="preserve">No.04 - Injection Press - 100T - 33kW - 400x400 - Max Volume 260cm3 </v>
      </c>
      <c r="F4262" t="s">
        <v>5129</v>
      </c>
    </row>
    <row r="4263" spans="1:6" ht="12.75">
      <c r="A4263">
        <v>6975662</v>
      </c>
      <c r="B4263">
        <v>5388796</v>
      </c>
      <c r="C4263" t="s">
        <v>99</v>
      </c>
      <c r="D4263" t="s">
        <v>12</v>
      </c>
      <c r="E4263" s="2" t="str">
        <f>HYPERLINK("https://ibp.a2mac1.com/costing(costing:projects/details/8191/process/6975662)","Handling/Visual Inspection/Packaging")</f>
        <v>Handling/Visual Inspection/Packaging</v>
      </c>
      <c r="F4263" t="s">
        <v>5128</v>
      </c>
    </row>
    <row r="4264" spans="1:6" ht="12.75">
      <c r="A4264">
        <v>6948264</v>
      </c>
      <c r="B4264">
        <v>6975662</v>
      </c>
      <c r="C4264" t="s">
        <v>189</v>
      </c>
      <c r="D4264" t="s">
        <v>99</v>
      </c>
      <c r="E4264" s="2" t="str">
        <f>HYPERLINK("https://ibp.a2mac1.com/costing(costing:projects/details/8191/equipment/6948264)","Packaging")</f>
        <v>Packaging</v>
      </c>
      <c r="F4264" t="s">
        <v>5130</v>
      </c>
    </row>
    <row r="4265" spans="1:6" ht="12.75">
      <c r="A4265">
        <v>5388415</v>
      </c>
      <c r="B4265">
        <v>5388187</v>
      </c>
      <c r="C4265" t="s">
        <v>8</v>
      </c>
      <c r="D4265" t="s">
        <v>8</v>
      </c>
      <c r="E4265" s="2" t="str">
        <f>HYPERLINK("https://ibp.a2mac1.com/costing(costing:projects/details/8191/assembly/5388415)","Exterior side")</f>
        <v>Exterior side</v>
      </c>
      <c r="F4265" t="s">
        <v>5122</v>
      </c>
    </row>
    <row r="4266" spans="1:6" ht="12.75">
      <c r="A4266">
        <v>5388805</v>
      </c>
      <c r="B4266">
        <v>5388415</v>
      </c>
      <c r="C4266" t="s">
        <v>8</v>
      </c>
      <c r="D4266" t="s">
        <v>8</v>
      </c>
      <c r="E4266" s="2" t="str">
        <f>HYPERLINK("https://ibp.a2mac1.com/costing(costing:projects/details/8191/assembly/5388805)","Fastners")</f>
        <v>Fastners</v>
      </c>
      <c r="F4266" t="s">
        <v>5133</v>
      </c>
    </row>
    <row r="4267" spans="1:6" ht="12.75">
      <c r="A4267">
        <v>5319797</v>
      </c>
      <c r="B4267">
        <v>5388805</v>
      </c>
      <c r="C4267" t="s">
        <v>574</v>
      </c>
      <c r="D4267" t="s">
        <v>8</v>
      </c>
      <c r="E4267" s="2" t="str">
        <f>HYPERLINK("https://ibp.a2mac1.com/costing(costing:projects/details/8191/component/5319797)","Pin clip &gt; Taper pin")</f>
        <v>Pin clip &gt; Taper pin</v>
      </c>
      <c r="F4267" t="s">
        <v>5134</v>
      </c>
    </row>
    <row r="4268" spans="1:6" ht="12.75">
      <c r="A4268">
        <v>5319798</v>
      </c>
      <c r="B4268">
        <v>5388805</v>
      </c>
      <c r="C4268" t="s">
        <v>574</v>
      </c>
      <c r="D4268" t="s">
        <v>8</v>
      </c>
      <c r="E4268" s="2" t="str">
        <f>HYPERLINK("https://ibp.a2mac1.com/costing(costing:projects/details/8191/component/5319798)","Other fastener &gt; Attachment")</f>
        <v>Other fastener &gt; Attachment</v>
      </c>
      <c r="F4268" t="s">
        <v>5134</v>
      </c>
    </row>
    <row r="4269" spans="1:6" ht="12.75">
      <c r="A4269">
        <v>5388798</v>
      </c>
      <c r="B4269">
        <v>5388415</v>
      </c>
      <c r="C4269" t="s">
        <v>12</v>
      </c>
      <c r="D4269" t="s">
        <v>8</v>
      </c>
      <c r="E4269" s="2" t="str">
        <f>HYPERLINK("https://ibp.a2mac1.com/costing(costing:projects/details/8191/part/5388798)","Opening Control")</f>
        <v>Opening Control</v>
      </c>
      <c r="F4269" t="s">
        <v>5133</v>
      </c>
    </row>
    <row r="4270" spans="1:6" ht="12.75">
      <c r="A4270">
        <v>6975663</v>
      </c>
      <c r="B4270">
        <v>5388798</v>
      </c>
      <c r="C4270" t="s">
        <v>99</v>
      </c>
      <c r="D4270" t="s">
        <v>12</v>
      </c>
      <c r="E4270" s="2" t="str">
        <f>HYPERLINK("https://ibp.a2mac1.com/costing(costing:projects/details/8191/process/6975663)","Injection molding")</f>
        <v>Injection molding</v>
      </c>
      <c r="F4270" t="s">
        <v>5135</v>
      </c>
    </row>
    <row r="4271" spans="1:6" ht="12.75">
      <c r="A4271">
        <v>5320089</v>
      </c>
      <c r="B4271">
        <v>6975663</v>
      </c>
      <c r="C4271" t="s">
        <v>24</v>
      </c>
      <c r="D4271" t="s">
        <v>99</v>
      </c>
      <c r="E4271" s="2" t="str">
        <f>HYPERLINK("https://ibp.a2mac1.com/costing(costing:projects/details/8191/material/5320089)","PA 6 GF 40")</f>
        <v>PA 6 GF 40</v>
      </c>
      <c r="F4271" t="s">
        <v>5136</v>
      </c>
    </row>
    <row r="4272" spans="1:6" ht="12.75">
      <c r="A4272">
        <v>6948265</v>
      </c>
      <c r="B4272">
        <v>6975663</v>
      </c>
      <c r="C4272" t="s">
        <v>189</v>
      </c>
      <c r="D4272" t="s">
        <v>99</v>
      </c>
      <c r="E4272" s="2" t="str">
        <f>HYPERLINK("https://ibp.a2mac1.com/costing(costing:projects/details/8191/equipment/6948265)","No.03 - Injection Press - 80T - 30kW - 370x370 - Max Volume 260cm3 ")</f>
        <v xml:space="preserve">No.03 - Injection Press - 80T - 30kW - 370x370 - Max Volume 260cm3 </v>
      </c>
      <c r="F4272" t="s">
        <v>5136</v>
      </c>
    </row>
    <row r="4273" spans="1:6" ht="12.75">
      <c r="A4273">
        <v>6975664</v>
      </c>
      <c r="B4273">
        <v>5388798</v>
      </c>
      <c r="C4273" t="s">
        <v>99</v>
      </c>
      <c r="D4273" t="s">
        <v>12</v>
      </c>
      <c r="E4273" s="2" t="str">
        <f>HYPERLINK("https://ibp.a2mac1.com/costing(costing:projects/details/8191/process/6975664)","Handling/Visual Inspection/Packaging")</f>
        <v>Handling/Visual Inspection/Packaging</v>
      </c>
      <c r="F4273" t="s">
        <v>5135</v>
      </c>
    </row>
    <row r="4274" spans="1:6" ht="12.75">
      <c r="A4274">
        <v>6948266</v>
      </c>
      <c r="B4274">
        <v>6975664</v>
      </c>
      <c r="C4274" t="s">
        <v>189</v>
      </c>
      <c r="D4274" t="s">
        <v>99</v>
      </c>
      <c r="E4274" s="2" t="str">
        <f>HYPERLINK("https://ibp.a2mac1.com/costing(costing:projects/details/8191/equipment/6948266)","Packaging")</f>
        <v>Packaging</v>
      </c>
      <c r="F4274" t="s">
        <v>5137</v>
      </c>
    </row>
    <row r="4275" spans="1:6" ht="12.75">
      <c r="A4275">
        <v>5388799</v>
      </c>
      <c r="B4275">
        <v>5388415</v>
      </c>
      <c r="C4275" t="s">
        <v>12</v>
      </c>
      <c r="D4275" t="s">
        <v>8</v>
      </c>
      <c r="E4275" s="2" t="str">
        <f>HYPERLINK("https://ibp.a2mac1.com/costing(costing:projects/details/8191/part/5388799)","Opening Control Support")</f>
        <v>Opening Control Support</v>
      </c>
      <c r="F4275" t="s">
        <v>5133</v>
      </c>
    </row>
    <row r="4276" spans="1:6" ht="12.75">
      <c r="A4276">
        <v>6975665</v>
      </c>
      <c r="B4276">
        <v>5388799</v>
      </c>
      <c r="C4276" t="s">
        <v>99</v>
      </c>
      <c r="D4276" t="s">
        <v>12</v>
      </c>
      <c r="E4276" s="2" t="str">
        <f>HYPERLINK("https://ibp.a2mac1.com/costing(costing:projects/details/8191/process/6975665)","Injection molding")</f>
        <v>Injection molding</v>
      </c>
      <c r="F4276" t="s">
        <v>5139</v>
      </c>
    </row>
    <row r="4277" spans="1:6" ht="12.75">
      <c r="A4277">
        <v>5320090</v>
      </c>
      <c r="B4277">
        <v>6975665</v>
      </c>
      <c r="C4277" t="s">
        <v>24</v>
      </c>
      <c r="D4277" t="s">
        <v>99</v>
      </c>
      <c r="E4277" s="2" t="str">
        <f>HYPERLINK("https://ibp.a2mac1.com/costing(costing:projects/details/8191/material/5320090)","PBT-GF30")</f>
        <v>PBT-GF30</v>
      </c>
      <c r="F4277" t="s">
        <v>5140</v>
      </c>
    </row>
    <row r="4278" spans="1:6" ht="12.75">
      <c r="A4278">
        <v>6948267</v>
      </c>
      <c r="B4278">
        <v>6975665</v>
      </c>
      <c r="C4278" t="s">
        <v>189</v>
      </c>
      <c r="D4278" t="s">
        <v>99</v>
      </c>
      <c r="E4278" s="2" t="str">
        <f>HYPERLINK("https://ibp.a2mac1.com/costing(costing:projects/details/8191/equipment/6948267)","No.06 - Injection Press - 200T - 45kW - 510x510 - Max Volume 624cm3 ")</f>
        <v xml:space="preserve">No.06 - Injection Press - 200T - 45kW - 510x510 - Max Volume 624cm3 </v>
      </c>
      <c r="F4278" t="s">
        <v>5140</v>
      </c>
    </row>
    <row r="4279" spans="1:6" ht="12.75">
      <c r="A4279">
        <v>6975666</v>
      </c>
      <c r="B4279">
        <v>5388799</v>
      </c>
      <c r="C4279" t="s">
        <v>99</v>
      </c>
      <c r="D4279" t="s">
        <v>12</v>
      </c>
      <c r="E4279" s="2" t="str">
        <f>HYPERLINK("https://ibp.a2mac1.com/costing(costing:projects/details/8191/process/6975666)","Handling/Visual Inspection/Packaging")</f>
        <v>Handling/Visual Inspection/Packaging</v>
      </c>
      <c r="F4279" t="s">
        <v>5139</v>
      </c>
    </row>
    <row r="4280" spans="1:6" ht="12.75">
      <c r="A4280">
        <v>6948268</v>
      </c>
      <c r="B4280">
        <v>6975666</v>
      </c>
      <c r="C4280" t="s">
        <v>189</v>
      </c>
      <c r="D4280" t="s">
        <v>99</v>
      </c>
      <c r="E4280" s="2" t="str">
        <f>HYPERLINK("https://ibp.a2mac1.com/costing(costing:projects/details/8191/equipment/6948268)","Packaging")</f>
        <v>Packaging</v>
      </c>
      <c r="F4280" t="s">
        <v>5141</v>
      </c>
    </row>
    <row r="4281" spans="1:6" ht="12.75">
      <c r="A4281">
        <v>5388800</v>
      </c>
      <c r="B4281">
        <v>5388415</v>
      </c>
      <c r="C4281" t="s">
        <v>12</v>
      </c>
      <c r="D4281" t="s">
        <v>8</v>
      </c>
      <c r="E4281" s="2" t="str">
        <f>HYPERLINK("https://ibp.a2mac1.com/costing(costing:projects/details/8191/part/5388800)","2nd Opening Control Support")</f>
        <v>2nd Opening Control Support</v>
      </c>
      <c r="F4281" t="s">
        <v>5133</v>
      </c>
    </row>
    <row r="4282" spans="1:6" ht="12.75">
      <c r="A4282">
        <v>6975667</v>
      </c>
      <c r="B4282">
        <v>5388800</v>
      </c>
      <c r="C4282" t="s">
        <v>99</v>
      </c>
      <c r="D4282" t="s">
        <v>12</v>
      </c>
      <c r="E4282" s="2" t="str">
        <f>HYPERLINK("https://ibp.a2mac1.com/costing(costing:projects/details/8191/process/6975667)","Injection molding")</f>
        <v>Injection molding</v>
      </c>
      <c r="F4282" t="s">
        <v>5144</v>
      </c>
    </row>
    <row r="4283" spans="1:6" ht="12.75">
      <c r="A4283">
        <v>5320091</v>
      </c>
      <c r="B4283">
        <v>6975667</v>
      </c>
      <c r="C4283" t="s">
        <v>24</v>
      </c>
      <c r="D4283" t="s">
        <v>99</v>
      </c>
      <c r="E4283" s="2" t="str">
        <f>HYPERLINK("https://ibp.a2mac1.com/costing(costing:projects/details/8191/material/5320091)","PA6-GF30")</f>
        <v>PA6-GF30</v>
      </c>
      <c r="F4283" t="s">
        <v>5145</v>
      </c>
    </row>
    <row r="4284" spans="1:6" ht="12.75">
      <c r="A4284">
        <v>6948269</v>
      </c>
      <c r="B4284">
        <v>6975667</v>
      </c>
      <c r="C4284" t="s">
        <v>189</v>
      </c>
      <c r="D4284" t="s">
        <v>99</v>
      </c>
      <c r="E4284" s="2" t="str">
        <f>HYPERLINK("https://ibp.a2mac1.com/costing(costing:projects/details/8191/equipment/6948269)","No.02 - Injection Press - 60T - 25kW - 320x320 - Max Volume 164cm3 ")</f>
        <v xml:space="preserve">No.02 - Injection Press - 60T - 25kW - 320x320 - Max Volume 164cm3 </v>
      </c>
      <c r="F4284" t="s">
        <v>5145</v>
      </c>
    </row>
    <row r="4285" spans="1:6" ht="12.75">
      <c r="A4285">
        <v>6975668</v>
      </c>
      <c r="B4285">
        <v>5388800</v>
      </c>
      <c r="C4285" t="s">
        <v>99</v>
      </c>
      <c r="D4285" t="s">
        <v>12</v>
      </c>
      <c r="E4285" s="2" t="str">
        <f>HYPERLINK("https://ibp.a2mac1.com/costing(costing:projects/details/8191/process/6975668)","Handling/Visual Inspection/Packaging")</f>
        <v>Handling/Visual Inspection/Packaging</v>
      </c>
      <c r="F4285" t="s">
        <v>5144</v>
      </c>
    </row>
    <row r="4286" spans="1:6" ht="12.75">
      <c r="A4286">
        <v>6948270</v>
      </c>
      <c r="B4286">
        <v>6975668</v>
      </c>
      <c r="C4286" t="s">
        <v>189</v>
      </c>
      <c r="D4286" t="s">
        <v>99</v>
      </c>
      <c r="E4286" s="2" t="str">
        <f>HYPERLINK("https://ibp.a2mac1.com/costing(costing:projects/details/8191/equipment/6948270)","Packaging")</f>
        <v>Packaging</v>
      </c>
      <c r="F4286" t="s">
        <v>5146</v>
      </c>
    </row>
    <row r="4287" spans="1:6" ht="12.75">
      <c r="A4287">
        <v>5388801</v>
      </c>
      <c r="B4287">
        <v>5388415</v>
      </c>
      <c r="C4287" t="s">
        <v>12</v>
      </c>
      <c r="D4287" t="s">
        <v>8</v>
      </c>
      <c r="E4287" s="2" t="str">
        <f>HYPERLINK("https://ibp.a2mac1.com/costing(costing:projects/details/8191/part/5388801)","Bezel")</f>
        <v>Bezel</v>
      </c>
      <c r="F4287" t="s">
        <v>5133</v>
      </c>
    </row>
    <row r="4288" spans="1:6" ht="12.75">
      <c r="A4288">
        <v>6975669</v>
      </c>
      <c r="B4288">
        <v>5388801</v>
      </c>
      <c r="C4288" t="s">
        <v>99</v>
      </c>
      <c r="D4288" t="s">
        <v>12</v>
      </c>
      <c r="E4288" s="2" t="str">
        <f>HYPERLINK("https://ibp.a2mac1.com/costing(costing:projects/details/8191/process/6975669)","Injection molding")</f>
        <v>Injection molding</v>
      </c>
      <c r="F4288" t="s">
        <v>5148</v>
      </c>
    </row>
    <row r="4289" spans="1:6" ht="12.75">
      <c r="A4289">
        <v>5320092</v>
      </c>
      <c r="B4289">
        <v>6975669</v>
      </c>
      <c r="C4289" t="s">
        <v>24</v>
      </c>
      <c r="D4289" t="s">
        <v>99</v>
      </c>
      <c r="E4289" s="2" t="str">
        <f>HYPERLINK("https://ibp.a2mac1.com/costing(costing:projects/details/8191/material/5320092)","PC-ABS")</f>
        <v>PC-ABS</v>
      </c>
      <c r="F4289" t="s">
        <v>5149</v>
      </c>
    </row>
    <row r="4290" spans="1:6" ht="12.75">
      <c r="A4290">
        <v>6948271</v>
      </c>
      <c r="B4290">
        <v>6975669</v>
      </c>
      <c r="C4290" t="s">
        <v>189</v>
      </c>
      <c r="D4290" t="s">
        <v>99</v>
      </c>
      <c r="E4290" s="2" t="str">
        <f>HYPERLINK("https://ibp.a2mac1.com/costing(costing:projects/details/8191/equipment/6948271)","Equipment (Injection Molding)")</f>
        <v>Equipment (Injection Molding)</v>
      </c>
      <c r="F4290" t="s">
        <v>5149</v>
      </c>
    </row>
    <row r="4291" spans="1:6" ht="12.75">
      <c r="A4291">
        <v>5388802</v>
      </c>
      <c r="B4291">
        <v>5388415</v>
      </c>
      <c r="C4291" t="s">
        <v>12</v>
      </c>
      <c r="D4291" t="s">
        <v>8</v>
      </c>
      <c r="E4291" s="2" t="str">
        <f>HYPERLINK("https://ibp.a2mac1.com/costing(costing:projects/details/8191/part/5388802)","Lock Cylinder Dummy Trim")</f>
        <v>Lock Cylinder Dummy Trim</v>
      </c>
      <c r="F4291" t="s">
        <v>5133</v>
      </c>
    </row>
    <row r="4292" spans="1:6" ht="12.75">
      <c r="A4292">
        <v>6975670</v>
      </c>
      <c r="B4292">
        <v>5388802</v>
      </c>
      <c r="C4292" t="s">
        <v>99</v>
      </c>
      <c r="D4292" t="s">
        <v>12</v>
      </c>
      <c r="E4292" s="2" t="str">
        <f>HYPERLINK("https://ibp.a2mac1.com/costing(costing:projects/details/8191/process/6975670)","Injection molding")</f>
        <v>Injection molding</v>
      </c>
      <c r="F4292" t="s">
        <v>5151</v>
      </c>
    </row>
    <row r="4293" spans="1:6" ht="12.75">
      <c r="A4293">
        <v>5320093</v>
      </c>
      <c r="B4293">
        <v>6975670</v>
      </c>
      <c r="C4293" t="s">
        <v>24</v>
      </c>
      <c r="D4293" t="s">
        <v>99</v>
      </c>
      <c r="E4293" s="2" t="str">
        <f>HYPERLINK("https://ibp.a2mac1.com/costing(costing:projects/details/8191/material/5320093)","PPH")</f>
        <v>PPH</v>
      </c>
      <c r="F4293" t="s">
        <v>5152</v>
      </c>
    </row>
    <row r="4294" spans="1:6" ht="12.75">
      <c r="A4294">
        <v>6948272</v>
      </c>
      <c r="B4294">
        <v>6975670</v>
      </c>
      <c r="C4294" t="s">
        <v>189</v>
      </c>
      <c r="D4294" t="s">
        <v>99</v>
      </c>
      <c r="E4294" s="2" t="str">
        <f>HYPERLINK("https://ibp.a2mac1.com/costing(costing:projects/details/8191/equipment/6948272)","Equipment (Injection Molding)")</f>
        <v>Equipment (Injection Molding)</v>
      </c>
      <c r="F4294" t="s">
        <v>5152</v>
      </c>
    </row>
    <row r="4295" spans="1:6" ht="12.75">
      <c r="A4295">
        <v>5388803</v>
      </c>
      <c r="B4295">
        <v>5388415</v>
      </c>
      <c r="C4295" t="s">
        <v>12</v>
      </c>
      <c r="D4295" t="s">
        <v>8</v>
      </c>
      <c r="E4295" s="2" t="str">
        <f>HYPERLINK("https://ibp.a2mac1.com/costing(costing:projects/details/8191/part/5388803)","Welcome light")</f>
        <v>Welcome light</v>
      </c>
      <c r="F4295" t="s">
        <v>5133</v>
      </c>
    </row>
    <row r="4296" spans="1:6" ht="12.75">
      <c r="A4296">
        <v>5388804</v>
      </c>
      <c r="B4296">
        <v>5388415</v>
      </c>
      <c r="C4296" t="s">
        <v>12</v>
      </c>
      <c r="D4296" t="s">
        <v>8</v>
      </c>
      <c r="E4296" s="2" t="str">
        <f>HYPERLINK("https://ibp.a2mac1.com/costing(costing:projects/details/8191/part/5388804)","Unlocking Contactor")</f>
        <v>Unlocking Contactor</v>
      </c>
      <c r="F4296" t="s">
        <v>5133</v>
      </c>
    </row>
    <row r="4297" spans="1:6" ht="12.75">
      <c r="A4297">
        <v>6975404</v>
      </c>
      <c r="B4297">
        <v>5388415</v>
      </c>
      <c r="C4297" t="s">
        <v>99</v>
      </c>
      <c r="D4297" t="s">
        <v>8</v>
      </c>
      <c r="E4297" s="2" t="str">
        <f>HYPERLINK("https://ibp.a2mac1.com/costing(costing:projects/details/8191/process/6975404)","Assembly")</f>
        <v>Assembly</v>
      </c>
      <c r="F4297" t="s">
        <v>5133</v>
      </c>
    </row>
    <row r="4298" spans="1:6" ht="12.75">
      <c r="A4298">
        <v>6947984</v>
      </c>
      <c r="B4298">
        <v>6975404</v>
      </c>
      <c r="C4298" t="s">
        <v>189</v>
      </c>
      <c r="D4298" t="s">
        <v>99</v>
      </c>
      <c r="E4298" s="2" t="str">
        <f>HYPERLINK("https://ibp.a2mac1.com/costing(costing:projects/details/8191/equipment/6947984)","Assembly line")</f>
        <v>Assembly line</v>
      </c>
      <c r="F4298" t="s">
        <v>5157</v>
      </c>
    </row>
    <row r="4299" spans="1:6" ht="12.75">
      <c r="A4299">
        <v>5388416</v>
      </c>
      <c r="B4299">
        <v>5388187</v>
      </c>
      <c r="C4299" t="s">
        <v>8</v>
      </c>
      <c r="D4299" t="s">
        <v>8</v>
      </c>
      <c r="E4299" s="2" t="str">
        <f>HYPERLINK("https://ibp.a2mac1.com/costing(costing:projects/details/8191/assembly/5388416)","Fastners")</f>
        <v>Fastners</v>
      </c>
      <c r="F4299" t="s">
        <v>5122</v>
      </c>
    </row>
    <row r="4300" spans="1:6" ht="12.75">
      <c r="A4300">
        <v>5319565</v>
      </c>
      <c r="B4300">
        <v>5388416</v>
      </c>
      <c r="C4300" t="s">
        <v>574</v>
      </c>
      <c r="D4300" t="s">
        <v>8</v>
      </c>
      <c r="E4300" s="2" t="str">
        <f>HYPERLINK("https://ibp.a2mac1.com/costing(costing:projects/details/8191/component/5319565)","Screw &gt; 12 point socket head cap screw")</f>
        <v>Screw &gt; 12 point socket head cap screw</v>
      </c>
      <c r="F4300" t="s">
        <v>5159</v>
      </c>
    </row>
    <row r="4301" spans="1:6" ht="12.75">
      <c r="A4301">
        <v>5319566</v>
      </c>
      <c r="B4301">
        <v>5388416</v>
      </c>
      <c r="C4301" t="s">
        <v>574</v>
      </c>
      <c r="D4301" t="s">
        <v>8</v>
      </c>
      <c r="E4301" s="2" t="str">
        <f>HYPERLINK("https://ibp.a2mac1.com/costing(costing:projects/details/8191/component/5319566)","Screw &gt; 12 point socket head cap screw")</f>
        <v>Screw &gt; 12 point socket head cap screw</v>
      </c>
      <c r="F4301" t="s">
        <v>5159</v>
      </c>
    </row>
    <row r="4302" spans="1:6" ht="12.75">
      <c r="A4302">
        <v>5388412</v>
      </c>
      <c r="B4302">
        <v>5388187</v>
      </c>
      <c r="C4302" t="s">
        <v>12</v>
      </c>
      <c r="D4302" t="s">
        <v>8</v>
      </c>
      <c r="E4302" s="2" t="str">
        <f>HYPERLINK("https://ibp.a2mac1.com/costing(costing:projects/details/8191/part/5388412)","Door Latch")</f>
        <v>Door Latch</v>
      </c>
      <c r="F4302" t="s">
        <v>5122</v>
      </c>
    </row>
    <row r="4303" spans="1:6" ht="12.75">
      <c r="A4303">
        <v>6975400</v>
      </c>
      <c r="B4303">
        <v>5388412</v>
      </c>
      <c r="C4303" t="s">
        <v>99</v>
      </c>
      <c r="D4303" t="s">
        <v>12</v>
      </c>
      <c r="E4303" s="2" t="str">
        <f>HYPERLINK("https://ibp.a2mac1.com/costing(costing:projects/details/8191/process/6975400)","Process")</f>
        <v>Process</v>
      </c>
      <c r="F4303" t="s">
        <v>5160</v>
      </c>
    </row>
    <row r="4304" spans="1:6" ht="12.75">
      <c r="A4304">
        <v>6947980</v>
      </c>
      <c r="B4304">
        <v>6975400</v>
      </c>
      <c r="C4304" t="s">
        <v>189</v>
      </c>
      <c r="D4304" t="s">
        <v>99</v>
      </c>
      <c r="E4304" s="2" t="str">
        <f>HYPERLINK("https://ibp.a2mac1.com/costing(costing:projects/details/8191/equipment/6947980)","Dummy Machine (PCBA+Final Assembly Line)")</f>
        <v>Dummy Machine (PCBA+Final Assembly Line)</v>
      </c>
      <c r="F4304" t="s">
        <v>5161</v>
      </c>
    </row>
    <row r="4305" spans="1:6" ht="12.75">
      <c r="A4305">
        <v>5319563</v>
      </c>
      <c r="B4305">
        <v>5388412</v>
      </c>
      <c r="C4305" t="s">
        <v>574</v>
      </c>
      <c r="D4305" t="s">
        <v>12</v>
      </c>
      <c r="E4305" s="2" t="str">
        <f>HYPERLINK("https://ibp.a2mac1.com/costing(costing:projects/details/8191/component/5319563)","Electronics")</f>
        <v>Electronics</v>
      </c>
      <c r="F4305" t="s">
        <v>5160</v>
      </c>
    </row>
    <row r="4306" spans="1:6" ht="12.75">
      <c r="A4306">
        <v>5319564</v>
      </c>
      <c r="B4306">
        <v>5388412</v>
      </c>
      <c r="C4306" t="s">
        <v>574</v>
      </c>
      <c r="D4306" t="s">
        <v>12</v>
      </c>
      <c r="E4306" s="2" t="str">
        <f>HYPERLINK("https://ibp.a2mac1.com/costing(costing:projects/details/8191/component/5319564)","Mechanics")</f>
        <v>Mechanics</v>
      </c>
      <c r="F4306" t="s">
        <v>5160</v>
      </c>
    </row>
    <row r="4307" spans="1:6" ht="12.75">
      <c r="A4307">
        <v>5388413</v>
      </c>
      <c r="B4307">
        <v>5388187</v>
      </c>
      <c r="C4307" t="s">
        <v>12</v>
      </c>
      <c r="D4307" t="s">
        <v>8</v>
      </c>
      <c r="E4307" s="2" t="str">
        <f>HYPERLINK("https://ibp.a2mac1.com/costing(costing:projects/details/8191/part/5388413)","Door Striker")</f>
        <v>Door Striker</v>
      </c>
      <c r="F4307" t="s">
        <v>5122</v>
      </c>
    </row>
    <row r="4308" spans="1:6" ht="12.75">
      <c r="A4308">
        <v>6975401</v>
      </c>
      <c r="B4308">
        <v>5388413</v>
      </c>
      <c r="C4308" t="s">
        <v>99</v>
      </c>
      <c r="D4308" t="s">
        <v>12</v>
      </c>
      <c r="E4308" s="2" t="str">
        <f>HYPERLINK("https://ibp.a2mac1.com/costing(costing:projects/details/8191/process/6975401)","Stamping ")</f>
        <v xml:space="preserve">Stamping </v>
      </c>
      <c r="F4308" t="s">
        <v>5163</v>
      </c>
    </row>
    <row r="4309" spans="1:6" ht="12.75">
      <c r="A4309">
        <v>5319794</v>
      </c>
      <c r="B4309">
        <v>6975401</v>
      </c>
      <c r="C4309" t="s">
        <v>24</v>
      </c>
      <c r="D4309" t="s">
        <v>99</v>
      </c>
      <c r="E4309" s="2" t="str">
        <f>HYPERLINK("https://ibp.a2mac1.com/costing(costing:projects/details/8191/material/5319794)","Standard Structural Steel sheet")</f>
        <v>Standard Structural Steel sheet</v>
      </c>
      <c r="F4309" t="s">
        <v>5164</v>
      </c>
    </row>
    <row r="4310" spans="1:6" ht="12.75">
      <c r="A4310">
        <v>6947981</v>
      </c>
      <c r="B4310">
        <v>6975401</v>
      </c>
      <c r="C4310" t="s">
        <v>189</v>
      </c>
      <c r="D4310" t="s">
        <v>99</v>
      </c>
      <c r="E4310" s="2" t="str">
        <f>HYPERLINK("https://ibp.a2mac1.com/costing(costing:projects/details/8191/equipment/6947981)","Equipment (Stamping)")</f>
        <v>Equipment (Stamping)</v>
      </c>
      <c r="F4310" t="s">
        <v>5164</v>
      </c>
    </row>
    <row r="4311" spans="1:6" ht="12.75">
      <c r="A4311">
        <v>6975403</v>
      </c>
      <c r="B4311">
        <v>5388413</v>
      </c>
      <c r="C4311" t="s">
        <v>99</v>
      </c>
      <c r="D4311" t="s">
        <v>12</v>
      </c>
      <c r="E4311" s="2" t="str">
        <f>HYPERLINK("https://ibp.a2mac1.com/costing(costing:projects/details/8191/process/6975403)","Wire Bending")</f>
        <v>Wire Bending</v>
      </c>
      <c r="F4311" t="s">
        <v>5163</v>
      </c>
    </row>
    <row r="4312" spans="1:6" ht="12.75">
      <c r="A4312">
        <v>6947983</v>
      </c>
      <c r="B4312">
        <v>6975403</v>
      </c>
      <c r="C4312" t="s">
        <v>189</v>
      </c>
      <c r="D4312" t="s">
        <v>99</v>
      </c>
      <c r="E4312" s="2" t="str">
        <f>HYPERLINK("https://ibp.a2mac1.com/costing(costing:projects/details/8191/equipment/6947983)","No.01 - Generic CN Wire Bending ")</f>
        <v xml:space="preserve">No.01 - Generic CN Wire Bending </v>
      </c>
      <c r="F4312" t="s">
        <v>5165</v>
      </c>
    </row>
    <row r="4313" spans="1:6" ht="12.75">
      <c r="A4313">
        <v>6975402</v>
      </c>
      <c r="B4313">
        <v>5388413</v>
      </c>
      <c r="C4313" t="s">
        <v>99</v>
      </c>
      <c r="D4313" t="s">
        <v>12</v>
      </c>
      <c r="E4313" s="2" t="str">
        <f>HYPERLINK("https://ibp.a2mac1.com/costing(costing:projects/details/8191/process/6975402)","Press fit")</f>
        <v>Press fit</v>
      </c>
      <c r="F4313" t="s">
        <v>5163</v>
      </c>
    </row>
    <row r="4314" spans="1:6" ht="12.75">
      <c r="A4314">
        <v>6947982</v>
      </c>
      <c r="B4314">
        <v>6975402</v>
      </c>
      <c r="C4314" t="s">
        <v>189</v>
      </c>
      <c r="D4314" t="s">
        <v>99</v>
      </c>
      <c r="E4314" s="2" t="str">
        <f>HYPERLINK("https://ibp.a2mac1.com/costing(costing:projects/details/8191/equipment/6947982)","No.04 - Press Fit Assembly ")</f>
        <v xml:space="preserve">No.04 - Press Fit Assembly </v>
      </c>
      <c r="F4314" t="s">
        <v>5166</v>
      </c>
    </row>
    <row r="4315" spans="1:6" ht="12.75">
      <c r="A4315">
        <v>5388188</v>
      </c>
      <c r="B4315">
        <v>5388134</v>
      </c>
      <c r="C4315" t="s">
        <v>8</v>
      </c>
      <c r="D4315" t="s">
        <v>8</v>
      </c>
      <c r="E4315" s="2" t="str">
        <f>HYPERLINK("https://ibp.a2mac1.com/costing(costing:projects/details/8191/assembly/5388188)","Window System")</f>
        <v>Window System</v>
      </c>
      <c r="F4315" t="s">
        <v>5036</v>
      </c>
    </row>
    <row r="4316" spans="1:6" ht="12.75">
      <c r="A4316">
        <v>5388420</v>
      </c>
      <c r="B4316">
        <v>5388188</v>
      </c>
      <c r="C4316" t="s">
        <v>8</v>
      </c>
      <c r="D4316" t="s">
        <v>8</v>
      </c>
      <c r="E4316" s="2" t="str">
        <f>HYPERLINK("https://ibp.a2mac1.com/costing(costing:projects/details/8191/assembly/5388420)","Window")</f>
        <v>Window</v>
      </c>
      <c r="F4316" t="s">
        <v>5169</v>
      </c>
    </row>
    <row r="4317" spans="1:6" ht="12.75">
      <c r="A4317">
        <v>5388806</v>
      </c>
      <c r="B4317">
        <v>5388420</v>
      </c>
      <c r="C4317" t="s">
        <v>8</v>
      </c>
      <c r="D4317" t="s">
        <v>8</v>
      </c>
      <c r="E4317" s="2" t="str">
        <f>HYPERLINK("https://ibp.a2mac1.com/costing(costing:projects/details/8191/assembly/5388806)","Window")</f>
        <v>Window</v>
      </c>
      <c r="F4317" t="s">
        <v>5170</v>
      </c>
    </row>
    <row r="4318" spans="1:6" ht="12.75">
      <c r="A4318">
        <v>6975671</v>
      </c>
      <c r="B4318">
        <v>5388806</v>
      </c>
      <c r="C4318" t="s">
        <v>99</v>
      </c>
      <c r="D4318" t="s">
        <v>8</v>
      </c>
      <c r="E4318" s="2" t="str">
        <f>HYPERLINK("https://ibp.a2mac1.com/costing(costing:projects/details/8191/process/6975671)","Automated Process")</f>
        <v>Automated Process</v>
      </c>
      <c r="F4318" t="s">
        <v>5171</v>
      </c>
    </row>
    <row r="4319" spans="1:6" ht="12.75">
      <c r="A4319">
        <v>5320094</v>
      </c>
      <c r="B4319">
        <v>6975671</v>
      </c>
      <c r="C4319" t="s">
        <v>24</v>
      </c>
      <c r="D4319" t="s">
        <v>99</v>
      </c>
      <c r="E4319" s="2" t="str">
        <f>HYPERLINK("https://ibp.a2mac1.com/costing(costing:projects/details/8191/material/5320094)","Material")</f>
        <v>Material</v>
      </c>
      <c r="F4319" t="s">
        <v>5172</v>
      </c>
    </row>
    <row r="4320" spans="1:6" ht="12.75">
      <c r="A4320">
        <v>6948273</v>
      </c>
      <c r="B4320">
        <v>6975671</v>
      </c>
      <c r="C4320" t="s">
        <v>189</v>
      </c>
      <c r="D4320" t="s">
        <v>99</v>
      </c>
      <c r="E4320" s="2" t="str">
        <f>HYPERLINK("https://ibp.a2mac1.com/costing(costing:projects/details/8191/equipment/6948273)","DC machine - General")</f>
        <v>DC machine - General</v>
      </c>
      <c r="F4320" t="s">
        <v>5172</v>
      </c>
    </row>
    <row r="4321" spans="1:6" ht="12.75">
      <c r="A4321">
        <v>5388421</v>
      </c>
      <c r="B4321">
        <v>5388188</v>
      </c>
      <c r="C4321" t="s">
        <v>8</v>
      </c>
      <c r="D4321" t="s">
        <v>8</v>
      </c>
      <c r="E4321" s="2" t="str">
        <f>HYPERLINK("https://ibp.a2mac1.com/costing(costing:projects/details/8191/assembly/5388421)","Fastners")</f>
        <v>Fastners</v>
      </c>
      <c r="F4321" t="s">
        <v>5169</v>
      </c>
    </row>
    <row r="4322" spans="1:6" ht="12.75">
      <c r="A4322">
        <v>5319567</v>
      </c>
      <c r="B4322">
        <v>5388421</v>
      </c>
      <c r="C4322" t="s">
        <v>574</v>
      </c>
      <c r="D4322" t="s">
        <v>8</v>
      </c>
      <c r="E4322" s="2" t="str">
        <f>HYPERLINK("https://ibp.a2mac1.com/costing(costing:projects/details/8191/component/5319567)","Spacer/Axle &gt; Ring")</f>
        <v>Spacer/Axle &gt; Ring</v>
      </c>
      <c r="F4322" t="s">
        <v>5174</v>
      </c>
    </row>
    <row r="4323" spans="1:6" ht="12.75">
      <c r="A4323">
        <v>5319568</v>
      </c>
      <c r="B4323">
        <v>5388421</v>
      </c>
      <c r="C4323" t="s">
        <v>574</v>
      </c>
      <c r="D4323" t="s">
        <v>8</v>
      </c>
      <c r="E4323" s="2" t="str">
        <f>HYPERLINK("https://ibp.a2mac1.com/costing(costing:projects/details/8191/component/5319568)","Screw &gt; Torx socket head cap screw with captive washer")</f>
        <v>Screw &gt; Torx socket head cap screw with captive washer</v>
      </c>
      <c r="F4323" t="s">
        <v>5174</v>
      </c>
    </row>
    <row r="4324" spans="1:6" ht="12.75">
      <c r="A4324">
        <v>5319569</v>
      </c>
      <c r="B4324">
        <v>5388421</v>
      </c>
      <c r="C4324" t="s">
        <v>574</v>
      </c>
      <c r="D4324" t="s">
        <v>8</v>
      </c>
      <c r="E4324" s="2" t="str">
        <f>HYPERLINK("https://ibp.a2mac1.com/costing(costing:projects/details/8191/component/5319569)","Panel holder &gt; Clips in rectangular hole")</f>
        <v>Panel holder &gt; Clips in rectangular hole</v>
      </c>
      <c r="F4324" t="s">
        <v>5174</v>
      </c>
    </row>
    <row r="4325" spans="1:6" ht="12.75">
      <c r="A4325">
        <v>5319570</v>
      </c>
      <c r="B4325">
        <v>5388421</v>
      </c>
      <c r="C4325" t="s">
        <v>574</v>
      </c>
      <c r="D4325" t="s">
        <v>8</v>
      </c>
      <c r="E4325" s="2" t="str">
        <f>HYPERLINK("https://ibp.a2mac1.com/costing(costing:projects/details/8191/component/5319570)","Screw &gt; Torx socket head cap screw with flange")</f>
        <v>Screw &gt; Torx socket head cap screw with flange</v>
      </c>
      <c r="F4325" t="s">
        <v>5174</v>
      </c>
    </row>
    <row r="4326" spans="1:6" ht="12.75">
      <c r="A4326">
        <v>5388417</v>
      </c>
      <c r="B4326">
        <v>5388188</v>
      </c>
      <c r="C4326" t="s">
        <v>12</v>
      </c>
      <c r="D4326" t="s">
        <v>8</v>
      </c>
      <c r="E4326" s="2" t="str">
        <f>HYPERLINK("https://ibp.a2mac1.com/costing(costing:projects/details/8191/part/5388417)","Rear Quarter Window")</f>
        <v>Rear Quarter Window</v>
      </c>
      <c r="F4326" t="s">
        <v>5169</v>
      </c>
    </row>
    <row r="4327" spans="1:6" ht="12.75">
      <c r="A4327">
        <v>6975405</v>
      </c>
      <c r="B4327">
        <v>5388417</v>
      </c>
      <c r="C4327" t="s">
        <v>99</v>
      </c>
      <c r="D4327" t="s">
        <v>12</v>
      </c>
      <c r="E4327" s="2" t="str">
        <f>HYPERLINK("https://ibp.a2mac1.com/costing(costing:projects/details/8191/process/6975405)","Automated Process")</f>
        <v>Automated Process</v>
      </c>
      <c r="F4327" t="s">
        <v>5175</v>
      </c>
    </row>
    <row r="4328" spans="1:6" ht="12.75">
      <c r="A4328">
        <v>5319799</v>
      </c>
      <c r="B4328">
        <v>6975405</v>
      </c>
      <c r="C4328" t="s">
        <v>24</v>
      </c>
      <c r="D4328" t="s">
        <v>99</v>
      </c>
      <c r="E4328" s="2" t="str">
        <f>HYPERLINK("https://ibp.a2mac1.com/costing(costing:projects/details/8191/material/5319799)","PA6")</f>
        <v>PA6</v>
      </c>
      <c r="F4328" t="s">
        <v>5178</v>
      </c>
    </row>
    <row r="4329" spans="1:6" ht="12.75">
      <c r="A4329">
        <v>5319800</v>
      </c>
      <c r="B4329">
        <v>6975405</v>
      </c>
      <c r="C4329" t="s">
        <v>24</v>
      </c>
      <c r="D4329" t="s">
        <v>99</v>
      </c>
      <c r="E4329" s="2" t="str">
        <f>HYPERLINK("https://ibp.a2mac1.com/costing(costing:projects/details/8191/material/5319800)","PP")</f>
        <v>PP</v>
      </c>
      <c r="F4329" t="s">
        <v>5178</v>
      </c>
    </row>
    <row r="4330" spans="1:6" ht="12.75">
      <c r="A4330">
        <v>5319801</v>
      </c>
      <c r="B4330">
        <v>6975405</v>
      </c>
      <c r="C4330" t="s">
        <v>24</v>
      </c>
      <c r="D4330" t="s">
        <v>99</v>
      </c>
      <c r="E4330" s="2" t="str">
        <f>HYPERLINK("https://ibp.a2mac1.com/costing(costing:projects/details/8191/material/5319801)","Glass (default, float glass)")</f>
        <v>Glass (default, float glass)</v>
      </c>
      <c r="F4330" t="s">
        <v>5178</v>
      </c>
    </row>
    <row r="4331" spans="1:6" ht="12.75">
      <c r="A4331">
        <v>6947985</v>
      </c>
      <c r="B4331">
        <v>6975405</v>
      </c>
      <c r="C4331" t="s">
        <v>189</v>
      </c>
      <c r="D4331" t="s">
        <v>99</v>
      </c>
      <c r="E4331" s="2" t="str">
        <f>HYPERLINK("https://ibp.a2mac1.com/costing(costing:projects/details/8191/equipment/6947985)","Equipment (Injection Molding)")</f>
        <v>Equipment (Injection Molding)</v>
      </c>
      <c r="F4331" t="s">
        <v>5178</v>
      </c>
    </row>
    <row r="4332" spans="1:6" ht="12.75">
      <c r="A4332">
        <v>6947986</v>
      </c>
      <c r="B4332">
        <v>6975405</v>
      </c>
      <c r="C4332" t="s">
        <v>189</v>
      </c>
      <c r="D4332" t="s">
        <v>99</v>
      </c>
      <c r="E4332" s="2" t="str">
        <f>HYPERLINK("https://ibp.a2mac1.com/costing(costing:projects/details/8191/equipment/6947986)","Equipment (Injection Molding)")</f>
        <v>Equipment (Injection Molding)</v>
      </c>
      <c r="F4332" t="s">
        <v>5178</v>
      </c>
    </row>
    <row r="4333" spans="1:6" ht="12.75">
      <c r="A4333">
        <v>6947987</v>
      </c>
      <c r="B4333">
        <v>6975405</v>
      </c>
      <c r="C4333" t="s">
        <v>189</v>
      </c>
      <c r="D4333" t="s">
        <v>99</v>
      </c>
      <c r="E4333" s="2" t="str">
        <f>HYPERLINK("https://ibp.a2mac1.com/costing(costing:projects/details/8191/equipment/6947987)","Equipment (Standard Process)")</f>
        <v>Equipment (Standard Process)</v>
      </c>
      <c r="F4333" t="s">
        <v>5178</v>
      </c>
    </row>
    <row r="4334" spans="1:6" ht="12.75">
      <c r="A4334">
        <v>5388418</v>
      </c>
      <c r="B4334">
        <v>5388188</v>
      </c>
      <c r="C4334" t="s">
        <v>12</v>
      </c>
      <c r="D4334" t="s">
        <v>8</v>
      </c>
      <c r="E4334" s="2" t="str">
        <f>HYPERLINK("https://ibp.a2mac1.com/costing(costing:projects/details/8191/part/5388418)","Window Regulator")</f>
        <v>Window Regulator</v>
      </c>
      <c r="F4334" t="s">
        <v>5169</v>
      </c>
    </row>
    <row r="4335" spans="1:6" ht="12.75">
      <c r="A4335">
        <v>5388419</v>
      </c>
      <c r="B4335">
        <v>5388188</v>
      </c>
      <c r="C4335" t="s">
        <v>12</v>
      </c>
      <c r="D4335" t="s">
        <v>8</v>
      </c>
      <c r="E4335" s="2" t="str">
        <f>HYPERLINK("https://ibp.a2mac1.com/costing(costing:projects/details/8191/part/5388419)","Window Regulator Motor")</f>
        <v>Window Regulator Motor</v>
      </c>
      <c r="F4335" t="s">
        <v>5169</v>
      </c>
    </row>
    <row r="4336" spans="1:6" ht="12.75">
      <c r="A4336">
        <v>6975280</v>
      </c>
      <c r="B4336">
        <v>5388188</v>
      </c>
      <c r="C4336" t="s">
        <v>99</v>
      </c>
      <c r="D4336" t="s">
        <v>8</v>
      </c>
      <c r="E4336" s="2" t="str">
        <f>HYPERLINK("https://ibp.a2mac1.com/costing(costing:projects/details/8191/process/6975280)","Assembly")</f>
        <v>Assembly</v>
      </c>
      <c r="F4336" t="s">
        <v>5169</v>
      </c>
    </row>
    <row r="4337" spans="1:6" ht="12.75">
      <c r="A4337">
        <v>6947836</v>
      </c>
      <c r="B4337">
        <v>6975280</v>
      </c>
      <c r="C4337" t="s">
        <v>189</v>
      </c>
      <c r="D4337" t="s">
        <v>99</v>
      </c>
      <c r="E4337" s="2" t="str">
        <f>HYPERLINK("https://ibp.a2mac1.com/costing(costing:projects/details/8191/equipment/6947836)","Assembly line")</f>
        <v>Assembly line</v>
      </c>
      <c r="F4337" t="s">
        <v>5185</v>
      </c>
    </row>
    <row r="4338" spans="1:6" ht="12.75">
      <c r="A4338">
        <v>5388189</v>
      </c>
      <c r="B4338">
        <v>5388134</v>
      </c>
      <c r="C4338" t="s">
        <v>8</v>
      </c>
      <c r="D4338" t="s">
        <v>8</v>
      </c>
      <c r="E4338" s="2" t="str">
        <f>HYPERLINK("https://ibp.a2mac1.com/costing(costing:projects/details/8191/assembly/5388189)","Sealing System")</f>
        <v>Sealing System</v>
      </c>
      <c r="F4338" t="s">
        <v>5036</v>
      </c>
    </row>
    <row r="4339" spans="1:6" ht="12.75">
      <c r="A4339">
        <v>5388425</v>
      </c>
      <c r="B4339">
        <v>5388189</v>
      </c>
      <c r="C4339" t="s">
        <v>8</v>
      </c>
      <c r="D4339" t="s">
        <v>8</v>
      </c>
      <c r="E4339" s="2" t="str">
        <f>HYPERLINK("https://ibp.a2mac1.com/costing(costing:projects/details/8191/assembly/5388425)","Door Weather Stripping")</f>
        <v>Door Weather Stripping</v>
      </c>
      <c r="F4339" t="s">
        <v>5187</v>
      </c>
    </row>
    <row r="4340" spans="1:6" ht="12.75">
      <c r="A4340">
        <v>5388807</v>
      </c>
      <c r="B4340">
        <v>5388425</v>
      </c>
      <c r="C4340" t="s">
        <v>12</v>
      </c>
      <c r="D4340" t="s">
        <v>8</v>
      </c>
      <c r="E4340" s="2" t="str">
        <f>HYPERLINK("https://ibp.a2mac1.com/costing(costing:projects/details/8191/part/5388807)","On Body")</f>
        <v>On Body</v>
      </c>
      <c r="F4340" t="s">
        <v>5188</v>
      </c>
    </row>
    <row r="4341" spans="1:6" ht="12.75">
      <c r="A4341">
        <v>6975672</v>
      </c>
      <c r="B4341">
        <v>5388807</v>
      </c>
      <c r="C4341" t="s">
        <v>99</v>
      </c>
      <c r="D4341" t="s">
        <v>12</v>
      </c>
      <c r="E4341" s="2" t="str">
        <f>HYPERLINK("https://ibp.a2mac1.com/costing(costing:projects/details/8191/process/6975672)","Seal Extrusion (Multi Layer)")</f>
        <v>Seal Extrusion (Multi Layer)</v>
      </c>
      <c r="F4341" t="s">
        <v>5189</v>
      </c>
    </row>
    <row r="4342" spans="1:6" ht="12.75">
      <c r="A4342">
        <v>5320095</v>
      </c>
      <c r="B4342">
        <v>6975672</v>
      </c>
      <c r="C4342" t="s">
        <v>24</v>
      </c>
      <c r="D4342" t="s">
        <v>99</v>
      </c>
      <c r="E4342" s="2" t="str">
        <f>HYPERLINK("https://ibp.a2mac1.com/costing(costing:projects/details/8191/material/5320095)","EPDM")</f>
        <v>EPDM</v>
      </c>
      <c r="F4342" t="s">
        <v>5192</v>
      </c>
    </row>
    <row r="4343" spans="1:6" ht="12.75">
      <c r="A4343">
        <v>5320096</v>
      </c>
      <c r="B4343">
        <v>6975672</v>
      </c>
      <c r="C4343" t="s">
        <v>24</v>
      </c>
      <c r="D4343" t="s">
        <v>99</v>
      </c>
      <c r="E4343" s="2" t="str">
        <f>HYPERLINK("https://ibp.a2mac1.com/costing(costing:projects/details/8191/material/5320096)","Standard Structural Steel sheet")</f>
        <v>Standard Structural Steel sheet</v>
      </c>
      <c r="F4343" t="s">
        <v>5192</v>
      </c>
    </row>
    <row r="4344" spans="1:6" ht="12.75">
      <c r="A4344">
        <v>6948274</v>
      </c>
      <c r="B4344">
        <v>6975672</v>
      </c>
      <c r="C4344" t="s">
        <v>189</v>
      </c>
      <c r="D4344" t="s">
        <v>99</v>
      </c>
      <c r="E4344" s="2" t="str">
        <f>HYPERLINK("https://ibp.a2mac1.com/costing(costing:projects/details/8191/equipment/6948274)","Rubber Extrusion machine")</f>
        <v>Rubber Extrusion machine</v>
      </c>
      <c r="F4344" t="s">
        <v>5192</v>
      </c>
    </row>
    <row r="4345" spans="1:6" ht="12.75">
      <c r="A4345">
        <v>6975673</v>
      </c>
      <c r="B4345">
        <v>5388807</v>
      </c>
      <c r="C4345" t="s">
        <v>99</v>
      </c>
      <c r="D4345" t="s">
        <v>12</v>
      </c>
      <c r="E4345" s="2" t="str">
        <f>HYPERLINK("https://ibp.a2mac1.com/costing(costing:projects/details/8191/process/6975673)","End Glueing/Vulcanizing, Check and Pack")</f>
        <v>End Glueing/Vulcanizing, Check and Pack</v>
      </c>
      <c r="F4345" t="s">
        <v>5189</v>
      </c>
    </row>
    <row r="4346" spans="1:6" ht="12.75">
      <c r="A4346">
        <v>6948275</v>
      </c>
      <c r="B4346">
        <v>6975673</v>
      </c>
      <c r="C4346" t="s">
        <v>189</v>
      </c>
      <c r="D4346" t="s">
        <v>99</v>
      </c>
      <c r="E4346" s="2" t="str">
        <f>HYPERLINK("https://ibp.a2mac1.com/costing(costing:projects/details/8191/equipment/6948275)","Seal welding/joining station, manual")</f>
        <v>Seal welding/joining station, manual</v>
      </c>
      <c r="F4346" t="s">
        <v>5195</v>
      </c>
    </row>
    <row r="4347" spans="1:6" ht="12.75">
      <c r="A4347">
        <v>5388808</v>
      </c>
      <c r="B4347">
        <v>5388425</v>
      </c>
      <c r="C4347" t="s">
        <v>12</v>
      </c>
      <c r="D4347" t="s">
        <v>8</v>
      </c>
      <c r="E4347" s="2" t="str">
        <f>HYPERLINK("https://ibp.a2mac1.com/costing(costing:projects/details/8191/part/5388808)","On Door")</f>
        <v>On Door</v>
      </c>
      <c r="F4347" t="s">
        <v>5188</v>
      </c>
    </row>
    <row r="4348" spans="1:6" ht="12.75">
      <c r="A4348">
        <v>6975674</v>
      </c>
      <c r="B4348">
        <v>5388808</v>
      </c>
      <c r="C4348" t="s">
        <v>99</v>
      </c>
      <c r="D4348" t="s">
        <v>12</v>
      </c>
      <c r="E4348" s="2" t="str">
        <f>HYPERLINK("https://ibp.a2mac1.com/costing(costing:projects/details/8191/process/6975674)","Seal Extrusion (Multi Layer)")</f>
        <v>Seal Extrusion (Multi Layer)</v>
      </c>
      <c r="F4348" t="s">
        <v>5197</v>
      </c>
    </row>
    <row r="4349" spans="1:6" ht="12.75">
      <c r="A4349">
        <v>5320097</v>
      </c>
      <c r="B4349">
        <v>6975674</v>
      </c>
      <c r="C4349" t="s">
        <v>24</v>
      </c>
      <c r="D4349" t="s">
        <v>99</v>
      </c>
      <c r="E4349" s="2" t="str">
        <f>HYPERLINK("https://ibp.a2mac1.com/costing(costing:projects/details/8191/material/5320097)","EPDM")</f>
        <v>EPDM</v>
      </c>
      <c r="F4349" t="s">
        <v>5200</v>
      </c>
    </row>
    <row r="4350" spans="1:6" ht="12.75">
      <c r="A4350">
        <v>5320098</v>
      </c>
      <c r="B4350">
        <v>6975674</v>
      </c>
      <c r="C4350" t="s">
        <v>24</v>
      </c>
      <c r="D4350" t="s">
        <v>99</v>
      </c>
      <c r="E4350" s="2" t="str">
        <f>HYPERLINK("https://ibp.a2mac1.com/costing(costing:projects/details/8191/material/5320098)","Standard Structural Steel sheet")</f>
        <v>Standard Structural Steel sheet</v>
      </c>
      <c r="F4350" t="s">
        <v>5200</v>
      </c>
    </row>
    <row r="4351" spans="1:6" ht="12.75">
      <c r="A4351">
        <v>6948276</v>
      </c>
      <c r="B4351">
        <v>6975674</v>
      </c>
      <c r="C4351" t="s">
        <v>189</v>
      </c>
      <c r="D4351" t="s">
        <v>99</v>
      </c>
      <c r="E4351" s="2" t="str">
        <f>HYPERLINK("https://ibp.a2mac1.com/costing(costing:projects/details/8191/equipment/6948276)","Rubber Extrusion machine")</f>
        <v>Rubber Extrusion machine</v>
      </c>
      <c r="F4351" t="s">
        <v>5200</v>
      </c>
    </row>
    <row r="4352" spans="1:6" ht="12.75">
      <c r="A4352">
        <v>6975675</v>
      </c>
      <c r="B4352">
        <v>5388808</v>
      </c>
      <c r="C4352" t="s">
        <v>99</v>
      </c>
      <c r="D4352" t="s">
        <v>12</v>
      </c>
      <c r="E4352" s="2" t="str">
        <f>HYPERLINK("https://ibp.a2mac1.com/costing(costing:projects/details/8191/process/6975675)","End Glueing/Vulcanizing, Check and Pack")</f>
        <v>End Glueing/Vulcanizing, Check and Pack</v>
      </c>
      <c r="F4352" t="s">
        <v>5197</v>
      </c>
    </row>
    <row r="4353" spans="1:6" ht="12.75">
      <c r="A4353">
        <v>6948277</v>
      </c>
      <c r="B4353">
        <v>6975675</v>
      </c>
      <c r="C4353" t="s">
        <v>189</v>
      </c>
      <c r="D4353" t="s">
        <v>99</v>
      </c>
      <c r="E4353" s="2" t="str">
        <f>HYPERLINK("https://ibp.a2mac1.com/costing(costing:projects/details/8191/equipment/6948277)","Seal welding/joining station, manual")</f>
        <v>Seal welding/joining station, manual</v>
      </c>
      <c r="F4353" t="s">
        <v>5203</v>
      </c>
    </row>
    <row r="4354" spans="1:6" ht="12.75">
      <c r="A4354">
        <v>5388422</v>
      </c>
      <c r="B4354">
        <v>5388189</v>
      </c>
      <c r="C4354" t="s">
        <v>12</v>
      </c>
      <c r="D4354" t="s">
        <v>8</v>
      </c>
      <c r="E4354" s="2" t="str">
        <f>HYPERLINK("https://ibp.a2mac1.com/costing(costing:projects/details/8191/part/5388422)","Window Weather Stripping")</f>
        <v>Window Weather Stripping</v>
      </c>
      <c r="F4354" t="s">
        <v>5187</v>
      </c>
    </row>
    <row r="4355" spans="1:6" ht="12.75">
      <c r="A4355">
        <v>6975406</v>
      </c>
      <c r="B4355">
        <v>5388422</v>
      </c>
      <c r="C4355" t="s">
        <v>99</v>
      </c>
      <c r="D4355" t="s">
        <v>12</v>
      </c>
      <c r="E4355" s="2" t="str">
        <f>HYPERLINK("https://ibp.a2mac1.com/costing(costing:projects/details/8191/process/6975406)","Seal Extrusion")</f>
        <v>Seal Extrusion</v>
      </c>
      <c r="F4355" t="s">
        <v>5206</v>
      </c>
    </row>
    <row r="4356" spans="1:6" ht="12.75">
      <c r="A4356">
        <v>5319802</v>
      </c>
      <c r="B4356">
        <v>6975406</v>
      </c>
      <c r="C4356" t="s">
        <v>24</v>
      </c>
      <c r="D4356" t="s">
        <v>99</v>
      </c>
      <c r="E4356" s="2" t="str">
        <f>HYPERLINK("https://ibp.a2mac1.com/costing(costing:projects/details/8191/material/5319802)","EPDM")</f>
        <v>EPDM</v>
      </c>
      <c r="F4356" t="s">
        <v>5207</v>
      </c>
    </row>
    <row r="4357" spans="1:6" ht="12.75">
      <c r="A4357">
        <v>5319803</v>
      </c>
      <c r="B4357">
        <v>6975406</v>
      </c>
      <c r="C4357" t="s">
        <v>24</v>
      </c>
      <c r="D4357" t="s">
        <v>99</v>
      </c>
      <c r="E4357" s="2" t="str">
        <f>HYPERLINK("https://ibp.a2mac1.com/costing(costing:projects/details/8191/material/5319803)","Aluminum for extrusion (default, e.g. EN-AW6016)")</f>
        <v>Aluminum for extrusion (default, e.g. EN-AW6016)</v>
      </c>
      <c r="F4357" t="s">
        <v>5207</v>
      </c>
    </row>
    <row r="4358" spans="1:6" ht="12.75">
      <c r="A4358">
        <v>6947988</v>
      </c>
      <c r="B4358">
        <v>6975406</v>
      </c>
      <c r="C4358" t="s">
        <v>189</v>
      </c>
      <c r="D4358" t="s">
        <v>99</v>
      </c>
      <c r="E4358" s="2" t="str">
        <f>HYPERLINK("https://ibp.a2mac1.com/costing(costing:projects/details/8191/equipment/6947988)","Rubber Extrusion machine")</f>
        <v>Rubber Extrusion machine</v>
      </c>
      <c r="F4358" t="s">
        <v>5207</v>
      </c>
    </row>
    <row r="4359" spans="1:6" ht="12.75">
      <c r="A4359">
        <v>5388423</v>
      </c>
      <c r="B4359">
        <v>5388189</v>
      </c>
      <c r="C4359" t="s">
        <v>12</v>
      </c>
      <c r="D4359" t="s">
        <v>8</v>
      </c>
      <c r="E4359" s="2" t="str">
        <f>HYPERLINK("https://ibp.a2mac1.com/costing(costing:projects/details/8191/part/5388423)","Interior Weatherstrip")</f>
        <v>Interior Weatherstrip</v>
      </c>
      <c r="F4359" t="s">
        <v>5187</v>
      </c>
    </row>
    <row r="4360" spans="1:6" ht="12.75">
      <c r="A4360">
        <v>6975407</v>
      </c>
      <c r="B4360">
        <v>5388423</v>
      </c>
      <c r="C4360" t="s">
        <v>99</v>
      </c>
      <c r="D4360" t="s">
        <v>12</v>
      </c>
      <c r="E4360" s="2" t="str">
        <f>HYPERLINK("https://ibp.a2mac1.com/costing(costing:projects/details/8191/process/6975407)","Seal Extrusion")</f>
        <v>Seal Extrusion</v>
      </c>
      <c r="F4360" t="s">
        <v>5210</v>
      </c>
    </row>
    <row r="4361" spans="1:6" ht="12.75">
      <c r="A4361">
        <v>5319804</v>
      </c>
      <c r="B4361">
        <v>6975407</v>
      </c>
      <c r="C4361" t="s">
        <v>24</v>
      </c>
      <c r="D4361" t="s">
        <v>99</v>
      </c>
      <c r="E4361" s="2" t="str">
        <f>HYPERLINK("https://ibp.a2mac1.com/costing(costing:projects/details/8191/material/5319804)","PP-EPDM")</f>
        <v>PP-EPDM</v>
      </c>
      <c r="F4361" t="s">
        <v>5211</v>
      </c>
    </row>
    <row r="4362" spans="1:6" ht="12.75">
      <c r="A4362">
        <v>6947989</v>
      </c>
      <c r="B4362">
        <v>6975407</v>
      </c>
      <c r="C4362" t="s">
        <v>189</v>
      </c>
      <c r="D4362" t="s">
        <v>99</v>
      </c>
      <c r="E4362" s="2" t="str">
        <f>HYPERLINK("https://ibp.a2mac1.com/costing(costing:projects/details/8191/equipment/6947989)","Rubber Extrusion machine")</f>
        <v>Rubber Extrusion machine</v>
      </c>
      <c r="F4362" t="s">
        <v>5211</v>
      </c>
    </row>
    <row r="4363" spans="1:6" ht="12.75">
      <c r="A4363">
        <v>5388424</v>
      </c>
      <c r="B4363">
        <v>5388189</v>
      </c>
      <c r="C4363" t="s">
        <v>12</v>
      </c>
      <c r="D4363" t="s">
        <v>8</v>
      </c>
      <c r="E4363" s="2" t="str">
        <f>HYPERLINK("https://ibp.a2mac1.com/costing(costing:projects/details/8191/part/5388424)","Exterior Weatherstrip")</f>
        <v>Exterior Weatherstrip</v>
      </c>
      <c r="F4363" t="s">
        <v>5187</v>
      </c>
    </row>
    <row r="4364" spans="1:6" ht="12.75">
      <c r="A4364">
        <v>6975408</v>
      </c>
      <c r="B4364">
        <v>5388424</v>
      </c>
      <c r="C4364" t="s">
        <v>99</v>
      </c>
      <c r="D4364" t="s">
        <v>12</v>
      </c>
      <c r="E4364" s="2" t="str">
        <f>HYPERLINK("https://ibp.a2mac1.com/costing(costing:projects/details/8191/process/6975408)","Seal Extrusion")</f>
        <v>Seal Extrusion</v>
      </c>
      <c r="F4364" t="s">
        <v>5213</v>
      </c>
    </row>
    <row r="4365" spans="1:6" ht="12.75">
      <c r="A4365">
        <v>5319805</v>
      </c>
      <c r="B4365">
        <v>6975408</v>
      </c>
      <c r="C4365" t="s">
        <v>24</v>
      </c>
      <c r="D4365" t="s">
        <v>99</v>
      </c>
      <c r="E4365" s="2" t="str">
        <f>HYPERLINK("https://ibp.a2mac1.com/costing(costing:projects/details/8191/material/5319805)","EPDM")</f>
        <v>EPDM</v>
      </c>
      <c r="F4365" t="s">
        <v>5214</v>
      </c>
    </row>
    <row r="4366" spans="1:6" ht="12.75">
      <c r="A4366">
        <v>5319806</v>
      </c>
      <c r="B4366">
        <v>6975408</v>
      </c>
      <c r="C4366" t="s">
        <v>24</v>
      </c>
      <c r="D4366" t="s">
        <v>99</v>
      </c>
      <c r="E4366" s="2" t="str">
        <f>HYPERLINK("https://ibp.a2mac1.com/costing(costing:projects/details/8191/material/5319806)","Aluminum for extrusion (default, e.g. EN-AW6016)")</f>
        <v>Aluminum for extrusion (default, e.g. EN-AW6016)</v>
      </c>
      <c r="F4366" t="s">
        <v>5214</v>
      </c>
    </row>
    <row r="4367" spans="1:6" ht="12.75">
      <c r="A4367">
        <v>6947990</v>
      </c>
      <c r="B4367">
        <v>6975408</v>
      </c>
      <c r="C4367" t="s">
        <v>189</v>
      </c>
      <c r="D4367" t="s">
        <v>99</v>
      </c>
      <c r="E4367" s="2" t="str">
        <f>HYPERLINK("https://ibp.a2mac1.com/costing(costing:projects/details/8191/equipment/6947990)","Rubber Extrusion machine")</f>
        <v>Rubber Extrusion machine</v>
      </c>
      <c r="F4367" t="s">
        <v>5214</v>
      </c>
    </row>
    <row r="4368" spans="1:6" ht="12.75">
      <c r="A4368">
        <v>5388190</v>
      </c>
      <c r="B4368">
        <v>5388134</v>
      </c>
      <c r="C4368" t="s">
        <v>8</v>
      </c>
      <c r="D4368" t="s">
        <v>8</v>
      </c>
      <c r="E4368" s="2" t="str">
        <f>HYPERLINK("https://ibp.a2mac1.com/costing(costing:projects/details/8191/assembly/5388190)","Hinges")</f>
        <v>Hinges</v>
      </c>
      <c r="F4368" t="s">
        <v>5036</v>
      </c>
    </row>
    <row r="4369" spans="1:6" ht="12.75">
      <c r="A4369">
        <v>5388427</v>
      </c>
      <c r="B4369">
        <v>5388190</v>
      </c>
      <c r="C4369" t="s">
        <v>8</v>
      </c>
      <c r="D4369" t="s">
        <v>8</v>
      </c>
      <c r="E4369" s="2" t="str">
        <f>HYPERLINK("https://ibp.a2mac1.com/costing(costing:projects/details/8191/assembly/5388427)","Upper")</f>
        <v>Upper</v>
      </c>
      <c r="F4369" t="s">
        <v>5217</v>
      </c>
    </row>
    <row r="4370" spans="1:6" ht="12.75">
      <c r="A4370">
        <v>5388809</v>
      </c>
      <c r="B4370">
        <v>5388427</v>
      </c>
      <c r="C4370" t="s">
        <v>8</v>
      </c>
      <c r="D4370" t="s">
        <v>8</v>
      </c>
      <c r="E4370" s="2" t="str">
        <f>HYPERLINK("https://ibp.a2mac1.com/costing(costing:projects/details/8191/assembly/5388809)","On Body")</f>
        <v>On Body</v>
      </c>
      <c r="F4370" t="s">
        <v>5218</v>
      </c>
    </row>
    <row r="4371" spans="1:6" ht="12.75">
      <c r="A4371">
        <v>5389170</v>
      </c>
      <c r="B4371">
        <v>5388809</v>
      </c>
      <c r="C4371" t="s">
        <v>12</v>
      </c>
      <c r="D4371" t="s">
        <v>8</v>
      </c>
      <c r="E4371" s="2" t="str">
        <f>HYPERLINK("https://ibp.a2mac1.com/costing(costing:projects/details/8191/part/5389170)","Part 01 single/main")</f>
        <v>Part 01 single/main</v>
      </c>
      <c r="F4371" t="s">
        <v>5219</v>
      </c>
    </row>
    <row r="4372" spans="1:6" ht="12.75">
      <c r="A4372">
        <v>6975812</v>
      </c>
      <c r="B4372">
        <v>5389170</v>
      </c>
      <c r="C4372" t="s">
        <v>99</v>
      </c>
      <c r="D4372" t="s">
        <v>12</v>
      </c>
      <c r="E4372" s="2" t="str">
        <f>HYPERLINK("https://ibp.a2mac1.com/costing(costing:projects/details/8191/process/6975812)","Manufacturing Process")</f>
        <v>Manufacturing Process</v>
      </c>
      <c r="F4372" t="s">
        <v>5220</v>
      </c>
    </row>
    <row r="4373" spans="1:6" ht="12.75">
      <c r="A4373">
        <v>5320256</v>
      </c>
      <c r="B4373">
        <v>6975812</v>
      </c>
      <c r="C4373" t="s">
        <v>24</v>
      </c>
      <c r="D4373" t="s">
        <v>99</v>
      </c>
      <c r="E4373" s="2" t="str">
        <f>HYPERLINK("https://ibp.a2mac1.com/costing(costing:projects/details/8191/material/5320256)","Standard Structural Steel sheet")</f>
        <v>Standard Structural Steel sheet</v>
      </c>
      <c r="F4373" t="s">
        <v>5223</v>
      </c>
    </row>
    <row r="4374" spans="1:6" ht="12.75">
      <c r="A4374">
        <v>6948407</v>
      </c>
      <c r="B4374">
        <v>6975812</v>
      </c>
      <c r="C4374" t="s">
        <v>189</v>
      </c>
      <c r="D4374" t="s">
        <v>99</v>
      </c>
      <c r="E4374" s="2" t="str">
        <f>HYPERLINK("https://ibp.a2mac1.com/costing(costing:projects/details/8191/equipment/6948407)","Equipment (Casting)")</f>
        <v>Equipment (Casting)</v>
      </c>
      <c r="F4374" t="s">
        <v>5223</v>
      </c>
    </row>
    <row r="4375" spans="1:6" ht="12.75">
      <c r="A4375">
        <v>5388810</v>
      </c>
      <c r="B4375">
        <v>5388427</v>
      </c>
      <c r="C4375" t="s">
        <v>8</v>
      </c>
      <c r="D4375" t="s">
        <v>8</v>
      </c>
      <c r="E4375" s="2" t="str">
        <f>HYPERLINK("https://ibp.a2mac1.com/costing(costing:projects/details/8191/assembly/5388810)","On Door")</f>
        <v>On Door</v>
      </c>
      <c r="F4375" t="s">
        <v>5218</v>
      </c>
    </row>
    <row r="4376" spans="1:6" ht="12.75">
      <c r="A4376">
        <v>5389171</v>
      </c>
      <c r="B4376">
        <v>5388810</v>
      </c>
      <c r="C4376" t="s">
        <v>12</v>
      </c>
      <c r="D4376" t="s">
        <v>8</v>
      </c>
      <c r="E4376" s="2" t="str">
        <f>HYPERLINK("https://ibp.a2mac1.com/costing(costing:projects/details/8191/part/5389171)","Part 01 single/main")</f>
        <v>Part 01 single/main</v>
      </c>
      <c r="F4376" t="s">
        <v>5225</v>
      </c>
    </row>
    <row r="4377" spans="1:6" ht="12.75">
      <c r="A4377">
        <v>6975813</v>
      </c>
      <c r="B4377">
        <v>5389171</v>
      </c>
      <c r="C4377" t="s">
        <v>99</v>
      </c>
      <c r="D4377" t="s">
        <v>12</v>
      </c>
      <c r="E4377" s="2" t="str">
        <f>HYPERLINK("https://ibp.a2mac1.com/costing(costing:projects/details/8191/process/6975813)","Manufacturing Process")</f>
        <v>Manufacturing Process</v>
      </c>
      <c r="F4377" t="s">
        <v>5226</v>
      </c>
    </row>
    <row r="4378" spans="1:6" ht="12.75">
      <c r="A4378">
        <v>5320257</v>
      </c>
      <c r="B4378">
        <v>6975813</v>
      </c>
      <c r="C4378" t="s">
        <v>24</v>
      </c>
      <c r="D4378" t="s">
        <v>99</v>
      </c>
      <c r="E4378" s="2" t="str">
        <f>HYPERLINK("https://ibp.a2mac1.com/costing(costing:projects/details/8191/material/5320257)","Standard Structural Steel sheet")</f>
        <v>Standard Structural Steel sheet</v>
      </c>
      <c r="F4378" t="s">
        <v>5228</v>
      </c>
    </row>
    <row r="4379" spans="1:6" ht="12.75">
      <c r="A4379">
        <v>6948408</v>
      </c>
      <c r="B4379">
        <v>6975813</v>
      </c>
      <c r="C4379" t="s">
        <v>189</v>
      </c>
      <c r="D4379" t="s">
        <v>99</v>
      </c>
      <c r="E4379" s="2" t="str">
        <f>HYPERLINK("https://ibp.a2mac1.com/costing(costing:projects/details/8191/equipment/6948408)","Equipment (Casting)")</f>
        <v>Equipment (Casting)</v>
      </c>
      <c r="F4379" t="s">
        <v>5228</v>
      </c>
    </row>
    <row r="4380" spans="1:6" ht="12.75">
      <c r="A4380">
        <v>5388811</v>
      </c>
      <c r="B4380">
        <v>5388427</v>
      </c>
      <c r="C4380" t="s">
        <v>8</v>
      </c>
      <c r="D4380" t="s">
        <v>8</v>
      </c>
      <c r="E4380" s="2" t="str">
        <f>HYPERLINK("https://ibp.a2mac1.com/costing(costing:projects/details/8191/assembly/5388811)","Fastners")</f>
        <v>Fastners</v>
      </c>
      <c r="F4380" t="s">
        <v>5218</v>
      </c>
    </row>
    <row r="4381" spans="1:6" ht="12.75">
      <c r="A4381">
        <v>5319807</v>
      </c>
      <c r="B4381">
        <v>5388811</v>
      </c>
      <c r="C4381" t="s">
        <v>574</v>
      </c>
      <c r="D4381" t="s">
        <v>8</v>
      </c>
      <c r="E4381" s="2" t="str">
        <f>HYPERLINK("https://ibp.a2mac1.com/costing(costing:projects/details/8191/component/5319807)","Screw &gt; Hexagon screw with flange")</f>
        <v>Screw &gt; Hexagon screw with flange</v>
      </c>
      <c r="F4381" t="s">
        <v>5230</v>
      </c>
    </row>
    <row r="4382" spans="1:6" ht="12.75">
      <c r="A4382">
        <v>5319808</v>
      </c>
      <c r="B4382">
        <v>5388811</v>
      </c>
      <c r="C4382" t="s">
        <v>574</v>
      </c>
      <c r="D4382" t="s">
        <v>8</v>
      </c>
      <c r="E4382" s="2" t="str">
        <f>HYPERLINK("https://ibp.a2mac1.com/costing(costing:projects/details/8191/component/5319808)","Screw &gt; Torx screw")</f>
        <v>Screw &gt; Torx screw</v>
      </c>
      <c r="F4382" t="s">
        <v>5230</v>
      </c>
    </row>
    <row r="4383" spans="1:6" ht="12.75">
      <c r="A4383">
        <v>5388435</v>
      </c>
      <c r="B4383">
        <v>5388190</v>
      </c>
      <c r="C4383" t="s">
        <v>8</v>
      </c>
      <c r="D4383" t="s">
        <v>8</v>
      </c>
      <c r="E4383" s="2" t="str">
        <f>HYPERLINK("https://ibp.a2mac1.com/costing(costing:projects/details/8191/assembly/5388435)","Lower")</f>
        <v>Lower</v>
      </c>
      <c r="F4383" t="s">
        <v>5217</v>
      </c>
    </row>
    <row r="4384" spans="1:6" ht="12.75">
      <c r="A4384">
        <v>5388812</v>
      </c>
      <c r="B4384">
        <v>5388435</v>
      </c>
      <c r="C4384" t="s">
        <v>8</v>
      </c>
      <c r="D4384" t="s">
        <v>8</v>
      </c>
      <c r="E4384" s="2" t="str">
        <f>HYPERLINK("https://ibp.a2mac1.com/costing(costing:projects/details/8191/assembly/5388812)","On Body")</f>
        <v>On Body</v>
      </c>
      <c r="F4384" t="s">
        <v>5232</v>
      </c>
    </row>
    <row r="4385" spans="1:6" ht="12.75">
      <c r="A4385">
        <v>5389172</v>
      </c>
      <c r="B4385">
        <v>5388812</v>
      </c>
      <c r="C4385" t="s">
        <v>12</v>
      </c>
      <c r="D4385" t="s">
        <v>8</v>
      </c>
      <c r="E4385" s="2" t="str">
        <f>HYPERLINK("https://ibp.a2mac1.com/costing(costing:projects/details/8191/part/5389172)","Part 01 single/main")</f>
        <v>Part 01 single/main</v>
      </c>
      <c r="F4385" t="s">
        <v>5233</v>
      </c>
    </row>
    <row r="4386" spans="1:6" ht="12.75">
      <c r="A4386">
        <v>6975814</v>
      </c>
      <c r="B4386">
        <v>5389172</v>
      </c>
      <c r="C4386" t="s">
        <v>99</v>
      </c>
      <c r="D4386" t="s">
        <v>12</v>
      </c>
      <c r="E4386" s="2" t="str">
        <f>HYPERLINK("https://ibp.a2mac1.com/costing(costing:projects/details/8191/process/6975814)","Manufacturing Process")</f>
        <v>Manufacturing Process</v>
      </c>
      <c r="F4386" t="s">
        <v>5234</v>
      </c>
    </row>
    <row r="4387" spans="1:6" ht="12.75">
      <c r="A4387">
        <v>5320258</v>
      </c>
      <c r="B4387">
        <v>6975814</v>
      </c>
      <c r="C4387" t="s">
        <v>24</v>
      </c>
      <c r="D4387" t="s">
        <v>99</v>
      </c>
      <c r="E4387" s="2" t="str">
        <f>HYPERLINK("https://ibp.a2mac1.com/costing(costing:projects/details/8191/material/5320258)","Standard Structural Steel sheet")</f>
        <v>Standard Structural Steel sheet</v>
      </c>
      <c r="F4387" t="s">
        <v>5235</v>
      </c>
    </row>
    <row r="4388" spans="1:6" ht="12.75">
      <c r="A4388">
        <v>6948409</v>
      </c>
      <c r="B4388">
        <v>6975814</v>
      </c>
      <c r="C4388" t="s">
        <v>189</v>
      </c>
      <c r="D4388" t="s">
        <v>99</v>
      </c>
      <c r="E4388" s="2" t="str">
        <f>HYPERLINK("https://ibp.a2mac1.com/costing(costing:projects/details/8191/equipment/6948409)","Equipment (Casting)")</f>
        <v>Equipment (Casting)</v>
      </c>
      <c r="F4388" t="s">
        <v>5235</v>
      </c>
    </row>
    <row r="4389" spans="1:6" ht="12.75">
      <c r="A4389">
        <v>5388813</v>
      </c>
      <c r="B4389">
        <v>5388435</v>
      </c>
      <c r="C4389" t="s">
        <v>8</v>
      </c>
      <c r="D4389" t="s">
        <v>8</v>
      </c>
      <c r="E4389" s="2" t="str">
        <f>HYPERLINK("https://ibp.a2mac1.com/costing(costing:projects/details/8191/assembly/5388813)","On Door")</f>
        <v>On Door</v>
      </c>
      <c r="F4389" t="s">
        <v>5232</v>
      </c>
    </row>
    <row r="4390" spans="1:6" ht="12.75">
      <c r="A4390">
        <v>5389173</v>
      </c>
      <c r="B4390">
        <v>5388813</v>
      </c>
      <c r="C4390" t="s">
        <v>12</v>
      </c>
      <c r="D4390" t="s">
        <v>8</v>
      </c>
      <c r="E4390" s="2" t="str">
        <f>HYPERLINK("https://ibp.a2mac1.com/costing(costing:projects/details/8191/part/5389173)","Part 01 single/main")</f>
        <v>Part 01 single/main</v>
      </c>
      <c r="F4390" t="s">
        <v>5237</v>
      </c>
    </row>
    <row r="4391" spans="1:6" ht="12.75">
      <c r="A4391">
        <v>6975815</v>
      </c>
      <c r="B4391">
        <v>5389173</v>
      </c>
      <c r="C4391" t="s">
        <v>99</v>
      </c>
      <c r="D4391" t="s">
        <v>12</v>
      </c>
      <c r="E4391" s="2" t="str">
        <f>HYPERLINK("https://ibp.a2mac1.com/costing(costing:projects/details/8191/process/6975815)","Manufacturing Process")</f>
        <v>Manufacturing Process</v>
      </c>
      <c r="F4391" t="s">
        <v>5238</v>
      </c>
    </row>
    <row r="4392" spans="1:6" ht="12.75">
      <c r="A4392">
        <v>5320259</v>
      </c>
      <c r="B4392">
        <v>6975815</v>
      </c>
      <c r="C4392" t="s">
        <v>24</v>
      </c>
      <c r="D4392" t="s">
        <v>99</v>
      </c>
      <c r="E4392" s="2" t="str">
        <f>HYPERLINK("https://ibp.a2mac1.com/costing(costing:projects/details/8191/material/5320259)","Standard Structural Steel sheet")</f>
        <v>Standard Structural Steel sheet</v>
      </c>
      <c r="F4392" t="s">
        <v>5240</v>
      </c>
    </row>
    <row r="4393" spans="1:6" ht="12.75">
      <c r="A4393">
        <v>6948410</v>
      </c>
      <c r="B4393">
        <v>6975815</v>
      </c>
      <c r="C4393" t="s">
        <v>189</v>
      </c>
      <c r="D4393" t="s">
        <v>99</v>
      </c>
      <c r="E4393" s="2" t="str">
        <f>HYPERLINK("https://ibp.a2mac1.com/costing(costing:projects/details/8191/equipment/6948410)","Equipment (Casting)")</f>
        <v>Equipment (Casting)</v>
      </c>
      <c r="F4393" t="s">
        <v>5240</v>
      </c>
    </row>
    <row r="4394" spans="1:6" ht="12.75">
      <c r="A4394">
        <v>5388814</v>
      </c>
      <c r="B4394">
        <v>5388435</v>
      </c>
      <c r="C4394" t="s">
        <v>8</v>
      </c>
      <c r="D4394" t="s">
        <v>8</v>
      </c>
      <c r="E4394" s="2" t="str">
        <f>HYPERLINK("https://ibp.a2mac1.com/costing(costing:projects/details/8191/assembly/5388814)","Fastners")</f>
        <v>Fastners</v>
      </c>
      <c r="F4394" t="s">
        <v>5232</v>
      </c>
    </row>
    <row r="4395" spans="1:6" ht="12.75">
      <c r="A4395">
        <v>5319809</v>
      </c>
      <c r="B4395">
        <v>5388814</v>
      </c>
      <c r="C4395" t="s">
        <v>574</v>
      </c>
      <c r="D4395" t="s">
        <v>8</v>
      </c>
      <c r="E4395" s="2" t="str">
        <f>HYPERLINK("https://ibp.a2mac1.com/costing(costing:projects/details/8191/component/5319809)","Screw &gt; 12 point socket head cap screw with flange")</f>
        <v>Screw &gt; 12 point socket head cap screw with flange</v>
      </c>
      <c r="F4395" t="s">
        <v>5242</v>
      </c>
    </row>
    <row r="4396" spans="1:6" ht="12.75">
      <c r="A4396">
        <v>5319810</v>
      </c>
      <c r="B4396">
        <v>5388814</v>
      </c>
      <c r="C4396" t="s">
        <v>574</v>
      </c>
      <c r="D4396" t="s">
        <v>8</v>
      </c>
      <c r="E4396" s="2" t="str">
        <f>HYPERLINK("https://ibp.a2mac1.com/costing(costing:projects/details/8191/component/5319810)","Screw &gt; Torx screw")</f>
        <v>Screw &gt; Torx screw</v>
      </c>
      <c r="F4396" t="s">
        <v>5242</v>
      </c>
    </row>
    <row r="4397" spans="1:6" ht="12.75">
      <c r="A4397">
        <v>5388438</v>
      </c>
      <c r="B4397">
        <v>5388190</v>
      </c>
      <c r="C4397" t="s">
        <v>8</v>
      </c>
      <c r="D4397" t="s">
        <v>8</v>
      </c>
      <c r="E4397" s="2" t="str">
        <f>HYPERLINK("https://ibp.a2mac1.com/costing(costing:projects/details/8191/assembly/5388438)","Fastners")</f>
        <v>Fastners</v>
      </c>
      <c r="F4397" t="s">
        <v>5217</v>
      </c>
    </row>
    <row r="4398" spans="1:6" ht="12.75">
      <c r="A4398">
        <v>5319571</v>
      </c>
      <c r="B4398">
        <v>5388438</v>
      </c>
      <c r="C4398" t="s">
        <v>574</v>
      </c>
      <c r="D4398" t="s">
        <v>8</v>
      </c>
      <c r="E4398" s="2" t="str">
        <f>HYPERLINK("https://ibp.a2mac1.com/costing(costing:projects/details/8191/component/5319571)","Screw &gt; Torx socket head cap screw with captive washer")</f>
        <v>Screw &gt; Torx socket head cap screw with captive washer</v>
      </c>
      <c r="F4398" t="s">
        <v>5244</v>
      </c>
    </row>
    <row r="4399" spans="1:6" ht="12.75">
      <c r="A4399">
        <v>5388426</v>
      </c>
      <c r="B4399">
        <v>5388190</v>
      </c>
      <c r="C4399" t="s">
        <v>12</v>
      </c>
      <c r="D4399" t="s">
        <v>8</v>
      </c>
      <c r="E4399" s="2" t="str">
        <f>HYPERLINK("https://ibp.a2mac1.com/costing(costing:projects/details/8191/part/5388426)","Door Stopper")</f>
        <v>Door Stopper</v>
      </c>
      <c r="F4399" t="s">
        <v>5217</v>
      </c>
    </row>
    <row r="4400" spans="1:6" ht="12.75">
      <c r="A4400">
        <v>5388191</v>
      </c>
      <c r="B4400">
        <v>5388134</v>
      </c>
      <c r="C4400" t="s">
        <v>8</v>
      </c>
      <c r="D4400" t="s">
        <v>8</v>
      </c>
      <c r="E4400" s="2" t="str">
        <f>HYPERLINK("https://ibp.a2mac1.com/costing(costing:projects/details/8191/assembly/5388191)","Power System")</f>
        <v>Power System</v>
      </c>
      <c r="F4400" t="s">
        <v>5036</v>
      </c>
    </row>
    <row r="4401" spans="1:6" ht="12.75">
      <c r="A4401">
        <v>5388446</v>
      </c>
      <c r="B4401">
        <v>5388191</v>
      </c>
      <c r="C4401" t="s">
        <v>8</v>
      </c>
      <c r="D4401" t="s">
        <v>8</v>
      </c>
      <c r="E4401" s="2" t="str">
        <f>HYPERLINK("https://ibp.a2mac1.com/costing(costing:projects/details/8191/assembly/5388446)","Door ECU")</f>
        <v>Door ECU</v>
      </c>
      <c r="F4401" t="s">
        <v>5248</v>
      </c>
    </row>
    <row r="4402" spans="1:6" ht="12.75">
      <c r="A4402">
        <v>6975409</v>
      </c>
      <c r="B4402">
        <v>5388446</v>
      </c>
      <c r="C4402" t="s">
        <v>99</v>
      </c>
      <c r="D4402" t="s">
        <v>8</v>
      </c>
      <c r="E4402" s="2" t="str">
        <f>HYPERLINK("https://ibp.a2mac1.com/costing(costing:projects/details/8191/process/6975409)","Process")</f>
        <v>Process</v>
      </c>
      <c r="F4402" t="s">
        <v>5249</v>
      </c>
    </row>
    <row r="4403" spans="1:6" ht="12.75">
      <c r="A4403">
        <v>6947991</v>
      </c>
      <c r="B4403">
        <v>6975409</v>
      </c>
      <c r="C4403" t="s">
        <v>189</v>
      </c>
      <c r="D4403" t="s">
        <v>99</v>
      </c>
      <c r="E4403" s="2" t="str">
        <f>HYPERLINK("https://ibp.a2mac1.com/costing(costing:projects/details/8191/equipment/6947991)","Dummy Machine (PCBA+Final Assembly Line)")</f>
        <v>Dummy Machine (PCBA+Final Assembly Line)</v>
      </c>
      <c r="F4403" t="s">
        <v>5250</v>
      </c>
    </row>
    <row r="4404" spans="1:6" ht="12.75">
      <c r="A4404">
        <v>5319572</v>
      </c>
      <c r="B4404">
        <v>5388446</v>
      </c>
      <c r="C4404" t="s">
        <v>574</v>
      </c>
      <c r="D4404" t="s">
        <v>8</v>
      </c>
      <c r="E4404" s="2" t="str">
        <f>HYPERLINK("https://ibp.a2mac1.com/costing(costing:projects/details/8191/component/5319572)","Electronics")</f>
        <v>Electronics</v>
      </c>
      <c r="F4404" t="s">
        <v>5249</v>
      </c>
    </row>
    <row r="4405" spans="1:6" ht="12.75">
      <c r="A4405">
        <v>5319573</v>
      </c>
      <c r="B4405">
        <v>5388446</v>
      </c>
      <c r="C4405" t="s">
        <v>574</v>
      </c>
      <c r="D4405" t="s">
        <v>8</v>
      </c>
      <c r="E4405" s="2" t="str">
        <f>HYPERLINK("https://ibp.a2mac1.com/costing(costing:projects/details/8191/component/5319573)","Mechanics")</f>
        <v>Mechanics</v>
      </c>
      <c r="F4405" t="s">
        <v>5249</v>
      </c>
    </row>
    <row r="4406" spans="1:6" ht="12.75">
      <c r="A4406">
        <v>5388447</v>
      </c>
      <c r="B4406">
        <v>5388191</v>
      </c>
      <c r="C4406" t="s">
        <v>8</v>
      </c>
      <c r="D4406" t="s">
        <v>8</v>
      </c>
      <c r="E4406" s="2" t="str">
        <f>HYPERLINK("https://ibp.a2mac1.com/costing(costing:projects/details/8191/assembly/5388447)","Fastners")</f>
        <v>Fastners</v>
      </c>
      <c r="F4406" t="s">
        <v>5248</v>
      </c>
    </row>
    <row r="4407" spans="1:6" ht="12.75">
      <c r="A4407">
        <v>5319574</v>
      </c>
      <c r="B4407">
        <v>5388447</v>
      </c>
      <c r="C4407" t="s">
        <v>574</v>
      </c>
      <c r="D4407" t="s">
        <v>8</v>
      </c>
      <c r="E4407" s="2" t="str">
        <f>HYPERLINK("https://ibp.a2mac1.com/costing(costing:projects/details/8191/component/5319574)","Tube/cluster support &gt; Tube/cluster beribboned support on board side")</f>
        <v>Tube/cluster support &gt; Tube/cluster beribboned support on board side</v>
      </c>
      <c r="F4407" t="s">
        <v>5252</v>
      </c>
    </row>
    <row r="4408" spans="1:6" ht="12.75">
      <c r="A4408">
        <v>5319575</v>
      </c>
      <c r="B4408">
        <v>5388447</v>
      </c>
      <c r="C4408" t="s">
        <v>574</v>
      </c>
      <c r="D4408" t="s">
        <v>8</v>
      </c>
      <c r="E4408" s="2" t="str">
        <f>HYPERLINK("https://ibp.a2mac1.com/costing(costing:projects/details/8191/component/5319575)","Tube/cluster support &gt; Tube/cluster beribboned support in hole")</f>
        <v>Tube/cluster support &gt; Tube/cluster beribboned support in hole</v>
      </c>
      <c r="F4408" t="s">
        <v>5252</v>
      </c>
    </row>
    <row r="4409" spans="1:6" ht="12.75">
      <c r="A4409">
        <v>5388440</v>
      </c>
      <c r="B4409">
        <v>5388191</v>
      </c>
      <c r="C4409" t="s">
        <v>12</v>
      </c>
      <c r="D4409" t="s">
        <v>8</v>
      </c>
      <c r="E4409" s="2" t="str">
        <f>HYPERLINK("https://ibp.a2mac1.com/costing(costing:projects/details/8191/part/5388440)","Harness")</f>
        <v>Harness</v>
      </c>
      <c r="F4409" t="s">
        <v>5248</v>
      </c>
    </row>
    <row r="4410" spans="1:6" ht="12.75">
      <c r="A4410">
        <v>5388442</v>
      </c>
      <c r="B4410">
        <v>5388191</v>
      </c>
      <c r="C4410" t="s">
        <v>12</v>
      </c>
      <c r="D4410" t="s">
        <v>8</v>
      </c>
      <c r="E4410" s="2" t="str">
        <f>HYPERLINK("https://ibp.a2mac1.com/costing(costing:projects/details/8191/part/5388442)","2nd Harness   Audio")</f>
        <v>2nd Harness   Audio</v>
      </c>
      <c r="F4410" t="s">
        <v>5248</v>
      </c>
    </row>
    <row r="4411" spans="1:6" ht="12.75">
      <c r="A4411">
        <v>5388443</v>
      </c>
      <c r="B4411">
        <v>5388191</v>
      </c>
      <c r="C4411" t="s">
        <v>12</v>
      </c>
      <c r="D4411" t="s">
        <v>8</v>
      </c>
      <c r="E4411" s="2" t="str">
        <f>HYPERLINK("https://ibp.a2mac1.com/costing(costing:projects/details/8191/part/5388443)","3rd Harness")</f>
        <v>3rd Harness</v>
      </c>
      <c r="F4411" t="s">
        <v>5248</v>
      </c>
    </row>
    <row r="4412" spans="1:6" ht="12.75">
      <c r="A4412">
        <v>5388444</v>
      </c>
      <c r="B4412">
        <v>5388191</v>
      </c>
      <c r="C4412" t="s">
        <v>12</v>
      </c>
      <c r="D4412" t="s">
        <v>8</v>
      </c>
      <c r="E4412" s="2" t="str">
        <f>HYPERLINK("https://ibp.a2mac1.com/costing(costing:projects/details/8191/part/5388444)","Harness Grommet")</f>
        <v>Harness Grommet</v>
      </c>
      <c r="F4412" t="s">
        <v>5248</v>
      </c>
    </row>
    <row r="4413" spans="1:6" ht="12.75">
      <c r="A4413">
        <v>5388445</v>
      </c>
      <c r="B4413">
        <v>5388191</v>
      </c>
      <c r="C4413" t="s">
        <v>12</v>
      </c>
      <c r="D4413" t="s">
        <v>8</v>
      </c>
      <c r="E4413" s="2" t="str">
        <f>HYPERLINK("https://ibp.a2mac1.com/costing(costing:projects/details/8191/part/5388445)","2nd Harness Grommet")</f>
        <v>2nd Harness Grommet</v>
      </c>
      <c r="F4413" t="s">
        <v>5248</v>
      </c>
    </row>
    <row r="4414" spans="1:6" ht="12.75">
      <c r="A4414">
        <v>5388192</v>
      </c>
      <c r="B4414">
        <v>5388134</v>
      </c>
      <c r="C4414" t="s">
        <v>8</v>
      </c>
      <c r="D4414" t="s">
        <v>8</v>
      </c>
      <c r="E4414" s="2" t="str">
        <f>HYPERLINK("https://ibp.a2mac1.com/costing(costing:projects/details/8191/assembly/5388192)","Molding System")</f>
        <v>Molding System</v>
      </c>
      <c r="F4414" t="s">
        <v>5036</v>
      </c>
    </row>
    <row r="4415" spans="1:6" ht="12.75">
      <c r="A4415">
        <v>5388450</v>
      </c>
      <c r="B4415">
        <v>5388192</v>
      </c>
      <c r="C4415" t="s">
        <v>8</v>
      </c>
      <c r="D4415" t="s">
        <v>8</v>
      </c>
      <c r="E4415" s="2" t="str">
        <f>HYPERLINK("https://ibp.a2mac1.com/costing(costing:projects/details/8191/assembly/5388450)","Fastners")</f>
        <v>Fastners</v>
      </c>
      <c r="F4415" t="s">
        <v>5261</v>
      </c>
    </row>
    <row r="4416" spans="1:6" ht="12.75">
      <c r="A4416">
        <v>5319576</v>
      </c>
      <c r="B4416">
        <v>5388450</v>
      </c>
      <c r="C4416" t="s">
        <v>574</v>
      </c>
      <c r="D4416" t="s">
        <v>8</v>
      </c>
      <c r="E4416" s="2" t="str">
        <f>HYPERLINK("https://ibp.a2mac1.com/costing(costing:projects/details/8191/component/5319576)","Panel holder &gt; Clips in round hole")</f>
        <v>Panel holder &gt; Clips in round hole</v>
      </c>
      <c r="F4416" t="s">
        <v>5262</v>
      </c>
    </row>
    <row r="4417" spans="1:6" ht="12.75">
      <c r="A4417">
        <v>5319577</v>
      </c>
      <c r="B4417">
        <v>5388450</v>
      </c>
      <c r="C4417" t="s">
        <v>574</v>
      </c>
      <c r="D4417" t="s">
        <v>8</v>
      </c>
      <c r="E4417" s="2" t="str">
        <f>HYPERLINK("https://ibp.a2mac1.com/costing(costing:projects/details/8191/component/5319577)","Rivet &gt; Screw rivet")</f>
        <v>Rivet &gt; Screw rivet</v>
      </c>
      <c r="F4417" t="s">
        <v>5262</v>
      </c>
    </row>
    <row r="4418" spans="1:6" ht="12.75">
      <c r="A4418">
        <v>5388448</v>
      </c>
      <c r="B4418">
        <v>5388192</v>
      </c>
      <c r="C4418" t="s">
        <v>12</v>
      </c>
      <c r="D4418" t="s">
        <v>8</v>
      </c>
      <c r="E4418" s="2" t="str">
        <f>HYPERLINK("https://ibp.a2mac1.com/costing(costing:projects/details/8191/part/5388448)","Door Molding")</f>
        <v>Door Molding</v>
      </c>
      <c r="F4418" t="s">
        <v>5261</v>
      </c>
    </row>
    <row r="4419" spans="1:6" ht="12.75">
      <c r="A4419">
        <v>6975410</v>
      </c>
      <c r="B4419">
        <v>5388448</v>
      </c>
      <c r="C4419" t="s">
        <v>99</v>
      </c>
      <c r="D4419" t="s">
        <v>12</v>
      </c>
      <c r="E4419" s="2" t="str">
        <f>HYPERLINK("https://ibp.a2mac1.com/costing(costing:projects/details/8191/process/6975410)","Injection molding")</f>
        <v>Injection molding</v>
      </c>
      <c r="F4419" t="s">
        <v>5263</v>
      </c>
    </row>
    <row r="4420" spans="1:6" ht="12.75">
      <c r="A4420">
        <v>5319811</v>
      </c>
      <c r="B4420">
        <v>6975410</v>
      </c>
      <c r="C4420" t="s">
        <v>24</v>
      </c>
      <c r="D4420" t="s">
        <v>99</v>
      </c>
      <c r="E4420" s="2" t="str">
        <f>HYPERLINK("https://ibp.a2mac1.com/costing(costing:projects/details/8191/material/5319811)","PP-TD20")</f>
        <v>PP-TD20</v>
      </c>
      <c r="F4420" t="s">
        <v>5266</v>
      </c>
    </row>
    <row r="4421" spans="1:6" ht="12.75">
      <c r="A4421">
        <v>6947992</v>
      </c>
      <c r="B4421">
        <v>6975410</v>
      </c>
      <c r="C4421" t="s">
        <v>189</v>
      </c>
      <c r="D4421" t="s">
        <v>99</v>
      </c>
      <c r="E4421" s="2" t="str">
        <f>HYPERLINK("https://ibp.a2mac1.com/costing(costing:projects/details/8191/equipment/6947992)","No.10 - Injection Press - 500T - 98kW - 900x900 - Max Volume 1936cm3 ")</f>
        <v xml:space="preserve">No.10 - Injection Press - 500T - 98kW - 900x900 - Max Volume 1936cm3 </v>
      </c>
      <c r="F4421" t="s">
        <v>5266</v>
      </c>
    </row>
    <row r="4422" spans="1:6" ht="12.75">
      <c r="A4422">
        <v>6975411</v>
      </c>
      <c r="B4422">
        <v>5388448</v>
      </c>
      <c r="C4422" t="s">
        <v>99</v>
      </c>
      <c r="D4422" t="s">
        <v>12</v>
      </c>
      <c r="E4422" s="2" t="str">
        <f>HYPERLINK("https://ibp.a2mac1.com/costing(costing:projects/details/8191/process/6975411)","Handling/Visual Inspection/Packaging")</f>
        <v>Handling/Visual Inspection/Packaging</v>
      </c>
      <c r="F4422" t="s">
        <v>5263</v>
      </c>
    </row>
    <row r="4423" spans="1:6" ht="12.75">
      <c r="A4423">
        <v>6947993</v>
      </c>
      <c r="B4423">
        <v>6975411</v>
      </c>
      <c r="C4423" t="s">
        <v>189</v>
      </c>
      <c r="D4423" t="s">
        <v>99</v>
      </c>
      <c r="E4423" s="2" t="str">
        <f>HYPERLINK("https://ibp.a2mac1.com/costing(costing:projects/details/8191/equipment/6947993)","Packaging")</f>
        <v>Packaging</v>
      </c>
      <c r="F4423" t="s">
        <v>5267</v>
      </c>
    </row>
    <row r="4424" spans="1:6" ht="12.75">
      <c r="A4424">
        <v>5388449</v>
      </c>
      <c r="B4424">
        <v>5388192</v>
      </c>
      <c r="C4424" t="s">
        <v>12</v>
      </c>
      <c r="D4424" t="s">
        <v>8</v>
      </c>
      <c r="E4424" s="2" t="str">
        <f>HYPERLINK("https://ibp.a2mac1.com/costing(costing:projects/details/8191/part/5388449)","Upper Frame Front Exterior Trim")</f>
        <v>Upper Frame Front Exterior Trim</v>
      </c>
      <c r="F4424" t="s">
        <v>5261</v>
      </c>
    </row>
    <row r="4425" spans="1:6" ht="12.75">
      <c r="A4425">
        <v>6975412</v>
      </c>
      <c r="B4425">
        <v>5388449</v>
      </c>
      <c r="C4425" t="s">
        <v>99</v>
      </c>
      <c r="D4425" t="s">
        <v>12</v>
      </c>
      <c r="E4425" s="2" t="str">
        <f>HYPERLINK("https://ibp.a2mac1.com/costing(costing:projects/details/8191/process/6975412)","Injection molding")</f>
        <v>Injection molding</v>
      </c>
      <c r="F4425" t="s">
        <v>5270</v>
      </c>
    </row>
    <row r="4426" spans="1:6" ht="12.75">
      <c r="A4426">
        <v>5319812</v>
      </c>
      <c r="B4426">
        <v>6975412</v>
      </c>
      <c r="C4426" t="s">
        <v>24</v>
      </c>
      <c r="D4426" t="s">
        <v>99</v>
      </c>
      <c r="E4426" s="2" t="str">
        <f>HYPERLINK("https://ibp.a2mac1.com/costing(costing:projects/details/8191/material/5319812)","PMMA")</f>
        <v>PMMA</v>
      </c>
      <c r="F4426" t="s">
        <v>5273</v>
      </c>
    </row>
    <row r="4427" spans="1:6" ht="12.75">
      <c r="A4427">
        <v>6947994</v>
      </c>
      <c r="B4427">
        <v>6975412</v>
      </c>
      <c r="C4427" t="s">
        <v>189</v>
      </c>
      <c r="D4427" t="s">
        <v>99</v>
      </c>
      <c r="E4427" s="2" t="str">
        <f>HYPERLINK("https://ibp.a2mac1.com/costing(costing:projects/details/8191/equipment/6947994)","No.07 - Injection Press - 250T - 63kW - 570x570 - Max Volume 958cm3 ")</f>
        <v xml:space="preserve">No.07 - Injection Press - 250T - 63kW - 570x570 - Max Volume 958cm3 </v>
      </c>
      <c r="F4427" t="s">
        <v>5273</v>
      </c>
    </row>
    <row r="4428" spans="1:6" ht="12.75">
      <c r="A4428">
        <v>6975413</v>
      </c>
      <c r="B4428">
        <v>5388449</v>
      </c>
      <c r="C4428" t="s">
        <v>99</v>
      </c>
      <c r="D4428" t="s">
        <v>12</v>
      </c>
      <c r="E4428" s="2" t="str">
        <f>HYPERLINK("https://ibp.a2mac1.com/costing(costing:projects/details/8191/process/6975413)","Handling/Visual Inspection/Packaging")</f>
        <v>Handling/Visual Inspection/Packaging</v>
      </c>
      <c r="F4428" t="s">
        <v>5270</v>
      </c>
    </row>
    <row r="4429" spans="1:6" ht="12.75">
      <c r="A4429">
        <v>6947995</v>
      </c>
      <c r="B4429">
        <v>6975413</v>
      </c>
      <c r="C4429" t="s">
        <v>189</v>
      </c>
      <c r="D4429" t="s">
        <v>99</v>
      </c>
      <c r="E4429" s="2" t="str">
        <f>HYPERLINK("https://ibp.a2mac1.com/costing(costing:projects/details/8191/equipment/6947995)","Packaging")</f>
        <v>Packaging</v>
      </c>
      <c r="F4429" t="s">
        <v>5274</v>
      </c>
    </row>
    <row r="4430" spans="1:6" ht="12.75">
      <c r="A4430">
        <v>5388193</v>
      </c>
      <c r="B4430">
        <v>5388134</v>
      </c>
      <c r="C4430" t="s">
        <v>8</v>
      </c>
      <c r="D4430" t="s">
        <v>8</v>
      </c>
      <c r="E4430" s="2" t="str">
        <f>HYPERLINK("https://ibp.a2mac1.com/costing(costing:projects/details/8191/assembly/5388193)","Power Controls")</f>
        <v>Power Controls</v>
      </c>
      <c r="F4430" t="s">
        <v>5036</v>
      </c>
    </row>
    <row r="4431" spans="1:6" ht="12.75">
      <c r="A4431">
        <v>5388451</v>
      </c>
      <c r="B4431">
        <v>5388193</v>
      </c>
      <c r="C4431" t="s">
        <v>12</v>
      </c>
      <c r="D4431" t="s">
        <v>8</v>
      </c>
      <c r="E4431" s="2" t="str">
        <f>HYPERLINK("https://ibp.a2mac1.com/costing(costing:projects/details/8191/part/5388451)","Electric window lift control")</f>
        <v>Electric window lift control</v>
      </c>
      <c r="F4431" t="s">
        <v>5277</v>
      </c>
    </row>
    <row r="4432" spans="1:6" ht="12.75">
      <c r="A4432">
        <v>5388194</v>
      </c>
      <c r="B4432">
        <v>5388134</v>
      </c>
      <c r="C4432" t="s">
        <v>8</v>
      </c>
      <c r="D4432" t="s">
        <v>8</v>
      </c>
      <c r="E4432" s="2" t="str">
        <f>HYPERLINK("https://ibp.a2mac1.com/costing(costing:projects/details/8191/assembly/5388194)","Speaker System")</f>
        <v>Speaker System</v>
      </c>
      <c r="F4432" t="s">
        <v>5036</v>
      </c>
    </row>
    <row r="4433" spans="1:6" ht="12.75">
      <c r="A4433">
        <v>5388452</v>
      </c>
      <c r="B4433">
        <v>5388194</v>
      </c>
      <c r="C4433" t="s">
        <v>12</v>
      </c>
      <c r="D4433" t="s">
        <v>8</v>
      </c>
      <c r="E4433" s="2" t="str">
        <f>HYPERLINK("https://ibp.a2mac1.com/costing(costing:projects/details/8191/part/5388452)","Speaker")</f>
        <v>Speaker</v>
      </c>
      <c r="F4433" t="s">
        <v>5280</v>
      </c>
    </row>
    <row r="4434" spans="1:6" ht="12.75">
      <c r="A4434">
        <v>5388195</v>
      </c>
      <c r="B4434">
        <v>5388134</v>
      </c>
      <c r="C4434" t="s">
        <v>8</v>
      </c>
      <c r="D4434" t="s">
        <v>8</v>
      </c>
      <c r="E4434" s="2" t="str">
        <f>HYPERLINK("https://ibp.a2mac1.com/costing(costing:projects/details/8191/assembly/5388195)","Fastners")</f>
        <v>Fastners</v>
      </c>
      <c r="F4434" t="s">
        <v>5036</v>
      </c>
    </row>
    <row r="4435" spans="1:6" ht="12.75">
      <c r="A4435">
        <v>5319464</v>
      </c>
      <c r="B4435">
        <v>5388195</v>
      </c>
      <c r="C4435" t="s">
        <v>574</v>
      </c>
      <c r="D4435" t="s">
        <v>8</v>
      </c>
      <c r="E4435" s="2" t="str">
        <f>HYPERLINK("https://ibp.a2mac1.com/costing(costing:projects/details/8191/component/5319464)","Screw &gt; Torx socket head cap screw with flange")</f>
        <v>Screw &gt; Torx socket head cap screw with flange</v>
      </c>
      <c r="F4435" t="s">
        <v>5284</v>
      </c>
    </row>
    <row r="4436" spans="1:6" ht="12.75">
      <c r="A4436">
        <v>5319465</v>
      </c>
      <c r="B4436">
        <v>5388195</v>
      </c>
      <c r="C4436" t="s">
        <v>574</v>
      </c>
      <c r="D4436" t="s">
        <v>8</v>
      </c>
      <c r="E4436" s="2" t="str">
        <f>HYPERLINK("https://ibp.a2mac1.com/costing(costing:projects/details/8191/component/5319465)","Hole plug &gt; Round hole")</f>
        <v>Hole plug &gt; Round hole</v>
      </c>
      <c r="F4436" t="s">
        <v>5284</v>
      </c>
    </row>
    <row r="4437" spans="1:6" ht="12.75">
      <c r="A4437">
        <v>5388185</v>
      </c>
      <c r="B4437">
        <v>5388134</v>
      </c>
      <c r="C4437" t="s">
        <v>12</v>
      </c>
      <c r="D4437" t="s">
        <v>8</v>
      </c>
      <c r="E4437" s="2" t="str">
        <f>HYPERLINK("https://ibp.a2mac1.com/costing(costing:projects/details/8191/part/5388185)","Hole Plugs")</f>
        <v>Hole Plugs</v>
      </c>
      <c r="F4437" t="s">
        <v>5036</v>
      </c>
    </row>
    <row r="4438" spans="1:6" ht="12.75">
      <c r="A4438">
        <v>5388135</v>
      </c>
      <c r="B4438">
        <v>5388127</v>
      </c>
      <c r="C4438" t="s">
        <v>8</v>
      </c>
      <c r="D4438" t="s">
        <v>8</v>
      </c>
      <c r="E4438" s="2" t="str">
        <f>HYPERLINK("https://ibp.a2mac1.com/costing(costing:projects/details/8191/assembly/5388135)","Hood")</f>
        <v>Hood</v>
      </c>
      <c r="F4438" t="s">
        <v>4590</v>
      </c>
    </row>
    <row r="4439" spans="1:6" ht="12.75">
      <c r="A4439">
        <v>5388198</v>
      </c>
      <c r="B4439">
        <v>5388135</v>
      </c>
      <c r="C4439" t="s">
        <v>8</v>
      </c>
      <c r="D4439" t="s">
        <v>8</v>
      </c>
      <c r="E4439" s="2" t="str">
        <f>HYPERLINK("https://ibp.a2mac1.com/costing(costing:projects/details/8191/assembly/5388198)","Hinges System")</f>
        <v>Hinges System</v>
      </c>
      <c r="F4439" t="s">
        <v>5288</v>
      </c>
    </row>
    <row r="4440" spans="1:6" ht="12.75">
      <c r="A4440">
        <v>5388453</v>
      </c>
      <c r="B4440">
        <v>5388198</v>
      </c>
      <c r="C4440" t="s">
        <v>8</v>
      </c>
      <c r="D4440" t="s">
        <v>8</v>
      </c>
      <c r="E4440" s="2" t="str">
        <f>HYPERLINK("https://ibp.a2mac1.com/costing(costing:projects/details/8191/assembly/5388453)","Hinges")</f>
        <v>Hinges</v>
      </c>
      <c r="F4440" t="s">
        <v>5289</v>
      </c>
    </row>
    <row r="4441" spans="1:6" ht="12.75">
      <c r="A4441">
        <v>5388815</v>
      </c>
      <c r="B4441">
        <v>5388453</v>
      </c>
      <c r="C4441" t="s">
        <v>8</v>
      </c>
      <c r="D4441" t="s">
        <v>8</v>
      </c>
      <c r="E4441" s="2" t="str">
        <f>HYPERLINK("https://ibp.a2mac1.com/costing(costing:projects/details/8191/assembly/5388815)","On BIW")</f>
        <v>On BIW</v>
      </c>
      <c r="F4441" t="s">
        <v>5290</v>
      </c>
    </row>
    <row r="4442" spans="1:6" ht="12.75">
      <c r="A4442">
        <v>5389194</v>
      </c>
      <c r="B4442">
        <v>5388815</v>
      </c>
      <c r="C4442" t="s">
        <v>12</v>
      </c>
      <c r="D4442" t="s">
        <v>8</v>
      </c>
      <c r="E4442" s="2" t="str">
        <f>HYPERLINK("https://ibp.a2mac1.com/costing(costing:projects/details/8191/part/5389194)","Part 01 single/main")</f>
        <v>Part 01 single/main</v>
      </c>
      <c r="F4442" t="s">
        <v>5291</v>
      </c>
    </row>
    <row r="4443" spans="1:6" ht="12.75">
      <c r="A4443">
        <v>6975816</v>
      </c>
      <c r="B4443">
        <v>5389194</v>
      </c>
      <c r="C4443" t="s">
        <v>99</v>
      </c>
      <c r="D4443" t="s">
        <v>12</v>
      </c>
      <c r="E4443" s="2" t="str">
        <f>HYPERLINK("https://ibp.a2mac1.com/costing(costing:projects/details/8191/process/6975816)","Manufacturing Process")</f>
        <v>Manufacturing Process</v>
      </c>
      <c r="F4443" t="s">
        <v>5292</v>
      </c>
    </row>
    <row r="4444" spans="1:6" ht="12.75">
      <c r="A4444">
        <v>5320260</v>
      </c>
      <c r="B4444">
        <v>6975816</v>
      </c>
      <c r="C4444" t="s">
        <v>24</v>
      </c>
      <c r="D4444" t="s">
        <v>99</v>
      </c>
      <c r="E4444" s="2" t="str">
        <f>HYPERLINK("https://ibp.a2mac1.com/costing(costing:projects/details/8191/material/5320260)","Standard Structural Steel sheet")</f>
        <v>Standard Structural Steel sheet</v>
      </c>
      <c r="F4444" t="s">
        <v>5294</v>
      </c>
    </row>
    <row r="4445" spans="1:6" ht="12.75">
      <c r="A4445">
        <v>6948411</v>
      </c>
      <c r="B4445">
        <v>6975816</v>
      </c>
      <c r="C4445" t="s">
        <v>189</v>
      </c>
      <c r="D4445" t="s">
        <v>99</v>
      </c>
      <c r="E4445" s="2" t="str">
        <f>HYPERLINK("https://ibp.a2mac1.com/costing(costing:projects/details/8191/equipment/6948411)","Equipment (Stamping)")</f>
        <v>Equipment (Stamping)</v>
      </c>
      <c r="F4445" t="s">
        <v>5294</v>
      </c>
    </row>
    <row r="4446" spans="1:6" ht="12.75">
      <c r="A4446">
        <v>5388816</v>
      </c>
      <c r="B4446">
        <v>5388453</v>
      </c>
      <c r="C4446" t="s">
        <v>8</v>
      </c>
      <c r="D4446" t="s">
        <v>8</v>
      </c>
      <c r="E4446" s="2" t="str">
        <f>HYPERLINK("https://ibp.a2mac1.com/costing(costing:projects/details/8191/assembly/5388816)","On hood")</f>
        <v>On hood</v>
      </c>
      <c r="F4446" t="s">
        <v>5290</v>
      </c>
    </row>
    <row r="4447" spans="1:6" ht="12.75">
      <c r="A4447">
        <v>5389195</v>
      </c>
      <c r="B4447">
        <v>5388816</v>
      </c>
      <c r="C4447" t="s">
        <v>12</v>
      </c>
      <c r="D4447" t="s">
        <v>8</v>
      </c>
      <c r="E4447" s="2" t="str">
        <f>HYPERLINK("https://ibp.a2mac1.com/costing(costing:projects/details/8191/part/5389195)","Part 01 single/main")</f>
        <v>Part 01 single/main</v>
      </c>
      <c r="F4447" t="s">
        <v>5295</v>
      </c>
    </row>
    <row r="4448" spans="1:6" ht="12.75">
      <c r="A4448">
        <v>6975817</v>
      </c>
      <c r="B4448">
        <v>5389195</v>
      </c>
      <c r="C4448" t="s">
        <v>99</v>
      </c>
      <c r="D4448" t="s">
        <v>12</v>
      </c>
      <c r="E4448" s="2" t="str">
        <f>HYPERLINK("https://ibp.a2mac1.com/costing(costing:projects/details/8191/process/6975817)","Manufacturing Process")</f>
        <v>Manufacturing Process</v>
      </c>
      <c r="F4448" t="s">
        <v>5296</v>
      </c>
    </row>
    <row r="4449" spans="1:6" ht="12.75">
      <c r="A4449">
        <v>5320261</v>
      </c>
      <c r="B4449">
        <v>6975817</v>
      </c>
      <c r="C4449" t="s">
        <v>24</v>
      </c>
      <c r="D4449" t="s">
        <v>99</v>
      </c>
      <c r="E4449" s="2" t="str">
        <f>HYPERLINK("https://ibp.a2mac1.com/costing(costing:projects/details/8191/material/5320261)","Standard Structural Steel sheet")</f>
        <v>Standard Structural Steel sheet</v>
      </c>
      <c r="F4449" t="s">
        <v>5299</v>
      </c>
    </row>
    <row r="4450" spans="1:6" ht="12.75">
      <c r="A4450">
        <v>6948412</v>
      </c>
      <c r="B4450">
        <v>6975817</v>
      </c>
      <c r="C4450" t="s">
        <v>189</v>
      </c>
      <c r="D4450" t="s">
        <v>99</v>
      </c>
      <c r="E4450" s="2" t="str">
        <f>HYPERLINK("https://ibp.a2mac1.com/costing(costing:projects/details/8191/equipment/6948412)","Equipment (Stamping)")</f>
        <v>Equipment (Stamping)</v>
      </c>
      <c r="F4450" t="s">
        <v>5299</v>
      </c>
    </row>
    <row r="4451" spans="1:6" ht="12.75">
      <c r="A4451">
        <v>5388817</v>
      </c>
      <c r="B4451">
        <v>5388453</v>
      </c>
      <c r="C4451" t="s">
        <v>8</v>
      </c>
      <c r="D4451" t="s">
        <v>8</v>
      </c>
      <c r="E4451" s="2" t="str">
        <f>HYPERLINK("https://ibp.a2mac1.com/costing(costing:projects/details/8191/assembly/5388817)","On Joint")</f>
        <v>On Joint</v>
      </c>
      <c r="F4451" t="s">
        <v>5290</v>
      </c>
    </row>
    <row r="4452" spans="1:6" ht="12.75">
      <c r="A4452">
        <v>5389196</v>
      </c>
      <c r="B4452">
        <v>5388817</v>
      </c>
      <c r="C4452" t="s">
        <v>12</v>
      </c>
      <c r="D4452" t="s">
        <v>8</v>
      </c>
      <c r="E4452" s="2" t="str">
        <f>HYPERLINK("https://ibp.a2mac1.com/costing(costing:projects/details/8191/part/5389196)","Part 01 single/main")</f>
        <v>Part 01 single/main</v>
      </c>
      <c r="F4452" t="s">
        <v>5300</v>
      </c>
    </row>
    <row r="4453" spans="1:6" ht="12.75">
      <c r="A4453">
        <v>6975818</v>
      </c>
      <c r="B4453">
        <v>5389196</v>
      </c>
      <c r="C4453" t="s">
        <v>99</v>
      </c>
      <c r="D4453" t="s">
        <v>12</v>
      </c>
      <c r="E4453" s="2" t="str">
        <f>HYPERLINK("https://ibp.a2mac1.com/costing(costing:projects/details/8191/process/6975818)","Manufacturing Process")</f>
        <v>Manufacturing Process</v>
      </c>
      <c r="F4453" t="s">
        <v>5301</v>
      </c>
    </row>
    <row r="4454" spans="1:6" ht="12.75">
      <c r="A4454">
        <v>5320262</v>
      </c>
      <c r="B4454">
        <v>6975818</v>
      </c>
      <c r="C4454" t="s">
        <v>24</v>
      </c>
      <c r="D4454" t="s">
        <v>99</v>
      </c>
      <c r="E4454" s="2" t="str">
        <f>HYPERLINK("https://ibp.a2mac1.com/costing(costing:projects/details/8191/material/5320262)","Standard Structural Steel sheet")</f>
        <v>Standard Structural Steel sheet</v>
      </c>
      <c r="F4454" t="s">
        <v>5303</v>
      </c>
    </row>
    <row r="4455" spans="1:6" ht="12.75">
      <c r="A4455">
        <v>6948413</v>
      </c>
      <c r="B4455">
        <v>6975818</v>
      </c>
      <c r="C4455" t="s">
        <v>189</v>
      </c>
      <c r="D4455" t="s">
        <v>99</v>
      </c>
      <c r="E4455" s="2" t="str">
        <f>HYPERLINK("https://ibp.a2mac1.com/costing(costing:projects/details/8191/equipment/6948413)","Equipment (Stamping)")</f>
        <v>Equipment (Stamping)</v>
      </c>
      <c r="F4455" t="s">
        <v>5303</v>
      </c>
    </row>
    <row r="4456" spans="1:6" ht="12.75">
      <c r="A4456">
        <v>5389197</v>
      </c>
      <c r="B4456">
        <v>5388817</v>
      </c>
      <c r="C4456" t="s">
        <v>12</v>
      </c>
      <c r="D4456" t="s">
        <v>8</v>
      </c>
      <c r="E4456" s="2" t="str">
        <f>HYPERLINK("https://ibp.a2mac1.com/costing(costing:projects/details/8191/part/5389197)","Part 02")</f>
        <v>Part 02</v>
      </c>
      <c r="F4456" t="s">
        <v>5300</v>
      </c>
    </row>
    <row r="4457" spans="1:6" ht="12.75">
      <c r="A4457">
        <v>6975819</v>
      </c>
      <c r="B4457">
        <v>5389197</v>
      </c>
      <c r="C4457" t="s">
        <v>99</v>
      </c>
      <c r="D4457" t="s">
        <v>12</v>
      </c>
      <c r="E4457" s="2" t="str">
        <f>HYPERLINK("https://ibp.a2mac1.com/costing(costing:projects/details/8191/process/6975819)","Manufacturing Process")</f>
        <v>Manufacturing Process</v>
      </c>
      <c r="F4457" t="s">
        <v>5304</v>
      </c>
    </row>
    <row r="4458" spans="1:6" ht="12.75">
      <c r="A4458">
        <v>5320263</v>
      </c>
      <c r="B4458">
        <v>6975819</v>
      </c>
      <c r="C4458" t="s">
        <v>24</v>
      </c>
      <c r="D4458" t="s">
        <v>99</v>
      </c>
      <c r="E4458" s="2" t="str">
        <f>HYPERLINK("https://ibp.a2mac1.com/costing(costing:projects/details/8191/material/5320263)","Standard Structural Steel sheet")</f>
        <v>Standard Structural Steel sheet</v>
      </c>
      <c r="F4458" t="s">
        <v>5305</v>
      </c>
    </row>
    <row r="4459" spans="1:6" ht="12.75">
      <c r="A4459">
        <v>6948414</v>
      </c>
      <c r="B4459">
        <v>6975819</v>
      </c>
      <c r="C4459" t="s">
        <v>189</v>
      </c>
      <c r="D4459" t="s">
        <v>99</v>
      </c>
      <c r="E4459" s="2" t="str">
        <f>HYPERLINK("https://ibp.a2mac1.com/costing(costing:projects/details/8191/equipment/6948414)","Equipment (Stamping)")</f>
        <v>Equipment (Stamping)</v>
      </c>
      <c r="F4459" t="s">
        <v>5305</v>
      </c>
    </row>
    <row r="4460" spans="1:6" ht="12.75">
      <c r="A4460">
        <v>5388454</v>
      </c>
      <c r="B4460">
        <v>5388198</v>
      </c>
      <c r="C4460" t="s">
        <v>8</v>
      </c>
      <c r="D4460" t="s">
        <v>8</v>
      </c>
      <c r="E4460" s="2" t="str">
        <f>HYPERLINK("https://ibp.a2mac1.com/costing(costing:projects/details/8191/assembly/5388454)","Fastners")</f>
        <v>Fastners</v>
      </c>
      <c r="F4460" t="s">
        <v>5289</v>
      </c>
    </row>
    <row r="4461" spans="1:6" ht="12.75">
      <c r="A4461">
        <v>5319578</v>
      </c>
      <c r="B4461">
        <v>5388454</v>
      </c>
      <c r="C4461" t="s">
        <v>574</v>
      </c>
      <c r="D4461" t="s">
        <v>8</v>
      </c>
      <c r="E4461" s="2" t="str">
        <f>HYPERLINK("https://ibp.a2mac1.com/costing(costing:projects/details/8191/component/5319578)","Screw &gt; 12 point socket head cap screw with flange")</f>
        <v>Screw &gt; 12 point socket head cap screw with flange</v>
      </c>
      <c r="F4461" t="s">
        <v>5307</v>
      </c>
    </row>
    <row r="4462" spans="1:6" ht="12.75">
      <c r="A4462">
        <v>5388199</v>
      </c>
      <c r="B4462">
        <v>5388135</v>
      </c>
      <c r="C4462" t="s">
        <v>8</v>
      </c>
      <c r="D4462" t="s">
        <v>8</v>
      </c>
      <c r="E4462" s="2" t="str">
        <f>HYPERLINK("https://ibp.a2mac1.com/costing(costing:projects/details/8191/assembly/5388199)","Hood Opening Closing Mechanism")</f>
        <v>Hood Opening Closing Mechanism</v>
      </c>
      <c r="F4462" t="s">
        <v>5288</v>
      </c>
    </row>
    <row r="4463" spans="1:6" ht="12.75">
      <c r="A4463">
        <v>5388463</v>
      </c>
      <c r="B4463">
        <v>5388199</v>
      </c>
      <c r="C4463" t="s">
        <v>8</v>
      </c>
      <c r="D4463" t="s">
        <v>8</v>
      </c>
      <c r="E4463" s="2" t="str">
        <f>HYPERLINK("https://ibp.a2mac1.com/costing(costing:projects/details/8191/assembly/5388463)","Hood Opening Sensor")</f>
        <v>Hood Opening Sensor</v>
      </c>
      <c r="F4463" t="s">
        <v>5309</v>
      </c>
    </row>
    <row r="4464" spans="1:6" ht="12.75">
      <c r="A4464">
        <v>5388465</v>
      </c>
      <c r="B4464">
        <v>5388199</v>
      </c>
      <c r="C4464" t="s">
        <v>8</v>
      </c>
      <c r="D4464" t="s">
        <v>8</v>
      </c>
      <c r="E4464" s="2" t="str">
        <f>HYPERLINK("https://ibp.a2mac1.com/costing(costing:projects/details/8191/assembly/5388465)","Fastners")</f>
        <v>Fastners</v>
      </c>
      <c r="F4464" t="s">
        <v>5309</v>
      </c>
    </row>
    <row r="4465" spans="1:6" ht="12.75">
      <c r="A4465">
        <v>5319579</v>
      </c>
      <c r="B4465">
        <v>5388465</v>
      </c>
      <c r="C4465" t="s">
        <v>574</v>
      </c>
      <c r="D4465" t="s">
        <v>8</v>
      </c>
      <c r="E4465" s="2" t="str">
        <f>HYPERLINK("https://ibp.a2mac1.com/costing(costing:projects/details/8191/component/5319579)","Screw &gt; Torx socket head cap screw with captive washer")</f>
        <v>Screw &gt; Torx socket head cap screw with captive washer</v>
      </c>
      <c r="F4465" t="s">
        <v>5312</v>
      </c>
    </row>
    <row r="4466" spans="1:6" ht="12.75">
      <c r="A4466">
        <v>5319580</v>
      </c>
      <c r="B4466">
        <v>5388465</v>
      </c>
      <c r="C4466" t="s">
        <v>574</v>
      </c>
      <c r="D4466" t="s">
        <v>8</v>
      </c>
      <c r="E4466" s="2" t="str">
        <f>HYPERLINK("https://ibp.a2mac1.com/costing(costing:projects/details/8191/component/5319580)","Screw &gt; Torx socket head cap screw with captive washer")</f>
        <v>Screw &gt; Torx socket head cap screw with captive washer</v>
      </c>
      <c r="F4466" t="s">
        <v>5312</v>
      </c>
    </row>
    <row r="4467" spans="1:6" ht="12.75">
      <c r="A4467">
        <v>5319584</v>
      </c>
      <c r="B4467">
        <v>5388465</v>
      </c>
      <c r="C4467" t="s">
        <v>574</v>
      </c>
      <c r="D4467" t="s">
        <v>8</v>
      </c>
      <c r="E4467" s="2" t="str">
        <f>HYPERLINK("https://ibp.a2mac1.com/costing(costing:projects/details/8191/component/5319584)","Nut &gt; Clipping nut for soft materials screw")</f>
        <v>Nut &gt; Clipping nut for soft materials screw</v>
      </c>
      <c r="F4467" t="s">
        <v>5312</v>
      </c>
    </row>
    <row r="4468" spans="1:6" ht="12.75">
      <c r="A4468">
        <v>5319585</v>
      </c>
      <c r="B4468">
        <v>5388465</v>
      </c>
      <c r="C4468" t="s">
        <v>574</v>
      </c>
      <c r="D4468" t="s">
        <v>8</v>
      </c>
      <c r="E4468" s="2" t="str">
        <f>HYPERLINK("https://ibp.a2mac1.com/costing(costing:projects/details/8191/component/5319585)","Nut &gt; Hexagonal nut with collar")</f>
        <v>Nut &gt; Hexagonal nut with collar</v>
      </c>
      <c r="F4468" t="s">
        <v>5312</v>
      </c>
    </row>
    <row r="4469" spans="1:6" ht="12.75">
      <c r="A4469">
        <v>5319586</v>
      </c>
      <c r="B4469">
        <v>5388465</v>
      </c>
      <c r="C4469" t="s">
        <v>574</v>
      </c>
      <c r="D4469" t="s">
        <v>8</v>
      </c>
      <c r="E4469" s="2" t="str">
        <f>HYPERLINK("https://ibp.a2mac1.com/costing(costing:projects/details/8191/component/5319586)","Other fastener &gt; Spring")</f>
        <v>Other fastener &gt; Spring</v>
      </c>
      <c r="F4469" t="s">
        <v>5312</v>
      </c>
    </row>
    <row r="4470" spans="1:6" ht="12.75">
      <c r="A4470">
        <v>5388455</v>
      </c>
      <c r="B4470">
        <v>5388199</v>
      </c>
      <c r="C4470" t="s">
        <v>12</v>
      </c>
      <c r="D4470" t="s">
        <v>8</v>
      </c>
      <c r="E4470" s="2" t="str">
        <f>HYPERLINK("https://ibp.a2mac1.com/costing(costing:projects/details/8191/part/5388455)","Hood Latch")</f>
        <v>Hood Latch</v>
      </c>
      <c r="F4470" t="s">
        <v>5309</v>
      </c>
    </row>
    <row r="4471" spans="1:6" ht="12.75">
      <c r="A4471">
        <v>5388456</v>
      </c>
      <c r="B4471">
        <v>5388199</v>
      </c>
      <c r="C4471" t="s">
        <v>12</v>
      </c>
      <c r="D4471" t="s">
        <v>8</v>
      </c>
      <c r="E4471" s="2" t="str">
        <f>HYPERLINK("https://ibp.a2mac1.com/costing(costing:projects/details/8191/part/5388456)","Hood Latch Support")</f>
        <v>Hood Latch Support</v>
      </c>
      <c r="F4471" t="s">
        <v>5309</v>
      </c>
    </row>
    <row r="4472" spans="1:6" ht="12.75">
      <c r="A4472">
        <v>6975414</v>
      </c>
      <c r="B4472">
        <v>5388456</v>
      </c>
      <c r="C4472" t="s">
        <v>99</v>
      </c>
      <c r="D4472" t="s">
        <v>12</v>
      </c>
      <c r="E4472" s="2" t="str">
        <f>HYPERLINK("https://ibp.a2mac1.com/costing(costing:projects/details/8191/process/6975414)","Stamping ")</f>
        <v xml:space="preserve">Stamping </v>
      </c>
      <c r="F4472" t="s">
        <v>5315</v>
      </c>
    </row>
    <row r="4473" spans="1:6" ht="12.75">
      <c r="A4473">
        <v>5319813</v>
      </c>
      <c r="B4473">
        <v>6975414</v>
      </c>
      <c r="C4473" t="s">
        <v>24</v>
      </c>
      <c r="D4473" t="s">
        <v>99</v>
      </c>
      <c r="E4473" s="2" t="str">
        <f>HYPERLINK("https://ibp.a2mac1.com/costing(costing:projects/details/8191/material/5319813)","Standard Structural Steel sheet")</f>
        <v>Standard Structural Steel sheet</v>
      </c>
      <c r="F4473" t="s">
        <v>5317</v>
      </c>
    </row>
    <row r="4474" spans="1:6" ht="12.75">
      <c r="A4474">
        <v>6947996</v>
      </c>
      <c r="B4474">
        <v>6975414</v>
      </c>
      <c r="C4474" t="s">
        <v>189</v>
      </c>
      <c r="D4474" t="s">
        <v>99</v>
      </c>
      <c r="E4474" s="2" t="str">
        <f>HYPERLINK("https://ibp.a2mac1.com/costing(costing:projects/details/8191/equipment/6947996)","Equipment (Stamping)")</f>
        <v>Equipment (Stamping)</v>
      </c>
      <c r="F4474" t="s">
        <v>5317</v>
      </c>
    </row>
    <row r="4475" spans="1:6" ht="12.75">
      <c r="A4475">
        <v>5388457</v>
      </c>
      <c r="B4475">
        <v>5388199</v>
      </c>
      <c r="C4475" t="s">
        <v>12</v>
      </c>
      <c r="D4475" t="s">
        <v>8</v>
      </c>
      <c r="E4475" s="2" t="str">
        <f>HYPERLINK("https://ibp.a2mac1.com/costing(costing:projects/details/8191/part/5388457)","Inner Latch Handle")</f>
        <v>Inner Latch Handle</v>
      </c>
      <c r="F4475" t="s">
        <v>5309</v>
      </c>
    </row>
    <row r="4476" spans="1:6" ht="12.75">
      <c r="A4476">
        <v>6975415</v>
      </c>
      <c r="B4476">
        <v>5388457</v>
      </c>
      <c r="C4476" t="s">
        <v>99</v>
      </c>
      <c r="D4476" t="s">
        <v>12</v>
      </c>
      <c r="E4476" s="2" t="str">
        <f>HYPERLINK("https://ibp.a2mac1.com/costing(costing:projects/details/8191/process/6975415)","Injection molding")</f>
        <v>Injection molding</v>
      </c>
      <c r="F4476" t="s">
        <v>5319</v>
      </c>
    </row>
    <row r="4477" spans="1:6" ht="12.75">
      <c r="A4477">
        <v>5319814</v>
      </c>
      <c r="B4477">
        <v>6975415</v>
      </c>
      <c r="C4477" t="s">
        <v>24</v>
      </c>
      <c r="D4477" t="s">
        <v>99</v>
      </c>
      <c r="E4477" s="2" t="str">
        <f>HYPERLINK("https://ibp.a2mac1.com/costing(costing:projects/details/8191/material/5319814)","PA6-GF25")</f>
        <v>PA6-GF25</v>
      </c>
      <c r="F4477" t="s">
        <v>5321</v>
      </c>
    </row>
    <row r="4478" spans="1:6" ht="12.75">
      <c r="A4478">
        <v>6947997</v>
      </c>
      <c r="B4478">
        <v>6975415</v>
      </c>
      <c r="C4478" t="s">
        <v>189</v>
      </c>
      <c r="D4478" t="s">
        <v>99</v>
      </c>
      <c r="E4478" s="2" t="str">
        <f>HYPERLINK("https://ibp.a2mac1.com/costing(costing:projects/details/8191/equipment/6947997)","No.01 - Injection Press - 40T - 18kW - 270x270 - Max Volume 128cm3 ")</f>
        <v xml:space="preserve">No.01 - Injection Press - 40T - 18kW - 270x270 - Max Volume 128cm3 </v>
      </c>
      <c r="F4478" t="s">
        <v>5321</v>
      </c>
    </row>
    <row r="4479" spans="1:6" ht="12.75">
      <c r="A4479">
        <v>6975419</v>
      </c>
      <c r="B4479">
        <v>5388457</v>
      </c>
      <c r="C4479" t="s">
        <v>99</v>
      </c>
      <c r="D4479" t="s">
        <v>12</v>
      </c>
      <c r="E4479" s="2" t="str">
        <f>HYPERLINK("https://ibp.a2mac1.com/costing(costing:projects/details/8191/process/6975419)","Handling/Visual Inspection/Packaging")</f>
        <v>Handling/Visual Inspection/Packaging</v>
      </c>
      <c r="F4479" t="s">
        <v>5319</v>
      </c>
    </row>
    <row r="4480" spans="1:6" ht="12.75">
      <c r="A4480">
        <v>6947998</v>
      </c>
      <c r="B4480">
        <v>6975419</v>
      </c>
      <c r="C4480" t="s">
        <v>189</v>
      </c>
      <c r="D4480" t="s">
        <v>99</v>
      </c>
      <c r="E4480" s="2" t="str">
        <f>HYPERLINK("https://ibp.a2mac1.com/costing(costing:projects/details/8191/equipment/6947998)","Packaging")</f>
        <v>Packaging</v>
      </c>
      <c r="F4480" t="s">
        <v>5322</v>
      </c>
    </row>
    <row r="4481" spans="1:6" ht="12.75">
      <c r="A4481">
        <v>5388458</v>
      </c>
      <c r="B4481">
        <v>5388199</v>
      </c>
      <c r="C4481" t="s">
        <v>12</v>
      </c>
      <c r="D4481" t="s">
        <v>8</v>
      </c>
      <c r="E4481" s="2" t="str">
        <f>HYPERLINK("https://ibp.a2mac1.com/costing(costing:projects/details/8191/part/5388458)","Inner handle support")</f>
        <v>Inner handle support</v>
      </c>
      <c r="F4481" t="s">
        <v>5309</v>
      </c>
    </row>
    <row r="4482" spans="1:6" ht="12.75">
      <c r="A4482">
        <v>6975420</v>
      </c>
      <c r="B4482">
        <v>5388458</v>
      </c>
      <c r="C4482" t="s">
        <v>99</v>
      </c>
      <c r="D4482" t="s">
        <v>12</v>
      </c>
      <c r="E4482" s="2" t="str">
        <f>HYPERLINK("https://ibp.a2mac1.com/costing(costing:projects/details/8191/process/6975420)","Injection molding")</f>
        <v>Injection molding</v>
      </c>
      <c r="F4482" t="s">
        <v>5324</v>
      </c>
    </row>
    <row r="4483" spans="1:6" ht="12.75">
      <c r="A4483">
        <v>5319815</v>
      </c>
      <c r="B4483">
        <v>6975420</v>
      </c>
      <c r="C4483" t="s">
        <v>24</v>
      </c>
      <c r="D4483" t="s">
        <v>99</v>
      </c>
      <c r="E4483" s="2" t="str">
        <f>HYPERLINK("https://ibp.a2mac1.com/costing(costing:projects/details/8191/material/5319815)","PA6-GF30")</f>
        <v>PA6-GF30</v>
      </c>
      <c r="F4483" t="s">
        <v>5326</v>
      </c>
    </row>
    <row r="4484" spans="1:6" ht="12.75">
      <c r="A4484">
        <v>6947999</v>
      </c>
      <c r="B4484">
        <v>6975420</v>
      </c>
      <c r="C4484" t="s">
        <v>189</v>
      </c>
      <c r="D4484" t="s">
        <v>99</v>
      </c>
      <c r="E4484" s="2" t="str">
        <f>HYPERLINK("https://ibp.a2mac1.com/costing(costing:projects/details/8191/equipment/6947999)","No.01 - Injection Press - 40T - 18kW - 270x270 - Max Volume 128cm3 ")</f>
        <v xml:space="preserve">No.01 - Injection Press - 40T - 18kW - 270x270 - Max Volume 128cm3 </v>
      </c>
      <c r="F4484" t="s">
        <v>5326</v>
      </c>
    </row>
    <row r="4485" spans="1:6" ht="12.75">
      <c r="A4485">
        <v>6975421</v>
      </c>
      <c r="B4485">
        <v>5388458</v>
      </c>
      <c r="C4485" t="s">
        <v>99</v>
      </c>
      <c r="D4485" t="s">
        <v>12</v>
      </c>
      <c r="E4485" s="2" t="str">
        <f>HYPERLINK("https://ibp.a2mac1.com/costing(costing:projects/details/8191/process/6975421)","Handling/Visual Inspection/Packaging")</f>
        <v>Handling/Visual Inspection/Packaging</v>
      </c>
      <c r="F4485" t="s">
        <v>5324</v>
      </c>
    </row>
    <row r="4486" spans="1:6" ht="12.75">
      <c r="A4486">
        <v>6948000</v>
      </c>
      <c r="B4486">
        <v>6975421</v>
      </c>
      <c r="C4486" t="s">
        <v>189</v>
      </c>
      <c r="D4486" t="s">
        <v>99</v>
      </c>
      <c r="E4486" s="2" t="str">
        <f>HYPERLINK("https://ibp.a2mac1.com/costing(costing:projects/details/8191/equipment/6948000)","Packaging")</f>
        <v>Packaging</v>
      </c>
      <c r="F4486" t="s">
        <v>5327</v>
      </c>
    </row>
    <row r="4487" spans="1:6" ht="12.75">
      <c r="A4487">
        <v>5388459</v>
      </c>
      <c r="B4487">
        <v>5388199</v>
      </c>
      <c r="C4487" t="s">
        <v>12</v>
      </c>
      <c r="D4487" t="s">
        <v>8</v>
      </c>
      <c r="E4487" s="2" t="str">
        <f>HYPERLINK("https://ibp.a2mac1.com/costing(costing:projects/details/8191/part/5388459)","Cable")</f>
        <v>Cable</v>
      </c>
      <c r="F4487" t="s">
        <v>5309</v>
      </c>
    </row>
    <row r="4488" spans="1:6" ht="12.75">
      <c r="A4488">
        <v>6975422</v>
      </c>
      <c r="B4488">
        <v>5388459</v>
      </c>
      <c r="C4488" t="s">
        <v>99</v>
      </c>
      <c r="D4488" t="s">
        <v>12</v>
      </c>
      <c r="E4488" s="2" t="str">
        <f>HYPERLINK("https://ibp.a2mac1.com/costing(costing:projects/details/8191/process/6975422)","Automated Process")</f>
        <v>Automated Process</v>
      </c>
      <c r="F4488" t="s">
        <v>5329</v>
      </c>
    </row>
    <row r="4489" spans="1:6" ht="12.75">
      <c r="A4489">
        <v>5319816</v>
      </c>
      <c r="B4489">
        <v>6975422</v>
      </c>
      <c r="C4489" t="s">
        <v>24</v>
      </c>
      <c r="D4489" t="s">
        <v>99</v>
      </c>
      <c r="E4489" s="2" t="str">
        <f>HYPERLINK("https://ibp.a2mac1.com/costing(costing:projects/details/8191/material/5319816)","TPC")</f>
        <v>TPC</v>
      </c>
      <c r="F4489" t="s">
        <v>5332</v>
      </c>
    </row>
    <row r="4490" spans="1:6" ht="12.75">
      <c r="A4490">
        <v>5319817</v>
      </c>
      <c r="B4490">
        <v>6975422</v>
      </c>
      <c r="C4490" t="s">
        <v>24</v>
      </c>
      <c r="D4490" t="s">
        <v>99</v>
      </c>
      <c r="E4490" s="2" t="str">
        <f>HYPERLINK("https://ibp.a2mac1.com/costing(costing:projects/details/8191/material/5319817)","EPDM")</f>
        <v>EPDM</v>
      </c>
      <c r="F4490" t="s">
        <v>5332</v>
      </c>
    </row>
    <row r="4491" spans="1:6" ht="12.75">
      <c r="A4491">
        <v>6948001</v>
      </c>
      <c r="B4491">
        <v>6975422</v>
      </c>
      <c r="C4491" t="s">
        <v>189</v>
      </c>
      <c r="D4491" t="s">
        <v>99</v>
      </c>
      <c r="E4491" s="2" t="str">
        <f>HYPERLINK("https://ibp.a2mac1.com/costing(costing:projects/details/8191/equipment/6948001)","Equipment (Injection Molding)")</f>
        <v>Equipment (Injection Molding)</v>
      </c>
      <c r="F4491" t="s">
        <v>5332</v>
      </c>
    </row>
    <row r="4492" spans="1:6" ht="12.75">
      <c r="A4492">
        <v>6948002</v>
      </c>
      <c r="B4492">
        <v>6975422</v>
      </c>
      <c r="C4492" t="s">
        <v>189</v>
      </c>
      <c r="D4492" t="s">
        <v>99</v>
      </c>
      <c r="E4492" s="2" t="str">
        <f>HYPERLINK("https://ibp.a2mac1.com/costing(costing:projects/details/8191/equipment/6948002)","Equipment (Injection Molding)")</f>
        <v>Equipment (Injection Molding)</v>
      </c>
      <c r="F4492" t="s">
        <v>5332</v>
      </c>
    </row>
    <row r="4493" spans="1:6" ht="12.75">
      <c r="A4493">
        <v>5388460</v>
      </c>
      <c r="B4493">
        <v>5388199</v>
      </c>
      <c r="C4493" t="s">
        <v>12</v>
      </c>
      <c r="D4493" t="s">
        <v>8</v>
      </c>
      <c r="E4493" s="2" t="str">
        <f>HYPERLINK("https://ibp.a2mac1.com/costing(costing:projects/details/8191/part/5388460)","Cable On Front End Module")</f>
        <v>Cable On Front End Module</v>
      </c>
      <c r="F4493" t="s">
        <v>5309</v>
      </c>
    </row>
    <row r="4494" spans="1:6" ht="12.75">
      <c r="A4494">
        <v>6975423</v>
      </c>
      <c r="B4494">
        <v>5388460</v>
      </c>
      <c r="C4494" t="s">
        <v>99</v>
      </c>
      <c r="D4494" t="s">
        <v>12</v>
      </c>
      <c r="E4494" s="2" t="str">
        <f>HYPERLINK("https://ibp.a2mac1.com/costing(costing:projects/details/8191/process/6975423)","Automated Process")</f>
        <v>Automated Process</v>
      </c>
      <c r="F4494" t="s">
        <v>5335</v>
      </c>
    </row>
    <row r="4495" spans="1:6" ht="12.75">
      <c r="A4495">
        <v>5319818</v>
      </c>
      <c r="B4495">
        <v>6975423</v>
      </c>
      <c r="C4495" t="s">
        <v>24</v>
      </c>
      <c r="D4495" t="s">
        <v>99</v>
      </c>
      <c r="E4495" s="2" t="str">
        <f>HYPERLINK("https://ibp.a2mac1.com/costing(costing:projects/details/8191/material/5319818)","TPC")</f>
        <v>TPC</v>
      </c>
      <c r="F4495" t="s">
        <v>5338</v>
      </c>
    </row>
    <row r="4496" spans="1:6" ht="12.75">
      <c r="A4496">
        <v>5319819</v>
      </c>
      <c r="B4496">
        <v>6975423</v>
      </c>
      <c r="C4496" t="s">
        <v>24</v>
      </c>
      <c r="D4496" t="s">
        <v>99</v>
      </c>
      <c r="E4496" s="2" t="str">
        <f>HYPERLINK("https://ibp.a2mac1.com/costing(costing:projects/details/8191/material/5319819)","POM")</f>
        <v>POM</v>
      </c>
      <c r="F4496" t="s">
        <v>5338</v>
      </c>
    </row>
    <row r="4497" spans="1:6" ht="12.75">
      <c r="A4497">
        <v>6948003</v>
      </c>
      <c r="B4497">
        <v>6975423</v>
      </c>
      <c r="C4497" t="s">
        <v>189</v>
      </c>
      <c r="D4497" t="s">
        <v>99</v>
      </c>
      <c r="E4497" s="2" t="str">
        <f>HYPERLINK("https://ibp.a2mac1.com/costing(costing:projects/details/8191/equipment/6948003)","Equipment (Injection Molding)")</f>
        <v>Equipment (Injection Molding)</v>
      </c>
      <c r="F4497" t="s">
        <v>5338</v>
      </c>
    </row>
    <row r="4498" spans="1:6" ht="12.75">
      <c r="A4498">
        <v>6948004</v>
      </c>
      <c r="B4498">
        <v>6975423</v>
      </c>
      <c r="C4498" t="s">
        <v>189</v>
      </c>
      <c r="D4498" t="s">
        <v>99</v>
      </c>
      <c r="E4498" s="2" t="str">
        <f>HYPERLINK("https://ibp.a2mac1.com/costing(costing:projects/details/8191/equipment/6948004)","Equipment (Injection Molding)")</f>
        <v>Equipment (Injection Molding)</v>
      </c>
      <c r="F4498" t="s">
        <v>5338</v>
      </c>
    </row>
    <row r="4499" spans="1:6" ht="12.75">
      <c r="A4499">
        <v>5388461</v>
      </c>
      <c r="B4499">
        <v>5388199</v>
      </c>
      <c r="C4499" t="s">
        <v>12</v>
      </c>
      <c r="D4499" t="s">
        <v>8</v>
      </c>
      <c r="E4499" s="2" t="str">
        <f>HYPERLINK("https://ibp.a2mac1.com/costing(costing:projects/details/8191/part/5388461)","Safety Hook Control")</f>
        <v>Safety Hook Control</v>
      </c>
      <c r="F4499" t="s">
        <v>5309</v>
      </c>
    </row>
    <row r="4500" spans="1:6" ht="12.75">
      <c r="A4500">
        <v>6975425</v>
      </c>
      <c r="B4500">
        <v>5388461</v>
      </c>
      <c r="C4500" t="s">
        <v>99</v>
      </c>
      <c r="D4500" t="s">
        <v>12</v>
      </c>
      <c r="E4500" s="2" t="str">
        <f>HYPERLINK("https://ibp.a2mac1.com/costing(costing:projects/details/8191/process/6975425)","Injection molding")</f>
        <v>Injection molding</v>
      </c>
      <c r="F4500" t="s">
        <v>5341</v>
      </c>
    </row>
    <row r="4501" spans="1:6" ht="12.75">
      <c r="A4501">
        <v>5319820</v>
      </c>
      <c r="B4501">
        <v>6975425</v>
      </c>
      <c r="C4501" t="s">
        <v>24</v>
      </c>
      <c r="D4501" t="s">
        <v>99</v>
      </c>
      <c r="E4501" s="2" t="str">
        <f>HYPERLINK("https://ibp.a2mac1.com/costing(costing:projects/details/8191/material/5319820)","PBT-GF30")</f>
        <v>PBT-GF30</v>
      </c>
      <c r="F4501" t="s">
        <v>5343</v>
      </c>
    </row>
    <row r="4502" spans="1:6" ht="12.75">
      <c r="A4502">
        <v>6948006</v>
      </c>
      <c r="B4502">
        <v>6975425</v>
      </c>
      <c r="C4502" t="s">
        <v>189</v>
      </c>
      <c r="D4502" t="s">
        <v>99</v>
      </c>
      <c r="E4502" s="2" t="str">
        <f>HYPERLINK("https://ibp.a2mac1.com/costing(costing:projects/details/8191/equipment/6948006)","No.01 - Injection Press - 40T - 18kW - 270x270 - Max Volume 128cm3 ")</f>
        <v xml:space="preserve">No.01 - Injection Press - 40T - 18kW - 270x270 - Max Volume 128cm3 </v>
      </c>
      <c r="F4502" t="s">
        <v>5343</v>
      </c>
    </row>
    <row r="4503" spans="1:6" ht="12.75">
      <c r="A4503">
        <v>6975424</v>
      </c>
      <c r="B4503">
        <v>5388461</v>
      </c>
      <c r="C4503" t="s">
        <v>99</v>
      </c>
      <c r="D4503" t="s">
        <v>12</v>
      </c>
      <c r="E4503" s="2" t="str">
        <f>HYPERLINK("https://ibp.a2mac1.com/costing(costing:projects/details/8191/process/6975424)","Handling/Visual Inspection/Packaging")</f>
        <v>Handling/Visual Inspection/Packaging</v>
      </c>
      <c r="F4503" t="s">
        <v>5341</v>
      </c>
    </row>
    <row r="4504" spans="1:6" ht="12.75">
      <c r="A4504">
        <v>6948005</v>
      </c>
      <c r="B4504">
        <v>6975424</v>
      </c>
      <c r="C4504" t="s">
        <v>189</v>
      </c>
      <c r="D4504" t="s">
        <v>99</v>
      </c>
      <c r="E4504" s="2" t="str">
        <f>HYPERLINK("https://ibp.a2mac1.com/costing(costing:projects/details/8191/equipment/6948005)","Packaging")</f>
        <v>Packaging</v>
      </c>
      <c r="F4504" t="s">
        <v>5344</v>
      </c>
    </row>
    <row r="4505" spans="1:6" ht="12.75">
      <c r="A4505">
        <v>5388462</v>
      </c>
      <c r="B4505">
        <v>5388199</v>
      </c>
      <c r="C4505" t="s">
        <v>12</v>
      </c>
      <c r="D4505" t="s">
        <v>8</v>
      </c>
      <c r="E4505" s="2" t="str">
        <f>HYPERLINK("https://ibp.a2mac1.com/costing(costing:projects/details/8191/part/5388462)","Safety Hook Control Support")</f>
        <v>Safety Hook Control Support</v>
      </c>
      <c r="F4505" t="s">
        <v>5309</v>
      </c>
    </row>
    <row r="4506" spans="1:6" ht="12.75">
      <c r="A4506">
        <v>6975426</v>
      </c>
      <c r="B4506">
        <v>5388462</v>
      </c>
      <c r="C4506" t="s">
        <v>99</v>
      </c>
      <c r="D4506" t="s">
        <v>12</v>
      </c>
      <c r="E4506" s="2" t="str">
        <f>HYPERLINK("https://ibp.a2mac1.com/costing(costing:projects/details/8191/process/6975426)","Stamping ")</f>
        <v xml:space="preserve">Stamping </v>
      </c>
      <c r="F4506" t="s">
        <v>5347</v>
      </c>
    </row>
    <row r="4507" spans="1:6" ht="12.75">
      <c r="A4507">
        <v>5319821</v>
      </c>
      <c r="B4507">
        <v>6975426</v>
      </c>
      <c r="C4507" t="s">
        <v>24</v>
      </c>
      <c r="D4507" t="s">
        <v>99</v>
      </c>
      <c r="E4507" s="2" t="str">
        <f>HYPERLINK("https://ibp.a2mac1.com/costing(costing:projects/details/8191/material/5319821)","Standard Structural Steel sheet")</f>
        <v>Standard Structural Steel sheet</v>
      </c>
      <c r="F4507" t="s">
        <v>5349</v>
      </c>
    </row>
    <row r="4508" spans="1:6" ht="12.75">
      <c r="A4508">
        <v>6948007</v>
      </c>
      <c r="B4508">
        <v>6975426</v>
      </c>
      <c r="C4508" t="s">
        <v>189</v>
      </c>
      <c r="D4508" t="s">
        <v>99</v>
      </c>
      <c r="E4508" s="2" t="str">
        <f>HYPERLINK("https://ibp.a2mac1.com/costing(costing:projects/details/8191/equipment/6948007)","Equipment (Stamping)")</f>
        <v>Equipment (Stamping)</v>
      </c>
      <c r="F4508" t="s">
        <v>5349</v>
      </c>
    </row>
    <row r="4509" spans="1:6" ht="12.75">
      <c r="A4509">
        <v>5388464</v>
      </c>
      <c r="B4509">
        <v>5388199</v>
      </c>
      <c r="C4509" t="s">
        <v>12</v>
      </c>
      <c r="D4509" t="s">
        <v>8</v>
      </c>
      <c r="E4509" s="2" t="str">
        <f>HYPERLINK("https://ibp.a2mac1.com/costing(costing:projects/details/8191/part/5388464)","Reverse Duct Hole Cover")</f>
        <v>Reverse Duct Hole Cover</v>
      </c>
      <c r="F4509" t="s">
        <v>5309</v>
      </c>
    </row>
    <row r="4510" spans="1:6" ht="12.75">
      <c r="A4510">
        <v>6975427</v>
      </c>
      <c r="B4510">
        <v>5388464</v>
      </c>
      <c r="C4510" t="s">
        <v>99</v>
      </c>
      <c r="D4510" t="s">
        <v>12</v>
      </c>
      <c r="E4510" s="2" t="str">
        <f>HYPERLINK("https://ibp.a2mac1.com/costing(costing:projects/details/8191/process/6975427)","Injection molding")</f>
        <v>Injection molding</v>
      </c>
      <c r="F4510" t="s">
        <v>5351</v>
      </c>
    </row>
    <row r="4511" spans="1:6" ht="12.75">
      <c r="A4511">
        <v>5319822</v>
      </c>
      <c r="B4511">
        <v>6975427</v>
      </c>
      <c r="C4511" t="s">
        <v>24</v>
      </c>
      <c r="D4511" t="s">
        <v>99</v>
      </c>
      <c r="E4511" s="2" t="str">
        <f>HYPERLINK("https://ibp.a2mac1.com/costing(costing:projects/details/8191/material/5319822)","EPDM")</f>
        <v>EPDM</v>
      </c>
      <c r="F4511" t="s">
        <v>5352</v>
      </c>
    </row>
    <row r="4512" spans="1:6" ht="12.75">
      <c r="A4512">
        <v>6948008</v>
      </c>
      <c r="B4512">
        <v>6975427</v>
      </c>
      <c r="C4512" t="s">
        <v>189</v>
      </c>
      <c r="D4512" t="s">
        <v>99</v>
      </c>
      <c r="E4512" s="2" t="str">
        <f>HYPERLINK("https://ibp.a2mac1.com/costing(costing:projects/details/8191/equipment/6948008)","Equipment (Injection Molding)")</f>
        <v>Equipment (Injection Molding)</v>
      </c>
      <c r="F4512" t="s">
        <v>5352</v>
      </c>
    </row>
    <row r="4513" spans="1:6" ht="12.75">
      <c r="A4513">
        <v>5388200</v>
      </c>
      <c r="B4513">
        <v>5388135</v>
      </c>
      <c r="C4513" t="s">
        <v>8</v>
      </c>
      <c r="D4513" t="s">
        <v>8</v>
      </c>
      <c r="E4513" s="2" t="str">
        <f>HYPERLINK("https://ibp.a2mac1.com/costing(costing:projects/details/8191/assembly/5388200)","Sealing")</f>
        <v>Sealing</v>
      </c>
      <c r="F4513" t="s">
        <v>5288</v>
      </c>
    </row>
    <row r="4514" spans="1:6" ht="12.75">
      <c r="A4514">
        <v>5388466</v>
      </c>
      <c r="B4514">
        <v>5388200</v>
      </c>
      <c r="C4514" t="s">
        <v>12</v>
      </c>
      <c r="D4514" t="s">
        <v>8</v>
      </c>
      <c r="E4514" s="2" t="str">
        <f>HYPERLINK("https://ibp.a2mac1.com/costing(costing:projects/details/8191/part/5388466)","Seal Hood Scuttle Grill")</f>
        <v>Seal Hood Scuttle Grill</v>
      </c>
      <c r="F4514" t="s">
        <v>5355</v>
      </c>
    </row>
    <row r="4515" spans="1:6" ht="12.75">
      <c r="A4515">
        <v>6975428</v>
      </c>
      <c r="B4515">
        <v>5388466</v>
      </c>
      <c r="C4515" t="s">
        <v>99</v>
      </c>
      <c r="D4515" t="s">
        <v>12</v>
      </c>
      <c r="E4515" s="2" t="str">
        <f>HYPERLINK("https://ibp.a2mac1.com/costing(costing:projects/details/8191/process/6975428)","Seal Extrusion")</f>
        <v>Seal Extrusion</v>
      </c>
      <c r="F4515" t="s">
        <v>5356</v>
      </c>
    </row>
    <row r="4516" spans="1:6" ht="12.75">
      <c r="A4516">
        <v>5319823</v>
      </c>
      <c r="B4516">
        <v>6975428</v>
      </c>
      <c r="C4516" t="s">
        <v>24</v>
      </c>
      <c r="D4516" t="s">
        <v>99</v>
      </c>
      <c r="E4516" s="2" t="str">
        <f>HYPERLINK("https://ibp.a2mac1.com/costing(costing:projects/details/8191/material/5319823)","EPDM")</f>
        <v>EPDM</v>
      </c>
      <c r="F4516" t="s">
        <v>5359</v>
      </c>
    </row>
    <row r="4517" spans="1:6" ht="12.75">
      <c r="A4517">
        <v>5319824</v>
      </c>
      <c r="B4517">
        <v>6975428</v>
      </c>
      <c r="C4517" t="s">
        <v>24</v>
      </c>
      <c r="D4517" t="s">
        <v>99</v>
      </c>
      <c r="E4517" s="2" t="str">
        <f>HYPERLINK("https://ibp.a2mac1.com/costing(costing:projects/details/8191/material/5319824)","Standard Structural Steel sheet")</f>
        <v>Standard Structural Steel sheet</v>
      </c>
      <c r="F4517" t="s">
        <v>5359</v>
      </c>
    </row>
    <row r="4518" spans="1:6" ht="12.75">
      <c r="A4518">
        <v>6948009</v>
      </c>
      <c r="B4518">
        <v>6975428</v>
      </c>
      <c r="C4518" t="s">
        <v>189</v>
      </c>
      <c r="D4518" t="s">
        <v>99</v>
      </c>
      <c r="E4518" s="2" t="str">
        <f>HYPERLINK("https://ibp.a2mac1.com/costing(costing:projects/details/8191/equipment/6948009)","Rubber Extrusion machine")</f>
        <v>Rubber Extrusion machine</v>
      </c>
      <c r="F4518" t="s">
        <v>5359</v>
      </c>
    </row>
    <row r="4519" spans="1:6" ht="12.75">
      <c r="A4519">
        <v>5388201</v>
      </c>
      <c r="B4519">
        <v>5388135</v>
      </c>
      <c r="C4519" t="s">
        <v>8</v>
      </c>
      <c r="D4519" t="s">
        <v>8</v>
      </c>
      <c r="E4519" s="2" t="str">
        <f>HYPERLINK("https://ibp.a2mac1.com/costing(costing:projects/details/8191/assembly/5388201)","Stoppers")</f>
        <v>Stoppers</v>
      </c>
      <c r="F4519" t="s">
        <v>5288</v>
      </c>
    </row>
    <row r="4520" spans="1:6" ht="12.75">
      <c r="A4520">
        <v>5388473</v>
      </c>
      <c r="B4520">
        <v>5388201</v>
      </c>
      <c r="C4520" t="s">
        <v>8</v>
      </c>
      <c r="D4520" t="s">
        <v>8</v>
      </c>
      <c r="E4520" s="2" t="str">
        <f>HYPERLINK("https://ibp.a2mac1.com/costing(costing:projects/details/8191/assembly/5388473)","Fastners")</f>
        <v>Fastners</v>
      </c>
      <c r="F4520" t="s">
        <v>5365</v>
      </c>
    </row>
    <row r="4521" spans="1:6" ht="12.75">
      <c r="A4521">
        <v>5319587</v>
      </c>
      <c r="B4521">
        <v>5388473</v>
      </c>
      <c r="C4521" t="s">
        <v>574</v>
      </c>
      <c r="D4521" t="s">
        <v>8</v>
      </c>
      <c r="E4521" s="2" t="str">
        <f>HYPERLINK("https://ibp.a2mac1.com/costing(costing:projects/details/8191/component/5319587)","Screw &gt; Torx socket head cap screw with flange")</f>
        <v>Screw &gt; Torx socket head cap screw with flange</v>
      </c>
      <c r="F4521" t="s">
        <v>5366</v>
      </c>
    </row>
    <row r="4522" spans="1:6" ht="12.75">
      <c r="A4522">
        <v>5319588</v>
      </c>
      <c r="B4522">
        <v>5388473</v>
      </c>
      <c r="C4522" t="s">
        <v>574</v>
      </c>
      <c r="D4522" t="s">
        <v>8</v>
      </c>
      <c r="E4522" s="2" t="str">
        <f>HYPERLINK("https://ibp.a2mac1.com/costing(costing:projects/details/8191/component/5319588)","Spacer/Axle &gt; Flange")</f>
        <v>Spacer/Axle &gt; Flange</v>
      </c>
      <c r="F4522" t="s">
        <v>5366</v>
      </c>
    </row>
    <row r="4523" spans="1:6" ht="12.75">
      <c r="A4523">
        <v>5388467</v>
      </c>
      <c r="B4523">
        <v>5388201</v>
      </c>
      <c r="C4523" t="s">
        <v>12</v>
      </c>
      <c r="D4523" t="s">
        <v>8</v>
      </c>
      <c r="E4523" s="2" t="str">
        <f>HYPERLINK("https://ibp.a2mac1.com/costing(costing:projects/details/8191/part/5388467)","Fixed Stoppers on Body")</f>
        <v>Fixed Stoppers on Body</v>
      </c>
      <c r="F4523" t="s">
        <v>5365</v>
      </c>
    </row>
    <row r="4524" spans="1:6" ht="12.75">
      <c r="A4524">
        <v>6975429</v>
      </c>
      <c r="B4524">
        <v>5388467</v>
      </c>
      <c r="C4524" t="s">
        <v>99</v>
      </c>
      <c r="D4524" t="s">
        <v>12</v>
      </c>
      <c r="E4524" s="2" t="str">
        <f>HYPERLINK("https://ibp.a2mac1.com/costing(costing:projects/details/8191/process/6975429)","Injection molding")</f>
        <v>Injection molding</v>
      </c>
      <c r="F4524" t="s">
        <v>5367</v>
      </c>
    </row>
    <row r="4525" spans="1:6" ht="12.75">
      <c r="A4525">
        <v>5319825</v>
      </c>
      <c r="B4525">
        <v>6975429</v>
      </c>
      <c r="C4525" t="s">
        <v>24</v>
      </c>
      <c r="D4525" t="s">
        <v>99</v>
      </c>
      <c r="E4525" s="2" t="str">
        <f>HYPERLINK("https://ibp.a2mac1.com/costing(costing:projects/details/8191/material/5319825)","PP")</f>
        <v>PP</v>
      </c>
      <c r="F4525" t="s">
        <v>5368</v>
      </c>
    </row>
    <row r="4526" spans="1:6" ht="12.75">
      <c r="A4526">
        <v>6948010</v>
      </c>
      <c r="B4526">
        <v>6975429</v>
      </c>
      <c r="C4526" t="s">
        <v>189</v>
      </c>
      <c r="D4526" t="s">
        <v>99</v>
      </c>
      <c r="E4526" s="2" t="str">
        <f>HYPERLINK("https://ibp.a2mac1.com/costing(costing:projects/details/8191/equipment/6948010)","Equipment (Injection Molding)")</f>
        <v>Equipment (Injection Molding)</v>
      </c>
      <c r="F4526" t="s">
        <v>5368</v>
      </c>
    </row>
    <row r="4527" spans="1:6" ht="12.75">
      <c r="A4527">
        <v>5388468</v>
      </c>
      <c r="B4527">
        <v>5388201</v>
      </c>
      <c r="C4527" t="s">
        <v>12</v>
      </c>
      <c r="D4527" t="s">
        <v>8</v>
      </c>
      <c r="E4527" s="2" t="str">
        <f>HYPERLINK("https://ibp.a2mac1.com/costing(costing:projects/details/8191/part/5388468)","2nd Fixed Stopper on Body")</f>
        <v>2nd Fixed Stopper on Body</v>
      </c>
      <c r="F4527" t="s">
        <v>5365</v>
      </c>
    </row>
    <row r="4528" spans="1:6" ht="12.75">
      <c r="A4528">
        <v>6975430</v>
      </c>
      <c r="B4528">
        <v>5388468</v>
      </c>
      <c r="C4528" t="s">
        <v>99</v>
      </c>
      <c r="D4528" t="s">
        <v>12</v>
      </c>
      <c r="E4528" s="2" t="str">
        <f>HYPERLINK("https://ibp.a2mac1.com/costing(costing:projects/details/8191/process/6975430)","Injection molding")</f>
        <v>Injection molding</v>
      </c>
      <c r="F4528" t="s">
        <v>5370</v>
      </c>
    </row>
    <row r="4529" spans="1:6" ht="12.75">
      <c r="A4529">
        <v>5319826</v>
      </c>
      <c r="B4529">
        <v>6975430</v>
      </c>
      <c r="C4529" t="s">
        <v>24</v>
      </c>
      <c r="D4529" t="s">
        <v>99</v>
      </c>
      <c r="E4529" s="2" t="str">
        <f>HYPERLINK("https://ibp.a2mac1.com/costing(costing:projects/details/8191/material/5319826)","PP")</f>
        <v>PP</v>
      </c>
      <c r="F4529" t="s">
        <v>5371</v>
      </c>
    </row>
    <row r="4530" spans="1:6" ht="12.75">
      <c r="A4530">
        <v>6948011</v>
      </c>
      <c r="B4530">
        <v>6975430</v>
      </c>
      <c r="C4530" t="s">
        <v>189</v>
      </c>
      <c r="D4530" t="s">
        <v>99</v>
      </c>
      <c r="E4530" s="2" t="str">
        <f>HYPERLINK("https://ibp.a2mac1.com/costing(costing:projects/details/8191/equipment/6948011)","Equipment (Injection Molding)")</f>
        <v>Equipment (Injection Molding)</v>
      </c>
      <c r="F4530" t="s">
        <v>5371</v>
      </c>
    </row>
    <row r="4531" spans="1:6" ht="12.75">
      <c r="A4531">
        <v>5388469</v>
      </c>
      <c r="B4531">
        <v>5388201</v>
      </c>
      <c r="C4531" t="s">
        <v>12</v>
      </c>
      <c r="D4531" t="s">
        <v>8</v>
      </c>
      <c r="E4531" s="2" t="str">
        <f>HYPERLINK("https://ibp.a2mac1.com/costing(costing:projects/details/8191/part/5388469)","3rd Fixed Stopper on Body")</f>
        <v>3rd Fixed Stopper on Body</v>
      </c>
      <c r="F4531" t="s">
        <v>5365</v>
      </c>
    </row>
    <row r="4532" spans="1:6" ht="12.75">
      <c r="A4532">
        <v>6975431</v>
      </c>
      <c r="B4532">
        <v>5388469</v>
      </c>
      <c r="C4532" t="s">
        <v>99</v>
      </c>
      <c r="D4532" t="s">
        <v>12</v>
      </c>
      <c r="E4532" s="2" t="str">
        <f>HYPERLINK("https://ibp.a2mac1.com/costing(costing:projects/details/8191/process/6975431)","Injection molding")</f>
        <v>Injection molding</v>
      </c>
      <c r="F4532" t="s">
        <v>5373</v>
      </c>
    </row>
    <row r="4533" spans="1:6" ht="12.75">
      <c r="A4533">
        <v>5319827</v>
      </c>
      <c r="B4533">
        <v>6975431</v>
      </c>
      <c r="C4533" t="s">
        <v>24</v>
      </c>
      <c r="D4533" t="s">
        <v>99</v>
      </c>
      <c r="E4533" s="2" t="str">
        <f>HYPERLINK("https://ibp.a2mac1.com/costing(costing:projects/details/8191/material/5319827)","PP")</f>
        <v>PP</v>
      </c>
      <c r="F4533" t="s">
        <v>5374</v>
      </c>
    </row>
    <row r="4534" spans="1:6" ht="12.75">
      <c r="A4534">
        <v>6948012</v>
      </c>
      <c r="B4534">
        <v>6975431</v>
      </c>
      <c r="C4534" t="s">
        <v>189</v>
      </c>
      <c r="D4534" t="s">
        <v>99</v>
      </c>
      <c r="E4534" s="2" t="str">
        <f>HYPERLINK("https://ibp.a2mac1.com/costing(costing:projects/details/8191/equipment/6948012)","Equipment (Injection Molding)")</f>
        <v>Equipment (Injection Molding)</v>
      </c>
      <c r="F4534" t="s">
        <v>5374</v>
      </c>
    </row>
    <row r="4535" spans="1:6" ht="12.75">
      <c r="A4535">
        <v>5388470</v>
      </c>
      <c r="B4535">
        <v>5388201</v>
      </c>
      <c r="C4535" t="s">
        <v>12</v>
      </c>
      <c r="D4535" t="s">
        <v>8</v>
      </c>
      <c r="E4535" s="2" t="str">
        <f>HYPERLINK("https://ibp.a2mac1.com/costing(costing:projects/details/8191/part/5388470)","Adjustable Stopper on Hood")</f>
        <v>Adjustable Stopper on Hood</v>
      </c>
      <c r="F4535" t="s">
        <v>5365</v>
      </c>
    </row>
    <row r="4536" spans="1:6" ht="12.75">
      <c r="A4536">
        <v>6975432</v>
      </c>
      <c r="B4536">
        <v>5388470</v>
      </c>
      <c r="C4536" t="s">
        <v>99</v>
      </c>
      <c r="D4536" t="s">
        <v>12</v>
      </c>
      <c r="E4536" s="2" t="str">
        <f>HYPERLINK("https://ibp.a2mac1.com/costing(costing:projects/details/8191/process/6975432)","Injection molding")</f>
        <v>Injection molding</v>
      </c>
      <c r="F4536" t="s">
        <v>5376</v>
      </c>
    </row>
    <row r="4537" spans="1:6" ht="12.75">
      <c r="A4537">
        <v>5319828</v>
      </c>
      <c r="B4537">
        <v>6975432</v>
      </c>
      <c r="C4537" t="s">
        <v>24</v>
      </c>
      <c r="D4537" t="s">
        <v>99</v>
      </c>
      <c r="E4537" s="2" t="str">
        <f>HYPERLINK("https://ibp.a2mac1.com/costing(costing:projects/details/8191/material/5319828)","EPDM")</f>
        <v>EPDM</v>
      </c>
      <c r="F4537" t="s">
        <v>5377</v>
      </c>
    </row>
    <row r="4538" spans="1:6" ht="12.75">
      <c r="A4538">
        <v>6948013</v>
      </c>
      <c r="B4538">
        <v>6975432</v>
      </c>
      <c r="C4538" t="s">
        <v>189</v>
      </c>
      <c r="D4538" t="s">
        <v>99</v>
      </c>
      <c r="E4538" s="2" t="str">
        <f>HYPERLINK("https://ibp.a2mac1.com/costing(costing:projects/details/8191/equipment/6948013)","Equipment (Injection Molding)")</f>
        <v>Equipment (Injection Molding)</v>
      </c>
      <c r="F4538" t="s">
        <v>5377</v>
      </c>
    </row>
    <row r="4539" spans="1:6" ht="12.75">
      <c r="A4539">
        <v>5388471</v>
      </c>
      <c r="B4539">
        <v>5388201</v>
      </c>
      <c r="C4539" t="s">
        <v>12</v>
      </c>
      <c r="D4539" t="s">
        <v>8</v>
      </c>
      <c r="E4539" s="2" t="str">
        <f>HYPERLINK("https://ibp.a2mac1.com/costing(costing:projects/details/8191/part/5388471)","Support on Body")</f>
        <v>Support on Body</v>
      </c>
      <c r="F4539" t="s">
        <v>5365</v>
      </c>
    </row>
    <row r="4540" spans="1:6" ht="12.75">
      <c r="A4540">
        <v>6975433</v>
      </c>
      <c r="B4540">
        <v>5388471</v>
      </c>
      <c r="C4540" t="s">
        <v>99</v>
      </c>
      <c r="D4540" t="s">
        <v>12</v>
      </c>
      <c r="E4540" s="2" t="str">
        <f>HYPERLINK("https://ibp.a2mac1.com/costing(costing:projects/details/8191/process/6975433)","Injection molding")</f>
        <v>Injection molding</v>
      </c>
      <c r="F4540" t="s">
        <v>5379</v>
      </c>
    </row>
    <row r="4541" spans="1:6" ht="12.75">
      <c r="A4541">
        <v>5319829</v>
      </c>
      <c r="B4541">
        <v>6975433</v>
      </c>
      <c r="C4541" t="s">
        <v>24</v>
      </c>
      <c r="D4541" t="s">
        <v>99</v>
      </c>
      <c r="E4541" s="2" t="str">
        <f>HYPERLINK("https://ibp.a2mac1.com/costing(costing:projects/details/8191/material/5319829)","PP")</f>
        <v>PP</v>
      </c>
      <c r="F4541" t="s">
        <v>5381</v>
      </c>
    </row>
    <row r="4542" spans="1:6" ht="12.75">
      <c r="A4542">
        <v>6948014</v>
      </c>
      <c r="B4542">
        <v>6975433</v>
      </c>
      <c r="C4542" t="s">
        <v>189</v>
      </c>
      <c r="D4542" t="s">
        <v>99</v>
      </c>
      <c r="E4542" s="2" t="str">
        <f>HYPERLINK("https://ibp.a2mac1.com/costing(costing:projects/details/8191/equipment/6948014)","Equipment (Injection Molding)")</f>
        <v>Equipment (Injection Molding)</v>
      </c>
      <c r="F4542" t="s">
        <v>5381</v>
      </c>
    </row>
    <row r="4543" spans="1:6" ht="12.75">
      <c r="A4543">
        <v>5388472</v>
      </c>
      <c r="B4543">
        <v>5388201</v>
      </c>
      <c r="C4543" t="s">
        <v>12</v>
      </c>
      <c r="D4543" t="s">
        <v>8</v>
      </c>
      <c r="E4543" s="2" t="str">
        <f>HYPERLINK("https://ibp.a2mac1.com/costing(costing:projects/details/8191/part/5388472)","2nd Support on Body")</f>
        <v>2nd Support on Body</v>
      </c>
      <c r="F4543" t="s">
        <v>5365</v>
      </c>
    </row>
    <row r="4544" spans="1:6" ht="12.75">
      <c r="A4544">
        <v>6975434</v>
      </c>
      <c r="B4544">
        <v>5388472</v>
      </c>
      <c r="C4544" t="s">
        <v>99</v>
      </c>
      <c r="D4544" t="s">
        <v>12</v>
      </c>
      <c r="E4544" s="2" t="str">
        <f>HYPERLINK("https://ibp.a2mac1.com/costing(costing:projects/details/8191/process/6975434)","Injection molding")</f>
        <v>Injection molding</v>
      </c>
      <c r="F4544" t="s">
        <v>5384</v>
      </c>
    </row>
    <row r="4545" spans="1:6" ht="12.75">
      <c r="A4545">
        <v>5319830</v>
      </c>
      <c r="B4545">
        <v>6975434</v>
      </c>
      <c r="C4545" t="s">
        <v>24</v>
      </c>
      <c r="D4545" t="s">
        <v>99</v>
      </c>
      <c r="E4545" s="2" t="str">
        <f>HYPERLINK("https://ibp.a2mac1.com/costing(costing:projects/details/8191/material/5319830)","PP")</f>
        <v>PP</v>
      </c>
      <c r="F4545" t="s">
        <v>5385</v>
      </c>
    </row>
    <row r="4546" spans="1:6" ht="12.75">
      <c r="A4546">
        <v>6948015</v>
      </c>
      <c r="B4546">
        <v>6975434</v>
      </c>
      <c r="C4546" t="s">
        <v>189</v>
      </c>
      <c r="D4546" t="s">
        <v>99</v>
      </c>
      <c r="E4546" s="2" t="str">
        <f>HYPERLINK("https://ibp.a2mac1.com/costing(costing:projects/details/8191/equipment/6948015)","Equipment (Injection Molding)")</f>
        <v>Equipment (Injection Molding)</v>
      </c>
      <c r="F4546" t="s">
        <v>5385</v>
      </c>
    </row>
    <row r="4547" spans="1:6" ht="12.75">
      <c r="A4547">
        <v>5388202</v>
      </c>
      <c r="B4547">
        <v>5388135</v>
      </c>
      <c r="C4547" t="s">
        <v>8</v>
      </c>
      <c r="D4547" t="s">
        <v>8</v>
      </c>
      <c r="E4547" s="2" t="str">
        <f>HYPERLINK("https://ibp.a2mac1.com/costing(costing:projects/details/8191/assembly/5388202)","Hood Check Fixing")</f>
        <v>Hood Check Fixing</v>
      </c>
      <c r="F4547" t="s">
        <v>5288</v>
      </c>
    </row>
    <row r="4548" spans="1:6" ht="12.75">
      <c r="A4548">
        <v>5388474</v>
      </c>
      <c r="B4548">
        <v>5388202</v>
      </c>
      <c r="C4548" t="s">
        <v>12</v>
      </c>
      <c r="D4548" t="s">
        <v>8</v>
      </c>
      <c r="E4548" s="2" t="str">
        <f>HYPERLINK("https://ibp.a2mac1.com/costing(costing:projects/details/8191/part/5388474)","On Body")</f>
        <v>On Body</v>
      </c>
      <c r="F4548" t="s">
        <v>5388</v>
      </c>
    </row>
    <row r="4549" spans="1:6" ht="12.75">
      <c r="A4549">
        <v>6975435</v>
      </c>
      <c r="B4549">
        <v>5388474</v>
      </c>
      <c r="C4549" t="s">
        <v>99</v>
      </c>
      <c r="D4549" t="s">
        <v>12</v>
      </c>
      <c r="E4549" s="2" t="str">
        <f>HYPERLINK("https://ibp.a2mac1.com/costing(costing:projects/details/8191/process/6975435)","Injection molding")</f>
        <v>Injection molding</v>
      </c>
      <c r="F4549" t="s">
        <v>5389</v>
      </c>
    </row>
    <row r="4550" spans="1:6" ht="12.75">
      <c r="A4550">
        <v>5319831</v>
      </c>
      <c r="B4550">
        <v>6975435</v>
      </c>
      <c r="C4550" t="s">
        <v>24</v>
      </c>
      <c r="D4550" t="s">
        <v>99</v>
      </c>
      <c r="E4550" s="2" t="str">
        <f>HYPERLINK("https://ibp.a2mac1.com/costing(costing:projects/details/8191/material/5319831)","POM")</f>
        <v>POM</v>
      </c>
      <c r="F4550" t="s">
        <v>5391</v>
      </c>
    </row>
    <row r="4551" spans="1:6" ht="12.75">
      <c r="A4551">
        <v>6948016</v>
      </c>
      <c r="B4551">
        <v>6975435</v>
      </c>
      <c r="C4551" t="s">
        <v>189</v>
      </c>
      <c r="D4551" t="s">
        <v>99</v>
      </c>
      <c r="E4551" s="2" t="str">
        <f>HYPERLINK("https://ibp.a2mac1.com/costing(costing:projects/details/8191/equipment/6948016)","Equipment (Injection Molding)")</f>
        <v>Equipment (Injection Molding)</v>
      </c>
      <c r="F4551" t="s">
        <v>5391</v>
      </c>
    </row>
    <row r="4552" spans="1:6" ht="12.75">
      <c r="A4552">
        <v>5388203</v>
      </c>
      <c r="B4552">
        <v>5388135</v>
      </c>
      <c r="C4552" t="s">
        <v>8</v>
      </c>
      <c r="D4552" t="s">
        <v>8</v>
      </c>
      <c r="E4552" s="2" t="str">
        <f>HYPERLINK("https://ibp.a2mac1.com/costing(costing:projects/details/8191/assembly/5388203)","Hood")</f>
        <v>Hood</v>
      </c>
      <c r="F4552" t="s">
        <v>5288</v>
      </c>
    </row>
    <row r="4553" spans="1:6" ht="12.75">
      <c r="A4553">
        <v>5388475</v>
      </c>
      <c r="B4553">
        <v>5388203</v>
      </c>
      <c r="C4553" t="s">
        <v>8</v>
      </c>
      <c r="D4553" t="s">
        <v>8</v>
      </c>
      <c r="E4553" s="2" t="str">
        <f>HYPERLINK("https://ibp.a2mac1.com/costing(costing:projects/details/8191/assembly/5388475)","Lining assy")</f>
        <v>Lining assy</v>
      </c>
      <c r="F4553" t="s">
        <v>5394</v>
      </c>
    </row>
    <row r="4554" spans="1:6" ht="12.75">
      <c r="A4554">
        <v>5388818</v>
      </c>
      <c r="B4554">
        <v>5388475</v>
      </c>
      <c r="C4554" t="s">
        <v>8</v>
      </c>
      <c r="D4554" t="s">
        <v>8</v>
      </c>
      <c r="E4554" s="2" t="str">
        <f>HYPERLINK("https://ibp.a2mac1.com/costing(costing:projects/details/8191/assembly/5388818)","Lining")</f>
        <v>Lining</v>
      </c>
      <c r="F4554" t="s">
        <v>5395</v>
      </c>
    </row>
    <row r="4555" spans="1:6" ht="12.75">
      <c r="A4555">
        <v>5389198</v>
      </c>
      <c r="B4555">
        <v>5388818</v>
      </c>
      <c r="C4555" t="s">
        <v>12</v>
      </c>
      <c r="D4555" t="s">
        <v>8</v>
      </c>
      <c r="E4555" s="2" t="str">
        <f>HYPERLINK("https://ibp.a2mac1.com/costing(costing:projects/details/8191/part/5389198)","Part 01 single/main")</f>
        <v>Part 01 single/main</v>
      </c>
      <c r="F4555" t="s">
        <v>5396</v>
      </c>
    </row>
    <row r="4556" spans="1:6" ht="12.75">
      <c r="A4556">
        <v>6975820</v>
      </c>
      <c r="B4556">
        <v>5389198</v>
      </c>
      <c r="C4556" t="s">
        <v>99</v>
      </c>
      <c r="D4556" t="s">
        <v>12</v>
      </c>
      <c r="E4556" s="2" t="str">
        <f>HYPERLINK("https://ibp.a2mac1.com/costing(costing:projects/details/8191/process/6975820)","Manufacturing Process")</f>
        <v>Manufacturing Process</v>
      </c>
      <c r="F4556" t="s">
        <v>5397</v>
      </c>
    </row>
    <row r="4557" spans="1:6" ht="12.75">
      <c r="A4557">
        <v>5320264</v>
      </c>
      <c r="B4557">
        <v>6975820</v>
      </c>
      <c r="C4557" t="s">
        <v>24</v>
      </c>
      <c r="D4557" t="s">
        <v>99</v>
      </c>
      <c r="E4557" s="2" t="str">
        <f>HYPERLINK("https://ibp.a2mac1.com/costing(costing:projects/details/8191/material/5320264)","Standard Structural Steel sheet")</f>
        <v>Standard Structural Steel sheet</v>
      </c>
      <c r="F4557" t="s">
        <v>5400</v>
      </c>
    </row>
    <row r="4558" spans="1:6" ht="12.75">
      <c r="A4558">
        <v>6948415</v>
      </c>
      <c r="B4558">
        <v>6975820</v>
      </c>
      <c r="C4558" t="s">
        <v>189</v>
      </c>
      <c r="D4558" t="s">
        <v>99</v>
      </c>
      <c r="E4558" s="2" t="str">
        <f>HYPERLINK("https://ibp.a2mac1.com/costing(costing:projects/details/8191/equipment/6948415)","Equipment (Stamping)")</f>
        <v>Equipment (Stamping)</v>
      </c>
      <c r="F4558" t="s">
        <v>5400</v>
      </c>
    </row>
    <row r="4559" spans="1:6" ht="12.75">
      <c r="A4559">
        <v>5388819</v>
      </c>
      <c r="B4559">
        <v>5388475</v>
      </c>
      <c r="C4559" t="s">
        <v>8</v>
      </c>
      <c r="D4559" t="s">
        <v>8</v>
      </c>
      <c r="E4559" s="2" t="str">
        <f>HYPERLINK("https://ibp.a2mac1.com/costing(costing:projects/details/8191/assembly/5388819)","Fixing parts")</f>
        <v>Fixing parts</v>
      </c>
      <c r="F4559" t="s">
        <v>5395</v>
      </c>
    </row>
    <row r="4560" spans="1:6" ht="12.75">
      <c r="A4560">
        <v>5389199</v>
      </c>
      <c r="B4560">
        <v>5388819</v>
      </c>
      <c r="C4560" t="s">
        <v>12</v>
      </c>
      <c r="D4560" t="s">
        <v>8</v>
      </c>
      <c r="E4560" s="2" t="str">
        <f>HYPERLINK("https://ibp.a2mac1.com/costing(costing:projects/details/8191/part/5389199)","Part 01 main/single")</f>
        <v>Part 01 main/single</v>
      </c>
      <c r="F4560" t="s">
        <v>5401</v>
      </c>
    </row>
    <row r="4561" spans="1:6" ht="12.75">
      <c r="A4561">
        <v>6975821</v>
      </c>
      <c r="B4561">
        <v>5389199</v>
      </c>
      <c r="C4561" t="s">
        <v>99</v>
      </c>
      <c r="D4561" t="s">
        <v>12</v>
      </c>
      <c r="E4561" s="2" t="str">
        <f>HYPERLINK("https://ibp.a2mac1.com/costing(costing:projects/details/8191/process/6975821)","Manufacturing Process")</f>
        <v>Manufacturing Process</v>
      </c>
      <c r="F4561" t="s">
        <v>5402</v>
      </c>
    </row>
    <row r="4562" spans="1:6" ht="12.75">
      <c r="A4562">
        <v>5320265</v>
      </c>
      <c r="B4562">
        <v>6975821</v>
      </c>
      <c r="C4562" t="s">
        <v>24</v>
      </c>
      <c r="D4562" t="s">
        <v>99</v>
      </c>
      <c r="E4562" s="2" t="str">
        <f>HYPERLINK("https://ibp.a2mac1.com/costing(costing:projects/details/8191/material/5320265)","Standard Structural Steel sheet")</f>
        <v>Standard Structural Steel sheet</v>
      </c>
      <c r="F4562" t="s">
        <v>5405</v>
      </c>
    </row>
    <row r="4563" spans="1:6" ht="12.75">
      <c r="A4563">
        <v>6948416</v>
      </c>
      <c r="B4563">
        <v>6975821</v>
      </c>
      <c r="C4563" t="s">
        <v>189</v>
      </c>
      <c r="D4563" t="s">
        <v>99</v>
      </c>
      <c r="E4563" s="2" t="str">
        <f>HYPERLINK("https://ibp.a2mac1.com/costing(costing:projects/details/8191/equipment/6948416)","Equipment (Stamping)")</f>
        <v>Equipment (Stamping)</v>
      </c>
      <c r="F4563" t="s">
        <v>5405</v>
      </c>
    </row>
    <row r="4564" spans="1:6" ht="12.75">
      <c r="A4564">
        <v>5389200</v>
      </c>
      <c r="B4564">
        <v>5388819</v>
      </c>
      <c r="C4564" t="s">
        <v>12</v>
      </c>
      <c r="D4564" t="s">
        <v>8</v>
      </c>
      <c r="E4564" s="2" t="str">
        <f>HYPERLINK("https://ibp.a2mac1.com/costing(costing:projects/details/8191/part/5389200)","Part 02")</f>
        <v>Part 02</v>
      </c>
      <c r="F4564" t="s">
        <v>5401</v>
      </c>
    </row>
    <row r="4565" spans="1:6" ht="12.75">
      <c r="A4565">
        <v>6975822</v>
      </c>
      <c r="B4565">
        <v>5389200</v>
      </c>
      <c r="C4565" t="s">
        <v>99</v>
      </c>
      <c r="D4565" t="s">
        <v>12</v>
      </c>
      <c r="E4565" s="2" t="str">
        <f>HYPERLINK("https://ibp.a2mac1.com/costing(costing:projects/details/8191/process/6975822)","Manufacturing Process")</f>
        <v>Manufacturing Process</v>
      </c>
      <c r="F4565" t="s">
        <v>5406</v>
      </c>
    </row>
    <row r="4566" spans="1:6" ht="12.75">
      <c r="A4566">
        <v>5320266</v>
      </c>
      <c r="B4566">
        <v>6975822</v>
      </c>
      <c r="C4566" t="s">
        <v>24</v>
      </c>
      <c r="D4566" t="s">
        <v>99</v>
      </c>
      <c r="E4566" s="2" t="str">
        <f>HYPERLINK("https://ibp.a2mac1.com/costing(costing:projects/details/8191/material/5320266)","Standard Structural Steel sheet")</f>
        <v>Standard Structural Steel sheet</v>
      </c>
      <c r="F4566" t="s">
        <v>5409</v>
      </c>
    </row>
    <row r="4567" spans="1:6" ht="12.75">
      <c r="A4567">
        <v>6948417</v>
      </c>
      <c r="B4567">
        <v>6975822</v>
      </c>
      <c r="C4567" t="s">
        <v>189</v>
      </c>
      <c r="D4567" t="s">
        <v>99</v>
      </c>
      <c r="E4567" s="2" t="str">
        <f>HYPERLINK("https://ibp.a2mac1.com/costing(costing:projects/details/8191/equipment/6948417)","Equipment (Stamping)")</f>
        <v>Equipment (Stamping)</v>
      </c>
      <c r="F4567" t="s">
        <v>5409</v>
      </c>
    </row>
    <row r="4568" spans="1:6" ht="12.75">
      <c r="A4568">
        <v>5389201</v>
      </c>
      <c r="B4568">
        <v>5388819</v>
      </c>
      <c r="C4568" t="s">
        <v>12</v>
      </c>
      <c r="D4568" t="s">
        <v>8</v>
      </c>
      <c r="E4568" s="2" t="str">
        <f>HYPERLINK("https://ibp.a2mac1.com/costing(costing:projects/details/8191/part/5389201)","Part 03")</f>
        <v>Part 03</v>
      </c>
      <c r="F4568" t="s">
        <v>5401</v>
      </c>
    </row>
    <row r="4569" spans="1:6" ht="12.75">
      <c r="A4569">
        <v>6975823</v>
      </c>
      <c r="B4569">
        <v>5389201</v>
      </c>
      <c r="C4569" t="s">
        <v>99</v>
      </c>
      <c r="D4569" t="s">
        <v>12</v>
      </c>
      <c r="E4569" s="2" t="str">
        <f>HYPERLINK("https://ibp.a2mac1.com/costing(costing:projects/details/8191/process/6975823)","Manufacturing Process")</f>
        <v>Manufacturing Process</v>
      </c>
      <c r="F4569" t="s">
        <v>5410</v>
      </c>
    </row>
    <row r="4570" spans="1:6" ht="12.75">
      <c r="A4570">
        <v>5320267</v>
      </c>
      <c r="B4570">
        <v>6975823</v>
      </c>
      <c r="C4570" t="s">
        <v>24</v>
      </c>
      <c r="D4570" t="s">
        <v>99</v>
      </c>
      <c r="E4570" s="2" t="str">
        <f>HYPERLINK("https://ibp.a2mac1.com/costing(costing:projects/details/8191/material/5320267)","Standard Structural Steel sheet")</f>
        <v>Standard Structural Steel sheet</v>
      </c>
      <c r="F4570" t="s">
        <v>5413</v>
      </c>
    </row>
    <row r="4571" spans="1:6" ht="12.75">
      <c r="A4571">
        <v>6948418</v>
      </c>
      <c r="B4571">
        <v>6975823</v>
      </c>
      <c r="C4571" t="s">
        <v>189</v>
      </c>
      <c r="D4571" t="s">
        <v>99</v>
      </c>
      <c r="E4571" s="2" t="str">
        <f>HYPERLINK("https://ibp.a2mac1.com/costing(costing:projects/details/8191/equipment/6948418)","Equipment (Stamping)")</f>
        <v>Equipment (Stamping)</v>
      </c>
      <c r="F4571" t="s">
        <v>5413</v>
      </c>
    </row>
    <row r="4572" spans="1:6" ht="12.75">
      <c r="A4572">
        <v>5388476</v>
      </c>
      <c r="B4572">
        <v>5388203</v>
      </c>
      <c r="C4572" t="s">
        <v>8</v>
      </c>
      <c r="D4572" t="s">
        <v>8</v>
      </c>
      <c r="E4572" s="2" t="str">
        <f>HYPERLINK("https://ibp.a2mac1.com/costing(costing:projects/details/8191/assembly/5388476)","Outer panel")</f>
        <v>Outer panel</v>
      </c>
      <c r="F4572" t="s">
        <v>5394</v>
      </c>
    </row>
    <row r="4573" spans="1:6" ht="12.75">
      <c r="A4573">
        <v>5388820</v>
      </c>
      <c r="B4573">
        <v>5388476</v>
      </c>
      <c r="C4573" t="s">
        <v>12</v>
      </c>
      <c r="D4573" t="s">
        <v>8</v>
      </c>
      <c r="E4573" s="2" t="str">
        <f>HYPERLINK("https://ibp.a2mac1.com/costing(costing:projects/details/8191/part/5388820)","Part 01 main/single")</f>
        <v>Part 01 main/single</v>
      </c>
      <c r="F4573" t="s">
        <v>5414</v>
      </c>
    </row>
    <row r="4574" spans="1:6" ht="12.75">
      <c r="A4574">
        <v>6975676</v>
      </c>
      <c r="B4574">
        <v>5388820</v>
      </c>
      <c r="C4574" t="s">
        <v>99</v>
      </c>
      <c r="D4574" t="s">
        <v>12</v>
      </c>
      <c r="E4574" s="2" t="str">
        <f>HYPERLINK("https://ibp.a2mac1.com/costing(costing:projects/details/8191/process/6975676)","Manufacturing Process")</f>
        <v>Manufacturing Process</v>
      </c>
      <c r="F4574" t="s">
        <v>5415</v>
      </c>
    </row>
    <row r="4575" spans="1:6" ht="12.75">
      <c r="A4575">
        <v>5320099</v>
      </c>
      <c r="B4575">
        <v>6975676</v>
      </c>
      <c r="C4575" t="s">
        <v>24</v>
      </c>
      <c r="D4575" t="s">
        <v>99</v>
      </c>
      <c r="E4575" s="2" t="str">
        <f>HYPERLINK("https://ibp.a2mac1.com/costing(costing:projects/details/8191/material/5320099)","Standard Structural Steel sheet")</f>
        <v>Standard Structural Steel sheet</v>
      </c>
      <c r="F4575" t="s">
        <v>5418</v>
      </c>
    </row>
    <row r="4576" spans="1:6" ht="12.75">
      <c r="A4576">
        <v>6948278</v>
      </c>
      <c r="B4576">
        <v>6975676</v>
      </c>
      <c r="C4576" t="s">
        <v>189</v>
      </c>
      <c r="D4576" t="s">
        <v>99</v>
      </c>
      <c r="E4576" s="2" t="str">
        <f>HYPERLINK("https://ibp.a2mac1.com/costing(costing:projects/details/8191/equipment/6948278)","Equipment (Stamping)")</f>
        <v>Equipment (Stamping)</v>
      </c>
      <c r="F4576" t="s">
        <v>5418</v>
      </c>
    </row>
    <row r="4577" spans="1:6" ht="12.75">
      <c r="A4577">
        <v>6975281</v>
      </c>
      <c r="B4577">
        <v>5388203</v>
      </c>
      <c r="C4577" t="s">
        <v>99</v>
      </c>
      <c r="D4577" t="s">
        <v>8</v>
      </c>
      <c r="E4577" s="2" t="str">
        <f>HYPERLINK("https://ibp.a2mac1.com/costing(costing:projects/details/8191/process/6975281)","Assembly")</f>
        <v>Assembly</v>
      </c>
      <c r="F4577" t="s">
        <v>5394</v>
      </c>
    </row>
    <row r="4578" spans="1:6" ht="12.75">
      <c r="A4578">
        <v>6947837</v>
      </c>
      <c r="B4578">
        <v>6975281</v>
      </c>
      <c r="C4578" t="s">
        <v>189</v>
      </c>
      <c r="D4578" t="s">
        <v>99</v>
      </c>
      <c r="E4578" s="2" t="str">
        <f>HYPERLINK("https://ibp.a2mac1.com/costing(costing:projects/details/8191/equipment/6947837)","Assembly line")</f>
        <v>Assembly line</v>
      </c>
      <c r="F4578" t="s">
        <v>5419</v>
      </c>
    </row>
    <row r="4579" spans="1:6" ht="12.75">
      <c r="A4579">
        <v>5388204</v>
      </c>
      <c r="B4579">
        <v>5388135</v>
      </c>
      <c r="C4579" t="s">
        <v>8</v>
      </c>
      <c r="D4579" t="s">
        <v>8</v>
      </c>
      <c r="E4579" s="2" t="str">
        <f>HYPERLINK("https://ibp.a2mac1.com/costing(costing:projects/details/8191/assembly/5388204)","Fastners")</f>
        <v>Fastners</v>
      </c>
      <c r="F4579" t="s">
        <v>5288</v>
      </c>
    </row>
    <row r="4580" spans="1:6" ht="12.75">
      <c r="A4580">
        <v>5319466</v>
      </c>
      <c r="B4580">
        <v>5388204</v>
      </c>
      <c r="C4580" t="s">
        <v>574</v>
      </c>
      <c r="D4580" t="s">
        <v>8</v>
      </c>
      <c r="E4580" s="2" t="str">
        <f>HYPERLINK("https://ibp.a2mac1.com/costing(costing:projects/details/8191/component/5319466)","Nut &gt; Hexagonal nut with collar")</f>
        <v>Nut &gt; Hexagonal nut with collar</v>
      </c>
      <c r="F4580" t="s">
        <v>5421</v>
      </c>
    </row>
    <row r="4581" spans="1:6" ht="12.75">
      <c r="A4581">
        <v>5319467</v>
      </c>
      <c r="B4581">
        <v>5388204</v>
      </c>
      <c r="C4581" t="s">
        <v>574</v>
      </c>
      <c r="D4581" t="s">
        <v>8</v>
      </c>
      <c r="E4581" s="2" t="str">
        <f>HYPERLINK("https://ibp.a2mac1.com/costing(costing:projects/details/8191/component/5319467)","Other fastener &gt; Grommet")</f>
        <v>Other fastener &gt; Grommet</v>
      </c>
      <c r="F4581" t="s">
        <v>5421</v>
      </c>
    </row>
    <row r="4582" spans="1:6" ht="12.75">
      <c r="A4582">
        <v>5319468</v>
      </c>
      <c r="B4582">
        <v>5388204</v>
      </c>
      <c r="C4582" t="s">
        <v>574</v>
      </c>
      <c r="D4582" t="s">
        <v>8</v>
      </c>
      <c r="E4582" s="2" t="str">
        <f>HYPERLINK("https://ibp.a2mac1.com/costing(costing:projects/details/8191/component/5319468)","Hole plug &gt; Round hole")</f>
        <v>Hole plug &gt; Round hole</v>
      </c>
      <c r="F4582" t="s">
        <v>5421</v>
      </c>
    </row>
    <row r="4583" spans="1:6" ht="12.75">
      <c r="A4583">
        <v>5388196</v>
      </c>
      <c r="B4583">
        <v>5388135</v>
      </c>
      <c r="C4583" t="s">
        <v>12</v>
      </c>
      <c r="D4583" t="s">
        <v>8</v>
      </c>
      <c r="E4583" s="2" t="str">
        <f>HYPERLINK("https://ibp.a2mac1.com/costing(costing:projects/details/8191/part/5388196)","Hood Rod")</f>
        <v>Hood Rod</v>
      </c>
      <c r="F4583" t="s">
        <v>5288</v>
      </c>
    </row>
    <row r="4584" spans="1:6" ht="12.75">
      <c r="A4584">
        <v>5388197</v>
      </c>
      <c r="B4584">
        <v>5388135</v>
      </c>
      <c r="C4584" t="s">
        <v>12</v>
      </c>
      <c r="D4584" t="s">
        <v>8</v>
      </c>
      <c r="E4584" s="2" t="str">
        <f>HYPERLINK("https://ibp.a2mac1.com/costing(costing:projects/details/8191/part/5388197)","Hole Plugs")</f>
        <v>Hole Plugs</v>
      </c>
      <c r="F4584" t="s">
        <v>5288</v>
      </c>
    </row>
    <row r="4585" spans="1:6" ht="12.75">
      <c r="A4585">
        <v>5388136</v>
      </c>
      <c r="B4585">
        <v>5388127</v>
      </c>
      <c r="C4585" t="s">
        <v>8</v>
      </c>
      <c r="D4585" t="s">
        <v>8</v>
      </c>
      <c r="E4585" s="2" t="str">
        <f>HYPERLINK("https://ibp.a2mac1.com/costing(costing:projects/details/8191/assembly/5388136)","Tailgate")</f>
        <v>Tailgate</v>
      </c>
      <c r="F4585" t="s">
        <v>4590</v>
      </c>
    </row>
    <row r="4586" spans="1:6" ht="12.75">
      <c r="A4586">
        <v>5388205</v>
      </c>
      <c r="B4586">
        <v>5388136</v>
      </c>
      <c r="C4586" t="s">
        <v>8</v>
      </c>
      <c r="D4586" t="s">
        <v>8</v>
      </c>
      <c r="E4586" s="2" t="str">
        <f>HYPERLINK("https://ibp.a2mac1.com/costing(costing:projects/details/8191/assembly/5388205)","Tailgate Frame")</f>
        <v>Tailgate Frame</v>
      </c>
      <c r="F4586" t="s">
        <v>5427</v>
      </c>
    </row>
    <row r="4587" spans="1:6" ht="12.75">
      <c r="A4587">
        <v>5388477</v>
      </c>
      <c r="B4587">
        <v>5388205</v>
      </c>
      <c r="C4587" t="s">
        <v>8</v>
      </c>
      <c r="D4587" t="s">
        <v>8</v>
      </c>
      <c r="E4587" s="2" t="str">
        <f>HYPERLINK("https://ibp.a2mac1.com/costing(costing:projects/details/8191/assembly/5388477)","Lining assy")</f>
        <v>Lining assy</v>
      </c>
      <c r="F4587" t="s">
        <v>5428</v>
      </c>
    </row>
    <row r="4588" spans="1:6" ht="12.75">
      <c r="A4588">
        <v>5388821</v>
      </c>
      <c r="B4588">
        <v>5388477</v>
      </c>
      <c r="C4588" t="s">
        <v>8</v>
      </c>
      <c r="D4588" t="s">
        <v>8</v>
      </c>
      <c r="E4588" s="2" t="str">
        <f>HYPERLINK("https://ibp.a2mac1.com/costing(costing:projects/details/8191/assembly/5388821)","Lining")</f>
        <v>Lining</v>
      </c>
      <c r="F4588" t="s">
        <v>5429</v>
      </c>
    </row>
    <row r="4589" spans="1:6" ht="12.75">
      <c r="A4589">
        <v>5389202</v>
      </c>
      <c r="B4589">
        <v>5388821</v>
      </c>
      <c r="C4589" t="s">
        <v>12</v>
      </c>
      <c r="D4589" t="s">
        <v>8</v>
      </c>
      <c r="E4589" s="2" t="str">
        <f>HYPERLINK("https://ibp.a2mac1.com/costing(costing:projects/details/8191/part/5389202)","Part 01 single/upper")</f>
        <v>Part 01 single/upper</v>
      </c>
      <c r="F4589" t="s">
        <v>5430</v>
      </c>
    </row>
    <row r="4590" spans="1:6" ht="12.75">
      <c r="A4590">
        <v>6975824</v>
      </c>
      <c r="B4590">
        <v>5389202</v>
      </c>
      <c r="C4590" t="s">
        <v>99</v>
      </c>
      <c r="D4590" t="s">
        <v>12</v>
      </c>
      <c r="E4590" s="2" t="str">
        <f>HYPERLINK("https://ibp.a2mac1.com/costing(costing:projects/details/8191/process/6975824)","Manufacturing Process")</f>
        <v>Manufacturing Process</v>
      </c>
      <c r="F4590" t="s">
        <v>5431</v>
      </c>
    </row>
    <row r="4591" spans="1:6" ht="12.75">
      <c r="A4591">
        <v>5320268</v>
      </c>
      <c r="B4591">
        <v>6975824</v>
      </c>
      <c r="C4591" t="s">
        <v>24</v>
      </c>
      <c r="D4591" t="s">
        <v>99</v>
      </c>
      <c r="E4591" s="2" t="str">
        <f>HYPERLINK("https://ibp.a2mac1.com/costing(costing:projects/details/8191/material/5320268)","SMC")</f>
        <v>SMC</v>
      </c>
      <c r="F4591" t="s">
        <v>5434</v>
      </c>
    </row>
    <row r="4592" spans="1:6" ht="12.75">
      <c r="A4592">
        <v>6948419</v>
      </c>
      <c r="B4592">
        <v>6975824</v>
      </c>
      <c r="C4592" t="s">
        <v>189</v>
      </c>
      <c r="D4592" t="s">
        <v>99</v>
      </c>
      <c r="E4592" s="2" t="str">
        <f>HYPERLINK("https://ibp.a2mac1.com/costing(costing:projects/details/8191/equipment/6948419)","Equipment (Stamping)")</f>
        <v>Equipment (Stamping)</v>
      </c>
      <c r="F4592" t="s">
        <v>5434</v>
      </c>
    </row>
    <row r="4593" spans="1:6" ht="12.75">
      <c r="A4593">
        <v>5388822</v>
      </c>
      <c r="B4593">
        <v>5388477</v>
      </c>
      <c r="C4593" t="s">
        <v>8</v>
      </c>
      <c r="D4593" t="s">
        <v>8</v>
      </c>
      <c r="E4593" s="2" t="str">
        <f>HYPERLINK("https://ibp.a2mac1.com/costing(costing:projects/details/8191/assembly/5388822)","Reinforcements")</f>
        <v>Reinforcements</v>
      </c>
      <c r="F4593" t="s">
        <v>5429</v>
      </c>
    </row>
    <row r="4594" spans="1:6" ht="12.75">
      <c r="A4594">
        <v>5389203</v>
      </c>
      <c r="B4594">
        <v>5388822</v>
      </c>
      <c r="C4594" t="s">
        <v>12</v>
      </c>
      <c r="D4594" t="s">
        <v>8</v>
      </c>
      <c r="E4594" s="2" t="str">
        <f>HYPERLINK("https://ibp.a2mac1.com/costing(costing:projects/details/8191/part/5389203)","Part 01 main/single")</f>
        <v>Part 01 main/single</v>
      </c>
      <c r="F4594" t="s">
        <v>5435</v>
      </c>
    </row>
    <row r="4595" spans="1:6" ht="12.75">
      <c r="A4595">
        <v>6975825</v>
      </c>
      <c r="B4595">
        <v>5389203</v>
      </c>
      <c r="C4595" t="s">
        <v>99</v>
      </c>
      <c r="D4595" t="s">
        <v>12</v>
      </c>
      <c r="E4595" s="2" t="str">
        <f>HYPERLINK("https://ibp.a2mac1.com/costing(costing:projects/details/8191/process/6975825)","Manufacturing Process")</f>
        <v>Manufacturing Process</v>
      </c>
      <c r="F4595" t="s">
        <v>5436</v>
      </c>
    </row>
    <row r="4596" spans="1:6" ht="12.75">
      <c r="A4596">
        <v>5320269</v>
      </c>
      <c r="B4596">
        <v>6975825</v>
      </c>
      <c r="C4596" t="s">
        <v>24</v>
      </c>
      <c r="D4596" t="s">
        <v>99</v>
      </c>
      <c r="E4596" s="2" t="str">
        <f>HYPERLINK("https://ibp.a2mac1.com/costing(costing:projects/details/8191/material/5320269)","PP-GF40")</f>
        <v>PP-GF40</v>
      </c>
      <c r="F4596" t="s">
        <v>5439</v>
      </c>
    </row>
    <row r="4597" spans="1:6" ht="12.75">
      <c r="A4597">
        <v>6948420</v>
      </c>
      <c r="B4597">
        <v>6975825</v>
      </c>
      <c r="C4597" t="s">
        <v>189</v>
      </c>
      <c r="D4597" t="s">
        <v>99</v>
      </c>
      <c r="E4597" s="2" t="str">
        <f>HYPERLINK("https://ibp.a2mac1.com/costing(costing:projects/details/8191/equipment/6948420)","Equipment (Stamping)")</f>
        <v>Equipment (Stamping)</v>
      </c>
      <c r="F4597" t="s">
        <v>5439</v>
      </c>
    </row>
    <row r="4598" spans="1:6" ht="12.75">
      <c r="A4598">
        <v>5388478</v>
      </c>
      <c r="B4598">
        <v>5388205</v>
      </c>
      <c r="C4598" t="s">
        <v>8</v>
      </c>
      <c r="D4598" t="s">
        <v>8</v>
      </c>
      <c r="E4598" s="2" t="str">
        <f>HYPERLINK("https://ibp.a2mac1.com/costing(costing:projects/details/8191/assembly/5388478)","Outer Assy panel")</f>
        <v>Outer Assy panel</v>
      </c>
      <c r="F4598" t="s">
        <v>5428</v>
      </c>
    </row>
    <row r="4599" spans="1:6" ht="12.75">
      <c r="A4599">
        <v>5388823</v>
      </c>
      <c r="B4599">
        <v>5388478</v>
      </c>
      <c r="C4599" t="s">
        <v>8</v>
      </c>
      <c r="D4599" t="s">
        <v>8</v>
      </c>
      <c r="E4599" s="2" t="str">
        <f>HYPERLINK("https://ibp.a2mac1.com/costing(costing:projects/details/8191/assembly/5388823)","Outer panel")</f>
        <v>Outer panel</v>
      </c>
      <c r="F4599" t="s">
        <v>5440</v>
      </c>
    </row>
    <row r="4600" spans="1:6" ht="12.75">
      <c r="A4600">
        <v>5389204</v>
      </c>
      <c r="B4600">
        <v>5388823</v>
      </c>
      <c r="C4600" t="s">
        <v>12</v>
      </c>
      <c r="D4600" t="s">
        <v>8</v>
      </c>
      <c r="E4600" s="2" t="str">
        <f>HYPERLINK("https://ibp.a2mac1.com/costing(costing:projects/details/8191/part/5389204)","Part 01 single/upper")</f>
        <v>Part 01 single/upper</v>
      </c>
      <c r="F4600" t="s">
        <v>5441</v>
      </c>
    </row>
    <row r="4601" spans="1:6" ht="12.75">
      <c r="A4601">
        <v>6975826</v>
      </c>
      <c r="B4601">
        <v>5389204</v>
      </c>
      <c r="C4601" t="s">
        <v>99</v>
      </c>
      <c r="D4601" t="s">
        <v>12</v>
      </c>
      <c r="E4601" s="2" t="str">
        <f>HYPERLINK("https://ibp.a2mac1.com/costing(costing:projects/details/8191/process/6975826)","Manufacturing Process")</f>
        <v>Manufacturing Process</v>
      </c>
      <c r="F4601" t="s">
        <v>5442</v>
      </c>
    </row>
    <row r="4602" spans="1:6" ht="12.75">
      <c r="A4602">
        <v>5320270</v>
      </c>
      <c r="B4602">
        <v>6975826</v>
      </c>
      <c r="C4602" t="s">
        <v>24</v>
      </c>
      <c r="D4602" t="s">
        <v>99</v>
      </c>
      <c r="E4602" s="2" t="str">
        <f>HYPERLINK("https://ibp.a2mac1.com/costing(costing:projects/details/8191/material/5320270)","PP  T20")</f>
        <v>PP  T20</v>
      </c>
      <c r="F4602" t="s">
        <v>5446</v>
      </c>
    </row>
    <row r="4603" spans="1:6" ht="12.75">
      <c r="A4603">
        <v>6948421</v>
      </c>
      <c r="B4603">
        <v>6975826</v>
      </c>
      <c r="C4603" t="s">
        <v>189</v>
      </c>
      <c r="D4603" t="s">
        <v>99</v>
      </c>
      <c r="E4603" s="2" t="str">
        <f>HYPERLINK("https://ibp.a2mac1.com/costing(costing:projects/details/8191/equipment/6948421)","Equipment (Stamping)")</f>
        <v>Equipment (Stamping)</v>
      </c>
      <c r="F4603" t="s">
        <v>5446</v>
      </c>
    </row>
    <row r="4604" spans="1:6" ht="12.75">
      <c r="A4604">
        <v>5389205</v>
      </c>
      <c r="B4604">
        <v>5388823</v>
      </c>
      <c r="C4604" t="s">
        <v>12</v>
      </c>
      <c r="D4604" t="s">
        <v>8</v>
      </c>
      <c r="E4604" s="2" t="str">
        <f>HYPERLINK("https://ibp.a2mac1.com/costing(costing:projects/details/8191/part/5389205)","Part 02 lower")</f>
        <v>Part 02 lower</v>
      </c>
      <c r="F4604" t="s">
        <v>5441</v>
      </c>
    </row>
    <row r="4605" spans="1:6" ht="12.75">
      <c r="A4605">
        <v>6975827</v>
      </c>
      <c r="B4605">
        <v>5389205</v>
      </c>
      <c r="C4605" t="s">
        <v>99</v>
      </c>
      <c r="D4605" t="s">
        <v>12</v>
      </c>
      <c r="E4605" s="2" t="str">
        <f>HYPERLINK("https://ibp.a2mac1.com/costing(costing:projects/details/8191/process/6975827)","Manufacturing Process")</f>
        <v>Manufacturing Process</v>
      </c>
      <c r="F4605" t="s">
        <v>5447</v>
      </c>
    </row>
    <row r="4606" spans="1:6" ht="12.75">
      <c r="A4606">
        <v>5320271</v>
      </c>
      <c r="B4606">
        <v>6975827</v>
      </c>
      <c r="C4606" t="s">
        <v>24</v>
      </c>
      <c r="D4606" t="s">
        <v>99</v>
      </c>
      <c r="E4606" s="2" t="str">
        <f>HYPERLINK("https://ibp.a2mac1.com/costing(costing:projects/details/8191/material/5320271)","PP  T20")</f>
        <v>PP  T20</v>
      </c>
      <c r="F4606" t="s">
        <v>5450</v>
      </c>
    </row>
    <row r="4607" spans="1:6" ht="12.75">
      <c r="A4607">
        <v>6948422</v>
      </c>
      <c r="B4607">
        <v>6975827</v>
      </c>
      <c r="C4607" t="s">
        <v>189</v>
      </c>
      <c r="D4607" t="s">
        <v>99</v>
      </c>
      <c r="E4607" s="2" t="str">
        <f>HYPERLINK("https://ibp.a2mac1.com/costing(costing:projects/details/8191/equipment/6948422)","Equipment (Stamping)")</f>
        <v>Equipment (Stamping)</v>
      </c>
      <c r="F4607" t="s">
        <v>5450</v>
      </c>
    </row>
    <row r="4608" spans="1:6" ht="12.75">
      <c r="A4608">
        <v>5388824</v>
      </c>
      <c r="B4608">
        <v>5388478</v>
      </c>
      <c r="C4608" t="s">
        <v>8</v>
      </c>
      <c r="D4608" t="s">
        <v>8</v>
      </c>
      <c r="E4608" s="2" t="str">
        <f>HYPERLINK("https://ibp.a2mac1.com/costing(costing:projects/details/8191/assembly/5388824)","Fixing parts")</f>
        <v>Fixing parts</v>
      </c>
      <c r="F4608" t="s">
        <v>5440</v>
      </c>
    </row>
    <row r="4609" spans="1:6" ht="12.75">
      <c r="A4609">
        <v>5389206</v>
      </c>
      <c r="B4609">
        <v>5388824</v>
      </c>
      <c r="C4609" t="s">
        <v>12</v>
      </c>
      <c r="D4609" t="s">
        <v>8</v>
      </c>
      <c r="E4609" s="2" t="str">
        <f>HYPERLINK("https://ibp.a2mac1.com/costing(costing:projects/details/8191/part/5389206)","Part 01 main/single")</f>
        <v>Part 01 main/single</v>
      </c>
      <c r="F4609" t="s">
        <v>5451</v>
      </c>
    </row>
    <row r="4610" spans="1:6" ht="12.75">
      <c r="A4610">
        <v>6975828</v>
      </c>
      <c r="B4610">
        <v>5389206</v>
      </c>
      <c r="C4610" t="s">
        <v>99</v>
      </c>
      <c r="D4610" t="s">
        <v>12</v>
      </c>
      <c r="E4610" s="2" t="str">
        <f>HYPERLINK("https://ibp.a2mac1.com/costing(costing:projects/details/8191/process/6975828)","Manufacturing Process")</f>
        <v>Manufacturing Process</v>
      </c>
      <c r="F4610" t="s">
        <v>5452</v>
      </c>
    </row>
    <row r="4611" spans="1:6" ht="12.75">
      <c r="A4611">
        <v>5320272</v>
      </c>
      <c r="B4611">
        <v>6975828</v>
      </c>
      <c r="C4611" t="s">
        <v>24</v>
      </c>
      <c r="D4611" t="s">
        <v>99</v>
      </c>
      <c r="E4611" s="2" t="str">
        <f>HYPERLINK("https://ibp.a2mac1.com/costing(costing:projects/details/8191/material/5320272)","Standard Structural Steel sheet")</f>
        <v>Standard Structural Steel sheet</v>
      </c>
      <c r="F4611" t="s">
        <v>5454</v>
      </c>
    </row>
    <row r="4612" spans="1:6" ht="12.75">
      <c r="A4612">
        <v>6948423</v>
      </c>
      <c r="B4612">
        <v>6975828</v>
      </c>
      <c r="C4612" t="s">
        <v>189</v>
      </c>
      <c r="D4612" t="s">
        <v>99</v>
      </c>
      <c r="E4612" s="2" t="str">
        <f>HYPERLINK("https://ibp.a2mac1.com/costing(costing:projects/details/8191/equipment/6948423)","Equipment (Stamping)")</f>
        <v>Equipment (Stamping)</v>
      </c>
      <c r="F4612" t="s">
        <v>5454</v>
      </c>
    </row>
    <row r="4613" spans="1:6" ht="12.75">
      <c r="A4613">
        <v>6975282</v>
      </c>
      <c r="B4613">
        <v>5388205</v>
      </c>
      <c r="C4613" t="s">
        <v>99</v>
      </c>
      <c r="D4613" t="s">
        <v>8</v>
      </c>
      <c r="E4613" s="2" t="str">
        <f>HYPERLINK("https://ibp.a2mac1.com/costing(costing:projects/details/8191/process/6975282)","Assembly")</f>
        <v>Assembly</v>
      </c>
      <c r="F4613" t="s">
        <v>5428</v>
      </c>
    </row>
    <row r="4614" spans="1:6" ht="12.75">
      <c r="A4614">
        <v>6947838</v>
      </c>
      <c r="B4614">
        <v>6975282</v>
      </c>
      <c r="C4614" t="s">
        <v>189</v>
      </c>
      <c r="D4614" t="s">
        <v>99</v>
      </c>
      <c r="E4614" s="2" t="str">
        <f>HYPERLINK("https://ibp.a2mac1.com/costing(costing:projects/details/8191/equipment/6947838)","Assembly line")</f>
        <v>Assembly line</v>
      </c>
      <c r="F4614" t="s">
        <v>5455</v>
      </c>
    </row>
    <row r="4615" spans="1:6" ht="12.75">
      <c r="A4615">
        <v>5388210</v>
      </c>
      <c r="B4615">
        <v>5388136</v>
      </c>
      <c r="C4615" t="s">
        <v>8</v>
      </c>
      <c r="D4615" t="s">
        <v>8</v>
      </c>
      <c r="E4615" s="2" t="str">
        <f>HYPERLINK("https://ibp.a2mac1.com/costing(costing:projects/details/8191/assembly/5388210)","Inner Panel")</f>
        <v>Inner Panel</v>
      </c>
      <c r="F4615" t="s">
        <v>5427</v>
      </c>
    </row>
    <row r="4616" spans="1:6" ht="12.75">
      <c r="A4616">
        <v>5388483</v>
      </c>
      <c r="B4616">
        <v>5388210</v>
      </c>
      <c r="C4616" t="s">
        <v>8</v>
      </c>
      <c r="D4616" t="s">
        <v>8</v>
      </c>
      <c r="E4616" s="2" t="str">
        <f>HYPERLINK("https://ibp.a2mac1.com/costing(costing:projects/details/8191/assembly/5388483)","Access Traps System")</f>
        <v>Access Traps System</v>
      </c>
      <c r="F4616" t="s">
        <v>5457</v>
      </c>
    </row>
    <row r="4617" spans="1:6" ht="12.75">
      <c r="A4617">
        <v>5388825</v>
      </c>
      <c r="B4617">
        <v>5388483</v>
      </c>
      <c r="C4617" t="s">
        <v>12</v>
      </c>
      <c r="D4617" t="s">
        <v>8</v>
      </c>
      <c r="E4617" s="2" t="str">
        <f>HYPERLINK("https://ibp.a2mac1.com/costing(costing:projects/details/8191/part/5388825)","Left Access Trap")</f>
        <v>Left Access Trap</v>
      </c>
      <c r="F4617" t="s">
        <v>5458</v>
      </c>
    </row>
    <row r="4618" spans="1:6" ht="12.75">
      <c r="A4618">
        <v>6975677</v>
      </c>
      <c r="B4618">
        <v>5388825</v>
      </c>
      <c r="C4618" t="s">
        <v>99</v>
      </c>
      <c r="D4618" t="s">
        <v>12</v>
      </c>
      <c r="E4618" s="2" t="str">
        <f>HYPERLINK("https://ibp.a2mac1.com/costing(costing:projects/details/8191/process/6975677)","Injection molding")</f>
        <v>Injection molding</v>
      </c>
      <c r="F4618" t="s">
        <v>5459</v>
      </c>
    </row>
    <row r="4619" spans="1:6" ht="12.75">
      <c r="A4619">
        <v>5320100</v>
      </c>
      <c r="B4619">
        <v>6975677</v>
      </c>
      <c r="C4619" t="s">
        <v>24</v>
      </c>
      <c r="D4619" t="s">
        <v>99</v>
      </c>
      <c r="E4619" s="2" t="str">
        <f>HYPERLINK("https://ibp.a2mac1.com/costing(costing:projects/details/8191/material/5320100)","PP-PE")</f>
        <v>PP-PE</v>
      </c>
      <c r="F4619" t="s">
        <v>5461</v>
      </c>
    </row>
    <row r="4620" spans="1:6" ht="12.75">
      <c r="A4620">
        <v>6948279</v>
      </c>
      <c r="B4620">
        <v>6975677</v>
      </c>
      <c r="C4620" t="s">
        <v>189</v>
      </c>
      <c r="D4620" t="s">
        <v>99</v>
      </c>
      <c r="E4620" s="2" t="str">
        <f>HYPERLINK("https://ibp.a2mac1.com/costing(costing:projects/details/8191/equipment/6948279)","No.02 - Injection Press - 60T - 25kW - 320x320 - Max Volume 164cm3 ")</f>
        <v xml:space="preserve">No.02 - Injection Press - 60T - 25kW - 320x320 - Max Volume 164cm3 </v>
      </c>
      <c r="F4620" t="s">
        <v>5461</v>
      </c>
    </row>
    <row r="4621" spans="1:6" ht="12.75">
      <c r="A4621">
        <v>6975678</v>
      </c>
      <c r="B4621">
        <v>5388825</v>
      </c>
      <c r="C4621" t="s">
        <v>99</v>
      </c>
      <c r="D4621" t="s">
        <v>12</v>
      </c>
      <c r="E4621" s="2" t="str">
        <f>HYPERLINK("https://ibp.a2mac1.com/costing(costing:projects/details/8191/process/6975678)","Handling/Visual Inspection/Packaging")</f>
        <v>Handling/Visual Inspection/Packaging</v>
      </c>
      <c r="F4621" t="s">
        <v>5459</v>
      </c>
    </row>
    <row r="4622" spans="1:6" ht="12.75">
      <c r="A4622">
        <v>6948280</v>
      </c>
      <c r="B4622">
        <v>6975678</v>
      </c>
      <c r="C4622" t="s">
        <v>189</v>
      </c>
      <c r="D4622" t="s">
        <v>99</v>
      </c>
      <c r="E4622" s="2" t="str">
        <f>HYPERLINK("https://ibp.a2mac1.com/costing(costing:projects/details/8191/equipment/6948280)","Packaging")</f>
        <v>Packaging</v>
      </c>
      <c r="F4622" t="s">
        <v>5462</v>
      </c>
    </row>
    <row r="4623" spans="1:6" ht="12.75">
      <c r="A4623">
        <v>5388826</v>
      </c>
      <c r="B4623">
        <v>5388483</v>
      </c>
      <c r="C4623" t="s">
        <v>12</v>
      </c>
      <c r="D4623" t="s">
        <v>8</v>
      </c>
      <c r="E4623" s="2" t="str">
        <f>HYPERLINK("https://ibp.a2mac1.com/costing(costing:projects/details/8191/part/5388826)","Right Access Trap")</f>
        <v>Right Access Trap</v>
      </c>
      <c r="F4623" t="s">
        <v>5458</v>
      </c>
    </row>
    <row r="4624" spans="1:6" ht="12.75">
      <c r="A4624">
        <v>6975680</v>
      </c>
      <c r="B4624">
        <v>5388826</v>
      </c>
      <c r="C4624" t="s">
        <v>99</v>
      </c>
      <c r="D4624" t="s">
        <v>12</v>
      </c>
      <c r="E4624" s="2" t="str">
        <f>HYPERLINK("https://ibp.a2mac1.com/costing(costing:projects/details/8191/process/6975680)","Injection molding")</f>
        <v>Injection molding</v>
      </c>
      <c r="F4624" t="s">
        <v>5464</v>
      </c>
    </row>
    <row r="4625" spans="1:6" ht="12.75">
      <c r="A4625">
        <v>5320101</v>
      </c>
      <c r="B4625">
        <v>6975680</v>
      </c>
      <c r="C4625" t="s">
        <v>24</v>
      </c>
      <c r="D4625" t="s">
        <v>99</v>
      </c>
      <c r="E4625" s="2" t="str">
        <f>HYPERLINK("https://ibp.a2mac1.com/costing(costing:projects/details/8191/material/5320101)","PP-PE")</f>
        <v>PP-PE</v>
      </c>
      <c r="F4625" t="s">
        <v>5465</v>
      </c>
    </row>
    <row r="4626" spans="1:6" ht="12.75">
      <c r="A4626">
        <v>6948282</v>
      </c>
      <c r="B4626">
        <v>6975680</v>
      </c>
      <c r="C4626" t="s">
        <v>189</v>
      </c>
      <c r="D4626" t="s">
        <v>99</v>
      </c>
      <c r="E4626" s="2" t="str">
        <f>HYPERLINK("https://ibp.a2mac1.com/costing(costing:projects/details/8191/equipment/6948282)","No.02 - Injection Press - 60T - 25kW - 320x320 - Max Volume 164cm3 ")</f>
        <v xml:space="preserve">No.02 - Injection Press - 60T - 25kW - 320x320 - Max Volume 164cm3 </v>
      </c>
      <c r="F4626" t="s">
        <v>5465</v>
      </c>
    </row>
    <row r="4627" spans="1:6" ht="12.75">
      <c r="A4627">
        <v>6975679</v>
      </c>
      <c r="B4627">
        <v>5388826</v>
      </c>
      <c r="C4627" t="s">
        <v>99</v>
      </c>
      <c r="D4627" t="s">
        <v>12</v>
      </c>
      <c r="E4627" s="2" t="str">
        <f>HYPERLINK("https://ibp.a2mac1.com/costing(costing:projects/details/8191/process/6975679)","Handling/Visual Inspection/Packaging")</f>
        <v>Handling/Visual Inspection/Packaging</v>
      </c>
      <c r="F4627" t="s">
        <v>5464</v>
      </c>
    </row>
    <row r="4628" spans="1:6" ht="12.75">
      <c r="A4628">
        <v>6948281</v>
      </c>
      <c r="B4628">
        <v>6975679</v>
      </c>
      <c r="C4628" t="s">
        <v>189</v>
      </c>
      <c r="D4628" t="s">
        <v>99</v>
      </c>
      <c r="E4628" s="2" t="str">
        <f>HYPERLINK("https://ibp.a2mac1.com/costing(costing:projects/details/8191/equipment/6948281)","Packaging")</f>
        <v>Packaging</v>
      </c>
      <c r="F4628" t="s">
        <v>5466</v>
      </c>
    </row>
    <row r="4629" spans="1:6" ht="12.75">
      <c r="A4629">
        <v>5388484</v>
      </c>
      <c r="B4629">
        <v>5388210</v>
      </c>
      <c r="C4629" t="s">
        <v>8</v>
      </c>
      <c r="D4629" t="s">
        <v>8</v>
      </c>
      <c r="E4629" s="2" t="str">
        <f>HYPERLINK("https://ibp.a2mac1.com/costing(costing:projects/details/8191/assembly/5388484)","Fastners")</f>
        <v>Fastners</v>
      </c>
      <c r="F4629" t="s">
        <v>5457</v>
      </c>
    </row>
    <row r="4630" spans="1:6" ht="12.75">
      <c r="A4630">
        <v>5319593</v>
      </c>
      <c r="B4630">
        <v>5388484</v>
      </c>
      <c r="C4630" t="s">
        <v>574</v>
      </c>
      <c r="D4630" t="s">
        <v>8</v>
      </c>
      <c r="E4630" s="2" t="str">
        <f>HYPERLINK("https://ibp.a2mac1.com/costing(costing:projects/details/8191/component/5319593)","Screw &gt; Torx socket head cap screw with flange")</f>
        <v>Screw &gt; Torx socket head cap screw with flange</v>
      </c>
      <c r="F4630" t="s">
        <v>5469</v>
      </c>
    </row>
    <row r="4631" spans="1:6" ht="12.75">
      <c r="A4631">
        <v>5319594</v>
      </c>
      <c r="B4631">
        <v>5388484</v>
      </c>
      <c r="C4631" t="s">
        <v>574</v>
      </c>
      <c r="D4631" t="s">
        <v>8</v>
      </c>
      <c r="E4631" s="2" t="str">
        <f>HYPERLINK("https://ibp.a2mac1.com/costing(costing:projects/details/8191/component/5319594)","Panel holder &gt; Clips in rectangular hole")</f>
        <v>Panel holder &gt; Clips in rectangular hole</v>
      </c>
      <c r="F4631" t="s">
        <v>5469</v>
      </c>
    </row>
    <row r="4632" spans="1:6" ht="12.75">
      <c r="A4632">
        <v>5319595</v>
      </c>
      <c r="B4632">
        <v>5388484</v>
      </c>
      <c r="C4632" t="s">
        <v>574</v>
      </c>
      <c r="D4632" t="s">
        <v>8</v>
      </c>
      <c r="E4632" s="2" t="str">
        <f>HYPERLINK("https://ibp.a2mac1.com/costing(costing:projects/details/8191/component/5319595)","Panel holder &gt; Clips in rectangular hole")</f>
        <v>Panel holder &gt; Clips in rectangular hole</v>
      </c>
      <c r="F4632" t="s">
        <v>5469</v>
      </c>
    </row>
    <row r="4633" spans="1:6" ht="12.75">
      <c r="A4633">
        <v>5319596</v>
      </c>
      <c r="B4633">
        <v>5388484</v>
      </c>
      <c r="C4633" t="s">
        <v>574</v>
      </c>
      <c r="D4633" t="s">
        <v>8</v>
      </c>
      <c r="E4633" s="2" t="str">
        <f>HYPERLINK("https://ibp.a2mac1.com/costing(costing:projects/details/8191/component/5319596)","Panel holder &gt; Clips in rectangular hole")</f>
        <v>Panel holder &gt; Clips in rectangular hole</v>
      </c>
      <c r="F4633" t="s">
        <v>5469</v>
      </c>
    </row>
    <row r="4634" spans="1:6" ht="12.75">
      <c r="A4634">
        <v>5388479</v>
      </c>
      <c r="B4634">
        <v>5388210</v>
      </c>
      <c r="C4634" t="s">
        <v>12</v>
      </c>
      <c r="D4634" t="s">
        <v>8</v>
      </c>
      <c r="E4634" s="2" t="str">
        <f>HYPERLINK("https://ibp.a2mac1.com/costing(costing:projects/details/8191/part/5388479)","Lower Main Panel")</f>
        <v>Lower Main Panel</v>
      </c>
      <c r="F4634" t="s">
        <v>5457</v>
      </c>
    </row>
    <row r="4635" spans="1:6" ht="12.75">
      <c r="A4635">
        <v>6975436</v>
      </c>
      <c r="B4635">
        <v>5388479</v>
      </c>
      <c r="C4635" t="s">
        <v>99</v>
      </c>
      <c r="D4635" t="s">
        <v>12</v>
      </c>
      <c r="E4635" s="2" t="str">
        <f>HYPERLINK("https://ibp.a2mac1.com/costing(costing:projects/details/8191/process/6975436)","Injection molding")</f>
        <v>Injection molding</v>
      </c>
      <c r="F4635" t="s">
        <v>5470</v>
      </c>
    </row>
    <row r="4636" spans="1:6" ht="12.75">
      <c r="A4636">
        <v>5319832</v>
      </c>
      <c r="B4636">
        <v>6975436</v>
      </c>
      <c r="C4636" t="s">
        <v>24</v>
      </c>
      <c r="D4636" t="s">
        <v>99</v>
      </c>
      <c r="E4636" s="2" t="str">
        <f>HYPERLINK("https://ibp.a2mac1.com/costing(costing:projects/details/8191/material/5319832)","PP-PE")</f>
        <v>PP-PE</v>
      </c>
      <c r="F4636" t="s">
        <v>5473</v>
      </c>
    </row>
    <row r="4637" spans="1:6" ht="12.75">
      <c r="A4637">
        <v>6948017</v>
      </c>
      <c r="B4637">
        <v>6975436</v>
      </c>
      <c r="C4637" t="s">
        <v>189</v>
      </c>
      <c r="D4637" t="s">
        <v>99</v>
      </c>
      <c r="E4637" s="2" t="str">
        <f>HYPERLINK("https://ibp.a2mac1.com/costing(costing:projects/details/8191/equipment/6948017)","No.15 - Injection Press - 2000T - 260kW - 1800x1500 - Max Volume 10850cm3 ")</f>
        <v xml:space="preserve">No.15 - Injection Press - 2000T - 260kW - 1800x1500 - Max Volume 10850cm3 </v>
      </c>
      <c r="F4637" t="s">
        <v>5473</v>
      </c>
    </row>
    <row r="4638" spans="1:6" ht="12.75">
      <c r="A4638">
        <v>6975437</v>
      </c>
      <c r="B4638">
        <v>5388479</v>
      </c>
      <c r="C4638" t="s">
        <v>99</v>
      </c>
      <c r="D4638" t="s">
        <v>12</v>
      </c>
      <c r="E4638" s="2" t="str">
        <f>HYPERLINK("https://ibp.a2mac1.com/costing(costing:projects/details/8191/process/6975437)","Handling/Visual Inspection/Packaging")</f>
        <v>Handling/Visual Inspection/Packaging</v>
      </c>
      <c r="F4638" t="s">
        <v>5470</v>
      </c>
    </row>
    <row r="4639" spans="1:6" ht="12.75">
      <c r="A4639">
        <v>6948018</v>
      </c>
      <c r="B4639">
        <v>6975437</v>
      </c>
      <c r="C4639" t="s">
        <v>189</v>
      </c>
      <c r="D4639" t="s">
        <v>99</v>
      </c>
      <c r="E4639" s="2" t="str">
        <f>HYPERLINK("https://ibp.a2mac1.com/costing(costing:projects/details/8191/equipment/6948018)","Packaging")</f>
        <v>Packaging</v>
      </c>
      <c r="F4639" t="s">
        <v>5474</v>
      </c>
    </row>
    <row r="4640" spans="1:6" ht="12.75">
      <c r="A4640">
        <v>5388480</v>
      </c>
      <c r="B4640">
        <v>5388210</v>
      </c>
      <c r="C4640" t="s">
        <v>12</v>
      </c>
      <c r="D4640" t="s">
        <v>8</v>
      </c>
      <c r="E4640" s="2" t="str">
        <f>HYPERLINK("https://ibp.a2mac1.com/costing(costing:projects/details/8191/part/5388480)","Upper Panel")</f>
        <v>Upper Panel</v>
      </c>
      <c r="F4640" t="s">
        <v>5457</v>
      </c>
    </row>
    <row r="4641" spans="1:6" ht="12.75">
      <c r="A4641">
        <v>6975439</v>
      </c>
      <c r="B4641">
        <v>5388480</v>
      </c>
      <c r="C4641" t="s">
        <v>99</v>
      </c>
      <c r="D4641" t="s">
        <v>12</v>
      </c>
      <c r="E4641" s="2" t="str">
        <f>HYPERLINK("https://ibp.a2mac1.com/costing(costing:projects/details/8191/process/6975439)","Injection molding")</f>
        <v>Injection molding</v>
      </c>
      <c r="F4641" t="s">
        <v>5476</v>
      </c>
    </row>
    <row r="4642" spans="1:6" ht="12.75">
      <c r="A4642">
        <v>5319833</v>
      </c>
      <c r="B4642">
        <v>6975439</v>
      </c>
      <c r="C4642" t="s">
        <v>24</v>
      </c>
      <c r="D4642" t="s">
        <v>99</v>
      </c>
      <c r="E4642" s="2" t="str">
        <f>HYPERLINK("https://ibp.a2mac1.com/costing(costing:projects/details/8191/material/5319833)","PP-PE")</f>
        <v>PP-PE</v>
      </c>
      <c r="F4642" t="s">
        <v>5479</v>
      </c>
    </row>
    <row r="4643" spans="1:6" ht="12.75">
      <c r="A4643">
        <v>6948020</v>
      </c>
      <c r="B4643">
        <v>6975439</v>
      </c>
      <c r="C4643" t="s">
        <v>189</v>
      </c>
      <c r="D4643" t="s">
        <v>99</v>
      </c>
      <c r="E4643" s="2" t="str">
        <f>HYPERLINK("https://ibp.a2mac1.com/costing(costing:projects/details/8191/equipment/6948020)","No.13 - Injection Press - 1000T - 191kW - 1230x1230 - Max Volume 7815cm3 ")</f>
        <v xml:space="preserve">No.13 - Injection Press - 1000T - 191kW - 1230x1230 - Max Volume 7815cm3 </v>
      </c>
      <c r="F4643" t="s">
        <v>5479</v>
      </c>
    </row>
    <row r="4644" spans="1:6" ht="12.75">
      <c r="A4644">
        <v>6975438</v>
      </c>
      <c r="B4644">
        <v>5388480</v>
      </c>
      <c r="C4644" t="s">
        <v>99</v>
      </c>
      <c r="D4644" t="s">
        <v>12</v>
      </c>
      <c r="E4644" s="2" t="str">
        <f>HYPERLINK("https://ibp.a2mac1.com/costing(costing:projects/details/8191/process/6975438)","Handling/Visual Inspection/Packaging")</f>
        <v>Handling/Visual Inspection/Packaging</v>
      </c>
      <c r="F4644" t="s">
        <v>5476</v>
      </c>
    </row>
    <row r="4645" spans="1:6" ht="12.75">
      <c r="A4645">
        <v>6948019</v>
      </c>
      <c r="B4645">
        <v>6975438</v>
      </c>
      <c r="C4645" t="s">
        <v>189</v>
      </c>
      <c r="D4645" t="s">
        <v>99</v>
      </c>
      <c r="E4645" s="2" t="str">
        <f>HYPERLINK("https://ibp.a2mac1.com/costing(costing:projects/details/8191/equipment/6948019)","Packaging")</f>
        <v>Packaging</v>
      </c>
      <c r="F4645" t="s">
        <v>5480</v>
      </c>
    </row>
    <row r="4646" spans="1:6" ht="12.75">
      <c r="A4646">
        <v>5388481</v>
      </c>
      <c r="B4646">
        <v>5388210</v>
      </c>
      <c r="C4646" t="s">
        <v>12</v>
      </c>
      <c r="D4646" t="s">
        <v>8</v>
      </c>
      <c r="E4646" s="2" t="str">
        <f>HYPERLINK("https://ibp.a2mac1.com/costing(costing:projects/details/8191/part/5388481)","Left Side")</f>
        <v>Left Side</v>
      </c>
      <c r="F4646" t="s">
        <v>5457</v>
      </c>
    </row>
    <row r="4647" spans="1:6" ht="12.75">
      <c r="A4647">
        <v>6975441</v>
      </c>
      <c r="B4647">
        <v>5388481</v>
      </c>
      <c r="C4647" t="s">
        <v>99</v>
      </c>
      <c r="D4647" t="s">
        <v>12</v>
      </c>
      <c r="E4647" s="2" t="str">
        <f>HYPERLINK("https://ibp.a2mac1.com/costing(costing:projects/details/8191/process/6975441)","Injection molding")</f>
        <v>Injection molding</v>
      </c>
      <c r="F4647" t="s">
        <v>5482</v>
      </c>
    </row>
    <row r="4648" spans="1:6" ht="12.75">
      <c r="A4648">
        <v>5319834</v>
      </c>
      <c r="B4648">
        <v>6975441</v>
      </c>
      <c r="C4648" t="s">
        <v>24</v>
      </c>
      <c r="D4648" t="s">
        <v>99</v>
      </c>
      <c r="E4648" s="2" t="str">
        <f>HYPERLINK("https://ibp.a2mac1.com/costing(costing:projects/details/8191/material/5319834)","PP-PE")</f>
        <v>PP-PE</v>
      </c>
      <c r="F4648" t="s">
        <v>5485</v>
      </c>
    </row>
    <row r="4649" spans="1:6" ht="12.75">
      <c r="A4649">
        <v>6948022</v>
      </c>
      <c r="B4649">
        <v>6975441</v>
      </c>
      <c r="C4649" t="s">
        <v>189</v>
      </c>
      <c r="D4649" t="s">
        <v>99</v>
      </c>
      <c r="E4649" s="2" t="str">
        <f>HYPERLINK("https://ibp.a2mac1.com/costing(costing:projects/details/8191/equipment/6948022)","No.09 - Injection Press - 400T - 72kW - 650x650 - Max Volume 1497cm3 ")</f>
        <v xml:space="preserve">No.09 - Injection Press - 400T - 72kW - 650x650 - Max Volume 1497cm3 </v>
      </c>
      <c r="F4649" t="s">
        <v>5485</v>
      </c>
    </row>
    <row r="4650" spans="1:6" ht="12.75">
      <c r="A4650">
        <v>6975440</v>
      </c>
      <c r="B4650">
        <v>5388481</v>
      </c>
      <c r="C4650" t="s">
        <v>99</v>
      </c>
      <c r="D4650" t="s">
        <v>12</v>
      </c>
      <c r="E4650" s="2" t="str">
        <f>HYPERLINK("https://ibp.a2mac1.com/costing(costing:projects/details/8191/process/6975440)","Handling/Visual Inspection/Packaging")</f>
        <v>Handling/Visual Inspection/Packaging</v>
      </c>
      <c r="F4650" t="s">
        <v>5482</v>
      </c>
    </row>
    <row r="4651" spans="1:6" ht="12.75">
      <c r="A4651">
        <v>6948021</v>
      </c>
      <c r="B4651">
        <v>6975440</v>
      </c>
      <c r="C4651" t="s">
        <v>189</v>
      </c>
      <c r="D4651" t="s">
        <v>99</v>
      </c>
      <c r="E4651" s="2" t="str">
        <f>HYPERLINK("https://ibp.a2mac1.com/costing(costing:projects/details/8191/equipment/6948021)","Packaging")</f>
        <v>Packaging</v>
      </c>
      <c r="F4651" t="s">
        <v>5486</v>
      </c>
    </row>
    <row r="4652" spans="1:6" ht="12.75">
      <c r="A4652">
        <v>5388482</v>
      </c>
      <c r="B4652">
        <v>5388210</v>
      </c>
      <c r="C4652" t="s">
        <v>12</v>
      </c>
      <c r="D4652" t="s">
        <v>8</v>
      </c>
      <c r="E4652" s="2" t="str">
        <f>HYPERLINK("https://ibp.a2mac1.com/costing(costing:projects/details/8191/part/5388482)","Right Side")</f>
        <v>Right Side</v>
      </c>
      <c r="F4652" t="s">
        <v>5457</v>
      </c>
    </row>
    <row r="4653" spans="1:6" ht="12.75">
      <c r="A4653">
        <v>6975443</v>
      </c>
      <c r="B4653">
        <v>5388482</v>
      </c>
      <c r="C4653" t="s">
        <v>99</v>
      </c>
      <c r="D4653" t="s">
        <v>12</v>
      </c>
      <c r="E4653" s="2" t="str">
        <f>HYPERLINK("https://ibp.a2mac1.com/costing(costing:projects/details/8191/process/6975443)","Injection molding")</f>
        <v>Injection molding</v>
      </c>
      <c r="F4653" t="s">
        <v>5488</v>
      </c>
    </row>
    <row r="4654" spans="1:6" ht="12.75">
      <c r="A4654">
        <v>5319835</v>
      </c>
      <c r="B4654">
        <v>6975443</v>
      </c>
      <c r="C4654" t="s">
        <v>24</v>
      </c>
      <c r="D4654" t="s">
        <v>99</v>
      </c>
      <c r="E4654" s="2" t="str">
        <f>HYPERLINK("https://ibp.a2mac1.com/costing(costing:projects/details/8191/material/5319835)","PP-PE")</f>
        <v>PP-PE</v>
      </c>
      <c r="F4654" t="s">
        <v>5489</v>
      </c>
    </row>
    <row r="4655" spans="1:6" ht="12.75">
      <c r="A4655">
        <v>6948024</v>
      </c>
      <c r="B4655">
        <v>6975443</v>
      </c>
      <c r="C4655" t="s">
        <v>189</v>
      </c>
      <c r="D4655" t="s">
        <v>99</v>
      </c>
      <c r="E4655" s="2" t="str">
        <f>HYPERLINK("https://ibp.a2mac1.com/costing(costing:projects/details/8191/equipment/6948024)","No.09 - Injection Press - 400T - 72kW - 650x650 - Max Volume 1497cm3 ")</f>
        <v xml:space="preserve">No.09 - Injection Press - 400T - 72kW - 650x650 - Max Volume 1497cm3 </v>
      </c>
      <c r="F4655" t="s">
        <v>5489</v>
      </c>
    </row>
    <row r="4656" spans="1:6" ht="12.75">
      <c r="A4656">
        <v>6975442</v>
      </c>
      <c r="B4656">
        <v>5388482</v>
      </c>
      <c r="C4656" t="s">
        <v>99</v>
      </c>
      <c r="D4656" t="s">
        <v>12</v>
      </c>
      <c r="E4656" s="2" t="str">
        <f>HYPERLINK("https://ibp.a2mac1.com/costing(costing:projects/details/8191/process/6975442)","Handling/Visual Inspection/Packaging")</f>
        <v>Handling/Visual Inspection/Packaging</v>
      </c>
      <c r="F4656" t="s">
        <v>5488</v>
      </c>
    </row>
    <row r="4657" spans="1:6" ht="12.75">
      <c r="A4657">
        <v>6948023</v>
      </c>
      <c r="B4657">
        <v>6975442</v>
      </c>
      <c r="C4657" t="s">
        <v>189</v>
      </c>
      <c r="D4657" t="s">
        <v>99</v>
      </c>
      <c r="E4657" s="2" t="str">
        <f>HYPERLINK("https://ibp.a2mac1.com/costing(costing:projects/details/8191/equipment/6948023)","Packaging")</f>
        <v>Packaging</v>
      </c>
      <c r="F4657" t="s">
        <v>5490</v>
      </c>
    </row>
    <row r="4658" spans="1:6" ht="12.75">
      <c r="A4658">
        <v>5388211</v>
      </c>
      <c r="B4658">
        <v>5388136</v>
      </c>
      <c r="C4658" t="s">
        <v>8</v>
      </c>
      <c r="D4658" t="s">
        <v>8</v>
      </c>
      <c r="E4658" s="2" t="str">
        <f>HYPERLINK("https://ibp.a2mac1.com/costing(costing:projects/details/8191/assembly/5388211)","Hinges")</f>
        <v>Hinges</v>
      </c>
      <c r="F4658" t="s">
        <v>5427</v>
      </c>
    </row>
    <row r="4659" spans="1:6" ht="12.75">
      <c r="A4659">
        <v>5388485</v>
      </c>
      <c r="B4659">
        <v>5388211</v>
      </c>
      <c r="C4659" t="s">
        <v>8</v>
      </c>
      <c r="D4659" t="s">
        <v>8</v>
      </c>
      <c r="E4659" s="2" t="str">
        <f>HYPERLINK("https://ibp.a2mac1.com/costing(costing:projects/details/8191/assembly/5388485)","On BIW")</f>
        <v>On BIW</v>
      </c>
      <c r="F4659" t="s">
        <v>5493</v>
      </c>
    </row>
    <row r="4660" spans="1:6" ht="12.75">
      <c r="A4660">
        <v>5388827</v>
      </c>
      <c r="B4660">
        <v>5388485</v>
      </c>
      <c r="C4660" t="s">
        <v>12</v>
      </c>
      <c r="D4660" t="s">
        <v>8</v>
      </c>
      <c r="E4660" s="2" t="str">
        <f>HYPERLINK("https://ibp.a2mac1.com/costing(costing:projects/details/8191/part/5388827)","Part 01 single/main")</f>
        <v>Part 01 single/main</v>
      </c>
      <c r="F4660" t="s">
        <v>5494</v>
      </c>
    </row>
    <row r="4661" spans="1:6" ht="12.75">
      <c r="A4661">
        <v>6975681</v>
      </c>
      <c r="B4661">
        <v>5388827</v>
      </c>
      <c r="C4661" t="s">
        <v>99</v>
      </c>
      <c r="D4661" t="s">
        <v>12</v>
      </c>
      <c r="E4661" s="2" t="str">
        <f>HYPERLINK("https://ibp.a2mac1.com/costing(costing:projects/details/8191/process/6975681)","Manufacturing Process")</f>
        <v>Manufacturing Process</v>
      </c>
      <c r="F4661" t="s">
        <v>5495</v>
      </c>
    </row>
    <row r="4662" spans="1:6" ht="12.75">
      <c r="A4662">
        <v>5320102</v>
      </c>
      <c r="B4662">
        <v>6975681</v>
      </c>
      <c r="C4662" t="s">
        <v>24</v>
      </c>
      <c r="D4662" t="s">
        <v>99</v>
      </c>
      <c r="E4662" s="2" t="str">
        <f>HYPERLINK("https://ibp.a2mac1.com/costing(costing:projects/details/8191/material/5320102)","Standard Structural Steel sheet")</f>
        <v>Standard Structural Steel sheet</v>
      </c>
      <c r="F4662" t="s">
        <v>5498</v>
      </c>
    </row>
    <row r="4663" spans="1:6" ht="12.75">
      <c r="A4663">
        <v>6948283</v>
      </c>
      <c r="B4663">
        <v>6975681</v>
      </c>
      <c r="C4663" t="s">
        <v>189</v>
      </c>
      <c r="D4663" t="s">
        <v>99</v>
      </c>
      <c r="E4663" s="2" t="str">
        <f>HYPERLINK("https://ibp.a2mac1.com/costing(costing:projects/details/8191/equipment/6948283)","Equipment (Stamping)")</f>
        <v>Equipment (Stamping)</v>
      </c>
      <c r="F4663" t="s">
        <v>5498</v>
      </c>
    </row>
    <row r="4664" spans="1:6" ht="12.75">
      <c r="A4664">
        <v>5388486</v>
      </c>
      <c r="B4664">
        <v>5388211</v>
      </c>
      <c r="C4664" t="s">
        <v>8</v>
      </c>
      <c r="D4664" t="s">
        <v>8</v>
      </c>
      <c r="E4664" s="2" t="str">
        <f>HYPERLINK("https://ibp.a2mac1.com/costing(costing:projects/details/8191/assembly/5388486)","On trunk / tailgate")</f>
        <v>On trunk / tailgate</v>
      </c>
      <c r="F4664" t="s">
        <v>5493</v>
      </c>
    </row>
    <row r="4665" spans="1:6" ht="12.75">
      <c r="A4665">
        <v>5388828</v>
      </c>
      <c r="B4665">
        <v>5388486</v>
      </c>
      <c r="C4665" t="s">
        <v>12</v>
      </c>
      <c r="D4665" t="s">
        <v>8</v>
      </c>
      <c r="E4665" s="2" t="str">
        <f>HYPERLINK("https://ibp.a2mac1.com/costing(costing:projects/details/8191/part/5388828)","Part 01 single/main")</f>
        <v>Part 01 single/main</v>
      </c>
      <c r="F4665" t="s">
        <v>5499</v>
      </c>
    </row>
    <row r="4666" spans="1:6" ht="12.75">
      <c r="A4666">
        <v>6975682</v>
      </c>
      <c r="B4666">
        <v>5388828</v>
      </c>
      <c r="C4666" t="s">
        <v>99</v>
      </c>
      <c r="D4666" t="s">
        <v>12</v>
      </c>
      <c r="E4666" s="2" t="str">
        <f>HYPERLINK("https://ibp.a2mac1.com/costing(costing:projects/details/8191/process/6975682)","Manufacturing Process")</f>
        <v>Manufacturing Process</v>
      </c>
      <c r="F4666" t="s">
        <v>5500</v>
      </c>
    </row>
    <row r="4667" spans="1:6" ht="12.75">
      <c r="A4667">
        <v>5320103</v>
      </c>
      <c r="B4667">
        <v>6975682</v>
      </c>
      <c r="C4667" t="s">
        <v>24</v>
      </c>
      <c r="D4667" t="s">
        <v>99</v>
      </c>
      <c r="E4667" s="2" t="str">
        <f>HYPERLINK("https://ibp.a2mac1.com/costing(costing:projects/details/8191/material/5320103)","Standard Structural Steel sheet")</f>
        <v>Standard Structural Steel sheet</v>
      </c>
      <c r="F4667" t="s">
        <v>5502</v>
      </c>
    </row>
    <row r="4668" spans="1:6" ht="12.75">
      <c r="A4668">
        <v>6948284</v>
      </c>
      <c r="B4668">
        <v>6975682</v>
      </c>
      <c r="C4668" t="s">
        <v>189</v>
      </c>
      <c r="D4668" t="s">
        <v>99</v>
      </c>
      <c r="E4668" s="2" t="str">
        <f>HYPERLINK("https://ibp.a2mac1.com/costing(costing:projects/details/8191/equipment/6948284)","Equipment (Stamping)")</f>
        <v>Equipment (Stamping)</v>
      </c>
      <c r="F4668" t="s">
        <v>5502</v>
      </c>
    </row>
    <row r="4669" spans="1:6" ht="12.75">
      <c r="A4669">
        <v>5388487</v>
      </c>
      <c r="B4669">
        <v>5388211</v>
      </c>
      <c r="C4669" t="s">
        <v>8</v>
      </c>
      <c r="D4669" t="s">
        <v>8</v>
      </c>
      <c r="E4669" s="2" t="str">
        <f>HYPERLINK("https://ibp.a2mac1.com/costing(costing:projects/details/8191/assembly/5388487)","Fastners")</f>
        <v>Fastners</v>
      </c>
      <c r="F4669" t="s">
        <v>5493</v>
      </c>
    </row>
    <row r="4670" spans="1:6" ht="12.75">
      <c r="A4670">
        <v>5319597</v>
      </c>
      <c r="B4670">
        <v>5388487</v>
      </c>
      <c r="C4670" t="s">
        <v>574</v>
      </c>
      <c r="D4670" t="s">
        <v>8</v>
      </c>
      <c r="E4670" s="2" t="str">
        <f>HYPERLINK("https://ibp.a2mac1.com/costing(costing:projects/details/8191/component/5319597)","Nut &gt; Hexagonal nut with captive washer")</f>
        <v>Nut &gt; Hexagonal nut with captive washer</v>
      </c>
      <c r="F4670" t="s">
        <v>5503</v>
      </c>
    </row>
    <row r="4671" spans="1:6" ht="12.75">
      <c r="A4671">
        <v>5388212</v>
      </c>
      <c r="B4671">
        <v>5388136</v>
      </c>
      <c r="C4671" t="s">
        <v>8</v>
      </c>
      <c r="D4671" t="s">
        <v>8</v>
      </c>
      <c r="E4671" s="2" t="str">
        <f>HYPERLINK("https://ibp.a2mac1.com/costing(costing:projects/details/8191/assembly/5388212)","Weather Stripping")</f>
        <v>Weather Stripping</v>
      </c>
      <c r="F4671" t="s">
        <v>5427</v>
      </c>
    </row>
    <row r="4672" spans="1:6" ht="12.75">
      <c r="A4672">
        <v>5388491</v>
      </c>
      <c r="B4672">
        <v>5388212</v>
      </c>
      <c r="C4672" t="s">
        <v>8</v>
      </c>
      <c r="D4672" t="s">
        <v>8</v>
      </c>
      <c r="E4672" s="2" t="str">
        <f>HYPERLINK("https://ibp.a2mac1.com/costing(costing:projects/details/8191/assembly/5388491)","Fastners")</f>
        <v>Fastners</v>
      </c>
      <c r="F4672" t="s">
        <v>5505</v>
      </c>
    </row>
    <row r="4673" spans="1:6" ht="12.75">
      <c r="A4673">
        <v>5319598</v>
      </c>
      <c r="B4673">
        <v>5388491</v>
      </c>
      <c r="C4673" t="s">
        <v>574</v>
      </c>
      <c r="D4673" t="s">
        <v>8</v>
      </c>
      <c r="E4673" s="2" t="str">
        <f>HYPERLINK("https://ibp.a2mac1.com/costing(costing:projects/details/8191/component/5319598)","Panel holder &gt; Clips in round hole")</f>
        <v>Panel holder &gt; Clips in round hole</v>
      </c>
      <c r="F4673" t="s">
        <v>5506</v>
      </c>
    </row>
    <row r="4674" spans="1:6" ht="12.75">
      <c r="A4674">
        <v>5388488</v>
      </c>
      <c r="B4674">
        <v>5388212</v>
      </c>
      <c r="C4674" t="s">
        <v>12</v>
      </c>
      <c r="D4674" t="s">
        <v>8</v>
      </c>
      <c r="E4674" s="2" t="str">
        <f>HYPERLINK("https://ibp.a2mac1.com/costing(costing:projects/details/8191/part/5388488)","On Body")</f>
        <v>On Body</v>
      </c>
      <c r="F4674" t="s">
        <v>5505</v>
      </c>
    </row>
    <row r="4675" spans="1:6" ht="12.75">
      <c r="A4675">
        <v>6975444</v>
      </c>
      <c r="B4675">
        <v>5388488</v>
      </c>
      <c r="C4675" t="s">
        <v>99</v>
      </c>
      <c r="D4675" t="s">
        <v>12</v>
      </c>
      <c r="E4675" s="2" t="str">
        <f>HYPERLINK("https://ibp.a2mac1.com/costing(costing:projects/details/8191/process/6975444)","Seal Extrusion (Multi Layer)")</f>
        <v>Seal Extrusion (Multi Layer)</v>
      </c>
      <c r="F4675" t="s">
        <v>5507</v>
      </c>
    </row>
    <row r="4676" spans="1:6" ht="12.75">
      <c r="A4676">
        <v>5319836</v>
      </c>
      <c r="B4676">
        <v>6975444</v>
      </c>
      <c r="C4676" t="s">
        <v>24</v>
      </c>
      <c r="D4676" t="s">
        <v>99</v>
      </c>
      <c r="E4676" s="2" t="str">
        <f>HYPERLINK("https://ibp.a2mac1.com/costing(costing:projects/details/8191/material/5319836)","EPDM")</f>
        <v>EPDM</v>
      </c>
      <c r="F4676" t="s">
        <v>5510</v>
      </c>
    </row>
    <row r="4677" spans="1:6" ht="12.75">
      <c r="A4677">
        <v>5319837</v>
      </c>
      <c r="B4677">
        <v>6975444</v>
      </c>
      <c r="C4677" t="s">
        <v>24</v>
      </c>
      <c r="D4677" t="s">
        <v>99</v>
      </c>
      <c r="E4677" s="2" t="str">
        <f>HYPERLINK("https://ibp.a2mac1.com/costing(costing:projects/details/8191/material/5319837)","Standard Structural Steel sheet")</f>
        <v>Standard Structural Steel sheet</v>
      </c>
      <c r="F4677" t="s">
        <v>5510</v>
      </c>
    </row>
    <row r="4678" spans="1:6" ht="12.75">
      <c r="A4678">
        <v>6948025</v>
      </c>
      <c r="B4678">
        <v>6975444</v>
      </c>
      <c r="C4678" t="s">
        <v>189</v>
      </c>
      <c r="D4678" t="s">
        <v>99</v>
      </c>
      <c r="E4678" s="2" t="str">
        <f>HYPERLINK("https://ibp.a2mac1.com/costing(costing:projects/details/8191/equipment/6948025)","Rubber Extrusion machine")</f>
        <v>Rubber Extrusion machine</v>
      </c>
      <c r="F4678" t="s">
        <v>5510</v>
      </c>
    </row>
    <row r="4679" spans="1:6" ht="12.75">
      <c r="A4679">
        <v>6975445</v>
      </c>
      <c r="B4679">
        <v>5388488</v>
      </c>
      <c r="C4679" t="s">
        <v>99</v>
      </c>
      <c r="D4679" t="s">
        <v>12</v>
      </c>
      <c r="E4679" s="2" t="str">
        <f>HYPERLINK("https://ibp.a2mac1.com/costing(costing:projects/details/8191/process/6975445)","End Glueing/Vulcanizing, Check and Pack")</f>
        <v>End Glueing/Vulcanizing, Check and Pack</v>
      </c>
      <c r="F4679" t="s">
        <v>5507</v>
      </c>
    </row>
    <row r="4680" spans="1:6" ht="12.75">
      <c r="A4680">
        <v>6948026</v>
      </c>
      <c r="B4680">
        <v>6975445</v>
      </c>
      <c r="C4680" t="s">
        <v>189</v>
      </c>
      <c r="D4680" t="s">
        <v>99</v>
      </c>
      <c r="E4680" s="2" t="str">
        <f>HYPERLINK("https://ibp.a2mac1.com/costing(costing:projects/details/8191/equipment/6948026)","Seal welding/joining station, manual")</f>
        <v>Seal welding/joining station, manual</v>
      </c>
      <c r="F4680" t="s">
        <v>5511</v>
      </c>
    </row>
    <row r="4681" spans="1:6" ht="12.75">
      <c r="A4681">
        <v>5388489</v>
      </c>
      <c r="B4681">
        <v>5388212</v>
      </c>
      <c r="C4681" t="s">
        <v>12</v>
      </c>
      <c r="D4681" t="s">
        <v>8</v>
      </c>
      <c r="E4681" s="2" t="str">
        <f>HYPERLINK("https://ibp.a2mac1.com/costing(costing:projects/details/8191/part/5388489)","Upper on Tailgate")</f>
        <v>Upper on Tailgate</v>
      </c>
      <c r="F4681" t="s">
        <v>5505</v>
      </c>
    </row>
    <row r="4682" spans="1:6" ht="12.75">
      <c r="A4682">
        <v>6975446</v>
      </c>
      <c r="B4682">
        <v>5388489</v>
      </c>
      <c r="C4682" t="s">
        <v>99</v>
      </c>
      <c r="D4682" t="s">
        <v>12</v>
      </c>
      <c r="E4682" s="2" t="str">
        <f>HYPERLINK("https://ibp.a2mac1.com/costing(costing:projects/details/8191/process/6975446)","Seal Extrusion (Multi Layer)")</f>
        <v>Seal Extrusion (Multi Layer)</v>
      </c>
      <c r="F4682" t="s">
        <v>5513</v>
      </c>
    </row>
    <row r="4683" spans="1:6" ht="12.75">
      <c r="A4683">
        <v>5319838</v>
      </c>
      <c r="B4683">
        <v>6975446</v>
      </c>
      <c r="C4683" t="s">
        <v>24</v>
      </c>
      <c r="D4683" t="s">
        <v>99</v>
      </c>
      <c r="E4683" s="2" t="str">
        <f>HYPERLINK("https://ibp.a2mac1.com/costing(costing:projects/details/8191/material/5319838)","EPDM")</f>
        <v>EPDM</v>
      </c>
      <c r="F4683" t="s">
        <v>5515</v>
      </c>
    </row>
    <row r="4684" spans="1:6" ht="12.75">
      <c r="A4684">
        <v>6948027</v>
      </c>
      <c r="B4684">
        <v>6975446</v>
      </c>
      <c r="C4684" t="s">
        <v>189</v>
      </c>
      <c r="D4684" t="s">
        <v>99</v>
      </c>
      <c r="E4684" s="2" t="str">
        <f>HYPERLINK("https://ibp.a2mac1.com/costing(costing:projects/details/8191/equipment/6948027)","Rubber Extrusion machine")</f>
        <v>Rubber Extrusion machine</v>
      </c>
      <c r="F4684" t="s">
        <v>5515</v>
      </c>
    </row>
    <row r="4685" spans="1:6" ht="12.75">
      <c r="A4685">
        <v>5388490</v>
      </c>
      <c r="B4685">
        <v>5388212</v>
      </c>
      <c r="C4685" t="s">
        <v>12</v>
      </c>
      <c r="D4685" t="s">
        <v>8</v>
      </c>
      <c r="E4685" s="2" t="str">
        <f>HYPERLINK("https://ibp.a2mac1.com/costing(costing:projects/details/8191/part/5388490)","Side on Tailgate")</f>
        <v>Side on Tailgate</v>
      </c>
      <c r="F4685" t="s">
        <v>5505</v>
      </c>
    </row>
    <row r="4686" spans="1:6" ht="12.75">
      <c r="A4686">
        <v>6975447</v>
      </c>
      <c r="B4686">
        <v>5388490</v>
      </c>
      <c r="C4686" t="s">
        <v>99</v>
      </c>
      <c r="D4686" t="s">
        <v>12</v>
      </c>
      <c r="E4686" s="2" t="str">
        <f>HYPERLINK("https://ibp.a2mac1.com/costing(costing:projects/details/8191/process/6975447)","Seal Extrusion (Multi Layer)")</f>
        <v>Seal Extrusion (Multi Layer)</v>
      </c>
      <c r="F4686" t="s">
        <v>5518</v>
      </c>
    </row>
    <row r="4687" spans="1:6" ht="12.75">
      <c r="A4687">
        <v>5319839</v>
      </c>
      <c r="B4687">
        <v>6975447</v>
      </c>
      <c r="C4687" t="s">
        <v>24</v>
      </c>
      <c r="D4687" t="s">
        <v>99</v>
      </c>
      <c r="E4687" s="2" t="str">
        <f>HYPERLINK("https://ibp.a2mac1.com/costing(costing:projects/details/8191/material/5319839)","EPDM")</f>
        <v>EPDM</v>
      </c>
      <c r="F4687" t="s">
        <v>5519</v>
      </c>
    </row>
    <row r="4688" spans="1:6" ht="12.75">
      <c r="A4688">
        <v>6948028</v>
      </c>
      <c r="B4688">
        <v>6975447</v>
      </c>
      <c r="C4688" t="s">
        <v>189</v>
      </c>
      <c r="D4688" t="s">
        <v>99</v>
      </c>
      <c r="E4688" s="2" t="str">
        <f>HYPERLINK("https://ibp.a2mac1.com/costing(costing:projects/details/8191/equipment/6948028)","Rubber Extrusion machine")</f>
        <v>Rubber Extrusion machine</v>
      </c>
      <c r="F4688" t="s">
        <v>5519</v>
      </c>
    </row>
    <row r="4689" spans="1:6" ht="12.75">
      <c r="A4689">
        <v>5388213</v>
      </c>
      <c r="B4689">
        <v>5388136</v>
      </c>
      <c r="C4689" t="s">
        <v>8</v>
      </c>
      <c r="D4689" t="s">
        <v>8</v>
      </c>
      <c r="E4689" s="2" t="str">
        <f>HYPERLINK("https://ibp.a2mac1.com/costing(costing:projects/details/8191/assembly/5388213)","Electric System")</f>
        <v>Electric System</v>
      </c>
      <c r="F4689" t="s">
        <v>5427</v>
      </c>
    </row>
    <row r="4690" spans="1:6" ht="12.75">
      <c r="A4690">
        <v>5388495</v>
      </c>
      <c r="B4690">
        <v>5388213</v>
      </c>
      <c r="C4690" t="s">
        <v>8</v>
      </c>
      <c r="D4690" t="s">
        <v>8</v>
      </c>
      <c r="E4690" s="2" t="str">
        <f>HYPERLINK("https://ibp.a2mac1.com/costing(costing:projects/details/8191/assembly/5388495)","Fastners")</f>
        <v>Fastners</v>
      </c>
      <c r="F4690" t="s">
        <v>5522</v>
      </c>
    </row>
    <row r="4691" spans="1:6" ht="12.75">
      <c r="A4691">
        <v>5319599</v>
      </c>
      <c r="B4691">
        <v>5388495</v>
      </c>
      <c r="C4691" t="s">
        <v>574</v>
      </c>
      <c r="D4691" t="s">
        <v>8</v>
      </c>
      <c r="E4691" s="2" t="str">
        <f>HYPERLINK("https://ibp.a2mac1.com/costing(costing:projects/details/8191/component/5319599)","Tube/cluster support &gt; Tube/cluster beribboned support in hole")</f>
        <v>Tube/cluster support &gt; Tube/cluster beribboned support in hole</v>
      </c>
      <c r="F4691" t="s">
        <v>5523</v>
      </c>
    </row>
    <row r="4692" spans="1:6" ht="12.75">
      <c r="A4692">
        <v>5388492</v>
      </c>
      <c r="B4692">
        <v>5388213</v>
      </c>
      <c r="C4692" t="s">
        <v>12</v>
      </c>
      <c r="D4692" t="s">
        <v>8</v>
      </c>
      <c r="E4692" s="2" t="str">
        <f>HYPERLINK("https://ibp.a2mac1.com/costing(costing:projects/details/8191/part/5388492)","Harness")</f>
        <v>Harness</v>
      </c>
      <c r="F4692" t="s">
        <v>5522</v>
      </c>
    </row>
    <row r="4693" spans="1:6" ht="12.75">
      <c r="A4693">
        <v>5388493</v>
      </c>
      <c r="B4693">
        <v>5388213</v>
      </c>
      <c r="C4693" t="s">
        <v>12</v>
      </c>
      <c r="D4693" t="s">
        <v>8</v>
      </c>
      <c r="E4693" s="2" t="str">
        <f>HYPERLINK("https://ibp.a2mac1.com/costing(costing:projects/details/8191/part/5388493)","Defrost Relay")</f>
        <v>Defrost Relay</v>
      </c>
      <c r="F4693" t="s">
        <v>5522</v>
      </c>
    </row>
    <row r="4694" spans="1:6" ht="12.75">
      <c r="A4694">
        <v>5388494</v>
      </c>
      <c r="B4694">
        <v>5388213</v>
      </c>
      <c r="C4694" t="s">
        <v>12</v>
      </c>
      <c r="D4694" t="s">
        <v>8</v>
      </c>
      <c r="E4694" s="2" t="str">
        <f>HYPERLINK("https://ibp.a2mac1.com/costing(costing:projects/details/8191/part/5388494)","Plugs Support")</f>
        <v>Plugs Support</v>
      </c>
      <c r="F4694" t="s">
        <v>5522</v>
      </c>
    </row>
    <row r="4695" spans="1:6" ht="12.75">
      <c r="A4695">
        <v>6975448</v>
      </c>
      <c r="B4695">
        <v>5388494</v>
      </c>
      <c r="C4695" t="s">
        <v>99</v>
      </c>
      <c r="D4695" t="s">
        <v>12</v>
      </c>
      <c r="E4695" s="2" t="str">
        <f>HYPERLINK("https://ibp.a2mac1.com/costing(costing:projects/details/8191/process/6975448)","Injection molding")</f>
        <v>Injection molding</v>
      </c>
      <c r="F4695" t="s">
        <v>5526</v>
      </c>
    </row>
    <row r="4696" spans="1:6" ht="12.75">
      <c r="A4696">
        <v>5319850</v>
      </c>
      <c r="B4696">
        <v>6975448</v>
      </c>
      <c r="C4696" t="s">
        <v>24</v>
      </c>
      <c r="D4696" t="s">
        <v>99</v>
      </c>
      <c r="E4696" s="2" t="str">
        <f>HYPERLINK("https://ibp.a2mac1.com/costing(costing:projects/details/8191/material/5319850)","PA6")</f>
        <v>PA6</v>
      </c>
      <c r="F4696" t="s">
        <v>5528</v>
      </c>
    </row>
    <row r="4697" spans="1:6" ht="12.75">
      <c r="A4697">
        <v>6948029</v>
      </c>
      <c r="B4697">
        <v>6975448</v>
      </c>
      <c r="C4697" t="s">
        <v>189</v>
      </c>
      <c r="D4697" t="s">
        <v>99</v>
      </c>
      <c r="E4697" s="2" t="str">
        <f>HYPERLINK("https://ibp.a2mac1.com/costing(costing:projects/details/8191/equipment/6948029)","No.01 - Injection Press - 40T - 18kW - 270x270 - Max Volume 128cm3 ")</f>
        <v xml:space="preserve">No.01 - Injection Press - 40T - 18kW - 270x270 - Max Volume 128cm3 </v>
      </c>
      <c r="F4697" t="s">
        <v>5528</v>
      </c>
    </row>
    <row r="4698" spans="1:6" ht="12.75">
      <c r="A4698">
        <v>6975449</v>
      </c>
      <c r="B4698">
        <v>5388494</v>
      </c>
      <c r="C4698" t="s">
        <v>99</v>
      </c>
      <c r="D4698" t="s">
        <v>12</v>
      </c>
      <c r="E4698" s="2" t="str">
        <f>HYPERLINK("https://ibp.a2mac1.com/costing(costing:projects/details/8191/process/6975449)","Handling/Visual Inspection/Packaging")</f>
        <v>Handling/Visual Inspection/Packaging</v>
      </c>
      <c r="F4698" t="s">
        <v>5526</v>
      </c>
    </row>
    <row r="4699" spans="1:6" ht="12.75">
      <c r="A4699">
        <v>6948030</v>
      </c>
      <c r="B4699">
        <v>6975449</v>
      </c>
      <c r="C4699" t="s">
        <v>189</v>
      </c>
      <c r="D4699" t="s">
        <v>99</v>
      </c>
      <c r="E4699" s="2" t="str">
        <f>HYPERLINK("https://ibp.a2mac1.com/costing(costing:projects/details/8191/equipment/6948030)","Packaging")</f>
        <v>Packaging</v>
      </c>
      <c r="F4699" t="s">
        <v>5529</v>
      </c>
    </row>
    <row r="4700" spans="1:6" ht="12.75">
      <c r="A4700">
        <v>5388214</v>
      </c>
      <c r="B4700">
        <v>5388136</v>
      </c>
      <c r="C4700" t="s">
        <v>8</v>
      </c>
      <c r="D4700" t="s">
        <v>8</v>
      </c>
      <c r="E4700" s="2" t="str">
        <f>HYPERLINK("https://ibp.a2mac1.com/costing(costing:projects/details/8191/assembly/5388214)","Door Mechanism")</f>
        <v>Door Mechanism</v>
      </c>
      <c r="F4700" t="s">
        <v>5427</v>
      </c>
    </row>
    <row r="4701" spans="1:6" ht="12.75">
      <c r="A4701">
        <v>5388497</v>
      </c>
      <c r="B4701">
        <v>5388214</v>
      </c>
      <c r="C4701" t="s">
        <v>8</v>
      </c>
      <c r="D4701" t="s">
        <v>8</v>
      </c>
      <c r="E4701" s="2" t="str">
        <f>HYPERLINK("https://ibp.a2mac1.com/costing(costing:projects/details/8191/assembly/5388497)","Exterior Handle")</f>
        <v>Exterior Handle</v>
      </c>
      <c r="F4701" t="s">
        <v>5532</v>
      </c>
    </row>
    <row r="4702" spans="1:6" ht="12.75">
      <c r="A4702">
        <v>5388831</v>
      </c>
      <c r="B4702">
        <v>5388497</v>
      </c>
      <c r="C4702" t="s">
        <v>8</v>
      </c>
      <c r="D4702" t="s">
        <v>8</v>
      </c>
      <c r="E4702" s="2" t="str">
        <f>HYPERLINK("https://ibp.a2mac1.com/costing(costing:projects/details/8191/assembly/5388831)","Fastners")</f>
        <v>Fastners</v>
      </c>
      <c r="F4702" t="s">
        <v>5533</v>
      </c>
    </row>
    <row r="4703" spans="1:6" ht="12.75">
      <c r="A4703">
        <v>5319851</v>
      </c>
      <c r="B4703">
        <v>5388831</v>
      </c>
      <c r="C4703" t="s">
        <v>574</v>
      </c>
      <c r="D4703" t="s">
        <v>8</v>
      </c>
      <c r="E4703" s="2" t="str">
        <f>HYPERLINK("https://ibp.a2mac1.com/costing(costing:projects/details/8191/component/5319851)","Screw &gt; Torx socket head cap screw with flange")</f>
        <v>Screw &gt; Torx socket head cap screw with flange</v>
      </c>
      <c r="F4703" t="s">
        <v>5534</v>
      </c>
    </row>
    <row r="4704" spans="1:6" ht="12.75">
      <c r="A4704">
        <v>5388829</v>
      </c>
      <c r="B4704">
        <v>5388497</v>
      </c>
      <c r="C4704" t="s">
        <v>12</v>
      </c>
      <c r="D4704" t="s">
        <v>8</v>
      </c>
      <c r="E4704" s="2" t="str">
        <f>HYPERLINK("https://ibp.a2mac1.com/costing(costing:projects/details/8191/part/5388829)","Control Handle")</f>
        <v>Control Handle</v>
      </c>
      <c r="F4704" t="s">
        <v>5533</v>
      </c>
    </row>
    <row r="4705" spans="1:6" ht="12.75">
      <c r="A4705">
        <v>5388830</v>
      </c>
      <c r="B4705">
        <v>5388497</v>
      </c>
      <c r="C4705" t="s">
        <v>12</v>
      </c>
      <c r="D4705" t="s">
        <v>8</v>
      </c>
      <c r="E4705" s="2" t="str">
        <f>HYPERLINK("https://ibp.a2mac1.com/costing(costing:projects/details/8191/part/5388830)","Control Support")</f>
        <v>Control Support</v>
      </c>
      <c r="F4705" t="s">
        <v>5533</v>
      </c>
    </row>
    <row r="4706" spans="1:6" ht="12.75">
      <c r="A4706">
        <v>6975683</v>
      </c>
      <c r="B4706">
        <v>5388830</v>
      </c>
      <c r="C4706" t="s">
        <v>99</v>
      </c>
      <c r="D4706" t="s">
        <v>12</v>
      </c>
      <c r="E4706" s="2" t="str">
        <f>HYPERLINK("https://ibp.a2mac1.com/costing(costing:projects/details/8191/process/6975683)","Injection molding")</f>
        <v>Injection molding</v>
      </c>
      <c r="F4706" t="s">
        <v>5536</v>
      </c>
    </row>
    <row r="4707" spans="1:6" ht="12.75">
      <c r="A4707">
        <v>5320104</v>
      </c>
      <c r="B4707">
        <v>6975683</v>
      </c>
      <c r="C4707" t="s">
        <v>24</v>
      </c>
      <c r="D4707" t="s">
        <v>99</v>
      </c>
      <c r="E4707" s="2" t="str">
        <f>HYPERLINK("https://ibp.a2mac1.com/costing(costing:projects/details/8191/material/5320104)","PP-GF20")</f>
        <v>PP-GF20</v>
      </c>
      <c r="F4707" t="s">
        <v>5539</v>
      </c>
    </row>
    <row r="4708" spans="1:6" ht="12.75">
      <c r="A4708">
        <v>6948285</v>
      </c>
      <c r="B4708">
        <v>6975683</v>
      </c>
      <c r="C4708" t="s">
        <v>189</v>
      </c>
      <c r="D4708" t="s">
        <v>99</v>
      </c>
      <c r="E4708" s="2" t="str">
        <f>HYPERLINK("https://ibp.a2mac1.com/costing(costing:projects/details/8191/equipment/6948285)","Equipment (Injection Molding)")</f>
        <v>Equipment (Injection Molding)</v>
      </c>
      <c r="F4708" t="s">
        <v>5539</v>
      </c>
    </row>
    <row r="4709" spans="1:6" ht="12.75">
      <c r="A4709">
        <v>5388498</v>
      </c>
      <c r="B4709">
        <v>5388214</v>
      </c>
      <c r="C4709" t="s">
        <v>8</v>
      </c>
      <c r="D4709" t="s">
        <v>8</v>
      </c>
      <c r="E4709" s="2" t="str">
        <f>HYPERLINK("https://ibp.a2mac1.com/costing(costing:projects/details/8191/assembly/5388498)","Lock System")</f>
        <v>Lock System</v>
      </c>
      <c r="F4709" t="s">
        <v>5532</v>
      </c>
    </row>
    <row r="4710" spans="1:6" ht="12.75">
      <c r="A4710">
        <v>5388834</v>
      </c>
      <c r="B4710">
        <v>5388498</v>
      </c>
      <c r="C4710" t="s">
        <v>8</v>
      </c>
      <c r="D4710" t="s">
        <v>8</v>
      </c>
      <c r="E4710" s="2" t="str">
        <f>HYPERLINK("https://ibp.a2mac1.com/costing(costing:projects/details/8191/assembly/5388834)","Fastners")</f>
        <v>Fastners</v>
      </c>
      <c r="F4710" t="s">
        <v>5543</v>
      </c>
    </row>
    <row r="4711" spans="1:6" ht="12.75">
      <c r="A4711">
        <v>5319852</v>
      </c>
      <c r="B4711">
        <v>5388834</v>
      </c>
      <c r="C4711" t="s">
        <v>574</v>
      </c>
      <c r="D4711" t="s">
        <v>8</v>
      </c>
      <c r="E4711" s="2" t="str">
        <f>HYPERLINK("https://ibp.a2mac1.com/costing(costing:projects/details/8191/component/5319852)","Nut &gt; Hexagonal nut with collar")</f>
        <v>Nut &gt; Hexagonal nut with collar</v>
      </c>
      <c r="F4711" t="s">
        <v>5544</v>
      </c>
    </row>
    <row r="4712" spans="1:6" ht="12.75">
      <c r="A4712">
        <v>5388832</v>
      </c>
      <c r="B4712">
        <v>5388498</v>
      </c>
      <c r="C4712" t="s">
        <v>12</v>
      </c>
      <c r="D4712" t="s">
        <v>8</v>
      </c>
      <c r="E4712" s="2" t="str">
        <f>HYPERLINK("https://ibp.a2mac1.com/costing(costing:projects/details/8191/part/5388832)","Lock")</f>
        <v>Lock</v>
      </c>
      <c r="F4712" t="s">
        <v>5543</v>
      </c>
    </row>
    <row r="4713" spans="1:6" ht="12.75">
      <c r="A4713">
        <v>5388833</v>
      </c>
      <c r="B4713">
        <v>5388498</v>
      </c>
      <c r="C4713" t="s">
        <v>12</v>
      </c>
      <c r="D4713" t="s">
        <v>8</v>
      </c>
      <c r="E4713" s="2" t="str">
        <f>HYPERLINK("https://ibp.a2mac1.com/costing(costing:projects/details/8191/part/5388833)","Lock Trim")</f>
        <v>Lock Trim</v>
      </c>
      <c r="F4713" t="s">
        <v>5543</v>
      </c>
    </row>
    <row r="4714" spans="1:6" ht="12.75">
      <c r="A4714">
        <v>6975684</v>
      </c>
      <c r="B4714">
        <v>5388833</v>
      </c>
      <c r="C4714" t="s">
        <v>99</v>
      </c>
      <c r="D4714" t="s">
        <v>12</v>
      </c>
      <c r="E4714" s="2" t="str">
        <f>HYPERLINK("https://ibp.a2mac1.com/costing(costing:projects/details/8191/process/6975684)","Injection molding")</f>
        <v>Injection molding</v>
      </c>
      <c r="F4714" t="s">
        <v>5547</v>
      </c>
    </row>
    <row r="4715" spans="1:6" ht="12.75">
      <c r="A4715">
        <v>5320105</v>
      </c>
      <c r="B4715">
        <v>6975684</v>
      </c>
      <c r="C4715" t="s">
        <v>24</v>
      </c>
      <c r="D4715" t="s">
        <v>99</v>
      </c>
      <c r="E4715" s="2" t="str">
        <f>HYPERLINK("https://ibp.a2mac1.com/costing(costing:projects/details/8191/material/5320105)","PP + EPDM / PE")</f>
        <v>PP + EPDM / PE</v>
      </c>
      <c r="F4715" t="s">
        <v>5548</v>
      </c>
    </row>
    <row r="4716" spans="1:6" ht="12.75">
      <c r="A4716">
        <v>6948286</v>
      </c>
      <c r="B4716">
        <v>6975684</v>
      </c>
      <c r="C4716" t="s">
        <v>189</v>
      </c>
      <c r="D4716" t="s">
        <v>99</v>
      </c>
      <c r="E4716" s="2" t="str">
        <f>HYPERLINK("https://ibp.a2mac1.com/costing(costing:projects/details/8191/equipment/6948286)","Equipment (Injection Molding)")</f>
        <v>Equipment (Injection Molding)</v>
      </c>
      <c r="F4716" t="s">
        <v>5548</v>
      </c>
    </row>
    <row r="4717" spans="1:6" ht="12.75">
      <c r="A4717">
        <v>5388499</v>
      </c>
      <c r="B4717">
        <v>5388214</v>
      </c>
      <c r="C4717" t="s">
        <v>8</v>
      </c>
      <c r="D4717" t="s">
        <v>8</v>
      </c>
      <c r="E4717" s="2" t="str">
        <f>HYPERLINK("https://ibp.a2mac1.com/costing(costing:projects/details/8191/assembly/5388499)","Tailgate Striker")</f>
        <v>Tailgate Striker</v>
      </c>
      <c r="F4717" t="s">
        <v>5532</v>
      </c>
    </row>
    <row r="4718" spans="1:6" ht="12.75">
      <c r="A4718">
        <v>5388836</v>
      </c>
      <c r="B4718">
        <v>5388499</v>
      </c>
      <c r="C4718" t="s">
        <v>8</v>
      </c>
      <c r="D4718" t="s">
        <v>8</v>
      </c>
      <c r="E4718" s="2" t="str">
        <f>HYPERLINK("https://ibp.a2mac1.com/costing(costing:projects/details/8191/assembly/5388836)","Fastners")</f>
        <v>Fastners</v>
      </c>
      <c r="F4718" t="s">
        <v>5552</v>
      </c>
    </row>
    <row r="4719" spans="1:6" ht="12.75">
      <c r="A4719">
        <v>5319853</v>
      </c>
      <c r="B4719">
        <v>5388836</v>
      </c>
      <c r="C4719" t="s">
        <v>574</v>
      </c>
      <c r="D4719" t="s">
        <v>8</v>
      </c>
      <c r="E4719" s="2" t="str">
        <f>HYPERLINK("https://ibp.a2mac1.com/costing(costing:projects/details/8191/component/5319853)","Nut &gt; Hexagonal nut with captive washer")</f>
        <v>Nut &gt; Hexagonal nut with captive washer</v>
      </c>
      <c r="F4719" t="s">
        <v>5553</v>
      </c>
    </row>
    <row r="4720" spans="1:6" ht="12.75">
      <c r="A4720">
        <v>5388835</v>
      </c>
      <c r="B4720">
        <v>5388499</v>
      </c>
      <c r="C4720" t="s">
        <v>12</v>
      </c>
      <c r="D4720" t="s">
        <v>8</v>
      </c>
      <c r="E4720" s="2" t="str">
        <f>HYPERLINK("https://ibp.a2mac1.com/costing(costing:projects/details/8191/part/5388835)","Striker")</f>
        <v>Striker</v>
      </c>
      <c r="F4720" t="s">
        <v>5552</v>
      </c>
    </row>
    <row r="4721" spans="1:6" ht="12.75">
      <c r="A4721">
        <v>6975685</v>
      </c>
      <c r="B4721">
        <v>5388835</v>
      </c>
      <c r="C4721" t="s">
        <v>99</v>
      </c>
      <c r="D4721" t="s">
        <v>12</v>
      </c>
      <c r="E4721" s="2" t="str">
        <f>HYPERLINK("https://ibp.a2mac1.com/costing(costing:projects/details/8191/process/6975685)","Injection molding")</f>
        <v>Injection molding</v>
      </c>
      <c r="F4721" t="s">
        <v>5554</v>
      </c>
    </row>
    <row r="4722" spans="1:6" ht="12.75">
      <c r="A4722">
        <v>5320106</v>
      </c>
      <c r="B4722">
        <v>6975685</v>
      </c>
      <c r="C4722" t="s">
        <v>24</v>
      </c>
      <c r="D4722" t="s">
        <v>99</v>
      </c>
      <c r="E4722" s="2" t="str">
        <f>HYPERLINK("https://ibp.a2mac1.com/costing(costing:projects/details/8191/material/5320106)","EPDM")</f>
        <v>EPDM</v>
      </c>
      <c r="F4722" t="s">
        <v>5557</v>
      </c>
    </row>
    <row r="4723" spans="1:6" ht="12.75">
      <c r="A4723">
        <v>6948287</v>
      </c>
      <c r="B4723">
        <v>6975685</v>
      </c>
      <c r="C4723" t="s">
        <v>189</v>
      </c>
      <c r="D4723" t="s">
        <v>99</v>
      </c>
      <c r="E4723" s="2" t="str">
        <f>HYPERLINK("https://ibp.a2mac1.com/costing(costing:projects/details/8191/equipment/6948287)","Equipment (Injection Molding)")</f>
        <v>Equipment (Injection Molding)</v>
      </c>
      <c r="F4723" t="s">
        <v>5557</v>
      </c>
    </row>
    <row r="4724" spans="1:6" ht="12.75">
      <c r="A4724">
        <v>5388500</v>
      </c>
      <c r="B4724">
        <v>5388214</v>
      </c>
      <c r="C4724" t="s">
        <v>8</v>
      </c>
      <c r="D4724" t="s">
        <v>8</v>
      </c>
      <c r="E4724" s="2" t="str">
        <f>HYPERLINK("https://ibp.a2mac1.com/costing(costing:projects/details/8191/assembly/5388500)","Inner Handle")</f>
        <v>Inner Handle</v>
      </c>
      <c r="F4724" t="s">
        <v>5532</v>
      </c>
    </row>
    <row r="4725" spans="1:6" ht="12.75">
      <c r="A4725">
        <v>5388838</v>
      </c>
      <c r="B4725">
        <v>5388500</v>
      </c>
      <c r="C4725" t="s">
        <v>8</v>
      </c>
      <c r="D4725" t="s">
        <v>8</v>
      </c>
      <c r="E4725" s="2" t="str">
        <f>HYPERLINK("https://ibp.a2mac1.com/costing(costing:projects/details/8191/assembly/5388838)","Fastners")</f>
        <v>Fastners</v>
      </c>
      <c r="F4725" t="s">
        <v>5561</v>
      </c>
    </row>
    <row r="4726" spans="1:6" ht="12.75">
      <c r="A4726">
        <v>5319854</v>
      </c>
      <c r="B4726">
        <v>5388838</v>
      </c>
      <c r="C4726" t="s">
        <v>574</v>
      </c>
      <c r="D4726" t="s">
        <v>8</v>
      </c>
      <c r="E4726" s="2" t="str">
        <f>HYPERLINK("https://ibp.a2mac1.com/costing(costing:projects/details/8191/component/5319854)","Spacer/Axle &gt; Ring")</f>
        <v>Spacer/Axle &gt; Ring</v>
      </c>
      <c r="F4726" t="s">
        <v>5562</v>
      </c>
    </row>
    <row r="4727" spans="1:6" ht="12.75">
      <c r="A4727">
        <v>5388837</v>
      </c>
      <c r="B4727">
        <v>5388500</v>
      </c>
      <c r="C4727" t="s">
        <v>12</v>
      </c>
      <c r="D4727" t="s">
        <v>8</v>
      </c>
      <c r="E4727" s="2" t="str">
        <f>HYPERLINK("https://ibp.a2mac1.com/costing(costing:projects/details/8191/part/5388837)","Handle")</f>
        <v>Handle</v>
      </c>
      <c r="F4727" t="s">
        <v>5561</v>
      </c>
    </row>
    <row r="4728" spans="1:6" ht="12.75">
      <c r="A4728">
        <v>6975687</v>
      </c>
      <c r="B4728">
        <v>5388837</v>
      </c>
      <c r="C4728" t="s">
        <v>99</v>
      </c>
      <c r="D4728" t="s">
        <v>12</v>
      </c>
      <c r="E4728" s="2" t="str">
        <f>HYPERLINK("https://ibp.a2mac1.com/costing(costing:projects/details/8191/process/6975687)","Injection molding")</f>
        <v>Injection molding</v>
      </c>
      <c r="F4728" t="s">
        <v>5563</v>
      </c>
    </row>
    <row r="4729" spans="1:6" ht="12.75">
      <c r="A4729">
        <v>5320107</v>
      </c>
      <c r="B4729">
        <v>6975687</v>
      </c>
      <c r="C4729" t="s">
        <v>24</v>
      </c>
      <c r="D4729" t="s">
        <v>99</v>
      </c>
      <c r="E4729" s="2" t="str">
        <f>HYPERLINK("https://ibp.a2mac1.com/costing(costing:projects/details/8191/material/5320107)","PP-PE")</f>
        <v>PP-PE</v>
      </c>
      <c r="F4729" t="s">
        <v>5566</v>
      </c>
    </row>
    <row r="4730" spans="1:6" ht="12.75">
      <c r="A4730">
        <v>6948289</v>
      </c>
      <c r="B4730">
        <v>6975687</v>
      </c>
      <c r="C4730" t="s">
        <v>189</v>
      </c>
      <c r="D4730" t="s">
        <v>99</v>
      </c>
      <c r="E4730" s="2" t="str">
        <f>HYPERLINK("https://ibp.a2mac1.com/costing(costing:projects/details/8191/equipment/6948289)","No.02 - Injection Press - 60T - 25kW - 320x320 - Max Volume 164cm3 ")</f>
        <v xml:space="preserve">No.02 - Injection Press - 60T - 25kW - 320x320 - Max Volume 164cm3 </v>
      </c>
      <c r="F4730" t="s">
        <v>5566</v>
      </c>
    </row>
    <row r="4731" spans="1:6" ht="12.75">
      <c r="A4731">
        <v>6975686</v>
      </c>
      <c r="B4731">
        <v>5388837</v>
      </c>
      <c r="C4731" t="s">
        <v>99</v>
      </c>
      <c r="D4731" t="s">
        <v>12</v>
      </c>
      <c r="E4731" s="2" t="str">
        <f>HYPERLINK("https://ibp.a2mac1.com/costing(costing:projects/details/8191/process/6975686)","Handling/Visual Inspection/Packaging")</f>
        <v>Handling/Visual Inspection/Packaging</v>
      </c>
      <c r="F4731" t="s">
        <v>5563</v>
      </c>
    </row>
    <row r="4732" spans="1:6" ht="12.75">
      <c r="A4732">
        <v>6948288</v>
      </c>
      <c r="B4732">
        <v>6975686</v>
      </c>
      <c r="C4732" t="s">
        <v>189</v>
      </c>
      <c r="D4732" t="s">
        <v>99</v>
      </c>
      <c r="E4732" s="2" t="str">
        <f>HYPERLINK("https://ibp.a2mac1.com/costing(costing:projects/details/8191/equipment/6948288)","Packaging")</f>
        <v>Packaging</v>
      </c>
      <c r="F4732" t="s">
        <v>5567</v>
      </c>
    </row>
    <row r="4733" spans="1:6" ht="12.75">
      <c r="A4733">
        <v>5388501</v>
      </c>
      <c r="B4733">
        <v>5388214</v>
      </c>
      <c r="C4733" t="s">
        <v>8</v>
      </c>
      <c r="D4733" t="s">
        <v>8</v>
      </c>
      <c r="E4733" s="2" t="str">
        <f>HYPERLINK("https://ibp.a2mac1.com/costing(costing:projects/details/8191/assembly/5388501)","Electric Opening System")</f>
        <v>Electric Opening System</v>
      </c>
      <c r="F4733" t="s">
        <v>5532</v>
      </c>
    </row>
    <row r="4734" spans="1:6" ht="12.75">
      <c r="A4734">
        <v>5388839</v>
      </c>
      <c r="B4734">
        <v>5388501</v>
      </c>
      <c r="C4734" t="s">
        <v>12</v>
      </c>
      <c r="D4734" t="s">
        <v>8</v>
      </c>
      <c r="E4734" s="2" t="str">
        <f>HYPERLINK("https://ibp.a2mac1.com/costing(costing:projects/details/8191/part/5388839)","Closing Switch")</f>
        <v>Closing Switch</v>
      </c>
      <c r="F4734" t="s">
        <v>5570</v>
      </c>
    </row>
    <row r="4735" spans="1:6" ht="12.75">
      <c r="A4735">
        <v>5388502</v>
      </c>
      <c r="B4735">
        <v>5388214</v>
      </c>
      <c r="C4735" t="s">
        <v>8</v>
      </c>
      <c r="D4735" t="s">
        <v>8</v>
      </c>
      <c r="E4735" s="2" t="str">
        <f>HYPERLINK("https://ibp.a2mac1.com/costing(costing:projects/details/8191/assembly/5388502)","Fastners")</f>
        <v>Fastners</v>
      </c>
      <c r="F4735" t="s">
        <v>5532</v>
      </c>
    </row>
    <row r="4736" spans="1:6" ht="12.75">
      <c r="A4736">
        <v>5319600</v>
      </c>
      <c r="B4736">
        <v>5388502</v>
      </c>
      <c r="C4736" t="s">
        <v>574</v>
      </c>
      <c r="D4736" t="s">
        <v>8</v>
      </c>
      <c r="E4736" s="2" t="str">
        <f>HYPERLINK("https://ibp.a2mac1.com/costing(costing:projects/details/8191/component/5319600)","Panel holder &gt; Clips in round hole")</f>
        <v>Panel holder &gt; Clips in round hole</v>
      </c>
      <c r="F4736" t="s">
        <v>5573</v>
      </c>
    </row>
    <row r="4737" spans="1:6" ht="12.75">
      <c r="A4737">
        <v>5388496</v>
      </c>
      <c r="B4737">
        <v>5388214</v>
      </c>
      <c r="C4737" t="s">
        <v>12</v>
      </c>
      <c r="D4737" t="s">
        <v>8</v>
      </c>
      <c r="E4737" s="2" t="str">
        <f>HYPERLINK("https://ibp.a2mac1.com/costing(costing:projects/details/8191/part/5388496)","Lock Motor")</f>
        <v>Lock Motor</v>
      </c>
      <c r="F4737" t="s">
        <v>5532</v>
      </c>
    </row>
    <row r="4738" spans="1:6" ht="12.75">
      <c r="A4738">
        <v>5388215</v>
      </c>
      <c r="B4738">
        <v>5388136</v>
      </c>
      <c r="C4738" t="s">
        <v>8</v>
      </c>
      <c r="D4738" t="s">
        <v>8</v>
      </c>
      <c r="E4738" s="2" t="str">
        <f>HYPERLINK("https://ibp.a2mac1.com/costing(costing:projects/details/8191/assembly/5388215)","Strut System")</f>
        <v>Strut System</v>
      </c>
      <c r="F4738" t="s">
        <v>5427</v>
      </c>
    </row>
    <row r="4739" spans="1:6" ht="12.75">
      <c r="A4739">
        <v>5388506</v>
      </c>
      <c r="B4739">
        <v>5388215</v>
      </c>
      <c r="C4739" t="s">
        <v>8</v>
      </c>
      <c r="D4739" t="s">
        <v>8</v>
      </c>
      <c r="E4739" s="2" t="str">
        <f>HYPERLINK("https://ibp.a2mac1.com/costing(costing:projects/details/8191/assembly/5388506)","Fastners")</f>
        <v>Fastners</v>
      </c>
      <c r="F4739" t="s">
        <v>5577</v>
      </c>
    </row>
    <row r="4740" spans="1:6" ht="12.75">
      <c r="A4740">
        <v>5319601</v>
      </c>
      <c r="B4740">
        <v>5388506</v>
      </c>
      <c r="C4740" t="s">
        <v>574</v>
      </c>
      <c r="D4740" t="s">
        <v>8</v>
      </c>
      <c r="E4740" s="2" t="str">
        <f>HYPERLINK("https://ibp.a2mac1.com/costing(costing:projects/details/8191/component/5319601)","Pin clip &gt; Axle pin")</f>
        <v>Pin clip &gt; Axle pin</v>
      </c>
      <c r="F4740" t="s">
        <v>5578</v>
      </c>
    </row>
    <row r="4741" spans="1:6" ht="12.75">
      <c r="A4741">
        <v>5319602</v>
      </c>
      <c r="B4741">
        <v>5388506</v>
      </c>
      <c r="C4741" t="s">
        <v>574</v>
      </c>
      <c r="D4741" t="s">
        <v>8</v>
      </c>
      <c r="E4741" s="2" t="str">
        <f>HYPERLINK("https://ibp.a2mac1.com/costing(costing:projects/details/8191/component/5319602)","Screw &gt; 12 point socket head cap screw")</f>
        <v>Screw &gt; 12 point socket head cap screw</v>
      </c>
      <c r="F4741" t="s">
        <v>5578</v>
      </c>
    </row>
    <row r="4742" spans="1:6" ht="12.75">
      <c r="A4742">
        <v>5388503</v>
      </c>
      <c r="B4742">
        <v>5388215</v>
      </c>
      <c r="C4742" t="s">
        <v>12</v>
      </c>
      <c r="D4742" t="s">
        <v>8</v>
      </c>
      <c r="E4742" s="2" t="str">
        <f>HYPERLINK("https://ibp.a2mac1.com/costing(costing:projects/details/8191/part/5388503)","Strut")</f>
        <v>Strut</v>
      </c>
      <c r="F4742" t="s">
        <v>5577</v>
      </c>
    </row>
    <row r="4743" spans="1:6" ht="12.75">
      <c r="A4743">
        <v>5388504</v>
      </c>
      <c r="B4743">
        <v>5388215</v>
      </c>
      <c r="C4743" t="s">
        <v>12</v>
      </c>
      <c r="D4743" t="s">
        <v>8</v>
      </c>
      <c r="E4743" s="2" t="str">
        <f>HYPERLINK("https://ibp.a2mac1.com/costing(costing:projects/details/8191/part/5388504)","Fasteners on Body")</f>
        <v>Fasteners on Body</v>
      </c>
      <c r="F4743" t="s">
        <v>5577</v>
      </c>
    </row>
    <row r="4744" spans="1:6" ht="12.75">
      <c r="A4744">
        <v>6975450</v>
      </c>
      <c r="B4744">
        <v>5388504</v>
      </c>
      <c r="C4744" t="s">
        <v>99</v>
      </c>
      <c r="D4744" t="s">
        <v>12</v>
      </c>
      <c r="E4744" s="2" t="str">
        <f>HYPERLINK("https://ibp.a2mac1.com/costing(costing:projects/details/8191/process/6975450)","Stamping ")</f>
        <v xml:space="preserve">Stamping </v>
      </c>
      <c r="F4744" t="s">
        <v>5583</v>
      </c>
    </row>
    <row r="4745" spans="1:6" ht="12.75">
      <c r="A4745">
        <v>5319855</v>
      </c>
      <c r="B4745">
        <v>6975450</v>
      </c>
      <c r="C4745" t="s">
        <v>24</v>
      </c>
      <c r="D4745" t="s">
        <v>99</v>
      </c>
      <c r="E4745" s="2" t="str">
        <f>HYPERLINK("https://ibp.a2mac1.com/costing(costing:projects/details/8191/material/5319855)","Standard Structural Steel sheet")</f>
        <v>Standard Structural Steel sheet</v>
      </c>
      <c r="F4745" t="s">
        <v>5586</v>
      </c>
    </row>
    <row r="4746" spans="1:6" ht="12.75">
      <c r="A4746">
        <v>6948031</v>
      </c>
      <c r="B4746">
        <v>6975450</v>
      </c>
      <c r="C4746" t="s">
        <v>189</v>
      </c>
      <c r="D4746" t="s">
        <v>99</v>
      </c>
      <c r="E4746" s="2" t="str">
        <f>HYPERLINK("https://ibp.a2mac1.com/costing(costing:projects/details/8191/equipment/6948031)","Equipment (Stamping)")</f>
        <v>Equipment (Stamping)</v>
      </c>
      <c r="F4746" t="s">
        <v>5586</v>
      </c>
    </row>
    <row r="4747" spans="1:6" ht="12.75">
      <c r="A4747">
        <v>5388505</v>
      </c>
      <c r="B4747">
        <v>5388215</v>
      </c>
      <c r="C4747" t="s">
        <v>12</v>
      </c>
      <c r="D4747" t="s">
        <v>8</v>
      </c>
      <c r="E4747" s="2" t="str">
        <f>HYPERLINK("https://ibp.a2mac1.com/costing(costing:projects/details/8191/part/5388505)","Fasteners on Tailgate")</f>
        <v>Fasteners on Tailgate</v>
      </c>
      <c r="F4747" t="s">
        <v>5577</v>
      </c>
    </row>
    <row r="4748" spans="1:6" ht="12.75">
      <c r="A4748">
        <v>5388216</v>
      </c>
      <c r="B4748">
        <v>5388136</v>
      </c>
      <c r="C4748" t="s">
        <v>8</v>
      </c>
      <c r="D4748" t="s">
        <v>8</v>
      </c>
      <c r="E4748" s="2" t="str">
        <f>HYPERLINK("https://ibp.a2mac1.com/costing(costing:projects/details/8191/assembly/5388216)","Stoppers")</f>
        <v>Stoppers</v>
      </c>
      <c r="F4748" t="s">
        <v>5427</v>
      </c>
    </row>
    <row r="4749" spans="1:6" ht="12.75">
      <c r="A4749">
        <v>5388512</v>
      </c>
      <c r="B4749">
        <v>5388216</v>
      </c>
      <c r="C4749" t="s">
        <v>8</v>
      </c>
      <c r="D4749" t="s">
        <v>8</v>
      </c>
      <c r="E4749" s="2" t="str">
        <f>HYPERLINK("https://ibp.a2mac1.com/costing(costing:projects/details/8191/assembly/5388512)","Fastners")</f>
        <v>Fastners</v>
      </c>
      <c r="F4749" t="s">
        <v>5591</v>
      </c>
    </row>
    <row r="4750" spans="1:6" ht="12.75">
      <c r="A4750">
        <v>5319603</v>
      </c>
      <c r="B4750">
        <v>5388512</v>
      </c>
      <c r="C4750" t="s">
        <v>574</v>
      </c>
      <c r="D4750" t="s">
        <v>8</v>
      </c>
      <c r="E4750" s="2" t="str">
        <f>HYPERLINK("https://ibp.a2mac1.com/costing(costing:projects/details/8191/component/5319603)","Spacer/Axle &gt; Anti-buckling bush")</f>
        <v>Spacer/Axle &gt; Anti-buckling bush</v>
      </c>
      <c r="F4750" t="s">
        <v>5592</v>
      </c>
    </row>
    <row r="4751" spans="1:6" ht="12.75">
      <c r="A4751">
        <v>5388507</v>
      </c>
      <c r="B4751">
        <v>5388216</v>
      </c>
      <c r="C4751" t="s">
        <v>12</v>
      </c>
      <c r="D4751" t="s">
        <v>8</v>
      </c>
      <c r="E4751" s="2" t="str">
        <f>HYPERLINK("https://ibp.a2mac1.com/costing(costing:projects/details/8191/part/5388507)","Stoppers on Body")</f>
        <v>Stoppers on Body</v>
      </c>
      <c r="F4751" t="s">
        <v>5591</v>
      </c>
    </row>
    <row r="4752" spans="1:6" ht="12.75">
      <c r="A4752">
        <v>6975451</v>
      </c>
      <c r="B4752">
        <v>5388507</v>
      </c>
      <c r="C4752" t="s">
        <v>99</v>
      </c>
      <c r="D4752" t="s">
        <v>12</v>
      </c>
      <c r="E4752" s="2" t="str">
        <f>HYPERLINK("https://ibp.a2mac1.com/costing(costing:projects/details/8191/process/6975451)","Injection molding")</f>
        <v>Injection molding</v>
      </c>
      <c r="F4752" t="s">
        <v>5593</v>
      </c>
    </row>
    <row r="4753" spans="1:6" ht="12.75">
      <c r="A4753">
        <v>5319856</v>
      </c>
      <c r="B4753">
        <v>6975451</v>
      </c>
      <c r="C4753" t="s">
        <v>24</v>
      </c>
      <c r="D4753" t="s">
        <v>99</v>
      </c>
      <c r="E4753" s="2" t="str">
        <f>HYPERLINK("https://ibp.a2mac1.com/costing(costing:projects/details/8191/material/5319856)","EPDM")</f>
        <v>EPDM</v>
      </c>
      <c r="F4753" t="s">
        <v>5594</v>
      </c>
    </row>
    <row r="4754" spans="1:6" ht="12.75">
      <c r="A4754">
        <v>6948032</v>
      </c>
      <c r="B4754">
        <v>6975451</v>
      </c>
      <c r="C4754" t="s">
        <v>189</v>
      </c>
      <c r="D4754" t="s">
        <v>99</v>
      </c>
      <c r="E4754" s="2" t="str">
        <f>HYPERLINK("https://ibp.a2mac1.com/costing(costing:projects/details/8191/equipment/6948032)","Equipment (Injection Molding)")</f>
        <v>Equipment (Injection Molding)</v>
      </c>
      <c r="F4754" t="s">
        <v>5594</v>
      </c>
    </row>
    <row r="4755" spans="1:6" ht="12.75">
      <c r="A4755">
        <v>5388508</v>
      </c>
      <c r="B4755">
        <v>5388216</v>
      </c>
      <c r="C4755" t="s">
        <v>12</v>
      </c>
      <c r="D4755" t="s">
        <v>8</v>
      </c>
      <c r="E4755" s="2" t="str">
        <f>HYPERLINK("https://ibp.a2mac1.com/costing(costing:projects/details/8191/part/5388508)","Adjustable Stoppers on Body")</f>
        <v>Adjustable Stoppers on Body</v>
      </c>
      <c r="F4755" t="s">
        <v>5591</v>
      </c>
    </row>
    <row r="4756" spans="1:6" ht="12.75">
      <c r="A4756">
        <v>6975452</v>
      </c>
      <c r="B4756">
        <v>5388508</v>
      </c>
      <c r="C4756" t="s">
        <v>99</v>
      </c>
      <c r="D4756" t="s">
        <v>12</v>
      </c>
      <c r="E4756" s="2" t="str">
        <f>HYPERLINK("https://ibp.a2mac1.com/costing(costing:projects/details/8191/process/6975452)","Injection molding")</f>
        <v>Injection molding</v>
      </c>
      <c r="F4756" t="s">
        <v>5596</v>
      </c>
    </row>
    <row r="4757" spans="1:6" ht="12.75">
      <c r="A4757">
        <v>5319857</v>
      </c>
      <c r="B4757">
        <v>6975452</v>
      </c>
      <c r="C4757" t="s">
        <v>24</v>
      </c>
      <c r="D4757" t="s">
        <v>99</v>
      </c>
      <c r="E4757" s="2" t="str">
        <f>HYPERLINK("https://ibp.a2mac1.com/costing(costing:projects/details/8191/material/5319857)","POM")</f>
        <v>POM</v>
      </c>
      <c r="F4757" t="s">
        <v>5599</v>
      </c>
    </row>
    <row r="4758" spans="1:6" ht="12.75">
      <c r="A4758">
        <v>5319858</v>
      </c>
      <c r="B4758">
        <v>6975452</v>
      </c>
      <c r="C4758" t="s">
        <v>24</v>
      </c>
      <c r="D4758" t="s">
        <v>99</v>
      </c>
      <c r="E4758" s="2" t="str">
        <f>HYPERLINK("https://ibp.a2mac1.com/costing(costing:projects/details/8191/material/5319858)","TPE")</f>
        <v>TPE</v>
      </c>
      <c r="F4758" t="s">
        <v>5599</v>
      </c>
    </row>
    <row r="4759" spans="1:6" ht="12.75">
      <c r="A4759">
        <v>6948033</v>
      </c>
      <c r="B4759">
        <v>6975452</v>
      </c>
      <c r="C4759" t="s">
        <v>189</v>
      </c>
      <c r="D4759" t="s">
        <v>99</v>
      </c>
      <c r="E4759" s="2" t="str">
        <f>HYPERLINK("https://ibp.a2mac1.com/costing(costing:projects/details/8191/equipment/6948033)","Equipment (Injection Molding)")</f>
        <v>Equipment (Injection Molding)</v>
      </c>
      <c r="F4759" t="s">
        <v>5599</v>
      </c>
    </row>
    <row r="4760" spans="1:6" ht="12.75">
      <c r="A4760">
        <v>6948034</v>
      </c>
      <c r="B4760">
        <v>6975452</v>
      </c>
      <c r="C4760" t="s">
        <v>189</v>
      </c>
      <c r="D4760" t="s">
        <v>99</v>
      </c>
      <c r="E4760" s="2" t="str">
        <f>HYPERLINK("https://ibp.a2mac1.com/costing(costing:projects/details/8191/equipment/6948034)","Equipment (Injection Molding)")</f>
        <v>Equipment (Injection Molding)</v>
      </c>
      <c r="F4760" t="s">
        <v>5599</v>
      </c>
    </row>
    <row r="4761" spans="1:6" ht="12.75">
      <c r="A4761">
        <v>5388509</v>
      </c>
      <c r="B4761">
        <v>5388216</v>
      </c>
      <c r="C4761" t="s">
        <v>12</v>
      </c>
      <c r="D4761" t="s">
        <v>8</v>
      </c>
      <c r="E4761" s="2" t="str">
        <f>HYPERLINK("https://ibp.a2mac1.com/costing(costing:projects/details/8191/part/5388509)","Stopper on Tailgate")</f>
        <v>Stopper on Tailgate</v>
      </c>
      <c r="F4761" t="s">
        <v>5591</v>
      </c>
    </row>
    <row r="4762" spans="1:6" ht="12.75">
      <c r="A4762">
        <v>6975453</v>
      </c>
      <c r="B4762">
        <v>5388509</v>
      </c>
      <c r="C4762" t="s">
        <v>99</v>
      </c>
      <c r="D4762" t="s">
        <v>12</v>
      </c>
      <c r="E4762" s="2" t="str">
        <f>HYPERLINK("https://ibp.a2mac1.com/costing(costing:projects/details/8191/process/6975453)","Injection molding")</f>
        <v>Injection molding</v>
      </c>
      <c r="F4762" t="s">
        <v>5602</v>
      </c>
    </row>
    <row r="4763" spans="1:6" ht="12.75">
      <c r="A4763">
        <v>5319859</v>
      </c>
      <c r="B4763">
        <v>6975453</v>
      </c>
      <c r="C4763" t="s">
        <v>24</v>
      </c>
      <c r="D4763" t="s">
        <v>99</v>
      </c>
      <c r="E4763" s="2" t="str">
        <f>HYPERLINK("https://ibp.a2mac1.com/costing(costing:projects/details/8191/material/5319859)","EPDM")</f>
        <v>EPDM</v>
      </c>
      <c r="F4763" t="s">
        <v>5605</v>
      </c>
    </row>
    <row r="4764" spans="1:6" ht="12.75">
      <c r="A4764">
        <v>6948035</v>
      </c>
      <c r="B4764">
        <v>6975453</v>
      </c>
      <c r="C4764" t="s">
        <v>189</v>
      </c>
      <c r="D4764" t="s">
        <v>99</v>
      </c>
      <c r="E4764" s="2" t="str">
        <f>HYPERLINK("https://ibp.a2mac1.com/costing(costing:projects/details/8191/equipment/6948035)","Equipment (Injection Molding)")</f>
        <v>Equipment (Injection Molding)</v>
      </c>
      <c r="F4764" t="s">
        <v>5605</v>
      </c>
    </row>
    <row r="4765" spans="1:6" ht="12.75">
      <c r="A4765">
        <v>5388510</v>
      </c>
      <c r="B4765">
        <v>5388216</v>
      </c>
      <c r="C4765" t="s">
        <v>12</v>
      </c>
      <c r="D4765" t="s">
        <v>8</v>
      </c>
      <c r="E4765" s="2" t="str">
        <f>HYPERLINK("https://ibp.a2mac1.com/costing(costing:projects/details/8191/part/5388510)","Adjustable Stopper on Tailgate")</f>
        <v>Adjustable Stopper on Tailgate</v>
      </c>
      <c r="F4765" t="s">
        <v>5591</v>
      </c>
    </row>
    <row r="4766" spans="1:6" ht="12.75">
      <c r="A4766">
        <v>6975454</v>
      </c>
      <c r="B4766">
        <v>5388510</v>
      </c>
      <c r="C4766" t="s">
        <v>99</v>
      </c>
      <c r="D4766" t="s">
        <v>12</v>
      </c>
      <c r="E4766" s="2" t="str">
        <f>HYPERLINK("https://ibp.a2mac1.com/costing(costing:projects/details/8191/process/6975454)","Automated Process")</f>
        <v>Automated Process</v>
      </c>
      <c r="F4766" t="s">
        <v>5607</v>
      </c>
    </row>
    <row r="4767" spans="1:6" ht="12.75">
      <c r="A4767">
        <v>5319860</v>
      </c>
      <c r="B4767">
        <v>6975454</v>
      </c>
      <c r="C4767" t="s">
        <v>24</v>
      </c>
      <c r="D4767" t="s">
        <v>99</v>
      </c>
      <c r="E4767" s="2" t="str">
        <f>HYPERLINK("https://ibp.a2mac1.com/costing(costing:projects/details/8191/material/5319860)","PLASTIC UNKNOWN")</f>
        <v>PLASTIC UNKNOWN</v>
      </c>
      <c r="F4767" t="s">
        <v>5610</v>
      </c>
    </row>
    <row r="4768" spans="1:6" ht="12.75">
      <c r="A4768">
        <v>6948036</v>
      </c>
      <c r="B4768">
        <v>6975454</v>
      </c>
      <c r="C4768" t="s">
        <v>189</v>
      </c>
      <c r="D4768" t="s">
        <v>99</v>
      </c>
      <c r="E4768" s="2" t="str">
        <f>HYPERLINK("https://ibp.a2mac1.com/costing(costing:projects/details/8191/equipment/6948036)","Equipment (Injection Molding)")</f>
        <v>Equipment (Injection Molding)</v>
      </c>
      <c r="F4768" t="s">
        <v>5610</v>
      </c>
    </row>
    <row r="4769" spans="1:6" ht="12.75">
      <c r="A4769">
        <v>5388511</v>
      </c>
      <c r="B4769">
        <v>5388216</v>
      </c>
      <c r="C4769" t="s">
        <v>12</v>
      </c>
      <c r="D4769" t="s">
        <v>8</v>
      </c>
      <c r="E4769" s="2" t="str">
        <f>HYPERLINK("https://ibp.a2mac1.com/costing(costing:projects/details/8191/part/5388511)","Support on Tailgate")</f>
        <v>Support on Tailgate</v>
      </c>
      <c r="F4769" t="s">
        <v>5591</v>
      </c>
    </row>
    <row r="4770" spans="1:6" ht="12.75">
      <c r="A4770">
        <v>6975455</v>
      </c>
      <c r="B4770">
        <v>5388511</v>
      </c>
      <c r="C4770" t="s">
        <v>99</v>
      </c>
      <c r="D4770" t="s">
        <v>12</v>
      </c>
      <c r="E4770" s="2" t="str">
        <f>HYPERLINK("https://ibp.a2mac1.com/costing(costing:projects/details/8191/process/6975455)","Injection molding")</f>
        <v>Injection molding</v>
      </c>
      <c r="F4770" t="s">
        <v>5612</v>
      </c>
    </row>
    <row r="4771" spans="1:6" ht="12.75">
      <c r="A4771">
        <v>5319861</v>
      </c>
      <c r="B4771">
        <v>6975455</v>
      </c>
      <c r="C4771" t="s">
        <v>24</v>
      </c>
      <c r="D4771" t="s">
        <v>99</v>
      </c>
      <c r="E4771" s="2" t="str">
        <f>HYPERLINK("https://ibp.a2mac1.com/costing(costing:projects/details/8191/material/5319861)","PP")</f>
        <v>PP</v>
      </c>
      <c r="F4771" t="s">
        <v>5615</v>
      </c>
    </row>
    <row r="4772" spans="1:6" ht="12.75">
      <c r="A4772">
        <v>5319862</v>
      </c>
      <c r="B4772">
        <v>6975455</v>
      </c>
      <c r="C4772" t="s">
        <v>24</v>
      </c>
      <c r="D4772" t="s">
        <v>99</v>
      </c>
      <c r="E4772" s="2" t="str">
        <f>HYPERLINK("https://ibp.a2mac1.com/costing(costing:projects/details/8191/material/5319862)","TPO")</f>
        <v>TPO</v>
      </c>
      <c r="F4772" t="s">
        <v>5615</v>
      </c>
    </row>
    <row r="4773" spans="1:6" ht="12.75">
      <c r="A4773">
        <v>5319863</v>
      </c>
      <c r="B4773">
        <v>6975455</v>
      </c>
      <c r="C4773" t="s">
        <v>24</v>
      </c>
      <c r="D4773" t="s">
        <v>99</v>
      </c>
      <c r="E4773" s="2" t="str">
        <f>HYPERLINK("https://ibp.a2mac1.com/costing(costing:projects/details/8191/material/5319863)","EPDM-PP")</f>
        <v>EPDM-PP</v>
      </c>
      <c r="F4773" t="s">
        <v>5615</v>
      </c>
    </row>
    <row r="4774" spans="1:6" ht="12.75">
      <c r="A4774">
        <v>6948037</v>
      </c>
      <c r="B4774">
        <v>6975455</v>
      </c>
      <c r="C4774" t="s">
        <v>189</v>
      </c>
      <c r="D4774" t="s">
        <v>99</v>
      </c>
      <c r="E4774" s="2" t="str">
        <f>HYPERLINK("https://ibp.a2mac1.com/costing(costing:projects/details/8191/equipment/6948037)","Equipment (Injection Molding)")</f>
        <v>Equipment (Injection Molding)</v>
      </c>
      <c r="F4774" t="s">
        <v>5615</v>
      </c>
    </row>
    <row r="4775" spans="1:6" ht="12.75">
      <c r="A4775">
        <v>6948038</v>
      </c>
      <c r="B4775">
        <v>6975455</v>
      </c>
      <c r="C4775" t="s">
        <v>189</v>
      </c>
      <c r="D4775" t="s">
        <v>99</v>
      </c>
      <c r="E4775" s="2" t="str">
        <f>HYPERLINK("https://ibp.a2mac1.com/costing(costing:projects/details/8191/equipment/6948038)","Equipment (Injection Molding)")</f>
        <v>Equipment (Injection Molding)</v>
      </c>
      <c r="F4775" t="s">
        <v>5615</v>
      </c>
    </row>
    <row r="4776" spans="1:6" ht="12.75">
      <c r="A4776">
        <v>6948039</v>
      </c>
      <c r="B4776">
        <v>6975455</v>
      </c>
      <c r="C4776" t="s">
        <v>189</v>
      </c>
      <c r="D4776" t="s">
        <v>99</v>
      </c>
      <c r="E4776" s="2" t="str">
        <f>HYPERLINK("https://ibp.a2mac1.com/costing(costing:projects/details/8191/equipment/6948039)","Equipment (Injection Molding)")</f>
        <v>Equipment (Injection Molding)</v>
      </c>
      <c r="F4776" t="s">
        <v>5615</v>
      </c>
    </row>
    <row r="4777" spans="1:6" ht="12.75">
      <c r="A4777">
        <v>5388217</v>
      </c>
      <c r="B4777">
        <v>5388136</v>
      </c>
      <c r="C4777" t="s">
        <v>8</v>
      </c>
      <c r="D4777" t="s">
        <v>8</v>
      </c>
      <c r="E4777" s="2" t="str">
        <f>HYPERLINK("https://ibp.a2mac1.com/costing(costing:projects/details/8191/assembly/5388217)","Guide System")</f>
        <v>Guide System</v>
      </c>
      <c r="F4777" t="s">
        <v>5427</v>
      </c>
    </row>
    <row r="4778" spans="1:6" ht="12.75">
      <c r="A4778">
        <v>5388514</v>
      </c>
      <c r="B4778">
        <v>5388217</v>
      </c>
      <c r="C4778" t="s">
        <v>8</v>
      </c>
      <c r="D4778" t="s">
        <v>8</v>
      </c>
      <c r="E4778" s="2" t="str">
        <f>HYPERLINK("https://ibp.a2mac1.com/costing(costing:projects/details/8191/assembly/5388514)","Fastners")</f>
        <v>Fastners</v>
      </c>
      <c r="F4778" t="s">
        <v>5620</v>
      </c>
    </row>
    <row r="4779" spans="1:6" ht="12.75">
      <c r="A4779">
        <v>5319604</v>
      </c>
      <c r="B4779">
        <v>5388514</v>
      </c>
      <c r="C4779" t="s">
        <v>574</v>
      </c>
      <c r="D4779" t="s">
        <v>8</v>
      </c>
      <c r="E4779" s="2" t="str">
        <f>HYPERLINK("https://ibp.a2mac1.com/costing(costing:projects/details/8191/component/5319604)","Screw &gt; Torx socket head cap screw")</f>
        <v>Screw &gt; Torx socket head cap screw</v>
      </c>
      <c r="F4779" t="s">
        <v>5621</v>
      </c>
    </row>
    <row r="4780" spans="1:6" ht="12.75">
      <c r="A4780">
        <v>5388513</v>
      </c>
      <c r="B4780">
        <v>5388217</v>
      </c>
      <c r="C4780" t="s">
        <v>12</v>
      </c>
      <c r="D4780" t="s">
        <v>8</v>
      </c>
      <c r="E4780" s="2" t="str">
        <f>HYPERLINK("https://ibp.a2mac1.com/costing(costing:projects/details/8191/part/5388513)","Guide on Tailgate")</f>
        <v>Guide on Tailgate</v>
      </c>
      <c r="F4780" t="s">
        <v>5620</v>
      </c>
    </row>
    <row r="4781" spans="1:6" ht="12.75">
      <c r="A4781">
        <v>6975456</v>
      </c>
      <c r="B4781">
        <v>5388513</v>
      </c>
      <c r="C4781" t="s">
        <v>99</v>
      </c>
      <c r="D4781" t="s">
        <v>12</v>
      </c>
      <c r="E4781" s="2" t="str">
        <f>HYPERLINK("https://ibp.a2mac1.com/costing(costing:projects/details/8191/process/6975456)","Injection molding")</f>
        <v>Injection molding</v>
      </c>
      <c r="F4781" t="s">
        <v>5622</v>
      </c>
    </row>
    <row r="4782" spans="1:6" ht="12.75">
      <c r="A4782">
        <v>5319864</v>
      </c>
      <c r="B4782">
        <v>6975456</v>
      </c>
      <c r="C4782" t="s">
        <v>24</v>
      </c>
      <c r="D4782" t="s">
        <v>99</v>
      </c>
      <c r="E4782" s="2" t="str">
        <f>HYPERLINK("https://ibp.a2mac1.com/costing(costing:projects/details/8191/material/5319864)","PS")</f>
        <v>PS</v>
      </c>
      <c r="F4782" t="s">
        <v>5626</v>
      </c>
    </row>
    <row r="4783" spans="1:6" ht="12.75">
      <c r="A4783">
        <v>5319865</v>
      </c>
      <c r="B4783">
        <v>6975456</v>
      </c>
      <c r="C4783" t="s">
        <v>24</v>
      </c>
      <c r="D4783" t="s">
        <v>99</v>
      </c>
      <c r="E4783" s="2" t="str">
        <f>HYPERLINK("https://ibp.a2mac1.com/costing(costing:projects/details/8191/material/5319865)","TPU")</f>
        <v>TPU</v>
      </c>
      <c r="F4783" t="s">
        <v>5626</v>
      </c>
    </row>
    <row r="4784" spans="1:6" ht="12.75">
      <c r="A4784">
        <v>6948040</v>
      </c>
      <c r="B4784">
        <v>6975456</v>
      </c>
      <c r="C4784" t="s">
        <v>189</v>
      </c>
      <c r="D4784" t="s">
        <v>99</v>
      </c>
      <c r="E4784" s="2" t="str">
        <f>HYPERLINK("https://ibp.a2mac1.com/costing(costing:projects/details/8191/equipment/6948040)","Equipment (Injection Molding)")</f>
        <v>Equipment (Injection Molding)</v>
      </c>
      <c r="F4784" t="s">
        <v>5626</v>
      </c>
    </row>
    <row r="4785" spans="1:6" ht="12.75">
      <c r="A4785">
        <v>5388218</v>
      </c>
      <c r="B4785">
        <v>5388136</v>
      </c>
      <c r="C4785" t="s">
        <v>8</v>
      </c>
      <c r="D4785" t="s">
        <v>8</v>
      </c>
      <c r="E4785" s="2" t="str">
        <f>HYPERLINK("https://ibp.a2mac1.com/costing(costing:projects/details/8191/assembly/5388218)","Spoiler System")</f>
        <v>Spoiler System</v>
      </c>
      <c r="F4785" t="s">
        <v>5427</v>
      </c>
    </row>
    <row r="4786" spans="1:6" ht="12.75">
      <c r="A4786">
        <v>5388517</v>
      </c>
      <c r="B4786">
        <v>5388218</v>
      </c>
      <c r="C4786" t="s">
        <v>8</v>
      </c>
      <c r="D4786" t="s">
        <v>8</v>
      </c>
      <c r="E4786" s="2" t="str">
        <f>HYPERLINK("https://ibp.a2mac1.com/costing(costing:projects/details/8191/assembly/5388517)","Fastners")</f>
        <v>Fastners</v>
      </c>
      <c r="F4786" t="s">
        <v>5631</v>
      </c>
    </row>
    <row r="4787" spans="1:6" ht="12.75">
      <c r="A4787">
        <v>5319605</v>
      </c>
      <c r="B4787">
        <v>5388517</v>
      </c>
      <c r="C4787" t="s">
        <v>574</v>
      </c>
      <c r="D4787" t="s">
        <v>8</v>
      </c>
      <c r="E4787" s="2" t="str">
        <f>HYPERLINK("https://ibp.a2mac1.com/costing(costing:projects/details/8191/component/5319605)","Panel holder &gt; Clips in rectangular hole")</f>
        <v>Panel holder &gt; Clips in rectangular hole</v>
      </c>
      <c r="F4787" t="s">
        <v>5632</v>
      </c>
    </row>
    <row r="4788" spans="1:6" ht="12.75">
      <c r="A4788">
        <v>5388515</v>
      </c>
      <c r="B4788">
        <v>5388218</v>
      </c>
      <c r="C4788" t="s">
        <v>12</v>
      </c>
      <c r="D4788" t="s">
        <v>8</v>
      </c>
      <c r="E4788" s="2" t="str">
        <f>HYPERLINK("https://ibp.a2mac1.com/costing(costing:projects/details/8191/part/5388515)","Spoiler")</f>
        <v>Spoiler</v>
      </c>
      <c r="F4788" t="s">
        <v>5631</v>
      </c>
    </row>
    <row r="4789" spans="1:6" ht="12.75">
      <c r="A4789">
        <v>6975457</v>
      </c>
      <c r="B4789">
        <v>5388515</v>
      </c>
      <c r="C4789" t="s">
        <v>99</v>
      </c>
      <c r="D4789" t="s">
        <v>12</v>
      </c>
      <c r="E4789" s="2" t="str">
        <f>HYPERLINK("https://ibp.a2mac1.com/costing(costing:projects/details/8191/process/6975457)","Injection molding")</f>
        <v>Injection molding</v>
      </c>
      <c r="F4789" t="s">
        <v>5633</v>
      </c>
    </row>
    <row r="4790" spans="1:6" ht="12.75">
      <c r="A4790">
        <v>5319866</v>
      </c>
      <c r="B4790">
        <v>6975457</v>
      </c>
      <c r="C4790" t="s">
        <v>24</v>
      </c>
      <c r="D4790" t="s">
        <v>99</v>
      </c>
      <c r="E4790" s="2" t="str">
        <f>HYPERLINK("https://ibp.a2mac1.com/costing(costing:projects/details/8191/material/5319866)","ASA")</f>
        <v>ASA</v>
      </c>
      <c r="F4790" t="s">
        <v>5635</v>
      </c>
    </row>
    <row r="4791" spans="1:6" ht="12.75">
      <c r="A4791">
        <v>6948041</v>
      </c>
      <c r="B4791">
        <v>6975457</v>
      </c>
      <c r="C4791" t="s">
        <v>189</v>
      </c>
      <c r="D4791" t="s">
        <v>99</v>
      </c>
      <c r="E4791" s="2" t="str">
        <f>HYPERLINK("https://ibp.a2mac1.com/costing(costing:projects/details/8191/equipment/6948041)","No.14 - Injection Press - 1500T - 205kW - 1400x1250 - Max Volume 11230cm3 ")</f>
        <v xml:space="preserve">No.14 - Injection Press - 1500T - 205kW - 1400x1250 - Max Volume 11230cm3 </v>
      </c>
      <c r="F4791" t="s">
        <v>5635</v>
      </c>
    </row>
    <row r="4792" spans="1:6" ht="12.75">
      <c r="A4792">
        <v>6975458</v>
      </c>
      <c r="B4792">
        <v>5388515</v>
      </c>
      <c r="C4792" t="s">
        <v>99</v>
      </c>
      <c r="D4792" t="s">
        <v>12</v>
      </c>
      <c r="E4792" s="2" t="str">
        <f>HYPERLINK("https://ibp.a2mac1.com/costing(costing:projects/details/8191/process/6975458)","Handling/Visual Inspection/Packaging")</f>
        <v>Handling/Visual Inspection/Packaging</v>
      </c>
      <c r="F4792" t="s">
        <v>5633</v>
      </c>
    </row>
    <row r="4793" spans="1:6" ht="12.75">
      <c r="A4793">
        <v>6948042</v>
      </c>
      <c r="B4793">
        <v>6975458</v>
      </c>
      <c r="C4793" t="s">
        <v>189</v>
      </c>
      <c r="D4793" t="s">
        <v>99</v>
      </c>
      <c r="E4793" s="2" t="str">
        <f>HYPERLINK("https://ibp.a2mac1.com/costing(costing:projects/details/8191/equipment/6948042)","Packaging")</f>
        <v>Packaging</v>
      </c>
      <c r="F4793" t="s">
        <v>5636</v>
      </c>
    </row>
    <row r="4794" spans="1:6" ht="12.75">
      <c r="A4794">
        <v>6975459</v>
      </c>
      <c r="B4794">
        <v>5388515</v>
      </c>
      <c r="C4794" t="s">
        <v>99</v>
      </c>
      <c r="D4794" t="s">
        <v>12</v>
      </c>
      <c r="E4794" s="2" t="str">
        <f>HYPERLINK("https://ibp.a2mac1.com/costing(costing:projects/details/8191/process/6975459)","Painting")</f>
        <v>Painting</v>
      </c>
      <c r="F4794" t="s">
        <v>5633</v>
      </c>
    </row>
    <row r="4795" spans="1:6" ht="12.75">
      <c r="A4795">
        <v>5319867</v>
      </c>
      <c r="B4795">
        <v>6975459</v>
      </c>
      <c r="C4795" t="s">
        <v>24</v>
      </c>
      <c r="D4795" t="s">
        <v>99</v>
      </c>
      <c r="E4795" s="2" t="str">
        <f>HYPERLINK("https://ibp.a2mac1.com/costing(costing:projects/details/8191/material/5319867)","Paint - Base")</f>
        <v>Paint - Base</v>
      </c>
      <c r="F4795" t="s">
        <v>5637</v>
      </c>
    </row>
    <row r="4796" spans="1:6" ht="12.75">
      <c r="A4796">
        <v>5319868</v>
      </c>
      <c r="B4796">
        <v>6975459</v>
      </c>
      <c r="C4796" t="s">
        <v>24</v>
      </c>
      <c r="D4796" t="s">
        <v>99</v>
      </c>
      <c r="E4796" s="2" t="str">
        <f>HYPERLINK("https://ibp.a2mac1.com/costing(costing:projects/details/8191/material/5319868)","Paint - Primer")</f>
        <v>Paint - Primer</v>
      </c>
      <c r="F4796" t="s">
        <v>5637</v>
      </c>
    </row>
    <row r="4797" spans="1:6" ht="12.75">
      <c r="A4797">
        <v>5319869</v>
      </c>
      <c r="B4797">
        <v>6975459</v>
      </c>
      <c r="C4797" t="s">
        <v>24</v>
      </c>
      <c r="D4797" t="s">
        <v>99</v>
      </c>
      <c r="E4797" s="2" t="str">
        <f>HYPERLINK("https://ibp.a2mac1.com/costing(costing:projects/details/8191/material/5319869)","Paint - Clear Coat")</f>
        <v>Paint - Clear Coat</v>
      </c>
      <c r="F4797" t="s">
        <v>5637</v>
      </c>
    </row>
    <row r="4798" spans="1:6" ht="12.75">
      <c r="A4798">
        <v>6948043</v>
      </c>
      <c r="B4798">
        <v>6975459</v>
      </c>
      <c r="C4798" t="s">
        <v>189</v>
      </c>
      <c r="D4798" t="s">
        <v>99</v>
      </c>
      <c r="E4798" s="2" t="str">
        <f>HYPERLINK("https://ibp.a2mac1.com/costing(costing:projects/details/8191/equipment/6948043)","No.01 - 25000x3000x3000 - Automatic Painting Line - with 12x10kW on line ovens ")</f>
        <v xml:space="preserve">No.01 - 25000x3000x3000 - Automatic Painting Line - with 12x10kW on line ovens </v>
      </c>
      <c r="F4798" t="s">
        <v>5637</v>
      </c>
    </row>
    <row r="4799" spans="1:6" ht="12.75">
      <c r="A4799">
        <v>6948044</v>
      </c>
      <c r="B4799">
        <v>6975459</v>
      </c>
      <c r="C4799" t="s">
        <v>189</v>
      </c>
      <c r="D4799" t="s">
        <v>99</v>
      </c>
      <c r="E4799" s="2" t="str">
        <f>HYPERLINK("https://ibp.a2mac1.com/costing(costing:projects/details/8191/equipment/6948044)","Loading + Unloading, Retouching, Checking")</f>
        <v>Loading + Unloading, Retouching, Checking</v>
      </c>
      <c r="F4799" t="s">
        <v>5637</v>
      </c>
    </row>
    <row r="4800" spans="1:6" ht="12.75">
      <c r="A4800">
        <v>5388516</v>
      </c>
      <c r="B4800">
        <v>5388218</v>
      </c>
      <c r="C4800" t="s">
        <v>12</v>
      </c>
      <c r="D4800" t="s">
        <v>8</v>
      </c>
      <c r="E4800" s="2" t="str">
        <f>HYPERLINK("https://ibp.a2mac1.com/costing(costing:projects/details/8191/part/5388516)","Spoiler Support")</f>
        <v>Spoiler Support</v>
      </c>
      <c r="F4800" t="s">
        <v>5631</v>
      </c>
    </row>
    <row r="4801" spans="1:6" ht="12.75">
      <c r="A4801">
        <v>6975462</v>
      </c>
      <c r="B4801">
        <v>5388516</v>
      </c>
      <c r="C4801" t="s">
        <v>99</v>
      </c>
      <c r="D4801" t="s">
        <v>12</v>
      </c>
      <c r="E4801" s="2" t="str">
        <f>HYPERLINK("https://ibp.a2mac1.com/costing(costing:projects/details/8191/process/6975462)","Injection molding")</f>
        <v>Injection molding</v>
      </c>
      <c r="F4801" t="s">
        <v>5640</v>
      </c>
    </row>
    <row r="4802" spans="1:6" ht="12.75">
      <c r="A4802">
        <v>5319870</v>
      </c>
      <c r="B4802">
        <v>6975462</v>
      </c>
      <c r="C4802" t="s">
        <v>24</v>
      </c>
      <c r="D4802" t="s">
        <v>99</v>
      </c>
      <c r="E4802" s="2" t="str">
        <f>HYPERLINK("https://ibp.a2mac1.com/costing(costing:projects/details/8191/material/5319870)","ABS-PC")</f>
        <v>ABS-PC</v>
      </c>
      <c r="F4802" t="s">
        <v>5641</v>
      </c>
    </row>
    <row r="4803" spans="1:6" ht="12.75">
      <c r="A4803">
        <v>6948046</v>
      </c>
      <c r="B4803">
        <v>6975462</v>
      </c>
      <c r="C4803" t="s">
        <v>189</v>
      </c>
      <c r="D4803" t="s">
        <v>99</v>
      </c>
      <c r="E4803" s="2" t="str">
        <f>HYPERLINK("https://ibp.a2mac1.com/costing(costing:projects/details/8191/equipment/6948046)","No.13 - Injection Press - 1000T - 191kW - 1230x1230 - Max Volume 7815cm3 ")</f>
        <v xml:space="preserve">No.13 - Injection Press - 1000T - 191kW - 1230x1230 - Max Volume 7815cm3 </v>
      </c>
      <c r="F4803" t="s">
        <v>5641</v>
      </c>
    </row>
    <row r="4804" spans="1:6" ht="12.75">
      <c r="A4804">
        <v>6975460</v>
      </c>
      <c r="B4804">
        <v>5388516</v>
      </c>
      <c r="C4804" t="s">
        <v>99</v>
      </c>
      <c r="D4804" t="s">
        <v>12</v>
      </c>
      <c r="E4804" s="2" t="str">
        <f>HYPERLINK("https://ibp.a2mac1.com/costing(costing:projects/details/8191/process/6975460)","Handling/Visual Inspection/Packaging")</f>
        <v>Handling/Visual Inspection/Packaging</v>
      </c>
      <c r="F4804" t="s">
        <v>5640</v>
      </c>
    </row>
    <row r="4805" spans="1:6" ht="12.75">
      <c r="A4805">
        <v>6948045</v>
      </c>
      <c r="B4805">
        <v>6975460</v>
      </c>
      <c r="C4805" t="s">
        <v>189</v>
      </c>
      <c r="D4805" t="s">
        <v>99</v>
      </c>
      <c r="E4805" s="2" t="str">
        <f>HYPERLINK("https://ibp.a2mac1.com/costing(costing:projects/details/8191/equipment/6948045)","Packaging")</f>
        <v>Packaging</v>
      </c>
      <c r="F4805" t="s">
        <v>5642</v>
      </c>
    </row>
    <row r="4806" spans="1:6" ht="12.75">
      <c r="A4806">
        <v>5388206</v>
      </c>
      <c r="B4806">
        <v>5388136</v>
      </c>
      <c r="C4806" t="s">
        <v>12</v>
      </c>
      <c r="D4806" t="s">
        <v>8</v>
      </c>
      <c r="E4806" s="2" t="str">
        <f>HYPERLINK("https://ibp.a2mac1.com/costing(costing:projects/details/8191/part/5388206)","Side Trim")</f>
        <v>Side Trim</v>
      </c>
      <c r="F4806" t="s">
        <v>5427</v>
      </c>
    </row>
    <row r="4807" spans="1:6" ht="12.75">
      <c r="A4807">
        <v>6975284</v>
      </c>
      <c r="B4807">
        <v>5388206</v>
      </c>
      <c r="C4807" t="s">
        <v>99</v>
      </c>
      <c r="D4807" t="s">
        <v>12</v>
      </c>
      <c r="E4807" s="2" t="str">
        <f>HYPERLINK("https://ibp.a2mac1.com/costing(costing:projects/details/8191/process/6975284)","Injection molding")</f>
        <v>Injection molding</v>
      </c>
      <c r="F4807" t="s">
        <v>5645</v>
      </c>
    </row>
    <row r="4808" spans="1:6" ht="12.75">
      <c r="A4808">
        <v>5319589</v>
      </c>
      <c r="B4808">
        <v>6975284</v>
      </c>
      <c r="C4808" t="s">
        <v>24</v>
      </c>
      <c r="D4808" t="s">
        <v>99</v>
      </c>
      <c r="E4808" s="2" t="str">
        <f>HYPERLINK("https://ibp.a2mac1.com/costing(costing:projects/details/8191/material/5319589)","PMMA-ASA")</f>
        <v>PMMA-ASA</v>
      </c>
      <c r="F4808" t="s">
        <v>5647</v>
      </c>
    </row>
    <row r="4809" spans="1:6" ht="12.75">
      <c r="A4809">
        <v>6947840</v>
      </c>
      <c r="B4809">
        <v>6975284</v>
      </c>
      <c r="C4809" t="s">
        <v>189</v>
      </c>
      <c r="D4809" t="s">
        <v>99</v>
      </c>
      <c r="E4809" s="2" t="str">
        <f>HYPERLINK("https://ibp.a2mac1.com/costing(costing:projects/details/8191/equipment/6947840)","No.09 - Injection Press - 400T - 72kW - 650x650 - Max Volume 1497cm3 ")</f>
        <v xml:space="preserve">No.09 - Injection Press - 400T - 72kW - 650x650 - Max Volume 1497cm3 </v>
      </c>
      <c r="F4809" t="s">
        <v>5647</v>
      </c>
    </row>
    <row r="4810" spans="1:6" ht="12.75">
      <c r="A4810">
        <v>6975283</v>
      </c>
      <c r="B4810">
        <v>5388206</v>
      </c>
      <c r="C4810" t="s">
        <v>99</v>
      </c>
      <c r="D4810" t="s">
        <v>12</v>
      </c>
      <c r="E4810" s="2" t="str">
        <f>HYPERLINK("https://ibp.a2mac1.com/costing(costing:projects/details/8191/process/6975283)","Handling/Visual Inspection/Packaging")</f>
        <v>Handling/Visual Inspection/Packaging</v>
      </c>
      <c r="F4810" t="s">
        <v>5645</v>
      </c>
    </row>
    <row r="4811" spans="1:6" ht="12.75">
      <c r="A4811">
        <v>6947839</v>
      </c>
      <c r="B4811">
        <v>6975283</v>
      </c>
      <c r="C4811" t="s">
        <v>189</v>
      </c>
      <c r="D4811" t="s">
        <v>99</v>
      </c>
      <c r="E4811" s="2" t="str">
        <f>HYPERLINK("https://ibp.a2mac1.com/costing(costing:projects/details/8191/equipment/6947839)","Packaging")</f>
        <v>Packaging</v>
      </c>
      <c r="F4811" t="s">
        <v>5648</v>
      </c>
    </row>
    <row r="4812" spans="1:6" ht="12.75">
      <c r="A4812">
        <v>5388207</v>
      </c>
      <c r="B4812">
        <v>5388136</v>
      </c>
      <c r="C4812" t="s">
        <v>12</v>
      </c>
      <c r="D4812" t="s">
        <v>8</v>
      </c>
      <c r="E4812" s="2" t="str">
        <f>HYPERLINK("https://ibp.a2mac1.com/costing(costing:projects/details/8191/part/5388207)","Glass")</f>
        <v>Glass</v>
      </c>
      <c r="F4812" t="s">
        <v>5427</v>
      </c>
    </row>
    <row r="4813" spans="1:6" ht="12.75">
      <c r="A4813">
        <v>6975285</v>
      </c>
      <c r="B4813">
        <v>5388207</v>
      </c>
      <c r="C4813" t="s">
        <v>99</v>
      </c>
      <c r="D4813" t="s">
        <v>12</v>
      </c>
      <c r="E4813" s="2" t="str">
        <f>HYPERLINK("https://ibp.a2mac1.com/costing(costing:projects/details/8191/process/6975285)","Automated Process")</f>
        <v>Automated Process</v>
      </c>
      <c r="F4813" t="s">
        <v>5651</v>
      </c>
    </row>
    <row r="4814" spans="1:6" ht="12.75">
      <c r="A4814">
        <v>5319590</v>
      </c>
      <c r="B4814">
        <v>6975285</v>
      </c>
      <c r="C4814" t="s">
        <v>24</v>
      </c>
      <c r="D4814" t="s">
        <v>99</v>
      </c>
      <c r="E4814" s="2" t="str">
        <f>HYPERLINK("https://ibp.a2mac1.com/costing(costing:projects/details/8191/material/5319590)","Material")</f>
        <v>Material</v>
      </c>
      <c r="F4814" t="s">
        <v>5652</v>
      </c>
    </row>
    <row r="4815" spans="1:6" ht="12.75">
      <c r="A4815">
        <v>6947841</v>
      </c>
      <c r="B4815">
        <v>6975285</v>
      </c>
      <c r="C4815" t="s">
        <v>189</v>
      </c>
      <c r="D4815" t="s">
        <v>99</v>
      </c>
      <c r="E4815" s="2" t="str">
        <f>HYPERLINK("https://ibp.a2mac1.com/costing(costing:projects/details/8191/equipment/6947841)","DC machine - General")</f>
        <v>DC machine - General</v>
      </c>
      <c r="F4815" t="s">
        <v>5652</v>
      </c>
    </row>
    <row r="4816" spans="1:6" ht="12.75">
      <c r="A4816">
        <v>5388208</v>
      </c>
      <c r="B4816">
        <v>5388136</v>
      </c>
      <c r="C4816" t="s">
        <v>12</v>
      </c>
      <c r="D4816" t="s">
        <v>8</v>
      </c>
      <c r="E4816" s="2" t="str">
        <f>HYPERLINK("https://ibp.a2mac1.com/costing(costing:projects/details/8191/part/5388208)","Logo")</f>
        <v>Logo</v>
      </c>
      <c r="F4816" t="s">
        <v>5427</v>
      </c>
    </row>
    <row r="4817" spans="1:6" ht="12.75">
      <c r="A4817">
        <v>6975286</v>
      </c>
      <c r="B4817">
        <v>5388208</v>
      </c>
      <c r="C4817" t="s">
        <v>99</v>
      </c>
      <c r="D4817" t="s">
        <v>12</v>
      </c>
      <c r="E4817" s="2" t="str">
        <f>HYPERLINK("https://ibp.a2mac1.com/costing(costing:projects/details/8191/process/6975286)","Injection molding")</f>
        <v>Injection molding</v>
      </c>
      <c r="F4817" t="s">
        <v>5655</v>
      </c>
    </row>
    <row r="4818" spans="1:6" ht="12.75">
      <c r="A4818">
        <v>5319591</v>
      </c>
      <c r="B4818">
        <v>6975286</v>
      </c>
      <c r="C4818" t="s">
        <v>24</v>
      </c>
      <c r="D4818" t="s">
        <v>99</v>
      </c>
      <c r="E4818" s="2" t="str">
        <f>HYPERLINK("https://ibp.a2mac1.com/costing(costing:projects/details/8191/material/5319591)","PMMA")</f>
        <v>PMMA</v>
      </c>
      <c r="F4818" t="s">
        <v>5656</v>
      </c>
    </row>
    <row r="4819" spans="1:6" ht="12.75">
      <c r="A4819">
        <v>6947842</v>
      </c>
      <c r="B4819">
        <v>6975286</v>
      </c>
      <c r="C4819" t="s">
        <v>189</v>
      </c>
      <c r="D4819" t="s">
        <v>99</v>
      </c>
      <c r="E4819" s="2" t="str">
        <f>HYPERLINK("https://ibp.a2mac1.com/costing(costing:projects/details/8191/equipment/6947842)","No.01 - Injection Press - 40T - 18kW - 270x270 - Max Volume 128cm3 ")</f>
        <v xml:space="preserve">No.01 - Injection Press - 40T - 18kW - 270x270 - Max Volume 128cm3 </v>
      </c>
      <c r="F4819" t="s">
        <v>5656</v>
      </c>
    </row>
    <row r="4820" spans="1:6" ht="12.75">
      <c r="A4820">
        <v>6975287</v>
      </c>
      <c r="B4820">
        <v>5388208</v>
      </c>
      <c r="C4820" t="s">
        <v>99</v>
      </c>
      <c r="D4820" t="s">
        <v>12</v>
      </c>
      <c r="E4820" s="2" t="str">
        <f>HYPERLINK("https://ibp.a2mac1.com/costing(costing:projects/details/8191/process/6975287)","Handling/Visual Inspection/Packaging")</f>
        <v>Handling/Visual Inspection/Packaging</v>
      </c>
      <c r="F4820" t="s">
        <v>5655</v>
      </c>
    </row>
    <row r="4821" spans="1:6" ht="12.75">
      <c r="A4821">
        <v>6947843</v>
      </c>
      <c r="B4821">
        <v>6975287</v>
      </c>
      <c r="C4821" t="s">
        <v>189</v>
      </c>
      <c r="D4821" t="s">
        <v>99</v>
      </c>
      <c r="E4821" s="2" t="str">
        <f>HYPERLINK("https://ibp.a2mac1.com/costing(costing:projects/details/8191/equipment/6947843)","Packaging")</f>
        <v>Packaging</v>
      </c>
      <c r="F4821" t="s">
        <v>5657</v>
      </c>
    </row>
    <row r="4822" spans="1:6" ht="12.75">
      <c r="A4822">
        <v>6975288</v>
      </c>
      <c r="B4822">
        <v>5388208</v>
      </c>
      <c r="C4822" t="s">
        <v>99</v>
      </c>
      <c r="D4822" t="s">
        <v>12</v>
      </c>
      <c r="E4822" s="2" t="str">
        <f>HYPERLINK("https://ibp.a2mac1.com/costing(costing:projects/details/8191/process/6975288)","Chroming line - Small Parts")</f>
        <v>Chroming line - Small Parts</v>
      </c>
      <c r="F4822" t="s">
        <v>5655</v>
      </c>
    </row>
    <row r="4823" spans="1:6" ht="12.75">
      <c r="A4823">
        <v>5319592</v>
      </c>
      <c r="B4823">
        <v>6975288</v>
      </c>
      <c r="C4823" t="s">
        <v>24</v>
      </c>
      <c r="D4823" t="s">
        <v>99</v>
      </c>
      <c r="E4823" s="2" t="str">
        <f>HYPERLINK("https://ibp.a2mac1.com/costing(costing:projects/details/8191/material/5319592)","Chrome for plating")</f>
        <v>Chrome for plating</v>
      </c>
      <c r="F4823" t="s">
        <v>5658</v>
      </c>
    </row>
    <row r="4824" spans="1:6" ht="12.75">
      <c r="A4824">
        <v>6947844</v>
      </c>
      <c r="B4824">
        <v>6975288</v>
      </c>
      <c r="C4824" t="s">
        <v>189</v>
      </c>
      <c r="D4824" t="s">
        <v>99</v>
      </c>
      <c r="E4824" s="2" t="str">
        <f>HYPERLINK("https://ibp.a2mac1.com/costing(costing:projects/details/8191/equipment/6947844)","Chroming line - Small Parts")</f>
        <v>Chroming line - Small Parts</v>
      </c>
      <c r="F4824" t="s">
        <v>5658</v>
      </c>
    </row>
    <row r="4825" spans="1:6" ht="12.75">
      <c r="A4825">
        <v>6975289</v>
      </c>
      <c r="B4825">
        <v>5388208</v>
      </c>
      <c r="C4825" t="s">
        <v>99</v>
      </c>
      <c r="D4825" t="s">
        <v>12</v>
      </c>
      <c r="E4825" s="2" t="str">
        <f>HYPERLINK("https://ibp.a2mac1.com/costing(costing:projects/details/8191/process/6975289)","Chroming line - Load and Unload parts to and from jig")</f>
        <v>Chroming line - Load and Unload parts to and from jig</v>
      </c>
      <c r="F4825" t="s">
        <v>5655</v>
      </c>
    </row>
    <row r="4826" spans="1:6" ht="12.75">
      <c r="A4826">
        <v>6947845</v>
      </c>
      <c r="B4826">
        <v>6975289</v>
      </c>
      <c r="C4826" t="s">
        <v>189</v>
      </c>
      <c r="D4826" t="s">
        <v>99</v>
      </c>
      <c r="E4826" s="2" t="str">
        <f>HYPERLINK("https://ibp.a2mac1.com/costing(costing:projects/details/8191/equipment/6947845)","Chroming line - Load &amp; Unload parts to/from jig")</f>
        <v>Chroming line - Load &amp; Unload parts to/from jig</v>
      </c>
      <c r="F4826" t="s">
        <v>5659</v>
      </c>
    </row>
    <row r="4827" spans="1:6" ht="12.75">
      <c r="A4827">
        <v>5388209</v>
      </c>
      <c r="B4827">
        <v>5388136</v>
      </c>
      <c r="C4827" t="s">
        <v>12</v>
      </c>
      <c r="D4827" t="s">
        <v>8</v>
      </c>
      <c r="E4827" s="2" t="str">
        <f>HYPERLINK("https://ibp.a2mac1.com/costing(costing:projects/details/8191/part/5388209)","Hole Plugs")</f>
        <v>Hole Plugs</v>
      </c>
      <c r="F4827" t="s">
        <v>5427</v>
      </c>
    </row>
    <row r="4828" spans="1:6" ht="12.75">
      <c r="A4828">
        <v>5388137</v>
      </c>
      <c r="B4828">
        <v>5388127</v>
      </c>
      <c r="C4828" t="s">
        <v>8</v>
      </c>
      <c r="D4828" t="s">
        <v>8</v>
      </c>
      <c r="E4828" s="2" t="str">
        <f>HYPERLINK("https://ibp.a2mac1.com/costing(costing:projects/details/8191/assembly/5388137)","Assy Charge Port")</f>
        <v>Assy Charge Port</v>
      </c>
      <c r="F4828" t="s">
        <v>4590</v>
      </c>
    </row>
    <row r="4829" spans="1:6" ht="12.75">
      <c r="A4829">
        <v>5388226</v>
      </c>
      <c r="B4829">
        <v>5388137</v>
      </c>
      <c r="C4829" t="s">
        <v>8</v>
      </c>
      <c r="D4829" t="s">
        <v>8</v>
      </c>
      <c r="E4829" s="2" t="str">
        <f>HYPERLINK("https://ibp.a2mac1.com/costing(costing:projects/details/8191/assembly/5388226)","Fastners")</f>
        <v>Fastners</v>
      </c>
      <c r="F4829" t="s">
        <v>5664</v>
      </c>
    </row>
    <row r="4830" spans="1:6" ht="12.75">
      <c r="A4830">
        <v>5319469</v>
      </c>
      <c r="B4830">
        <v>5388226</v>
      </c>
      <c r="C4830" t="s">
        <v>574</v>
      </c>
      <c r="D4830" t="s">
        <v>8</v>
      </c>
      <c r="E4830" s="2" t="str">
        <f>HYPERLINK("https://ibp.a2mac1.com/costing(costing:projects/details/8191/component/5319469)","Screw &gt; Torx socket head cap screw with flange")</f>
        <v>Screw &gt; Torx socket head cap screw with flange</v>
      </c>
      <c r="F4830" t="s">
        <v>5665</v>
      </c>
    </row>
    <row r="4831" spans="1:6" ht="12.75">
      <c r="A4831">
        <v>5319470</v>
      </c>
      <c r="B4831">
        <v>5388226</v>
      </c>
      <c r="C4831" t="s">
        <v>574</v>
      </c>
      <c r="D4831" t="s">
        <v>8</v>
      </c>
      <c r="E4831" s="2" t="str">
        <f>HYPERLINK("https://ibp.a2mac1.com/costing(costing:projects/details/8191/component/5319470)","Screw &gt; Torx socket head cap screw with flange")</f>
        <v>Screw &gt; Torx socket head cap screw with flange</v>
      </c>
      <c r="F4831" t="s">
        <v>5665</v>
      </c>
    </row>
    <row r="4832" spans="1:6" ht="12.75">
      <c r="A4832">
        <v>5319471</v>
      </c>
      <c r="B4832">
        <v>5388226</v>
      </c>
      <c r="C4832" t="s">
        <v>574</v>
      </c>
      <c r="D4832" t="s">
        <v>8</v>
      </c>
      <c r="E4832" s="2" t="str">
        <f>HYPERLINK("https://ibp.a2mac1.com/costing(costing:projects/details/8191/component/5319471)","Spacer/Axle &gt; Axle")</f>
        <v>Spacer/Axle &gt; Axle</v>
      </c>
      <c r="F4832" t="s">
        <v>5665</v>
      </c>
    </row>
    <row r="4833" spans="1:6" ht="12.75">
      <c r="A4833">
        <v>5319472</v>
      </c>
      <c r="B4833">
        <v>5388226</v>
      </c>
      <c r="C4833" t="s">
        <v>574</v>
      </c>
      <c r="D4833" t="s">
        <v>8</v>
      </c>
      <c r="E4833" s="2" t="str">
        <f>HYPERLINK("https://ibp.a2mac1.com/costing(costing:projects/details/8191/component/5319472)","Screw &gt; Torx screw")</f>
        <v>Screw &gt; Torx screw</v>
      </c>
      <c r="F4833" t="s">
        <v>5665</v>
      </c>
    </row>
    <row r="4834" spans="1:6" ht="12.75">
      <c r="A4834">
        <v>5319473</v>
      </c>
      <c r="B4834">
        <v>5388226</v>
      </c>
      <c r="C4834" t="s">
        <v>574</v>
      </c>
      <c r="D4834" t="s">
        <v>8</v>
      </c>
      <c r="E4834" s="2" t="str">
        <f>HYPERLINK("https://ibp.a2mac1.com/costing(costing:projects/details/8191/component/5319473)","Screw &gt; Hexagon screw with flange")</f>
        <v>Screw &gt; Hexagon screw with flange</v>
      </c>
      <c r="F4834" t="s">
        <v>5665</v>
      </c>
    </row>
    <row r="4835" spans="1:6" ht="12.75">
      <c r="A4835">
        <v>5388219</v>
      </c>
      <c r="B4835">
        <v>5388137</v>
      </c>
      <c r="C4835" t="s">
        <v>12</v>
      </c>
      <c r="D4835" t="s">
        <v>8</v>
      </c>
      <c r="E4835" s="2" t="str">
        <f>HYPERLINK("https://ibp.a2mac1.com/costing(costing:projects/details/8191/part/5388219)","Charging Inlet Support")</f>
        <v>Charging Inlet Support</v>
      </c>
      <c r="F4835" t="s">
        <v>5664</v>
      </c>
    </row>
    <row r="4836" spans="1:6" ht="12.75">
      <c r="A4836">
        <v>6975291</v>
      </c>
      <c r="B4836">
        <v>5388219</v>
      </c>
      <c r="C4836" t="s">
        <v>99</v>
      </c>
      <c r="D4836" t="s">
        <v>12</v>
      </c>
      <c r="E4836" s="2" t="str">
        <f>HYPERLINK("https://ibp.a2mac1.com/costing(costing:projects/details/8191/process/6975291)","Injection molding")</f>
        <v>Injection molding</v>
      </c>
      <c r="F4836" t="s">
        <v>5666</v>
      </c>
    </row>
    <row r="4837" spans="1:6" ht="12.75">
      <c r="A4837">
        <v>5319606</v>
      </c>
      <c r="B4837">
        <v>6975291</v>
      </c>
      <c r="C4837" t="s">
        <v>24</v>
      </c>
      <c r="D4837" t="s">
        <v>99</v>
      </c>
      <c r="E4837" s="2" t="str">
        <f>HYPERLINK("https://ibp.a2mac1.com/costing(costing:projects/details/8191/material/5319606)","PP-GF20")</f>
        <v>PP-GF20</v>
      </c>
      <c r="F4837" t="s">
        <v>5669</v>
      </c>
    </row>
    <row r="4838" spans="1:6" ht="12.75">
      <c r="A4838">
        <v>6947847</v>
      </c>
      <c r="B4838">
        <v>6975291</v>
      </c>
      <c r="C4838" t="s">
        <v>189</v>
      </c>
      <c r="D4838" t="s">
        <v>99</v>
      </c>
      <c r="E4838" s="2" t="str">
        <f>HYPERLINK("https://ibp.a2mac1.com/costing(costing:projects/details/8191/equipment/6947847)","No.06 - Injection Press - 200T - 45kW - 510x510 - Max Volume 624cm3 ")</f>
        <v xml:space="preserve">No.06 - Injection Press - 200T - 45kW - 510x510 - Max Volume 624cm3 </v>
      </c>
      <c r="F4838" t="s">
        <v>5669</v>
      </c>
    </row>
    <row r="4839" spans="1:6" ht="12.75">
      <c r="A4839">
        <v>6975290</v>
      </c>
      <c r="B4839">
        <v>5388219</v>
      </c>
      <c r="C4839" t="s">
        <v>99</v>
      </c>
      <c r="D4839" t="s">
        <v>12</v>
      </c>
      <c r="E4839" s="2" t="str">
        <f>HYPERLINK("https://ibp.a2mac1.com/costing(costing:projects/details/8191/process/6975290)","Handling/Visual Inspection/Packaging")</f>
        <v>Handling/Visual Inspection/Packaging</v>
      </c>
      <c r="F4839" t="s">
        <v>5666</v>
      </c>
    </row>
    <row r="4840" spans="1:6" ht="12.75">
      <c r="A4840">
        <v>6947846</v>
      </c>
      <c r="B4840">
        <v>6975290</v>
      </c>
      <c r="C4840" t="s">
        <v>189</v>
      </c>
      <c r="D4840" t="s">
        <v>99</v>
      </c>
      <c r="E4840" s="2" t="str">
        <f>HYPERLINK("https://ibp.a2mac1.com/costing(costing:projects/details/8191/equipment/6947846)","Packaging")</f>
        <v>Packaging</v>
      </c>
      <c r="F4840" t="s">
        <v>5671</v>
      </c>
    </row>
    <row r="4841" spans="1:6" ht="12.75">
      <c r="A4841">
        <v>5388220</v>
      </c>
      <c r="B4841">
        <v>5388137</v>
      </c>
      <c r="C4841" t="s">
        <v>12</v>
      </c>
      <c r="D4841" t="s">
        <v>8</v>
      </c>
      <c r="E4841" s="2" t="str">
        <f>HYPERLINK("https://ibp.a2mac1.com/costing(costing:projects/details/8191/part/5388220)","Lid")</f>
        <v>Lid</v>
      </c>
      <c r="F4841" t="s">
        <v>5664</v>
      </c>
    </row>
    <row r="4842" spans="1:6" ht="12.75">
      <c r="A4842">
        <v>6975292</v>
      </c>
      <c r="B4842">
        <v>5388220</v>
      </c>
      <c r="C4842" t="s">
        <v>99</v>
      </c>
      <c r="D4842" t="s">
        <v>12</v>
      </c>
      <c r="E4842" s="2" t="str">
        <f>HYPERLINK("https://ibp.a2mac1.com/costing(costing:projects/details/8191/process/6975292)","Injection molding")</f>
        <v>Injection molding</v>
      </c>
      <c r="F4842" t="s">
        <v>5675</v>
      </c>
    </row>
    <row r="4843" spans="1:6" ht="12.75">
      <c r="A4843">
        <v>5319607</v>
      </c>
      <c r="B4843">
        <v>6975292</v>
      </c>
      <c r="C4843" t="s">
        <v>24</v>
      </c>
      <c r="D4843" t="s">
        <v>99</v>
      </c>
      <c r="E4843" s="2" t="str">
        <f>HYPERLINK("https://ibp.a2mac1.com/costing(costing:projects/details/8191/material/5319607)","PP-GF50")</f>
        <v>PP-GF50</v>
      </c>
      <c r="F4843" t="s">
        <v>5678</v>
      </c>
    </row>
    <row r="4844" spans="1:6" ht="12.75">
      <c r="A4844">
        <v>6947848</v>
      </c>
      <c r="B4844">
        <v>6975292</v>
      </c>
      <c r="C4844" t="s">
        <v>189</v>
      </c>
      <c r="D4844" t="s">
        <v>99</v>
      </c>
      <c r="E4844" s="2" t="str">
        <f>HYPERLINK("https://ibp.a2mac1.com/costing(costing:projects/details/8191/equipment/6947848)","No.05 - Injection Press - 125T - 34kW - 500x500 - Max Volume 260cm3 ")</f>
        <v xml:space="preserve">No.05 - Injection Press - 125T - 34kW - 500x500 - Max Volume 260cm3 </v>
      </c>
      <c r="F4844" t="s">
        <v>5678</v>
      </c>
    </row>
    <row r="4845" spans="1:6" ht="12.75">
      <c r="A4845">
        <v>6975293</v>
      </c>
      <c r="B4845">
        <v>5388220</v>
      </c>
      <c r="C4845" t="s">
        <v>99</v>
      </c>
      <c r="D4845" t="s">
        <v>12</v>
      </c>
      <c r="E4845" s="2" t="str">
        <f>HYPERLINK("https://ibp.a2mac1.com/costing(costing:projects/details/8191/process/6975293)","Handling/Visual Inspection/Packaging")</f>
        <v>Handling/Visual Inspection/Packaging</v>
      </c>
      <c r="F4845" t="s">
        <v>5675</v>
      </c>
    </row>
    <row r="4846" spans="1:6" ht="12.75">
      <c r="A4846">
        <v>6947849</v>
      </c>
      <c r="B4846">
        <v>6975293</v>
      </c>
      <c r="C4846" t="s">
        <v>189</v>
      </c>
      <c r="D4846" t="s">
        <v>99</v>
      </c>
      <c r="E4846" s="2" t="str">
        <f>HYPERLINK("https://ibp.a2mac1.com/costing(costing:projects/details/8191/equipment/6947849)","Packaging")</f>
        <v>Packaging</v>
      </c>
      <c r="F4846" t="s">
        <v>5680</v>
      </c>
    </row>
    <row r="4847" spans="1:6" ht="12.75">
      <c r="A4847">
        <v>5388221</v>
      </c>
      <c r="B4847">
        <v>5388137</v>
      </c>
      <c r="C4847" t="s">
        <v>12</v>
      </c>
      <c r="D4847" t="s">
        <v>8</v>
      </c>
      <c r="E4847" s="2" t="str">
        <f>HYPERLINK("https://ibp.a2mac1.com/costing(costing:projects/details/8191/part/5388221)","Lid Striker")</f>
        <v>Lid Striker</v>
      </c>
      <c r="F4847" t="s">
        <v>5664</v>
      </c>
    </row>
    <row r="4848" spans="1:6" ht="12.75">
      <c r="A4848">
        <v>6975295</v>
      </c>
      <c r="B4848">
        <v>5388221</v>
      </c>
      <c r="C4848" t="s">
        <v>99</v>
      </c>
      <c r="D4848" t="s">
        <v>12</v>
      </c>
      <c r="E4848" s="2" t="str">
        <f>HYPERLINK("https://ibp.a2mac1.com/costing(costing:projects/details/8191/process/6975295)","Injection molding")</f>
        <v>Injection molding</v>
      </c>
      <c r="F4848" t="s">
        <v>5681</v>
      </c>
    </row>
    <row r="4849" spans="1:6" ht="12.75">
      <c r="A4849">
        <v>5319608</v>
      </c>
      <c r="B4849">
        <v>6975295</v>
      </c>
      <c r="C4849" t="s">
        <v>24</v>
      </c>
      <c r="D4849" t="s">
        <v>99</v>
      </c>
      <c r="E4849" s="2" t="str">
        <f>HYPERLINK("https://ibp.a2mac1.com/costing(costing:projects/details/8191/material/5319608)","PP-GF30")</f>
        <v>PP-GF30</v>
      </c>
      <c r="F4849" t="s">
        <v>5684</v>
      </c>
    </row>
    <row r="4850" spans="1:6" ht="12.75">
      <c r="A4850">
        <v>6947851</v>
      </c>
      <c r="B4850">
        <v>6975295</v>
      </c>
      <c r="C4850" t="s">
        <v>189</v>
      </c>
      <c r="D4850" t="s">
        <v>99</v>
      </c>
      <c r="E4850" s="2" t="str">
        <f>HYPERLINK("https://ibp.a2mac1.com/costing(costing:projects/details/8191/equipment/6947851)","No.06 - Injection Press - 200T - 45kW - 510x510 - Max Volume 624cm3 ")</f>
        <v xml:space="preserve">No.06 - Injection Press - 200T - 45kW - 510x510 - Max Volume 624cm3 </v>
      </c>
      <c r="F4850" t="s">
        <v>5684</v>
      </c>
    </row>
    <row r="4851" spans="1:6" ht="12.75">
      <c r="A4851">
        <v>6975294</v>
      </c>
      <c r="B4851">
        <v>5388221</v>
      </c>
      <c r="C4851" t="s">
        <v>99</v>
      </c>
      <c r="D4851" t="s">
        <v>12</v>
      </c>
      <c r="E4851" s="2" t="str">
        <f>HYPERLINK("https://ibp.a2mac1.com/costing(costing:projects/details/8191/process/6975294)","Handling/Visual Inspection/Packaging")</f>
        <v>Handling/Visual Inspection/Packaging</v>
      </c>
      <c r="F4851" t="s">
        <v>5681</v>
      </c>
    </row>
    <row r="4852" spans="1:6" ht="12.75">
      <c r="A4852">
        <v>6947850</v>
      </c>
      <c r="B4852">
        <v>6975294</v>
      </c>
      <c r="C4852" t="s">
        <v>189</v>
      </c>
      <c r="D4852" t="s">
        <v>99</v>
      </c>
      <c r="E4852" s="2" t="str">
        <f>HYPERLINK("https://ibp.a2mac1.com/costing(costing:projects/details/8191/equipment/6947850)","Packaging")</f>
        <v>Packaging</v>
      </c>
      <c r="F4852" t="s">
        <v>5686</v>
      </c>
    </row>
    <row r="4853" spans="1:6" ht="12.75">
      <c r="A4853">
        <v>5388222</v>
      </c>
      <c r="B4853">
        <v>5388137</v>
      </c>
      <c r="C4853" t="s">
        <v>12</v>
      </c>
      <c r="D4853" t="s">
        <v>8</v>
      </c>
      <c r="E4853" s="2" t="str">
        <f>HYPERLINK("https://ibp.a2mac1.com/costing(costing:projects/details/8191/part/5388222)","Lid Trim")</f>
        <v>Lid Trim</v>
      </c>
      <c r="F4853" t="s">
        <v>5664</v>
      </c>
    </row>
    <row r="4854" spans="1:6" ht="12.75">
      <c r="A4854">
        <v>6975296</v>
      </c>
      <c r="B4854">
        <v>5388222</v>
      </c>
      <c r="C4854" t="s">
        <v>99</v>
      </c>
      <c r="D4854" t="s">
        <v>12</v>
      </c>
      <c r="E4854" s="2" t="str">
        <f>HYPERLINK("https://ibp.a2mac1.com/costing(costing:projects/details/8191/process/6975296)","Injection molding")</f>
        <v>Injection molding</v>
      </c>
      <c r="F4854" t="s">
        <v>5688</v>
      </c>
    </row>
    <row r="4855" spans="1:6" ht="12.75">
      <c r="A4855">
        <v>5319609</v>
      </c>
      <c r="B4855">
        <v>6975296</v>
      </c>
      <c r="C4855" t="s">
        <v>24</v>
      </c>
      <c r="D4855" t="s">
        <v>99</v>
      </c>
      <c r="E4855" s="2" t="str">
        <f>HYPERLINK("https://ibp.a2mac1.com/costing(costing:projects/details/8191/material/5319609)","PBT-PC")</f>
        <v>PBT-PC</v>
      </c>
      <c r="F4855" t="s">
        <v>5691</v>
      </c>
    </row>
    <row r="4856" spans="1:6" ht="12.75">
      <c r="A4856">
        <v>6947852</v>
      </c>
      <c r="B4856">
        <v>6975296</v>
      </c>
      <c r="C4856" t="s">
        <v>189</v>
      </c>
      <c r="D4856" t="s">
        <v>99</v>
      </c>
      <c r="E4856" s="2" t="str">
        <f>HYPERLINK("https://ibp.a2mac1.com/costing(costing:projects/details/8191/equipment/6947852)","No.07 - Injection Press - 250T - 63kW - 570x570 - Max Volume 958cm3 ")</f>
        <v xml:space="preserve">No.07 - Injection Press - 250T - 63kW - 570x570 - Max Volume 958cm3 </v>
      </c>
      <c r="F4856" t="s">
        <v>5691</v>
      </c>
    </row>
    <row r="4857" spans="1:6" ht="12.75">
      <c r="A4857">
        <v>6975298</v>
      </c>
      <c r="B4857">
        <v>5388222</v>
      </c>
      <c r="C4857" t="s">
        <v>99</v>
      </c>
      <c r="D4857" t="s">
        <v>12</v>
      </c>
      <c r="E4857" s="2" t="str">
        <f>HYPERLINK("https://ibp.a2mac1.com/costing(costing:projects/details/8191/process/6975298)","Painting")</f>
        <v>Painting</v>
      </c>
      <c r="F4857" t="s">
        <v>5688</v>
      </c>
    </row>
    <row r="4858" spans="1:6" ht="12.75">
      <c r="A4858">
        <v>5319610</v>
      </c>
      <c r="B4858">
        <v>6975298</v>
      </c>
      <c r="C4858" t="s">
        <v>24</v>
      </c>
      <c r="D4858" t="s">
        <v>99</v>
      </c>
      <c r="E4858" s="2" t="str">
        <f>HYPERLINK("https://ibp.a2mac1.com/costing(costing:projects/details/8191/material/5319610)","Paint - Base")</f>
        <v>Paint - Base</v>
      </c>
      <c r="F4858" t="s">
        <v>5694</v>
      </c>
    </row>
    <row r="4859" spans="1:6" ht="12.75">
      <c r="A4859">
        <v>5319611</v>
      </c>
      <c r="B4859">
        <v>6975298</v>
      </c>
      <c r="C4859" t="s">
        <v>24</v>
      </c>
      <c r="D4859" t="s">
        <v>99</v>
      </c>
      <c r="E4859" s="2" t="str">
        <f>HYPERLINK("https://ibp.a2mac1.com/costing(costing:projects/details/8191/material/5319611)","Paint - Primer")</f>
        <v>Paint - Primer</v>
      </c>
      <c r="F4859" t="s">
        <v>5694</v>
      </c>
    </row>
    <row r="4860" spans="1:6" ht="12.75">
      <c r="A4860">
        <v>5319612</v>
      </c>
      <c r="B4860">
        <v>6975298</v>
      </c>
      <c r="C4860" t="s">
        <v>24</v>
      </c>
      <c r="D4860" t="s">
        <v>99</v>
      </c>
      <c r="E4860" s="2" t="str">
        <f>HYPERLINK("https://ibp.a2mac1.com/costing(costing:projects/details/8191/material/5319612)","Paint - Clear Coat")</f>
        <v>Paint - Clear Coat</v>
      </c>
      <c r="F4860" t="s">
        <v>5694</v>
      </c>
    </row>
    <row r="4861" spans="1:6" ht="12.75">
      <c r="A4861">
        <v>6947854</v>
      </c>
      <c r="B4861">
        <v>6975298</v>
      </c>
      <c r="C4861" t="s">
        <v>189</v>
      </c>
      <c r="D4861" t="s">
        <v>99</v>
      </c>
      <c r="E4861" s="2" t="str">
        <f>HYPERLINK("https://ibp.a2mac1.com/costing(costing:projects/details/8191/equipment/6947854)","Loading + Unloading, Retouching, Checking")</f>
        <v>Loading + Unloading, Retouching, Checking</v>
      </c>
      <c r="F4861" t="s">
        <v>5694</v>
      </c>
    </row>
    <row r="4862" spans="1:6" ht="12.75">
      <c r="A4862">
        <v>6947855</v>
      </c>
      <c r="B4862">
        <v>6975298</v>
      </c>
      <c r="C4862" t="s">
        <v>189</v>
      </c>
      <c r="D4862" t="s">
        <v>99</v>
      </c>
      <c r="E4862" s="2" t="str">
        <f>HYPERLINK("https://ibp.a2mac1.com/costing(costing:projects/details/8191/equipment/6947855)","No.01 - 25000x3000x3000 - Automatic Painting Line - with 12x10kW on line ovens ")</f>
        <v xml:space="preserve">No.01 - 25000x3000x3000 - Automatic Painting Line - with 12x10kW on line ovens </v>
      </c>
      <c r="F4862" t="s">
        <v>5694</v>
      </c>
    </row>
    <row r="4863" spans="1:6" ht="12.75">
      <c r="A4863">
        <v>6975297</v>
      </c>
      <c r="B4863">
        <v>5388222</v>
      </c>
      <c r="C4863" t="s">
        <v>99</v>
      </c>
      <c r="D4863" t="s">
        <v>12</v>
      </c>
      <c r="E4863" s="2" t="str">
        <f>HYPERLINK("https://ibp.a2mac1.com/costing(costing:projects/details/8191/process/6975297)","Handling/Visual Inspection/Packaging")</f>
        <v>Handling/Visual Inspection/Packaging</v>
      </c>
      <c r="F4863" t="s">
        <v>5688</v>
      </c>
    </row>
    <row r="4864" spans="1:6" ht="12.75">
      <c r="A4864">
        <v>6947853</v>
      </c>
      <c r="B4864">
        <v>6975297</v>
      </c>
      <c r="C4864" t="s">
        <v>189</v>
      </c>
      <c r="D4864" t="s">
        <v>99</v>
      </c>
      <c r="E4864" s="2" t="str">
        <f>HYPERLINK("https://ibp.a2mac1.com/costing(costing:projects/details/8191/equipment/6947853)","Packaging")</f>
        <v>Packaging</v>
      </c>
      <c r="F4864" t="s">
        <v>5697</v>
      </c>
    </row>
    <row r="4865" spans="1:6" ht="12.75">
      <c r="A4865">
        <v>5388223</v>
      </c>
      <c r="B4865">
        <v>5388137</v>
      </c>
      <c r="C4865" t="s">
        <v>12</v>
      </c>
      <c r="D4865" t="s">
        <v>8</v>
      </c>
      <c r="E4865" s="2" t="str">
        <f>HYPERLINK("https://ibp.a2mac1.com/costing(costing:projects/details/8191/part/5388223)","Lid Locking")</f>
        <v>Lid Locking</v>
      </c>
      <c r="F4865" t="s">
        <v>5664</v>
      </c>
    </row>
    <row r="4866" spans="1:6" ht="12.75">
      <c r="A4866">
        <v>5388224</v>
      </c>
      <c r="B4866">
        <v>5388137</v>
      </c>
      <c r="C4866" t="s">
        <v>12</v>
      </c>
      <c r="D4866" t="s">
        <v>8</v>
      </c>
      <c r="E4866" s="2" t="str">
        <f>HYPERLINK("https://ibp.a2mac1.com/costing(costing:projects/details/8191/part/5388224)","Charging indicator")</f>
        <v>Charging indicator</v>
      </c>
      <c r="F4866" t="s">
        <v>5664</v>
      </c>
    </row>
    <row r="4867" spans="1:6" ht="12.75">
      <c r="A4867">
        <v>5388225</v>
      </c>
      <c r="B4867">
        <v>5388137</v>
      </c>
      <c r="C4867" t="s">
        <v>12</v>
      </c>
      <c r="D4867" t="s">
        <v>8</v>
      </c>
      <c r="E4867" s="2" t="str">
        <f>HYPERLINK("https://ibp.a2mac1.com/costing(costing:projects/details/8191/part/5388225)","Charging Plug Protection")</f>
        <v>Charging Plug Protection</v>
      </c>
      <c r="F4867" t="s">
        <v>5664</v>
      </c>
    </row>
    <row r="4868" spans="1:6" ht="12.75">
      <c r="A4868">
        <v>6975299</v>
      </c>
      <c r="B4868">
        <v>5388225</v>
      </c>
      <c r="C4868" t="s">
        <v>99</v>
      </c>
      <c r="D4868" t="s">
        <v>12</v>
      </c>
      <c r="E4868" s="2" t="str">
        <f>HYPERLINK("https://ibp.a2mac1.com/costing(costing:projects/details/8191/process/6975299)","Injection molding")</f>
        <v>Injection molding</v>
      </c>
      <c r="F4868" t="s">
        <v>5700</v>
      </c>
    </row>
    <row r="4869" spans="1:6" ht="12.75">
      <c r="A4869">
        <v>5319613</v>
      </c>
      <c r="B4869">
        <v>6975299</v>
      </c>
      <c r="C4869" t="s">
        <v>24</v>
      </c>
      <c r="D4869" t="s">
        <v>99</v>
      </c>
      <c r="E4869" s="2" t="str">
        <f>HYPERLINK("https://ibp.a2mac1.com/costing(costing:projects/details/8191/material/5319613)","PP-GF50")</f>
        <v>PP-GF50</v>
      </c>
      <c r="F4869" t="s">
        <v>5703</v>
      </c>
    </row>
    <row r="4870" spans="1:6" ht="12.75">
      <c r="A4870">
        <v>6947856</v>
      </c>
      <c r="B4870">
        <v>6975299</v>
      </c>
      <c r="C4870" t="s">
        <v>189</v>
      </c>
      <c r="D4870" t="s">
        <v>99</v>
      </c>
      <c r="E4870" s="2" t="str">
        <f>HYPERLINK("https://ibp.a2mac1.com/costing(costing:projects/details/8191/equipment/6947856)","No.02 - Injection Press - 60T - 25kW - 320x320 - Max Volume 164cm3 ")</f>
        <v xml:space="preserve">No.02 - Injection Press - 60T - 25kW - 320x320 - Max Volume 164cm3 </v>
      </c>
      <c r="F4870" t="s">
        <v>5703</v>
      </c>
    </row>
    <row r="4871" spans="1:6" ht="12.75">
      <c r="A4871">
        <v>6975300</v>
      </c>
      <c r="B4871">
        <v>5388225</v>
      </c>
      <c r="C4871" t="s">
        <v>99</v>
      </c>
      <c r="D4871" t="s">
        <v>12</v>
      </c>
      <c r="E4871" s="2" t="str">
        <f>HYPERLINK("https://ibp.a2mac1.com/costing(costing:projects/details/8191/process/6975300)","Handling/Visual Inspection/Packaging")</f>
        <v>Handling/Visual Inspection/Packaging</v>
      </c>
      <c r="F4871" t="s">
        <v>5700</v>
      </c>
    </row>
    <row r="4872" spans="1:6" ht="12.75">
      <c r="A4872">
        <v>6947857</v>
      </c>
      <c r="B4872">
        <v>6975300</v>
      </c>
      <c r="C4872" t="s">
        <v>189</v>
      </c>
      <c r="D4872" t="s">
        <v>99</v>
      </c>
      <c r="E4872" s="2" t="str">
        <f>HYPERLINK("https://ibp.a2mac1.com/costing(costing:projects/details/8191/equipment/6947857)","Packaging")</f>
        <v>Packaging</v>
      </c>
      <c r="F4872" t="s">
        <v>5705</v>
      </c>
    </row>
    <row r="4873" spans="1:6" ht="12.75">
      <c r="A4873">
        <v>6975271</v>
      </c>
      <c r="B4873">
        <v>5388137</v>
      </c>
      <c r="C4873" t="s">
        <v>99</v>
      </c>
      <c r="D4873" t="s">
        <v>8</v>
      </c>
      <c r="E4873" s="2" t="str">
        <f>HYPERLINK("https://ibp.a2mac1.com/costing(costing:projects/details/8191/process/6975271)","Assembly")</f>
        <v>Assembly</v>
      </c>
      <c r="F4873" t="s">
        <v>5664</v>
      </c>
    </row>
    <row r="4874" spans="1:6" ht="12.75">
      <c r="A4874">
        <v>6947829</v>
      </c>
      <c r="B4874">
        <v>6975271</v>
      </c>
      <c r="C4874" t="s">
        <v>189</v>
      </c>
      <c r="D4874" t="s">
        <v>99</v>
      </c>
      <c r="E4874" s="2" t="str">
        <f>HYPERLINK("https://ibp.a2mac1.com/costing(costing:projects/details/8191/equipment/6947829)","Assembly Station ")</f>
        <v xml:space="preserve">Assembly Station </v>
      </c>
      <c r="F4874" t="s">
        <v>5706</v>
      </c>
    </row>
    <row r="4875" spans="1:6" ht="12.75">
      <c r="A4875">
        <v>5388138</v>
      </c>
      <c r="B4875">
        <v>5388127</v>
      </c>
      <c r="C4875" t="s">
        <v>8</v>
      </c>
      <c r="D4875" t="s">
        <v>8</v>
      </c>
      <c r="E4875" s="2" t="str">
        <f>HYPERLINK("https://ibp.a2mac1.com/costing(costing:projects/details/8191/assembly/5388138)","Front Passenger Door")</f>
        <v>Front Passenger Door</v>
      </c>
      <c r="F4875" t="s">
        <v>4590</v>
      </c>
    </row>
    <row r="4876" spans="1:6" ht="12.75">
      <c r="A4876">
        <v>5388227</v>
      </c>
      <c r="B4876">
        <v>5388138</v>
      </c>
      <c r="C4876" t="s">
        <v>8</v>
      </c>
      <c r="D4876" t="s">
        <v>8</v>
      </c>
      <c r="E4876" s="2" t="str">
        <f>HYPERLINK("https://ibp.a2mac1.com/costing(costing:projects/details/8191/assembly/5388227)","Front Passenger Door")</f>
        <v>Front Passenger Door</v>
      </c>
      <c r="F4876" t="s">
        <v>5707</v>
      </c>
    </row>
    <row r="4877" spans="1:6" ht="12.75">
      <c r="A4877">
        <v>5388518</v>
      </c>
      <c r="B4877">
        <v>5388227</v>
      </c>
      <c r="C4877" t="s">
        <v>8</v>
      </c>
      <c r="D4877" t="s">
        <v>8</v>
      </c>
      <c r="E4877" s="2" t="str">
        <f>HYPERLINK("https://ibp.a2mac1.com/costing(costing:projects/details/8191/assembly/5388518)","Housing Assy ")</f>
        <v xml:space="preserve">Housing Assy </v>
      </c>
      <c r="F4877" t="s">
        <v>5708</v>
      </c>
    </row>
    <row r="4878" spans="1:6" ht="12.75">
      <c r="A4878">
        <v>5388840</v>
      </c>
      <c r="B4878">
        <v>5388518</v>
      </c>
      <c r="C4878" t="s">
        <v>8</v>
      </c>
      <c r="D4878" t="s">
        <v>8</v>
      </c>
      <c r="E4878" s="2" t="str">
        <f>HYPERLINK("https://ibp.a2mac1.com/costing(costing:projects/details/8191/assembly/5388840)","Housing")</f>
        <v>Housing</v>
      </c>
      <c r="F4878" t="s">
        <v>5709</v>
      </c>
    </row>
    <row r="4879" spans="1:6" ht="12.75">
      <c r="A4879">
        <v>5389207</v>
      </c>
      <c r="B4879">
        <v>5388840</v>
      </c>
      <c r="C4879" t="s">
        <v>12</v>
      </c>
      <c r="D4879" t="s">
        <v>8</v>
      </c>
      <c r="E4879" s="2" t="str">
        <f>HYPERLINK("https://ibp.a2mac1.com/costing(costing:projects/details/8191/part/5389207)","Part 01 single/front")</f>
        <v>Part 01 single/front</v>
      </c>
      <c r="F4879" t="s">
        <v>5710</v>
      </c>
    </row>
    <row r="4880" spans="1:6" ht="12.75">
      <c r="A4880">
        <v>6975829</v>
      </c>
      <c r="B4880">
        <v>5389207</v>
      </c>
      <c r="C4880" t="s">
        <v>99</v>
      </c>
      <c r="D4880" t="s">
        <v>12</v>
      </c>
      <c r="E4880" s="2" t="str">
        <f>HYPERLINK("https://ibp.a2mac1.com/costing(costing:projects/details/8191/process/6975829)","Manufacturing Process")</f>
        <v>Manufacturing Process</v>
      </c>
      <c r="F4880" t="s">
        <v>5711</v>
      </c>
    </row>
    <row r="4881" spans="1:6" ht="12.75">
      <c r="A4881">
        <v>5320284</v>
      </c>
      <c r="B4881">
        <v>6975829</v>
      </c>
      <c r="C4881" t="s">
        <v>24</v>
      </c>
      <c r="D4881" t="s">
        <v>99</v>
      </c>
      <c r="E4881" s="2" t="str">
        <f>HYPERLINK("https://ibp.a2mac1.com/costing(costing:projects/details/8191/material/5320284)","Standard Structural Steel sheet")</f>
        <v>Standard Structural Steel sheet</v>
      </c>
      <c r="F4881" t="s">
        <v>5712</v>
      </c>
    </row>
    <row r="4882" spans="1:6" ht="12.75">
      <c r="A4882">
        <v>6948424</v>
      </c>
      <c r="B4882">
        <v>6975829</v>
      </c>
      <c r="C4882" t="s">
        <v>189</v>
      </c>
      <c r="D4882" t="s">
        <v>99</v>
      </c>
      <c r="E4882" s="2" t="str">
        <f>HYPERLINK("https://ibp.a2mac1.com/costing(costing:projects/details/8191/equipment/6948424)","Equipment (Stamping)")</f>
        <v>Equipment (Stamping)</v>
      </c>
      <c r="F4882" t="s">
        <v>5712</v>
      </c>
    </row>
    <row r="4883" spans="1:6" ht="12.75">
      <c r="A4883">
        <v>5388841</v>
      </c>
      <c r="B4883">
        <v>5388518</v>
      </c>
      <c r="C4883" t="s">
        <v>8</v>
      </c>
      <c r="D4883" t="s">
        <v>8</v>
      </c>
      <c r="E4883" s="2" t="str">
        <f>HYPERLINK("https://ibp.a2mac1.com/costing(costing:projects/details/8191/assembly/5388841)","Reinforcements")</f>
        <v>Reinforcements</v>
      </c>
      <c r="F4883" t="s">
        <v>5709</v>
      </c>
    </row>
    <row r="4884" spans="1:6" ht="12.75">
      <c r="A4884">
        <v>5389208</v>
      </c>
      <c r="B4884">
        <v>5388841</v>
      </c>
      <c r="C4884" t="s">
        <v>12</v>
      </c>
      <c r="D4884" t="s">
        <v>8</v>
      </c>
      <c r="E4884" s="2" t="str">
        <f>HYPERLINK("https://ibp.a2mac1.com/costing(costing:projects/details/8191/part/5389208)","Part 02")</f>
        <v>Part 02</v>
      </c>
      <c r="F4884" t="s">
        <v>5713</v>
      </c>
    </row>
    <row r="4885" spans="1:6" ht="12.75">
      <c r="A4885">
        <v>6975830</v>
      </c>
      <c r="B4885">
        <v>5389208</v>
      </c>
      <c r="C4885" t="s">
        <v>99</v>
      </c>
      <c r="D4885" t="s">
        <v>12</v>
      </c>
      <c r="E4885" s="2" t="str">
        <f>HYPERLINK("https://ibp.a2mac1.com/costing(costing:projects/details/8191/process/6975830)","Manufacturing Process")</f>
        <v>Manufacturing Process</v>
      </c>
      <c r="F4885" t="s">
        <v>5714</v>
      </c>
    </row>
    <row r="4886" spans="1:6" ht="12.75">
      <c r="A4886">
        <v>5320285</v>
      </c>
      <c r="B4886">
        <v>6975830</v>
      </c>
      <c r="C4886" t="s">
        <v>24</v>
      </c>
      <c r="D4886" t="s">
        <v>99</v>
      </c>
      <c r="E4886" s="2" t="str">
        <f>HYPERLINK("https://ibp.a2mac1.com/costing(costing:projects/details/8191/material/5320285)","Standard Structural Steel sheet")</f>
        <v>Standard Structural Steel sheet</v>
      </c>
      <c r="F4886" t="s">
        <v>5715</v>
      </c>
    </row>
    <row r="4887" spans="1:6" ht="12.75">
      <c r="A4887">
        <v>6948425</v>
      </c>
      <c r="B4887">
        <v>6975830</v>
      </c>
      <c r="C4887" t="s">
        <v>189</v>
      </c>
      <c r="D4887" t="s">
        <v>99</v>
      </c>
      <c r="E4887" s="2" t="str">
        <f>HYPERLINK("https://ibp.a2mac1.com/costing(costing:projects/details/8191/equipment/6948425)","Equipment (Stamping)")</f>
        <v>Equipment (Stamping)</v>
      </c>
      <c r="F4887" t="s">
        <v>5715</v>
      </c>
    </row>
    <row r="4888" spans="1:6" ht="12.75">
      <c r="A4888">
        <v>5389209</v>
      </c>
      <c r="B4888">
        <v>5388841</v>
      </c>
      <c r="C4888" t="s">
        <v>12</v>
      </c>
      <c r="D4888" t="s">
        <v>8</v>
      </c>
      <c r="E4888" s="2" t="str">
        <f>HYPERLINK("https://ibp.a2mac1.com/costing(costing:projects/details/8191/part/5389209)","Part 01 single/main")</f>
        <v>Part 01 single/main</v>
      </c>
      <c r="F4888" t="s">
        <v>5713</v>
      </c>
    </row>
    <row r="4889" spans="1:6" ht="12.75">
      <c r="A4889">
        <v>6975831</v>
      </c>
      <c r="B4889">
        <v>5389209</v>
      </c>
      <c r="C4889" t="s">
        <v>99</v>
      </c>
      <c r="D4889" t="s">
        <v>12</v>
      </c>
      <c r="E4889" s="2" t="str">
        <f>HYPERLINK("https://ibp.a2mac1.com/costing(costing:projects/details/8191/process/6975831)","Manufacturing Process")</f>
        <v>Manufacturing Process</v>
      </c>
      <c r="F4889" t="s">
        <v>5716</v>
      </c>
    </row>
    <row r="4890" spans="1:6" ht="12.75">
      <c r="A4890">
        <v>5320286</v>
      </c>
      <c r="B4890">
        <v>6975831</v>
      </c>
      <c r="C4890" t="s">
        <v>24</v>
      </c>
      <c r="D4890" t="s">
        <v>99</v>
      </c>
      <c r="E4890" s="2" t="str">
        <f>HYPERLINK("https://ibp.a2mac1.com/costing(costing:projects/details/8191/material/5320286)","Standard Structural Steel sheet")</f>
        <v>Standard Structural Steel sheet</v>
      </c>
      <c r="F4890" t="s">
        <v>5717</v>
      </c>
    </row>
    <row r="4891" spans="1:6" ht="12.75">
      <c r="A4891">
        <v>6948426</v>
      </c>
      <c r="B4891">
        <v>6975831</v>
      </c>
      <c r="C4891" t="s">
        <v>189</v>
      </c>
      <c r="D4891" t="s">
        <v>99</v>
      </c>
      <c r="E4891" s="2" t="str">
        <f>HYPERLINK("https://ibp.a2mac1.com/costing(costing:projects/details/8191/equipment/6948426)","Equipment (Stamping)")</f>
        <v>Equipment (Stamping)</v>
      </c>
      <c r="F4891" t="s">
        <v>5717</v>
      </c>
    </row>
    <row r="4892" spans="1:6" ht="12.75">
      <c r="A4892">
        <v>5388842</v>
      </c>
      <c r="B4892">
        <v>5388518</v>
      </c>
      <c r="C4892" t="s">
        <v>8</v>
      </c>
      <c r="D4892" t="s">
        <v>8</v>
      </c>
      <c r="E4892" s="2" t="str">
        <f>HYPERLINK("https://ibp.a2mac1.com/costing(costing:projects/details/8191/assembly/5388842)","Fixing parts")</f>
        <v>Fixing parts</v>
      </c>
      <c r="F4892" t="s">
        <v>5709</v>
      </c>
    </row>
    <row r="4893" spans="1:6" ht="12.75">
      <c r="A4893">
        <v>5389210</v>
      </c>
      <c r="B4893">
        <v>5388842</v>
      </c>
      <c r="C4893" t="s">
        <v>8</v>
      </c>
      <c r="D4893" t="s">
        <v>8</v>
      </c>
      <c r="E4893" s="2" t="str">
        <f>HYPERLINK("https://ibp.a2mac1.com/costing(costing:projects/details/8191/assembly/5389210)","Front")</f>
        <v>Front</v>
      </c>
      <c r="F4893" t="s">
        <v>5718</v>
      </c>
    </row>
    <row r="4894" spans="1:6" ht="12.75">
      <c r="A4894">
        <v>5389423</v>
      </c>
      <c r="B4894">
        <v>5389210</v>
      </c>
      <c r="C4894" t="s">
        <v>12</v>
      </c>
      <c r="D4894" t="s">
        <v>8</v>
      </c>
      <c r="E4894" s="2" t="str">
        <f>HYPERLINK("https://ibp.a2mac1.com/costing(costing:projects/details/8191/part/5389423)","Part 03")</f>
        <v>Part 03</v>
      </c>
      <c r="F4894" t="s">
        <v>5719</v>
      </c>
    </row>
    <row r="4895" spans="1:6" ht="12.75">
      <c r="A4895">
        <v>6975891</v>
      </c>
      <c r="B4895">
        <v>5389423</v>
      </c>
      <c r="C4895" t="s">
        <v>99</v>
      </c>
      <c r="D4895" t="s">
        <v>12</v>
      </c>
      <c r="E4895" s="2" t="str">
        <f>HYPERLINK("https://ibp.a2mac1.com/costing(costing:projects/details/8191/process/6975891)","Manufacturing Process")</f>
        <v>Manufacturing Process</v>
      </c>
      <c r="F4895" t="s">
        <v>5720</v>
      </c>
    </row>
    <row r="4896" spans="1:6" ht="12.75">
      <c r="A4896">
        <v>5320355</v>
      </c>
      <c r="B4896">
        <v>6975891</v>
      </c>
      <c r="C4896" t="s">
        <v>24</v>
      </c>
      <c r="D4896" t="s">
        <v>99</v>
      </c>
      <c r="E4896" s="2" t="str">
        <f>HYPERLINK("https://ibp.a2mac1.com/costing(costing:projects/details/8191/material/5320355)","Standard Structural Steel sheet")</f>
        <v>Standard Structural Steel sheet</v>
      </c>
      <c r="F4896" t="s">
        <v>5721</v>
      </c>
    </row>
    <row r="4897" spans="1:6" ht="12.75">
      <c r="A4897">
        <v>6948510</v>
      </c>
      <c r="B4897">
        <v>6975891</v>
      </c>
      <c r="C4897" t="s">
        <v>189</v>
      </c>
      <c r="D4897" t="s">
        <v>99</v>
      </c>
      <c r="E4897" s="2" t="str">
        <f>HYPERLINK("https://ibp.a2mac1.com/costing(costing:projects/details/8191/equipment/6948510)","Equipment (Stamping)")</f>
        <v>Equipment (Stamping)</v>
      </c>
      <c r="F4897" t="s">
        <v>5721</v>
      </c>
    </row>
    <row r="4898" spans="1:6" ht="12.75">
      <c r="A4898">
        <v>5389424</v>
      </c>
      <c r="B4898">
        <v>5389210</v>
      </c>
      <c r="C4898" t="s">
        <v>12</v>
      </c>
      <c r="D4898" t="s">
        <v>8</v>
      </c>
      <c r="E4898" s="2" t="str">
        <f>HYPERLINK("https://ibp.a2mac1.com/costing(costing:projects/details/8191/part/5389424)","Part 02")</f>
        <v>Part 02</v>
      </c>
      <c r="F4898" t="s">
        <v>5719</v>
      </c>
    </row>
    <row r="4899" spans="1:6" ht="12.75">
      <c r="A4899">
        <v>6975892</v>
      </c>
      <c r="B4899">
        <v>5389424</v>
      </c>
      <c r="C4899" t="s">
        <v>99</v>
      </c>
      <c r="D4899" t="s">
        <v>12</v>
      </c>
      <c r="E4899" s="2" t="str">
        <f>HYPERLINK("https://ibp.a2mac1.com/costing(costing:projects/details/8191/process/6975892)","Manufacturing Process")</f>
        <v>Manufacturing Process</v>
      </c>
      <c r="F4899" t="s">
        <v>5722</v>
      </c>
    </row>
    <row r="4900" spans="1:6" ht="12.75">
      <c r="A4900">
        <v>5320356</v>
      </c>
      <c r="B4900">
        <v>6975892</v>
      </c>
      <c r="C4900" t="s">
        <v>24</v>
      </c>
      <c r="D4900" t="s">
        <v>99</v>
      </c>
      <c r="E4900" s="2" t="str">
        <f>HYPERLINK("https://ibp.a2mac1.com/costing(costing:projects/details/8191/material/5320356)","Standard Structural Steel sheet")</f>
        <v>Standard Structural Steel sheet</v>
      </c>
      <c r="F4900" t="s">
        <v>5723</v>
      </c>
    </row>
    <row r="4901" spans="1:6" ht="12.75">
      <c r="A4901">
        <v>6948511</v>
      </c>
      <c r="B4901">
        <v>6975892</v>
      </c>
      <c r="C4901" t="s">
        <v>189</v>
      </c>
      <c r="D4901" t="s">
        <v>99</v>
      </c>
      <c r="E4901" s="2" t="str">
        <f>HYPERLINK("https://ibp.a2mac1.com/costing(costing:projects/details/8191/equipment/6948511)","Equipment (Stamping)")</f>
        <v>Equipment (Stamping)</v>
      </c>
      <c r="F4901" t="s">
        <v>5723</v>
      </c>
    </row>
    <row r="4902" spans="1:6" ht="12.75">
      <c r="A4902">
        <v>5389425</v>
      </c>
      <c r="B4902">
        <v>5389210</v>
      </c>
      <c r="C4902" t="s">
        <v>12</v>
      </c>
      <c r="D4902" t="s">
        <v>8</v>
      </c>
      <c r="E4902" s="2" t="str">
        <f>HYPERLINK("https://ibp.a2mac1.com/costing(costing:projects/details/8191/part/5389425)","Part 01 single/main")</f>
        <v>Part 01 single/main</v>
      </c>
      <c r="F4902" t="s">
        <v>5719</v>
      </c>
    </row>
    <row r="4903" spans="1:6" ht="12.75">
      <c r="A4903">
        <v>6975893</v>
      </c>
      <c r="B4903">
        <v>5389425</v>
      </c>
      <c r="C4903" t="s">
        <v>99</v>
      </c>
      <c r="D4903" t="s">
        <v>12</v>
      </c>
      <c r="E4903" s="2" t="str">
        <f>HYPERLINK("https://ibp.a2mac1.com/costing(costing:projects/details/8191/process/6975893)","Manufacturing Process")</f>
        <v>Manufacturing Process</v>
      </c>
      <c r="F4903" t="s">
        <v>5724</v>
      </c>
    </row>
    <row r="4904" spans="1:6" ht="12.75">
      <c r="A4904">
        <v>5320357</v>
      </c>
      <c r="B4904">
        <v>6975893</v>
      </c>
      <c r="C4904" t="s">
        <v>24</v>
      </c>
      <c r="D4904" t="s">
        <v>99</v>
      </c>
      <c r="E4904" s="2" t="str">
        <f>HYPERLINK("https://ibp.a2mac1.com/costing(costing:projects/details/8191/material/5320357)","Standard Structural Steel sheet")</f>
        <v>Standard Structural Steel sheet</v>
      </c>
      <c r="F4904" t="s">
        <v>5725</v>
      </c>
    </row>
    <row r="4905" spans="1:6" ht="12.75">
      <c r="A4905">
        <v>6948512</v>
      </c>
      <c r="B4905">
        <v>6975893</v>
      </c>
      <c r="C4905" t="s">
        <v>189</v>
      </c>
      <c r="D4905" t="s">
        <v>99</v>
      </c>
      <c r="E4905" s="2" t="str">
        <f>HYPERLINK("https://ibp.a2mac1.com/costing(costing:projects/details/8191/equipment/6948512)","Equipment (Stamping)")</f>
        <v>Equipment (Stamping)</v>
      </c>
      <c r="F4905" t="s">
        <v>5725</v>
      </c>
    </row>
    <row r="4906" spans="1:6" ht="12.75">
      <c r="A4906">
        <v>5388519</v>
      </c>
      <c r="B4906">
        <v>5388227</v>
      </c>
      <c r="C4906" t="s">
        <v>8</v>
      </c>
      <c r="D4906" t="s">
        <v>8</v>
      </c>
      <c r="E4906" s="2" t="str">
        <f>HYPERLINK("https://ibp.a2mac1.com/costing(costing:projects/details/8191/assembly/5388519)","Anti-intrusion beams")</f>
        <v>Anti-intrusion beams</v>
      </c>
      <c r="F4906" t="s">
        <v>5708</v>
      </c>
    </row>
    <row r="4907" spans="1:6" ht="12.75">
      <c r="A4907">
        <v>5388843</v>
      </c>
      <c r="B4907">
        <v>5388519</v>
      </c>
      <c r="C4907" t="s">
        <v>8</v>
      </c>
      <c r="D4907" t="s">
        <v>8</v>
      </c>
      <c r="E4907" s="2" t="str">
        <f>HYPERLINK("https://ibp.a2mac1.com/costing(costing:projects/details/8191/assembly/5388843)","Beam 01")</f>
        <v>Beam 01</v>
      </c>
      <c r="F4907" t="s">
        <v>5726</v>
      </c>
    </row>
    <row r="4908" spans="1:6" ht="12.75">
      <c r="A4908">
        <v>5389211</v>
      </c>
      <c r="B4908">
        <v>5388843</v>
      </c>
      <c r="C4908" t="s">
        <v>8</v>
      </c>
      <c r="D4908" t="s">
        <v>8</v>
      </c>
      <c r="E4908" s="2" t="str">
        <f>HYPERLINK("https://ibp.a2mac1.com/costing(costing:projects/details/8191/assembly/5389211)","Beam")</f>
        <v>Beam</v>
      </c>
      <c r="F4908" t="s">
        <v>5727</v>
      </c>
    </row>
    <row r="4909" spans="1:6" ht="12.75">
      <c r="A4909">
        <v>5389426</v>
      </c>
      <c r="B4909">
        <v>5389211</v>
      </c>
      <c r="C4909" t="s">
        <v>12</v>
      </c>
      <c r="D4909" t="s">
        <v>8</v>
      </c>
      <c r="E4909" s="2" t="str">
        <f>HYPERLINK("https://ibp.a2mac1.com/costing(costing:projects/details/8191/part/5389426)","Part 01 single/main")</f>
        <v>Part 01 single/main</v>
      </c>
      <c r="F4909" t="s">
        <v>5728</v>
      </c>
    </row>
    <row r="4910" spans="1:6" ht="12.75">
      <c r="A4910">
        <v>6975894</v>
      </c>
      <c r="B4910">
        <v>5389426</v>
      </c>
      <c r="C4910" t="s">
        <v>99</v>
      </c>
      <c r="D4910" t="s">
        <v>12</v>
      </c>
      <c r="E4910" s="2" t="str">
        <f>HYPERLINK("https://ibp.a2mac1.com/costing(costing:projects/details/8191/process/6975894)","Manufacturing Process")</f>
        <v>Manufacturing Process</v>
      </c>
      <c r="F4910" t="s">
        <v>5729</v>
      </c>
    </row>
    <row r="4911" spans="1:6" ht="12.75">
      <c r="A4911">
        <v>5320358</v>
      </c>
      <c r="B4911">
        <v>6975894</v>
      </c>
      <c r="C4911" t="s">
        <v>24</v>
      </c>
      <c r="D4911" t="s">
        <v>99</v>
      </c>
      <c r="E4911" s="2" t="str">
        <f>HYPERLINK("https://ibp.a2mac1.com/costing(costing:projects/details/8191/material/5320358)","Standard Structural Steel sheet")</f>
        <v>Standard Structural Steel sheet</v>
      </c>
      <c r="F4911" t="s">
        <v>5730</v>
      </c>
    </row>
    <row r="4912" spans="1:6" ht="12.75">
      <c r="A4912">
        <v>6948513</v>
      </c>
      <c r="B4912">
        <v>6975894</v>
      </c>
      <c r="C4912" t="s">
        <v>189</v>
      </c>
      <c r="D4912" t="s">
        <v>99</v>
      </c>
      <c r="E4912" s="2" t="str">
        <f>HYPERLINK("https://ibp.a2mac1.com/costing(costing:projects/details/8191/equipment/6948513)","Equipment (Stamping)")</f>
        <v>Equipment (Stamping)</v>
      </c>
      <c r="F4912" t="s">
        <v>5730</v>
      </c>
    </row>
    <row r="4913" spans="1:6" ht="12.75">
      <c r="A4913">
        <v>5388520</v>
      </c>
      <c r="B4913">
        <v>5388227</v>
      </c>
      <c r="C4913" t="s">
        <v>8</v>
      </c>
      <c r="D4913" t="s">
        <v>8</v>
      </c>
      <c r="E4913" s="2" t="str">
        <f>HYPERLINK("https://ibp.a2mac1.com/costing(costing:projects/details/8191/assembly/5388520)","Window frame assy")</f>
        <v>Window frame assy</v>
      </c>
      <c r="F4913" t="s">
        <v>5708</v>
      </c>
    </row>
    <row r="4914" spans="1:6" ht="12.75">
      <c r="A4914">
        <v>5388844</v>
      </c>
      <c r="B4914">
        <v>5388520</v>
      </c>
      <c r="C4914" t="s">
        <v>8</v>
      </c>
      <c r="D4914" t="s">
        <v>8</v>
      </c>
      <c r="E4914" s="2" t="str">
        <f>HYPERLINK("https://ibp.a2mac1.com/costing(costing:projects/details/8191/assembly/5388844)","Reinforcements")</f>
        <v>Reinforcements</v>
      </c>
      <c r="F4914" t="s">
        <v>5731</v>
      </c>
    </row>
    <row r="4915" spans="1:6" ht="12.75">
      <c r="A4915">
        <v>5389212</v>
      </c>
      <c r="B4915">
        <v>5388844</v>
      </c>
      <c r="C4915" t="s">
        <v>12</v>
      </c>
      <c r="D4915" t="s">
        <v>8</v>
      </c>
      <c r="E4915" s="2" t="str">
        <f>HYPERLINK("https://ibp.a2mac1.com/costing(costing:projects/details/8191/part/5389212)","Part 01 single/main")</f>
        <v>Part 01 single/main</v>
      </c>
      <c r="F4915" t="s">
        <v>5732</v>
      </c>
    </row>
    <row r="4916" spans="1:6" ht="12.75">
      <c r="A4916">
        <v>6975832</v>
      </c>
      <c r="B4916">
        <v>5389212</v>
      </c>
      <c r="C4916" t="s">
        <v>99</v>
      </c>
      <c r="D4916" t="s">
        <v>12</v>
      </c>
      <c r="E4916" s="2" t="str">
        <f>HYPERLINK("https://ibp.a2mac1.com/costing(costing:projects/details/8191/process/6975832)","Manufacturing Process")</f>
        <v>Manufacturing Process</v>
      </c>
      <c r="F4916" t="s">
        <v>5733</v>
      </c>
    </row>
    <row r="4917" spans="1:6" ht="12.75">
      <c r="A4917">
        <v>5320287</v>
      </c>
      <c r="B4917">
        <v>6975832</v>
      </c>
      <c r="C4917" t="s">
        <v>24</v>
      </c>
      <c r="D4917" t="s">
        <v>99</v>
      </c>
      <c r="E4917" s="2" t="str">
        <f>HYPERLINK("https://ibp.a2mac1.com/costing(costing:projects/details/8191/material/5320287)","Standard Structural Steel sheet")</f>
        <v>Standard Structural Steel sheet</v>
      </c>
      <c r="F4917" t="s">
        <v>5734</v>
      </c>
    </row>
    <row r="4918" spans="1:6" ht="12.75">
      <c r="A4918">
        <v>6948427</v>
      </c>
      <c r="B4918">
        <v>6975832</v>
      </c>
      <c r="C4918" t="s">
        <v>189</v>
      </c>
      <c r="D4918" t="s">
        <v>99</v>
      </c>
      <c r="E4918" s="2" t="str">
        <f>HYPERLINK("https://ibp.a2mac1.com/costing(costing:projects/details/8191/equipment/6948427)","Equipment (Stamping)")</f>
        <v>Equipment (Stamping)</v>
      </c>
      <c r="F4918" t="s">
        <v>5734</v>
      </c>
    </row>
    <row r="4919" spans="1:6" ht="12.75">
      <c r="A4919">
        <v>5388845</v>
      </c>
      <c r="B4919">
        <v>5388520</v>
      </c>
      <c r="C4919" t="s">
        <v>8</v>
      </c>
      <c r="D4919" t="s">
        <v>8</v>
      </c>
      <c r="E4919" s="2" t="str">
        <f>HYPERLINK("https://ibp.a2mac1.com/costing(costing:projects/details/8191/assembly/5388845)","Glass slides")</f>
        <v>Glass slides</v>
      </c>
      <c r="F4919" t="s">
        <v>5731</v>
      </c>
    </row>
    <row r="4920" spans="1:6" ht="12.75">
      <c r="A4920">
        <v>5389213</v>
      </c>
      <c r="B4920">
        <v>5388845</v>
      </c>
      <c r="C4920" t="s">
        <v>8</v>
      </c>
      <c r="D4920" t="s">
        <v>8</v>
      </c>
      <c r="E4920" s="2" t="str">
        <f>HYPERLINK("https://ibp.a2mac1.com/costing(costing:projects/details/8191/assembly/5389213)","Front")</f>
        <v>Front</v>
      </c>
      <c r="F4920" t="s">
        <v>5735</v>
      </c>
    </row>
    <row r="4921" spans="1:6" ht="12.75">
      <c r="A4921">
        <v>5389427</v>
      </c>
      <c r="B4921">
        <v>5389213</v>
      </c>
      <c r="C4921" t="s">
        <v>8</v>
      </c>
      <c r="D4921" t="s">
        <v>8</v>
      </c>
      <c r="E4921" s="2" t="str">
        <f>HYPERLINK("https://ibp.a2mac1.com/costing(costing:projects/details/8191/assembly/5389427)","Slide")</f>
        <v>Slide</v>
      </c>
      <c r="F4921" t="s">
        <v>5736</v>
      </c>
    </row>
    <row r="4922" spans="1:6" ht="12.75">
      <c r="A4922">
        <v>5389714</v>
      </c>
      <c r="B4922">
        <v>5389427</v>
      </c>
      <c r="C4922" t="s">
        <v>12</v>
      </c>
      <c r="D4922" t="s">
        <v>8</v>
      </c>
      <c r="E4922" s="2" t="str">
        <f>HYPERLINK("https://ibp.a2mac1.com/costing(costing:projects/details/8191/part/5389714)","Part 01 single/main")</f>
        <v>Part 01 single/main</v>
      </c>
      <c r="F4922" t="s">
        <v>5737</v>
      </c>
    </row>
    <row r="4923" spans="1:6" ht="12.75">
      <c r="A4923">
        <v>6976138</v>
      </c>
      <c r="B4923">
        <v>5389714</v>
      </c>
      <c r="C4923" t="s">
        <v>99</v>
      </c>
      <c r="D4923" t="s">
        <v>12</v>
      </c>
      <c r="E4923" s="2" t="str">
        <f>HYPERLINK("https://ibp.a2mac1.com/costing(costing:projects/details/8191/process/6976138)","Manufacturing Process")</f>
        <v>Manufacturing Process</v>
      </c>
      <c r="F4923" t="s">
        <v>5738</v>
      </c>
    </row>
    <row r="4924" spans="1:6" ht="12.75">
      <c r="A4924">
        <v>5320547</v>
      </c>
      <c r="B4924">
        <v>6976138</v>
      </c>
      <c r="C4924" t="s">
        <v>24</v>
      </c>
      <c r="D4924" t="s">
        <v>99</v>
      </c>
      <c r="E4924" s="2" t="str">
        <f>HYPERLINK("https://ibp.a2mac1.com/costing(costing:projects/details/8191/material/5320547)","Standard Structural Steel sheet")</f>
        <v>Standard Structural Steel sheet</v>
      </c>
      <c r="F4924" t="s">
        <v>5739</v>
      </c>
    </row>
    <row r="4925" spans="1:6" ht="12.75">
      <c r="A4925">
        <v>6948732</v>
      </c>
      <c r="B4925">
        <v>6976138</v>
      </c>
      <c r="C4925" t="s">
        <v>189</v>
      </c>
      <c r="D4925" t="s">
        <v>99</v>
      </c>
      <c r="E4925" s="2" t="str">
        <f>HYPERLINK("https://ibp.a2mac1.com/costing(costing:projects/details/8191/equipment/6948732)","Equipment (Stamping)")</f>
        <v>Equipment (Stamping)</v>
      </c>
      <c r="F4925" t="s">
        <v>5739</v>
      </c>
    </row>
    <row r="4926" spans="1:6" ht="12.75">
      <c r="A4926">
        <v>5388846</v>
      </c>
      <c r="B4926">
        <v>5388520</v>
      </c>
      <c r="C4926" t="s">
        <v>8</v>
      </c>
      <c r="D4926" t="s">
        <v>8</v>
      </c>
      <c r="E4926" s="2" t="str">
        <f>HYPERLINK("https://ibp.a2mac1.com/costing(costing:projects/details/8191/assembly/5388846)","Frame")</f>
        <v>Frame</v>
      </c>
      <c r="F4926" t="s">
        <v>5731</v>
      </c>
    </row>
    <row r="4927" spans="1:6" ht="12.75">
      <c r="A4927">
        <v>5389214</v>
      </c>
      <c r="B4927">
        <v>5388846</v>
      </c>
      <c r="C4927" t="s">
        <v>12</v>
      </c>
      <c r="D4927" t="s">
        <v>8</v>
      </c>
      <c r="E4927" s="2" t="str">
        <f>HYPERLINK("https://ibp.a2mac1.com/costing(costing:projects/details/8191/part/5389214)","Part 01 single/front")</f>
        <v>Part 01 single/front</v>
      </c>
      <c r="F4927" t="s">
        <v>5740</v>
      </c>
    </row>
    <row r="4928" spans="1:6" ht="12.75">
      <c r="A4928">
        <v>6975833</v>
      </c>
      <c r="B4928">
        <v>5389214</v>
      </c>
      <c r="C4928" t="s">
        <v>99</v>
      </c>
      <c r="D4928" t="s">
        <v>12</v>
      </c>
      <c r="E4928" s="2" t="str">
        <f>HYPERLINK("https://ibp.a2mac1.com/costing(costing:projects/details/8191/process/6975833)","Manufacturing Process")</f>
        <v>Manufacturing Process</v>
      </c>
      <c r="F4928" t="s">
        <v>5741</v>
      </c>
    </row>
    <row r="4929" spans="1:6" ht="12.75">
      <c r="A4929">
        <v>5320288</v>
      </c>
      <c r="B4929">
        <v>6975833</v>
      </c>
      <c r="C4929" t="s">
        <v>24</v>
      </c>
      <c r="D4929" t="s">
        <v>99</v>
      </c>
      <c r="E4929" s="2" t="str">
        <f>HYPERLINK("https://ibp.a2mac1.com/costing(costing:projects/details/8191/material/5320288)","Standard Structural Steel sheet")</f>
        <v>Standard Structural Steel sheet</v>
      </c>
      <c r="F4929" t="s">
        <v>5742</v>
      </c>
    </row>
    <row r="4930" spans="1:6" ht="12.75">
      <c r="A4930">
        <v>6948428</v>
      </c>
      <c r="B4930">
        <v>6975833</v>
      </c>
      <c r="C4930" t="s">
        <v>189</v>
      </c>
      <c r="D4930" t="s">
        <v>99</v>
      </c>
      <c r="E4930" s="2" t="str">
        <f>HYPERLINK("https://ibp.a2mac1.com/costing(costing:projects/details/8191/equipment/6948428)","Equipment (Stamping)")</f>
        <v>Equipment (Stamping)</v>
      </c>
      <c r="F4930" t="s">
        <v>5742</v>
      </c>
    </row>
    <row r="4931" spans="1:6" ht="12.75">
      <c r="A4931">
        <v>5388521</v>
      </c>
      <c r="B4931">
        <v>5388227</v>
      </c>
      <c r="C4931" t="s">
        <v>8</v>
      </c>
      <c r="D4931" t="s">
        <v>8</v>
      </c>
      <c r="E4931" s="2" t="str">
        <f>HYPERLINK("https://ibp.a2mac1.com/costing(costing:projects/details/8191/assembly/5388521)","Top roll assy ")</f>
        <v xml:space="preserve">Top roll assy </v>
      </c>
      <c r="F4931" t="s">
        <v>5708</v>
      </c>
    </row>
    <row r="4932" spans="1:6" ht="12.75">
      <c r="A4932">
        <v>5388847</v>
      </c>
      <c r="B4932">
        <v>5388521</v>
      </c>
      <c r="C4932" t="s">
        <v>8</v>
      </c>
      <c r="D4932" t="s">
        <v>8</v>
      </c>
      <c r="E4932" s="2" t="str">
        <f>HYPERLINK("https://ibp.a2mac1.com/costing(costing:projects/details/8191/assembly/5388847)","Cross member 01 (outer)")</f>
        <v>Cross member 01 (outer)</v>
      </c>
      <c r="F4932" t="s">
        <v>5743</v>
      </c>
    </row>
    <row r="4933" spans="1:6" ht="12.75">
      <c r="A4933">
        <v>5389215</v>
      </c>
      <c r="B4933">
        <v>5388847</v>
      </c>
      <c r="C4933" t="s">
        <v>8</v>
      </c>
      <c r="D4933" t="s">
        <v>8</v>
      </c>
      <c r="E4933" s="2" t="str">
        <f>HYPERLINK("https://ibp.a2mac1.com/costing(costing:projects/details/8191/assembly/5389215)","Cross member")</f>
        <v>Cross member</v>
      </c>
      <c r="F4933" t="s">
        <v>5744</v>
      </c>
    </row>
    <row r="4934" spans="1:6" ht="12.75">
      <c r="A4934">
        <v>5389428</v>
      </c>
      <c r="B4934">
        <v>5389215</v>
      </c>
      <c r="C4934" t="s">
        <v>12</v>
      </c>
      <c r="D4934" t="s">
        <v>8</v>
      </c>
      <c r="E4934" s="2" t="str">
        <f>HYPERLINK("https://ibp.a2mac1.com/costing(costing:projects/details/8191/part/5389428)","Part 01 single/main")</f>
        <v>Part 01 single/main</v>
      </c>
      <c r="F4934" t="s">
        <v>5745</v>
      </c>
    </row>
    <row r="4935" spans="1:6" ht="12.75">
      <c r="A4935">
        <v>6975895</v>
      </c>
      <c r="B4935">
        <v>5389428</v>
      </c>
      <c r="C4935" t="s">
        <v>99</v>
      </c>
      <c r="D4935" t="s">
        <v>12</v>
      </c>
      <c r="E4935" s="2" t="str">
        <f>HYPERLINK("https://ibp.a2mac1.com/costing(costing:projects/details/8191/process/6975895)","Manufacturing Process")</f>
        <v>Manufacturing Process</v>
      </c>
      <c r="F4935" t="s">
        <v>5746</v>
      </c>
    </row>
    <row r="4936" spans="1:6" ht="12.75">
      <c r="A4936">
        <v>5320359</v>
      </c>
      <c r="B4936">
        <v>6975895</v>
      </c>
      <c r="C4936" t="s">
        <v>24</v>
      </c>
      <c r="D4936" t="s">
        <v>99</v>
      </c>
      <c r="E4936" s="2" t="str">
        <f>HYPERLINK("https://ibp.a2mac1.com/costing(costing:projects/details/8191/material/5320359)","Standard Structural Steel sheet")</f>
        <v>Standard Structural Steel sheet</v>
      </c>
      <c r="F4936" t="s">
        <v>5747</v>
      </c>
    </row>
    <row r="4937" spans="1:6" ht="12.75">
      <c r="A4937">
        <v>6948514</v>
      </c>
      <c r="B4937">
        <v>6975895</v>
      </c>
      <c r="C4937" t="s">
        <v>189</v>
      </c>
      <c r="D4937" t="s">
        <v>99</v>
      </c>
      <c r="E4937" s="2" t="str">
        <f>HYPERLINK("https://ibp.a2mac1.com/costing(costing:projects/details/8191/equipment/6948514)","Equipment (Stamping)")</f>
        <v>Equipment (Stamping)</v>
      </c>
      <c r="F4937" t="s">
        <v>5747</v>
      </c>
    </row>
    <row r="4938" spans="1:6" ht="12.75">
      <c r="A4938">
        <v>5389429</v>
      </c>
      <c r="B4938">
        <v>5389215</v>
      </c>
      <c r="C4938" t="s">
        <v>12</v>
      </c>
      <c r="D4938" t="s">
        <v>8</v>
      </c>
      <c r="E4938" s="2" t="str">
        <f>HYPERLINK("https://ibp.a2mac1.com/costing(costing:projects/details/8191/part/5389429)","Part 02")</f>
        <v>Part 02</v>
      </c>
      <c r="F4938" t="s">
        <v>5745</v>
      </c>
    </row>
    <row r="4939" spans="1:6" ht="12.75">
      <c r="A4939">
        <v>6975896</v>
      </c>
      <c r="B4939">
        <v>5389429</v>
      </c>
      <c r="C4939" t="s">
        <v>99</v>
      </c>
      <c r="D4939" t="s">
        <v>12</v>
      </c>
      <c r="E4939" s="2" t="str">
        <f>HYPERLINK("https://ibp.a2mac1.com/costing(costing:projects/details/8191/process/6975896)","Manufacturing Process")</f>
        <v>Manufacturing Process</v>
      </c>
      <c r="F4939" t="s">
        <v>5748</v>
      </c>
    </row>
    <row r="4940" spans="1:6" ht="12.75">
      <c r="A4940">
        <v>5320360</v>
      </c>
      <c r="B4940">
        <v>6975896</v>
      </c>
      <c r="C4940" t="s">
        <v>24</v>
      </c>
      <c r="D4940" t="s">
        <v>99</v>
      </c>
      <c r="E4940" s="2" t="str">
        <f>HYPERLINK("https://ibp.a2mac1.com/costing(costing:projects/details/8191/material/5320360)","Standard Structural Steel sheet")</f>
        <v>Standard Structural Steel sheet</v>
      </c>
      <c r="F4940" t="s">
        <v>5749</v>
      </c>
    </row>
    <row r="4941" spans="1:6" ht="12.75">
      <c r="A4941">
        <v>6948515</v>
      </c>
      <c r="B4941">
        <v>6975896</v>
      </c>
      <c r="C4941" t="s">
        <v>189</v>
      </c>
      <c r="D4941" t="s">
        <v>99</v>
      </c>
      <c r="E4941" s="2" t="str">
        <f>HYPERLINK("https://ibp.a2mac1.com/costing(costing:projects/details/8191/equipment/6948515)","Equipment (Stamping)")</f>
        <v>Equipment (Stamping)</v>
      </c>
      <c r="F4941" t="s">
        <v>5749</v>
      </c>
    </row>
    <row r="4942" spans="1:6" ht="12.75">
      <c r="A4942">
        <v>5389216</v>
      </c>
      <c r="B4942">
        <v>5388847</v>
      </c>
      <c r="C4942" t="s">
        <v>8</v>
      </c>
      <c r="D4942" t="s">
        <v>8</v>
      </c>
      <c r="E4942" s="2" t="str">
        <f>HYPERLINK("https://ibp.a2mac1.com/costing(costing:projects/details/8191/assembly/5389216)","Fixing parts")</f>
        <v>Fixing parts</v>
      </c>
      <c r="F4942" t="s">
        <v>5744</v>
      </c>
    </row>
    <row r="4943" spans="1:6" ht="12.75">
      <c r="A4943">
        <v>5389430</v>
      </c>
      <c r="B4943">
        <v>5389216</v>
      </c>
      <c r="C4943" t="s">
        <v>12</v>
      </c>
      <c r="D4943" t="s">
        <v>8</v>
      </c>
      <c r="E4943" s="2" t="str">
        <f>HYPERLINK("https://ibp.a2mac1.com/costing(costing:projects/details/8191/part/5389430)","Part 01 single/main")</f>
        <v>Part 01 single/main</v>
      </c>
      <c r="F4943" t="s">
        <v>5750</v>
      </c>
    </row>
    <row r="4944" spans="1:6" ht="12.75">
      <c r="A4944">
        <v>6975897</v>
      </c>
      <c r="B4944">
        <v>5389430</v>
      </c>
      <c r="C4944" t="s">
        <v>99</v>
      </c>
      <c r="D4944" t="s">
        <v>12</v>
      </c>
      <c r="E4944" s="2" t="str">
        <f>HYPERLINK("https://ibp.a2mac1.com/costing(costing:projects/details/8191/process/6975897)","Manufacturing Process")</f>
        <v>Manufacturing Process</v>
      </c>
      <c r="F4944" t="s">
        <v>5751</v>
      </c>
    </row>
    <row r="4945" spans="1:6" ht="12.75">
      <c r="A4945">
        <v>5320361</v>
      </c>
      <c r="B4945">
        <v>6975897</v>
      </c>
      <c r="C4945" t="s">
        <v>24</v>
      </c>
      <c r="D4945" t="s">
        <v>99</v>
      </c>
      <c r="E4945" s="2" t="str">
        <f>HYPERLINK("https://ibp.a2mac1.com/costing(costing:projects/details/8191/material/5320361)","Standard Structural Steel sheet")</f>
        <v>Standard Structural Steel sheet</v>
      </c>
      <c r="F4945" t="s">
        <v>5752</v>
      </c>
    </row>
    <row r="4946" spans="1:6" ht="12.75">
      <c r="A4946">
        <v>6948516</v>
      </c>
      <c r="B4946">
        <v>6975897</v>
      </c>
      <c r="C4946" t="s">
        <v>189</v>
      </c>
      <c r="D4946" t="s">
        <v>99</v>
      </c>
      <c r="E4946" s="2" t="str">
        <f>HYPERLINK("https://ibp.a2mac1.com/costing(costing:projects/details/8191/equipment/6948516)","Equipment (Stamping)")</f>
        <v>Equipment (Stamping)</v>
      </c>
      <c r="F4946" t="s">
        <v>5752</v>
      </c>
    </row>
    <row r="4947" spans="1:6" ht="12.75">
      <c r="A4947">
        <v>5388848</v>
      </c>
      <c r="B4947">
        <v>5388521</v>
      </c>
      <c r="C4947" t="s">
        <v>8</v>
      </c>
      <c r="D4947" t="s">
        <v>8</v>
      </c>
      <c r="E4947" s="2" t="str">
        <f>HYPERLINK("https://ibp.a2mac1.com/costing(costing:projects/details/8191/assembly/5388848)","Cross member 02 (inner)")</f>
        <v>Cross member 02 (inner)</v>
      </c>
      <c r="F4947" t="s">
        <v>5743</v>
      </c>
    </row>
    <row r="4948" spans="1:6" ht="12.75">
      <c r="A4948">
        <v>5389217</v>
      </c>
      <c r="B4948">
        <v>5388848</v>
      </c>
      <c r="C4948" t="s">
        <v>8</v>
      </c>
      <c r="D4948" t="s">
        <v>8</v>
      </c>
      <c r="E4948" s="2" t="str">
        <f>HYPERLINK("https://ibp.a2mac1.com/costing(costing:projects/details/8191/assembly/5389217)","Cross member")</f>
        <v>Cross member</v>
      </c>
      <c r="F4948" t="s">
        <v>5753</v>
      </c>
    </row>
    <row r="4949" spans="1:6" ht="12.75">
      <c r="A4949">
        <v>5389431</v>
      </c>
      <c r="B4949">
        <v>5389217</v>
      </c>
      <c r="C4949" t="s">
        <v>12</v>
      </c>
      <c r="D4949" t="s">
        <v>8</v>
      </c>
      <c r="E4949" s="2" t="str">
        <f>HYPERLINK("https://ibp.a2mac1.com/costing(costing:projects/details/8191/part/5389431)","Part 01 single/main")</f>
        <v>Part 01 single/main</v>
      </c>
      <c r="F4949" t="s">
        <v>5754</v>
      </c>
    </row>
    <row r="4950" spans="1:6" ht="12.75">
      <c r="A4950">
        <v>6975898</v>
      </c>
      <c r="B4950">
        <v>5389431</v>
      </c>
      <c r="C4950" t="s">
        <v>99</v>
      </c>
      <c r="D4950" t="s">
        <v>12</v>
      </c>
      <c r="E4950" s="2" t="str">
        <f>HYPERLINK("https://ibp.a2mac1.com/costing(costing:projects/details/8191/process/6975898)","Manufacturing Process")</f>
        <v>Manufacturing Process</v>
      </c>
      <c r="F4950" t="s">
        <v>5755</v>
      </c>
    </row>
    <row r="4951" spans="1:6" ht="12.75">
      <c r="A4951">
        <v>5320362</v>
      </c>
      <c r="B4951">
        <v>6975898</v>
      </c>
      <c r="C4951" t="s">
        <v>24</v>
      </c>
      <c r="D4951" t="s">
        <v>99</v>
      </c>
      <c r="E4951" s="2" t="str">
        <f>HYPERLINK("https://ibp.a2mac1.com/costing(costing:projects/details/8191/material/5320362)","Standard Structural Steel sheet")</f>
        <v>Standard Structural Steel sheet</v>
      </c>
      <c r="F4951" t="s">
        <v>5756</v>
      </c>
    </row>
    <row r="4952" spans="1:6" ht="12.75">
      <c r="A4952">
        <v>6948517</v>
      </c>
      <c r="B4952">
        <v>6975898</v>
      </c>
      <c r="C4952" t="s">
        <v>189</v>
      </c>
      <c r="D4952" t="s">
        <v>99</v>
      </c>
      <c r="E4952" s="2" t="str">
        <f>HYPERLINK("https://ibp.a2mac1.com/costing(costing:projects/details/8191/equipment/6948517)","Equipment (Stamping)")</f>
        <v>Equipment (Stamping)</v>
      </c>
      <c r="F4952" t="s">
        <v>5756</v>
      </c>
    </row>
    <row r="4953" spans="1:6" ht="12.75">
      <c r="A4953">
        <v>5388522</v>
      </c>
      <c r="B4953">
        <v>5388227</v>
      </c>
      <c r="C4953" t="s">
        <v>8</v>
      </c>
      <c r="D4953" t="s">
        <v>8</v>
      </c>
      <c r="E4953" s="2" t="str">
        <f>HYPERLINK("https://ibp.a2mac1.com/costing(costing:projects/details/8191/assembly/5388522)","Outer panel")</f>
        <v>Outer panel</v>
      </c>
      <c r="F4953" t="s">
        <v>5708</v>
      </c>
    </row>
    <row r="4954" spans="1:6" ht="12.75">
      <c r="A4954">
        <v>5388849</v>
      </c>
      <c r="B4954">
        <v>5388522</v>
      </c>
      <c r="C4954" t="s">
        <v>8</v>
      </c>
      <c r="D4954" t="s">
        <v>8</v>
      </c>
      <c r="E4954" s="2" t="str">
        <f>HYPERLINK("https://ibp.a2mac1.com/costing(costing:projects/details/8191/assembly/5388849)","Panel")</f>
        <v>Panel</v>
      </c>
      <c r="F4954" t="s">
        <v>5757</v>
      </c>
    </row>
    <row r="4955" spans="1:6" ht="12.75">
      <c r="A4955">
        <v>5389218</v>
      </c>
      <c r="B4955">
        <v>5388849</v>
      </c>
      <c r="C4955" t="s">
        <v>12</v>
      </c>
      <c r="D4955" t="s">
        <v>8</v>
      </c>
      <c r="E4955" s="2" t="str">
        <f>HYPERLINK("https://ibp.a2mac1.com/costing(costing:projects/details/8191/part/5389218)","Part 01 single/main")</f>
        <v>Part 01 single/main</v>
      </c>
      <c r="F4955" t="s">
        <v>5758</v>
      </c>
    </row>
    <row r="4956" spans="1:6" ht="12.75">
      <c r="A4956">
        <v>6975834</v>
      </c>
      <c r="B4956">
        <v>5389218</v>
      </c>
      <c r="C4956" t="s">
        <v>99</v>
      </c>
      <c r="D4956" t="s">
        <v>12</v>
      </c>
      <c r="E4956" s="2" t="str">
        <f>HYPERLINK("https://ibp.a2mac1.com/costing(costing:projects/details/8191/process/6975834)","Manufacturing Process")</f>
        <v>Manufacturing Process</v>
      </c>
      <c r="F4956" t="s">
        <v>5759</v>
      </c>
    </row>
    <row r="4957" spans="1:6" ht="12.75">
      <c r="A4957">
        <v>5320289</v>
      </c>
      <c r="B4957">
        <v>6975834</v>
      </c>
      <c r="C4957" t="s">
        <v>24</v>
      </c>
      <c r="D4957" t="s">
        <v>99</v>
      </c>
      <c r="E4957" s="2" t="str">
        <f>HYPERLINK("https://ibp.a2mac1.com/costing(costing:projects/details/8191/material/5320289)","Standard Structural Steel sheet")</f>
        <v>Standard Structural Steel sheet</v>
      </c>
      <c r="F4957" t="s">
        <v>5760</v>
      </c>
    </row>
    <row r="4958" spans="1:6" ht="12.75">
      <c r="A4958">
        <v>6948429</v>
      </c>
      <c r="B4958">
        <v>6975834</v>
      </c>
      <c r="C4958" t="s">
        <v>189</v>
      </c>
      <c r="D4958" t="s">
        <v>99</v>
      </c>
      <c r="E4958" s="2" t="str">
        <f>HYPERLINK("https://ibp.a2mac1.com/costing(costing:projects/details/8191/equipment/6948429)","Equipment (Stamping)")</f>
        <v>Equipment (Stamping)</v>
      </c>
      <c r="F4958" t="s">
        <v>5760</v>
      </c>
    </row>
    <row r="4959" spans="1:6" ht="12.75">
      <c r="A4959">
        <v>6975301</v>
      </c>
      <c r="B4959">
        <v>5388227</v>
      </c>
      <c r="C4959" t="s">
        <v>99</v>
      </c>
      <c r="D4959" t="s">
        <v>8</v>
      </c>
      <c r="E4959" s="2" t="str">
        <f>HYPERLINK("https://ibp.a2mac1.com/costing(costing:projects/details/8191/process/6975301)","Assembly")</f>
        <v>Assembly</v>
      </c>
      <c r="F4959" t="s">
        <v>5708</v>
      </c>
    </row>
    <row r="4960" spans="1:6" ht="12.75">
      <c r="A4960">
        <v>6947858</v>
      </c>
      <c r="B4960">
        <v>6975301</v>
      </c>
      <c r="C4960" t="s">
        <v>189</v>
      </c>
      <c r="D4960" t="s">
        <v>99</v>
      </c>
      <c r="E4960" s="2" t="str">
        <f>HYPERLINK("https://ibp.a2mac1.com/costing(costing:projects/details/8191/equipment/6947858)","Assembly line")</f>
        <v>Assembly line</v>
      </c>
      <c r="F4960" t="s">
        <v>5761</v>
      </c>
    </row>
    <row r="4961" spans="1:6" ht="12.75">
      <c r="A4961">
        <v>5388229</v>
      </c>
      <c r="B4961">
        <v>5388138</v>
      </c>
      <c r="C4961" t="s">
        <v>8</v>
      </c>
      <c r="D4961" t="s">
        <v>8</v>
      </c>
      <c r="E4961" s="2" t="str">
        <f>HYPERLINK("https://ibp.a2mac1.com/costing(costing:projects/details/8191/assembly/5388229)","Door Panel")</f>
        <v>Door Panel</v>
      </c>
      <c r="F4961" t="s">
        <v>5707</v>
      </c>
    </row>
    <row r="4962" spans="1:6" ht="12.75">
      <c r="A4962">
        <v>5388528</v>
      </c>
      <c r="B4962">
        <v>5388229</v>
      </c>
      <c r="C4962" t="s">
        <v>8</v>
      </c>
      <c r="D4962" t="s">
        <v>8</v>
      </c>
      <c r="E4962" s="2" t="str">
        <f>HYPERLINK("https://ibp.a2mac1.com/costing(costing:projects/details/8191/assembly/5388528)","Door handle")</f>
        <v>Door handle</v>
      </c>
      <c r="F4962" t="s">
        <v>5763</v>
      </c>
    </row>
    <row r="4963" spans="1:6" ht="12.75">
      <c r="A4963">
        <v>5388850</v>
      </c>
      <c r="B4963">
        <v>5388528</v>
      </c>
      <c r="C4963" t="s">
        <v>12</v>
      </c>
      <c r="D4963" t="s">
        <v>8</v>
      </c>
      <c r="E4963" s="2" t="str">
        <f>HYPERLINK("https://ibp.a2mac1.com/costing(costing:projects/details/8191/part/5388850)","Handle Support")</f>
        <v>Handle Support</v>
      </c>
      <c r="F4963" t="s">
        <v>5764</v>
      </c>
    </row>
    <row r="4964" spans="1:6" ht="12.75">
      <c r="A4964">
        <v>6975688</v>
      </c>
      <c r="B4964">
        <v>5388850</v>
      </c>
      <c r="C4964" t="s">
        <v>99</v>
      </c>
      <c r="D4964" t="s">
        <v>12</v>
      </c>
      <c r="E4964" s="2" t="str">
        <f>HYPERLINK("https://ibp.a2mac1.com/costing(costing:projects/details/8191/process/6975688)","Automated Process")</f>
        <v>Automated Process</v>
      </c>
      <c r="F4964" t="s">
        <v>5765</v>
      </c>
    </row>
    <row r="4965" spans="1:6" ht="12.75">
      <c r="A4965">
        <v>5320108</v>
      </c>
      <c r="B4965">
        <v>6975688</v>
      </c>
      <c r="C4965" t="s">
        <v>24</v>
      </c>
      <c r="D4965" t="s">
        <v>99</v>
      </c>
      <c r="E4965" s="2" t="str">
        <f>HYPERLINK("https://ibp.a2mac1.com/costing(costing:projects/details/8191/material/5320108)","ABS")</f>
        <v>ABS</v>
      </c>
      <c r="F4965" t="s">
        <v>5766</v>
      </c>
    </row>
    <row r="4966" spans="1:6" ht="12.75">
      <c r="A4966">
        <v>6948290</v>
      </c>
      <c r="B4966">
        <v>6975688</v>
      </c>
      <c r="C4966" t="s">
        <v>189</v>
      </c>
      <c r="D4966" t="s">
        <v>99</v>
      </c>
      <c r="E4966" s="2" t="str">
        <f>HYPERLINK("https://ibp.a2mac1.com/costing(costing:projects/details/8191/equipment/6948290)","Equipment (Injection Molding)")</f>
        <v>Equipment (Injection Molding)</v>
      </c>
      <c r="F4966" t="s">
        <v>5766</v>
      </c>
    </row>
    <row r="4967" spans="1:6" ht="12.75">
      <c r="A4967">
        <v>5388851</v>
      </c>
      <c r="B4967">
        <v>5388528</v>
      </c>
      <c r="C4967" t="s">
        <v>12</v>
      </c>
      <c r="D4967" t="s">
        <v>8</v>
      </c>
      <c r="E4967" s="2" t="str">
        <f>HYPERLINK("https://ibp.a2mac1.com/costing(costing:projects/details/8191/part/5388851)","2nd Handle Support")</f>
        <v>2nd Handle Support</v>
      </c>
      <c r="F4967" t="s">
        <v>5764</v>
      </c>
    </row>
    <row r="4968" spans="1:6" ht="12.75">
      <c r="A4968">
        <v>6975689</v>
      </c>
      <c r="B4968">
        <v>5388851</v>
      </c>
      <c r="C4968" t="s">
        <v>99</v>
      </c>
      <c r="D4968" t="s">
        <v>12</v>
      </c>
      <c r="E4968" s="2" t="str">
        <f>HYPERLINK("https://ibp.a2mac1.com/costing(costing:projects/details/8191/process/6975689)","Automated Process")</f>
        <v>Automated Process</v>
      </c>
      <c r="F4968" t="s">
        <v>5767</v>
      </c>
    </row>
    <row r="4969" spans="1:6" ht="12.75">
      <c r="A4969">
        <v>5320109</v>
      </c>
      <c r="B4969">
        <v>6975689</v>
      </c>
      <c r="C4969" t="s">
        <v>24</v>
      </c>
      <c r="D4969" t="s">
        <v>99</v>
      </c>
      <c r="E4969" s="2" t="str">
        <f>HYPERLINK("https://ibp.a2mac1.com/costing(costing:projects/details/8191/material/5320109)","ABS")</f>
        <v>ABS</v>
      </c>
      <c r="F4969" t="s">
        <v>5768</v>
      </c>
    </row>
    <row r="4970" spans="1:6" ht="12.75">
      <c r="A4970">
        <v>6948291</v>
      </c>
      <c r="B4970">
        <v>6975689</v>
      </c>
      <c r="C4970" t="s">
        <v>189</v>
      </c>
      <c r="D4970" t="s">
        <v>99</v>
      </c>
      <c r="E4970" s="2" t="str">
        <f>HYPERLINK("https://ibp.a2mac1.com/costing(costing:projects/details/8191/equipment/6948291)","Equipment (Injection Molding)")</f>
        <v>Equipment (Injection Molding)</v>
      </c>
      <c r="F4970" t="s">
        <v>5768</v>
      </c>
    </row>
    <row r="4971" spans="1:6" ht="12.75">
      <c r="A4971">
        <v>5319614</v>
      </c>
      <c r="B4971">
        <v>5388528</v>
      </c>
      <c r="C4971" t="s">
        <v>574</v>
      </c>
      <c r="D4971" t="s">
        <v>8</v>
      </c>
      <c r="E4971" s="2" t="str">
        <f>HYPERLINK("https://ibp.a2mac1.com/costing(costing:projects/details/8191/component/5319614)","Screw &gt; Torx socket head cap screw")</f>
        <v>Screw &gt; Torx socket head cap screw</v>
      </c>
      <c r="F4971" t="s">
        <v>5764</v>
      </c>
    </row>
    <row r="4972" spans="1:6" ht="12.75">
      <c r="A4972">
        <v>5388523</v>
      </c>
      <c r="B4972">
        <v>5388229</v>
      </c>
      <c r="C4972" t="s">
        <v>12</v>
      </c>
      <c r="D4972" t="s">
        <v>8</v>
      </c>
      <c r="E4972" s="2" t="str">
        <f>HYPERLINK("https://ibp.a2mac1.com/costing(costing:projects/details/8191/part/5388523)","Panel carrier")</f>
        <v>Panel carrier</v>
      </c>
      <c r="F4972" t="s">
        <v>5763</v>
      </c>
    </row>
    <row r="4973" spans="1:6" ht="12.75">
      <c r="A4973">
        <v>6975463</v>
      </c>
      <c r="B4973">
        <v>5388523</v>
      </c>
      <c r="C4973" t="s">
        <v>99</v>
      </c>
      <c r="D4973" t="s">
        <v>12</v>
      </c>
      <c r="E4973" s="2" t="str">
        <f>HYPERLINK("https://ibp.a2mac1.com/costing(costing:projects/details/8191/process/6975463)","Automated Process")</f>
        <v>Automated Process</v>
      </c>
      <c r="F4973" t="s">
        <v>5769</v>
      </c>
    </row>
    <row r="4974" spans="1:6" ht="12.75">
      <c r="A4974">
        <v>5319871</v>
      </c>
      <c r="B4974">
        <v>6975463</v>
      </c>
      <c r="C4974" t="s">
        <v>24</v>
      </c>
      <c r="D4974" t="s">
        <v>99</v>
      </c>
      <c r="E4974" s="2" t="str">
        <f>HYPERLINK("https://ibp.a2mac1.com/costing(costing:projects/details/8191/material/5319871)","PP")</f>
        <v>PP</v>
      </c>
      <c r="F4974" t="s">
        <v>5770</v>
      </c>
    </row>
    <row r="4975" spans="1:6" ht="12.75">
      <c r="A4975">
        <v>6948047</v>
      </c>
      <c r="B4975">
        <v>6975463</v>
      </c>
      <c r="C4975" t="s">
        <v>189</v>
      </c>
      <c r="D4975" t="s">
        <v>99</v>
      </c>
      <c r="E4975" s="2" t="str">
        <f>HYPERLINK("https://ibp.a2mac1.com/costing(costing:projects/details/8191/equipment/6948047)","Equipment (Injection Molding)")</f>
        <v>Equipment (Injection Molding)</v>
      </c>
      <c r="F4975" t="s">
        <v>5770</v>
      </c>
    </row>
    <row r="4976" spans="1:6" ht="12.75">
      <c r="A4976">
        <v>5388524</v>
      </c>
      <c r="B4976">
        <v>5388229</v>
      </c>
      <c r="C4976" t="s">
        <v>12</v>
      </c>
      <c r="D4976" t="s">
        <v>8</v>
      </c>
      <c r="E4976" s="2" t="str">
        <f>HYPERLINK("https://ibp.a2mac1.com/costing(costing:projects/details/8191/part/5388524)","Armrest")</f>
        <v>Armrest</v>
      </c>
      <c r="F4976" t="s">
        <v>5763</v>
      </c>
    </row>
    <row r="4977" spans="1:6" ht="12.75">
      <c r="A4977">
        <v>6975464</v>
      </c>
      <c r="B4977">
        <v>5388524</v>
      </c>
      <c r="C4977" t="s">
        <v>99</v>
      </c>
      <c r="D4977" t="s">
        <v>12</v>
      </c>
      <c r="E4977" s="2" t="str">
        <f>HYPERLINK("https://ibp.a2mac1.com/costing(costing:projects/details/8191/process/6975464)","Automated Process")</f>
        <v>Automated Process</v>
      </c>
      <c r="F4977" t="s">
        <v>5772</v>
      </c>
    </row>
    <row r="4978" spans="1:6" ht="12.75">
      <c r="A4978">
        <v>5319872</v>
      </c>
      <c r="B4978">
        <v>6975464</v>
      </c>
      <c r="C4978" t="s">
        <v>24</v>
      </c>
      <c r="D4978" t="s">
        <v>99</v>
      </c>
      <c r="E4978" s="2" t="str">
        <f>HYPERLINK("https://ibp.a2mac1.com/costing(costing:projects/details/8191/material/5319872)","PVC")</f>
        <v>PVC</v>
      </c>
      <c r="F4978" t="s">
        <v>5773</v>
      </c>
    </row>
    <row r="4979" spans="1:6" ht="12.75">
      <c r="A4979">
        <v>5319873</v>
      </c>
      <c r="B4979">
        <v>6975464</v>
      </c>
      <c r="C4979" t="s">
        <v>24</v>
      </c>
      <c r="D4979" t="s">
        <v>99</v>
      </c>
      <c r="E4979" s="2" t="str">
        <f>HYPERLINK("https://ibp.a2mac1.com/costing(costing:projects/details/8191/material/5319873)","PP")</f>
        <v>PP</v>
      </c>
      <c r="F4979" t="s">
        <v>5773</v>
      </c>
    </row>
    <row r="4980" spans="1:6" ht="12.75">
      <c r="A4980">
        <v>6948048</v>
      </c>
      <c r="B4980">
        <v>6975464</v>
      </c>
      <c r="C4980" t="s">
        <v>189</v>
      </c>
      <c r="D4980" t="s">
        <v>99</v>
      </c>
      <c r="E4980" s="2" t="str">
        <f>HYPERLINK("https://ibp.a2mac1.com/costing(costing:projects/details/8191/equipment/6948048)","DC machine - General")</f>
        <v>DC machine - General</v>
      </c>
      <c r="F4980" t="s">
        <v>5773</v>
      </c>
    </row>
    <row r="4981" spans="1:6" ht="12.75">
      <c r="A4981">
        <v>5388525</v>
      </c>
      <c r="B4981">
        <v>5388229</v>
      </c>
      <c r="C4981" t="s">
        <v>12</v>
      </c>
      <c r="D4981" t="s">
        <v>8</v>
      </c>
      <c r="E4981" s="2" t="str">
        <f>HYPERLINK("https://ibp.a2mac1.com/costing(costing:projects/details/8191/part/5388525)","Upper Band")</f>
        <v>Upper Band</v>
      </c>
      <c r="F4981" t="s">
        <v>5763</v>
      </c>
    </row>
    <row r="4982" spans="1:6" ht="12.75">
      <c r="A4982">
        <v>6975465</v>
      </c>
      <c r="B4982">
        <v>5388525</v>
      </c>
      <c r="C4982" t="s">
        <v>99</v>
      </c>
      <c r="D4982" t="s">
        <v>12</v>
      </c>
      <c r="E4982" s="2" t="str">
        <f>HYPERLINK("https://ibp.a2mac1.com/costing(costing:projects/details/8191/process/6975465)","Automated Process")</f>
        <v>Automated Process</v>
      </c>
      <c r="F4982" t="s">
        <v>5774</v>
      </c>
    </row>
    <row r="4983" spans="1:6" ht="12.75">
      <c r="A4983">
        <v>5319874</v>
      </c>
      <c r="B4983">
        <v>6975465</v>
      </c>
      <c r="C4983" t="s">
        <v>24</v>
      </c>
      <c r="D4983" t="s">
        <v>99</v>
      </c>
      <c r="E4983" s="2" t="str">
        <f>HYPERLINK("https://ibp.a2mac1.com/costing(costing:projects/details/8191/material/5319874)","ABS")</f>
        <v>ABS</v>
      </c>
      <c r="F4983" t="s">
        <v>5775</v>
      </c>
    </row>
    <row r="4984" spans="1:6" ht="12.75">
      <c r="A4984">
        <v>5319875</v>
      </c>
      <c r="B4984">
        <v>6975465</v>
      </c>
      <c r="C4984" t="s">
        <v>24</v>
      </c>
      <c r="D4984" t="s">
        <v>99</v>
      </c>
      <c r="E4984" s="2" t="str">
        <f>HYPERLINK("https://ibp.a2mac1.com/costing(costing:projects/details/8191/material/5319875)","PVC")</f>
        <v>PVC</v>
      </c>
      <c r="F4984" t="s">
        <v>5775</v>
      </c>
    </row>
    <row r="4985" spans="1:6" ht="12.75">
      <c r="A4985">
        <v>6948049</v>
      </c>
      <c r="B4985">
        <v>6975465</v>
      </c>
      <c r="C4985" t="s">
        <v>189</v>
      </c>
      <c r="D4985" t="s">
        <v>99</v>
      </c>
      <c r="E4985" s="2" t="str">
        <f>HYPERLINK("https://ibp.a2mac1.com/costing(costing:projects/details/8191/equipment/6948049)","DC machine - General")</f>
        <v>DC machine - General</v>
      </c>
      <c r="F4985" t="s">
        <v>5775</v>
      </c>
    </row>
    <row r="4986" spans="1:6" ht="12.75">
      <c r="A4986">
        <v>5388526</v>
      </c>
      <c r="B4986">
        <v>5388229</v>
      </c>
      <c r="C4986" t="s">
        <v>12</v>
      </c>
      <c r="D4986" t="s">
        <v>8</v>
      </c>
      <c r="E4986" s="2" t="str">
        <f>HYPERLINK("https://ibp.a2mac1.com/costing(costing:projects/details/8191/part/5388526)","Door Map Pocket Bottom")</f>
        <v>Door Map Pocket Bottom</v>
      </c>
      <c r="F4986" t="s">
        <v>5763</v>
      </c>
    </row>
    <row r="4987" spans="1:6" ht="12.75">
      <c r="A4987">
        <v>6975466</v>
      </c>
      <c r="B4987">
        <v>5388526</v>
      </c>
      <c r="C4987" t="s">
        <v>99</v>
      </c>
      <c r="D4987" t="s">
        <v>12</v>
      </c>
      <c r="E4987" s="2" t="str">
        <f>HYPERLINK("https://ibp.a2mac1.com/costing(costing:projects/details/8191/process/6975466)","Automated Process")</f>
        <v>Automated Process</v>
      </c>
      <c r="F4987" t="s">
        <v>5776</v>
      </c>
    </row>
    <row r="4988" spans="1:6" ht="12.75">
      <c r="A4988">
        <v>5319876</v>
      </c>
      <c r="B4988">
        <v>6975466</v>
      </c>
      <c r="C4988" t="s">
        <v>24</v>
      </c>
      <c r="D4988" t="s">
        <v>99</v>
      </c>
      <c r="E4988" s="2" t="str">
        <f>HYPERLINK("https://ibp.a2mac1.com/costing(costing:projects/details/8191/material/5319876)","PP")</f>
        <v>PP</v>
      </c>
      <c r="F4988" t="s">
        <v>5777</v>
      </c>
    </row>
    <row r="4989" spans="1:6" ht="12.75">
      <c r="A4989">
        <v>6948050</v>
      </c>
      <c r="B4989">
        <v>6975466</v>
      </c>
      <c r="C4989" t="s">
        <v>189</v>
      </c>
      <c r="D4989" t="s">
        <v>99</v>
      </c>
      <c r="E4989" s="2" t="str">
        <f>HYPERLINK("https://ibp.a2mac1.com/costing(costing:projects/details/8191/equipment/6948050)","Equipment (Injection Molding)")</f>
        <v>Equipment (Injection Molding)</v>
      </c>
      <c r="F4989" t="s">
        <v>5777</v>
      </c>
    </row>
    <row r="4990" spans="1:6" ht="12.75">
      <c r="A4990">
        <v>5388527</v>
      </c>
      <c r="B4990">
        <v>5388229</v>
      </c>
      <c r="C4990" t="s">
        <v>12</v>
      </c>
      <c r="D4990" t="s">
        <v>8</v>
      </c>
      <c r="E4990" s="2" t="str">
        <f>HYPERLINK("https://ibp.a2mac1.com/costing(costing:projects/details/8191/part/5388527)","Locking Indicator Trim")</f>
        <v>Locking Indicator Trim</v>
      </c>
      <c r="F4990" t="s">
        <v>5763</v>
      </c>
    </row>
    <row r="4991" spans="1:6" ht="12.75">
      <c r="A4991">
        <v>6975467</v>
      </c>
      <c r="B4991">
        <v>5388527</v>
      </c>
      <c r="C4991" t="s">
        <v>99</v>
      </c>
      <c r="D4991" t="s">
        <v>12</v>
      </c>
      <c r="E4991" s="2" t="str">
        <f>HYPERLINK("https://ibp.a2mac1.com/costing(costing:projects/details/8191/process/6975467)","Automated Process")</f>
        <v>Automated Process</v>
      </c>
      <c r="F4991" t="s">
        <v>5778</v>
      </c>
    </row>
    <row r="4992" spans="1:6" ht="12.75">
      <c r="A4992">
        <v>5319877</v>
      </c>
      <c r="B4992">
        <v>6975467</v>
      </c>
      <c r="C4992" t="s">
        <v>24</v>
      </c>
      <c r="D4992" t="s">
        <v>99</v>
      </c>
      <c r="E4992" s="2" t="str">
        <f>HYPERLINK("https://ibp.a2mac1.com/costing(costing:projects/details/8191/material/5319877)","ABS")</f>
        <v>ABS</v>
      </c>
      <c r="F4992" t="s">
        <v>5779</v>
      </c>
    </row>
    <row r="4993" spans="1:6" ht="12.75">
      <c r="A4993">
        <v>6948051</v>
      </c>
      <c r="B4993">
        <v>6975467</v>
      </c>
      <c r="C4993" t="s">
        <v>189</v>
      </c>
      <c r="D4993" t="s">
        <v>99</v>
      </c>
      <c r="E4993" s="2" t="str">
        <f>HYPERLINK("https://ibp.a2mac1.com/costing(costing:projects/details/8191/equipment/6948051)","Equipment (Injection Molding)")</f>
        <v>Equipment (Injection Molding)</v>
      </c>
      <c r="F4993" t="s">
        <v>5779</v>
      </c>
    </row>
    <row r="4994" spans="1:6" ht="12.75">
      <c r="A4994">
        <v>5319474</v>
      </c>
      <c r="B4994">
        <v>5388229</v>
      </c>
      <c r="C4994" t="s">
        <v>574</v>
      </c>
      <c r="D4994" t="s">
        <v>8</v>
      </c>
      <c r="E4994" s="2" t="str">
        <f>HYPERLINK("https://ibp.a2mac1.com/costing(costing:projects/details/8191/component/5319474)","Panel holder &gt; Clips in round hole")</f>
        <v>Panel holder &gt; Clips in round hole</v>
      </c>
      <c r="F4994" t="s">
        <v>5763</v>
      </c>
    </row>
    <row r="4995" spans="1:6" ht="12.75">
      <c r="A4995">
        <v>5319475</v>
      </c>
      <c r="B4995">
        <v>5388229</v>
      </c>
      <c r="C4995" t="s">
        <v>574</v>
      </c>
      <c r="D4995" t="s">
        <v>8</v>
      </c>
      <c r="E4995" s="2" t="str">
        <f>HYPERLINK("https://ibp.a2mac1.com/costing(costing:projects/details/8191/component/5319475)","Other fastener &gt; Snap Tooling")</f>
        <v>Other fastener &gt; Snap Tooling</v>
      </c>
      <c r="F4995" t="s">
        <v>5763</v>
      </c>
    </row>
    <row r="4996" spans="1:6" ht="12.75">
      <c r="A4996">
        <v>5319476</v>
      </c>
      <c r="B4996">
        <v>5388229</v>
      </c>
      <c r="C4996" t="s">
        <v>574</v>
      </c>
      <c r="D4996" t="s">
        <v>8</v>
      </c>
      <c r="E4996" s="2" t="str">
        <f>HYPERLINK("https://ibp.a2mac1.com/costing(costing:projects/details/8191/component/5319476)","Other fastener &gt; Snap Tooling")</f>
        <v>Other fastener &gt; Snap Tooling</v>
      </c>
      <c r="F4996" t="s">
        <v>5763</v>
      </c>
    </row>
    <row r="4997" spans="1:6" ht="12.75">
      <c r="A4997">
        <v>5319477</v>
      </c>
      <c r="B4997">
        <v>5388229</v>
      </c>
      <c r="C4997" t="s">
        <v>574</v>
      </c>
      <c r="D4997" t="s">
        <v>8</v>
      </c>
      <c r="E4997" s="2" t="str">
        <f>HYPERLINK("https://ibp.a2mac1.com/costing(costing:projects/details/8191/component/5319477)","Other fastener &gt; Snap Tooling")</f>
        <v>Other fastener &gt; Snap Tooling</v>
      </c>
      <c r="F4997" t="s">
        <v>5763</v>
      </c>
    </row>
    <row r="4998" spans="1:6" ht="12.75">
      <c r="A4998">
        <v>5388230</v>
      </c>
      <c r="B4998">
        <v>5388138</v>
      </c>
      <c r="C4998" t="s">
        <v>8</v>
      </c>
      <c r="D4998" t="s">
        <v>8</v>
      </c>
      <c r="E4998" s="2" t="str">
        <f>HYPERLINK("https://ibp.a2mac1.com/costing(costing:projects/details/8191/assembly/5388230)","Door Mechanism")</f>
        <v>Door Mechanism</v>
      </c>
      <c r="F4998" t="s">
        <v>5707</v>
      </c>
    </row>
    <row r="4999" spans="1:6" ht="12.75">
      <c r="A4999">
        <v>5388535</v>
      </c>
      <c r="B4999">
        <v>5388230</v>
      </c>
      <c r="C4999" t="s">
        <v>8</v>
      </c>
      <c r="D4999" t="s">
        <v>8</v>
      </c>
      <c r="E4999" s="2" t="str">
        <f>HYPERLINK("https://ibp.a2mac1.com/costing(costing:projects/details/8191/assembly/5388535)","Interior Side")</f>
        <v>Interior Side</v>
      </c>
      <c r="F4999" t="s">
        <v>5781</v>
      </c>
    </row>
    <row r="5000" spans="1:6" ht="12.75">
      <c r="A5000">
        <v>5388854</v>
      </c>
      <c r="B5000">
        <v>5388535</v>
      </c>
      <c r="C5000" t="s">
        <v>8</v>
      </c>
      <c r="D5000" t="s">
        <v>8</v>
      </c>
      <c r="E5000" s="2" t="str">
        <f>HYPERLINK("https://ibp.a2mac1.com/costing(costing:projects/details/8191/assembly/5388854)","Fastners")</f>
        <v>Fastners</v>
      </c>
      <c r="F5000" t="s">
        <v>5782</v>
      </c>
    </row>
    <row r="5001" spans="1:6" ht="12.75">
      <c r="A5001">
        <v>5319883</v>
      </c>
      <c r="B5001">
        <v>5388854</v>
      </c>
      <c r="C5001" t="s">
        <v>574</v>
      </c>
      <c r="D5001" t="s">
        <v>8</v>
      </c>
      <c r="E5001" s="2" t="str">
        <f>HYPERLINK("https://ibp.a2mac1.com/costing(costing:projects/details/8191/component/5319883)","Pin clip &gt; Dowel pin")</f>
        <v>Pin clip &gt; Dowel pin</v>
      </c>
      <c r="F5001" t="s">
        <v>5783</v>
      </c>
    </row>
    <row r="5002" spans="1:6" ht="12.75">
      <c r="A5002">
        <v>5319884</v>
      </c>
      <c r="B5002">
        <v>5388854</v>
      </c>
      <c r="C5002" t="s">
        <v>574</v>
      </c>
      <c r="D5002" t="s">
        <v>8</v>
      </c>
      <c r="E5002" s="2" t="str">
        <f>HYPERLINK("https://ibp.a2mac1.com/costing(costing:projects/details/8191/component/5319884)","Other fastener &gt; Snap Tooling")</f>
        <v>Other fastener &gt; Snap Tooling</v>
      </c>
      <c r="F5002" t="s">
        <v>5783</v>
      </c>
    </row>
    <row r="5003" spans="1:6" ht="12.75">
      <c r="A5003">
        <v>5388852</v>
      </c>
      <c r="B5003">
        <v>5388535</v>
      </c>
      <c r="C5003" t="s">
        <v>12</v>
      </c>
      <c r="D5003" t="s">
        <v>8</v>
      </c>
      <c r="E5003" s="2" t="str">
        <f>HYPERLINK("https://ibp.a2mac1.com/costing(costing:projects/details/8191/part/5388852)","Opening Control")</f>
        <v>Opening Control</v>
      </c>
      <c r="F5003" t="s">
        <v>5782</v>
      </c>
    </row>
    <row r="5004" spans="1:6" ht="12.75">
      <c r="A5004">
        <v>6975690</v>
      </c>
      <c r="B5004">
        <v>5388852</v>
      </c>
      <c r="C5004" t="s">
        <v>99</v>
      </c>
      <c r="D5004" t="s">
        <v>12</v>
      </c>
      <c r="E5004" s="2" t="str">
        <f>HYPERLINK("https://ibp.a2mac1.com/costing(costing:projects/details/8191/process/6975690)","Injection molding")</f>
        <v>Injection molding</v>
      </c>
      <c r="F5004" t="s">
        <v>5784</v>
      </c>
    </row>
    <row r="5005" spans="1:6" ht="12.75">
      <c r="A5005">
        <v>5320110</v>
      </c>
      <c r="B5005">
        <v>6975690</v>
      </c>
      <c r="C5005" t="s">
        <v>24</v>
      </c>
      <c r="D5005" t="s">
        <v>99</v>
      </c>
      <c r="E5005" s="2" t="str">
        <f>HYPERLINK("https://ibp.a2mac1.com/costing(costing:projects/details/8191/material/5320110)","PC-ABS")</f>
        <v>PC-ABS</v>
      </c>
      <c r="F5005" t="s">
        <v>5785</v>
      </c>
    </row>
    <row r="5006" spans="1:6" ht="12.75">
      <c r="A5006">
        <v>6948292</v>
      </c>
      <c r="B5006">
        <v>6975690</v>
      </c>
      <c r="C5006" t="s">
        <v>189</v>
      </c>
      <c r="D5006" t="s">
        <v>99</v>
      </c>
      <c r="E5006" s="2" t="str">
        <f>HYPERLINK("https://ibp.a2mac1.com/costing(costing:projects/details/8191/equipment/6948292)","Equipment (Injection Molding)")</f>
        <v>Equipment (Injection Molding)</v>
      </c>
      <c r="F5006" t="s">
        <v>5785</v>
      </c>
    </row>
    <row r="5007" spans="1:6" ht="12.75">
      <c r="A5007">
        <v>5388853</v>
      </c>
      <c r="B5007">
        <v>5388535</v>
      </c>
      <c r="C5007" t="s">
        <v>12</v>
      </c>
      <c r="D5007" t="s">
        <v>8</v>
      </c>
      <c r="E5007" s="2" t="str">
        <f>HYPERLINK("https://ibp.a2mac1.com/costing(costing:projects/details/8191/part/5388853)","Opening Control Support")</f>
        <v>Opening Control Support</v>
      </c>
      <c r="F5007" t="s">
        <v>5782</v>
      </c>
    </row>
    <row r="5008" spans="1:6" ht="12.75">
      <c r="A5008">
        <v>6975692</v>
      </c>
      <c r="B5008">
        <v>5388853</v>
      </c>
      <c r="C5008" t="s">
        <v>99</v>
      </c>
      <c r="D5008" t="s">
        <v>12</v>
      </c>
      <c r="E5008" s="2" t="str">
        <f>HYPERLINK("https://ibp.a2mac1.com/costing(costing:projects/details/8191/process/6975692)","Injection molding")</f>
        <v>Injection molding</v>
      </c>
      <c r="F5008" t="s">
        <v>5786</v>
      </c>
    </row>
    <row r="5009" spans="1:6" ht="12.75">
      <c r="A5009">
        <v>5320111</v>
      </c>
      <c r="B5009">
        <v>6975692</v>
      </c>
      <c r="C5009" t="s">
        <v>24</v>
      </c>
      <c r="D5009" t="s">
        <v>99</v>
      </c>
      <c r="E5009" s="2" t="str">
        <f>HYPERLINK("https://ibp.a2mac1.com/costing(costing:projects/details/8191/material/5320111)","ABS-PC")</f>
        <v>ABS-PC</v>
      </c>
      <c r="F5009" t="s">
        <v>5787</v>
      </c>
    </row>
    <row r="5010" spans="1:6" ht="12.75">
      <c r="A5010">
        <v>6948294</v>
      </c>
      <c r="B5010">
        <v>6975692</v>
      </c>
      <c r="C5010" t="s">
        <v>189</v>
      </c>
      <c r="D5010" t="s">
        <v>99</v>
      </c>
      <c r="E5010" s="2" t="str">
        <f>HYPERLINK("https://ibp.a2mac1.com/costing(costing:projects/details/8191/equipment/6948294)","No.04 - Injection Press - 100T - 33kW - 400x400 - Max Volume 260cm3 ")</f>
        <v xml:space="preserve">No.04 - Injection Press - 100T - 33kW - 400x400 - Max Volume 260cm3 </v>
      </c>
      <c r="F5010" t="s">
        <v>5787</v>
      </c>
    </row>
    <row r="5011" spans="1:6" ht="12.75">
      <c r="A5011">
        <v>6975691</v>
      </c>
      <c r="B5011">
        <v>5388853</v>
      </c>
      <c r="C5011" t="s">
        <v>99</v>
      </c>
      <c r="D5011" t="s">
        <v>12</v>
      </c>
      <c r="E5011" s="2" t="str">
        <f>HYPERLINK("https://ibp.a2mac1.com/costing(costing:projects/details/8191/process/6975691)","Handling/Visual Inspection/Packaging")</f>
        <v>Handling/Visual Inspection/Packaging</v>
      </c>
      <c r="F5011" t="s">
        <v>5786</v>
      </c>
    </row>
    <row r="5012" spans="1:6" ht="12.75">
      <c r="A5012">
        <v>6948293</v>
      </c>
      <c r="B5012">
        <v>6975691</v>
      </c>
      <c r="C5012" t="s">
        <v>189</v>
      </c>
      <c r="D5012" t="s">
        <v>99</v>
      </c>
      <c r="E5012" s="2" t="str">
        <f>HYPERLINK("https://ibp.a2mac1.com/costing(costing:projects/details/8191/equipment/6948293)","Packaging")</f>
        <v>Packaging</v>
      </c>
      <c r="F5012" t="s">
        <v>5788</v>
      </c>
    </row>
    <row r="5013" spans="1:6" ht="12.75">
      <c r="A5013">
        <v>5388536</v>
      </c>
      <c r="B5013">
        <v>5388230</v>
      </c>
      <c r="C5013" t="s">
        <v>8</v>
      </c>
      <c r="D5013" t="s">
        <v>8</v>
      </c>
      <c r="E5013" s="2" t="str">
        <f>HYPERLINK("https://ibp.a2mac1.com/costing(costing:projects/details/8191/assembly/5388536)","Exterior Side")</f>
        <v>Exterior Side</v>
      </c>
      <c r="F5013" t="s">
        <v>5781</v>
      </c>
    </row>
    <row r="5014" spans="1:6" ht="12.75">
      <c r="A5014">
        <v>5388862</v>
      </c>
      <c r="B5014">
        <v>5388536</v>
      </c>
      <c r="C5014" t="s">
        <v>8</v>
      </c>
      <c r="D5014" t="s">
        <v>8</v>
      </c>
      <c r="E5014" s="2" t="str">
        <f>HYPERLINK("https://ibp.a2mac1.com/costing(costing:projects/details/8191/assembly/5388862)","Fastners")</f>
        <v>Fastners</v>
      </c>
      <c r="F5014" t="s">
        <v>5789</v>
      </c>
    </row>
    <row r="5015" spans="1:6" ht="12.75">
      <c r="A5015">
        <v>5319885</v>
      </c>
      <c r="B5015">
        <v>5388862</v>
      </c>
      <c r="C5015" t="s">
        <v>574</v>
      </c>
      <c r="D5015" t="s">
        <v>8</v>
      </c>
      <c r="E5015" s="2" t="str">
        <f>HYPERLINK("https://ibp.a2mac1.com/costing(costing:projects/details/8191/component/5319885)","Pin clip &gt; Dowel pin")</f>
        <v>Pin clip &gt; Dowel pin</v>
      </c>
      <c r="F5015" t="s">
        <v>5790</v>
      </c>
    </row>
    <row r="5016" spans="1:6" ht="12.75">
      <c r="A5016">
        <v>5319886</v>
      </c>
      <c r="B5016">
        <v>5388862</v>
      </c>
      <c r="C5016" t="s">
        <v>574</v>
      </c>
      <c r="D5016" t="s">
        <v>8</v>
      </c>
      <c r="E5016" s="2" t="str">
        <f>HYPERLINK("https://ibp.a2mac1.com/costing(costing:projects/details/8191/component/5319886)","Other fastener &gt; Attachment")</f>
        <v>Other fastener &gt; Attachment</v>
      </c>
      <c r="F5016" t="s">
        <v>5790</v>
      </c>
    </row>
    <row r="5017" spans="1:6" ht="12.75">
      <c r="A5017">
        <v>5388855</v>
      </c>
      <c r="B5017">
        <v>5388536</v>
      </c>
      <c r="C5017" t="s">
        <v>12</v>
      </c>
      <c r="D5017" t="s">
        <v>8</v>
      </c>
      <c r="E5017" s="2" t="str">
        <f>HYPERLINK("https://ibp.a2mac1.com/costing(costing:projects/details/8191/part/5388855)","Opening Control")</f>
        <v>Opening Control</v>
      </c>
      <c r="F5017" t="s">
        <v>5789</v>
      </c>
    </row>
    <row r="5018" spans="1:6" ht="12.75">
      <c r="A5018">
        <v>6975693</v>
      </c>
      <c r="B5018">
        <v>5388855</v>
      </c>
      <c r="C5018" t="s">
        <v>99</v>
      </c>
      <c r="D5018" t="s">
        <v>12</v>
      </c>
      <c r="E5018" s="2" t="str">
        <f>HYPERLINK("https://ibp.a2mac1.com/costing(costing:projects/details/8191/process/6975693)","Injection molding")</f>
        <v>Injection molding</v>
      </c>
      <c r="F5018" t="s">
        <v>5791</v>
      </c>
    </row>
    <row r="5019" spans="1:6" ht="12.75">
      <c r="A5019">
        <v>5320112</v>
      </c>
      <c r="B5019">
        <v>6975693</v>
      </c>
      <c r="C5019" t="s">
        <v>24</v>
      </c>
      <c r="D5019" t="s">
        <v>99</v>
      </c>
      <c r="E5019" s="2" t="str">
        <f>HYPERLINK("https://ibp.a2mac1.com/costing(costing:projects/details/8191/material/5320112)","PA 6 GF 40")</f>
        <v>PA 6 GF 40</v>
      </c>
      <c r="F5019" t="s">
        <v>5792</v>
      </c>
    </row>
    <row r="5020" spans="1:6" ht="12.75">
      <c r="A5020">
        <v>6948295</v>
      </c>
      <c r="B5020">
        <v>6975693</v>
      </c>
      <c r="C5020" t="s">
        <v>189</v>
      </c>
      <c r="D5020" t="s">
        <v>99</v>
      </c>
      <c r="E5020" s="2" t="str">
        <f>HYPERLINK("https://ibp.a2mac1.com/costing(costing:projects/details/8191/equipment/6948295)","No.03 - Injection Press - 80T - 30kW - 370x370 - Max Volume 260cm3 ")</f>
        <v xml:space="preserve">No.03 - Injection Press - 80T - 30kW - 370x370 - Max Volume 260cm3 </v>
      </c>
      <c r="F5020" t="s">
        <v>5792</v>
      </c>
    </row>
    <row r="5021" spans="1:6" ht="12.75">
      <c r="A5021">
        <v>6975694</v>
      </c>
      <c r="B5021">
        <v>5388855</v>
      </c>
      <c r="C5021" t="s">
        <v>99</v>
      </c>
      <c r="D5021" t="s">
        <v>12</v>
      </c>
      <c r="E5021" s="2" t="str">
        <f>HYPERLINK("https://ibp.a2mac1.com/costing(costing:projects/details/8191/process/6975694)","Handling/Visual Inspection/Packaging")</f>
        <v>Handling/Visual Inspection/Packaging</v>
      </c>
      <c r="F5021" t="s">
        <v>5791</v>
      </c>
    </row>
    <row r="5022" spans="1:6" ht="12.75">
      <c r="A5022">
        <v>6948296</v>
      </c>
      <c r="B5022">
        <v>6975694</v>
      </c>
      <c r="C5022" t="s">
        <v>189</v>
      </c>
      <c r="D5022" t="s">
        <v>99</v>
      </c>
      <c r="E5022" s="2" t="str">
        <f>HYPERLINK("https://ibp.a2mac1.com/costing(costing:projects/details/8191/equipment/6948296)","Packaging")</f>
        <v>Packaging</v>
      </c>
      <c r="F5022" t="s">
        <v>5793</v>
      </c>
    </row>
    <row r="5023" spans="1:6" ht="12.75">
      <c r="A5023">
        <v>5388856</v>
      </c>
      <c r="B5023">
        <v>5388536</v>
      </c>
      <c r="C5023" t="s">
        <v>12</v>
      </c>
      <c r="D5023" t="s">
        <v>8</v>
      </c>
      <c r="E5023" s="2" t="str">
        <f>HYPERLINK("https://ibp.a2mac1.com/costing(costing:projects/details/8191/part/5388856)","Opening Control Support")</f>
        <v>Opening Control Support</v>
      </c>
      <c r="F5023" t="s">
        <v>5789</v>
      </c>
    </row>
    <row r="5024" spans="1:6" ht="12.75">
      <c r="A5024">
        <v>6975695</v>
      </c>
      <c r="B5024">
        <v>5388856</v>
      </c>
      <c r="C5024" t="s">
        <v>99</v>
      </c>
      <c r="D5024" t="s">
        <v>12</v>
      </c>
      <c r="E5024" s="2" t="str">
        <f>HYPERLINK("https://ibp.a2mac1.com/costing(costing:projects/details/8191/process/6975695)","Injection molding")</f>
        <v>Injection molding</v>
      </c>
      <c r="F5024" t="s">
        <v>5794</v>
      </c>
    </row>
    <row r="5025" spans="1:6" ht="12.75">
      <c r="A5025">
        <v>5320113</v>
      </c>
      <c r="B5025">
        <v>6975695</v>
      </c>
      <c r="C5025" t="s">
        <v>24</v>
      </c>
      <c r="D5025" t="s">
        <v>99</v>
      </c>
      <c r="E5025" s="2" t="str">
        <f>HYPERLINK("https://ibp.a2mac1.com/costing(costing:projects/details/8191/material/5320113)","PBT-GF30")</f>
        <v>PBT-GF30</v>
      </c>
      <c r="F5025" t="s">
        <v>5795</v>
      </c>
    </row>
    <row r="5026" spans="1:6" ht="12.75">
      <c r="A5026">
        <v>6948297</v>
      </c>
      <c r="B5026">
        <v>6975695</v>
      </c>
      <c r="C5026" t="s">
        <v>189</v>
      </c>
      <c r="D5026" t="s">
        <v>99</v>
      </c>
      <c r="E5026" s="2" t="str">
        <f>HYPERLINK("https://ibp.a2mac1.com/costing(costing:projects/details/8191/equipment/6948297)","No.06 - Injection Press - 200T - 45kW - 510x510 - Max Volume 624cm3 ")</f>
        <v xml:space="preserve">No.06 - Injection Press - 200T - 45kW - 510x510 - Max Volume 624cm3 </v>
      </c>
      <c r="F5026" t="s">
        <v>5795</v>
      </c>
    </row>
    <row r="5027" spans="1:6" ht="12.75">
      <c r="A5027">
        <v>6975696</v>
      </c>
      <c r="B5027">
        <v>5388856</v>
      </c>
      <c r="C5027" t="s">
        <v>99</v>
      </c>
      <c r="D5027" t="s">
        <v>12</v>
      </c>
      <c r="E5027" s="2" t="str">
        <f>HYPERLINK("https://ibp.a2mac1.com/costing(costing:projects/details/8191/process/6975696)","Handling/Visual Inspection/Packaging")</f>
        <v>Handling/Visual Inspection/Packaging</v>
      </c>
      <c r="F5027" t="s">
        <v>5794</v>
      </c>
    </row>
    <row r="5028" spans="1:6" ht="12.75">
      <c r="A5028">
        <v>6948298</v>
      </c>
      <c r="B5028">
        <v>6975696</v>
      </c>
      <c r="C5028" t="s">
        <v>189</v>
      </c>
      <c r="D5028" t="s">
        <v>99</v>
      </c>
      <c r="E5028" s="2" t="str">
        <f>HYPERLINK("https://ibp.a2mac1.com/costing(costing:projects/details/8191/equipment/6948298)","Packaging")</f>
        <v>Packaging</v>
      </c>
      <c r="F5028" t="s">
        <v>5796</v>
      </c>
    </row>
    <row r="5029" spans="1:6" ht="12.75">
      <c r="A5029">
        <v>5388857</v>
      </c>
      <c r="B5029">
        <v>5388536</v>
      </c>
      <c r="C5029" t="s">
        <v>12</v>
      </c>
      <c r="D5029" t="s">
        <v>8</v>
      </c>
      <c r="E5029" s="2" t="str">
        <f>HYPERLINK("https://ibp.a2mac1.com/costing(costing:projects/details/8191/part/5388857)","2nd Opening Control Support")</f>
        <v>2nd Opening Control Support</v>
      </c>
      <c r="F5029" t="s">
        <v>5789</v>
      </c>
    </row>
    <row r="5030" spans="1:6" ht="12.75">
      <c r="A5030">
        <v>6975697</v>
      </c>
      <c r="B5030">
        <v>5388857</v>
      </c>
      <c r="C5030" t="s">
        <v>99</v>
      </c>
      <c r="D5030" t="s">
        <v>12</v>
      </c>
      <c r="E5030" s="2" t="str">
        <f>HYPERLINK("https://ibp.a2mac1.com/costing(costing:projects/details/8191/process/6975697)","Injection molding")</f>
        <v>Injection molding</v>
      </c>
      <c r="F5030" t="s">
        <v>5797</v>
      </c>
    </row>
    <row r="5031" spans="1:6" ht="12.75">
      <c r="A5031">
        <v>5320114</v>
      </c>
      <c r="B5031">
        <v>6975697</v>
      </c>
      <c r="C5031" t="s">
        <v>24</v>
      </c>
      <c r="D5031" t="s">
        <v>99</v>
      </c>
      <c r="E5031" s="2" t="str">
        <f>HYPERLINK("https://ibp.a2mac1.com/costing(costing:projects/details/8191/material/5320114)","PA6-GF30")</f>
        <v>PA6-GF30</v>
      </c>
      <c r="F5031" t="s">
        <v>5798</v>
      </c>
    </row>
    <row r="5032" spans="1:6" ht="12.75">
      <c r="A5032">
        <v>6948299</v>
      </c>
      <c r="B5032">
        <v>6975697</v>
      </c>
      <c r="C5032" t="s">
        <v>189</v>
      </c>
      <c r="D5032" t="s">
        <v>99</v>
      </c>
      <c r="E5032" s="2" t="str">
        <f>HYPERLINK("https://ibp.a2mac1.com/costing(costing:projects/details/8191/equipment/6948299)","No.02 - Injection Press - 60T - 25kW - 320x320 - Max Volume 164cm3 ")</f>
        <v xml:space="preserve">No.02 - Injection Press - 60T - 25kW - 320x320 - Max Volume 164cm3 </v>
      </c>
      <c r="F5032" t="s">
        <v>5798</v>
      </c>
    </row>
    <row r="5033" spans="1:6" ht="12.75">
      <c r="A5033">
        <v>6975698</v>
      </c>
      <c r="B5033">
        <v>5388857</v>
      </c>
      <c r="C5033" t="s">
        <v>99</v>
      </c>
      <c r="D5033" t="s">
        <v>12</v>
      </c>
      <c r="E5033" s="2" t="str">
        <f>HYPERLINK("https://ibp.a2mac1.com/costing(costing:projects/details/8191/process/6975698)","Handling/Visual Inspection/Packaging")</f>
        <v>Handling/Visual Inspection/Packaging</v>
      </c>
      <c r="F5033" t="s">
        <v>5797</v>
      </c>
    </row>
    <row r="5034" spans="1:6" ht="12.75">
      <c r="A5034">
        <v>6948300</v>
      </c>
      <c r="B5034">
        <v>6975698</v>
      </c>
      <c r="C5034" t="s">
        <v>189</v>
      </c>
      <c r="D5034" t="s">
        <v>99</v>
      </c>
      <c r="E5034" s="2" t="str">
        <f>HYPERLINK("https://ibp.a2mac1.com/costing(costing:projects/details/8191/equipment/6948300)","Packaging")</f>
        <v>Packaging</v>
      </c>
      <c r="F5034" t="s">
        <v>5799</v>
      </c>
    </row>
    <row r="5035" spans="1:6" ht="12.75">
      <c r="A5035">
        <v>5388858</v>
      </c>
      <c r="B5035">
        <v>5388536</v>
      </c>
      <c r="C5035" t="s">
        <v>12</v>
      </c>
      <c r="D5035" t="s">
        <v>8</v>
      </c>
      <c r="E5035" s="2" t="str">
        <f>HYPERLINK("https://ibp.a2mac1.com/costing(costing:projects/details/8191/part/5388858)","Bezel")</f>
        <v>Bezel</v>
      </c>
      <c r="F5035" t="s">
        <v>5789</v>
      </c>
    </row>
    <row r="5036" spans="1:6" ht="12.75">
      <c r="A5036">
        <v>6975700</v>
      </c>
      <c r="B5036">
        <v>5388858</v>
      </c>
      <c r="C5036" t="s">
        <v>99</v>
      </c>
      <c r="D5036" t="s">
        <v>12</v>
      </c>
      <c r="E5036" s="2" t="str">
        <f>HYPERLINK("https://ibp.a2mac1.com/costing(costing:projects/details/8191/process/6975700)","Injection molding")</f>
        <v>Injection molding</v>
      </c>
      <c r="F5036" t="s">
        <v>5800</v>
      </c>
    </row>
    <row r="5037" spans="1:6" ht="12.75">
      <c r="A5037">
        <v>5320115</v>
      </c>
      <c r="B5037">
        <v>6975700</v>
      </c>
      <c r="C5037" t="s">
        <v>24</v>
      </c>
      <c r="D5037" t="s">
        <v>99</v>
      </c>
      <c r="E5037" s="2" t="str">
        <f>HYPERLINK("https://ibp.a2mac1.com/costing(costing:projects/details/8191/material/5320115)","PC-ABS")</f>
        <v>PC-ABS</v>
      </c>
      <c r="F5037" t="s">
        <v>5801</v>
      </c>
    </row>
    <row r="5038" spans="1:6" ht="12.75">
      <c r="A5038">
        <v>6948301</v>
      </c>
      <c r="B5038">
        <v>6975700</v>
      </c>
      <c r="C5038" t="s">
        <v>189</v>
      </c>
      <c r="D5038" t="s">
        <v>99</v>
      </c>
      <c r="E5038" s="2" t="str">
        <f>HYPERLINK("https://ibp.a2mac1.com/costing(costing:projects/details/8191/equipment/6948301)","Equipment (Injection Molding)")</f>
        <v>Equipment (Injection Molding)</v>
      </c>
      <c r="F5038" t="s">
        <v>5801</v>
      </c>
    </row>
    <row r="5039" spans="1:6" ht="12.75">
      <c r="A5039">
        <v>5388859</v>
      </c>
      <c r="B5039">
        <v>5388536</v>
      </c>
      <c r="C5039" t="s">
        <v>12</v>
      </c>
      <c r="D5039" t="s">
        <v>8</v>
      </c>
      <c r="E5039" s="2" t="str">
        <f>HYPERLINK("https://ibp.a2mac1.com/costing(costing:projects/details/8191/part/5388859)","Welcome Light")</f>
        <v>Welcome Light</v>
      </c>
      <c r="F5039" t="s">
        <v>5789</v>
      </c>
    </row>
    <row r="5040" spans="1:6" ht="12.75">
      <c r="A5040">
        <v>5388860</v>
      </c>
      <c r="B5040">
        <v>5388536</v>
      </c>
      <c r="C5040" t="s">
        <v>12</v>
      </c>
      <c r="D5040" t="s">
        <v>8</v>
      </c>
      <c r="E5040" s="2" t="str">
        <f>HYPERLINK("https://ibp.a2mac1.com/costing(costing:projects/details/8191/part/5388860)","Unlocking Contactor")</f>
        <v>Unlocking Contactor</v>
      </c>
      <c r="F5040" t="s">
        <v>5789</v>
      </c>
    </row>
    <row r="5041" spans="1:6" ht="12.75">
      <c r="A5041">
        <v>5388861</v>
      </c>
      <c r="B5041">
        <v>5388536</v>
      </c>
      <c r="C5041" t="s">
        <v>12</v>
      </c>
      <c r="D5041" t="s">
        <v>8</v>
      </c>
      <c r="E5041" s="2" t="str">
        <f>HYPERLINK("https://ibp.a2mac1.com/costing(costing:projects/details/8191/part/5388861)","Seal")</f>
        <v>Seal</v>
      </c>
      <c r="F5041" t="s">
        <v>5789</v>
      </c>
    </row>
    <row r="5042" spans="1:6" ht="12.75">
      <c r="A5042">
        <v>6975701</v>
      </c>
      <c r="B5042">
        <v>5388861</v>
      </c>
      <c r="C5042" t="s">
        <v>99</v>
      </c>
      <c r="D5042" t="s">
        <v>12</v>
      </c>
      <c r="E5042" s="2" t="str">
        <f>HYPERLINK("https://ibp.a2mac1.com/costing(costing:projects/details/8191/process/6975701)","Injection molding")</f>
        <v>Injection molding</v>
      </c>
      <c r="F5042" t="s">
        <v>5802</v>
      </c>
    </row>
    <row r="5043" spans="1:6" ht="12.75">
      <c r="A5043">
        <v>5320116</v>
      </c>
      <c r="B5043">
        <v>6975701</v>
      </c>
      <c r="C5043" t="s">
        <v>24</v>
      </c>
      <c r="D5043" t="s">
        <v>99</v>
      </c>
      <c r="E5043" s="2" t="str">
        <f>HYPERLINK("https://ibp.a2mac1.com/costing(costing:projects/details/8191/material/5320116)","TPE")</f>
        <v>TPE</v>
      </c>
      <c r="F5043" t="s">
        <v>5803</v>
      </c>
    </row>
    <row r="5044" spans="1:6" ht="12.75">
      <c r="A5044">
        <v>5320117</v>
      </c>
      <c r="B5044">
        <v>6975701</v>
      </c>
      <c r="C5044" t="s">
        <v>24</v>
      </c>
      <c r="D5044" t="s">
        <v>99</v>
      </c>
      <c r="E5044" s="2" t="str">
        <f>HYPERLINK("https://ibp.a2mac1.com/costing(costing:projects/details/8191/material/5320117)","PP")</f>
        <v>PP</v>
      </c>
      <c r="F5044" t="s">
        <v>5803</v>
      </c>
    </row>
    <row r="5045" spans="1:6" ht="12.75">
      <c r="A5045">
        <v>6948302</v>
      </c>
      <c r="B5045">
        <v>6975701</v>
      </c>
      <c r="C5045" t="s">
        <v>189</v>
      </c>
      <c r="D5045" t="s">
        <v>99</v>
      </c>
      <c r="E5045" s="2" t="str">
        <f>HYPERLINK("https://ibp.a2mac1.com/costing(costing:projects/details/8191/equipment/6948302)","Equipment (Injection Molding)")</f>
        <v>Equipment (Injection Molding)</v>
      </c>
      <c r="F5045" t="s">
        <v>5803</v>
      </c>
    </row>
    <row r="5046" spans="1:6" ht="12.75">
      <c r="A5046">
        <v>6948303</v>
      </c>
      <c r="B5046">
        <v>6975701</v>
      </c>
      <c r="C5046" t="s">
        <v>189</v>
      </c>
      <c r="D5046" t="s">
        <v>99</v>
      </c>
      <c r="E5046" s="2" t="str">
        <f>HYPERLINK("https://ibp.a2mac1.com/costing(costing:projects/details/8191/equipment/6948303)","Equipment (Injection Molding)")</f>
        <v>Equipment (Injection Molding)</v>
      </c>
      <c r="F5046" t="s">
        <v>5803</v>
      </c>
    </row>
    <row r="5047" spans="1:6" ht="12.75">
      <c r="A5047">
        <v>6975477</v>
      </c>
      <c r="B5047">
        <v>5388536</v>
      </c>
      <c r="C5047" t="s">
        <v>99</v>
      </c>
      <c r="D5047" t="s">
        <v>8</v>
      </c>
      <c r="E5047" s="2" t="str">
        <f>HYPERLINK("https://ibp.a2mac1.com/costing(costing:projects/details/8191/process/6975477)","Assembly")</f>
        <v>Assembly</v>
      </c>
      <c r="F5047" t="s">
        <v>5789</v>
      </c>
    </row>
    <row r="5048" spans="1:6" ht="12.75">
      <c r="A5048">
        <v>6948061</v>
      </c>
      <c r="B5048">
        <v>6975477</v>
      </c>
      <c r="C5048" t="s">
        <v>189</v>
      </c>
      <c r="D5048" t="s">
        <v>99</v>
      </c>
      <c r="E5048" s="2" t="str">
        <f>HYPERLINK("https://ibp.a2mac1.com/costing(costing:projects/details/8191/equipment/6948061)","Assembly line")</f>
        <v>Assembly line</v>
      </c>
      <c r="F5048" t="s">
        <v>5804</v>
      </c>
    </row>
    <row r="5049" spans="1:6" ht="12.75">
      <c r="A5049">
        <v>5388537</v>
      </c>
      <c r="B5049">
        <v>5388230</v>
      </c>
      <c r="C5049" t="s">
        <v>8</v>
      </c>
      <c r="D5049" t="s">
        <v>8</v>
      </c>
      <c r="E5049" s="2" t="str">
        <f>HYPERLINK("https://ibp.a2mac1.com/costing(costing:projects/details/8191/assembly/5388537)","Fastners")</f>
        <v>Fastners</v>
      </c>
      <c r="F5049" t="s">
        <v>5781</v>
      </c>
    </row>
    <row r="5050" spans="1:6" ht="12.75">
      <c r="A5050">
        <v>5319617</v>
      </c>
      <c r="B5050">
        <v>5388537</v>
      </c>
      <c r="C5050" t="s">
        <v>574</v>
      </c>
      <c r="D5050" t="s">
        <v>8</v>
      </c>
      <c r="E5050" s="2" t="str">
        <f>HYPERLINK("https://ibp.a2mac1.com/costing(costing:projects/details/8191/component/5319617)","Screw &gt; 12 point socket head cap screw [2]")</f>
        <v>Screw &gt; 12 point socket head cap screw [2]</v>
      </c>
      <c r="F5050" t="s">
        <v>5805</v>
      </c>
    </row>
    <row r="5051" spans="1:6" ht="12.75">
      <c r="A5051">
        <v>5319618</v>
      </c>
      <c r="B5051">
        <v>5388537</v>
      </c>
      <c r="C5051" t="s">
        <v>574</v>
      </c>
      <c r="D5051" t="s">
        <v>8</v>
      </c>
      <c r="E5051" s="2" t="str">
        <f>HYPERLINK("https://ibp.a2mac1.com/costing(costing:projects/details/8191/component/5319618)","Screw &gt; Torx socket head cap screw")</f>
        <v>Screw &gt; Torx socket head cap screw</v>
      </c>
      <c r="F5051" t="s">
        <v>5805</v>
      </c>
    </row>
    <row r="5052" spans="1:6" ht="12.75">
      <c r="A5052">
        <v>5319619</v>
      </c>
      <c r="B5052">
        <v>5388537</v>
      </c>
      <c r="C5052" t="s">
        <v>574</v>
      </c>
      <c r="D5052" t="s">
        <v>8</v>
      </c>
      <c r="E5052" s="2" t="str">
        <f>HYPERLINK("https://ibp.a2mac1.com/costing(costing:projects/details/8191/component/5319619)","Screw &gt; 12 point socket head cap screw")</f>
        <v>Screw &gt; 12 point socket head cap screw</v>
      </c>
      <c r="F5052" t="s">
        <v>5805</v>
      </c>
    </row>
    <row r="5053" spans="1:6" ht="12.75">
      <c r="A5053">
        <v>5388529</v>
      </c>
      <c r="B5053">
        <v>5388230</v>
      </c>
      <c r="C5053" t="s">
        <v>12</v>
      </c>
      <c r="D5053" t="s">
        <v>8</v>
      </c>
      <c r="E5053" s="2" t="str">
        <f>HYPERLINK("https://ibp.a2mac1.com/costing(costing:projects/details/8191/part/5388529)","Door Latch")</f>
        <v>Door Latch</v>
      </c>
      <c r="F5053" t="s">
        <v>5781</v>
      </c>
    </row>
    <row r="5054" spans="1:6" ht="12.75">
      <c r="A5054">
        <v>6975468</v>
      </c>
      <c r="B5054">
        <v>5388529</v>
      </c>
      <c r="C5054" t="s">
        <v>99</v>
      </c>
      <c r="D5054" t="s">
        <v>12</v>
      </c>
      <c r="E5054" s="2" t="str">
        <f>HYPERLINK("https://ibp.a2mac1.com/costing(costing:projects/details/8191/process/6975468)","Process")</f>
        <v>Process</v>
      </c>
      <c r="F5054" t="s">
        <v>5806</v>
      </c>
    </row>
    <row r="5055" spans="1:6" ht="12.75">
      <c r="A5055">
        <v>6948052</v>
      </c>
      <c r="B5055">
        <v>6975468</v>
      </c>
      <c r="C5055" t="s">
        <v>189</v>
      </c>
      <c r="D5055" t="s">
        <v>99</v>
      </c>
      <c r="E5055" s="2" t="str">
        <f>HYPERLINK("https://ibp.a2mac1.com/costing(costing:projects/details/8191/equipment/6948052)","Dummy Machine (PCBA+Final Assembly Line)")</f>
        <v>Dummy Machine (PCBA+Final Assembly Line)</v>
      </c>
      <c r="F5055" t="s">
        <v>5807</v>
      </c>
    </row>
    <row r="5056" spans="1:6" ht="12.75">
      <c r="A5056">
        <v>5319615</v>
      </c>
      <c r="B5056">
        <v>5388529</v>
      </c>
      <c r="C5056" t="s">
        <v>574</v>
      </c>
      <c r="D5056" t="s">
        <v>12</v>
      </c>
      <c r="E5056" s="2" t="str">
        <f>HYPERLINK("https://ibp.a2mac1.com/costing(costing:projects/details/8191/component/5319615)","Electronics")</f>
        <v>Electronics</v>
      </c>
      <c r="F5056" t="s">
        <v>5806</v>
      </c>
    </row>
    <row r="5057" spans="1:6" ht="12.75">
      <c r="A5057">
        <v>5319616</v>
      </c>
      <c r="B5057">
        <v>5388529</v>
      </c>
      <c r="C5057" t="s">
        <v>574</v>
      </c>
      <c r="D5057" t="s">
        <v>12</v>
      </c>
      <c r="E5057" s="2" t="str">
        <f>HYPERLINK("https://ibp.a2mac1.com/costing(costing:projects/details/8191/component/5319616)","Mechanics")</f>
        <v>Mechanics</v>
      </c>
      <c r="F5057" t="s">
        <v>5806</v>
      </c>
    </row>
    <row r="5058" spans="1:6" ht="12.75">
      <c r="A5058">
        <v>5388530</v>
      </c>
      <c r="B5058">
        <v>5388230</v>
      </c>
      <c r="C5058" t="s">
        <v>12</v>
      </c>
      <c r="D5058" t="s">
        <v>8</v>
      </c>
      <c r="E5058" s="2" t="str">
        <f>HYPERLINK("https://ibp.a2mac1.com/costing(costing:projects/details/8191/part/5388530)","Door Striker")</f>
        <v>Door Striker</v>
      </c>
      <c r="F5058" t="s">
        <v>5781</v>
      </c>
    </row>
    <row r="5059" spans="1:6" ht="12.75">
      <c r="A5059">
        <v>6975470</v>
      </c>
      <c r="B5059">
        <v>5388530</v>
      </c>
      <c r="C5059" t="s">
        <v>99</v>
      </c>
      <c r="D5059" t="s">
        <v>12</v>
      </c>
      <c r="E5059" s="2" t="str">
        <f>HYPERLINK("https://ibp.a2mac1.com/costing(costing:projects/details/8191/process/6975470)","Stamping ")</f>
        <v xml:space="preserve">Stamping </v>
      </c>
      <c r="F5059" t="s">
        <v>5808</v>
      </c>
    </row>
    <row r="5060" spans="1:6" ht="12.75">
      <c r="A5060">
        <v>5319878</v>
      </c>
      <c r="B5060">
        <v>6975470</v>
      </c>
      <c r="C5060" t="s">
        <v>24</v>
      </c>
      <c r="D5060" t="s">
        <v>99</v>
      </c>
      <c r="E5060" s="2" t="str">
        <f>HYPERLINK("https://ibp.a2mac1.com/costing(costing:projects/details/8191/material/5319878)","Standard Structural Steel sheet")</f>
        <v>Standard Structural Steel sheet</v>
      </c>
      <c r="F5060" t="s">
        <v>5809</v>
      </c>
    </row>
    <row r="5061" spans="1:6" ht="12.75">
      <c r="A5061">
        <v>6948054</v>
      </c>
      <c r="B5061">
        <v>6975470</v>
      </c>
      <c r="C5061" t="s">
        <v>189</v>
      </c>
      <c r="D5061" t="s">
        <v>99</v>
      </c>
      <c r="E5061" s="2" t="str">
        <f>HYPERLINK("https://ibp.a2mac1.com/costing(costing:projects/details/8191/equipment/6948054)","Equipment (Stamping)")</f>
        <v>Equipment (Stamping)</v>
      </c>
      <c r="F5061" t="s">
        <v>5809</v>
      </c>
    </row>
    <row r="5062" spans="1:6" ht="12.75">
      <c r="A5062">
        <v>6975471</v>
      </c>
      <c r="B5062">
        <v>5388530</v>
      </c>
      <c r="C5062" t="s">
        <v>99</v>
      </c>
      <c r="D5062" t="s">
        <v>12</v>
      </c>
      <c r="E5062" s="2" t="str">
        <f>HYPERLINK("https://ibp.a2mac1.com/costing(costing:projects/details/8191/process/6975471)","Wire Bending")</f>
        <v>Wire Bending</v>
      </c>
      <c r="F5062" t="s">
        <v>5808</v>
      </c>
    </row>
    <row r="5063" spans="1:6" ht="12.75">
      <c r="A5063">
        <v>6948055</v>
      </c>
      <c r="B5063">
        <v>6975471</v>
      </c>
      <c r="C5063" t="s">
        <v>189</v>
      </c>
      <c r="D5063" t="s">
        <v>99</v>
      </c>
      <c r="E5063" s="2" t="str">
        <f>HYPERLINK("https://ibp.a2mac1.com/costing(costing:projects/details/8191/equipment/6948055)","No.01 - Generic CN Wire Bending ")</f>
        <v xml:space="preserve">No.01 - Generic CN Wire Bending </v>
      </c>
      <c r="F5063" t="s">
        <v>5810</v>
      </c>
    </row>
    <row r="5064" spans="1:6" ht="12.75">
      <c r="A5064">
        <v>6975469</v>
      </c>
      <c r="B5064">
        <v>5388530</v>
      </c>
      <c r="C5064" t="s">
        <v>99</v>
      </c>
      <c r="D5064" t="s">
        <v>12</v>
      </c>
      <c r="E5064" s="2" t="str">
        <f>HYPERLINK("https://ibp.a2mac1.com/costing(costing:projects/details/8191/process/6975469)","Press fit")</f>
        <v>Press fit</v>
      </c>
      <c r="F5064" t="s">
        <v>5808</v>
      </c>
    </row>
    <row r="5065" spans="1:6" ht="12.75">
      <c r="A5065">
        <v>6948053</v>
      </c>
      <c r="B5065">
        <v>6975469</v>
      </c>
      <c r="C5065" t="s">
        <v>189</v>
      </c>
      <c r="D5065" t="s">
        <v>99</v>
      </c>
      <c r="E5065" s="2" t="str">
        <f>HYPERLINK("https://ibp.a2mac1.com/costing(costing:projects/details/8191/equipment/6948053)","No.04 - Press Fit Assembly ")</f>
        <v xml:space="preserve">No.04 - Press Fit Assembly </v>
      </c>
      <c r="F5065" t="s">
        <v>5811</v>
      </c>
    </row>
    <row r="5066" spans="1:6" ht="12.75">
      <c r="A5066">
        <v>5388531</v>
      </c>
      <c r="B5066">
        <v>5388230</v>
      </c>
      <c r="C5066" t="s">
        <v>12</v>
      </c>
      <c r="D5066" t="s">
        <v>8</v>
      </c>
      <c r="E5066" s="2" t="str">
        <f>HYPERLINK("https://ibp.a2mac1.com/costing(costing:projects/details/8191/part/5388531)","Lock Cylinder")</f>
        <v>Lock Cylinder</v>
      </c>
      <c r="F5066" t="s">
        <v>5781</v>
      </c>
    </row>
    <row r="5067" spans="1:6" ht="12.75">
      <c r="A5067">
        <v>6975472</v>
      </c>
      <c r="B5067">
        <v>5388531</v>
      </c>
      <c r="C5067" t="s">
        <v>99</v>
      </c>
      <c r="D5067" t="s">
        <v>12</v>
      </c>
      <c r="E5067" s="2" t="str">
        <f>HYPERLINK("https://ibp.a2mac1.com/costing(costing:projects/details/8191/process/6975472)","Casting")</f>
        <v>Casting</v>
      </c>
      <c r="F5067" t="s">
        <v>5812</v>
      </c>
    </row>
    <row r="5068" spans="1:6" ht="12.75">
      <c r="A5068">
        <v>5319879</v>
      </c>
      <c r="B5068">
        <v>6975472</v>
      </c>
      <c r="C5068" t="s">
        <v>24</v>
      </c>
      <c r="D5068" t="s">
        <v>99</v>
      </c>
      <c r="E5068" s="2" t="str">
        <f>HYPERLINK("https://ibp.a2mac1.com/costing(costing:projects/details/8191/material/5319879)","ZL0410 / ZnAl4Cu1 / Z35531 / Z-A4UI / ZX03 / 2.2141.05 / Zamak5 (Ingot)")</f>
        <v>ZL0410 / ZnAl4Cu1 / Z35531 / Z-A4UI / ZX03 / 2.2141.05 / Zamak5 (Ingot)</v>
      </c>
      <c r="F5068" t="s">
        <v>5813</v>
      </c>
    </row>
    <row r="5069" spans="1:6" ht="12.75">
      <c r="A5069">
        <v>6948056</v>
      </c>
      <c r="B5069">
        <v>6975472</v>
      </c>
      <c r="C5069" t="s">
        <v>189</v>
      </c>
      <c r="D5069" t="s">
        <v>99</v>
      </c>
      <c r="E5069" s="2" t="str">
        <f>HYPERLINK("https://ibp.a2mac1.com/costing(costing:projects/details/8191/equipment/6948056)","Equipment (Casting)")</f>
        <v>Equipment (Casting)</v>
      </c>
      <c r="F5069" t="s">
        <v>5813</v>
      </c>
    </row>
    <row r="5070" spans="1:6" ht="12.75">
      <c r="A5070">
        <v>5388532</v>
      </c>
      <c r="B5070">
        <v>5388230</v>
      </c>
      <c r="C5070" t="s">
        <v>12</v>
      </c>
      <c r="D5070" t="s">
        <v>8</v>
      </c>
      <c r="E5070" s="2" t="str">
        <f>HYPERLINK("https://ibp.a2mac1.com/costing(costing:projects/details/8191/part/5388532)","Lock Cylinder Support")</f>
        <v>Lock Cylinder Support</v>
      </c>
      <c r="F5070" t="s">
        <v>5781</v>
      </c>
    </row>
    <row r="5071" spans="1:6" ht="12.75">
      <c r="A5071">
        <v>6975473</v>
      </c>
      <c r="B5071">
        <v>5388532</v>
      </c>
      <c r="C5071" t="s">
        <v>99</v>
      </c>
      <c r="D5071" t="s">
        <v>12</v>
      </c>
      <c r="E5071" s="2" t="str">
        <f>HYPERLINK("https://ibp.a2mac1.com/costing(costing:projects/details/8191/process/6975473)","Stamping ")</f>
        <v xml:space="preserve">Stamping </v>
      </c>
      <c r="F5071" t="s">
        <v>5814</v>
      </c>
    </row>
    <row r="5072" spans="1:6" ht="12.75">
      <c r="A5072">
        <v>5319880</v>
      </c>
      <c r="B5072">
        <v>6975473</v>
      </c>
      <c r="C5072" t="s">
        <v>24</v>
      </c>
      <c r="D5072" t="s">
        <v>99</v>
      </c>
      <c r="E5072" s="2" t="str">
        <f>HYPERLINK("https://ibp.a2mac1.com/costing(costing:projects/details/8191/material/5319880)","Standard Structural Steel sheet")</f>
        <v>Standard Structural Steel sheet</v>
      </c>
      <c r="F5072" t="s">
        <v>5815</v>
      </c>
    </row>
    <row r="5073" spans="1:6" ht="12.75">
      <c r="A5073">
        <v>6948057</v>
      </c>
      <c r="B5073">
        <v>6975473</v>
      </c>
      <c r="C5073" t="s">
        <v>189</v>
      </c>
      <c r="D5073" t="s">
        <v>99</v>
      </c>
      <c r="E5073" s="2" t="str">
        <f>HYPERLINK("https://ibp.a2mac1.com/costing(costing:projects/details/8191/equipment/6948057)","Equipment (Stamping)")</f>
        <v>Equipment (Stamping)</v>
      </c>
      <c r="F5073" t="s">
        <v>5815</v>
      </c>
    </row>
    <row r="5074" spans="1:6" ht="12.75">
      <c r="A5074">
        <v>5388533</v>
      </c>
      <c r="B5074">
        <v>5388230</v>
      </c>
      <c r="C5074" t="s">
        <v>12</v>
      </c>
      <c r="D5074" t="s">
        <v>8</v>
      </c>
      <c r="E5074" s="2" t="str">
        <f>HYPERLINK("https://ibp.a2mac1.com/costing(costing:projects/details/8191/part/5388533)","Lock Cylinder Trim Cover")</f>
        <v>Lock Cylinder Trim Cover</v>
      </c>
      <c r="F5074" t="s">
        <v>5781</v>
      </c>
    </row>
    <row r="5075" spans="1:6" ht="12.75">
      <c r="A5075">
        <v>6975474</v>
      </c>
      <c r="B5075">
        <v>5388533</v>
      </c>
      <c r="C5075" t="s">
        <v>99</v>
      </c>
      <c r="D5075" t="s">
        <v>12</v>
      </c>
      <c r="E5075" s="2" t="str">
        <f>HYPERLINK("https://ibp.a2mac1.com/costing(costing:projects/details/8191/process/6975474)","Injection molding")</f>
        <v>Injection molding</v>
      </c>
      <c r="F5075" t="s">
        <v>5816</v>
      </c>
    </row>
    <row r="5076" spans="1:6" ht="12.75">
      <c r="A5076">
        <v>5319881</v>
      </c>
      <c r="B5076">
        <v>6975474</v>
      </c>
      <c r="C5076" t="s">
        <v>24</v>
      </c>
      <c r="D5076" t="s">
        <v>99</v>
      </c>
      <c r="E5076" s="2" t="str">
        <f>HYPERLINK("https://ibp.a2mac1.com/costing(costing:projects/details/8191/material/5319881)","ABS-PC")</f>
        <v>ABS-PC</v>
      </c>
      <c r="F5076" t="s">
        <v>5817</v>
      </c>
    </row>
    <row r="5077" spans="1:6" ht="12.75">
      <c r="A5077">
        <v>6948058</v>
      </c>
      <c r="B5077">
        <v>6975474</v>
      </c>
      <c r="C5077" t="s">
        <v>189</v>
      </c>
      <c r="D5077" t="s">
        <v>99</v>
      </c>
      <c r="E5077" s="2" t="str">
        <f>HYPERLINK("https://ibp.a2mac1.com/costing(costing:projects/details/8191/equipment/6948058)","No.01 - Injection Press - 40T - 18kW - 270x270 - Max Volume 128cm3 ")</f>
        <v xml:space="preserve">No.01 - Injection Press - 40T - 18kW - 270x270 - Max Volume 128cm3 </v>
      </c>
      <c r="F5077" t="s">
        <v>5817</v>
      </c>
    </row>
    <row r="5078" spans="1:6" ht="12.75">
      <c r="A5078">
        <v>6975475</v>
      </c>
      <c r="B5078">
        <v>5388533</v>
      </c>
      <c r="C5078" t="s">
        <v>99</v>
      </c>
      <c r="D5078" t="s">
        <v>12</v>
      </c>
      <c r="E5078" s="2" t="str">
        <f>HYPERLINK("https://ibp.a2mac1.com/costing(costing:projects/details/8191/process/6975475)","Handling/Visual Inspection/Packaging")</f>
        <v>Handling/Visual Inspection/Packaging</v>
      </c>
      <c r="F5078" t="s">
        <v>5816</v>
      </c>
    </row>
    <row r="5079" spans="1:6" ht="12.75">
      <c r="A5079">
        <v>6948059</v>
      </c>
      <c r="B5079">
        <v>6975475</v>
      </c>
      <c r="C5079" t="s">
        <v>189</v>
      </c>
      <c r="D5079" t="s">
        <v>99</v>
      </c>
      <c r="E5079" s="2" t="str">
        <f>HYPERLINK("https://ibp.a2mac1.com/costing(costing:projects/details/8191/equipment/6948059)","Packaging")</f>
        <v>Packaging</v>
      </c>
      <c r="F5079" t="s">
        <v>5818</v>
      </c>
    </row>
    <row r="5080" spans="1:6" ht="12.75">
      <c r="A5080">
        <v>5388534</v>
      </c>
      <c r="B5080">
        <v>5388230</v>
      </c>
      <c r="C5080" t="s">
        <v>12</v>
      </c>
      <c r="D5080" t="s">
        <v>8</v>
      </c>
      <c r="E5080" s="2" t="str">
        <f>HYPERLINK("https://ibp.a2mac1.com/costing(costing:projects/details/8191/part/5388534)","Lock Cylinder Mechanism")</f>
        <v>Lock Cylinder Mechanism</v>
      </c>
      <c r="F5080" t="s">
        <v>5781</v>
      </c>
    </row>
    <row r="5081" spans="1:6" ht="12.75">
      <c r="A5081">
        <v>6975476</v>
      </c>
      <c r="B5081">
        <v>5388534</v>
      </c>
      <c r="C5081" t="s">
        <v>99</v>
      </c>
      <c r="D5081" t="s">
        <v>12</v>
      </c>
      <c r="E5081" s="2" t="str">
        <f>HYPERLINK("https://ibp.a2mac1.com/costing(costing:projects/details/8191/process/6975476)","Stamping ")</f>
        <v xml:space="preserve">Stamping </v>
      </c>
      <c r="F5081" t="s">
        <v>5819</v>
      </c>
    </row>
    <row r="5082" spans="1:6" ht="12.75">
      <c r="A5082">
        <v>5319882</v>
      </c>
      <c r="B5082">
        <v>6975476</v>
      </c>
      <c r="C5082" t="s">
        <v>24</v>
      </c>
      <c r="D5082" t="s">
        <v>99</v>
      </c>
      <c r="E5082" s="2" t="str">
        <f>HYPERLINK("https://ibp.a2mac1.com/costing(costing:projects/details/8191/material/5319882)","Standard Structural Steel sheet")</f>
        <v>Standard Structural Steel sheet</v>
      </c>
      <c r="F5082" t="s">
        <v>5820</v>
      </c>
    </row>
    <row r="5083" spans="1:6" ht="12.75">
      <c r="A5083">
        <v>6948060</v>
      </c>
      <c r="B5083">
        <v>6975476</v>
      </c>
      <c r="C5083" t="s">
        <v>189</v>
      </c>
      <c r="D5083" t="s">
        <v>99</v>
      </c>
      <c r="E5083" s="2" t="str">
        <f>HYPERLINK("https://ibp.a2mac1.com/costing(costing:projects/details/8191/equipment/6948060)","Equipment (Stamping)")</f>
        <v>Equipment (Stamping)</v>
      </c>
      <c r="F5083" t="s">
        <v>5820</v>
      </c>
    </row>
    <row r="5084" spans="1:6" ht="12.75">
      <c r="A5084">
        <v>5388231</v>
      </c>
      <c r="B5084">
        <v>5388138</v>
      </c>
      <c r="C5084" t="s">
        <v>8</v>
      </c>
      <c r="D5084" t="s">
        <v>8</v>
      </c>
      <c r="E5084" s="2" t="str">
        <f>HYPERLINK("https://ibp.a2mac1.com/costing(costing:projects/details/8191/assembly/5388231)","Window System")</f>
        <v>Window System</v>
      </c>
      <c r="F5084" t="s">
        <v>5707</v>
      </c>
    </row>
    <row r="5085" spans="1:6" ht="12.75">
      <c r="A5085">
        <v>5388541</v>
      </c>
      <c r="B5085">
        <v>5388231</v>
      </c>
      <c r="C5085" t="s">
        <v>8</v>
      </c>
      <c r="D5085" t="s">
        <v>8</v>
      </c>
      <c r="E5085" s="2" t="str">
        <f>HYPERLINK("https://ibp.a2mac1.com/costing(costing:projects/details/8191/assembly/5388541)","Window")</f>
        <v>Window</v>
      </c>
      <c r="F5085" t="s">
        <v>5822</v>
      </c>
    </row>
    <row r="5086" spans="1:6" ht="12.75">
      <c r="A5086">
        <v>6975479</v>
      </c>
      <c r="B5086">
        <v>5388541</v>
      </c>
      <c r="C5086" t="s">
        <v>99</v>
      </c>
      <c r="D5086" t="s">
        <v>8</v>
      </c>
      <c r="E5086" s="2" t="str">
        <f>HYPERLINK("https://ibp.a2mac1.com/costing(costing:projects/details/8191/process/6975479)","Injection molding")</f>
        <v>Injection molding</v>
      </c>
      <c r="F5086" t="s">
        <v>5823</v>
      </c>
    </row>
    <row r="5087" spans="1:6" ht="12.75">
      <c r="A5087">
        <v>5319890</v>
      </c>
      <c r="B5087">
        <v>6975479</v>
      </c>
      <c r="C5087" t="s">
        <v>24</v>
      </c>
      <c r="D5087" t="s">
        <v>99</v>
      </c>
      <c r="E5087" s="2" t="str">
        <f>HYPERLINK("https://ibp.a2mac1.com/costing(costing:projects/details/8191/material/5319890)","Material")</f>
        <v>Material</v>
      </c>
      <c r="F5087" t="s">
        <v>5824</v>
      </c>
    </row>
    <row r="5088" spans="1:6" ht="12.75">
      <c r="A5088">
        <v>6948065</v>
      </c>
      <c r="B5088">
        <v>6975479</v>
      </c>
      <c r="C5088" t="s">
        <v>189</v>
      </c>
      <c r="D5088" t="s">
        <v>99</v>
      </c>
      <c r="E5088" s="2" t="str">
        <f>HYPERLINK("https://ibp.a2mac1.com/costing(costing:projects/details/8191/equipment/6948065)","Equipment (Injection Molding)")</f>
        <v>Equipment (Injection Molding)</v>
      </c>
      <c r="F5088" t="s">
        <v>5824</v>
      </c>
    </row>
    <row r="5089" spans="1:6" ht="12.75">
      <c r="A5089">
        <v>5388538</v>
      </c>
      <c r="B5089">
        <v>5388231</v>
      </c>
      <c r="C5089" t="s">
        <v>12</v>
      </c>
      <c r="D5089" t="s">
        <v>8</v>
      </c>
      <c r="E5089" s="2" t="str">
        <f>HYPERLINK("https://ibp.a2mac1.com/costing(costing:projects/details/8191/part/5388538)","Front Quarter Window")</f>
        <v>Front Quarter Window</v>
      </c>
      <c r="F5089" t="s">
        <v>5822</v>
      </c>
    </row>
    <row r="5090" spans="1:6" ht="12.75">
      <c r="A5090">
        <v>6975478</v>
      </c>
      <c r="B5090">
        <v>5388538</v>
      </c>
      <c r="C5090" t="s">
        <v>99</v>
      </c>
      <c r="D5090" t="s">
        <v>12</v>
      </c>
      <c r="E5090" s="2" t="str">
        <f>HYPERLINK("https://ibp.a2mac1.com/costing(costing:projects/details/8191/process/6975478)","Automated Process")</f>
        <v>Automated Process</v>
      </c>
      <c r="F5090" t="s">
        <v>5826</v>
      </c>
    </row>
    <row r="5091" spans="1:6" ht="12.75">
      <c r="A5091">
        <v>5319887</v>
      </c>
      <c r="B5091">
        <v>6975478</v>
      </c>
      <c r="C5091" t="s">
        <v>24</v>
      </c>
      <c r="D5091" t="s">
        <v>99</v>
      </c>
      <c r="E5091" s="2" t="str">
        <f>HYPERLINK("https://ibp.a2mac1.com/costing(costing:projects/details/8191/material/5319887)","PA6")</f>
        <v>PA6</v>
      </c>
      <c r="F5091" t="s">
        <v>5827</v>
      </c>
    </row>
    <row r="5092" spans="1:6" ht="12.75">
      <c r="A5092">
        <v>5319888</v>
      </c>
      <c r="B5092">
        <v>6975478</v>
      </c>
      <c r="C5092" t="s">
        <v>24</v>
      </c>
      <c r="D5092" t="s">
        <v>99</v>
      </c>
      <c r="E5092" s="2" t="str">
        <f>HYPERLINK("https://ibp.a2mac1.com/costing(costing:projects/details/8191/material/5319888)","PA66")</f>
        <v>PA66</v>
      </c>
      <c r="F5092" t="s">
        <v>5827</v>
      </c>
    </row>
    <row r="5093" spans="1:6" ht="12.75">
      <c r="A5093">
        <v>5319889</v>
      </c>
      <c r="B5093">
        <v>6975478</v>
      </c>
      <c r="C5093" t="s">
        <v>24</v>
      </c>
      <c r="D5093" t="s">
        <v>99</v>
      </c>
      <c r="E5093" s="2" t="str">
        <f>HYPERLINK("https://ibp.a2mac1.com/costing(costing:projects/details/8191/material/5319889)","Glass (default, float glass)")</f>
        <v>Glass (default, float glass)</v>
      </c>
      <c r="F5093" t="s">
        <v>5827</v>
      </c>
    </row>
    <row r="5094" spans="1:6" ht="12.75">
      <c r="A5094">
        <v>6948062</v>
      </c>
      <c r="B5094">
        <v>6975478</v>
      </c>
      <c r="C5094" t="s">
        <v>189</v>
      </c>
      <c r="D5094" t="s">
        <v>99</v>
      </c>
      <c r="E5094" s="2" t="str">
        <f>HYPERLINK("https://ibp.a2mac1.com/costing(costing:projects/details/8191/equipment/6948062)","Equipment (Injection Molding)")</f>
        <v>Equipment (Injection Molding)</v>
      </c>
      <c r="F5094" t="s">
        <v>5827</v>
      </c>
    </row>
    <row r="5095" spans="1:6" ht="12.75">
      <c r="A5095">
        <v>6948063</v>
      </c>
      <c r="B5095">
        <v>6975478</v>
      </c>
      <c r="C5095" t="s">
        <v>189</v>
      </c>
      <c r="D5095" t="s">
        <v>99</v>
      </c>
      <c r="E5095" s="2" t="str">
        <f>HYPERLINK("https://ibp.a2mac1.com/costing(costing:projects/details/8191/equipment/6948063)","Equipment (Injection Molding)")</f>
        <v>Equipment (Injection Molding)</v>
      </c>
      <c r="F5095" t="s">
        <v>5827</v>
      </c>
    </row>
    <row r="5096" spans="1:6" ht="12.75">
      <c r="A5096">
        <v>6948064</v>
      </c>
      <c r="B5096">
        <v>6975478</v>
      </c>
      <c r="C5096" t="s">
        <v>189</v>
      </c>
      <c r="D5096" t="s">
        <v>99</v>
      </c>
      <c r="E5096" s="2" t="str">
        <f>HYPERLINK("https://ibp.a2mac1.com/costing(costing:projects/details/8191/equipment/6948064)","Equipment (Standard Process)")</f>
        <v>Equipment (Standard Process)</v>
      </c>
      <c r="F5096" t="s">
        <v>5827</v>
      </c>
    </row>
    <row r="5097" spans="1:6" ht="12.75">
      <c r="A5097">
        <v>5388539</v>
      </c>
      <c r="B5097">
        <v>5388231</v>
      </c>
      <c r="C5097" t="s">
        <v>12</v>
      </c>
      <c r="D5097" t="s">
        <v>8</v>
      </c>
      <c r="E5097" s="2" t="str">
        <f>HYPERLINK("https://ibp.a2mac1.com/costing(costing:projects/details/8191/part/5388539)","Window Regulator")</f>
        <v>Window Regulator</v>
      </c>
      <c r="F5097" t="s">
        <v>5822</v>
      </c>
    </row>
    <row r="5098" spans="1:6" ht="12.75">
      <c r="A5098">
        <v>5388540</v>
      </c>
      <c r="B5098">
        <v>5388231</v>
      </c>
      <c r="C5098" t="s">
        <v>12</v>
      </c>
      <c r="D5098" t="s">
        <v>8</v>
      </c>
      <c r="E5098" s="2" t="str">
        <f>HYPERLINK("https://ibp.a2mac1.com/costing(costing:projects/details/8191/part/5388540)","Window Regulator Motor")</f>
        <v>Window Regulator Motor</v>
      </c>
      <c r="F5098" t="s">
        <v>5822</v>
      </c>
    </row>
    <row r="5099" spans="1:6" ht="12.75">
      <c r="A5099">
        <v>6975302</v>
      </c>
      <c r="B5099">
        <v>5388231</v>
      </c>
      <c r="C5099" t="s">
        <v>99</v>
      </c>
      <c r="D5099" t="s">
        <v>8</v>
      </c>
      <c r="E5099" s="2" t="str">
        <f>HYPERLINK("https://ibp.a2mac1.com/costing(costing:projects/details/8191/process/6975302)","Assembly")</f>
        <v>Assembly</v>
      </c>
      <c r="F5099" t="s">
        <v>5822</v>
      </c>
    </row>
    <row r="5100" spans="1:6" ht="12.75">
      <c r="A5100">
        <v>6947859</v>
      </c>
      <c r="B5100">
        <v>6975302</v>
      </c>
      <c r="C5100" t="s">
        <v>189</v>
      </c>
      <c r="D5100" t="s">
        <v>99</v>
      </c>
      <c r="E5100" s="2" t="str">
        <f>HYPERLINK("https://ibp.a2mac1.com/costing(costing:projects/details/8191/equipment/6947859)","Assembly line")</f>
        <v>Assembly line</v>
      </c>
      <c r="F5100" t="s">
        <v>5828</v>
      </c>
    </row>
    <row r="5101" spans="1:6" ht="12.75">
      <c r="A5101">
        <v>5388232</v>
      </c>
      <c r="B5101">
        <v>5388138</v>
      </c>
      <c r="C5101" t="s">
        <v>8</v>
      </c>
      <c r="D5101" t="s">
        <v>8</v>
      </c>
      <c r="E5101" s="2" t="str">
        <f>HYPERLINK("https://ibp.a2mac1.com/costing(costing:projects/details/8191/assembly/5388232)","Sealing System")</f>
        <v>Sealing System</v>
      </c>
      <c r="F5101" t="s">
        <v>5707</v>
      </c>
    </row>
    <row r="5102" spans="1:6" ht="12.75">
      <c r="A5102">
        <v>5388545</v>
      </c>
      <c r="B5102">
        <v>5388232</v>
      </c>
      <c r="C5102" t="s">
        <v>8</v>
      </c>
      <c r="D5102" t="s">
        <v>8</v>
      </c>
      <c r="E5102" s="2" t="str">
        <f>HYPERLINK("https://ibp.a2mac1.com/costing(costing:projects/details/8191/assembly/5388545)","Door Weatherstripping")</f>
        <v>Door Weatherstripping</v>
      </c>
      <c r="F5102" t="s">
        <v>5829</v>
      </c>
    </row>
    <row r="5103" spans="1:6" ht="12.75">
      <c r="A5103">
        <v>5388863</v>
      </c>
      <c r="B5103">
        <v>5388545</v>
      </c>
      <c r="C5103" t="s">
        <v>12</v>
      </c>
      <c r="D5103" t="s">
        <v>8</v>
      </c>
      <c r="E5103" s="2" t="str">
        <f>HYPERLINK("https://ibp.a2mac1.com/costing(costing:projects/details/8191/part/5388863)","On Body")</f>
        <v>On Body</v>
      </c>
      <c r="F5103" t="s">
        <v>5830</v>
      </c>
    </row>
    <row r="5104" spans="1:6" ht="12.75">
      <c r="A5104">
        <v>6975702</v>
      </c>
      <c r="B5104">
        <v>5388863</v>
      </c>
      <c r="C5104" t="s">
        <v>99</v>
      </c>
      <c r="D5104" t="s">
        <v>12</v>
      </c>
      <c r="E5104" s="2" t="str">
        <f>HYPERLINK("https://ibp.a2mac1.com/costing(costing:projects/details/8191/process/6975702)","Seal Extrusion (Multi Layer)")</f>
        <v>Seal Extrusion (Multi Layer)</v>
      </c>
      <c r="F5104" t="s">
        <v>5831</v>
      </c>
    </row>
    <row r="5105" spans="1:6" ht="12.75">
      <c r="A5105">
        <v>5320118</v>
      </c>
      <c r="B5105">
        <v>6975702</v>
      </c>
      <c r="C5105" t="s">
        <v>24</v>
      </c>
      <c r="D5105" t="s">
        <v>99</v>
      </c>
      <c r="E5105" s="2" t="str">
        <f>HYPERLINK("https://ibp.a2mac1.com/costing(costing:projects/details/8191/material/5320118)","Standard Structural Steel sheet")</f>
        <v>Standard Structural Steel sheet</v>
      </c>
      <c r="F5105" t="s">
        <v>5832</v>
      </c>
    </row>
    <row r="5106" spans="1:6" ht="12.75">
      <c r="A5106">
        <v>5320119</v>
      </c>
      <c r="B5106">
        <v>6975702</v>
      </c>
      <c r="C5106" t="s">
        <v>24</v>
      </c>
      <c r="D5106" t="s">
        <v>99</v>
      </c>
      <c r="E5106" s="2" t="str">
        <f>HYPERLINK("https://ibp.a2mac1.com/costing(costing:projects/details/8191/material/5320119)","EPDM")</f>
        <v>EPDM</v>
      </c>
      <c r="F5106" t="s">
        <v>5832</v>
      </c>
    </row>
    <row r="5107" spans="1:6" ht="12.75">
      <c r="A5107">
        <v>6948304</v>
      </c>
      <c r="B5107">
        <v>6975702</v>
      </c>
      <c r="C5107" t="s">
        <v>189</v>
      </c>
      <c r="D5107" t="s">
        <v>99</v>
      </c>
      <c r="E5107" s="2" t="str">
        <f>HYPERLINK("https://ibp.a2mac1.com/costing(costing:projects/details/8191/equipment/6948304)","Rubber Extrusion machine")</f>
        <v>Rubber Extrusion machine</v>
      </c>
      <c r="F5107" t="s">
        <v>5832</v>
      </c>
    </row>
    <row r="5108" spans="1:6" ht="12.75">
      <c r="A5108">
        <v>6975703</v>
      </c>
      <c r="B5108">
        <v>5388863</v>
      </c>
      <c r="C5108" t="s">
        <v>99</v>
      </c>
      <c r="D5108" t="s">
        <v>12</v>
      </c>
      <c r="E5108" s="2" t="str">
        <f>HYPERLINK("https://ibp.a2mac1.com/costing(costing:projects/details/8191/process/6975703)","End Glueing/Vulcanizing, Check and Pack")</f>
        <v>End Glueing/Vulcanizing, Check and Pack</v>
      </c>
      <c r="F5108" t="s">
        <v>5831</v>
      </c>
    </row>
    <row r="5109" spans="1:6" ht="12.75">
      <c r="A5109">
        <v>6948305</v>
      </c>
      <c r="B5109">
        <v>6975703</v>
      </c>
      <c r="C5109" t="s">
        <v>189</v>
      </c>
      <c r="D5109" t="s">
        <v>99</v>
      </c>
      <c r="E5109" s="2" t="str">
        <f>HYPERLINK("https://ibp.a2mac1.com/costing(costing:projects/details/8191/equipment/6948305)","Seal welding/joining station, manual")</f>
        <v>Seal welding/joining station, manual</v>
      </c>
      <c r="F5109" t="s">
        <v>5833</v>
      </c>
    </row>
    <row r="5110" spans="1:6" ht="12.75">
      <c r="A5110">
        <v>5388864</v>
      </c>
      <c r="B5110">
        <v>5388545</v>
      </c>
      <c r="C5110" t="s">
        <v>12</v>
      </c>
      <c r="D5110" t="s">
        <v>8</v>
      </c>
      <c r="E5110" s="2" t="str">
        <f>HYPERLINK("https://ibp.a2mac1.com/costing(costing:projects/details/8191/part/5388864)","On Door")</f>
        <v>On Door</v>
      </c>
      <c r="F5110" t="s">
        <v>5830</v>
      </c>
    </row>
    <row r="5111" spans="1:6" ht="12.75">
      <c r="A5111">
        <v>6975704</v>
      </c>
      <c r="B5111">
        <v>5388864</v>
      </c>
      <c r="C5111" t="s">
        <v>99</v>
      </c>
      <c r="D5111" t="s">
        <v>12</v>
      </c>
      <c r="E5111" s="2" t="str">
        <f>HYPERLINK("https://ibp.a2mac1.com/costing(costing:projects/details/8191/process/6975704)","Seal Extrusion (Multi Layer)")</f>
        <v>Seal Extrusion (Multi Layer)</v>
      </c>
      <c r="F5111" t="s">
        <v>5834</v>
      </c>
    </row>
    <row r="5112" spans="1:6" ht="12.75">
      <c r="A5112">
        <v>5320120</v>
      </c>
      <c r="B5112">
        <v>6975704</v>
      </c>
      <c r="C5112" t="s">
        <v>24</v>
      </c>
      <c r="D5112" t="s">
        <v>99</v>
      </c>
      <c r="E5112" s="2" t="str">
        <f>HYPERLINK("https://ibp.a2mac1.com/costing(costing:projects/details/8191/material/5320120)","EPDM")</f>
        <v>EPDM</v>
      </c>
      <c r="F5112" t="s">
        <v>5835</v>
      </c>
    </row>
    <row r="5113" spans="1:6" ht="12.75">
      <c r="A5113">
        <v>5320121</v>
      </c>
      <c r="B5113">
        <v>6975704</v>
      </c>
      <c r="C5113" t="s">
        <v>24</v>
      </c>
      <c r="D5113" t="s">
        <v>99</v>
      </c>
      <c r="E5113" s="2" t="str">
        <f>HYPERLINK("https://ibp.a2mac1.com/costing(costing:projects/details/8191/material/5320121)","Standard Structural Steel sheet")</f>
        <v>Standard Structural Steel sheet</v>
      </c>
      <c r="F5113" t="s">
        <v>5835</v>
      </c>
    </row>
    <row r="5114" spans="1:6" ht="12.75">
      <c r="A5114">
        <v>6948306</v>
      </c>
      <c r="B5114">
        <v>6975704</v>
      </c>
      <c r="C5114" t="s">
        <v>189</v>
      </c>
      <c r="D5114" t="s">
        <v>99</v>
      </c>
      <c r="E5114" s="2" t="str">
        <f>HYPERLINK("https://ibp.a2mac1.com/costing(costing:projects/details/8191/equipment/6948306)","Rubber Extrusion machine")</f>
        <v>Rubber Extrusion machine</v>
      </c>
      <c r="F5114" t="s">
        <v>5835</v>
      </c>
    </row>
    <row r="5115" spans="1:6" ht="12.75">
      <c r="A5115">
        <v>6975705</v>
      </c>
      <c r="B5115">
        <v>5388864</v>
      </c>
      <c r="C5115" t="s">
        <v>99</v>
      </c>
      <c r="D5115" t="s">
        <v>12</v>
      </c>
      <c r="E5115" s="2" t="str">
        <f>HYPERLINK("https://ibp.a2mac1.com/costing(costing:projects/details/8191/process/6975705)","End Glueing/Vulcanizing, Check and Pack")</f>
        <v>End Glueing/Vulcanizing, Check and Pack</v>
      </c>
      <c r="F5115" t="s">
        <v>5834</v>
      </c>
    </row>
    <row r="5116" spans="1:6" ht="12.75">
      <c r="A5116">
        <v>6948307</v>
      </c>
      <c r="B5116">
        <v>6975705</v>
      </c>
      <c r="C5116" t="s">
        <v>189</v>
      </c>
      <c r="D5116" t="s">
        <v>99</v>
      </c>
      <c r="E5116" s="2" t="str">
        <f>HYPERLINK("https://ibp.a2mac1.com/costing(costing:projects/details/8191/equipment/6948307)","Seal welding/joining station, manual")</f>
        <v>Seal welding/joining station, manual</v>
      </c>
      <c r="F5116" t="s">
        <v>5836</v>
      </c>
    </row>
    <row r="5117" spans="1:6" ht="12.75">
      <c r="A5117">
        <v>5388542</v>
      </c>
      <c r="B5117">
        <v>5388232</v>
      </c>
      <c r="C5117" t="s">
        <v>12</v>
      </c>
      <c r="D5117" t="s">
        <v>8</v>
      </c>
      <c r="E5117" s="2" t="str">
        <f>HYPERLINK("https://ibp.a2mac1.com/costing(costing:projects/details/8191/part/5388542)","Interior Weatherstrip")</f>
        <v>Interior Weatherstrip</v>
      </c>
      <c r="F5117" t="s">
        <v>5829</v>
      </c>
    </row>
    <row r="5118" spans="1:6" ht="12.75">
      <c r="A5118">
        <v>6975480</v>
      </c>
      <c r="B5118">
        <v>5388542</v>
      </c>
      <c r="C5118" t="s">
        <v>99</v>
      </c>
      <c r="D5118" t="s">
        <v>12</v>
      </c>
      <c r="E5118" s="2" t="str">
        <f>HYPERLINK("https://ibp.a2mac1.com/costing(costing:projects/details/8191/process/6975480)","Seal Extrusion")</f>
        <v>Seal Extrusion</v>
      </c>
      <c r="F5118" t="s">
        <v>5837</v>
      </c>
    </row>
    <row r="5119" spans="1:6" ht="12.75">
      <c r="A5119">
        <v>5319891</v>
      </c>
      <c r="B5119">
        <v>6975480</v>
      </c>
      <c r="C5119" t="s">
        <v>24</v>
      </c>
      <c r="D5119" t="s">
        <v>99</v>
      </c>
      <c r="E5119" s="2" t="str">
        <f>HYPERLINK("https://ibp.a2mac1.com/costing(costing:projects/details/8191/material/5319891)","PP-EPDM")</f>
        <v>PP-EPDM</v>
      </c>
      <c r="F5119" t="s">
        <v>5838</v>
      </c>
    </row>
    <row r="5120" spans="1:6" ht="12.75">
      <c r="A5120">
        <v>6948066</v>
      </c>
      <c r="B5120">
        <v>6975480</v>
      </c>
      <c r="C5120" t="s">
        <v>189</v>
      </c>
      <c r="D5120" t="s">
        <v>99</v>
      </c>
      <c r="E5120" s="2" t="str">
        <f>HYPERLINK("https://ibp.a2mac1.com/costing(costing:projects/details/8191/equipment/6948066)","Rubber Extrusion machine")</f>
        <v>Rubber Extrusion machine</v>
      </c>
      <c r="F5120" t="s">
        <v>5838</v>
      </c>
    </row>
    <row r="5121" spans="1:6" ht="12.75">
      <c r="A5121">
        <v>5388543</v>
      </c>
      <c r="B5121">
        <v>5388232</v>
      </c>
      <c r="C5121" t="s">
        <v>12</v>
      </c>
      <c r="D5121" t="s">
        <v>8</v>
      </c>
      <c r="E5121" s="2" t="str">
        <f>HYPERLINK("https://ibp.a2mac1.com/costing(costing:projects/details/8191/part/5388543)","Exterior Weatherstrip")</f>
        <v>Exterior Weatherstrip</v>
      </c>
      <c r="F5121" t="s">
        <v>5829</v>
      </c>
    </row>
    <row r="5122" spans="1:6" ht="12.75">
      <c r="A5122">
        <v>6975481</v>
      </c>
      <c r="B5122">
        <v>5388543</v>
      </c>
      <c r="C5122" t="s">
        <v>99</v>
      </c>
      <c r="D5122" t="s">
        <v>12</v>
      </c>
      <c r="E5122" s="2" t="str">
        <f>HYPERLINK("https://ibp.a2mac1.com/costing(costing:projects/details/8191/process/6975481)","Seal Extrusion")</f>
        <v>Seal Extrusion</v>
      </c>
      <c r="F5122" t="s">
        <v>5839</v>
      </c>
    </row>
    <row r="5123" spans="1:6" ht="12.75">
      <c r="A5123">
        <v>5319892</v>
      </c>
      <c r="B5123">
        <v>6975481</v>
      </c>
      <c r="C5123" t="s">
        <v>24</v>
      </c>
      <c r="D5123" t="s">
        <v>99</v>
      </c>
      <c r="E5123" s="2" t="str">
        <f>HYPERLINK("https://ibp.a2mac1.com/costing(costing:projects/details/8191/material/5319892)","Aluminum for extrusion (default, e.g. EN-AW6016)")</f>
        <v>Aluminum for extrusion (default, e.g. EN-AW6016)</v>
      </c>
      <c r="F5123" t="s">
        <v>5840</v>
      </c>
    </row>
    <row r="5124" spans="1:6" ht="12.75">
      <c r="A5124">
        <v>5319893</v>
      </c>
      <c r="B5124">
        <v>6975481</v>
      </c>
      <c r="C5124" t="s">
        <v>24</v>
      </c>
      <c r="D5124" t="s">
        <v>99</v>
      </c>
      <c r="E5124" s="2" t="str">
        <f>HYPERLINK("https://ibp.a2mac1.com/costing(costing:projects/details/8191/material/5319893)","EPDM")</f>
        <v>EPDM</v>
      </c>
      <c r="F5124" t="s">
        <v>5840</v>
      </c>
    </row>
    <row r="5125" spans="1:6" ht="12.75">
      <c r="A5125">
        <v>6948067</v>
      </c>
      <c r="B5125">
        <v>6975481</v>
      </c>
      <c r="C5125" t="s">
        <v>189</v>
      </c>
      <c r="D5125" t="s">
        <v>99</v>
      </c>
      <c r="E5125" s="2" t="str">
        <f>HYPERLINK("https://ibp.a2mac1.com/costing(costing:projects/details/8191/equipment/6948067)","Rubber Extrusion machine")</f>
        <v>Rubber Extrusion machine</v>
      </c>
      <c r="F5125" t="s">
        <v>5840</v>
      </c>
    </row>
    <row r="5126" spans="1:6" ht="12.75">
      <c r="A5126">
        <v>5388544</v>
      </c>
      <c r="B5126">
        <v>5388232</v>
      </c>
      <c r="C5126" t="s">
        <v>12</v>
      </c>
      <c r="D5126" t="s">
        <v>8</v>
      </c>
      <c r="E5126" s="2" t="str">
        <f>HYPERLINK("https://ibp.a2mac1.com/costing(costing:projects/details/8191/part/5388544)","Glass Run Channel Seal")</f>
        <v>Glass Run Channel Seal</v>
      </c>
      <c r="F5126" t="s">
        <v>5829</v>
      </c>
    </row>
    <row r="5127" spans="1:6" ht="12.75">
      <c r="A5127">
        <v>6975482</v>
      </c>
      <c r="B5127">
        <v>5388544</v>
      </c>
      <c r="C5127" t="s">
        <v>99</v>
      </c>
      <c r="D5127" t="s">
        <v>12</v>
      </c>
      <c r="E5127" s="2" t="str">
        <f>HYPERLINK("https://ibp.a2mac1.com/costing(costing:projects/details/8191/process/6975482)","Seal Extrusion")</f>
        <v>Seal Extrusion</v>
      </c>
      <c r="F5127" t="s">
        <v>5841</v>
      </c>
    </row>
    <row r="5128" spans="1:6" ht="12.75">
      <c r="A5128">
        <v>5319894</v>
      </c>
      <c r="B5128">
        <v>6975482</v>
      </c>
      <c r="C5128" t="s">
        <v>24</v>
      </c>
      <c r="D5128" t="s">
        <v>99</v>
      </c>
      <c r="E5128" s="2" t="str">
        <f>HYPERLINK("https://ibp.a2mac1.com/costing(costing:projects/details/8191/material/5319894)","EPDM")</f>
        <v>EPDM</v>
      </c>
      <c r="F5128" t="s">
        <v>5842</v>
      </c>
    </row>
    <row r="5129" spans="1:6" ht="12.75">
      <c r="A5129">
        <v>5319895</v>
      </c>
      <c r="B5129">
        <v>6975482</v>
      </c>
      <c r="C5129" t="s">
        <v>24</v>
      </c>
      <c r="D5129" t="s">
        <v>99</v>
      </c>
      <c r="E5129" s="2" t="str">
        <f>HYPERLINK("https://ibp.a2mac1.com/costing(costing:projects/details/8191/material/5319895)","Aluminum for extrusion (default, e.g. EN-AW6016)")</f>
        <v>Aluminum for extrusion (default, e.g. EN-AW6016)</v>
      </c>
      <c r="F5129" t="s">
        <v>5842</v>
      </c>
    </row>
    <row r="5130" spans="1:6" ht="12.75">
      <c r="A5130">
        <v>6948068</v>
      </c>
      <c r="B5130">
        <v>6975482</v>
      </c>
      <c r="C5130" t="s">
        <v>189</v>
      </c>
      <c r="D5130" t="s">
        <v>99</v>
      </c>
      <c r="E5130" s="2" t="str">
        <f>HYPERLINK("https://ibp.a2mac1.com/costing(costing:projects/details/8191/equipment/6948068)","Rubber Extrusion machine")</f>
        <v>Rubber Extrusion machine</v>
      </c>
      <c r="F5130" t="s">
        <v>5842</v>
      </c>
    </row>
    <row r="5131" spans="1:6" ht="12.75">
      <c r="A5131">
        <v>5388233</v>
      </c>
      <c r="B5131">
        <v>5388138</v>
      </c>
      <c r="C5131" t="s">
        <v>8</v>
      </c>
      <c r="D5131" t="s">
        <v>8</v>
      </c>
      <c r="E5131" s="2" t="str">
        <f>HYPERLINK("https://ibp.a2mac1.com/costing(costing:projects/details/8191/assembly/5388233)","Hinges")</f>
        <v>Hinges</v>
      </c>
      <c r="F5131" t="s">
        <v>5707</v>
      </c>
    </row>
    <row r="5132" spans="1:6" ht="12.75">
      <c r="A5132">
        <v>5388547</v>
      </c>
      <c r="B5132">
        <v>5388233</v>
      </c>
      <c r="C5132" t="s">
        <v>8</v>
      </c>
      <c r="D5132" t="s">
        <v>8</v>
      </c>
      <c r="E5132" s="2" t="str">
        <f>HYPERLINK("https://ibp.a2mac1.com/costing(costing:projects/details/8191/assembly/5388547)","Upper")</f>
        <v>Upper</v>
      </c>
      <c r="F5132" t="s">
        <v>5844</v>
      </c>
    </row>
    <row r="5133" spans="1:6" ht="12.75">
      <c r="A5133">
        <v>5388865</v>
      </c>
      <c r="B5133">
        <v>5388547</v>
      </c>
      <c r="C5133" t="s">
        <v>8</v>
      </c>
      <c r="D5133" t="s">
        <v>8</v>
      </c>
      <c r="E5133" s="2" t="str">
        <f>HYPERLINK("https://ibp.a2mac1.com/costing(costing:projects/details/8191/assembly/5388865)","On Body")</f>
        <v>On Body</v>
      </c>
      <c r="F5133" t="s">
        <v>5845</v>
      </c>
    </row>
    <row r="5134" spans="1:6" ht="12.75">
      <c r="A5134">
        <v>5389219</v>
      </c>
      <c r="B5134">
        <v>5388865</v>
      </c>
      <c r="C5134" t="s">
        <v>12</v>
      </c>
      <c r="D5134" t="s">
        <v>8</v>
      </c>
      <c r="E5134" s="2" t="str">
        <f>HYPERLINK("https://ibp.a2mac1.com/costing(costing:projects/details/8191/part/5389219)","Part 01 single/main")</f>
        <v>Part 01 single/main</v>
      </c>
      <c r="F5134" t="s">
        <v>5846</v>
      </c>
    </row>
    <row r="5135" spans="1:6" ht="12.75">
      <c r="A5135">
        <v>6975835</v>
      </c>
      <c r="B5135">
        <v>5389219</v>
      </c>
      <c r="C5135" t="s">
        <v>99</v>
      </c>
      <c r="D5135" t="s">
        <v>12</v>
      </c>
      <c r="E5135" s="2" t="str">
        <f>HYPERLINK("https://ibp.a2mac1.com/costing(costing:projects/details/8191/process/6975835)","Manufacturing Process")</f>
        <v>Manufacturing Process</v>
      </c>
      <c r="F5135" t="s">
        <v>5847</v>
      </c>
    </row>
    <row r="5136" spans="1:6" ht="12.75">
      <c r="A5136">
        <v>5320290</v>
      </c>
      <c r="B5136">
        <v>6975835</v>
      </c>
      <c r="C5136" t="s">
        <v>24</v>
      </c>
      <c r="D5136" t="s">
        <v>99</v>
      </c>
      <c r="E5136" s="2" t="str">
        <f>HYPERLINK("https://ibp.a2mac1.com/costing(costing:projects/details/8191/material/5320290)","Standard Structural Steel sheet")</f>
        <v>Standard Structural Steel sheet</v>
      </c>
      <c r="F5136" t="s">
        <v>5848</v>
      </c>
    </row>
    <row r="5137" spans="1:6" ht="12.75">
      <c r="A5137">
        <v>6948430</v>
      </c>
      <c r="B5137">
        <v>6975835</v>
      </c>
      <c r="C5137" t="s">
        <v>189</v>
      </c>
      <c r="D5137" t="s">
        <v>99</v>
      </c>
      <c r="E5137" s="2" t="str">
        <f>HYPERLINK("https://ibp.a2mac1.com/costing(costing:projects/details/8191/equipment/6948430)","Equipment (Casting)")</f>
        <v>Equipment (Casting)</v>
      </c>
      <c r="F5137" t="s">
        <v>5848</v>
      </c>
    </row>
    <row r="5138" spans="1:6" ht="12.75">
      <c r="A5138">
        <v>5388866</v>
      </c>
      <c r="B5138">
        <v>5388547</v>
      </c>
      <c r="C5138" t="s">
        <v>8</v>
      </c>
      <c r="D5138" t="s">
        <v>8</v>
      </c>
      <c r="E5138" s="2" t="str">
        <f>HYPERLINK("https://ibp.a2mac1.com/costing(costing:projects/details/8191/assembly/5388866)","On Door")</f>
        <v>On Door</v>
      </c>
      <c r="F5138" t="s">
        <v>5845</v>
      </c>
    </row>
    <row r="5139" spans="1:6" ht="12.75">
      <c r="A5139">
        <v>5389220</v>
      </c>
      <c r="B5139">
        <v>5388866</v>
      </c>
      <c r="C5139" t="s">
        <v>12</v>
      </c>
      <c r="D5139" t="s">
        <v>8</v>
      </c>
      <c r="E5139" s="2" t="str">
        <f>HYPERLINK("https://ibp.a2mac1.com/costing(costing:projects/details/8191/part/5389220)","Part 01 single/main")</f>
        <v>Part 01 single/main</v>
      </c>
      <c r="F5139" t="s">
        <v>5849</v>
      </c>
    </row>
    <row r="5140" spans="1:6" ht="12.75">
      <c r="A5140">
        <v>6975836</v>
      </c>
      <c r="B5140">
        <v>5389220</v>
      </c>
      <c r="C5140" t="s">
        <v>99</v>
      </c>
      <c r="D5140" t="s">
        <v>12</v>
      </c>
      <c r="E5140" s="2" t="str">
        <f>HYPERLINK("https://ibp.a2mac1.com/costing(costing:projects/details/8191/process/6975836)","Manufacturing Process")</f>
        <v>Manufacturing Process</v>
      </c>
      <c r="F5140" t="s">
        <v>5850</v>
      </c>
    </row>
    <row r="5141" spans="1:6" ht="12.75">
      <c r="A5141">
        <v>5320291</v>
      </c>
      <c r="B5141">
        <v>6975836</v>
      </c>
      <c r="C5141" t="s">
        <v>24</v>
      </c>
      <c r="D5141" t="s">
        <v>99</v>
      </c>
      <c r="E5141" s="2" t="str">
        <f>HYPERLINK("https://ibp.a2mac1.com/costing(costing:projects/details/8191/material/5320291)","Standard Structural Steel sheet")</f>
        <v>Standard Structural Steel sheet</v>
      </c>
      <c r="F5141" t="s">
        <v>5851</v>
      </c>
    </row>
    <row r="5142" spans="1:6" ht="12.75">
      <c r="A5142">
        <v>6948431</v>
      </c>
      <c r="B5142">
        <v>6975836</v>
      </c>
      <c r="C5142" t="s">
        <v>189</v>
      </c>
      <c r="D5142" t="s">
        <v>99</v>
      </c>
      <c r="E5142" s="2" t="str">
        <f>HYPERLINK("https://ibp.a2mac1.com/costing(costing:projects/details/8191/equipment/6948431)","Equipment (Casting)")</f>
        <v>Equipment (Casting)</v>
      </c>
      <c r="F5142" t="s">
        <v>5851</v>
      </c>
    </row>
    <row r="5143" spans="1:6" ht="12.75">
      <c r="A5143">
        <v>5388867</v>
      </c>
      <c r="B5143">
        <v>5388547</v>
      </c>
      <c r="C5143" t="s">
        <v>8</v>
      </c>
      <c r="D5143" t="s">
        <v>8</v>
      </c>
      <c r="E5143" s="2" t="str">
        <f>HYPERLINK("https://ibp.a2mac1.com/costing(costing:projects/details/8191/assembly/5388867)","Fastners")</f>
        <v>Fastners</v>
      </c>
      <c r="F5143" t="s">
        <v>5845</v>
      </c>
    </row>
    <row r="5144" spans="1:6" ht="12.75">
      <c r="A5144">
        <v>5319896</v>
      </c>
      <c r="B5144">
        <v>5388867</v>
      </c>
      <c r="C5144" t="s">
        <v>574</v>
      </c>
      <c r="D5144" t="s">
        <v>8</v>
      </c>
      <c r="E5144" s="2" t="str">
        <f>HYPERLINK("https://ibp.a2mac1.com/costing(costing:projects/details/8191/component/5319896)","Screw &gt; Hexagon screw with flange")</f>
        <v>Screw &gt; Hexagon screw with flange</v>
      </c>
      <c r="F5144" t="s">
        <v>5852</v>
      </c>
    </row>
    <row r="5145" spans="1:6" ht="12.75">
      <c r="A5145">
        <v>5319897</v>
      </c>
      <c r="B5145">
        <v>5388867</v>
      </c>
      <c r="C5145" t="s">
        <v>574</v>
      </c>
      <c r="D5145" t="s">
        <v>8</v>
      </c>
      <c r="E5145" s="2" t="str">
        <f>HYPERLINK("https://ibp.a2mac1.com/costing(costing:projects/details/8191/component/5319897)","Screw &gt; Torx socket head cap screw")</f>
        <v>Screw &gt; Torx socket head cap screw</v>
      </c>
      <c r="F5145" t="s">
        <v>5852</v>
      </c>
    </row>
    <row r="5146" spans="1:6" ht="12.75">
      <c r="A5146">
        <v>5388548</v>
      </c>
      <c r="B5146">
        <v>5388233</v>
      </c>
      <c r="C5146" t="s">
        <v>8</v>
      </c>
      <c r="D5146" t="s">
        <v>8</v>
      </c>
      <c r="E5146" s="2" t="str">
        <f>HYPERLINK("https://ibp.a2mac1.com/costing(costing:projects/details/8191/assembly/5388548)","Lower")</f>
        <v>Lower</v>
      </c>
      <c r="F5146" t="s">
        <v>5844</v>
      </c>
    </row>
    <row r="5147" spans="1:6" ht="12.75">
      <c r="A5147">
        <v>5388868</v>
      </c>
      <c r="B5147">
        <v>5388548</v>
      </c>
      <c r="C5147" t="s">
        <v>8</v>
      </c>
      <c r="D5147" t="s">
        <v>8</v>
      </c>
      <c r="E5147" s="2" t="str">
        <f>HYPERLINK("https://ibp.a2mac1.com/costing(costing:projects/details/8191/assembly/5388868)","On Body")</f>
        <v>On Body</v>
      </c>
      <c r="F5147" t="s">
        <v>5853</v>
      </c>
    </row>
    <row r="5148" spans="1:6" ht="12.75">
      <c r="A5148">
        <v>5389221</v>
      </c>
      <c r="B5148">
        <v>5388868</v>
      </c>
      <c r="C5148" t="s">
        <v>12</v>
      </c>
      <c r="D5148" t="s">
        <v>8</v>
      </c>
      <c r="E5148" s="2" t="str">
        <f>HYPERLINK("https://ibp.a2mac1.com/costing(costing:projects/details/8191/part/5389221)","Part 01 single/main")</f>
        <v>Part 01 single/main</v>
      </c>
      <c r="F5148" t="s">
        <v>5854</v>
      </c>
    </row>
    <row r="5149" spans="1:6" ht="12.75">
      <c r="A5149">
        <v>6975837</v>
      </c>
      <c r="B5149">
        <v>5389221</v>
      </c>
      <c r="C5149" t="s">
        <v>99</v>
      </c>
      <c r="D5149" t="s">
        <v>12</v>
      </c>
      <c r="E5149" s="2" t="str">
        <f>HYPERLINK("https://ibp.a2mac1.com/costing(costing:projects/details/8191/process/6975837)","Manufacturing Process")</f>
        <v>Manufacturing Process</v>
      </c>
      <c r="F5149" t="s">
        <v>5855</v>
      </c>
    </row>
    <row r="5150" spans="1:6" ht="12.75">
      <c r="A5150">
        <v>5320292</v>
      </c>
      <c r="B5150">
        <v>6975837</v>
      </c>
      <c r="C5150" t="s">
        <v>24</v>
      </c>
      <c r="D5150" t="s">
        <v>99</v>
      </c>
      <c r="E5150" s="2" t="str">
        <f>HYPERLINK("https://ibp.a2mac1.com/costing(costing:projects/details/8191/material/5320292)","Standard Structural Steel sheet")</f>
        <v>Standard Structural Steel sheet</v>
      </c>
      <c r="F5150" t="s">
        <v>5856</v>
      </c>
    </row>
    <row r="5151" spans="1:6" ht="12.75">
      <c r="A5151">
        <v>6948432</v>
      </c>
      <c r="B5151">
        <v>6975837</v>
      </c>
      <c r="C5151" t="s">
        <v>189</v>
      </c>
      <c r="D5151" t="s">
        <v>99</v>
      </c>
      <c r="E5151" s="2" t="str">
        <f>HYPERLINK("https://ibp.a2mac1.com/costing(costing:projects/details/8191/equipment/6948432)","Equipment (Casting)")</f>
        <v>Equipment (Casting)</v>
      </c>
      <c r="F5151" t="s">
        <v>5856</v>
      </c>
    </row>
    <row r="5152" spans="1:6" ht="12.75">
      <c r="A5152">
        <v>5388869</v>
      </c>
      <c r="B5152">
        <v>5388548</v>
      </c>
      <c r="C5152" t="s">
        <v>8</v>
      </c>
      <c r="D5152" t="s">
        <v>8</v>
      </c>
      <c r="E5152" s="2" t="str">
        <f>HYPERLINK("https://ibp.a2mac1.com/costing(costing:projects/details/8191/assembly/5388869)","On Door")</f>
        <v>On Door</v>
      </c>
      <c r="F5152" t="s">
        <v>5853</v>
      </c>
    </row>
    <row r="5153" spans="1:6" ht="12.75">
      <c r="A5153">
        <v>5389222</v>
      </c>
      <c r="B5153">
        <v>5388869</v>
      </c>
      <c r="C5153" t="s">
        <v>12</v>
      </c>
      <c r="D5153" t="s">
        <v>8</v>
      </c>
      <c r="E5153" s="2" t="str">
        <f>HYPERLINK("https://ibp.a2mac1.com/costing(costing:projects/details/8191/part/5389222)","Part 01 single/main")</f>
        <v>Part 01 single/main</v>
      </c>
      <c r="F5153" t="s">
        <v>5857</v>
      </c>
    </row>
    <row r="5154" spans="1:6" ht="12.75">
      <c r="A5154">
        <v>6975838</v>
      </c>
      <c r="B5154">
        <v>5389222</v>
      </c>
      <c r="C5154" t="s">
        <v>99</v>
      </c>
      <c r="D5154" t="s">
        <v>12</v>
      </c>
      <c r="E5154" s="2" t="str">
        <f>HYPERLINK("https://ibp.a2mac1.com/costing(costing:projects/details/8191/process/6975838)","Manufacturing Process")</f>
        <v>Manufacturing Process</v>
      </c>
      <c r="F5154" t="s">
        <v>5858</v>
      </c>
    </row>
    <row r="5155" spans="1:6" ht="12.75">
      <c r="A5155">
        <v>5320293</v>
      </c>
      <c r="B5155">
        <v>6975838</v>
      </c>
      <c r="C5155" t="s">
        <v>24</v>
      </c>
      <c r="D5155" t="s">
        <v>99</v>
      </c>
      <c r="E5155" s="2" t="str">
        <f>HYPERLINK("https://ibp.a2mac1.com/costing(costing:projects/details/8191/material/5320293)","Standard Structural Steel sheet")</f>
        <v>Standard Structural Steel sheet</v>
      </c>
      <c r="F5155" t="s">
        <v>5859</v>
      </c>
    </row>
    <row r="5156" spans="1:6" ht="12.75">
      <c r="A5156">
        <v>6948433</v>
      </c>
      <c r="B5156">
        <v>6975838</v>
      </c>
      <c r="C5156" t="s">
        <v>189</v>
      </c>
      <c r="D5156" t="s">
        <v>99</v>
      </c>
      <c r="E5156" s="2" t="str">
        <f>HYPERLINK("https://ibp.a2mac1.com/costing(costing:projects/details/8191/equipment/6948433)","Equipment (Casting)")</f>
        <v>Equipment (Casting)</v>
      </c>
      <c r="F5156" t="s">
        <v>5859</v>
      </c>
    </row>
    <row r="5157" spans="1:6" ht="12.75">
      <c r="A5157">
        <v>5388870</v>
      </c>
      <c r="B5157">
        <v>5388548</v>
      </c>
      <c r="C5157" t="s">
        <v>8</v>
      </c>
      <c r="D5157" t="s">
        <v>8</v>
      </c>
      <c r="E5157" s="2" t="str">
        <f>HYPERLINK("https://ibp.a2mac1.com/costing(costing:projects/details/8191/assembly/5388870)","Fastners")</f>
        <v>Fastners</v>
      </c>
      <c r="F5157" t="s">
        <v>5853</v>
      </c>
    </row>
    <row r="5158" spans="1:6" ht="12.75">
      <c r="A5158">
        <v>5319898</v>
      </c>
      <c r="B5158">
        <v>5388870</v>
      </c>
      <c r="C5158" t="s">
        <v>574</v>
      </c>
      <c r="D5158" t="s">
        <v>8</v>
      </c>
      <c r="E5158" s="2" t="str">
        <f>HYPERLINK("https://ibp.a2mac1.com/costing(costing:projects/details/8191/component/5319898)","Screw &gt; 12 point flange screw with flange")</f>
        <v>Screw &gt; 12 point flange screw with flange</v>
      </c>
      <c r="F5158" t="s">
        <v>5860</v>
      </c>
    </row>
    <row r="5159" spans="1:6" ht="12.75">
      <c r="A5159">
        <v>5319899</v>
      </c>
      <c r="B5159">
        <v>5388870</v>
      </c>
      <c r="C5159" t="s">
        <v>574</v>
      </c>
      <c r="D5159" t="s">
        <v>8</v>
      </c>
      <c r="E5159" s="2" t="str">
        <f>HYPERLINK("https://ibp.a2mac1.com/costing(costing:projects/details/8191/component/5319899)","Screw &gt; Torx socket head cap screw")</f>
        <v>Screw &gt; Torx socket head cap screw</v>
      </c>
      <c r="F5159" t="s">
        <v>5860</v>
      </c>
    </row>
    <row r="5160" spans="1:6" ht="12.75">
      <c r="A5160">
        <v>5388549</v>
      </c>
      <c r="B5160">
        <v>5388233</v>
      </c>
      <c r="C5160" t="s">
        <v>8</v>
      </c>
      <c r="D5160" t="s">
        <v>8</v>
      </c>
      <c r="E5160" s="2" t="str">
        <f>HYPERLINK("https://ibp.a2mac1.com/costing(costing:projects/details/8191/assembly/5388549)","Fastners")</f>
        <v>Fastners</v>
      </c>
      <c r="F5160" t="s">
        <v>5844</v>
      </c>
    </row>
    <row r="5161" spans="1:6" ht="12.75">
      <c r="A5161">
        <v>5319620</v>
      </c>
      <c r="B5161">
        <v>5388549</v>
      </c>
      <c r="C5161" t="s">
        <v>574</v>
      </c>
      <c r="D5161" t="s">
        <v>8</v>
      </c>
      <c r="E5161" s="2" t="str">
        <f>HYPERLINK("https://ibp.a2mac1.com/costing(costing:projects/details/8191/component/5319620)","Screw &gt; Torx socket head cap screw with flange")</f>
        <v>Screw &gt; Torx socket head cap screw with flange</v>
      </c>
      <c r="F5161" t="s">
        <v>5861</v>
      </c>
    </row>
    <row r="5162" spans="1:6" ht="12.75">
      <c r="A5162">
        <v>5388546</v>
      </c>
      <c r="B5162">
        <v>5388233</v>
      </c>
      <c r="C5162" t="s">
        <v>12</v>
      </c>
      <c r="D5162" t="s">
        <v>8</v>
      </c>
      <c r="E5162" s="2" t="str">
        <f>HYPERLINK("https://ibp.a2mac1.com/costing(costing:projects/details/8191/part/5388546)","Door Stopper")</f>
        <v>Door Stopper</v>
      </c>
      <c r="F5162" t="s">
        <v>5844</v>
      </c>
    </row>
    <row r="5163" spans="1:6" ht="12.75">
      <c r="A5163">
        <v>5388234</v>
      </c>
      <c r="B5163">
        <v>5388138</v>
      </c>
      <c r="C5163" t="s">
        <v>8</v>
      </c>
      <c r="D5163" t="s">
        <v>8</v>
      </c>
      <c r="E5163" s="2" t="str">
        <f>HYPERLINK("https://ibp.a2mac1.com/costing(costing:projects/details/8191/assembly/5388234)","Power System")</f>
        <v>Power System</v>
      </c>
      <c r="F5163" t="s">
        <v>5707</v>
      </c>
    </row>
    <row r="5164" spans="1:6" ht="12.75">
      <c r="A5164">
        <v>5388555</v>
      </c>
      <c r="B5164">
        <v>5388234</v>
      </c>
      <c r="C5164" t="s">
        <v>8</v>
      </c>
      <c r="D5164" t="s">
        <v>8</v>
      </c>
      <c r="E5164" s="2" t="str">
        <f>HYPERLINK("https://ibp.a2mac1.com/costing(costing:projects/details/8191/assembly/5388555)","Door ECU")</f>
        <v>Door ECU</v>
      </c>
      <c r="F5164" t="s">
        <v>5863</v>
      </c>
    </row>
    <row r="5165" spans="1:6" ht="12.75">
      <c r="A5165">
        <v>6975483</v>
      </c>
      <c r="B5165">
        <v>5388555</v>
      </c>
      <c r="C5165" t="s">
        <v>99</v>
      </c>
      <c r="D5165" t="s">
        <v>8</v>
      </c>
      <c r="E5165" s="2" t="str">
        <f>HYPERLINK("https://ibp.a2mac1.com/costing(costing:projects/details/8191/process/6975483)","Process")</f>
        <v>Process</v>
      </c>
      <c r="F5165" t="s">
        <v>5864</v>
      </c>
    </row>
    <row r="5166" spans="1:6" ht="12.75">
      <c r="A5166">
        <v>6948069</v>
      </c>
      <c r="B5166">
        <v>6975483</v>
      </c>
      <c r="C5166" t="s">
        <v>189</v>
      </c>
      <c r="D5166" t="s">
        <v>99</v>
      </c>
      <c r="E5166" s="2" t="str">
        <f>HYPERLINK("https://ibp.a2mac1.com/costing(costing:projects/details/8191/equipment/6948069)","Dummy Machine (PCBA+Final Assembly Line)")</f>
        <v>Dummy Machine (PCBA+Final Assembly Line)</v>
      </c>
      <c r="F5166" t="s">
        <v>5865</v>
      </c>
    </row>
    <row r="5167" spans="1:6" ht="12.75">
      <c r="A5167">
        <v>5319621</v>
      </c>
      <c r="B5167">
        <v>5388555</v>
      </c>
      <c r="C5167" t="s">
        <v>574</v>
      </c>
      <c r="D5167" t="s">
        <v>8</v>
      </c>
      <c r="E5167" s="2" t="str">
        <f>HYPERLINK("https://ibp.a2mac1.com/costing(costing:projects/details/8191/component/5319621)","Mechanics")</f>
        <v>Mechanics</v>
      </c>
      <c r="F5167" t="s">
        <v>5864</v>
      </c>
    </row>
    <row r="5168" spans="1:6" ht="12.75">
      <c r="A5168">
        <v>5319622</v>
      </c>
      <c r="B5168">
        <v>5388555</v>
      </c>
      <c r="C5168" t="s">
        <v>574</v>
      </c>
      <c r="D5168" t="s">
        <v>8</v>
      </c>
      <c r="E5168" s="2" t="str">
        <f>HYPERLINK("https://ibp.a2mac1.com/costing(costing:projects/details/8191/component/5319622)","Electronics")</f>
        <v>Electronics</v>
      </c>
      <c r="F5168" t="s">
        <v>5864</v>
      </c>
    </row>
    <row r="5169" spans="1:6" ht="12.75">
      <c r="A5169">
        <v>5388557</v>
      </c>
      <c r="B5169">
        <v>5388234</v>
      </c>
      <c r="C5169" t="s">
        <v>8</v>
      </c>
      <c r="D5169" t="s">
        <v>8</v>
      </c>
      <c r="E5169" s="2" t="str">
        <f>HYPERLINK("https://ibp.a2mac1.com/costing(costing:projects/details/8191/assembly/5388557)","Ambiant Light")</f>
        <v>Ambiant Light</v>
      </c>
      <c r="F5169" t="s">
        <v>5863</v>
      </c>
    </row>
    <row r="5170" spans="1:6" ht="12.75">
      <c r="A5170">
        <v>5388871</v>
      </c>
      <c r="B5170">
        <v>5388557</v>
      </c>
      <c r="C5170" t="s">
        <v>12</v>
      </c>
      <c r="D5170" t="s">
        <v>8</v>
      </c>
      <c r="E5170" s="2" t="str">
        <f>HYPERLINK("https://ibp.a2mac1.com/costing(costing:projects/details/8191/part/5388871)","Lighting")</f>
        <v>Lighting</v>
      </c>
      <c r="F5170" t="s">
        <v>5866</v>
      </c>
    </row>
    <row r="5171" spans="1:6" ht="12.75">
      <c r="A5171">
        <v>5388872</v>
      </c>
      <c r="B5171">
        <v>5388557</v>
      </c>
      <c r="C5171" t="s">
        <v>12</v>
      </c>
      <c r="D5171" t="s">
        <v>8</v>
      </c>
      <c r="E5171" s="2" t="str">
        <f>HYPERLINK("https://ibp.a2mac1.com/costing(costing:projects/details/8191/part/5388872)","2nd Light")</f>
        <v>2nd Light</v>
      </c>
      <c r="F5171" t="s">
        <v>5866</v>
      </c>
    </row>
    <row r="5172" spans="1:6" ht="12.75">
      <c r="A5172">
        <v>5388873</v>
      </c>
      <c r="B5172">
        <v>5388557</v>
      </c>
      <c r="C5172" t="s">
        <v>12</v>
      </c>
      <c r="D5172" t="s">
        <v>8</v>
      </c>
      <c r="E5172" s="2" t="str">
        <f>HYPERLINK("https://ibp.a2mac1.com/costing(costing:projects/details/8191/part/5388873)","Light Diffuser")</f>
        <v>Light Diffuser</v>
      </c>
      <c r="F5172" t="s">
        <v>5866</v>
      </c>
    </row>
    <row r="5173" spans="1:6" ht="12.75">
      <c r="A5173">
        <v>5388874</v>
      </c>
      <c r="B5173">
        <v>5388557</v>
      </c>
      <c r="C5173" t="s">
        <v>12</v>
      </c>
      <c r="D5173" t="s">
        <v>8</v>
      </c>
      <c r="E5173" s="2" t="str">
        <f>HYPERLINK("https://ibp.a2mac1.com/costing(costing:projects/details/8191/part/5388874)","2nd Light Diffuser")</f>
        <v>2nd Light Diffuser</v>
      </c>
      <c r="F5173" t="s">
        <v>5866</v>
      </c>
    </row>
    <row r="5174" spans="1:6" ht="12.75">
      <c r="A5174">
        <v>5388558</v>
      </c>
      <c r="B5174">
        <v>5388234</v>
      </c>
      <c r="C5174" t="s">
        <v>8</v>
      </c>
      <c r="D5174" t="s">
        <v>8</v>
      </c>
      <c r="E5174" s="2" t="str">
        <f>HYPERLINK("https://ibp.a2mac1.com/costing(costing:projects/details/8191/assembly/5388558)","Fastners")</f>
        <v>Fastners</v>
      </c>
      <c r="F5174" t="s">
        <v>5863</v>
      </c>
    </row>
    <row r="5175" spans="1:6" ht="12.75">
      <c r="A5175">
        <v>5319623</v>
      </c>
      <c r="B5175">
        <v>5388558</v>
      </c>
      <c r="C5175" t="s">
        <v>574</v>
      </c>
      <c r="D5175" t="s">
        <v>8</v>
      </c>
      <c r="E5175" s="2" t="str">
        <f>HYPERLINK("https://ibp.a2mac1.com/costing(costing:projects/details/8191/component/5319623)","Tube/cluster support &gt; Tube/cluster beribboned support in hole")</f>
        <v>Tube/cluster support &gt; Tube/cluster beribboned support in hole</v>
      </c>
      <c r="F5175" t="s">
        <v>5867</v>
      </c>
    </row>
    <row r="5176" spans="1:6" ht="12.75">
      <c r="A5176">
        <v>5319624</v>
      </c>
      <c r="B5176">
        <v>5388558</v>
      </c>
      <c r="C5176" t="s">
        <v>574</v>
      </c>
      <c r="D5176" t="s">
        <v>8</v>
      </c>
      <c r="E5176" s="2" t="str">
        <f>HYPERLINK("https://ibp.a2mac1.com/costing(costing:projects/details/8191/component/5319624)","Tube/cluster support &gt; Tube/cluster strap support between tube/cluster")</f>
        <v>Tube/cluster support &gt; Tube/cluster strap support between tube/cluster</v>
      </c>
      <c r="F5176" t="s">
        <v>5867</v>
      </c>
    </row>
    <row r="5177" spans="1:6" ht="12.75">
      <c r="A5177">
        <v>5388550</v>
      </c>
      <c r="B5177">
        <v>5388234</v>
      </c>
      <c r="C5177" t="s">
        <v>12</v>
      </c>
      <c r="D5177" t="s">
        <v>8</v>
      </c>
      <c r="E5177" s="2" t="str">
        <f>HYPERLINK("https://ibp.a2mac1.com/costing(costing:projects/details/8191/part/5388550)","Harness")</f>
        <v>Harness</v>
      </c>
      <c r="F5177" t="s">
        <v>5863</v>
      </c>
    </row>
    <row r="5178" spans="1:6" ht="12.75">
      <c r="A5178">
        <v>5388551</v>
      </c>
      <c r="B5178">
        <v>5388234</v>
      </c>
      <c r="C5178" t="s">
        <v>12</v>
      </c>
      <c r="D5178" t="s">
        <v>8</v>
      </c>
      <c r="E5178" s="2" t="str">
        <f>HYPERLINK("https://ibp.a2mac1.com/costing(costing:projects/details/8191/part/5388551)","2nd Harness")</f>
        <v>2nd Harness</v>
      </c>
      <c r="F5178" t="s">
        <v>5863</v>
      </c>
    </row>
    <row r="5179" spans="1:6" ht="12.75">
      <c r="A5179">
        <v>5388552</v>
      </c>
      <c r="B5179">
        <v>5388234</v>
      </c>
      <c r="C5179" t="s">
        <v>12</v>
      </c>
      <c r="D5179" t="s">
        <v>8</v>
      </c>
      <c r="E5179" s="2" t="str">
        <f>HYPERLINK("https://ibp.a2mac1.com/costing(costing:projects/details/8191/part/5388552)","Lighting Wiring Harness")</f>
        <v>Lighting Wiring Harness</v>
      </c>
      <c r="F5179" t="s">
        <v>5863</v>
      </c>
    </row>
    <row r="5180" spans="1:6" ht="12.75">
      <c r="A5180">
        <v>5388553</v>
      </c>
      <c r="B5180">
        <v>5388234</v>
      </c>
      <c r="C5180" t="s">
        <v>12</v>
      </c>
      <c r="D5180" t="s">
        <v>8</v>
      </c>
      <c r="E5180" s="2" t="str">
        <f>HYPERLINK("https://ibp.a2mac1.com/costing(costing:projects/details/8191/part/5388553)","Harness Grommet")</f>
        <v>Harness Grommet</v>
      </c>
      <c r="F5180" t="s">
        <v>5863</v>
      </c>
    </row>
    <row r="5181" spans="1:6" ht="12.75">
      <c r="A5181">
        <v>5388554</v>
      </c>
      <c r="B5181">
        <v>5388234</v>
      </c>
      <c r="C5181" t="s">
        <v>12</v>
      </c>
      <c r="D5181" t="s">
        <v>8</v>
      </c>
      <c r="E5181" s="2" t="str">
        <f>HYPERLINK("https://ibp.a2mac1.com/costing(costing:projects/details/8191/part/5388554)","2nd Harness Grommet")</f>
        <v>2nd Harness Grommet</v>
      </c>
      <c r="F5181" t="s">
        <v>5863</v>
      </c>
    </row>
    <row r="5182" spans="1:6" ht="12.75">
      <c r="A5182">
        <v>5388556</v>
      </c>
      <c r="B5182">
        <v>5388234</v>
      </c>
      <c r="C5182" t="s">
        <v>12</v>
      </c>
      <c r="D5182" t="s">
        <v>8</v>
      </c>
      <c r="E5182" s="2" t="str">
        <f>HYPERLINK("https://ibp.a2mac1.com/costing(costing:projects/details/8191/part/5388556)","Locking Indicator")</f>
        <v>Locking Indicator</v>
      </c>
      <c r="F5182" t="s">
        <v>5863</v>
      </c>
    </row>
    <row r="5183" spans="1:6" ht="12.75">
      <c r="A5183">
        <v>5388235</v>
      </c>
      <c r="B5183">
        <v>5388138</v>
      </c>
      <c r="C5183" t="s">
        <v>8</v>
      </c>
      <c r="D5183" t="s">
        <v>8</v>
      </c>
      <c r="E5183" s="2" t="str">
        <f>HYPERLINK("https://ibp.a2mac1.com/costing(costing:projects/details/8191/assembly/5388235)","Molding System")</f>
        <v>Molding System</v>
      </c>
      <c r="F5183" t="s">
        <v>5707</v>
      </c>
    </row>
    <row r="5184" spans="1:6" ht="12.75">
      <c r="A5184">
        <v>5388563</v>
      </c>
      <c r="B5184">
        <v>5388235</v>
      </c>
      <c r="C5184" t="s">
        <v>8</v>
      </c>
      <c r="D5184" t="s">
        <v>8</v>
      </c>
      <c r="E5184" s="2" t="str">
        <f>HYPERLINK("https://ibp.a2mac1.com/costing(costing:projects/details/8191/assembly/5388563)","Fastners")</f>
        <v>Fastners</v>
      </c>
      <c r="F5184" t="s">
        <v>5868</v>
      </c>
    </row>
    <row r="5185" spans="1:6" ht="12.75">
      <c r="A5185">
        <v>5319625</v>
      </c>
      <c r="B5185">
        <v>5388563</v>
      </c>
      <c r="C5185" t="s">
        <v>574</v>
      </c>
      <c r="D5185" t="s">
        <v>8</v>
      </c>
      <c r="E5185" s="2" t="str">
        <f>HYPERLINK("https://ibp.a2mac1.com/costing(costing:projects/details/8191/component/5319625)","Panel holder &gt; Clips in round hole")</f>
        <v>Panel holder &gt; Clips in round hole</v>
      </c>
      <c r="F5185" t="s">
        <v>5869</v>
      </c>
    </row>
    <row r="5186" spans="1:6" ht="12.75">
      <c r="A5186">
        <v>5319628</v>
      </c>
      <c r="B5186">
        <v>5388563</v>
      </c>
      <c r="C5186" t="s">
        <v>574</v>
      </c>
      <c r="D5186" t="s">
        <v>8</v>
      </c>
      <c r="E5186" s="2" t="str">
        <f>HYPERLINK("https://ibp.a2mac1.com/costing(costing:projects/details/8191/component/5319628)","Rivet &gt; Screw rivet")</f>
        <v>Rivet &gt; Screw rivet</v>
      </c>
      <c r="F5186" t="s">
        <v>5869</v>
      </c>
    </row>
    <row r="5187" spans="1:6" ht="12.75">
      <c r="A5187">
        <v>5388559</v>
      </c>
      <c r="B5187">
        <v>5388235</v>
      </c>
      <c r="C5187" t="s">
        <v>12</v>
      </c>
      <c r="D5187" t="s">
        <v>8</v>
      </c>
      <c r="E5187" s="2" t="str">
        <f>HYPERLINK("https://ibp.a2mac1.com/costing(costing:projects/details/8191/part/5388559)","Side Protection Molding")</f>
        <v>Side Protection Molding</v>
      </c>
      <c r="F5187" t="s">
        <v>5868</v>
      </c>
    </row>
    <row r="5188" spans="1:6" ht="12.75">
      <c r="A5188">
        <v>6975484</v>
      </c>
      <c r="B5188">
        <v>5388559</v>
      </c>
      <c r="C5188" t="s">
        <v>99</v>
      </c>
      <c r="D5188" t="s">
        <v>12</v>
      </c>
      <c r="E5188" s="2" t="str">
        <f>HYPERLINK("https://ibp.a2mac1.com/costing(costing:projects/details/8191/process/6975484)","Injection molding")</f>
        <v>Injection molding</v>
      </c>
      <c r="F5188" t="s">
        <v>5870</v>
      </c>
    </row>
    <row r="5189" spans="1:6" ht="12.75">
      <c r="A5189">
        <v>5319900</v>
      </c>
      <c r="B5189">
        <v>6975484</v>
      </c>
      <c r="C5189" t="s">
        <v>24</v>
      </c>
      <c r="D5189" t="s">
        <v>99</v>
      </c>
      <c r="E5189" s="2" t="str">
        <f>HYPERLINK("https://ibp.a2mac1.com/costing(costing:projects/details/8191/material/5319900)","PP-TD20")</f>
        <v>PP-TD20</v>
      </c>
      <c r="F5189" t="s">
        <v>5871</v>
      </c>
    </row>
    <row r="5190" spans="1:6" ht="12.75">
      <c r="A5190">
        <v>6948070</v>
      </c>
      <c r="B5190">
        <v>6975484</v>
      </c>
      <c r="C5190" t="s">
        <v>189</v>
      </c>
      <c r="D5190" t="s">
        <v>99</v>
      </c>
      <c r="E5190" s="2" t="str">
        <f>HYPERLINK("https://ibp.a2mac1.com/costing(costing:projects/details/8191/equipment/6948070)","No.13 - Injection Press - 1000T - 191kW - 1230x1230 - Max Volume 7815cm3 ")</f>
        <v xml:space="preserve">No.13 - Injection Press - 1000T - 191kW - 1230x1230 - Max Volume 7815cm3 </v>
      </c>
      <c r="F5190" t="s">
        <v>5871</v>
      </c>
    </row>
    <row r="5191" spans="1:6" ht="12.75">
      <c r="A5191">
        <v>6975485</v>
      </c>
      <c r="B5191">
        <v>5388559</v>
      </c>
      <c r="C5191" t="s">
        <v>99</v>
      </c>
      <c r="D5191" t="s">
        <v>12</v>
      </c>
      <c r="E5191" s="2" t="str">
        <f>HYPERLINK("https://ibp.a2mac1.com/costing(costing:projects/details/8191/process/6975485)","Handling/Visual Inspection/Packaging")</f>
        <v>Handling/Visual Inspection/Packaging</v>
      </c>
      <c r="F5191" t="s">
        <v>5870</v>
      </c>
    </row>
    <row r="5192" spans="1:6" ht="12.75">
      <c r="A5192">
        <v>6948071</v>
      </c>
      <c r="B5192">
        <v>6975485</v>
      </c>
      <c r="C5192" t="s">
        <v>189</v>
      </c>
      <c r="D5192" t="s">
        <v>99</v>
      </c>
      <c r="E5192" s="2" t="str">
        <f>HYPERLINK("https://ibp.a2mac1.com/costing(costing:projects/details/8191/equipment/6948071)","Packaging")</f>
        <v>Packaging</v>
      </c>
      <c r="F5192" t="s">
        <v>5872</v>
      </c>
    </row>
    <row r="5193" spans="1:6" ht="12.75">
      <c r="A5193">
        <v>5388560</v>
      </c>
      <c r="B5193">
        <v>5388235</v>
      </c>
      <c r="C5193" t="s">
        <v>12</v>
      </c>
      <c r="D5193" t="s">
        <v>8</v>
      </c>
      <c r="E5193" s="2" t="str">
        <f>HYPERLINK("https://ibp.a2mac1.com/costing(costing:projects/details/8191/part/5388560)","B Pillar Accent")</f>
        <v>B Pillar Accent</v>
      </c>
      <c r="F5193" t="s">
        <v>5868</v>
      </c>
    </row>
    <row r="5194" spans="1:6" ht="12.75">
      <c r="A5194">
        <v>6975486</v>
      </c>
      <c r="B5194">
        <v>5388560</v>
      </c>
      <c r="C5194" t="s">
        <v>99</v>
      </c>
      <c r="D5194" t="s">
        <v>12</v>
      </c>
      <c r="E5194" s="2" t="str">
        <f>HYPERLINK("https://ibp.a2mac1.com/costing(costing:projects/details/8191/process/6975486)","Injection molding")</f>
        <v>Injection molding</v>
      </c>
      <c r="F5194" t="s">
        <v>5873</v>
      </c>
    </row>
    <row r="5195" spans="1:6" ht="12.75">
      <c r="A5195">
        <v>5319901</v>
      </c>
      <c r="B5195">
        <v>6975486</v>
      </c>
      <c r="C5195" t="s">
        <v>24</v>
      </c>
      <c r="D5195" t="s">
        <v>99</v>
      </c>
      <c r="E5195" s="2" t="str">
        <f>HYPERLINK("https://ibp.a2mac1.com/costing(costing:projects/details/8191/material/5319901)","PMMA")</f>
        <v>PMMA</v>
      </c>
      <c r="F5195" t="s">
        <v>5874</v>
      </c>
    </row>
    <row r="5196" spans="1:6" ht="12.75">
      <c r="A5196">
        <v>6948072</v>
      </c>
      <c r="B5196">
        <v>6975486</v>
      </c>
      <c r="C5196" t="s">
        <v>189</v>
      </c>
      <c r="D5196" t="s">
        <v>99</v>
      </c>
      <c r="E5196" s="2" t="str">
        <f>HYPERLINK("https://ibp.a2mac1.com/costing(costing:projects/details/8191/equipment/6948072)","No.07 - Injection Press - 250T - 63kW - 570x570 - Max Volume 958cm3 ")</f>
        <v xml:space="preserve">No.07 - Injection Press - 250T - 63kW - 570x570 - Max Volume 958cm3 </v>
      </c>
      <c r="F5196" t="s">
        <v>5874</v>
      </c>
    </row>
    <row r="5197" spans="1:6" ht="12.75">
      <c r="A5197">
        <v>6975487</v>
      </c>
      <c r="B5197">
        <v>5388560</v>
      </c>
      <c r="C5197" t="s">
        <v>99</v>
      </c>
      <c r="D5197" t="s">
        <v>12</v>
      </c>
      <c r="E5197" s="2" t="str">
        <f>HYPERLINK("https://ibp.a2mac1.com/costing(costing:projects/details/8191/process/6975487)","Handling/Visual Inspection/Packaging")</f>
        <v>Handling/Visual Inspection/Packaging</v>
      </c>
      <c r="F5197" t="s">
        <v>5873</v>
      </c>
    </row>
    <row r="5198" spans="1:6" ht="12.75">
      <c r="A5198">
        <v>6948073</v>
      </c>
      <c r="B5198">
        <v>6975487</v>
      </c>
      <c r="C5198" t="s">
        <v>189</v>
      </c>
      <c r="D5198" t="s">
        <v>99</v>
      </c>
      <c r="E5198" s="2" t="str">
        <f>HYPERLINK("https://ibp.a2mac1.com/costing(costing:projects/details/8191/equipment/6948073)","Packaging")</f>
        <v>Packaging</v>
      </c>
      <c r="F5198" t="s">
        <v>5875</v>
      </c>
    </row>
    <row r="5199" spans="1:6" ht="12.75">
      <c r="A5199">
        <v>5388561</v>
      </c>
      <c r="B5199">
        <v>5388235</v>
      </c>
      <c r="C5199" t="s">
        <v>12</v>
      </c>
      <c r="D5199" t="s">
        <v>8</v>
      </c>
      <c r="E5199" s="2" t="str">
        <f>HYPERLINK("https://ibp.a2mac1.com/costing(costing:projects/details/8191/part/5388561)","Outer Upper Trim")</f>
        <v>Outer Upper Trim</v>
      </c>
      <c r="F5199" t="s">
        <v>5868</v>
      </c>
    </row>
    <row r="5200" spans="1:6" ht="12.75">
      <c r="A5200">
        <v>6975488</v>
      </c>
      <c r="B5200">
        <v>5388561</v>
      </c>
      <c r="C5200" t="s">
        <v>99</v>
      </c>
      <c r="D5200" t="s">
        <v>12</v>
      </c>
      <c r="E5200" s="2" t="str">
        <f>HYPERLINK("https://ibp.a2mac1.com/costing(costing:projects/details/8191/process/6975488)","Injection molding")</f>
        <v>Injection molding</v>
      </c>
      <c r="F5200" t="s">
        <v>5876</v>
      </c>
    </row>
    <row r="5201" spans="1:6" ht="12.75">
      <c r="A5201">
        <v>5319902</v>
      </c>
      <c r="B5201">
        <v>6975488</v>
      </c>
      <c r="C5201" t="s">
        <v>24</v>
      </c>
      <c r="D5201" t="s">
        <v>99</v>
      </c>
      <c r="E5201" s="2" t="str">
        <f>HYPERLINK("https://ibp.a2mac1.com/costing(costing:projects/details/8191/material/5319902)","PMMA")</f>
        <v>PMMA</v>
      </c>
      <c r="F5201" t="s">
        <v>5877</v>
      </c>
    </row>
    <row r="5202" spans="1:6" ht="12.75">
      <c r="A5202">
        <v>5319903</v>
      </c>
      <c r="B5202">
        <v>6975488</v>
      </c>
      <c r="C5202" t="s">
        <v>24</v>
      </c>
      <c r="D5202" t="s">
        <v>99</v>
      </c>
      <c r="E5202" s="2" t="str">
        <f>HYPERLINK("https://ibp.a2mac1.com/costing(costing:projects/details/8191/material/5319903)","ABS")</f>
        <v>ABS</v>
      </c>
      <c r="F5202" t="s">
        <v>5877</v>
      </c>
    </row>
    <row r="5203" spans="1:6" ht="12.75">
      <c r="A5203">
        <v>6948074</v>
      </c>
      <c r="B5203">
        <v>6975488</v>
      </c>
      <c r="C5203" t="s">
        <v>189</v>
      </c>
      <c r="D5203" t="s">
        <v>99</v>
      </c>
      <c r="E5203" s="2" t="str">
        <f>HYPERLINK("https://ibp.a2mac1.com/costing(costing:projects/details/8191/equipment/6948074)","Equipment (Injection Molding)")</f>
        <v>Equipment (Injection Molding)</v>
      </c>
      <c r="F5203" t="s">
        <v>5877</v>
      </c>
    </row>
    <row r="5204" spans="1:6" ht="12.75">
      <c r="A5204">
        <v>6948075</v>
      </c>
      <c r="B5204">
        <v>6975488</v>
      </c>
      <c r="C5204" t="s">
        <v>189</v>
      </c>
      <c r="D5204" t="s">
        <v>99</v>
      </c>
      <c r="E5204" s="2" t="str">
        <f>HYPERLINK("https://ibp.a2mac1.com/costing(costing:projects/details/8191/equipment/6948075)","Equipment (Injection Molding)")</f>
        <v>Equipment (Injection Molding)</v>
      </c>
      <c r="F5204" t="s">
        <v>5877</v>
      </c>
    </row>
    <row r="5205" spans="1:6" ht="12.75">
      <c r="A5205">
        <v>5388562</v>
      </c>
      <c r="B5205">
        <v>5388235</v>
      </c>
      <c r="C5205" t="s">
        <v>12</v>
      </c>
      <c r="D5205" t="s">
        <v>8</v>
      </c>
      <c r="E5205" s="2" t="str">
        <f>HYPERLINK("https://ibp.a2mac1.com/costing(costing:projects/details/8191/part/5388562)","Exterior Front Trim")</f>
        <v>Exterior Front Trim</v>
      </c>
      <c r="F5205" t="s">
        <v>5868</v>
      </c>
    </row>
    <row r="5206" spans="1:6" ht="12.75">
      <c r="A5206">
        <v>6975489</v>
      </c>
      <c r="B5206">
        <v>5388562</v>
      </c>
      <c r="C5206" t="s">
        <v>99</v>
      </c>
      <c r="D5206" t="s">
        <v>12</v>
      </c>
      <c r="E5206" s="2" t="str">
        <f>HYPERLINK("https://ibp.a2mac1.com/costing(costing:projects/details/8191/process/6975489)","Injection molding")</f>
        <v>Injection molding</v>
      </c>
      <c r="F5206" t="s">
        <v>5878</v>
      </c>
    </row>
    <row r="5207" spans="1:6" ht="12.75">
      <c r="A5207">
        <v>5319904</v>
      </c>
      <c r="B5207">
        <v>6975489</v>
      </c>
      <c r="C5207" t="s">
        <v>24</v>
      </c>
      <c r="D5207" t="s">
        <v>99</v>
      </c>
      <c r="E5207" s="2" t="str">
        <f>HYPERLINK("https://ibp.a2mac1.com/costing(costing:projects/details/8191/material/5319904)","ABS")</f>
        <v>ABS</v>
      </c>
      <c r="F5207" t="s">
        <v>5879</v>
      </c>
    </row>
    <row r="5208" spans="1:6" ht="12.75">
      <c r="A5208">
        <v>6948076</v>
      </c>
      <c r="B5208">
        <v>6975489</v>
      </c>
      <c r="C5208" t="s">
        <v>189</v>
      </c>
      <c r="D5208" t="s">
        <v>99</v>
      </c>
      <c r="E5208" s="2" t="str">
        <f>HYPERLINK("https://ibp.a2mac1.com/costing(costing:projects/details/8191/equipment/6948076)","Equipment (Injection Molding)")</f>
        <v>Equipment (Injection Molding)</v>
      </c>
      <c r="F5208" t="s">
        <v>5879</v>
      </c>
    </row>
    <row r="5209" spans="1:6" ht="12.75">
      <c r="A5209">
        <v>5388236</v>
      </c>
      <c r="B5209">
        <v>5388138</v>
      </c>
      <c r="C5209" t="s">
        <v>8</v>
      </c>
      <c r="D5209" t="s">
        <v>8</v>
      </c>
      <c r="E5209" s="2" t="str">
        <f>HYPERLINK("https://ibp.a2mac1.com/costing(costing:projects/details/8191/assembly/5388236)","Rear View Mirror System")</f>
        <v>Rear View Mirror System</v>
      </c>
      <c r="F5209" t="s">
        <v>5707</v>
      </c>
    </row>
    <row r="5210" spans="1:6" ht="12.75">
      <c r="A5210">
        <v>5388564</v>
      </c>
      <c r="B5210">
        <v>5388236</v>
      </c>
      <c r="C5210" t="s">
        <v>8</v>
      </c>
      <c r="D5210" t="s">
        <v>8</v>
      </c>
      <c r="E5210" s="2" t="str">
        <f>HYPERLINK("https://ibp.a2mac1.com/costing(costing:projects/details/8191/assembly/5388564)","Outside Rear View Mirror")</f>
        <v>Outside Rear View Mirror</v>
      </c>
      <c r="F5210" t="s">
        <v>5880</v>
      </c>
    </row>
    <row r="5211" spans="1:6" ht="12.75">
      <c r="A5211">
        <v>5388893</v>
      </c>
      <c r="B5211">
        <v>5388564</v>
      </c>
      <c r="C5211" t="s">
        <v>8</v>
      </c>
      <c r="D5211" t="s">
        <v>8</v>
      </c>
      <c r="E5211" s="2" t="str">
        <f>HYPERLINK("https://ibp.a2mac1.com/costing(costing:projects/details/8191/assembly/5388893)","Fastners")</f>
        <v>Fastners</v>
      </c>
      <c r="F5211" t="s">
        <v>5881</v>
      </c>
    </row>
    <row r="5212" spans="1:6" ht="12.75">
      <c r="A5212">
        <v>5319905</v>
      </c>
      <c r="B5212">
        <v>5388893</v>
      </c>
      <c r="C5212" t="s">
        <v>574</v>
      </c>
      <c r="D5212" t="s">
        <v>8</v>
      </c>
      <c r="E5212" s="2" t="str">
        <f>HYPERLINK("https://ibp.a2mac1.com/costing(costing:projects/details/8191/component/5319905)","Screw &gt; 12 point socket head cap screw with flange")</f>
        <v>Screw &gt; 12 point socket head cap screw with flange</v>
      </c>
      <c r="F5212" t="s">
        <v>5882</v>
      </c>
    </row>
    <row r="5213" spans="1:6" ht="12.75">
      <c r="A5213">
        <v>5319906</v>
      </c>
      <c r="B5213">
        <v>5388893</v>
      </c>
      <c r="C5213" t="s">
        <v>574</v>
      </c>
      <c r="D5213" t="s">
        <v>8</v>
      </c>
      <c r="E5213" s="2" t="str">
        <f>HYPERLINK("https://ibp.a2mac1.com/costing(costing:projects/details/8191/component/5319906)","Screw &gt; Torx socket head cap screw")</f>
        <v>Screw &gt; Torx socket head cap screw</v>
      </c>
      <c r="F5213" t="s">
        <v>5882</v>
      </c>
    </row>
    <row r="5214" spans="1:6" ht="12.75">
      <c r="A5214">
        <v>5319907</v>
      </c>
      <c r="B5214">
        <v>5388893</v>
      </c>
      <c r="C5214" t="s">
        <v>574</v>
      </c>
      <c r="D5214" t="s">
        <v>8</v>
      </c>
      <c r="E5214" s="2" t="str">
        <f>HYPERLINK("https://ibp.a2mac1.com/costing(costing:projects/details/8191/component/5319907)","Washer &gt; Plate washer")</f>
        <v>Washer &gt; Plate washer</v>
      </c>
      <c r="F5214" t="s">
        <v>5882</v>
      </c>
    </row>
    <row r="5215" spans="1:6" ht="12.75">
      <c r="A5215">
        <v>5319908</v>
      </c>
      <c r="B5215">
        <v>5388893</v>
      </c>
      <c r="C5215" t="s">
        <v>574</v>
      </c>
      <c r="D5215" t="s">
        <v>8</v>
      </c>
      <c r="E5215" s="2" t="str">
        <f>HYPERLINK("https://ibp.a2mac1.com/costing(costing:projects/details/8191/component/5319908)","Tube/cluster support &gt; Tube/cluster strap support in hole")</f>
        <v>Tube/cluster support &gt; Tube/cluster strap support in hole</v>
      </c>
      <c r="F5215" t="s">
        <v>5882</v>
      </c>
    </row>
    <row r="5216" spans="1:6" ht="12.75">
      <c r="A5216">
        <v>5319909</v>
      </c>
      <c r="B5216">
        <v>5388893</v>
      </c>
      <c r="C5216" t="s">
        <v>574</v>
      </c>
      <c r="D5216" t="s">
        <v>8</v>
      </c>
      <c r="E5216" s="2" t="str">
        <f>HYPERLINK("https://ibp.a2mac1.com/costing(costing:projects/details/8191/component/5319909)","Screw &gt; Torx socket head cap screw")</f>
        <v>Screw &gt; Torx socket head cap screw</v>
      </c>
      <c r="F5216" t="s">
        <v>5882</v>
      </c>
    </row>
    <row r="5217" spans="1:6" ht="12.75">
      <c r="A5217">
        <v>5319910</v>
      </c>
      <c r="B5217">
        <v>5388893</v>
      </c>
      <c r="C5217" t="s">
        <v>574</v>
      </c>
      <c r="D5217" t="s">
        <v>8</v>
      </c>
      <c r="E5217" s="2" t="str">
        <f>HYPERLINK("https://ibp.a2mac1.com/costing(costing:projects/details/8191/component/5319910)","Screw &gt; Torx socket head cap screw")</f>
        <v>Screw &gt; Torx socket head cap screw</v>
      </c>
      <c r="F5217" t="s">
        <v>5882</v>
      </c>
    </row>
    <row r="5218" spans="1:6" ht="12.75">
      <c r="A5218">
        <v>5319911</v>
      </c>
      <c r="B5218">
        <v>5388893</v>
      </c>
      <c r="C5218" t="s">
        <v>574</v>
      </c>
      <c r="D5218" t="s">
        <v>8</v>
      </c>
      <c r="E5218" s="2" t="str">
        <f>HYPERLINK("https://ibp.a2mac1.com/costing(costing:projects/details/8191/component/5319911)","Screw &gt; Torx socket head cap screw")</f>
        <v>Screw &gt; Torx socket head cap screw</v>
      </c>
      <c r="F5218" t="s">
        <v>5882</v>
      </c>
    </row>
    <row r="5219" spans="1:6" ht="12.75">
      <c r="A5219">
        <v>5319912</v>
      </c>
      <c r="B5219">
        <v>5388893</v>
      </c>
      <c r="C5219" t="s">
        <v>574</v>
      </c>
      <c r="D5219" t="s">
        <v>8</v>
      </c>
      <c r="E5219" s="2" t="str">
        <f>HYPERLINK("https://ibp.a2mac1.com/costing(costing:projects/details/8191/component/5319912)","Screw &gt; Torx socket head cap screw")</f>
        <v>Screw &gt; Torx socket head cap screw</v>
      </c>
      <c r="F5219" t="s">
        <v>5882</v>
      </c>
    </row>
    <row r="5220" spans="1:6" ht="12.75">
      <c r="A5220">
        <v>5319913</v>
      </c>
      <c r="B5220">
        <v>5388893</v>
      </c>
      <c r="C5220" t="s">
        <v>574</v>
      </c>
      <c r="D5220" t="s">
        <v>8</v>
      </c>
      <c r="E5220" s="2" t="str">
        <f>HYPERLINK("https://ibp.a2mac1.com/costing(costing:projects/details/8191/component/5319913)","Screw &gt; Torx socket head cap screw")</f>
        <v>Screw &gt; Torx socket head cap screw</v>
      </c>
      <c r="F5220" t="s">
        <v>5882</v>
      </c>
    </row>
    <row r="5221" spans="1:6" ht="12.75">
      <c r="A5221">
        <v>5388875</v>
      </c>
      <c r="B5221">
        <v>5388564</v>
      </c>
      <c r="C5221" t="s">
        <v>12</v>
      </c>
      <c r="D5221" t="s">
        <v>8</v>
      </c>
      <c r="E5221" s="2" t="str">
        <f>HYPERLINK("https://ibp.a2mac1.com/costing(costing:projects/details/8191/part/5388875)","Mirror")</f>
        <v>Mirror</v>
      </c>
      <c r="F5221" t="s">
        <v>5881</v>
      </c>
    </row>
    <row r="5222" spans="1:6" ht="12.75">
      <c r="A5222">
        <v>5388876</v>
      </c>
      <c r="B5222">
        <v>5388564</v>
      </c>
      <c r="C5222" t="s">
        <v>12</v>
      </c>
      <c r="D5222" t="s">
        <v>8</v>
      </c>
      <c r="E5222" s="2" t="str">
        <f>HYPERLINK("https://ibp.a2mac1.com/costing(costing:projects/details/8191/part/5388876)","Frame")</f>
        <v>Frame</v>
      </c>
      <c r="F5222" t="s">
        <v>5881</v>
      </c>
    </row>
    <row r="5223" spans="1:6" ht="12.75">
      <c r="A5223">
        <v>6975706</v>
      </c>
      <c r="B5223">
        <v>5388876</v>
      </c>
      <c r="C5223" t="s">
        <v>99</v>
      </c>
      <c r="D5223" t="s">
        <v>12</v>
      </c>
      <c r="E5223" s="2" t="str">
        <f>HYPERLINK("https://ibp.a2mac1.com/costing(costing:projects/details/8191/process/6975706)","Furnace heating")</f>
        <v>Furnace heating</v>
      </c>
      <c r="F5223" t="s">
        <v>5883</v>
      </c>
    </row>
    <row r="5224" spans="1:6" ht="12.75">
      <c r="A5224">
        <v>5320122</v>
      </c>
      <c r="B5224">
        <v>6975706</v>
      </c>
      <c r="C5224" t="s">
        <v>24</v>
      </c>
      <c r="D5224" t="s">
        <v>99</v>
      </c>
      <c r="E5224" s="2" t="str">
        <f>HYPERLINK("https://ibp.a2mac1.com/costing(costing:projects/details/8191/material/5320122)","Aluminum for casting (default, e.g. A380/ADC10/EN-AC46500)")</f>
        <v>Aluminum for casting (default, e.g. A380/ADC10/EN-AC46500)</v>
      </c>
      <c r="F5224" t="s">
        <v>5884</v>
      </c>
    </row>
    <row r="5225" spans="1:6" ht="12.75">
      <c r="A5225">
        <v>6948308</v>
      </c>
      <c r="B5225">
        <v>6975706</v>
      </c>
      <c r="C5225" t="s">
        <v>189</v>
      </c>
      <c r="D5225" t="s">
        <v>99</v>
      </c>
      <c r="E5225" s="2" t="str">
        <f>HYPERLINK("https://ibp.a2mac1.com/costing(costing:projects/details/8191/equipment/6948308)","No.01 - T,TF 10/11")</f>
        <v>No.01 - T,TF 10/11</v>
      </c>
      <c r="F5225" t="s">
        <v>5884</v>
      </c>
    </row>
    <row r="5226" spans="1:6" ht="12.75">
      <c r="A5226">
        <v>6975707</v>
      </c>
      <c r="B5226">
        <v>5388876</v>
      </c>
      <c r="C5226" t="s">
        <v>99</v>
      </c>
      <c r="D5226" t="s">
        <v>12</v>
      </c>
      <c r="E5226" s="2" t="str">
        <f>HYPERLINK("https://ibp.a2mac1.com/costing(costing:projects/details/8191/process/6975707)","Transport with laddle")</f>
        <v>Transport with laddle</v>
      </c>
      <c r="F5226" t="s">
        <v>5883</v>
      </c>
    </row>
    <row r="5227" spans="1:6" ht="12.75">
      <c r="A5227">
        <v>6948309</v>
      </c>
      <c r="B5227">
        <v>6975707</v>
      </c>
      <c r="C5227" t="s">
        <v>189</v>
      </c>
      <c r="D5227" t="s">
        <v>99</v>
      </c>
      <c r="E5227" s="2" t="str">
        <f>HYPERLINK("https://ibp.a2mac1.com/costing(costing:projects/details/8191/equipment/6948309)","No.01 - Buhler ladel Model 4,5L ")</f>
        <v xml:space="preserve">No.01 - Buhler ladel Model 4,5L </v>
      </c>
      <c r="F5227" t="s">
        <v>5885</v>
      </c>
    </row>
    <row r="5228" spans="1:6" ht="12.75">
      <c r="A5228">
        <v>6975708</v>
      </c>
      <c r="B5228">
        <v>5388876</v>
      </c>
      <c r="C5228" t="s">
        <v>99</v>
      </c>
      <c r="D5228" t="s">
        <v>12</v>
      </c>
      <c r="E5228" s="2" t="str">
        <f>HYPERLINK("https://ibp.a2mac1.com/costing(costing:projects/details/8191/process/6975708)","Pressing (Cold Chamber)")</f>
        <v>Pressing (Cold Chamber)</v>
      </c>
      <c r="F5228" t="s">
        <v>5883</v>
      </c>
    </row>
    <row r="5229" spans="1:6" ht="12.75">
      <c r="A5229">
        <v>6948310</v>
      </c>
      <c r="B5229">
        <v>6975708</v>
      </c>
      <c r="C5229" t="s">
        <v>189</v>
      </c>
      <c r="D5229" t="s">
        <v>99</v>
      </c>
      <c r="E5229" s="2" t="str">
        <f>HYPERLINK("https://ibp.a2mac1.com/costing(costing:projects/details/8191/equipment/6948310)","No.02 - Idra - OL 560 S ")</f>
        <v xml:space="preserve">No.02 - Idra - OL 560 S </v>
      </c>
      <c r="F5229" t="s">
        <v>5886</v>
      </c>
    </row>
    <row r="5230" spans="1:6" ht="12.75">
      <c r="A5230">
        <v>6975709</v>
      </c>
      <c r="B5230">
        <v>5388876</v>
      </c>
      <c r="C5230" t="s">
        <v>99</v>
      </c>
      <c r="D5230" t="s">
        <v>12</v>
      </c>
      <c r="E5230" s="2" t="str">
        <f>HYPERLINK("https://ibp.a2mac1.com/costing(costing:projects/details/8191/process/6975709)","Machining [ Drilling &amp; Threading ]")</f>
        <v>Machining [ Drilling &amp; Threading ]</v>
      </c>
      <c r="F5230" t="s">
        <v>5883</v>
      </c>
    </row>
    <row r="5231" spans="1:6" ht="12.75">
      <c r="A5231">
        <v>6948311</v>
      </c>
      <c r="B5231">
        <v>6975709</v>
      </c>
      <c r="C5231" t="s">
        <v>189</v>
      </c>
      <c r="D5231" t="s">
        <v>99</v>
      </c>
      <c r="E5231" s="2" t="str">
        <f>HYPERLINK("https://ibp.a2mac1.com/costing(costing:projects/details/8191/equipment/6948311)","Machining Center, small ")</f>
        <v xml:space="preserve">Machining Center, small </v>
      </c>
      <c r="F5231" t="s">
        <v>5887</v>
      </c>
    </row>
    <row r="5232" spans="1:6" ht="12.75">
      <c r="A5232">
        <v>6975712</v>
      </c>
      <c r="B5232">
        <v>5388876</v>
      </c>
      <c r="C5232" t="s">
        <v>99</v>
      </c>
      <c r="D5232" t="s">
        <v>12</v>
      </c>
      <c r="E5232" s="2" t="str">
        <f>HYPERLINK("https://ibp.a2mac1.com/costing(costing:projects/details/8191/process/6975712)","Trimming")</f>
        <v>Trimming</v>
      </c>
      <c r="F5232" t="s">
        <v>5883</v>
      </c>
    </row>
    <row r="5233" spans="1:6" ht="12.75">
      <c r="A5233">
        <v>6948314</v>
      </c>
      <c r="B5233">
        <v>6975712</v>
      </c>
      <c r="C5233" t="s">
        <v>189</v>
      </c>
      <c r="D5233" t="s">
        <v>99</v>
      </c>
      <c r="E5233" s="2" t="str">
        <f>HYPERLINK("https://ibp.a2mac1.com/costing(costing:projects/details/8191/equipment/6948314)","No.01 - Bodytrimming - 500x400x400 - 15kg/Mould ")</f>
        <v xml:space="preserve">No.01 - Bodytrimming - 500x400x400 - 15kg/Mould </v>
      </c>
      <c r="F5233" t="s">
        <v>5888</v>
      </c>
    </row>
    <row r="5234" spans="1:6" ht="12.75">
      <c r="A5234">
        <v>6975713</v>
      </c>
      <c r="B5234">
        <v>5388876</v>
      </c>
      <c r="C5234" t="s">
        <v>99</v>
      </c>
      <c r="D5234" t="s">
        <v>12</v>
      </c>
      <c r="E5234" s="2" t="str">
        <f>HYPERLINK("https://ibp.a2mac1.com/costing(costing:projects/details/8191/process/6975713)","Deburing ")</f>
        <v xml:space="preserve">Deburing </v>
      </c>
      <c r="F5234" t="s">
        <v>5883</v>
      </c>
    </row>
    <row r="5235" spans="1:6" ht="12.75">
      <c r="A5235">
        <v>6948315</v>
      </c>
      <c r="B5235">
        <v>6975713</v>
      </c>
      <c r="C5235" t="s">
        <v>189</v>
      </c>
      <c r="D5235" t="s">
        <v>99</v>
      </c>
      <c r="E5235" s="2" t="str">
        <f>HYPERLINK("https://ibp.a2mac1.com/costing(costing:projects/details/8191/equipment/6948315)","Manual deburring ")</f>
        <v xml:space="preserve">Manual deburring </v>
      </c>
      <c r="F5235" t="s">
        <v>5889</v>
      </c>
    </row>
    <row r="5236" spans="1:6" ht="12.75">
      <c r="A5236">
        <v>6975710</v>
      </c>
      <c r="B5236">
        <v>5388876</v>
      </c>
      <c r="C5236" t="s">
        <v>99</v>
      </c>
      <c r="D5236" t="s">
        <v>12</v>
      </c>
      <c r="E5236" s="2" t="str">
        <f>HYPERLINK("https://ibp.a2mac1.com/costing(costing:projects/details/8191/process/6975710)","Inspection ")</f>
        <v xml:space="preserve">Inspection </v>
      </c>
      <c r="F5236" t="s">
        <v>5883</v>
      </c>
    </row>
    <row r="5237" spans="1:6" ht="12.75">
      <c r="A5237">
        <v>6948312</v>
      </c>
      <c r="B5237">
        <v>6975710</v>
      </c>
      <c r="C5237" t="s">
        <v>189</v>
      </c>
      <c r="D5237" t="s">
        <v>99</v>
      </c>
      <c r="E5237" s="2" t="str">
        <f>HYPERLINK("https://ibp.a2mac1.com/costing(costing:projects/details/8191/equipment/6948312)","Automated Optical Inspection ")</f>
        <v xml:space="preserve">Automated Optical Inspection </v>
      </c>
      <c r="F5237" t="s">
        <v>5890</v>
      </c>
    </row>
    <row r="5238" spans="1:6" ht="12.75">
      <c r="A5238">
        <v>6975711</v>
      </c>
      <c r="B5238">
        <v>5388876</v>
      </c>
      <c r="C5238" t="s">
        <v>99</v>
      </c>
      <c r="D5238" t="s">
        <v>12</v>
      </c>
      <c r="E5238" s="2" t="str">
        <f>HYPERLINK("https://ibp.a2mac1.com/costing(costing:projects/details/8191/process/6975711)","Handling/Packiging")</f>
        <v>Handling/Packiging</v>
      </c>
      <c r="F5238" t="s">
        <v>5883</v>
      </c>
    </row>
    <row r="5239" spans="1:6" ht="12.75">
      <c r="A5239">
        <v>6948313</v>
      </c>
      <c r="B5239">
        <v>6975711</v>
      </c>
      <c r="C5239" t="s">
        <v>189</v>
      </c>
      <c r="D5239" t="s">
        <v>99</v>
      </c>
      <c r="E5239" s="2" t="str">
        <f>HYPERLINK("https://ibp.a2mac1.com/costing(costing:projects/details/8191/equipment/6948313)","Packaging ")</f>
        <v xml:space="preserve">Packaging </v>
      </c>
      <c r="F5239" t="s">
        <v>5891</v>
      </c>
    </row>
    <row r="5240" spans="1:6" ht="12.75">
      <c r="A5240">
        <v>5388877</v>
      </c>
      <c r="B5240">
        <v>5388564</v>
      </c>
      <c r="C5240" t="s">
        <v>12</v>
      </c>
      <c r="D5240" t="s">
        <v>8</v>
      </c>
      <c r="E5240" s="2" t="str">
        <f>HYPERLINK("https://ibp.a2mac1.com/costing(costing:projects/details/8191/part/5388877)","Mirror Attaching Plate")</f>
        <v>Mirror Attaching Plate</v>
      </c>
      <c r="F5240" t="s">
        <v>5881</v>
      </c>
    </row>
    <row r="5241" spans="1:6" ht="12.75">
      <c r="A5241">
        <v>5388878</v>
      </c>
      <c r="B5241">
        <v>5388564</v>
      </c>
      <c r="C5241" t="s">
        <v>12</v>
      </c>
      <c r="D5241" t="s">
        <v>8</v>
      </c>
      <c r="E5241" s="2" t="str">
        <f>HYPERLINK("https://ibp.a2mac1.com/costing(costing:projects/details/8191/part/5388878)","Mirror Attaching Plate Support")</f>
        <v>Mirror Attaching Plate Support</v>
      </c>
      <c r="F5241" t="s">
        <v>5881</v>
      </c>
    </row>
    <row r="5242" spans="1:6" ht="12.75">
      <c r="A5242">
        <v>6975714</v>
      </c>
      <c r="B5242">
        <v>5388878</v>
      </c>
      <c r="C5242" t="s">
        <v>99</v>
      </c>
      <c r="D5242" t="s">
        <v>12</v>
      </c>
      <c r="E5242" s="2" t="str">
        <f>HYPERLINK("https://ibp.a2mac1.com/costing(costing:projects/details/8191/process/6975714)","Injection molding")</f>
        <v>Injection molding</v>
      </c>
      <c r="F5242" t="s">
        <v>5892</v>
      </c>
    </row>
    <row r="5243" spans="1:6" ht="12.75">
      <c r="A5243">
        <v>5320123</v>
      </c>
      <c r="B5243">
        <v>6975714</v>
      </c>
      <c r="C5243" t="s">
        <v>24</v>
      </c>
      <c r="D5243" t="s">
        <v>99</v>
      </c>
      <c r="E5243" s="2" t="str">
        <f>HYPERLINK("https://ibp.a2mac1.com/costing(costing:projects/details/8191/material/5320123)","PA66-GF30")</f>
        <v>PA66-GF30</v>
      </c>
      <c r="F5243" t="s">
        <v>5893</v>
      </c>
    </row>
    <row r="5244" spans="1:6" ht="12.75">
      <c r="A5244">
        <v>6948316</v>
      </c>
      <c r="B5244">
        <v>6975714</v>
      </c>
      <c r="C5244" t="s">
        <v>189</v>
      </c>
      <c r="D5244" t="s">
        <v>99</v>
      </c>
      <c r="E5244" s="2" t="str">
        <f>HYPERLINK("https://ibp.a2mac1.com/costing(costing:projects/details/8191/equipment/6948316)","No.02 - Injection Press - 60T - 25kW - 320x320 - Max Volume 164cm3 ")</f>
        <v xml:space="preserve">No.02 - Injection Press - 60T - 25kW - 320x320 - Max Volume 164cm3 </v>
      </c>
      <c r="F5244" t="s">
        <v>5893</v>
      </c>
    </row>
    <row r="5245" spans="1:6" ht="12.75">
      <c r="A5245">
        <v>6975715</v>
      </c>
      <c r="B5245">
        <v>5388878</v>
      </c>
      <c r="C5245" t="s">
        <v>99</v>
      </c>
      <c r="D5245" t="s">
        <v>12</v>
      </c>
      <c r="E5245" s="2" t="str">
        <f>HYPERLINK("https://ibp.a2mac1.com/costing(costing:projects/details/8191/process/6975715)","Handling/Visual Inspection/Packaging")</f>
        <v>Handling/Visual Inspection/Packaging</v>
      </c>
      <c r="F5245" t="s">
        <v>5892</v>
      </c>
    </row>
    <row r="5246" spans="1:6" ht="12.75">
      <c r="A5246">
        <v>6948317</v>
      </c>
      <c r="B5246">
        <v>6975715</v>
      </c>
      <c r="C5246" t="s">
        <v>189</v>
      </c>
      <c r="D5246" t="s">
        <v>99</v>
      </c>
      <c r="E5246" s="2" t="str">
        <f>HYPERLINK("https://ibp.a2mac1.com/costing(costing:projects/details/8191/equipment/6948317)","Packaging")</f>
        <v>Packaging</v>
      </c>
      <c r="F5246" t="s">
        <v>5894</v>
      </c>
    </row>
    <row r="5247" spans="1:6" ht="12.75">
      <c r="A5247">
        <v>5388879</v>
      </c>
      <c r="B5247">
        <v>5388564</v>
      </c>
      <c r="C5247" t="s">
        <v>12</v>
      </c>
      <c r="D5247" t="s">
        <v>8</v>
      </c>
      <c r="E5247" s="2" t="str">
        <f>HYPERLINK("https://ibp.a2mac1.com/costing(costing:projects/details/8191/part/5388879)","Harness")</f>
        <v>Harness</v>
      </c>
      <c r="F5247" t="s">
        <v>5881</v>
      </c>
    </row>
    <row r="5248" spans="1:6" ht="12.75">
      <c r="A5248">
        <v>5388880</v>
      </c>
      <c r="B5248">
        <v>5388564</v>
      </c>
      <c r="C5248" t="s">
        <v>12</v>
      </c>
      <c r="D5248" t="s">
        <v>8</v>
      </c>
      <c r="E5248" s="2" t="str">
        <f>HYPERLINK("https://ibp.a2mac1.com/costing(costing:projects/details/8191/part/5388880)","2nd Mirror Harness")</f>
        <v>2nd Mirror Harness</v>
      </c>
      <c r="F5248" t="s">
        <v>5881</v>
      </c>
    </row>
    <row r="5249" spans="1:6" ht="12.75">
      <c r="A5249">
        <v>5388881</v>
      </c>
      <c r="B5249">
        <v>5388564</v>
      </c>
      <c r="C5249" t="s">
        <v>12</v>
      </c>
      <c r="D5249" t="s">
        <v>8</v>
      </c>
      <c r="E5249" s="2" t="str">
        <f>HYPERLINK("https://ibp.a2mac1.com/costing(costing:projects/details/8191/part/5388881)","Front Shell")</f>
        <v>Front Shell</v>
      </c>
      <c r="F5249" t="s">
        <v>5881</v>
      </c>
    </row>
    <row r="5250" spans="1:6" ht="12.75">
      <c r="A5250">
        <v>6975716</v>
      </c>
      <c r="B5250">
        <v>5388881</v>
      </c>
      <c r="C5250" t="s">
        <v>99</v>
      </c>
      <c r="D5250" t="s">
        <v>12</v>
      </c>
      <c r="E5250" s="2" t="str">
        <f>HYPERLINK("https://ibp.a2mac1.com/costing(costing:projects/details/8191/process/6975716)","Injection molding")</f>
        <v>Injection molding</v>
      </c>
      <c r="F5250" t="s">
        <v>5895</v>
      </c>
    </row>
    <row r="5251" spans="1:6" ht="12.75">
      <c r="A5251">
        <v>5320124</v>
      </c>
      <c r="B5251">
        <v>6975716</v>
      </c>
      <c r="C5251" t="s">
        <v>24</v>
      </c>
      <c r="D5251" t="s">
        <v>99</v>
      </c>
      <c r="E5251" s="2" t="str">
        <f>HYPERLINK("https://ibp.a2mac1.com/costing(costing:projects/details/8191/material/5320124)","ASA")</f>
        <v>ASA</v>
      </c>
      <c r="F5251" t="s">
        <v>5896</v>
      </c>
    </row>
    <row r="5252" spans="1:6" ht="12.75">
      <c r="A5252">
        <v>6948318</v>
      </c>
      <c r="B5252">
        <v>6975716</v>
      </c>
      <c r="C5252" t="s">
        <v>189</v>
      </c>
      <c r="D5252" t="s">
        <v>99</v>
      </c>
      <c r="E5252" s="2" t="str">
        <f>HYPERLINK("https://ibp.a2mac1.com/costing(costing:projects/details/8191/equipment/6948318)","No.05 - Injection Press - 125T - 34kW - 500x500 - Max Volume 260cm3 ")</f>
        <v xml:space="preserve">No.05 - Injection Press - 125T - 34kW - 500x500 - Max Volume 260cm3 </v>
      </c>
      <c r="F5252" t="s">
        <v>5896</v>
      </c>
    </row>
    <row r="5253" spans="1:6" ht="12.75">
      <c r="A5253">
        <v>6975717</v>
      </c>
      <c r="B5253">
        <v>5388881</v>
      </c>
      <c r="C5253" t="s">
        <v>99</v>
      </c>
      <c r="D5253" t="s">
        <v>12</v>
      </c>
      <c r="E5253" s="2" t="str">
        <f>HYPERLINK("https://ibp.a2mac1.com/costing(costing:projects/details/8191/process/6975717)","Handling/Visual Inspection/Packaging")</f>
        <v>Handling/Visual Inspection/Packaging</v>
      </c>
      <c r="F5253" t="s">
        <v>5895</v>
      </c>
    </row>
    <row r="5254" spans="1:6" ht="12.75">
      <c r="A5254">
        <v>6948319</v>
      </c>
      <c r="B5254">
        <v>6975717</v>
      </c>
      <c r="C5254" t="s">
        <v>189</v>
      </c>
      <c r="D5254" t="s">
        <v>99</v>
      </c>
      <c r="E5254" s="2" t="str">
        <f>HYPERLINK("https://ibp.a2mac1.com/costing(costing:projects/details/8191/equipment/6948319)","Packaging")</f>
        <v>Packaging</v>
      </c>
      <c r="F5254" t="s">
        <v>5897</v>
      </c>
    </row>
    <row r="5255" spans="1:6" ht="12.75">
      <c r="A5255">
        <v>5388883</v>
      </c>
      <c r="B5255">
        <v>5388564</v>
      </c>
      <c r="C5255" t="s">
        <v>12</v>
      </c>
      <c r="D5255" t="s">
        <v>8</v>
      </c>
      <c r="E5255" s="2" t="str">
        <f>HYPERLINK("https://ibp.a2mac1.com/costing(costing:projects/details/8191/part/5388883)","Lower Shell")</f>
        <v>Lower Shell</v>
      </c>
      <c r="F5255" t="s">
        <v>5881</v>
      </c>
    </row>
    <row r="5256" spans="1:6" ht="12.75">
      <c r="A5256">
        <v>6975718</v>
      </c>
      <c r="B5256">
        <v>5388883</v>
      </c>
      <c r="C5256" t="s">
        <v>99</v>
      </c>
      <c r="D5256" t="s">
        <v>12</v>
      </c>
      <c r="E5256" s="2" t="str">
        <f>HYPERLINK("https://ibp.a2mac1.com/costing(costing:projects/details/8191/process/6975718)","Injection molding")</f>
        <v>Injection molding</v>
      </c>
      <c r="F5256" t="s">
        <v>5898</v>
      </c>
    </row>
    <row r="5257" spans="1:6" ht="12.75">
      <c r="A5257">
        <v>5320125</v>
      </c>
      <c r="B5257">
        <v>6975718</v>
      </c>
      <c r="C5257" t="s">
        <v>24</v>
      </c>
      <c r="D5257" t="s">
        <v>99</v>
      </c>
      <c r="E5257" s="2" t="str">
        <f>HYPERLINK("https://ibp.a2mac1.com/costing(costing:projects/details/8191/material/5320125)","ASA")</f>
        <v>ASA</v>
      </c>
      <c r="F5257" t="s">
        <v>5899</v>
      </c>
    </row>
    <row r="5258" spans="1:6" ht="12.75">
      <c r="A5258">
        <v>6948320</v>
      </c>
      <c r="B5258">
        <v>6975718</v>
      </c>
      <c r="C5258" t="s">
        <v>189</v>
      </c>
      <c r="D5258" t="s">
        <v>99</v>
      </c>
      <c r="E5258" s="2" t="str">
        <f>HYPERLINK("https://ibp.a2mac1.com/costing(costing:projects/details/8191/equipment/6948320)","No.04 - Injection Press - 100T - 33kW - 400x400 - Max Volume 260cm3 ")</f>
        <v xml:space="preserve">No.04 - Injection Press - 100T - 33kW - 400x400 - Max Volume 260cm3 </v>
      </c>
      <c r="F5258" t="s">
        <v>5899</v>
      </c>
    </row>
    <row r="5259" spans="1:6" ht="12.75">
      <c r="A5259">
        <v>6975719</v>
      </c>
      <c r="B5259">
        <v>5388883</v>
      </c>
      <c r="C5259" t="s">
        <v>99</v>
      </c>
      <c r="D5259" t="s">
        <v>12</v>
      </c>
      <c r="E5259" s="2" t="str">
        <f>HYPERLINK("https://ibp.a2mac1.com/costing(costing:projects/details/8191/process/6975719)","Handling/Visual Inspection/Packaging")</f>
        <v>Handling/Visual Inspection/Packaging</v>
      </c>
      <c r="F5259" t="s">
        <v>5898</v>
      </c>
    </row>
    <row r="5260" spans="1:6" ht="12.75">
      <c r="A5260">
        <v>6948321</v>
      </c>
      <c r="B5260">
        <v>6975719</v>
      </c>
      <c r="C5260" t="s">
        <v>189</v>
      </c>
      <c r="D5260" t="s">
        <v>99</v>
      </c>
      <c r="E5260" s="2" t="str">
        <f>HYPERLINK("https://ibp.a2mac1.com/costing(costing:projects/details/8191/equipment/6948321)","Packaging")</f>
        <v>Packaging</v>
      </c>
      <c r="F5260" t="s">
        <v>5900</v>
      </c>
    </row>
    <row r="5261" spans="1:6" ht="12.75">
      <c r="A5261">
        <v>5388884</v>
      </c>
      <c r="B5261">
        <v>5388564</v>
      </c>
      <c r="C5261" t="s">
        <v>12</v>
      </c>
      <c r="D5261" t="s">
        <v>8</v>
      </c>
      <c r="E5261" s="2" t="str">
        <f>HYPERLINK("https://ibp.a2mac1.com/costing(costing:projects/details/8191/part/5388884)","Support Cover")</f>
        <v>Support Cover</v>
      </c>
      <c r="F5261" t="s">
        <v>5881</v>
      </c>
    </row>
    <row r="5262" spans="1:6" ht="12.75">
      <c r="A5262">
        <v>6975720</v>
      </c>
      <c r="B5262">
        <v>5388884</v>
      </c>
      <c r="C5262" t="s">
        <v>99</v>
      </c>
      <c r="D5262" t="s">
        <v>12</v>
      </c>
      <c r="E5262" s="2" t="str">
        <f>HYPERLINK("https://ibp.a2mac1.com/costing(costing:projects/details/8191/process/6975720)","Injection molding")</f>
        <v>Injection molding</v>
      </c>
      <c r="F5262" t="s">
        <v>5901</v>
      </c>
    </row>
    <row r="5263" spans="1:6" ht="12.75">
      <c r="A5263">
        <v>5320126</v>
      </c>
      <c r="B5263">
        <v>6975720</v>
      </c>
      <c r="C5263" t="s">
        <v>24</v>
      </c>
      <c r="D5263" t="s">
        <v>99</v>
      </c>
      <c r="E5263" s="2" t="str">
        <f>HYPERLINK("https://ibp.a2mac1.com/costing(costing:projects/details/8191/material/5320126)","ASA")</f>
        <v>ASA</v>
      </c>
      <c r="F5263" t="s">
        <v>5902</v>
      </c>
    </row>
    <row r="5264" spans="1:6" ht="12.75">
      <c r="A5264">
        <v>6948322</v>
      </c>
      <c r="B5264">
        <v>6975720</v>
      </c>
      <c r="C5264" t="s">
        <v>189</v>
      </c>
      <c r="D5264" t="s">
        <v>99</v>
      </c>
      <c r="E5264" s="2" t="str">
        <f>HYPERLINK("https://ibp.a2mac1.com/costing(costing:projects/details/8191/equipment/6948322)","No.04 - Injection Press - 100T - 33kW - 400x400 - Max Volume 260cm3 ")</f>
        <v xml:space="preserve">No.04 - Injection Press - 100T - 33kW - 400x400 - Max Volume 260cm3 </v>
      </c>
      <c r="F5264" t="s">
        <v>5902</v>
      </c>
    </row>
    <row r="5265" spans="1:6" ht="12.75">
      <c r="A5265">
        <v>6975721</v>
      </c>
      <c r="B5265">
        <v>5388884</v>
      </c>
      <c r="C5265" t="s">
        <v>99</v>
      </c>
      <c r="D5265" t="s">
        <v>12</v>
      </c>
      <c r="E5265" s="2" t="str">
        <f>HYPERLINK("https://ibp.a2mac1.com/costing(costing:projects/details/8191/process/6975721)","Handling/Visual Inspection/Packaging")</f>
        <v>Handling/Visual Inspection/Packaging</v>
      </c>
      <c r="F5265" t="s">
        <v>5901</v>
      </c>
    </row>
    <row r="5266" spans="1:6" ht="12.75">
      <c r="A5266">
        <v>6948323</v>
      </c>
      <c r="B5266">
        <v>6975721</v>
      </c>
      <c r="C5266" t="s">
        <v>189</v>
      </c>
      <c r="D5266" t="s">
        <v>99</v>
      </c>
      <c r="E5266" s="2" t="str">
        <f>HYPERLINK("https://ibp.a2mac1.com/costing(costing:projects/details/8191/equipment/6948323)","Packaging")</f>
        <v>Packaging</v>
      </c>
      <c r="F5266" t="s">
        <v>5903</v>
      </c>
    </row>
    <row r="5267" spans="1:6" ht="12.75">
      <c r="A5267">
        <v>5388885</v>
      </c>
      <c r="B5267">
        <v>5388564</v>
      </c>
      <c r="C5267" t="s">
        <v>12</v>
      </c>
      <c r="D5267" t="s">
        <v>8</v>
      </c>
      <c r="E5267" s="2" t="str">
        <f>HYPERLINK("https://ibp.a2mac1.com/costing(costing:projects/details/8191/part/5388885)","Support Seal")</f>
        <v>Support Seal</v>
      </c>
      <c r="F5267" t="s">
        <v>5881</v>
      </c>
    </row>
    <row r="5268" spans="1:6" ht="12.75">
      <c r="A5268">
        <v>6975722</v>
      </c>
      <c r="B5268">
        <v>5388885</v>
      </c>
      <c r="C5268" t="s">
        <v>99</v>
      </c>
      <c r="D5268" t="s">
        <v>12</v>
      </c>
      <c r="E5268" s="2" t="str">
        <f>HYPERLINK("https://ibp.a2mac1.com/costing(costing:projects/details/8191/process/6975722)","Injection molding")</f>
        <v>Injection molding</v>
      </c>
      <c r="F5268" t="s">
        <v>5904</v>
      </c>
    </row>
    <row r="5269" spans="1:6" ht="12.75">
      <c r="A5269">
        <v>5320127</v>
      </c>
      <c r="B5269">
        <v>6975722</v>
      </c>
      <c r="C5269" t="s">
        <v>24</v>
      </c>
      <c r="D5269" t="s">
        <v>99</v>
      </c>
      <c r="E5269" s="2" t="str">
        <f>HYPERLINK("https://ibp.a2mac1.com/costing(costing:projects/details/8191/material/5320127)","TPE")</f>
        <v>TPE</v>
      </c>
      <c r="F5269" t="s">
        <v>5905</v>
      </c>
    </row>
    <row r="5270" spans="1:6" ht="12.75">
      <c r="A5270">
        <v>5320128</v>
      </c>
      <c r="B5270">
        <v>6975722</v>
      </c>
      <c r="C5270" t="s">
        <v>24</v>
      </c>
      <c r="D5270" t="s">
        <v>99</v>
      </c>
      <c r="E5270" s="2" t="str">
        <f>HYPERLINK("https://ibp.a2mac1.com/costing(costing:projects/details/8191/material/5320128)","PP")</f>
        <v>PP</v>
      </c>
      <c r="F5270" t="s">
        <v>5905</v>
      </c>
    </row>
    <row r="5271" spans="1:6" ht="12.75">
      <c r="A5271">
        <v>6948324</v>
      </c>
      <c r="B5271">
        <v>6975722</v>
      </c>
      <c r="C5271" t="s">
        <v>189</v>
      </c>
      <c r="D5271" t="s">
        <v>99</v>
      </c>
      <c r="E5271" s="2" t="str">
        <f>HYPERLINK("https://ibp.a2mac1.com/costing(costing:projects/details/8191/equipment/6948324)","Equipment (Injection Molding)")</f>
        <v>Equipment (Injection Molding)</v>
      </c>
      <c r="F5271" t="s">
        <v>5905</v>
      </c>
    </row>
    <row r="5272" spans="1:6" ht="12.75">
      <c r="A5272">
        <v>6948325</v>
      </c>
      <c r="B5272">
        <v>6975722</v>
      </c>
      <c r="C5272" t="s">
        <v>189</v>
      </c>
      <c r="D5272" t="s">
        <v>99</v>
      </c>
      <c r="E5272" s="2" t="str">
        <f>HYPERLINK("https://ibp.a2mac1.com/costing(costing:projects/details/8191/equipment/6948325)","Equipment (Injection Molding)")</f>
        <v>Equipment (Injection Molding)</v>
      </c>
      <c r="F5272" t="s">
        <v>5905</v>
      </c>
    </row>
    <row r="5273" spans="1:6" ht="12.75">
      <c r="A5273">
        <v>5388886</v>
      </c>
      <c r="B5273">
        <v>5388564</v>
      </c>
      <c r="C5273" t="s">
        <v>12</v>
      </c>
      <c r="D5273" t="s">
        <v>8</v>
      </c>
      <c r="E5273" s="2" t="str">
        <f>HYPERLINK("https://ibp.a2mac1.com/costing(costing:projects/details/8191/part/5388886)","Seal Cover")</f>
        <v>Seal Cover</v>
      </c>
      <c r="F5273" t="s">
        <v>5881</v>
      </c>
    </row>
    <row r="5274" spans="1:6" ht="12.75">
      <c r="A5274">
        <v>6975723</v>
      </c>
      <c r="B5274">
        <v>5388886</v>
      </c>
      <c r="C5274" t="s">
        <v>99</v>
      </c>
      <c r="D5274" t="s">
        <v>12</v>
      </c>
      <c r="E5274" s="2" t="str">
        <f>HYPERLINK("https://ibp.a2mac1.com/costing(costing:projects/details/8191/process/6975723)","Injection molding")</f>
        <v>Injection molding</v>
      </c>
      <c r="F5274" t="s">
        <v>5906</v>
      </c>
    </row>
    <row r="5275" spans="1:6" ht="12.75">
      <c r="A5275">
        <v>5320129</v>
      </c>
      <c r="B5275">
        <v>6975723</v>
      </c>
      <c r="C5275" t="s">
        <v>24</v>
      </c>
      <c r="D5275" t="s">
        <v>99</v>
      </c>
      <c r="E5275" s="2" t="str">
        <f>HYPERLINK("https://ibp.a2mac1.com/costing(costing:projects/details/8191/material/5320129)","PP")</f>
        <v>PP</v>
      </c>
      <c r="F5275" t="s">
        <v>5907</v>
      </c>
    </row>
    <row r="5276" spans="1:6" ht="12.75">
      <c r="A5276">
        <v>5320130</v>
      </c>
      <c r="B5276">
        <v>6975723</v>
      </c>
      <c r="C5276" t="s">
        <v>24</v>
      </c>
      <c r="D5276" t="s">
        <v>99</v>
      </c>
      <c r="E5276" s="2" t="str">
        <f>HYPERLINK("https://ibp.a2mac1.com/costing(costing:projects/details/8191/material/5320130)","TPE")</f>
        <v>TPE</v>
      </c>
      <c r="F5276" t="s">
        <v>5907</v>
      </c>
    </row>
    <row r="5277" spans="1:6" ht="12.75">
      <c r="A5277">
        <v>6948326</v>
      </c>
      <c r="B5277">
        <v>6975723</v>
      </c>
      <c r="C5277" t="s">
        <v>189</v>
      </c>
      <c r="D5277" t="s">
        <v>99</v>
      </c>
      <c r="E5277" s="2" t="str">
        <f>HYPERLINK("https://ibp.a2mac1.com/costing(costing:projects/details/8191/equipment/6948326)","Equipment (Injection Molding)")</f>
        <v>Equipment (Injection Molding)</v>
      </c>
      <c r="F5277" t="s">
        <v>5907</v>
      </c>
    </row>
    <row r="5278" spans="1:6" ht="12.75">
      <c r="A5278">
        <v>6948327</v>
      </c>
      <c r="B5278">
        <v>6975723</v>
      </c>
      <c r="C5278" t="s">
        <v>189</v>
      </c>
      <c r="D5278" t="s">
        <v>99</v>
      </c>
      <c r="E5278" s="2" t="str">
        <f>HYPERLINK("https://ibp.a2mac1.com/costing(costing:projects/details/8191/equipment/6948327)","Equipment (Injection Molding)")</f>
        <v>Equipment (Injection Molding)</v>
      </c>
      <c r="F5278" t="s">
        <v>5907</v>
      </c>
    </row>
    <row r="5279" spans="1:6" ht="12.75">
      <c r="A5279">
        <v>5388887</v>
      </c>
      <c r="B5279">
        <v>5388564</v>
      </c>
      <c r="C5279" t="s">
        <v>12</v>
      </c>
      <c r="D5279" t="s">
        <v>8</v>
      </c>
      <c r="E5279" s="2" t="str">
        <f>HYPERLINK("https://ibp.a2mac1.com/costing(costing:projects/details/8191/part/5388887)","Turn Signal")</f>
        <v>Turn Signal</v>
      </c>
      <c r="F5279" t="s">
        <v>5881</v>
      </c>
    </row>
    <row r="5280" spans="1:6" ht="12.75">
      <c r="A5280">
        <v>5388888</v>
      </c>
      <c r="B5280">
        <v>5388564</v>
      </c>
      <c r="C5280" t="s">
        <v>12</v>
      </c>
      <c r="D5280" t="s">
        <v>8</v>
      </c>
      <c r="E5280" s="2" t="str">
        <f>HYPERLINK("https://ibp.a2mac1.com/costing(costing:projects/details/8191/part/5388888)","Welcome Light")</f>
        <v>Welcome Light</v>
      </c>
      <c r="F5280" t="s">
        <v>5881</v>
      </c>
    </row>
    <row r="5281" spans="1:6" ht="12.75">
      <c r="A5281">
        <v>5388889</v>
      </c>
      <c r="B5281">
        <v>5388564</v>
      </c>
      <c r="C5281" t="s">
        <v>12</v>
      </c>
      <c r="D5281" t="s">
        <v>8</v>
      </c>
      <c r="E5281" s="2" t="str">
        <f>HYPERLINK("https://ibp.a2mac1.com/costing(costing:projects/details/8191/part/5388889)","Folding Motor")</f>
        <v>Folding Motor</v>
      </c>
      <c r="F5281" t="s">
        <v>5881</v>
      </c>
    </row>
    <row r="5282" spans="1:6" ht="12.75">
      <c r="A5282">
        <v>5388890</v>
      </c>
      <c r="B5282">
        <v>5388564</v>
      </c>
      <c r="C5282" t="s">
        <v>12</v>
      </c>
      <c r="D5282" t="s">
        <v>8</v>
      </c>
      <c r="E5282" s="2" t="str">
        <f>HYPERLINK("https://ibp.a2mac1.com/costing(costing:projects/details/8191/part/5388890)","Folding Motor Support")</f>
        <v>Folding Motor Support</v>
      </c>
      <c r="F5282" t="s">
        <v>5881</v>
      </c>
    </row>
    <row r="5283" spans="1:6" ht="12.75">
      <c r="A5283">
        <v>6975724</v>
      </c>
      <c r="B5283">
        <v>5388890</v>
      </c>
      <c r="C5283" t="s">
        <v>99</v>
      </c>
      <c r="D5283" t="s">
        <v>12</v>
      </c>
      <c r="E5283" s="2" t="str">
        <f>HYPERLINK("https://ibp.a2mac1.com/costing(costing:projects/details/8191/process/6975724)","Furnace heating")</f>
        <v>Furnace heating</v>
      </c>
      <c r="F5283" t="s">
        <v>5908</v>
      </c>
    </row>
    <row r="5284" spans="1:6" ht="12.75">
      <c r="A5284">
        <v>5320131</v>
      </c>
      <c r="B5284">
        <v>6975724</v>
      </c>
      <c r="C5284" t="s">
        <v>24</v>
      </c>
      <c r="D5284" t="s">
        <v>99</v>
      </c>
      <c r="E5284" s="2" t="str">
        <f>HYPERLINK("https://ibp.a2mac1.com/costing(costing:projects/details/8191/material/5320131)","Aluminum for casting (default, e.g. A380/ADC10/EN-AC46500)")</f>
        <v>Aluminum for casting (default, e.g. A380/ADC10/EN-AC46500)</v>
      </c>
      <c r="F5284" t="s">
        <v>5909</v>
      </c>
    </row>
    <row r="5285" spans="1:6" ht="12.75">
      <c r="A5285">
        <v>6948328</v>
      </c>
      <c r="B5285">
        <v>6975724</v>
      </c>
      <c r="C5285" t="s">
        <v>189</v>
      </c>
      <c r="D5285" t="s">
        <v>99</v>
      </c>
      <c r="E5285" s="2" t="str">
        <f>HYPERLINK("https://ibp.a2mac1.com/costing(costing:projects/details/8191/equipment/6948328)","No.01 - T,TF 10/11")</f>
        <v>No.01 - T,TF 10/11</v>
      </c>
      <c r="F5285" t="s">
        <v>5909</v>
      </c>
    </row>
    <row r="5286" spans="1:6" ht="12.75">
      <c r="A5286">
        <v>6975725</v>
      </c>
      <c r="B5286">
        <v>5388890</v>
      </c>
      <c r="C5286" t="s">
        <v>99</v>
      </c>
      <c r="D5286" t="s">
        <v>12</v>
      </c>
      <c r="E5286" s="2" t="str">
        <f>HYPERLINK("https://ibp.a2mac1.com/costing(costing:projects/details/8191/process/6975725)","Transport with laddle")</f>
        <v>Transport with laddle</v>
      </c>
      <c r="F5286" t="s">
        <v>5908</v>
      </c>
    </row>
    <row r="5287" spans="1:6" ht="12.75">
      <c r="A5287">
        <v>6948329</v>
      </c>
      <c r="B5287">
        <v>6975725</v>
      </c>
      <c r="C5287" t="s">
        <v>189</v>
      </c>
      <c r="D5287" t="s">
        <v>99</v>
      </c>
      <c r="E5287" s="2" t="str">
        <f>HYPERLINK("https://ibp.a2mac1.com/costing(costing:projects/details/8191/equipment/6948329)","No.01 - Buhler ladel Model 4,5L ")</f>
        <v xml:space="preserve">No.01 - Buhler ladel Model 4,5L </v>
      </c>
      <c r="F5287" t="s">
        <v>5910</v>
      </c>
    </row>
    <row r="5288" spans="1:6" ht="12.75">
      <c r="A5288">
        <v>6975726</v>
      </c>
      <c r="B5288">
        <v>5388890</v>
      </c>
      <c r="C5288" t="s">
        <v>99</v>
      </c>
      <c r="D5288" t="s">
        <v>12</v>
      </c>
      <c r="E5288" s="2" t="str">
        <f>HYPERLINK("https://ibp.a2mac1.com/costing(costing:projects/details/8191/process/6975726)","Pressing (Cold Chamber)")</f>
        <v>Pressing (Cold Chamber)</v>
      </c>
      <c r="F5288" t="s">
        <v>5908</v>
      </c>
    </row>
    <row r="5289" spans="1:6" ht="12.75">
      <c r="A5289">
        <v>6948330</v>
      </c>
      <c r="B5289">
        <v>6975726</v>
      </c>
      <c r="C5289" t="s">
        <v>189</v>
      </c>
      <c r="D5289" t="s">
        <v>99</v>
      </c>
      <c r="E5289" s="2" t="str">
        <f>HYPERLINK("https://ibp.a2mac1.com/costing(costing:projects/details/8191/equipment/6948330)","No.01 - Idra - OL 420 S ")</f>
        <v xml:space="preserve">No.01 - Idra - OL 420 S </v>
      </c>
      <c r="F5289" t="s">
        <v>5911</v>
      </c>
    </row>
    <row r="5290" spans="1:6" ht="12.75">
      <c r="A5290">
        <v>5388891</v>
      </c>
      <c r="B5290">
        <v>5388564</v>
      </c>
      <c r="C5290" t="s">
        <v>12</v>
      </c>
      <c r="D5290" t="s">
        <v>8</v>
      </c>
      <c r="E5290" s="2" t="str">
        <f>HYPERLINK("https://ibp.a2mac1.com/costing(costing:projects/details/8191/part/5388891)","Blind Spot Monitor Light")</f>
        <v>Blind Spot Monitor Light</v>
      </c>
      <c r="F5290" t="s">
        <v>5881</v>
      </c>
    </row>
    <row r="5291" spans="1:6" ht="12.75">
      <c r="A5291">
        <v>5388892</v>
      </c>
      <c r="B5291">
        <v>5388564</v>
      </c>
      <c r="C5291" t="s">
        <v>12</v>
      </c>
      <c r="D5291" t="s">
        <v>8</v>
      </c>
      <c r="E5291" s="2" t="str">
        <f>HYPERLINK("https://ibp.a2mac1.com/costing(costing:projects/details/8191/part/5388892)","Shell")</f>
        <v>Shell</v>
      </c>
      <c r="F5291" t="s">
        <v>5881</v>
      </c>
    </row>
    <row r="5292" spans="1:6" ht="12.75">
      <c r="A5292">
        <v>6975729</v>
      </c>
      <c r="B5292">
        <v>5388892</v>
      </c>
      <c r="C5292" t="s">
        <v>99</v>
      </c>
      <c r="D5292" t="s">
        <v>12</v>
      </c>
      <c r="E5292" s="2" t="str">
        <f>HYPERLINK("https://ibp.a2mac1.com/costing(costing:projects/details/8191/process/6975729)","Injection molding")</f>
        <v>Injection molding</v>
      </c>
      <c r="F5292" t="s">
        <v>5912</v>
      </c>
    </row>
    <row r="5293" spans="1:6" ht="12.75">
      <c r="A5293">
        <v>5320135</v>
      </c>
      <c r="B5293">
        <v>6975729</v>
      </c>
      <c r="C5293" t="s">
        <v>24</v>
      </c>
      <c r="D5293" t="s">
        <v>99</v>
      </c>
      <c r="E5293" s="2" t="str">
        <f>HYPERLINK("https://ibp.a2mac1.com/costing(costing:projects/details/8191/material/5320135)","ABS")</f>
        <v>ABS</v>
      </c>
      <c r="F5293" t="s">
        <v>5913</v>
      </c>
    </row>
    <row r="5294" spans="1:6" ht="12.75">
      <c r="A5294">
        <v>6948333</v>
      </c>
      <c r="B5294">
        <v>6975729</v>
      </c>
      <c r="C5294" t="s">
        <v>189</v>
      </c>
      <c r="D5294" t="s">
        <v>99</v>
      </c>
      <c r="E5294" s="2" t="str">
        <f>HYPERLINK("https://ibp.a2mac1.com/costing(costing:projects/details/8191/equipment/6948333)","No.05 - Injection Press - 125T - 34kW - 500x500 - Max Volume 260cm3 ")</f>
        <v xml:space="preserve">No.05 - Injection Press - 125T - 34kW - 500x500 - Max Volume 260cm3 </v>
      </c>
      <c r="F5294" t="s">
        <v>5913</v>
      </c>
    </row>
    <row r="5295" spans="1:6" ht="12.75">
      <c r="A5295">
        <v>6975727</v>
      </c>
      <c r="B5295">
        <v>5388892</v>
      </c>
      <c r="C5295" t="s">
        <v>99</v>
      </c>
      <c r="D5295" t="s">
        <v>12</v>
      </c>
      <c r="E5295" s="2" t="str">
        <f>HYPERLINK("https://ibp.a2mac1.com/costing(costing:projects/details/8191/process/6975727)","Handling and Packaging")</f>
        <v>Handling and Packaging</v>
      </c>
      <c r="F5295" t="s">
        <v>5912</v>
      </c>
    </row>
    <row r="5296" spans="1:6" ht="12.75">
      <c r="A5296">
        <v>6948331</v>
      </c>
      <c r="B5296">
        <v>6975727</v>
      </c>
      <c r="C5296" t="s">
        <v>189</v>
      </c>
      <c r="D5296" t="s">
        <v>99</v>
      </c>
      <c r="E5296" s="2" t="str">
        <f>HYPERLINK("https://ibp.a2mac1.com/costing(costing:projects/details/8191/equipment/6948331)","Packaging station")</f>
        <v>Packaging station</v>
      </c>
      <c r="F5296" t="s">
        <v>5914</v>
      </c>
    </row>
    <row r="5297" spans="1:6" ht="12.75">
      <c r="A5297">
        <v>6975728</v>
      </c>
      <c r="B5297">
        <v>5388892</v>
      </c>
      <c r="C5297" t="s">
        <v>99</v>
      </c>
      <c r="D5297" t="s">
        <v>12</v>
      </c>
      <c r="E5297" s="2" t="str">
        <f>HYPERLINK("https://ibp.a2mac1.com/costing(costing:projects/details/8191/process/6975728)","Painting")</f>
        <v>Painting</v>
      </c>
      <c r="F5297" t="s">
        <v>5912</v>
      </c>
    </row>
    <row r="5298" spans="1:6" ht="12.75">
      <c r="A5298">
        <v>5320132</v>
      </c>
      <c r="B5298">
        <v>6975728</v>
      </c>
      <c r="C5298" t="s">
        <v>24</v>
      </c>
      <c r="D5298" t="s">
        <v>99</v>
      </c>
      <c r="E5298" s="2" t="str">
        <f>HYPERLINK("https://ibp.a2mac1.com/costing(costing:projects/details/8191/material/5320132)","Paint: Primer")</f>
        <v>Paint: Primer</v>
      </c>
      <c r="F5298" t="s">
        <v>5915</v>
      </c>
    </row>
    <row r="5299" spans="1:6" ht="12.75">
      <c r="A5299">
        <v>5320133</v>
      </c>
      <c r="B5299">
        <v>6975728</v>
      </c>
      <c r="C5299" t="s">
        <v>24</v>
      </c>
      <c r="D5299" t="s">
        <v>99</v>
      </c>
      <c r="E5299" s="2" t="str">
        <f>HYPERLINK("https://ibp.a2mac1.com/costing(costing:projects/details/8191/material/5320133)","Paint: Base")</f>
        <v>Paint: Base</v>
      </c>
      <c r="F5299" t="s">
        <v>5915</v>
      </c>
    </row>
    <row r="5300" spans="1:6" ht="12.75">
      <c r="A5300">
        <v>5320134</v>
      </c>
      <c r="B5300">
        <v>6975728</v>
      </c>
      <c r="C5300" t="s">
        <v>24</v>
      </c>
      <c r="D5300" t="s">
        <v>99</v>
      </c>
      <c r="E5300" s="2" t="str">
        <f>HYPERLINK("https://ibp.a2mac1.com/costing(costing:projects/details/8191/material/5320134)","Paint: Clear Coat")</f>
        <v>Paint: Clear Coat</v>
      </c>
      <c r="F5300" t="s">
        <v>5915</v>
      </c>
    </row>
    <row r="5301" spans="1:6" ht="12.75">
      <c r="A5301">
        <v>6948332</v>
      </c>
      <c r="B5301">
        <v>6975728</v>
      </c>
      <c r="C5301" t="s">
        <v>189</v>
      </c>
      <c r="D5301" t="s">
        <v>99</v>
      </c>
      <c r="E5301" s="2" t="str">
        <f>HYPERLINK("https://ibp.a2mac1.com/costing(costing:projects/details/8191/equipment/6948332)","No.01 - 25000x3000x3000 - Automatic Painting Line - with 12x10kW on line ovens")</f>
        <v>No.01 - 25000x3000x3000 - Automatic Painting Line - with 12x10kW on line ovens</v>
      </c>
      <c r="F5301" t="s">
        <v>5915</v>
      </c>
    </row>
    <row r="5302" spans="1:6" ht="12.75">
      <c r="A5302">
        <v>6975490</v>
      </c>
      <c r="B5302">
        <v>5388564</v>
      </c>
      <c r="C5302" t="s">
        <v>99</v>
      </c>
      <c r="D5302" t="s">
        <v>8</v>
      </c>
      <c r="E5302" s="2" t="str">
        <f>HYPERLINK("https://ibp.a2mac1.com/costing(costing:projects/details/8191/process/6975490)","Rear View Mirror Final Assembly")</f>
        <v>Rear View Mirror Final Assembly</v>
      </c>
      <c r="F5302" t="s">
        <v>5881</v>
      </c>
    </row>
    <row r="5303" spans="1:6" ht="12.75">
      <c r="A5303">
        <v>6948077</v>
      </c>
      <c r="B5303">
        <v>6975490</v>
      </c>
      <c r="C5303" t="s">
        <v>189</v>
      </c>
      <c r="D5303" t="s">
        <v>99</v>
      </c>
      <c r="E5303" s="2" t="str">
        <f>HYPERLINK("https://ibp.a2mac1.com/costing(costing:projects/details/8191/equipment/6948077)","Glass Pre Assembly Line")</f>
        <v>Glass Pre Assembly Line</v>
      </c>
      <c r="F5303" t="s">
        <v>5916</v>
      </c>
    </row>
    <row r="5304" spans="1:6" ht="12.75">
      <c r="A5304">
        <v>5388237</v>
      </c>
      <c r="B5304">
        <v>5388138</v>
      </c>
      <c r="C5304" t="s">
        <v>8</v>
      </c>
      <c r="D5304" t="s">
        <v>8</v>
      </c>
      <c r="E5304" s="2" t="str">
        <f>HYPERLINK("https://ibp.a2mac1.com/costing(costing:projects/details/8191/assembly/5388237)","Power Controls")</f>
        <v>Power Controls</v>
      </c>
      <c r="F5304" t="s">
        <v>5707</v>
      </c>
    </row>
    <row r="5305" spans="1:6" ht="12.75">
      <c r="A5305">
        <v>5388569</v>
      </c>
      <c r="B5305">
        <v>5388237</v>
      </c>
      <c r="C5305" t="s">
        <v>8</v>
      </c>
      <c r="D5305" t="s">
        <v>8</v>
      </c>
      <c r="E5305" s="2" t="str">
        <f>HYPERLINK("https://ibp.a2mac1.com/costing(costing:projects/details/8191/assembly/5388569)","Fastners")</f>
        <v>Fastners</v>
      </c>
      <c r="F5305" t="s">
        <v>5917</v>
      </c>
    </row>
    <row r="5306" spans="1:6" ht="12.75">
      <c r="A5306">
        <v>5319629</v>
      </c>
      <c r="B5306">
        <v>5388569</v>
      </c>
      <c r="C5306" t="s">
        <v>574</v>
      </c>
      <c r="D5306" t="s">
        <v>8</v>
      </c>
      <c r="E5306" s="2" t="str">
        <f>HYPERLINK("https://ibp.a2mac1.com/costing(costing:projects/details/8191/component/5319629)","Panel holder &gt; Clips for panel side")</f>
        <v>Panel holder &gt; Clips for panel side</v>
      </c>
      <c r="F5306" t="s">
        <v>5918</v>
      </c>
    </row>
    <row r="5307" spans="1:6" ht="12.75">
      <c r="A5307">
        <v>5388565</v>
      </c>
      <c r="B5307">
        <v>5388237</v>
      </c>
      <c r="C5307" t="s">
        <v>12</v>
      </c>
      <c r="D5307" t="s">
        <v>8</v>
      </c>
      <c r="E5307" s="2" t="str">
        <f>HYPERLINK("https://ibp.a2mac1.com/costing(costing:projects/details/8191/part/5388565)","Electric Windows Lift Control")</f>
        <v>Electric Windows Lift Control</v>
      </c>
      <c r="F5307" t="s">
        <v>5917</v>
      </c>
    </row>
    <row r="5308" spans="1:6" ht="12.75">
      <c r="A5308">
        <v>5388566</v>
      </c>
      <c r="B5308">
        <v>5388237</v>
      </c>
      <c r="C5308" t="s">
        <v>12</v>
      </c>
      <c r="D5308" t="s">
        <v>8</v>
      </c>
      <c r="E5308" s="2" t="str">
        <f>HYPERLINK("https://ibp.a2mac1.com/costing(costing:projects/details/8191/part/5388566)","Electric Windows Lift Control Support")</f>
        <v>Electric Windows Lift Control Support</v>
      </c>
      <c r="F5308" t="s">
        <v>5917</v>
      </c>
    </row>
    <row r="5309" spans="1:6" ht="12.75">
      <c r="A5309">
        <v>6975491</v>
      </c>
      <c r="B5309">
        <v>5388566</v>
      </c>
      <c r="C5309" t="s">
        <v>99</v>
      </c>
      <c r="D5309" t="s">
        <v>12</v>
      </c>
      <c r="E5309" s="2" t="str">
        <f>HYPERLINK("https://ibp.a2mac1.com/costing(costing:projects/details/8191/process/6975491)","Injection molding")</f>
        <v>Injection molding</v>
      </c>
      <c r="F5309" t="s">
        <v>5919</v>
      </c>
    </row>
    <row r="5310" spans="1:6" ht="12.75">
      <c r="A5310">
        <v>5319914</v>
      </c>
      <c r="B5310">
        <v>6975491</v>
      </c>
      <c r="C5310" t="s">
        <v>24</v>
      </c>
      <c r="D5310" t="s">
        <v>99</v>
      </c>
      <c r="E5310" s="2" t="str">
        <f>HYPERLINK("https://ibp.a2mac1.com/costing(costing:projects/details/8191/material/5319914)","ABS-PC")</f>
        <v>ABS-PC</v>
      </c>
      <c r="F5310" t="s">
        <v>5920</v>
      </c>
    </row>
    <row r="5311" spans="1:6" ht="12.75">
      <c r="A5311">
        <v>6948078</v>
      </c>
      <c r="B5311">
        <v>6975491</v>
      </c>
      <c r="C5311" t="s">
        <v>189</v>
      </c>
      <c r="D5311" t="s">
        <v>99</v>
      </c>
      <c r="E5311" s="2" t="str">
        <f>HYPERLINK("https://ibp.a2mac1.com/costing(costing:projects/details/8191/equipment/6948078)","No.07 - Injection Press - 250T - 63kW - 570x570 - Max Volume 958cm3 ")</f>
        <v xml:space="preserve">No.07 - Injection Press - 250T - 63kW - 570x570 - Max Volume 958cm3 </v>
      </c>
      <c r="F5311" t="s">
        <v>5920</v>
      </c>
    </row>
    <row r="5312" spans="1:6" ht="12.75">
      <c r="A5312">
        <v>6975492</v>
      </c>
      <c r="B5312">
        <v>5388566</v>
      </c>
      <c r="C5312" t="s">
        <v>99</v>
      </c>
      <c r="D5312" t="s">
        <v>12</v>
      </c>
      <c r="E5312" s="2" t="str">
        <f>HYPERLINK("https://ibp.a2mac1.com/costing(costing:projects/details/8191/process/6975492)","Handling/Visual Inspection/Packaging")</f>
        <v>Handling/Visual Inspection/Packaging</v>
      </c>
      <c r="F5312" t="s">
        <v>5919</v>
      </c>
    </row>
    <row r="5313" spans="1:6" ht="12.75">
      <c r="A5313">
        <v>6948079</v>
      </c>
      <c r="B5313">
        <v>6975492</v>
      </c>
      <c r="C5313" t="s">
        <v>189</v>
      </c>
      <c r="D5313" t="s">
        <v>99</v>
      </c>
      <c r="E5313" s="2" t="str">
        <f>HYPERLINK("https://ibp.a2mac1.com/costing(costing:projects/details/8191/equipment/6948079)","Packaging")</f>
        <v>Packaging</v>
      </c>
      <c r="F5313" t="s">
        <v>5921</v>
      </c>
    </row>
    <row r="5314" spans="1:6" ht="12.75">
      <c r="A5314">
        <v>5388567</v>
      </c>
      <c r="B5314">
        <v>5388237</v>
      </c>
      <c r="C5314" t="s">
        <v>12</v>
      </c>
      <c r="D5314" t="s">
        <v>8</v>
      </c>
      <c r="E5314" s="2" t="str">
        <f>HYPERLINK("https://ibp.a2mac1.com/costing(costing:projects/details/8191/part/5388567)","Trunk Lid   Tailgate Opening Switch")</f>
        <v>Trunk Lid   Tailgate Opening Switch</v>
      </c>
      <c r="F5314" t="s">
        <v>5917</v>
      </c>
    </row>
    <row r="5315" spans="1:6" ht="12.75">
      <c r="A5315">
        <v>5388568</v>
      </c>
      <c r="B5315">
        <v>5388237</v>
      </c>
      <c r="C5315" t="s">
        <v>12</v>
      </c>
      <c r="D5315" t="s">
        <v>8</v>
      </c>
      <c r="E5315" s="2" t="str">
        <f>HYPERLINK("https://ibp.a2mac1.com/costing(costing:projects/details/8191/part/5388568)","Trunk Lid   Tailgate Opening Switch Support")</f>
        <v>Trunk Lid   Tailgate Opening Switch Support</v>
      </c>
      <c r="F5315" t="s">
        <v>5917</v>
      </c>
    </row>
    <row r="5316" spans="1:6" ht="12.75">
      <c r="A5316">
        <v>5388238</v>
      </c>
      <c r="B5316">
        <v>5388138</v>
      </c>
      <c r="C5316" t="s">
        <v>8</v>
      </c>
      <c r="D5316" t="s">
        <v>8</v>
      </c>
      <c r="E5316" s="2" t="str">
        <f>HYPERLINK("https://ibp.a2mac1.com/costing(costing:projects/details/8191/assembly/5388238)","Speaker System")</f>
        <v>Speaker System</v>
      </c>
      <c r="F5316" t="s">
        <v>5707</v>
      </c>
    </row>
    <row r="5317" spans="1:6" ht="12.75">
      <c r="A5317">
        <v>5388570</v>
      </c>
      <c r="B5317">
        <v>5388238</v>
      </c>
      <c r="C5317" t="s">
        <v>12</v>
      </c>
      <c r="D5317" t="s">
        <v>8</v>
      </c>
      <c r="E5317" s="2" t="str">
        <f>HYPERLINK("https://ibp.a2mac1.com/costing(costing:projects/details/8191/part/5388570)","Speaker")</f>
        <v>Speaker</v>
      </c>
      <c r="F5317" t="s">
        <v>5922</v>
      </c>
    </row>
    <row r="5318" spans="1:6" ht="12.75">
      <c r="A5318">
        <v>5388239</v>
      </c>
      <c r="B5318">
        <v>5388138</v>
      </c>
      <c r="C5318" t="s">
        <v>8</v>
      </c>
      <c r="D5318" t="s">
        <v>8</v>
      </c>
      <c r="E5318" s="2" t="str">
        <f>HYPERLINK("https://ibp.a2mac1.com/costing(costing:projects/details/8191/assembly/5388239)","Fastners")</f>
        <v>Fastners</v>
      </c>
      <c r="F5318" t="s">
        <v>5707</v>
      </c>
    </row>
    <row r="5319" spans="1:6" ht="12.75">
      <c r="A5319">
        <v>5319478</v>
      </c>
      <c r="B5319">
        <v>5388239</v>
      </c>
      <c r="C5319" t="s">
        <v>574</v>
      </c>
      <c r="D5319" t="s">
        <v>8</v>
      </c>
      <c r="E5319" s="2" t="str">
        <f>HYPERLINK("https://ibp.a2mac1.com/costing(costing:projects/details/8191/component/5319478)","Screw &gt; Torx socket head cap screw with flange")</f>
        <v>Screw &gt; Torx socket head cap screw with flange</v>
      </c>
      <c r="F5319" t="s">
        <v>5923</v>
      </c>
    </row>
    <row r="5320" spans="1:6" ht="12.75">
      <c r="A5320">
        <v>5319479</v>
      </c>
      <c r="B5320">
        <v>5388239</v>
      </c>
      <c r="C5320" t="s">
        <v>574</v>
      </c>
      <c r="D5320" t="s">
        <v>8</v>
      </c>
      <c r="E5320" s="2" t="str">
        <f>HYPERLINK("https://ibp.a2mac1.com/costing(costing:projects/details/8191/component/5319479)","Hole plug &gt; Round hole")</f>
        <v>Hole plug &gt; Round hole</v>
      </c>
      <c r="F5320" t="s">
        <v>5923</v>
      </c>
    </row>
    <row r="5321" spans="1:6" ht="12.75">
      <c r="A5321">
        <v>5388228</v>
      </c>
      <c r="B5321">
        <v>5388138</v>
      </c>
      <c r="C5321" t="s">
        <v>12</v>
      </c>
      <c r="D5321" t="s">
        <v>8</v>
      </c>
      <c r="E5321" s="2" t="str">
        <f>HYPERLINK("https://ibp.a2mac1.com/costing(costing:projects/details/8191/part/5388228)","Hole Plug")</f>
        <v>Hole Plug</v>
      </c>
      <c r="F5321" t="s">
        <v>5707</v>
      </c>
    </row>
    <row r="5322" spans="1:6" ht="12.75">
      <c r="A5322">
        <v>5388139</v>
      </c>
      <c r="B5322">
        <v>5388127</v>
      </c>
      <c r="C5322" t="s">
        <v>8</v>
      </c>
      <c r="D5322" t="s">
        <v>8</v>
      </c>
      <c r="E5322" s="2" t="str">
        <f>HYPERLINK("https://ibp.a2mac1.com/costing(costing:projects/details/8191/assembly/5388139)","Rear Door Right")</f>
        <v>Rear Door Right</v>
      </c>
      <c r="F5322" t="s">
        <v>4590</v>
      </c>
    </row>
    <row r="5323" spans="1:6" ht="12.75">
      <c r="A5323">
        <v>5388240</v>
      </c>
      <c r="B5323">
        <v>5388139</v>
      </c>
      <c r="C5323" t="s">
        <v>8</v>
      </c>
      <c r="D5323" t="s">
        <v>8</v>
      </c>
      <c r="E5323" s="2" t="str">
        <f>HYPERLINK("https://ibp.a2mac1.com/costing(costing:projects/details/8191/assembly/5388240)","Rear Door Right")</f>
        <v>Rear Door Right</v>
      </c>
      <c r="F5323" t="s">
        <v>5925</v>
      </c>
    </row>
    <row r="5324" spans="1:6" ht="12.75">
      <c r="A5324">
        <v>5388571</v>
      </c>
      <c r="B5324">
        <v>5388240</v>
      </c>
      <c r="C5324" t="s">
        <v>8</v>
      </c>
      <c r="D5324" t="s">
        <v>8</v>
      </c>
      <c r="E5324" s="2" t="str">
        <f>HYPERLINK("https://ibp.a2mac1.com/costing(costing:projects/details/8191/assembly/5388571)","Housing Assy ")</f>
        <v xml:space="preserve">Housing Assy </v>
      </c>
      <c r="F5324" t="s">
        <v>5926</v>
      </c>
    </row>
    <row r="5325" spans="1:6" ht="12.75">
      <c r="A5325">
        <v>5388894</v>
      </c>
      <c r="B5325">
        <v>5388571</v>
      </c>
      <c r="C5325" t="s">
        <v>8</v>
      </c>
      <c r="D5325" t="s">
        <v>8</v>
      </c>
      <c r="E5325" s="2" t="str">
        <f>HYPERLINK("https://ibp.a2mac1.com/costing(costing:projects/details/8191/assembly/5388894)","Housing")</f>
        <v>Housing</v>
      </c>
      <c r="F5325" t="s">
        <v>5927</v>
      </c>
    </row>
    <row r="5326" spans="1:6" ht="12.75">
      <c r="A5326">
        <v>5389223</v>
      </c>
      <c r="B5326">
        <v>5388894</v>
      </c>
      <c r="C5326" t="s">
        <v>12</v>
      </c>
      <c r="D5326" t="s">
        <v>8</v>
      </c>
      <c r="E5326" s="2" t="str">
        <f>HYPERLINK("https://ibp.a2mac1.com/costing(costing:projects/details/8191/part/5389223)","Part 01 single/front")</f>
        <v>Part 01 single/front</v>
      </c>
      <c r="F5326" t="s">
        <v>5928</v>
      </c>
    </row>
    <row r="5327" spans="1:6" ht="12.75">
      <c r="A5327">
        <v>6975839</v>
      </c>
      <c r="B5327">
        <v>5389223</v>
      </c>
      <c r="C5327" t="s">
        <v>99</v>
      </c>
      <c r="D5327" t="s">
        <v>12</v>
      </c>
      <c r="E5327" s="2" t="str">
        <f>HYPERLINK("https://ibp.a2mac1.com/costing(costing:projects/details/8191/process/6975839)","Manufacturing Process")</f>
        <v>Manufacturing Process</v>
      </c>
      <c r="F5327" t="s">
        <v>5929</v>
      </c>
    </row>
    <row r="5328" spans="1:6" ht="12.75">
      <c r="A5328">
        <v>5320294</v>
      </c>
      <c r="B5328">
        <v>6975839</v>
      </c>
      <c r="C5328" t="s">
        <v>24</v>
      </c>
      <c r="D5328" t="s">
        <v>99</v>
      </c>
      <c r="E5328" s="2" t="str">
        <f>HYPERLINK("https://ibp.a2mac1.com/costing(costing:projects/details/8191/material/5320294)","Standard Structural Steel sheet")</f>
        <v>Standard Structural Steel sheet</v>
      </c>
      <c r="F5328" t="s">
        <v>5930</v>
      </c>
    </row>
    <row r="5329" spans="1:6" ht="12.75">
      <c r="A5329">
        <v>6948434</v>
      </c>
      <c r="B5329">
        <v>6975839</v>
      </c>
      <c r="C5329" t="s">
        <v>189</v>
      </c>
      <c r="D5329" t="s">
        <v>99</v>
      </c>
      <c r="E5329" s="2" t="str">
        <f>HYPERLINK("https://ibp.a2mac1.com/costing(costing:projects/details/8191/equipment/6948434)","Equipment (Stamping)")</f>
        <v>Equipment (Stamping)</v>
      </c>
      <c r="F5329" t="s">
        <v>5930</v>
      </c>
    </row>
    <row r="5330" spans="1:6" ht="12.75">
      <c r="A5330">
        <v>5388895</v>
      </c>
      <c r="B5330">
        <v>5388571</v>
      </c>
      <c r="C5330" t="s">
        <v>8</v>
      </c>
      <c r="D5330" t="s">
        <v>8</v>
      </c>
      <c r="E5330" s="2" t="str">
        <f>HYPERLINK("https://ibp.a2mac1.com/costing(costing:projects/details/8191/assembly/5388895)","Reinforcements")</f>
        <v>Reinforcements</v>
      </c>
      <c r="F5330" t="s">
        <v>5927</v>
      </c>
    </row>
    <row r="5331" spans="1:6" ht="12.75">
      <c r="A5331">
        <v>5389224</v>
      </c>
      <c r="B5331">
        <v>5388895</v>
      </c>
      <c r="C5331" t="s">
        <v>12</v>
      </c>
      <c r="D5331" t="s">
        <v>8</v>
      </c>
      <c r="E5331" s="2" t="str">
        <f>HYPERLINK("https://ibp.a2mac1.com/costing(costing:projects/details/8191/part/5389224)","Part 01 single/main")</f>
        <v>Part 01 single/main</v>
      </c>
      <c r="F5331" t="s">
        <v>5931</v>
      </c>
    </row>
    <row r="5332" spans="1:6" ht="12.75">
      <c r="A5332">
        <v>6975840</v>
      </c>
      <c r="B5332">
        <v>5389224</v>
      </c>
      <c r="C5332" t="s">
        <v>99</v>
      </c>
      <c r="D5332" t="s">
        <v>12</v>
      </c>
      <c r="E5332" s="2" t="str">
        <f>HYPERLINK("https://ibp.a2mac1.com/costing(costing:projects/details/8191/process/6975840)","Manufacturing Process")</f>
        <v>Manufacturing Process</v>
      </c>
      <c r="F5332" t="s">
        <v>5932</v>
      </c>
    </row>
    <row r="5333" spans="1:6" ht="12.75">
      <c r="A5333">
        <v>5320295</v>
      </c>
      <c r="B5333">
        <v>6975840</v>
      </c>
      <c r="C5333" t="s">
        <v>24</v>
      </c>
      <c r="D5333" t="s">
        <v>99</v>
      </c>
      <c r="E5333" s="2" t="str">
        <f>HYPERLINK("https://ibp.a2mac1.com/costing(costing:projects/details/8191/material/5320295)","Standard Structural Steel sheet")</f>
        <v>Standard Structural Steel sheet</v>
      </c>
      <c r="F5333" t="s">
        <v>5933</v>
      </c>
    </row>
    <row r="5334" spans="1:6" ht="12.75">
      <c r="A5334">
        <v>6948435</v>
      </c>
      <c r="B5334">
        <v>6975840</v>
      </c>
      <c r="C5334" t="s">
        <v>189</v>
      </c>
      <c r="D5334" t="s">
        <v>99</v>
      </c>
      <c r="E5334" s="2" t="str">
        <f>HYPERLINK("https://ibp.a2mac1.com/costing(costing:projects/details/8191/equipment/6948435)","Equipment (Stamping)")</f>
        <v>Equipment (Stamping)</v>
      </c>
      <c r="F5334" t="s">
        <v>5933</v>
      </c>
    </row>
    <row r="5335" spans="1:6" ht="12.75">
      <c r="A5335">
        <v>5389225</v>
      </c>
      <c r="B5335">
        <v>5388895</v>
      </c>
      <c r="C5335" t="s">
        <v>12</v>
      </c>
      <c r="D5335" t="s">
        <v>8</v>
      </c>
      <c r="E5335" s="2" t="str">
        <f>HYPERLINK("https://ibp.a2mac1.com/costing(costing:projects/details/8191/part/5389225)","Part 02")</f>
        <v>Part 02</v>
      </c>
      <c r="F5335" t="s">
        <v>5931</v>
      </c>
    </row>
    <row r="5336" spans="1:6" ht="12.75">
      <c r="A5336">
        <v>6975841</v>
      </c>
      <c r="B5336">
        <v>5389225</v>
      </c>
      <c r="C5336" t="s">
        <v>99</v>
      </c>
      <c r="D5336" t="s">
        <v>12</v>
      </c>
      <c r="E5336" s="2" t="str">
        <f>HYPERLINK("https://ibp.a2mac1.com/costing(costing:projects/details/8191/process/6975841)","Manufacturing Process")</f>
        <v>Manufacturing Process</v>
      </c>
      <c r="F5336" t="s">
        <v>5934</v>
      </c>
    </row>
    <row r="5337" spans="1:6" ht="12.75">
      <c r="A5337">
        <v>5320296</v>
      </c>
      <c r="B5337">
        <v>6975841</v>
      </c>
      <c r="C5337" t="s">
        <v>24</v>
      </c>
      <c r="D5337" t="s">
        <v>99</v>
      </c>
      <c r="E5337" s="2" t="str">
        <f>HYPERLINK("https://ibp.a2mac1.com/costing(costing:projects/details/8191/material/5320296)","Standard Structural Steel sheet")</f>
        <v>Standard Structural Steel sheet</v>
      </c>
      <c r="F5337" t="s">
        <v>5935</v>
      </c>
    </row>
    <row r="5338" spans="1:6" ht="12.75">
      <c r="A5338">
        <v>6948436</v>
      </c>
      <c r="B5338">
        <v>6975841</v>
      </c>
      <c r="C5338" t="s">
        <v>189</v>
      </c>
      <c r="D5338" t="s">
        <v>99</v>
      </c>
      <c r="E5338" s="2" t="str">
        <f>HYPERLINK("https://ibp.a2mac1.com/costing(costing:projects/details/8191/equipment/6948436)","Equipment (Stamping)")</f>
        <v>Equipment (Stamping)</v>
      </c>
      <c r="F5338" t="s">
        <v>5935</v>
      </c>
    </row>
    <row r="5339" spans="1:6" ht="12.75">
      <c r="A5339">
        <v>5388896</v>
      </c>
      <c r="B5339">
        <v>5388571</v>
      </c>
      <c r="C5339" t="s">
        <v>8</v>
      </c>
      <c r="D5339" t="s">
        <v>8</v>
      </c>
      <c r="E5339" s="2" t="str">
        <f>HYPERLINK("https://ibp.a2mac1.com/costing(costing:projects/details/8191/assembly/5388896)","Fixing parts")</f>
        <v>Fixing parts</v>
      </c>
      <c r="F5339" t="s">
        <v>5927</v>
      </c>
    </row>
    <row r="5340" spans="1:6" ht="12.75">
      <c r="A5340">
        <v>5389226</v>
      </c>
      <c r="B5340">
        <v>5388896</v>
      </c>
      <c r="C5340" t="s">
        <v>8</v>
      </c>
      <c r="D5340" t="s">
        <v>8</v>
      </c>
      <c r="E5340" s="2" t="str">
        <f>HYPERLINK("https://ibp.a2mac1.com/costing(costing:projects/details/8191/assembly/5389226)","Front")</f>
        <v>Front</v>
      </c>
      <c r="F5340" t="s">
        <v>5936</v>
      </c>
    </row>
    <row r="5341" spans="1:6" ht="12.75">
      <c r="A5341">
        <v>5389432</v>
      </c>
      <c r="B5341">
        <v>5389226</v>
      </c>
      <c r="C5341" t="s">
        <v>12</v>
      </c>
      <c r="D5341" t="s">
        <v>8</v>
      </c>
      <c r="E5341" s="2" t="str">
        <f>HYPERLINK("https://ibp.a2mac1.com/costing(costing:projects/details/8191/part/5389432)","Part 01 single/main")</f>
        <v>Part 01 single/main</v>
      </c>
      <c r="F5341" t="s">
        <v>5937</v>
      </c>
    </row>
    <row r="5342" spans="1:6" ht="12.75">
      <c r="A5342">
        <v>6975899</v>
      </c>
      <c r="B5342">
        <v>5389432</v>
      </c>
      <c r="C5342" t="s">
        <v>99</v>
      </c>
      <c r="D5342" t="s">
        <v>12</v>
      </c>
      <c r="E5342" s="2" t="str">
        <f>HYPERLINK("https://ibp.a2mac1.com/costing(costing:projects/details/8191/process/6975899)","Manufacturing Process")</f>
        <v>Manufacturing Process</v>
      </c>
      <c r="F5342" t="s">
        <v>5938</v>
      </c>
    </row>
    <row r="5343" spans="1:6" ht="12.75">
      <c r="A5343">
        <v>5320363</v>
      </c>
      <c r="B5343">
        <v>6975899</v>
      </c>
      <c r="C5343" t="s">
        <v>24</v>
      </c>
      <c r="D5343" t="s">
        <v>99</v>
      </c>
      <c r="E5343" s="2" t="str">
        <f>HYPERLINK("https://ibp.a2mac1.com/costing(costing:projects/details/8191/material/5320363)","Standard Structural Steel sheet")</f>
        <v>Standard Structural Steel sheet</v>
      </c>
      <c r="F5343" t="s">
        <v>5939</v>
      </c>
    </row>
    <row r="5344" spans="1:6" ht="12.75">
      <c r="A5344">
        <v>6948518</v>
      </c>
      <c r="B5344">
        <v>6975899</v>
      </c>
      <c r="C5344" t="s">
        <v>189</v>
      </c>
      <c r="D5344" t="s">
        <v>99</v>
      </c>
      <c r="E5344" s="2" t="str">
        <f>HYPERLINK("https://ibp.a2mac1.com/costing(costing:projects/details/8191/equipment/6948518)","Equipment (Stamping)")</f>
        <v>Equipment (Stamping)</v>
      </c>
      <c r="F5344" t="s">
        <v>5939</v>
      </c>
    </row>
    <row r="5345" spans="1:6" ht="12.75">
      <c r="A5345">
        <v>5389433</v>
      </c>
      <c r="B5345">
        <v>5389226</v>
      </c>
      <c r="C5345" t="s">
        <v>12</v>
      </c>
      <c r="D5345" t="s">
        <v>8</v>
      </c>
      <c r="E5345" s="2" t="str">
        <f>HYPERLINK("https://ibp.a2mac1.com/costing(costing:projects/details/8191/part/5389433)","Part 02")</f>
        <v>Part 02</v>
      </c>
      <c r="F5345" t="s">
        <v>5937</v>
      </c>
    </row>
    <row r="5346" spans="1:6" ht="12.75">
      <c r="A5346">
        <v>6975900</v>
      </c>
      <c r="B5346">
        <v>5389433</v>
      </c>
      <c r="C5346" t="s">
        <v>99</v>
      </c>
      <c r="D5346" t="s">
        <v>12</v>
      </c>
      <c r="E5346" s="2" t="str">
        <f>HYPERLINK("https://ibp.a2mac1.com/costing(costing:projects/details/8191/process/6975900)","Manufacturing Process")</f>
        <v>Manufacturing Process</v>
      </c>
      <c r="F5346" t="s">
        <v>5940</v>
      </c>
    </row>
    <row r="5347" spans="1:6" ht="12.75">
      <c r="A5347">
        <v>5320364</v>
      </c>
      <c r="B5347">
        <v>6975900</v>
      </c>
      <c r="C5347" t="s">
        <v>24</v>
      </c>
      <c r="D5347" t="s">
        <v>99</v>
      </c>
      <c r="E5347" s="2" t="str">
        <f>HYPERLINK("https://ibp.a2mac1.com/costing(costing:projects/details/8191/material/5320364)","Standard Structural Steel sheet")</f>
        <v>Standard Structural Steel sheet</v>
      </c>
      <c r="F5347" t="s">
        <v>5941</v>
      </c>
    </row>
    <row r="5348" spans="1:6" ht="12.75">
      <c r="A5348">
        <v>6948519</v>
      </c>
      <c r="B5348">
        <v>6975900</v>
      </c>
      <c r="C5348" t="s">
        <v>189</v>
      </c>
      <c r="D5348" t="s">
        <v>99</v>
      </c>
      <c r="E5348" s="2" t="str">
        <f>HYPERLINK("https://ibp.a2mac1.com/costing(costing:projects/details/8191/equipment/6948519)","Equipment (Stamping)")</f>
        <v>Equipment (Stamping)</v>
      </c>
      <c r="F5348" t="s">
        <v>5941</v>
      </c>
    </row>
    <row r="5349" spans="1:6" ht="12.75">
      <c r="A5349">
        <v>5388572</v>
      </c>
      <c r="B5349">
        <v>5388240</v>
      </c>
      <c r="C5349" t="s">
        <v>8</v>
      </c>
      <c r="D5349" t="s">
        <v>8</v>
      </c>
      <c r="E5349" s="2" t="str">
        <f>HYPERLINK("https://ibp.a2mac1.com/costing(costing:projects/details/8191/assembly/5388572)","Anti-intrusion beams")</f>
        <v>Anti-intrusion beams</v>
      </c>
      <c r="F5349" t="s">
        <v>5926</v>
      </c>
    </row>
    <row r="5350" spans="1:6" ht="12.75">
      <c r="A5350">
        <v>5388897</v>
      </c>
      <c r="B5350">
        <v>5388572</v>
      </c>
      <c r="C5350" t="s">
        <v>8</v>
      </c>
      <c r="D5350" t="s">
        <v>8</v>
      </c>
      <c r="E5350" s="2" t="str">
        <f>HYPERLINK("https://ibp.a2mac1.com/costing(costing:projects/details/8191/assembly/5388897)","Beam 01")</f>
        <v>Beam 01</v>
      </c>
      <c r="F5350" t="s">
        <v>5942</v>
      </c>
    </row>
    <row r="5351" spans="1:6" ht="12.75">
      <c r="A5351">
        <v>5389227</v>
      </c>
      <c r="B5351">
        <v>5388897</v>
      </c>
      <c r="C5351" t="s">
        <v>8</v>
      </c>
      <c r="D5351" t="s">
        <v>8</v>
      </c>
      <c r="E5351" s="2" t="str">
        <f>HYPERLINK("https://ibp.a2mac1.com/costing(costing:projects/details/8191/assembly/5389227)","Beam")</f>
        <v>Beam</v>
      </c>
      <c r="F5351" t="s">
        <v>5943</v>
      </c>
    </row>
    <row r="5352" spans="1:6" ht="12.75">
      <c r="A5352">
        <v>5389434</v>
      </c>
      <c r="B5352">
        <v>5389227</v>
      </c>
      <c r="C5352" t="s">
        <v>12</v>
      </c>
      <c r="D5352" t="s">
        <v>8</v>
      </c>
      <c r="E5352" s="2" t="str">
        <f>HYPERLINK("https://ibp.a2mac1.com/costing(costing:projects/details/8191/part/5389434)","Part 01 single/main")</f>
        <v>Part 01 single/main</v>
      </c>
      <c r="F5352" t="s">
        <v>5944</v>
      </c>
    </row>
    <row r="5353" spans="1:6" ht="12.75">
      <c r="A5353">
        <v>6975901</v>
      </c>
      <c r="B5353">
        <v>5389434</v>
      </c>
      <c r="C5353" t="s">
        <v>99</v>
      </c>
      <c r="D5353" t="s">
        <v>12</v>
      </c>
      <c r="E5353" s="2" t="str">
        <f>HYPERLINK("https://ibp.a2mac1.com/costing(costing:projects/details/8191/process/6975901)","Manufacturing Process")</f>
        <v>Manufacturing Process</v>
      </c>
      <c r="F5353" t="s">
        <v>5945</v>
      </c>
    </row>
    <row r="5354" spans="1:6" ht="12.75">
      <c r="A5354">
        <v>5320365</v>
      </c>
      <c r="B5354">
        <v>6975901</v>
      </c>
      <c r="C5354" t="s">
        <v>24</v>
      </c>
      <c r="D5354" t="s">
        <v>99</v>
      </c>
      <c r="E5354" s="2" t="str">
        <f>HYPERLINK("https://ibp.a2mac1.com/costing(costing:projects/details/8191/material/5320365)","Standard Structural Steel sheet")</f>
        <v>Standard Structural Steel sheet</v>
      </c>
      <c r="F5354" t="s">
        <v>5946</v>
      </c>
    </row>
    <row r="5355" spans="1:6" ht="12.75">
      <c r="A5355">
        <v>6948520</v>
      </c>
      <c r="B5355">
        <v>6975901</v>
      </c>
      <c r="C5355" t="s">
        <v>189</v>
      </c>
      <c r="D5355" t="s">
        <v>99</v>
      </c>
      <c r="E5355" s="2" t="str">
        <f>HYPERLINK("https://ibp.a2mac1.com/costing(costing:projects/details/8191/equipment/6948520)","Equipment (Stamping)")</f>
        <v>Equipment (Stamping)</v>
      </c>
      <c r="F5355" t="s">
        <v>5946</v>
      </c>
    </row>
    <row r="5356" spans="1:6" ht="12.75">
      <c r="A5356">
        <v>5388573</v>
      </c>
      <c r="B5356">
        <v>5388240</v>
      </c>
      <c r="C5356" t="s">
        <v>8</v>
      </c>
      <c r="D5356" t="s">
        <v>8</v>
      </c>
      <c r="E5356" s="2" t="str">
        <f>HYPERLINK("https://ibp.a2mac1.com/costing(costing:projects/details/8191/assembly/5388573)","Window frame assy")</f>
        <v>Window frame assy</v>
      </c>
      <c r="F5356" t="s">
        <v>5926</v>
      </c>
    </row>
    <row r="5357" spans="1:6" ht="12.75">
      <c r="A5357">
        <v>5388898</v>
      </c>
      <c r="B5357">
        <v>5388573</v>
      </c>
      <c r="C5357" t="s">
        <v>8</v>
      </c>
      <c r="D5357" t="s">
        <v>8</v>
      </c>
      <c r="E5357" s="2" t="str">
        <f>HYPERLINK("https://ibp.a2mac1.com/costing(costing:projects/details/8191/assembly/5388898)","Frame")</f>
        <v>Frame</v>
      </c>
      <c r="F5357" t="s">
        <v>5947</v>
      </c>
    </row>
    <row r="5358" spans="1:6" ht="12.75">
      <c r="A5358">
        <v>5389228</v>
      </c>
      <c r="B5358">
        <v>5388898</v>
      </c>
      <c r="C5358" t="s">
        <v>12</v>
      </c>
      <c r="D5358" t="s">
        <v>8</v>
      </c>
      <c r="E5358" s="2" t="str">
        <f>HYPERLINK("https://ibp.a2mac1.com/costing(costing:projects/details/8191/part/5389228)","Part 01 single/front")</f>
        <v>Part 01 single/front</v>
      </c>
      <c r="F5358" t="s">
        <v>5948</v>
      </c>
    </row>
    <row r="5359" spans="1:6" ht="12.75">
      <c r="A5359">
        <v>6975842</v>
      </c>
      <c r="B5359">
        <v>5389228</v>
      </c>
      <c r="C5359" t="s">
        <v>99</v>
      </c>
      <c r="D5359" t="s">
        <v>12</v>
      </c>
      <c r="E5359" s="2" t="str">
        <f>HYPERLINK("https://ibp.a2mac1.com/costing(costing:projects/details/8191/process/6975842)","Manufacturing Process")</f>
        <v>Manufacturing Process</v>
      </c>
      <c r="F5359" t="s">
        <v>5949</v>
      </c>
    </row>
    <row r="5360" spans="1:6" ht="12.75">
      <c r="A5360">
        <v>5320297</v>
      </c>
      <c r="B5360">
        <v>6975842</v>
      </c>
      <c r="C5360" t="s">
        <v>24</v>
      </c>
      <c r="D5360" t="s">
        <v>99</v>
      </c>
      <c r="E5360" s="2" t="str">
        <f>HYPERLINK("https://ibp.a2mac1.com/costing(costing:projects/details/8191/material/5320297)","Standard Structural Steel sheet")</f>
        <v>Standard Structural Steel sheet</v>
      </c>
      <c r="F5360" t="s">
        <v>5950</v>
      </c>
    </row>
    <row r="5361" spans="1:6" ht="12.75">
      <c r="A5361">
        <v>6948437</v>
      </c>
      <c r="B5361">
        <v>6975842</v>
      </c>
      <c r="C5361" t="s">
        <v>189</v>
      </c>
      <c r="D5361" t="s">
        <v>99</v>
      </c>
      <c r="E5361" s="2" t="str">
        <f>HYPERLINK("https://ibp.a2mac1.com/costing(costing:projects/details/8191/equipment/6948437)","Equipment (Stamping)")</f>
        <v>Equipment (Stamping)</v>
      </c>
      <c r="F5361" t="s">
        <v>5950</v>
      </c>
    </row>
    <row r="5362" spans="1:6" ht="12.75">
      <c r="A5362">
        <v>5388574</v>
      </c>
      <c r="B5362">
        <v>5388240</v>
      </c>
      <c r="C5362" t="s">
        <v>8</v>
      </c>
      <c r="D5362" t="s">
        <v>8</v>
      </c>
      <c r="E5362" s="2" t="str">
        <f>HYPERLINK("https://ibp.a2mac1.com/costing(costing:projects/details/8191/assembly/5388574)","Top roll assy ")</f>
        <v xml:space="preserve">Top roll assy </v>
      </c>
      <c r="F5362" t="s">
        <v>5926</v>
      </c>
    </row>
    <row r="5363" spans="1:6" ht="12.75">
      <c r="A5363">
        <v>5388899</v>
      </c>
      <c r="B5363">
        <v>5388574</v>
      </c>
      <c r="C5363" t="s">
        <v>8</v>
      </c>
      <c r="D5363" t="s">
        <v>8</v>
      </c>
      <c r="E5363" s="2" t="str">
        <f>HYPERLINK("https://ibp.a2mac1.com/costing(costing:projects/details/8191/assembly/5388899)","Cross member 01 (outer)")</f>
        <v>Cross member 01 (outer)</v>
      </c>
      <c r="F5363" t="s">
        <v>5951</v>
      </c>
    </row>
    <row r="5364" spans="1:6" ht="12.75">
      <c r="A5364">
        <v>5389229</v>
      </c>
      <c r="B5364">
        <v>5388899</v>
      </c>
      <c r="C5364" t="s">
        <v>8</v>
      </c>
      <c r="D5364" t="s">
        <v>8</v>
      </c>
      <c r="E5364" s="2" t="str">
        <f>HYPERLINK("https://ibp.a2mac1.com/costing(costing:projects/details/8191/assembly/5389229)","Cross member")</f>
        <v>Cross member</v>
      </c>
      <c r="F5364" t="s">
        <v>5952</v>
      </c>
    </row>
    <row r="5365" spans="1:6" ht="12.75">
      <c r="A5365">
        <v>5389435</v>
      </c>
      <c r="B5365">
        <v>5389229</v>
      </c>
      <c r="C5365" t="s">
        <v>12</v>
      </c>
      <c r="D5365" t="s">
        <v>8</v>
      </c>
      <c r="E5365" s="2" t="str">
        <f>HYPERLINK("https://ibp.a2mac1.com/costing(costing:projects/details/8191/part/5389435)","Part 01 single/main")</f>
        <v>Part 01 single/main</v>
      </c>
      <c r="F5365" t="s">
        <v>5953</v>
      </c>
    </row>
    <row r="5366" spans="1:6" ht="12.75">
      <c r="A5366">
        <v>6975902</v>
      </c>
      <c r="B5366">
        <v>5389435</v>
      </c>
      <c r="C5366" t="s">
        <v>99</v>
      </c>
      <c r="D5366" t="s">
        <v>12</v>
      </c>
      <c r="E5366" s="2" t="str">
        <f>HYPERLINK("https://ibp.a2mac1.com/costing(costing:projects/details/8191/process/6975902)","Manufacturing Process")</f>
        <v>Manufacturing Process</v>
      </c>
      <c r="F5366" t="s">
        <v>5954</v>
      </c>
    </row>
    <row r="5367" spans="1:6" ht="12.75">
      <c r="A5367">
        <v>5320366</v>
      </c>
      <c r="B5367">
        <v>6975902</v>
      </c>
      <c r="C5367" t="s">
        <v>24</v>
      </c>
      <c r="D5367" t="s">
        <v>99</v>
      </c>
      <c r="E5367" s="2" t="str">
        <f>HYPERLINK("https://ibp.a2mac1.com/costing(costing:projects/details/8191/material/5320366)","Standard Structural Steel sheet")</f>
        <v>Standard Structural Steel sheet</v>
      </c>
      <c r="F5367" t="s">
        <v>5955</v>
      </c>
    </row>
    <row r="5368" spans="1:6" ht="12.75">
      <c r="A5368">
        <v>6948521</v>
      </c>
      <c r="B5368">
        <v>6975902</v>
      </c>
      <c r="C5368" t="s">
        <v>189</v>
      </c>
      <c r="D5368" t="s">
        <v>99</v>
      </c>
      <c r="E5368" s="2" t="str">
        <f>HYPERLINK("https://ibp.a2mac1.com/costing(costing:projects/details/8191/equipment/6948521)","Equipment (Stamping)")</f>
        <v>Equipment (Stamping)</v>
      </c>
      <c r="F5368" t="s">
        <v>5955</v>
      </c>
    </row>
    <row r="5369" spans="1:6" ht="12.75">
      <c r="A5369">
        <v>5388575</v>
      </c>
      <c r="B5369">
        <v>5388240</v>
      </c>
      <c r="C5369" t="s">
        <v>8</v>
      </c>
      <c r="D5369" t="s">
        <v>8</v>
      </c>
      <c r="E5369" s="2" t="str">
        <f>HYPERLINK("https://ibp.a2mac1.com/costing(costing:projects/details/8191/assembly/5388575)","Outer panel")</f>
        <v>Outer panel</v>
      </c>
      <c r="F5369" t="s">
        <v>5926</v>
      </c>
    </row>
    <row r="5370" spans="1:6" ht="12.75">
      <c r="A5370">
        <v>5388900</v>
      </c>
      <c r="B5370">
        <v>5388575</v>
      </c>
      <c r="C5370" t="s">
        <v>8</v>
      </c>
      <c r="D5370" t="s">
        <v>8</v>
      </c>
      <c r="E5370" s="2" t="str">
        <f>HYPERLINK("https://ibp.a2mac1.com/costing(costing:projects/details/8191/assembly/5388900)","Panel")</f>
        <v>Panel</v>
      </c>
      <c r="F5370" t="s">
        <v>5956</v>
      </c>
    </row>
    <row r="5371" spans="1:6" ht="12.75">
      <c r="A5371">
        <v>5389230</v>
      </c>
      <c r="B5371">
        <v>5388900</v>
      </c>
      <c r="C5371" t="s">
        <v>12</v>
      </c>
      <c r="D5371" t="s">
        <v>8</v>
      </c>
      <c r="E5371" s="2" t="str">
        <f>HYPERLINK("https://ibp.a2mac1.com/costing(costing:projects/details/8191/part/5389230)","Part 01 single/main")</f>
        <v>Part 01 single/main</v>
      </c>
      <c r="F5371" t="s">
        <v>5957</v>
      </c>
    </row>
    <row r="5372" spans="1:6" ht="12.75">
      <c r="A5372">
        <v>6975843</v>
      </c>
      <c r="B5372">
        <v>5389230</v>
      </c>
      <c r="C5372" t="s">
        <v>99</v>
      </c>
      <c r="D5372" t="s">
        <v>12</v>
      </c>
      <c r="E5372" s="2" t="str">
        <f>HYPERLINK("https://ibp.a2mac1.com/costing(costing:projects/details/8191/process/6975843)","Manufacturing Process")</f>
        <v>Manufacturing Process</v>
      </c>
      <c r="F5372" t="s">
        <v>5958</v>
      </c>
    </row>
    <row r="5373" spans="1:6" ht="12.75">
      <c r="A5373">
        <v>5320298</v>
      </c>
      <c r="B5373">
        <v>6975843</v>
      </c>
      <c r="C5373" t="s">
        <v>24</v>
      </c>
      <c r="D5373" t="s">
        <v>99</v>
      </c>
      <c r="E5373" s="2" t="str">
        <f>HYPERLINK("https://ibp.a2mac1.com/costing(costing:projects/details/8191/material/5320298)","Standard Structural Steel sheet")</f>
        <v>Standard Structural Steel sheet</v>
      </c>
      <c r="F5373" t="s">
        <v>5959</v>
      </c>
    </row>
    <row r="5374" spans="1:6" ht="12.75">
      <c r="A5374">
        <v>6948438</v>
      </c>
      <c r="B5374">
        <v>6975843</v>
      </c>
      <c r="C5374" t="s">
        <v>189</v>
      </c>
      <c r="D5374" t="s">
        <v>99</v>
      </c>
      <c r="E5374" s="2" t="str">
        <f>HYPERLINK("https://ibp.a2mac1.com/costing(costing:projects/details/8191/equipment/6948438)","Equipment (Stamping)")</f>
        <v>Equipment (Stamping)</v>
      </c>
      <c r="F5374" t="s">
        <v>5959</v>
      </c>
    </row>
    <row r="5375" spans="1:6" ht="12.75">
      <c r="A5375">
        <v>5388901</v>
      </c>
      <c r="B5375">
        <v>5388575</v>
      </c>
      <c r="C5375" t="s">
        <v>8</v>
      </c>
      <c r="D5375" t="s">
        <v>8</v>
      </c>
      <c r="E5375" s="2" t="str">
        <f>HYPERLINK("https://ibp.a2mac1.com/costing(costing:projects/details/8191/assembly/5388901)","Reinforcements")</f>
        <v>Reinforcements</v>
      </c>
      <c r="F5375" t="s">
        <v>5956</v>
      </c>
    </row>
    <row r="5376" spans="1:6" ht="12.75">
      <c r="A5376">
        <v>5389231</v>
      </c>
      <c r="B5376">
        <v>5388901</v>
      </c>
      <c r="C5376" t="s">
        <v>8</v>
      </c>
      <c r="D5376" t="s">
        <v>8</v>
      </c>
      <c r="E5376" s="2" t="str">
        <f>HYPERLINK("https://ibp.a2mac1.com/costing(costing:projects/details/8191/assembly/5389231)","Reinforcement")</f>
        <v>Reinforcement</v>
      </c>
      <c r="F5376" t="s">
        <v>5960</v>
      </c>
    </row>
    <row r="5377" spans="1:6" ht="12.75">
      <c r="A5377">
        <v>5389436</v>
      </c>
      <c r="B5377">
        <v>5389231</v>
      </c>
      <c r="C5377" t="s">
        <v>12</v>
      </c>
      <c r="D5377" t="s">
        <v>8</v>
      </c>
      <c r="E5377" s="2" t="str">
        <f>HYPERLINK("https://ibp.a2mac1.com/costing(costing:projects/details/8191/part/5389436)","Part 01 single/main")</f>
        <v>Part 01 single/main</v>
      </c>
      <c r="F5377" t="s">
        <v>5961</v>
      </c>
    </row>
    <row r="5378" spans="1:6" ht="12.75">
      <c r="A5378">
        <v>6975903</v>
      </c>
      <c r="B5378">
        <v>5389436</v>
      </c>
      <c r="C5378" t="s">
        <v>99</v>
      </c>
      <c r="D5378" t="s">
        <v>12</v>
      </c>
      <c r="E5378" s="2" t="str">
        <f>HYPERLINK("https://ibp.a2mac1.com/costing(costing:projects/details/8191/process/6975903)","Manufacturing Process")</f>
        <v>Manufacturing Process</v>
      </c>
      <c r="F5378" t="s">
        <v>5962</v>
      </c>
    </row>
    <row r="5379" spans="1:6" ht="12.75">
      <c r="A5379">
        <v>5320367</v>
      </c>
      <c r="B5379">
        <v>6975903</v>
      </c>
      <c r="C5379" t="s">
        <v>24</v>
      </c>
      <c r="D5379" t="s">
        <v>99</v>
      </c>
      <c r="E5379" s="2" t="str">
        <f>HYPERLINK("https://ibp.a2mac1.com/costing(costing:projects/details/8191/material/5320367)","Standard Structural Steel sheet")</f>
        <v>Standard Structural Steel sheet</v>
      </c>
      <c r="F5379" t="s">
        <v>5963</v>
      </c>
    </row>
    <row r="5380" spans="1:6" ht="12.75">
      <c r="A5380">
        <v>6948522</v>
      </c>
      <c r="B5380">
        <v>6975903</v>
      </c>
      <c r="C5380" t="s">
        <v>189</v>
      </c>
      <c r="D5380" t="s">
        <v>99</v>
      </c>
      <c r="E5380" s="2" t="str">
        <f>HYPERLINK("https://ibp.a2mac1.com/costing(costing:projects/details/8191/equipment/6948522)","Equipment (Stamping)")</f>
        <v>Equipment (Stamping)</v>
      </c>
      <c r="F5380" t="s">
        <v>5963</v>
      </c>
    </row>
    <row r="5381" spans="1:6" ht="12.75">
      <c r="A5381">
        <v>6975303</v>
      </c>
      <c r="B5381">
        <v>5388240</v>
      </c>
      <c r="C5381" t="s">
        <v>99</v>
      </c>
      <c r="D5381" t="s">
        <v>8</v>
      </c>
      <c r="E5381" s="2" t="str">
        <f>HYPERLINK("https://ibp.a2mac1.com/costing(costing:projects/details/8191/process/6975303)","Assembly")</f>
        <v>Assembly</v>
      </c>
      <c r="F5381" t="s">
        <v>5926</v>
      </c>
    </row>
    <row r="5382" spans="1:6" ht="12.75">
      <c r="A5382">
        <v>6947860</v>
      </c>
      <c r="B5382">
        <v>6975303</v>
      </c>
      <c r="C5382" t="s">
        <v>189</v>
      </c>
      <c r="D5382" t="s">
        <v>99</v>
      </c>
      <c r="E5382" s="2" t="str">
        <f>HYPERLINK("https://ibp.a2mac1.com/costing(costing:projects/details/8191/equipment/6947860)","Assembly line")</f>
        <v>Assembly line</v>
      </c>
      <c r="F5382" t="s">
        <v>5964</v>
      </c>
    </row>
    <row r="5383" spans="1:6" ht="12.75">
      <c r="A5383">
        <v>5388242</v>
      </c>
      <c r="B5383">
        <v>5388139</v>
      </c>
      <c r="C5383" t="s">
        <v>8</v>
      </c>
      <c r="D5383" t="s">
        <v>8</v>
      </c>
      <c r="E5383" s="2" t="str">
        <f>HYPERLINK("https://ibp.a2mac1.com/costing(costing:projects/details/8191/assembly/5388242)","Door Panel")</f>
        <v>Door Panel</v>
      </c>
      <c r="F5383" t="s">
        <v>5925</v>
      </c>
    </row>
    <row r="5384" spans="1:6" ht="12.75">
      <c r="A5384">
        <v>5388581</v>
      </c>
      <c r="B5384">
        <v>5388242</v>
      </c>
      <c r="C5384" t="s">
        <v>8</v>
      </c>
      <c r="D5384" t="s">
        <v>8</v>
      </c>
      <c r="E5384" s="2" t="str">
        <f>HYPERLINK("https://ibp.a2mac1.com/costing(costing:projects/details/8191/assembly/5388581)","Inner Door Handle")</f>
        <v>Inner Door Handle</v>
      </c>
      <c r="F5384" t="s">
        <v>5966</v>
      </c>
    </row>
    <row r="5385" spans="1:6" ht="12.75">
      <c r="A5385">
        <v>5388902</v>
      </c>
      <c r="B5385">
        <v>5388581</v>
      </c>
      <c r="C5385" t="s">
        <v>12</v>
      </c>
      <c r="D5385" t="s">
        <v>8</v>
      </c>
      <c r="E5385" s="2" t="str">
        <f>HYPERLINK("https://ibp.a2mac1.com/costing(costing:projects/details/8191/part/5388902)","Opening Control")</f>
        <v>Opening Control</v>
      </c>
      <c r="F5385" t="s">
        <v>5967</v>
      </c>
    </row>
    <row r="5386" spans="1:6" ht="12.75">
      <c r="A5386">
        <v>5319630</v>
      </c>
      <c r="B5386">
        <v>5388581</v>
      </c>
      <c r="C5386" t="s">
        <v>574</v>
      </c>
      <c r="D5386" t="s">
        <v>8</v>
      </c>
      <c r="E5386" s="2" t="str">
        <f>HYPERLINK("https://ibp.a2mac1.com/costing(costing:projects/details/8191/component/5319630)","Screw &gt; Torx socket head cap screw")</f>
        <v>Screw &gt; Torx socket head cap screw</v>
      </c>
      <c r="F5386" t="s">
        <v>5967</v>
      </c>
    </row>
    <row r="5387" spans="1:6" ht="12.75">
      <c r="A5387">
        <v>5388576</v>
      </c>
      <c r="B5387">
        <v>5388242</v>
      </c>
      <c r="C5387" t="s">
        <v>12</v>
      </c>
      <c r="D5387" t="s">
        <v>8</v>
      </c>
      <c r="E5387" s="2" t="str">
        <f>HYPERLINK("https://ibp.a2mac1.com/costing(costing:projects/details/8191/part/5388576)","Panel Carrier")</f>
        <v>Panel Carrier</v>
      </c>
      <c r="F5387" t="s">
        <v>5966</v>
      </c>
    </row>
    <row r="5388" spans="1:6" ht="12.75">
      <c r="A5388">
        <v>6975493</v>
      </c>
      <c r="B5388">
        <v>5388576</v>
      </c>
      <c r="C5388" t="s">
        <v>99</v>
      </c>
      <c r="D5388" t="s">
        <v>12</v>
      </c>
      <c r="E5388" s="2" t="str">
        <f>HYPERLINK("https://ibp.a2mac1.com/costing(costing:projects/details/8191/process/6975493)","Automated Process")</f>
        <v>Automated Process</v>
      </c>
      <c r="F5388" t="s">
        <v>5968</v>
      </c>
    </row>
    <row r="5389" spans="1:6" ht="12.75">
      <c r="A5389">
        <v>5319915</v>
      </c>
      <c r="B5389">
        <v>6975493</v>
      </c>
      <c r="C5389" t="s">
        <v>24</v>
      </c>
      <c r="D5389" t="s">
        <v>99</v>
      </c>
      <c r="E5389" s="2" t="str">
        <f>HYPERLINK("https://ibp.a2mac1.com/costing(costing:projects/details/8191/material/5319915)","PP")</f>
        <v>PP</v>
      </c>
      <c r="F5389" t="s">
        <v>5969</v>
      </c>
    </row>
    <row r="5390" spans="1:6" ht="12.75">
      <c r="A5390">
        <v>6948080</v>
      </c>
      <c r="B5390">
        <v>6975493</v>
      </c>
      <c r="C5390" t="s">
        <v>189</v>
      </c>
      <c r="D5390" t="s">
        <v>99</v>
      </c>
      <c r="E5390" s="2" t="str">
        <f>HYPERLINK("https://ibp.a2mac1.com/costing(costing:projects/details/8191/equipment/6948080)","Equipment (Injection Molding)")</f>
        <v>Equipment (Injection Molding)</v>
      </c>
      <c r="F5390" t="s">
        <v>5969</v>
      </c>
    </row>
    <row r="5391" spans="1:6" ht="12.75">
      <c r="A5391">
        <v>5388577</v>
      </c>
      <c r="B5391">
        <v>5388242</v>
      </c>
      <c r="C5391" t="s">
        <v>12</v>
      </c>
      <c r="D5391" t="s">
        <v>8</v>
      </c>
      <c r="E5391" s="2" t="str">
        <f>HYPERLINK("https://ibp.a2mac1.com/costing(costing:projects/details/8191/part/5388577)","Insert")</f>
        <v>Insert</v>
      </c>
      <c r="F5391" t="s">
        <v>5966</v>
      </c>
    </row>
    <row r="5392" spans="1:6" ht="12.75">
      <c r="A5392">
        <v>6975494</v>
      </c>
      <c r="B5392">
        <v>5388577</v>
      </c>
      <c r="C5392" t="s">
        <v>99</v>
      </c>
      <c r="D5392" t="s">
        <v>12</v>
      </c>
      <c r="E5392" s="2" t="str">
        <f>HYPERLINK("https://ibp.a2mac1.com/costing(costing:projects/details/8191/process/6975494)","Automated Process")</f>
        <v>Automated Process</v>
      </c>
      <c r="F5392" t="s">
        <v>5970</v>
      </c>
    </row>
    <row r="5393" spans="1:6" ht="12.75">
      <c r="A5393">
        <v>5319916</v>
      </c>
      <c r="B5393">
        <v>6975494</v>
      </c>
      <c r="C5393" t="s">
        <v>24</v>
      </c>
      <c r="D5393" t="s">
        <v>99</v>
      </c>
      <c r="E5393" s="2" t="str">
        <f>HYPERLINK("https://ibp.a2mac1.com/costing(costing:projects/details/8191/material/5319916)","PP")</f>
        <v>PP</v>
      </c>
      <c r="F5393" t="s">
        <v>5971</v>
      </c>
    </row>
    <row r="5394" spans="1:6" ht="12.75">
      <c r="A5394">
        <v>5319917</v>
      </c>
      <c r="B5394">
        <v>6975494</v>
      </c>
      <c r="C5394" t="s">
        <v>24</v>
      </c>
      <c r="D5394" t="s">
        <v>99</v>
      </c>
      <c r="E5394" s="2" t="str">
        <f>HYPERLINK("https://ibp.a2mac1.com/costing(costing:projects/details/8191/material/5319917)","PVC")</f>
        <v>PVC</v>
      </c>
      <c r="F5394" t="s">
        <v>5971</v>
      </c>
    </row>
    <row r="5395" spans="1:6" ht="12.75">
      <c r="A5395">
        <v>6948081</v>
      </c>
      <c r="B5395">
        <v>6975494</v>
      </c>
      <c r="C5395" t="s">
        <v>189</v>
      </c>
      <c r="D5395" t="s">
        <v>99</v>
      </c>
      <c r="E5395" s="2" t="str">
        <f>HYPERLINK("https://ibp.a2mac1.com/costing(costing:projects/details/8191/equipment/6948081)","DC machine - General")</f>
        <v>DC machine - General</v>
      </c>
      <c r="F5395" t="s">
        <v>5971</v>
      </c>
    </row>
    <row r="5396" spans="1:6" ht="12.75">
      <c r="A5396">
        <v>5388578</v>
      </c>
      <c r="B5396">
        <v>5388242</v>
      </c>
      <c r="C5396" t="s">
        <v>12</v>
      </c>
      <c r="D5396" t="s">
        <v>8</v>
      </c>
      <c r="E5396" s="2" t="str">
        <f>HYPERLINK("https://ibp.a2mac1.com/costing(costing:projects/details/8191/part/5388578)","Electric Window Lift Control Trim")</f>
        <v>Electric Window Lift Control Trim</v>
      </c>
      <c r="F5396" t="s">
        <v>5966</v>
      </c>
    </row>
    <row r="5397" spans="1:6" ht="12.75">
      <c r="A5397">
        <v>5388579</v>
      </c>
      <c r="B5397">
        <v>5388242</v>
      </c>
      <c r="C5397" t="s">
        <v>12</v>
      </c>
      <c r="D5397" t="s">
        <v>8</v>
      </c>
      <c r="E5397" s="2" t="str">
        <f>HYPERLINK("https://ibp.a2mac1.com/costing(costing:projects/details/8191/part/5388579)","Upper Band")</f>
        <v>Upper Band</v>
      </c>
      <c r="F5397" t="s">
        <v>5966</v>
      </c>
    </row>
    <row r="5398" spans="1:6" ht="12.75">
      <c r="A5398">
        <v>6975495</v>
      </c>
      <c r="B5398">
        <v>5388579</v>
      </c>
      <c r="C5398" t="s">
        <v>99</v>
      </c>
      <c r="D5398" t="s">
        <v>12</v>
      </c>
      <c r="E5398" s="2" t="str">
        <f>HYPERLINK("https://ibp.a2mac1.com/costing(costing:projects/details/8191/process/6975495)","Automated Process")</f>
        <v>Automated Process</v>
      </c>
      <c r="F5398" t="s">
        <v>5972</v>
      </c>
    </row>
    <row r="5399" spans="1:6" ht="12.75">
      <c r="A5399">
        <v>5319918</v>
      </c>
      <c r="B5399">
        <v>6975495</v>
      </c>
      <c r="C5399" t="s">
        <v>24</v>
      </c>
      <c r="D5399" t="s">
        <v>99</v>
      </c>
      <c r="E5399" s="2" t="str">
        <f>HYPERLINK("https://ibp.a2mac1.com/costing(costing:projects/details/8191/material/5319918)","PP")</f>
        <v>PP</v>
      </c>
      <c r="F5399" t="s">
        <v>5973</v>
      </c>
    </row>
    <row r="5400" spans="1:6" ht="12.75">
      <c r="A5400">
        <v>6948082</v>
      </c>
      <c r="B5400">
        <v>6975495</v>
      </c>
      <c r="C5400" t="s">
        <v>189</v>
      </c>
      <c r="D5400" t="s">
        <v>99</v>
      </c>
      <c r="E5400" s="2" t="str">
        <f>HYPERLINK("https://ibp.a2mac1.com/costing(costing:projects/details/8191/equipment/6948082)","Equipment (Injection Molding)")</f>
        <v>Equipment (Injection Molding)</v>
      </c>
      <c r="F5400" t="s">
        <v>5973</v>
      </c>
    </row>
    <row r="5401" spans="1:6" ht="12.75">
      <c r="A5401">
        <v>5388580</v>
      </c>
      <c r="B5401">
        <v>5388242</v>
      </c>
      <c r="C5401" t="s">
        <v>12</v>
      </c>
      <c r="D5401" t="s">
        <v>8</v>
      </c>
      <c r="E5401" s="2" t="str">
        <f>HYPERLINK("https://ibp.a2mac1.com/costing(costing:projects/details/8191/part/5388580)","Door Map Pocket Bottom")</f>
        <v>Door Map Pocket Bottom</v>
      </c>
      <c r="F5401" t="s">
        <v>5966</v>
      </c>
    </row>
    <row r="5402" spans="1:6" ht="12.75">
      <c r="A5402">
        <v>6975496</v>
      </c>
      <c r="B5402">
        <v>5388580</v>
      </c>
      <c r="C5402" t="s">
        <v>99</v>
      </c>
      <c r="D5402" t="s">
        <v>12</v>
      </c>
      <c r="E5402" s="2" t="str">
        <f>HYPERLINK("https://ibp.a2mac1.com/costing(costing:projects/details/8191/process/6975496)","Automated Process")</f>
        <v>Automated Process</v>
      </c>
      <c r="F5402" t="s">
        <v>5974</v>
      </c>
    </row>
    <row r="5403" spans="1:6" ht="12.75">
      <c r="A5403">
        <v>5319919</v>
      </c>
      <c r="B5403">
        <v>6975496</v>
      </c>
      <c r="C5403" t="s">
        <v>24</v>
      </c>
      <c r="D5403" t="s">
        <v>99</v>
      </c>
      <c r="E5403" s="2" t="str">
        <f>HYPERLINK("https://ibp.a2mac1.com/costing(costing:projects/details/8191/material/5319919)","PP")</f>
        <v>PP</v>
      </c>
      <c r="F5403" t="s">
        <v>5975</v>
      </c>
    </row>
    <row r="5404" spans="1:6" ht="12.75">
      <c r="A5404">
        <v>6948083</v>
      </c>
      <c r="B5404">
        <v>6975496</v>
      </c>
      <c r="C5404" t="s">
        <v>189</v>
      </c>
      <c r="D5404" t="s">
        <v>99</v>
      </c>
      <c r="E5404" s="2" t="str">
        <f>HYPERLINK("https://ibp.a2mac1.com/costing(costing:projects/details/8191/equipment/6948083)","Equipment (Injection Molding)")</f>
        <v>Equipment (Injection Molding)</v>
      </c>
      <c r="F5404" t="s">
        <v>5975</v>
      </c>
    </row>
    <row r="5405" spans="1:6" ht="12.75">
      <c r="A5405">
        <v>5319480</v>
      </c>
      <c r="B5405">
        <v>5388242</v>
      </c>
      <c r="C5405" t="s">
        <v>574</v>
      </c>
      <c r="D5405" t="s">
        <v>8</v>
      </c>
      <c r="E5405" s="2" t="str">
        <f>HYPERLINK("https://ibp.a2mac1.com/costing(costing:projects/details/8191/component/5319480)","Panel holder &gt; Clips in round hole")</f>
        <v>Panel holder &gt; Clips in round hole</v>
      </c>
      <c r="F5405" t="s">
        <v>5966</v>
      </c>
    </row>
    <row r="5406" spans="1:6" ht="12.75">
      <c r="A5406">
        <v>5319481</v>
      </c>
      <c r="B5406">
        <v>5388242</v>
      </c>
      <c r="C5406" t="s">
        <v>574</v>
      </c>
      <c r="D5406" t="s">
        <v>8</v>
      </c>
      <c r="E5406" s="2" t="str">
        <f>HYPERLINK("https://ibp.a2mac1.com/costing(costing:projects/details/8191/component/5319481)","Other fastener &gt; Snap Tooling")</f>
        <v>Other fastener &gt; Snap Tooling</v>
      </c>
      <c r="F5406" t="s">
        <v>5966</v>
      </c>
    </row>
    <row r="5407" spans="1:6" ht="12.75">
      <c r="A5407">
        <v>5319482</v>
      </c>
      <c r="B5407">
        <v>5388242</v>
      </c>
      <c r="C5407" t="s">
        <v>574</v>
      </c>
      <c r="D5407" t="s">
        <v>8</v>
      </c>
      <c r="E5407" s="2" t="str">
        <f>HYPERLINK("https://ibp.a2mac1.com/costing(costing:projects/details/8191/component/5319482)","Panel holder &gt; Clips for panel side")</f>
        <v>Panel holder &gt; Clips for panel side</v>
      </c>
      <c r="F5407" t="s">
        <v>5966</v>
      </c>
    </row>
    <row r="5408" spans="1:6" ht="12.75">
      <c r="A5408">
        <v>5319483</v>
      </c>
      <c r="B5408">
        <v>5388242</v>
      </c>
      <c r="C5408" t="s">
        <v>574</v>
      </c>
      <c r="D5408" t="s">
        <v>8</v>
      </c>
      <c r="E5408" s="2" t="str">
        <f>HYPERLINK("https://ibp.a2mac1.com/costing(costing:projects/details/8191/component/5319483)","Other fastener &gt; Snap Tooling")</f>
        <v>Other fastener &gt; Snap Tooling</v>
      </c>
      <c r="F5408" t="s">
        <v>5966</v>
      </c>
    </row>
    <row r="5409" spans="1:6" ht="12.75">
      <c r="A5409">
        <v>5319484</v>
      </c>
      <c r="B5409">
        <v>5388242</v>
      </c>
      <c r="C5409" t="s">
        <v>574</v>
      </c>
      <c r="D5409" t="s">
        <v>8</v>
      </c>
      <c r="E5409" s="2" t="str">
        <f>HYPERLINK("https://ibp.a2mac1.com/costing(costing:projects/details/8191/component/5319484)","Panel holder &gt; Clips in round hole")</f>
        <v>Panel holder &gt; Clips in round hole</v>
      </c>
      <c r="F5409" t="s">
        <v>5966</v>
      </c>
    </row>
    <row r="5410" spans="1:6" ht="12.75">
      <c r="A5410">
        <v>5388243</v>
      </c>
      <c r="B5410">
        <v>5388139</v>
      </c>
      <c r="C5410" t="s">
        <v>8</v>
      </c>
      <c r="D5410" t="s">
        <v>8</v>
      </c>
      <c r="E5410" s="2" t="str">
        <f>HYPERLINK("https://ibp.a2mac1.com/costing(costing:projects/details/8191/assembly/5388243)","Door Mechanism")</f>
        <v>Door Mechanism</v>
      </c>
      <c r="F5410" t="s">
        <v>5925</v>
      </c>
    </row>
    <row r="5411" spans="1:6" ht="12.75">
      <c r="A5411">
        <v>5388584</v>
      </c>
      <c r="B5411">
        <v>5388243</v>
      </c>
      <c r="C5411" t="s">
        <v>8</v>
      </c>
      <c r="D5411" t="s">
        <v>8</v>
      </c>
      <c r="E5411" s="2" t="str">
        <f>HYPERLINK("https://ibp.a2mac1.com/costing(costing:projects/details/8191/assembly/5388584)","Interior Side")</f>
        <v>Interior Side</v>
      </c>
      <c r="F5411" t="s">
        <v>5976</v>
      </c>
    </row>
    <row r="5412" spans="1:6" ht="12.75">
      <c r="A5412">
        <v>5388905</v>
      </c>
      <c r="B5412">
        <v>5388584</v>
      </c>
      <c r="C5412" t="s">
        <v>8</v>
      </c>
      <c r="D5412" t="s">
        <v>8</v>
      </c>
      <c r="E5412" s="2" t="str">
        <f>HYPERLINK("https://ibp.a2mac1.com/costing(costing:projects/details/8191/assembly/5388905)","Fastners")</f>
        <v>Fastners</v>
      </c>
      <c r="F5412" t="s">
        <v>5977</v>
      </c>
    </row>
    <row r="5413" spans="1:6" ht="12.75">
      <c r="A5413">
        <v>5319921</v>
      </c>
      <c r="B5413">
        <v>5388905</v>
      </c>
      <c r="C5413" t="s">
        <v>574</v>
      </c>
      <c r="D5413" t="s">
        <v>8</v>
      </c>
      <c r="E5413" s="2" t="str">
        <f>HYPERLINK("https://ibp.a2mac1.com/costing(costing:projects/details/8191/component/5319921)","Pin clip &gt; Taper pin")</f>
        <v>Pin clip &gt; Taper pin</v>
      </c>
      <c r="F5413" t="s">
        <v>5978</v>
      </c>
    </row>
    <row r="5414" spans="1:6" ht="12.75">
      <c r="A5414">
        <v>5319922</v>
      </c>
      <c r="B5414">
        <v>5388905</v>
      </c>
      <c r="C5414" t="s">
        <v>574</v>
      </c>
      <c r="D5414" t="s">
        <v>8</v>
      </c>
      <c r="E5414" s="2" t="str">
        <f>HYPERLINK("https://ibp.a2mac1.com/costing(costing:projects/details/8191/component/5319922)","Other fastener &gt; Snap Tooling")</f>
        <v>Other fastener &gt; Snap Tooling</v>
      </c>
      <c r="F5414" t="s">
        <v>5978</v>
      </c>
    </row>
    <row r="5415" spans="1:6" ht="12.75">
      <c r="A5415">
        <v>5388903</v>
      </c>
      <c r="B5415">
        <v>5388584</v>
      </c>
      <c r="C5415" t="s">
        <v>12</v>
      </c>
      <c r="D5415" t="s">
        <v>8</v>
      </c>
      <c r="E5415" s="2" t="str">
        <f>HYPERLINK("https://ibp.a2mac1.com/costing(costing:projects/details/8191/part/5388903)","Opening Control")</f>
        <v>Opening Control</v>
      </c>
      <c r="F5415" t="s">
        <v>5977</v>
      </c>
    </row>
    <row r="5416" spans="1:6" ht="12.75">
      <c r="A5416">
        <v>6975730</v>
      </c>
      <c r="B5416">
        <v>5388903</v>
      </c>
      <c r="C5416" t="s">
        <v>99</v>
      </c>
      <c r="D5416" t="s">
        <v>12</v>
      </c>
      <c r="E5416" s="2" t="str">
        <f>HYPERLINK("https://ibp.a2mac1.com/costing(costing:projects/details/8191/process/6975730)","Injection molding")</f>
        <v>Injection molding</v>
      </c>
      <c r="F5416" t="s">
        <v>5979</v>
      </c>
    </row>
    <row r="5417" spans="1:6" ht="12.75">
      <c r="A5417">
        <v>5320136</v>
      </c>
      <c r="B5417">
        <v>6975730</v>
      </c>
      <c r="C5417" t="s">
        <v>24</v>
      </c>
      <c r="D5417" t="s">
        <v>99</v>
      </c>
      <c r="E5417" s="2" t="str">
        <f>HYPERLINK("https://ibp.a2mac1.com/costing(costing:projects/details/8191/material/5320136)","PC-ABS")</f>
        <v>PC-ABS</v>
      </c>
      <c r="F5417" t="s">
        <v>5980</v>
      </c>
    </row>
    <row r="5418" spans="1:6" ht="12.75">
      <c r="A5418">
        <v>6948334</v>
      </c>
      <c r="B5418">
        <v>6975730</v>
      </c>
      <c r="C5418" t="s">
        <v>189</v>
      </c>
      <c r="D5418" t="s">
        <v>99</v>
      </c>
      <c r="E5418" s="2" t="str">
        <f>HYPERLINK("https://ibp.a2mac1.com/costing(costing:projects/details/8191/equipment/6948334)","Equipment (Injection Molding)")</f>
        <v>Equipment (Injection Molding)</v>
      </c>
      <c r="F5418" t="s">
        <v>5980</v>
      </c>
    </row>
    <row r="5419" spans="1:6" ht="12.75">
      <c r="A5419">
        <v>5388904</v>
      </c>
      <c r="B5419">
        <v>5388584</v>
      </c>
      <c r="C5419" t="s">
        <v>12</v>
      </c>
      <c r="D5419" t="s">
        <v>8</v>
      </c>
      <c r="E5419" s="2" t="str">
        <f>HYPERLINK("https://ibp.a2mac1.com/costing(costing:projects/details/8191/part/5388904)","Opening Control Support")</f>
        <v>Opening Control Support</v>
      </c>
      <c r="F5419" t="s">
        <v>5977</v>
      </c>
    </row>
    <row r="5420" spans="1:6" ht="12.75">
      <c r="A5420">
        <v>6975731</v>
      </c>
      <c r="B5420">
        <v>5388904</v>
      </c>
      <c r="C5420" t="s">
        <v>99</v>
      </c>
      <c r="D5420" t="s">
        <v>12</v>
      </c>
      <c r="E5420" s="2" t="str">
        <f>HYPERLINK("https://ibp.a2mac1.com/costing(costing:projects/details/8191/process/6975731)","Injection molding")</f>
        <v>Injection molding</v>
      </c>
      <c r="F5420" t="s">
        <v>5981</v>
      </c>
    </row>
    <row r="5421" spans="1:6" ht="12.75">
      <c r="A5421">
        <v>5320137</v>
      </c>
      <c r="B5421">
        <v>6975731</v>
      </c>
      <c r="C5421" t="s">
        <v>24</v>
      </c>
      <c r="D5421" t="s">
        <v>99</v>
      </c>
      <c r="E5421" s="2" t="str">
        <f>HYPERLINK("https://ibp.a2mac1.com/costing(costing:projects/details/8191/material/5320137)","ABS-PC")</f>
        <v>ABS-PC</v>
      </c>
      <c r="F5421" t="s">
        <v>5982</v>
      </c>
    </row>
    <row r="5422" spans="1:6" ht="12.75">
      <c r="A5422">
        <v>6948335</v>
      </c>
      <c r="B5422">
        <v>6975731</v>
      </c>
      <c r="C5422" t="s">
        <v>189</v>
      </c>
      <c r="D5422" t="s">
        <v>99</v>
      </c>
      <c r="E5422" s="2" t="str">
        <f>HYPERLINK("https://ibp.a2mac1.com/costing(costing:projects/details/8191/equipment/6948335)","No.04 - Injection Press - 100T - 33kW - 400x400 - Max Volume 260cm3 ")</f>
        <v xml:space="preserve">No.04 - Injection Press - 100T - 33kW - 400x400 - Max Volume 260cm3 </v>
      </c>
      <c r="F5422" t="s">
        <v>5982</v>
      </c>
    </row>
    <row r="5423" spans="1:6" ht="12.75">
      <c r="A5423">
        <v>6975732</v>
      </c>
      <c r="B5423">
        <v>5388904</v>
      </c>
      <c r="C5423" t="s">
        <v>99</v>
      </c>
      <c r="D5423" t="s">
        <v>12</v>
      </c>
      <c r="E5423" s="2" t="str">
        <f>HYPERLINK("https://ibp.a2mac1.com/costing(costing:projects/details/8191/process/6975732)","Handling/Visual Inspection/Packaging")</f>
        <v>Handling/Visual Inspection/Packaging</v>
      </c>
      <c r="F5423" t="s">
        <v>5981</v>
      </c>
    </row>
    <row r="5424" spans="1:6" ht="12.75">
      <c r="A5424">
        <v>6948336</v>
      </c>
      <c r="B5424">
        <v>6975732</v>
      </c>
      <c r="C5424" t="s">
        <v>189</v>
      </c>
      <c r="D5424" t="s">
        <v>99</v>
      </c>
      <c r="E5424" s="2" t="str">
        <f>HYPERLINK("https://ibp.a2mac1.com/costing(costing:projects/details/8191/equipment/6948336)","Packaging")</f>
        <v>Packaging</v>
      </c>
      <c r="F5424" t="s">
        <v>5983</v>
      </c>
    </row>
    <row r="5425" spans="1:6" ht="12.75">
      <c r="A5425">
        <v>5388585</v>
      </c>
      <c r="B5425">
        <v>5388243</v>
      </c>
      <c r="C5425" t="s">
        <v>8</v>
      </c>
      <c r="D5425" t="s">
        <v>8</v>
      </c>
      <c r="E5425" s="2" t="str">
        <f>HYPERLINK("https://ibp.a2mac1.com/costing(costing:projects/details/8191/assembly/5388585)","Exterior side")</f>
        <v>Exterior side</v>
      </c>
      <c r="F5425" t="s">
        <v>5976</v>
      </c>
    </row>
    <row r="5426" spans="1:6" ht="12.75">
      <c r="A5426">
        <v>5388913</v>
      </c>
      <c r="B5426">
        <v>5388585</v>
      </c>
      <c r="C5426" t="s">
        <v>8</v>
      </c>
      <c r="D5426" t="s">
        <v>8</v>
      </c>
      <c r="E5426" s="2" t="str">
        <f>HYPERLINK("https://ibp.a2mac1.com/costing(costing:projects/details/8191/assembly/5388913)","Fastners")</f>
        <v>Fastners</v>
      </c>
      <c r="F5426" t="s">
        <v>5984</v>
      </c>
    </row>
    <row r="5427" spans="1:6" ht="12.75">
      <c r="A5427">
        <v>5319923</v>
      </c>
      <c r="B5427">
        <v>5388913</v>
      </c>
      <c r="C5427" t="s">
        <v>574</v>
      </c>
      <c r="D5427" t="s">
        <v>8</v>
      </c>
      <c r="E5427" s="2" t="str">
        <f>HYPERLINK("https://ibp.a2mac1.com/costing(costing:projects/details/8191/component/5319923)","Pin clip &gt; Taper pin")</f>
        <v>Pin clip &gt; Taper pin</v>
      </c>
      <c r="F5427" t="s">
        <v>5985</v>
      </c>
    </row>
    <row r="5428" spans="1:6" ht="12.75">
      <c r="A5428">
        <v>5319924</v>
      </c>
      <c r="B5428">
        <v>5388913</v>
      </c>
      <c r="C5428" t="s">
        <v>574</v>
      </c>
      <c r="D5428" t="s">
        <v>8</v>
      </c>
      <c r="E5428" s="2" t="str">
        <f>HYPERLINK("https://ibp.a2mac1.com/costing(costing:projects/details/8191/component/5319924)","Other fastener &gt; Attachment")</f>
        <v>Other fastener &gt; Attachment</v>
      </c>
      <c r="F5428" t="s">
        <v>5985</v>
      </c>
    </row>
    <row r="5429" spans="1:6" ht="12.75">
      <c r="A5429">
        <v>5388906</v>
      </c>
      <c r="B5429">
        <v>5388585</v>
      </c>
      <c r="C5429" t="s">
        <v>12</v>
      </c>
      <c r="D5429" t="s">
        <v>8</v>
      </c>
      <c r="E5429" s="2" t="str">
        <f>HYPERLINK("https://ibp.a2mac1.com/costing(costing:projects/details/8191/part/5388906)","Opening Control")</f>
        <v>Opening Control</v>
      </c>
      <c r="F5429" t="s">
        <v>5984</v>
      </c>
    </row>
    <row r="5430" spans="1:6" ht="12.75">
      <c r="A5430">
        <v>6975733</v>
      </c>
      <c r="B5430">
        <v>5388906</v>
      </c>
      <c r="C5430" t="s">
        <v>99</v>
      </c>
      <c r="D5430" t="s">
        <v>12</v>
      </c>
      <c r="E5430" s="2" t="str">
        <f>HYPERLINK("https://ibp.a2mac1.com/costing(costing:projects/details/8191/process/6975733)","Injection molding")</f>
        <v>Injection molding</v>
      </c>
      <c r="F5430" t="s">
        <v>5986</v>
      </c>
    </row>
    <row r="5431" spans="1:6" ht="12.75">
      <c r="A5431">
        <v>5320138</v>
      </c>
      <c r="B5431">
        <v>6975733</v>
      </c>
      <c r="C5431" t="s">
        <v>24</v>
      </c>
      <c r="D5431" t="s">
        <v>99</v>
      </c>
      <c r="E5431" s="2" t="str">
        <f>HYPERLINK("https://ibp.a2mac1.com/costing(costing:projects/details/8191/material/5320138)","PA 6 GF 40")</f>
        <v>PA 6 GF 40</v>
      </c>
      <c r="F5431" t="s">
        <v>5987</v>
      </c>
    </row>
    <row r="5432" spans="1:6" ht="12.75">
      <c r="A5432">
        <v>6948337</v>
      </c>
      <c r="B5432">
        <v>6975733</v>
      </c>
      <c r="C5432" t="s">
        <v>189</v>
      </c>
      <c r="D5432" t="s">
        <v>99</v>
      </c>
      <c r="E5432" s="2" t="str">
        <f>HYPERLINK("https://ibp.a2mac1.com/costing(costing:projects/details/8191/equipment/6948337)","No.03 - Injection Press - 80T - 30kW - 370x370 - Max Volume 260cm3 ")</f>
        <v xml:space="preserve">No.03 - Injection Press - 80T - 30kW - 370x370 - Max Volume 260cm3 </v>
      </c>
      <c r="F5432" t="s">
        <v>5987</v>
      </c>
    </row>
    <row r="5433" spans="1:6" ht="12.75">
      <c r="A5433">
        <v>6975734</v>
      </c>
      <c r="B5433">
        <v>5388906</v>
      </c>
      <c r="C5433" t="s">
        <v>99</v>
      </c>
      <c r="D5433" t="s">
        <v>12</v>
      </c>
      <c r="E5433" s="2" t="str">
        <f>HYPERLINK("https://ibp.a2mac1.com/costing(costing:projects/details/8191/process/6975734)","Handling/Visual Inspection/Packaging")</f>
        <v>Handling/Visual Inspection/Packaging</v>
      </c>
      <c r="F5433" t="s">
        <v>5986</v>
      </c>
    </row>
    <row r="5434" spans="1:6" ht="12.75">
      <c r="A5434">
        <v>6948338</v>
      </c>
      <c r="B5434">
        <v>6975734</v>
      </c>
      <c r="C5434" t="s">
        <v>189</v>
      </c>
      <c r="D5434" t="s">
        <v>99</v>
      </c>
      <c r="E5434" s="2" t="str">
        <f>HYPERLINK("https://ibp.a2mac1.com/costing(costing:projects/details/8191/equipment/6948338)","Packaging")</f>
        <v>Packaging</v>
      </c>
      <c r="F5434" t="s">
        <v>5988</v>
      </c>
    </row>
    <row r="5435" spans="1:6" ht="12.75">
      <c r="A5435">
        <v>5388907</v>
      </c>
      <c r="B5435">
        <v>5388585</v>
      </c>
      <c r="C5435" t="s">
        <v>12</v>
      </c>
      <c r="D5435" t="s">
        <v>8</v>
      </c>
      <c r="E5435" s="2" t="str">
        <f>HYPERLINK("https://ibp.a2mac1.com/costing(costing:projects/details/8191/part/5388907)","Opening Control Support")</f>
        <v>Opening Control Support</v>
      </c>
      <c r="F5435" t="s">
        <v>5984</v>
      </c>
    </row>
    <row r="5436" spans="1:6" ht="12.75">
      <c r="A5436">
        <v>6975735</v>
      </c>
      <c r="B5436">
        <v>5388907</v>
      </c>
      <c r="C5436" t="s">
        <v>99</v>
      </c>
      <c r="D5436" t="s">
        <v>12</v>
      </c>
      <c r="E5436" s="2" t="str">
        <f>HYPERLINK("https://ibp.a2mac1.com/costing(costing:projects/details/8191/process/6975735)","Injection molding")</f>
        <v>Injection molding</v>
      </c>
      <c r="F5436" t="s">
        <v>5989</v>
      </c>
    </row>
    <row r="5437" spans="1:6" ht="12.75">
      <c r="A5437">
        <v>5320139</v>
      </c>
      <c r="B5437">
        <v>6975735</v>
      </c>
      <c r="C5437" t="s">
        <v>24</v>
      </c>
      <c r="D5437" t="s">
        <v>99</v>
      </c>
      <c r="E5437" s="2" t="str">
        <f>HYPERLINK("https://ibp.a2mac1.com/costing(costing:projects/details/8191/material/5320139)","PBT-GF30")</f>
        <v>PBT-GF30</v>
      </c>
      <c r="F5437" t="s">
        <v>5990</v>
      </c>
    </row>
    <row r="5438" spans="1:6" ht="12.75">
      <c r="A5438">
        <v>6948339</v>
      </c>
      <c r="B5438">
        <v>6975735</v>
      </c>
      <c r="C5438" t="s">
        <v>189</v>
      </c>
      <c r="D5438" t="s">
        <v>99</v>
      </c>
      <c r="E5438" s="2" t="str">
        <f>HYPERLINK("https://ibp.a2mac1.com/costing(costing:projects/details/8191/equipment/6948339)","No.06 - Injection Press - 200T - 45kW - 510x510 - Max Volume 624cm3 ")</f>
        <v xml:space="preserve">No.06 - Injection Press - 200T - 45kW - 510x510 - Max Volume 624cm3 </v>
      </c>
      <c r="F5438" t="s">
        <v>5990</v>
      </c>
    </row>
    <row r="5439" spans="1:6" ht="12.75">
      <c r="A5439">
        <v>6975736</v>
      </c>
      <c r="B5439">
        <v>5388907</v>
      </c>
      <c r="C5439" t="s">
        <v>99</v>
      </c>
      <c r="D5439" t="s">
        <v>12</v>
      </c>
      <c r="E5439" s="2" t="str">
        <f>HYPERLINK("https://ibp.a2mac1.com/costing(costing:projects/details/8191/process/6975736)","Handling/Visual Inspection/Packaging")</f>
        <v>Handling/Visual Inspection/Packaging</v>
      </c>
      <c r="F5439" t="s">
        <v>5989</v>
      </c>
    </row>
    <row r="5440" spans="1:6" ht="12.75">
      <c r="A5440">
        <v>6948340</v>
      </c>
      <c r="B5440">
        <v>6975736</v>
      </c>
      <c r="C5440" t="s">
        <v>189</v>
      </c>
      <c r="D5440" t="s">
        <v>99</v>
      </c>
      <c r="E5440" s="2" t="str">
        <f>HYPERLINK("https://ibp.a2mac1.com/costing(costing:projects/details/8191/equipment/6948340)","Packaging")</f>
        <v>Packaging</v>
      </c>
      <c r="F5440" t="s">
        <v>5991</v>
      </c>
    </row>
    <row r="5441" spans="1:6" ht="12.75">
      <c r="A5441">
        <v>5388908</v>
      </c>
      <c r="B5441">
        <v>5388585</v>
      </c>
      <c r="C5441" t="s">
        <v>12</v>
      </c>
      <c r="D5441" t="s">
        <v>8</v>
      </c>
      <c r="E5441" s="2" t="str">
        <f>HYPERLINK("https://ibp.a2mac1.com/costing(costing:projects/details/8191/part/5388908)","2nd Opening Control Support")</f>
        <v>2nd Opening Control Support</v>
      </c>
      <c r="F5441" t="s">
        <v>5984</v>
      </c>
    </row>
    <row r="5442" spans="1:6" ht="12.75">
      <c r="A5442">
        <v>6975737</v>
      </c>
      <c r="B5442">
        <v>5388908</v>
      </c>
      <c r="C5442" t="s">
        <v>99</v>
      </c>
      <c r="D5442" t="s">
        <v>12</v>
      </c>
      <c r="E5442" s="2" t="str">
        <f>HYPERLINK("https://ibp.a2mac1.com/costing(costing:projects/details/8191/process/6975737)","Injection molding")</f>
        <v>Injection molding</v>
      </c>
      <c r="F5442" t="s">
        <v>5992</v>
      </c>
    </row>
    <row r="5443" spans="1:6" ht="12.75">
      <c r="A5443">
        <v>5320140</v>
      </c>
      <c r="B5443">
        <v>6975737</v>
      </c>
      <c r="C5443" t="s">
        <v>24</v>
      </c>
      <c r="D5443" t="s">
        <v>99</v>
      </c>
      <c r="E5443" s="2" t="str">
        <f>HYPERLINK("https://ibp.a2mac1.com/costing(costing:projects/details/8191/material/5320140)","PA6-GF30")</f>
        <v>PA6-GF30</v>
      </c>
      <c r="F5443" t="s">
        <v>5993</v>
      </c>
    </row>
    <row r="5444" spans="1:6" ht="12.75">
      <c r="A5444">
        <v>6948341</v>
      </c>
      <c r="B5444">
        <v>6975737</v>
      </c>
      <c r="C5444" t="s">
        <v>189</v>
      </c>
      <c r="D5444" t="s">
        <v>99</v>
      </c>
      <c r="E5444" s="2" t="str">
        <f>HYPERLINK("https://ibp.a2mac1.com/costing(costing:projects/details/8191/equipment/6948341)","No.02 - Injection Press - 60T - 25kW - 320x320 - Max Volume 164cm3 ")</f>
        <v xml:space="preserve">No.02 - Injection Press - 60T - 25kW - 320x320 - Max Volume 164cm3 </v>
      </c>
      <c r="F5444" t="s">
        <v>5993</v>
      </c>
    </row>
    <row r="5445" spans="1:6" ht="12.75">
      <c r="A5445">
        <v>6975738</v>
      </c>
      <c r="B5445">
        <v>5388908</v>
      </c>
      <c r="C5445" t="s">
        <v>99</v>
      </c>
      <c r="D5445" t="s">
        <v>12</v>
      </c>
      <c r="E5445" s="2" t="str">
        <f>HYPERLINK("https://ibp.a2mac1.com/costing(costing:projects/details/8191/process/6975738)","Handling/Visual Inspection/Packaging")</f>
        <v>Handling/Visual Inspection/Packaging</v>
      </c>
      <c r="F5445" t="s">
        <v>5992</v>
      </c>
    </row>
    <row r="5446" spans="1:6" ht="12.75">
      <c r="A5446">
        <v>6948342</v>
      </c>
      <c r="B5446">
        <v>6975738</v>
      </c>
      <c r="C5446" t="s">
        <v>189</v>
      </c>
      <c r="D5446" t="s">
        <v>99</v>
      </c>
      <c r="E5446" s="2" t="str">
        <f>HYPERLINK("https://ibp.a2mac1.com/costing(costing:projects/details/8191/equipment/6948342)","Packaging")</f>
        <v>Packaging</v>
      </c>
      <c r="F5446" t="s">
        <v>5994</v>
      </c>
    </row>
    <row r="5447" spans="1:6" ht="12.75">
      <c r="A5447">
        <v>5388909</v>
      </c>
      <c r="B5447">
        <v>5388585</v>
      </c>
      <c r="C5447" t="s">
        <v>12</v>
      </c>
      <c r="D5447" t="s">
        <v>8</v>
      </c>
      <c r="E5447" s="2" t="str">
        <f>HYPERLINK("https://ibp.a2mac1.com/costing(costing:projects/details/8191/part/5388909)","Bezel")</f>
        <v>Bezel</v>
      </c>
      <c r="F5447" t="s">
        <v>5984</v>
      </c>
    </row>
    <row r="5448" spans="1:6" ht="12.75">
      <c r="A5448">
        <v>6975739</v>
      </c>
      <c r="B5448">
        <v>5388909</v>
      </c>
      <c r="C5448" t="s">
        <v>99</v>
      </c>
      <c r="D5448" t="s">
        <v>12</v>
      </c>
      <c r="E5448" s="2" t="str">
        <f>HYPERLINK("https://ibp.a2mac1.com/costing(costing:projects/details/8191/process/6975739)","Injection molding")</f>
        <v>Injection molding</v>
      </c>
      <c r="F5448" t="s">
        <v>5995</v>
      </c>
    </row>
    <row r="5449" spans="1:6" ht="12.75">
      <c r="A5449">
        <v>5320141</v>
      </c>
      <c r="B5449">
        <v>6975739</v>
      </c>
      <c r="C5449" t="s">
        <v>24</v>
      </c>
      <c r="D5449" t="s">
        <v>99</v>
      </c>
      <c r="E5449" s="2" t="str">
        <f>HYPERLINK("https://ibp.a2mac1.com/costing(costing:projects/details/8191/material/5320141)","PC-ABS")</f>
        <v>PC-ABS</v>
      </c>
      <c r="F5449" t="s">
        <v>5996</v>
      </c>
    </row>
    <row r="5450" spans="1:6" ht="12.75">
      <c r="A5450">
        <v>6948343</v>
      </c>
      <c r="B5450">
        <v>6975739</v>
      </c>
      <c r="C5450" t="s">
        <v>189</v>
      </c>
      <c r="D5450" t="s">
        <v>99</v>
      </c>
      <c r="E5450" s="2" t="str">
        <f>HYPERLINK("https://ibp.a2mac1.com/costing(costing:projects/details/8191/equipment/6948343)","Equipment (Injection Molding)")</f>
        <v>Equipment (Injection Molding)</v>
      </c>
      <c r="F5450" t="s">
        <v>5996</v>
      </c>
    </row>
    <row r="5451" spans="1:6" ht="12.75">
      <c r="A5451">
        <v>5388910</v>
      </c>
      <c r="B5451">
        <v>5388585</v>
      </c>
      <c r="C5451" t="s">
        <v>12</v>
      </c>
      <c r="D5451" t="s">
        <v>8</v>
      </c>
      <c r="E5451" s="2" t="str">
        <f>HYPERLINK("https://ibp.a2mac1.com/costing(costing:projects/details/8191/part/5388910)","Lock Cylinder Dummy Trim")</f>
        <v>Lock Cylinder Dummy Trim</v>
      </c>
      <c r="F5451" t="s">
        <v>5984</v>
      </c>
    </row>
    <row r="5452" spans="1:6" ht="12.75">
      <c r="A5452">
        <v>6975740</v>
      </c>
      <c r="B5452">
        <v>5388910</v>
      </c>
      <c r="C5452" t="s">
        <v>99</v>
      </c>
      <c r="D5452" t="s">
        <v>12</v>
      </c>
      <c r="E5452" s="2" t="str">
        <f>HYPERLINK("https://ibp.a2mac1.com/costing(costing:projects/details/8191/process/6975740)","Injection molding")</f>
        <v>Injection molding</v>
      </c>
      <c r="F5452" t="s">
        <v>5997</v>
      </c>
    </row>
    <row r="5453" spans="1:6" ht="12.75">
      <c r="A5453">
        <v>5320142</v>
      </c>
      <c r="B5453">
        <v>6975740</v>
      </c>
      <c r="C5453" t="s">
        <v>24</v>
      </c>
      <c r="D5453" t="s">
        <v>99</v>
      </c>
      <c r="E5453" s="2" t="str">
        <f>HYPERLINK("https://ibp.a2mac1.com/costing(costing:projects/details/8191/material/5320142)","PPH")</f>
        <v>PPH</v>
      </c>
      <c r="F5453" t="s">
        <v>5998</v>
      </c>
    </row>
    <row r="5454" spans="1:6" ht="12.75">
      <c r="A5454">
        <v>6948344</v>
      </c>
      <c r="B5454">
        <v>6975740</v>
      </c>
      <c r="C5454" t="s">
        <v>189</v>
      </c>
      <c r="D5454" t="s">
        <v>99</v>
      </c>
      <c r="E5454" s="2" t="str">
        <f>HYPERLINK("https://ibp.a2mac1.com/costing(costing:projects/details/8191/equipment/6948344)","Equipment (Injection Molding)")</f>
        <v>Equipment (Injection Molding)</v>
      </c>
      <c r="F5454" t="s">
        <v>5998</v>
      </c>
    </row>
    <row r="5455" spans="1:6" ht="12.75">
      <c r="A5455">
        <v>5388911</v>
      </c>
      <c r="B5455">
        <v>5388585</v>
      </c>
      <c r="C5455" t="s">
        <v>12</v>
      </c>
      <c r="D5455" t="s">
        <v>8</v>
      </c>
      <c r="E5455" s="2" t="str">
        <f>HYPERLINK("https://ibp.a2mac1.com/costing(costing:projects/details/8191/part/5388911)","Welcome light")</f>
        <v>Welcome light</v>
      </c>
      <c r="F5455" t="s">
        <v>5984</v>
      </c>
    </row>
    <row r="5456" spans="1:6" ht="12.75">
      <c r="A5456">
        <v>5388912</v>
      </c>
      <c r="B5456">
        <v>5388585</v>
      </c>
      <c r="C5456" t="s">
        <v>12</v>
      </c>
      <c r="D5456" t="s">
        <v>8</v>
      </c>
      <c r="E5456" s="2" t="str">
        <f>HYPERLINK("https://ibp.a2mac1.com/costing(costing:projects/details/8191/part/5388912)","Unlocking Contactor")</f>
        <v>Unlocking Contactor</v>
      </c>
      <c r="F5456" t="s">
        <v>5984</v>
      </c>
    </row>
    <row r="5457" spans="1:6" ht="12.75">
      <c r="A5457">
        <v>6975501</v>
      </c>
      <c r="B5457">
        <v>5388585</v>
      </c>
      <c r="C5457" t="s">
        <v>99</v>
      </c>
      <c r="D5457" t="s">
        <v>8</v>
      </c>
      <c r="E5457" s="2" t="str">
        <f>HYPERLINK("https://ibp.a2mac1.com/costing(costing:projects/details/8191/process/6975501)","Assembly")</f>
        <v>Assembly</v>
      </c>
      <c r="F5457" t="s">
        <v>5984</v>
      </c>
    </row>
    <row r="5458" spans="1:6" ht="12.75">
      <c r="A5458">
        <v>6948088</v>
      </c>
      <c r="B5458">
        <v>6975501</v>
      </c>
      <c r="C5458" t="s">
        <v>189</v>
      </c>
      <c r="D5458" t="s">
        <v>99</v>
      </c>
      <c r="E5458" s="2" t="str">
        <f>HYPERLINK("https://ibp.a2mac1.com/costing(costing:projects/details/8191/equipment/6948088)","Assembly line")</f>
        <v>Assembly line</v>
      </c>
      <c r="F5458" t="s">
        <v>5999</v>
      </c>
    </row>
    <row r="5459" spans="1:6" ht="12.75">
      <c r="A5459">
        <v>5388586</v>
      </c>
      <c r="B5459">
        <v>5388243</v>
      </c>
      <c r="C5459" t="s">
        <v>8</v>
      </c>
      <c r="D5459" t="s">
        <v>8</v>
      </c>
      <c r="E5459" s="2" t="str">
        <f>HYPERLINK("https://ibp.a2mac1.com/costing(costing:projects/details/8191/assembly/5388586)","Fastners")</f>
        <v>Fastners</v>
      </c>
      <c r="F5459" t="s">
        <v>5976</v>
      </c>
    </row>
    <row r="5460" spans="1:6" ht="12.75">
      <c r="A5460">
        <v>5319633</v>
      </c>
      <c r="B5460">
        <v>5388586</v>
      </c>
      <c r="C5460" t="s">
        <v>574</v>
      </c>
      <c r="D5460" t="s">
        <v>8</v>
      </c>
      <c r="E5460" s="2" t="str">
        <f>HYPERLINK("https://ibp.a2mac1.com/costing(costing:projects/details/8191/component/5319633)","Screw &gt; 12 point socket head cap screw")</f>
        <v>Screw &gt; 12 point socket head cap screw</v>
      </c>
      <c r="F5460" t="s">
        <v>6000</v>
      </c>
    </row>
    <row r="5461" spans="1:6" ht="12.75">
      <c r="A5461">
        <v>5319634</v>
      </c>
      <c r="B5461">
        <v>5388586</v>
      </c>
      <c r="C5461" t="s">
        <v>574</v>
      </c>
      <c r="D5461" t="s">
        <v>8</v>
      </c>
      <c r="E5461" s="2" t="str">
        <f>HYPERLINK("https://ibp.a2mac1.com/costing(costing:projects/details/8191/component/5319634)","Screw &gt; 12 point socket head cap screw")</f>
        <v>Screw &gt; 12 point socket head cap screw</v>
      </c>
      <c r="F5461" t="s">
        <v>6000</v>
      </c>
    </row>
    <row r="5462" spans="1:6" ht="12.75">
      <c r="A5462">
        <v>5388582</v>
      </c>
      <c r="B5462">
        <v>5388243</v>
      </c>
      <c r="C5462" t="s">
        <v>12</v>
      </c>
      <c r="D5462" t="s">
        <v>8</v>
      </c>
      <c r="E5462" s="2" t="str">
        <f>HYPERLINK("https://ibp.a2mac1.com/costing(costing:projects/details/8191/part/5388582)","Door Latch")</f>
        <v>Door Latch</v>
      </c>
      <c r="F5462" t="s">
        <v>5976</v>
      </c>
    </row>
    <row r="5463" spans="1:6" ht="12.75">
      <c r="A5463">
        <v>6975497</v>
      </c>
      <c r="B5463">
        <v>5388582</v>
      </c>
      <c r="C5463" t="s">
        <v>99</v>
      </c>
      <c r="D5463" t="s">
        <v>12</v>
      </c>
      <c r="E5463" s="2" t="str">
        <f>HYPERLINK("https://ibp.a2mac1.com/costing(costing:projects/details/8191/process/6975497)","Process")</f>
        <v>Process</v>
      </c>
      <c r="F5463" t="s">
        <v>6001</v>
      </c>
    </row>
    <row r="5464" spans="1:6" ht="12.75">
      <c r="A5464">
        <v>6948084</v>
      </c>
      <c r="B5464">
        <v>6975497</v>
      </c>
      <c r="C5464" t="s">
        <v>189</v>
      </c>
      <c r="D5464" t="s">
        <v>99</v>
      </c>
      <c r="E5464" s="2" t="str">
        <f>HYPERLINK("https://ibp.a2mac1.com/costing(costing:projects/details/8191/equipment/6948084)","Dummy Machine (PCBA+Final Assembly Line)")</f>
        <v>Dummy Machine (PCBA+Final Assembly Line)</v>
      </c>
      <c r="F5464" t="s">
        <v>6002</v>
      </c>
    </row>
    <row r="5465" spans="1:6" ht="12.75">
      <c r="A5465">
        <v>5319631</v>
      </c>
      <c r="B5465">
        <v>5388582</v>
      </c>
      <c r="C5465" t="s">
        <v>574</v>
      </c>
      <c r="D5465" t="s">
        <v>12</v>
      </c>
      <c r="E5465" s="2" t="str">
        <f>HYPERLINK("https://ibp.a2mac1.com/costing(costing:projects/details/8191/component/5319631)","Electronics")</f>
        <v>Electronics</v>
      </c>
      <c r="F5465" t="s">
        <v>6001</v>
      </c>
    </row>
    <row r="5466" spans="1:6" ht="12.75">
      <c r="A5466">
        <v>5319632</v>
      </c>
      <c r="B5466">
        <v>5388582</v>
      </c>
      <c r="C5466" t="s">
        <v>574</v>
      </c>
      <c r="D5466" t="s">
        <v>12</v>
      </c>
      <c r="E5466" s="2" t="str">
        <f>HYPERLINK("https://ibp.a2mac1.com/costing(costing:projects/details/8191/component/5319632)","Mechanics")</f>
        <v>Mechanics</v>
      </c>
      <c r="F5466" t="s">
        <v>6001</v>
      </c>
    </row>
    <row r="5467" spans="1:6" ht="12.75">
      <c r="A5467">
        <v>5388583</v>
      </c>
      <c r="B5467">
        <v>5388243</v>
      </c>
      <c r="C5467" t="s">
        <v>12</v>
      </c>
      <c r="D5467" t="s">
        <v>8</v>
      </c>
      <c r="E5467" s="2" t="str">
        <f>HYPERLINK("https://ibp.a2mac1.com/costing(costing:projects/details/8191/part/5388583)","Door Striker")</f>
        <v>Door Striker</v>
      </c>
      <c r="F5467" t="s">
        <v>5976</v>
      </c>
    </row>
    <row r="5468" spans="1:6" ht="12.75">
      <c r="A5468">
        <v>6975498</v>
      </c>
      <c r="B5468">
        <v>5388583</v>
      </c>
      <c r="C5468" t="s">
        <v>99</v>
      </c>
      <c r="D5468" t="s">
        <v>12</v>
      </c>
      <c r="E5468" s="2" t="str">
        <f>HYPERLINK("https://ibp.a2mac1.com/costing(costing:projects/details/8191/process/6975498)","Stamping ")</f>
        <v xml:space="preserve">Stamping </v>
      </c>
      <c r="F5468" t="s">
        <v>6003</v>
      </c>
    </row>
    <row r="5469" spans="1:6" ht="12.75">
      <c r="A5469">
        <v>5319920</v>
      </c>
      <c r="B5469">
        <v>6975498</v>
      </c>
      <c r="C5469" t="s">
        <v>24</v>
      </c>
      <c r="D5469" t="s">
        <v>99</v>
      </c>
      <c r="E5469" s="2" t="str">
        <f>HYPERLINK("https://ibp.a2mac1.com/costing(costing:projects/details/8191/material/5319920)","Standard Structural Steel sheet")</f>
        <v>Standard Structural Steel sheet</v>
      </c>
      <c r="F5469" t="s">
        <v>6004</v>
      </c>
    </row>
    <row r="5470" spans="1:6" ht="12.75">
      <c r="A5470">
        <v>6948085</v>
      </c>
      <c r="B5470">
        <v>6975498</v>
      </c>
      <c r="C5470" t="s">
        <v>189</v>
      </c>
      <c r="D5470" t="s">
        <v>99</v>
      </c>
      <c r="E5470" s="2" t="str">
        <f>HYPERLINK("https://ibp.a2mac1.com/costing(costing:projects/details/8191/equipment/6948085)","Equipment (Stamping)")</f>
        <v>Equipment (Stamping)</v>
      </c>
      <c r="F5470" t="s">
        <v>6004</v>
      </c>
    </row>
    <row r="5471" spans="1:6" ht="12.75">
      <c r="A5471">
        <v>6975500</v>
      </c>
      <c r="B5471">
        <v>5388583</v>
      </c>
      <c r="C5471" t="s">
        <v>99</v>
      </c>
      <c r="D5471" t="s">
        <v>12</v>
      </c>
      <c r="E5471" s="2" t="str">
        <f>HYPERLINK("https://ibp.a2mac1.com/costing(costing:projects/details/8191/process/6975500)","Wire Bending")</f>
        <v>Wire Bending</v>
      </c>
      <c r="F5471" t="s">
        <v>6003</v>
      </c>
    </row>
    <row r="5472" spans="1:6" ht="12.75">
      <c r="A5472">
        <v>6948087</v>
      </c>
      <c r="B5472">
        <v>6975500</v>
      </c>
      <c r="C5472" t="s">
        <v>189</v>
      </c>
      <c r="D5472" t="s">
        <v>99</v>
      </c>
      <c r="E5472" s="2" t="str">
        <f>HYPERLINK("https://ibp.a2mac1.com/costing(costing:projects/details/8191/equipment/6948087)","No.01 - Generic CN Wire Bending ")</f>
        <v xml:space="preserve">No.01 - Generic CN Wire Bending </v>
      </c>
      <c r="F5472" t="s">
        <v>6005</v>
      </c>
    </row>
    <row r="5473" spans="1:6" ht="12.75">
      <c r="A5473">
        <v>6975499</v>
      </c>
      <c r="B5473">
        <v>5388583</v>
      </c>
      <c r="C5473" t="s">
        <v>99</v>
      </c>
      <c r="D5473" t="s">
        <v>12</v>
      </c>
      <c r="E5473" s="2" t="str">
        <f>HYPERLINK("https://ibp.a2mac1.com/costing(costing:projects/details/8191/process/6975499)","Press fit")</f>
        <v>Press fit</v>
      </c>
      <c r="F5473" t="s">
        <v>6003</v>
      </c>
    </row>
    <row r="5474" spans="1:6" ht="12.75">
      <c r="A5474">
        <v>6948086</v>
      </c>
      <c r="B5474">
        <v>6975499</v>
      </c>
      <c r="C5474" t="s">
        <v>189</v>
      </c>
      <c r="D5474" t="s">
        <v>99</v>
      </c>
      <c r="E5474" s="2" t="str">
        <f>HYPERLINK("https://ibp.a2mac1.com/costing(costing:projects/details/8191/equipment/6948086)","No.04 - Press Fit Assembly ")</f>
        <v xml:space="preserve">No.04 - Press Fit Assembly </v>
      </c>
      <c r="F5474" t="s">
        <v>6006</v>
      </c>
    </row>
    <row r="5475" spans="1:6" ht="12.75">
      <c r="A5475">
        <v>5388244</v>
      </c>
      <c r="B5475">
        <v>5388139</v>
      </c>
      <c r="C5475" t="s">
        <v>8</v>
      </c>
      <c r="D5475" t="s">
        <v>8</v>
      </c>
      <c r="E5475" s="2" t="str">
        <f>HYPERLINK("https://ibp.a2mac1.com/costing(costing:projects/details/8191/assembly/5388244)","Window System")</f>
        <v>Window System</v>
      </c>
      <c r="F5475" t="s">
        <v>5925</v>
      </c>
    </row>
    <row r="5476" spans="1:6" ht="12.75">
      <c r="A5476">
        <v>5388590</v>
      </c>
      <c r="B5476">
        <v>5388244</v>
      </c>
      <c r="C5476" t="s">
        <v>8</v>
      </c>
      <c r="D5476" t="s">
        <v>8</v>
      </c>
      <c r="E5476" s="2" t="str">
        <f>HYPERLINK("https://ibp.a2mac1.com/costing(costing:projects/details/8191/assembly/5388590)","Window")</f>
        <v>Window</v>
      </c>
      <c r="F5476" t="s">
        <v>6008</v>
      </c>
    </row>
    <row r="5477" spans="1:6" ht="12.75">
      <c r="A5477">
        <v>5388914</v>
      </c>
      <c r="B5477">
        <v>5388590</v>
      </c>
      <c r="C5477" t="s">
        <v>8</v>
      </c>
      <c r="D5477" t="s">
        <v>8</v>
      </c>
      <c r="E5477" s="2" t="str">
        <f>HYPERLINK("https://ibp.a2mac1.com/costing(costing:projects/details/8191/assembly/5388914)","Window")</f>
        <v>Window</v>
      </c>
      <c r="F5477" t="s">
        <v>6009</v>
      </c>
    </row>
    <row r="5478" spans="1:6" ht="12.75">
      <c r="A5478">
        <v>6975741</v>
      </c>
      <c r="B5478">
        <v>5388914</v>
      </c>
      <c r="C5478" t="s">
        <v>99</v>
      </c>
      <c r="D5478" t="s">
        <v>8</v>
      </c>
      <c r="E5478" s="2" t="str">
        <f>HYPERLINK("https://ibp.a2mac1.com/costing(costing:projects/details/8191/process/6975741)","Automated Process")</f>
        <v>Automated Process</v>
      </c>
      <c r="F5478" t="s">
        <v>6010</v>
      </c>
    </row>
    <row r="5479" spans="1:6" ht="12.75">
      <c r="A5479">
        <v>5320143</v>
      </c>
      <c r="B5479">
        <v>6975741</v>
      </c>
      <c r="C5479" t="s">
        <v>24</v>
      </c>
      <c r="D5479" t="s">
        <v>99</v>
      </c>
      <c r="E5479" s="2" t="str">
        <f>HYPERLINK("https://ibp.a2mac1.com/costing(costing:projects/details/8191/material/5320143)","Material")</f>
        <v>Material</v>
      </c>
      <c r="F5479" t="s">
        <v>6011</v>
      </c>
    </row>
    <row r="5480" spans="1:6" ht="12.75">
      <c r="A5480">
        <v>6948345</v>
      </c>
      <c r="B5480">
        <v>6975741</v>
      </c>
      <c r="C5480" t="s">
        <v>189</v>
      </c>
      <c r="D5480" t="s">
        <v>99</v>
      </c>
      <c r="E5480" s="2" t="str">
        <f>HYPERLINK("https://ibp.a2mac1.com/costing(costing:projects/details/8191/equipment/6948345)","Equipment (Injection Molding)")</f>
        <v>Equipment (Injection Molding)</v>
      </c>
      <c r="F5480" t="s">
        <v>6011</v>
      </c>
    </row>
    <row r="5481" spans="1:6" ht="12.75">
      <c r="A5481">
        <v>5388591</v>
      </c>
      <c r="B5481">
        <v>5388244</v>
      </c>
      <c r="C5481" t="s">
        <v>8</v>
      </c>
      <c r="D5481" t="s">
        <v>8</v>
      </c>
      <c r="E5481" s="2" t="str">
        <f>HYPERLINK("https://ibp.a2mac1.com/costing(costing:projects/details/8191/assembly/5388591)","Fastners")</f>
        <v>Fastners</v>
      </c>
      <c r="F5481" t="s">
        <v>6008</v>
      </c>
    </row>
    <row r="5482" spans="1:6" ht="12.75">
      <c r="A5482">
        <v>5319635</v>
      </c>
      <c r="B5482">
        <v>5388591</v>
      </c>
      <c r="C5482" t="s">
        <v>574</v>
      </c>
      <c r="D5482" t="s">
        <v>8</v>
      </c>
      <c r="E5482" s="2" t="str">
        <f>HYPERLINK("https://ibp.a2mac1.com/costing(costing:projects/details/8191/component/5319635)","Spacer/Axle &gt; Ring")</f>
        <v>Spacer/Axle &gt; Ring</v>
      </c>
      <c r="F5482" t="s">
        <v>6012</v>
      </c>
    </row>
    <row r="5483" spans="1:6" ht="12.75">
      <c r="A5483">
        <v>5319636</v>
      </c>
      <c r="B5483">
        <v>5388591</v>
      </c>
      <c r="C5483" t="s">
        <v>574</v>
      </c>
      <c r="D5483" t="s">
        <v>8</v>
      </c>
      <c r="E5483" s="2" t="str">
        <f>HYPERLINK("https://ibp.a2mac1.com/costing(costing:projects/details/8191/component/5319636)","Screw &gt; Torx socket head cap screw with captive washer")</f>
        <v>Screw &gt; Torx socket head cap screw with captive washer</v>
      </c>
      <c r="F5483" t="s">
        <v>6012</v>
      </c>
    </row>
    <row r="5484" spans="1:6" ht="12.75">
      <c r="A5484">
        <v>5319637</v>
      </c>
      <c r="B5484">
        <v>5388591</v>
      </c>
      <c r="C5484" t="s">
        <v>574</v>
      </c>
      <c r="D5484" t="s">
        <v>8</v>
      </c>
      <c r="E5484" s="2" t="str">
        <f>HYPERLINK("https://ibp.a2mac1.com/costing(costing:projects/details/8191/component/5319637)","Panel holder &gt; Clips in rectangular hole")</f>
        <v>Panel holder &gt; Clips in rectangular hole</v>
      </c>
      <c r="F5484" t="s">
        <v>6012</v>
      </c>
    </row>
    <row r="5485" spans="1:6" ht="12.75">
      <c r="A5485">
        <v>5319638</v>
      </c>
      <c r="B5485">
        <v>5388591</v>
      </c>
      <c r="C5485" t="s">
        <v>574</v>
      </c>
      <c r="D5485" t="s">
        <v>8</v>
      </c>
      <c r="E5485" s="2" t="str">
        <f>HYPERLINK("https://ibp.a2mac1.com/costing(costing:projects/details/8191/component/5319638)","Screw &gt; Torx socket head cap screw with flange")</f>
        <v>Screw &gt; Torx socket head cap screw with flange</v>
      </c>
      <c r="F5485" t="s">
        <v>6012</v>
      </c>
    </row>
    <row r="5486" spans="1:6" ht="12.75">
      <c r="A5486">
        <v>5388587</v>
      </c>
      <c r="B5486">
        <v>5388244</v>
      </c>
      <c r="C5486" t="s">
        <v>12</v>
      </c>
      <c r="D5486" t="s">
        <v>8</v>
      </c>
      <c r="E5486" s="2" t="str">
        <f>HYPERLINK("https://ibp.a2mac1.com/costing(costing:projects/details/8191/part/5388587)","Rear Quarter Window")</f>
        <v>Rear Quarter Window</v>
      </c>
      <c r="F5486" t="s">
        <v>6008</v>
      </c>
    </row>
    <row r="5487" spans="1:6" ht="12.75">
      <c r="A5487">
        <v>6975502</v>
      </c>
      <c r="B5487">
        <v>5388587</v>
      </c>
      <c r="C5487" t="s">
        <v>99</v>
      </c>
      <c r="D5487" t="s">
        <v>12</v>
      </c>
      <c r="E5487" s="2" t="str">
        <f>HYPERLINK("https://ibp.a2mac1.com/costing(costing:projects/details/8191/process/6975502)","Automated Process")</f>
        <v>Automated Process</v>
      </c>
      <c r="F5487" t="s">
        <v>6013</v>
      </c>
    </row>
    <row r="5488" spans="1:6" ht="12.75">
      <c r="A5488">
        <v>5319925</v>
      </c>
      <c r="B5488">
        <v>6975502</v>
      </c>
      <c r="C5488" t="s">
        <v>24</v>
      </c>
      <c r="D5488" t="s">
        <v>99</v>
      </c>
      <c r="E5488" s="2" t="str">
        <f>HYPERLINK("https://ibp.a2mac1.com/costing(costing:projects/details/8191/material/5319925)","PA6")</f>
        <v>PA6</v>
      </c>
      <c r="F5488" t="s">
        <v>6014</v>
      </c>
    </row>
    <row r="5489" spans="1:6" ht="12.75">
      <c r="A5489">
        <v>5319926</v>
      </c>
      <c r="B5489">
        <v>6975502</v>
      </c>
      <c r="C5489" t="s">
        <v>24</v>
      </c>
      <c r="D5489" t="s">
        <v>99</v>
      </c>
      <c r="E5489" s="2" t="str">
        <f>HYPERLINK("https://ibp.a2mac1.com/costing(costing:projects/details/8191/material/5319926)","PP")</f>
        <v>PP</v>
      </c>
      <c r="F5489" t="s">
        <v>6014</v>
      </c>
    </row>
    <row r="5490" spans="1:6" ht="12.75">
      <c r="A5490">
        <v>5319927</v>
      </c>
      <c r="B5490">
        <v>6975502</v>
      </c>
      <c r="C5490" t="s">
        <v>24</v>
      </c>
      <c r="D5490" t="s">
        <v>99</v>
      </c>
      <c r="E5490" s="2" t="str">
        <f>HYPERLINK("https://ibp.a2mac1.com/costing(costing:projects/details/8191/material/5319927)","Glass (default, float glass)")</f>
        <v>Glass (default, float glass)</v>
      </c>
      <c r="F5490" t="s">
        <v>6014</v>
      </c>
    </row>
    <row r="5491" spans="1:6" ht="12.75">
      <c r="A5491">
        <v>6948089</v>
      </c>
      <c r="B5491">
        <v>6975502</v>
      </c>
      <c r="C5491" t="s">
        <v>189</v>
      </c>
      <c r="D5491" t="s">
        <v>99</v>
      </c>
      <c r="E5491" s="2" t="str">
        <f>HYPERLINK("https://ibp.a2mac1.com/costing(costing:projects/details/8191/equipment/6948089)","Equipment (Injection Molding)")</f>
        <v>Equipment (Injection Molding)</v>
      </c>
      <c r="F5491" t="s">
        <v>6014</v>
      </c>
    </row>
    <row r="5492" spans="1:6" ht="12.75">
      <c r="A5492">
        <v>6948090</v>
      </c>
      <c r="B5492">
        <v>6975502</v>
      </c>
      <c r="C5492" t="s">
        <v>189</v>
      </c>
      <c r="D5492" t="s">
        <v>99</v>
      </c>
      <c r="E5492" s="2" t="str">
        <f>HYPERLINK("https://ibp.a2mac1.com/costing(costing:projects/details/8191/equipment/6948090)","Equipment (Injection Molding)")</f>
        <v>Equipment (Injection Molding)</v>
      </c>
      <c r="F5492" t="s">
        <v>6014</v>
      </c>
    </row>
    <row r="5493" spans="1:6" ht="12.75">
      <c r="A5493">
        <v>6948091</v>
      </c>
      <c r="B5493">
        <v>6975502</v>
      </c>
      <c r="C5493" t="s">
        <v>189</v>
      </c>
      <c r="D5493" t="s">
        <v>99</v>
      </c>
      <c r="E5493" s="2" t="str">
        <f>HYPERLINK("https://ibp.a2mac1.com/costing(costing:projects/details/8191/equipment/6948091)","Equipment (Standard Process)")</f>
        <v>Equipment (Standard Process)</v>
      </c>
      <c r="F5493" t="s">
        <v>6014</v>
      </c>
    </row>
    <row r="5494" spans="1:6" ht="12.75">
      <c r="A5494">
        <v>5388588</v>
      </c>
      <c r="B5494">
        <v>5388244</v>
      </c>
      <c r="C5494" t="s">
        <v>12</v>
      </c>
      <c r="D5494" t="s">
        <v>8</v>
      </c>
      <c r="E5494" s="2" t="str">
        <f>HYPERLINK("https://ibp.a2mac1.com/costing(costing:projects/details/8191/part/5388588)","Window Regulator")</f>
        <v>Window Regulator</v>
      </c>
      <c r="F5494" t="s">
        <v>6008</v>
      </c>
    </row>
    <row r="5495" spans="1:6" ht="12.75">
      <c r="A5495">
        <v>5388589</v>
      </c>
      <c r="B5495">
        <v>5388244</v>
      </c>
      <c r="C5495" t="s">
        <v>12</v>
      </c>
      <c r="D5495" t="s">
        <v>8</v>
      </c>
      <c r="E5495" s="2" t="str">
        <f>HYPERLINK("https://ibp.a2mac1.com/costing(costing:projects/details/8191/part/5388589)","Window Regulator Motor")</f>
        <v>Window Regulator Motor</v>
      </c>
      <c r="F5495" t="s">
        <v>6008</v>
      </c>
    </row>
    <row r="5496" spans="1:6" ht="12.75">
      <c r="A5496">
        <v>6975304</v>
      </c>
      <c r="B5496">
        <v>5388244</v>
      </c>
      <c r="C5496" t="s">
        <v>99</v>
      </c>
      <c r="D5496" t="s">
        <v>8</v>
      </c>
      <c r="E5496" s="2" t="str">
        <f>HYPERLINK("https://ibp.a2mac1.com/costing(costing:projects/details/8191/process/6975304)","Assembly")</f>
        <v>Assembly</v>
      </c>
      <c r="F5496" t="s">
        <v>6008</v>
      </c>
    </row>
    <row r="5497" spans="1:6" ht="12.75">
      <c r="A5497">
        <v>6947861</v>
      </c>
      <c r="B5497">
        <v>6975304</v>
      </c>
      <c r="C5497" t="s">
        <v>189</v>
      </c>
      <c r="D5497" t="s">
        <v>99</v>
      </c>
      <c r="E5497" s="2" t="str">
        <f>HYPERLINK("https://ibp.a2mac1.com/costing(costing:projects/details/8191/equipment/6947861)","Assembly line")</f>
        <v>Assembly line</v>
      </c>
      <c r="F5497" t="s">
        <v>6015</v>
      </c>
    </row>
    <row r="5498" spans="1:6" ht="12.75">
      <c r="A5498">
        <v>5388245</v>
      </c>
      <c r="B5498">
        <v>5388139</v>
      </c>
      <c r="C5498" t="s">
        <v>8</v>
      </c>
      <c r="D5498" t="s">
        <v>8</v>
      </c>
      <c r="E5498" s="2" t="str">
        <f>HYPERLINK("https://ibp.a2mac1.com/costing(costing:projects/details/8191/assembly/5388245)","Sealing System")</f>
        <v>Sealing System</v>
      </c>
      <c r="F5498" t="s">
        <v>5925</v>
      </c>
    </row>
    <row r="5499" spans="1:6" ht="12.75">
      <c r="A5499">
        <v>5388595</v>
      </c>
      <c r="B5499">
        <v>5388245</v>
      </c>
      <c r="C5499" t="s">
        <v>8</v>
      </c>
      <c r="D5499" t="s">
        <v>8</v>
      </c>
      <c r="E5499" s="2" t="str">
        <f>HYPERLINK("https://ibp.a2mac1.com/costing(costing:projects/details/8191/assembly/5388595)","Door Weather Stripping")</f>
        <v>Door Weather Stripping</v>
      </c>
      <c r="F5499" t="s">
        <v>6016</v>
      </c>
    </row>
    <row r="5500" spans="1:6" ht="12.75">
      <c r="A5500">
        <v>5388915</v>
      </c>
      <c r="B5500">
        <v>5388595</v>
      </c>
      <c r="C5500" t="s">
        <v>12</v>
      </c>
      <c r="D5500" t="s">
        <v>8</v>
      </c>
      <c r="E5500" s="2" t="str">
        <f>HYPERLINK("https://ibp.a2mac1.com/costing(costing:projects/details/8191/part/5388915)","On Body")</f>
        <v>On Body</v>
      </c>
      <c r="F5500" t="s">
        <v>6017</v>
      </c>
    </row>
    <row r="5501" spans="1:6" ht="12.75">
      <c r="A5501">
        <v>6975743</v>
      </c>
      <c r="B5501">
        <v>5388915</v>
      </c>
      <c r="C5501" t="s">
        <v>99</v>
      </c>
      <c r="D5501" t="s">
        <v>12</v>
      </c>
      <c r="E5501" s="2" t="str">
        <f>HYPERLINK("https://ibp.a2mac1.com/costing(costing:projects/details/8191/process/6975743)","Seal Extrusion (Multi Layer)")</f>
        <v>Seal Extrusion (Multi Layer)</v>
      </c>
      <c r="F5501" t="s">
        <v>6018</v>
      </c>
    </row>
    <row r="5502" spans="1:6" ht="12.75">
      <c r="A5502">
        <v>5320144</v>
      </c>
      <c r="B5502">
        <v>6975743</v>
      </c>
      <c r="C5502" t="s">
        <v>24</v>
      </c>
      <c r="D5502" t="s">
        <v>99</v>
      </c>
      <c r="E5502" s="2" t="str">
        <f>HYPERLINK("https://ibp.a2mac1.com/costing(costing:projects/details/8191/material/5320144)","EPDM")</f>
        <v>EPDM</v>
      </c>
      <c r="F5502" t="s">
        <v>6019</v>
      </c>
    </row>
    <row r="5503" spans="1:6" ht="12.75">
      <c r="A5503">
        <v>5320145</v>
      </c>
      <c r="B5503">
        <v>6975743</v>
      </c>
      <c r="C5503" t="s">
        <v>24</v>
      </c>
      <c r="D5503" t="s">
        <v>99</v>
      </c>
      <c r="E5503" s="2" t="str">
        <f>HYPERLINK("https://ibp.a2mac1.com/costing(costing:projects/details/8191/material/5320145)","Standard Structural Steel sheet")</f>
        <v>Standard Structural Steel sheet</v>
      </c>
      <c r="F5503" t="s">
        <v>6019</v>
      </c>
    </row>
    <row r="5504" spans="1:6" ht="12.75">
      <c r="A5504">
        <v>6948347</v>
      </c>
      <c r="B5504">
        <v>6975743</v>
      </c>
      <c r="C5504" t="s">
        <v>189</v>
      </c>
      <c r="D5504" t="s">
        <v>99</v>
      </c>
      <c r="E5504" s="2" t="str">
        <f>HYPERLINK("https://ibp.a2mac1.com/costing(costing:projects/details/8191/equipment/6948347)","Rubber Extrusion machine")</f>
        <v>Rubber Extrusion machine</v>
      </c>
      <c r="F5504" t="s">
        <v>6019</v>
      </c>
    </row>
    <row r="5505" spans="1:6" ht="12.75">
      <c r="A5505">
        <v>6975742</v>
      </c>
      <c r="B5505">
        <v>5388915</v>
      </c>
      <c r="C5505" t="s">
        <v>99</v>
      </c>
      <c r="D5505" t="s">
        <v>12</v>
      </c>
      <c r="E5505" s="2" t="str">
        <f>HYPERLINK("https://ibp.a2mac1.com/costing(costing:projects/details/8191/process/6975742)","End Glueing/Vulcanizing, Check and Pack")</f>
        <v>End Glueing/Vulcanizing, Check and Pack</v>
      </c>
      <c r="F5505" t="s">
        <v>6018</v>
      </c>
    </row>
    <row r="5506" spans="1:6" ht="12.75">
      <c r="A5506">
        <v>6948346</v>
      </c>
      <c r="B5506">
        <v>6975742</v>
      </c>
      <c r="C5506" t="s">
        <v>189</v>
      </c>
      <c r="D5506" t="s">
        <v>99</v>
      </c>
      <c r="E5506" s="2" t="str">
        <f>HYPERLINK("https://ibp.a2mac1.com/costing(costing:projects/details/8191/equipment/6948346)","Seal welding/joining station, manual")</f>
        <v>Seal welding/joining station, manual</v>
      </c>
      <c r="F5506" t="s">
        <v>6020</v>
      </c>
    </row>
    <row r="5507" spans="1:6" ht="12.75">
      <c r="A5507">
        <v>5388916</v>
      </c>
      <c r="B5507">
        <v>5388595</v>
      </c>
      <c r="C5507" t="s">
        <v>12</v>
      </c>
      <c r="D5507" t="s">
        <v>8</v>
      </c>
      <c r="E5507" s="2" t="str">
        <f>HYPERLINK("https://ibp.a2mac1.com/costing(costing:projects/details/8191/part/5388916)","On Door")</f>
        <v>On Door</v>
      </c>
      <c r="F5507" t="s">
        <v>6017</v>
      </c>
    </row>
    <row r="5508" spans="1:6" ht="12.75">
      <c r="A5508">
        <v>6975745</v>
      </c>
      <c r="B5508">
        <v>5388916</v>
      </c>
      <c r="C5508" t="s">
        <v>99</v>
      </c>
      <c r="D5508" t="s">
        <v>12</v>
      </c>
      <c r="E5508" s="2" t="str">
        <f>HYPERLINK("https://ibp.a2mac1.com/costing(costing:projects/details/8191/process/6975745)","Seal Extrusion (Multi Layer)")</f>
        <v>Seal Extrusion (Multi Layer)</v>
      </c>
      <c r="F5508" t="s">
        <v>6021</v>
      </c>
    </row>
    <row r="5509" spans="1:6" ht="12.75">
      <c r="A5509">
        <v>5320146</v>
      </c>
      <c r="B5509">
        <v>6975745</v>
      </c>
      <c r="C5509" t="s">
        <v>24</v>
      </c>
      <c r="D5509" t="s">
        <v>99</v>
      </c>
      <c r="E5509" s="2" t="str">
        <f>HYPERLINK("https://ibp.a2mac1.com/costing(costing:projects/details/8191/material/5320146)","EPDM")</f>
        <v>EPDM</v>
      </c>
      <c r="F5509" t="s">
        <v>6022</v>
      </c>
    </row>
    <row r="5510" spans="1:6" ht="12.75">
      <c r="A5510">
        <v>5320147</v>
      </c>
      <c r="B5510">
        <v>6975745</v>
      </c>
      <c r="C5510" t="s">
        <v>24</v>
      </c>
      <c r="D5510" t="s">
        <v>99</v>
      </c>
      <c r="E5510" s="2" t="str">
        <f>HYPERLINK("https://ibp.a2mac1.com/costing(costing:projects/details/8191/material/5320147)","Standard Structural Steel sheet")</f>
        <v>Standard Structural Steel sheet</v>
      </c>
      <c r="F5510" t="s">
        <v>6022</v>
      </c>
    </row>
    <row r="5511" spans="1:6" ht="12.75">
      <c r="A5511">
        <v>6948349</v>
      </c>
      <c r="B5511">
        <v>6975745</v>
      </c>
      <c r="C5511" t="s">
        <v>189</v>
      </c>
      <c r="D5511" t="s">
        <v>99</v>
      </c>
      <c r="E5511" s="2" t="str">
        <f>HYPERLINK("https://ibp.a2mac1.com/costing(costing:projects/details/8191/equipment/6948349)","Rubber Extrusion machine")</f>
        <v>Rubber Extrusion machine</v>
      </c>
      <c r="F5511" t="s">
        <v>6022</v>
      </c>
    </row>
    <row r="5512" spans="1:6" ht="12.75">
      <c r="A5512">
        <v>6975744</v>
      </c>
      <c r="B5512">
        <v>5388916</v>
      </c>
      <c r="C5512" t="s">
        <v>99</v>
      </c>
      <c r="D5512" t="s">
        <v>12</v>
      </c>
      <c r="E5512" s="2" t="str">
        <f>HYPERLINK("https://ibp.a2mac1.com/costing(costing:projects/details/8191/process/6975744)","End Glueing/Vulcanizing, Check and Pack")</f>
        <v>End Glueing/Vulcanizing, Check and Pack</v>
      </c>
      <c r="F5512" t="s">
        <v>6021</v>
      </c>
    </row>
    <row r="5513" spans="1:6" ht="12.75">
      <c r="A5513">
        <v>6948348</v>
      </c>
      <c r="B5513">
        <v>6975744</v>
      </c>
      <c r="C5513" t="s">
        <v>189</v>
      </c>
      <c r="D5513" t="s">
        <v>99</v>
      </c>
      <c r="E5513" s="2" t="str">
        <f>HYPERLINK("https://ibp.a2mac1.com/costing(costing:projects/details/8191/equipment/6948348)","Seal welding/joining station, manual")</f>
        <v>Seal welding/joining station, manual</v>
      </c>
      <c r="F5513" t="s">
        <v>6023</v>
      </c>
    </row>
    <row r="5514" spans="1:6" ht="12.75">
      <c r="A5514">
        <v>5388592</v>
      </c>
      <c r="B5514">
        <v>5388245</v>
      </c>
      <c r="C5514" t="s">
        <v>12</v>
      </c>
      <c r="D5514" t="s">
        <v>8</v>
      </c>
      <c r="E5514" s="2" t="str">
        <f>HYPERLINK("https://ibp.a2mac1.com/costing(costing:projects/details/8191/part/5388592)","Window Weather Stripping")</f>
        <v>Window Weather Stripping</v>
      </c>
      <c r="F5514" t="s">
        <v>6016</v>
      </c>
    </row>
    <row r="5515" spans="1:6" ht="12.75">
      <c r="A5515">
        <v>6975503</v>
      </c>
      <c r="B5515">
        <v>5388592</v>
      </c>
      <c r="C5515" t="s">
        <v>99</v>
      </c>
      <c r="D5515" t="s">
        <v>12</v>
      </c>
      <c r="E5515" s="2" t="str">
        <f>HYPERLINK("https://ibp.a2mac1.com/costing(costing:projects/details/8191/process/6975503)","Seal Extrusion")</f>
        <v>Seal Extrusion</v>
      </c>
      <c r="F5515" t="s">
        <v>6024</v>
      </c>
    </row>
    <row r="5516" spans="1:6" ht="12.75">
      <c r="A5516">
        <v>5319928</v>
      </c>
      <c r="B5516">
        <v>6975503</v>
      </c>
      <c r="C5516" t="s">
        <v>24</v>
      </c>
      <c r="D5516" t="s">
        <v>99</v>
      </c>
      <c r="E5516" s="2" t="str">
        <f>HYPERLINK("https://ibp.a2mac1.com/costing(costing:projects/details/8191/material/5319928)","EPDM")</f>
        <v>EPDM</v>
      </c>
      <c r="F5516" t="s">
        <v>6025</v>
      </c>
    </row>
    <row r="5517" spans="1:6" ht="12.75">
      <c r="A5517">
        <v>5319929</v>
      </c>
      <c r="B5517">
        <v>6975503</v>
      </c>
      <c r="C5517" t="s">
        <v>24</v>
      </c>
      <c r="D5517" t="s">
        <v>99</v>
      </c>
      <c r="E5517" s="2" t="str">
        <f>HYPERLINK("https://ibp.a2mac1.com/costing(costing:projects/details/8191/material/5319929)","Aluminum for extrusion (default, e.g. EN-AW6016)")</f>
        <v>Aluminum for extrusion (default, e.g. EN-AW6016)</v>
      </c>
      <c r="F5517" t="s">
        <v>6025</v>
      </c>
    </row>
    <row r="5518" spans="1:6" ht="12.75">
      <c r="A5518">
        <v>6948092</v>
      </c>
      <c r="B5518">
        <v>6975503</v>
      </c>
      <c r="C5518" t="s">
        <v>189</v>
      </c>
      <c r="D5518" t="s">
        <v>99</v>
      </c>
      <c r="E5518" s="2" t="str">
        <f>HYPERLINK("https://ibp.a2mac1.com/costing(costing:projects/details/8191/equipment/6948092)","Rubber Extrusion machine")</f>
        <v>Rubber Extrusion machine</v>
      </c>
      <c r="F5518" t="s">
        <v>6025</v>
      </c>
    </row>
    <row r="5519" spans="1:6" ht="12.75">
      <c r="A5519">
        <v>5388593</v>
      </c>
      <c r="B5519">
        <v>5388245</v>
      </c>
      <c r="C5519" t="s">
        <v>12</v>
      </c>
      <c r="D5519" t="s">
        <v>8</v>
      </c>
      <c r="E5519" s="2" t="str">
        <f>HYPERLINK("https://ibp.a2mac1.com/costing(costing:projects/details/8191/part/5388593)","Interior Weatherstrip")</f>
        <v>Interior Weatherstrip</v>
      </c>
      <c r="F5519" t="s">
        <v>6016</v>
      </c>
    </row>
    <row r="5520" spans="1:6" ht="12.75">
      <c r="A5520">
        <v>6975504</v>
      </c>
      <c r="B5520">
        <v>5388593</v>
      </c>
      <c r="C5520" t="s">
        <v>99</v>
      </c>
      <c r="D5520" t="s">
        <v>12</v>
      </c>
      <c r="E5520" s="2" t="str">
        <f>HYPERLINK("https://ibp.a2mac1.com/costing(costing:projects/details/8191/process/6975504)","Seal Extrusion")</f>
        <v>Seal Extrusion</v>
      </c>
      <c r="F5520" t="s">
        <v>6026</v>
      </c>
    </row>
    <row r="5521" spans="1:6" ht="12.75">
      <c r="A5521">
        <v>5319930</v>
      </c>
      <c r="B5521">
        <v>6975504</v>
      </c>
      <c r="C5521" t="s">
        <v>24</v>
      </c>
      <c r="D5521" t="s">
        <v>99</v>
      </c>
      <c r="E5521" s="2" t="str">
        <f>HYPERLINK("https://ibp.a2mac1.com/costing(costing:projects/details/8191/material/5319930)","PP-EPDM")</f>
        <v>PP-EPDM</v>
      </c>
      <c r="F5521" t="s">
        <v>6027</v>
      </c>
    </row>
    <row r="5522" spans="1:6" ht="12.75">
      <c r="A5522">
        <v>6948093</v>
      </c>
      <c r="B5522">
        <v>6975504</v>
      </c>
      <c r="C5522" t="s">
        <v>189</v>
      </c>
      <c r="D5522" t="s">
        <v>99</v>
      </c>
      <c r="E5522" s="2" t="str">
        <f>HYPERLINK("https://ibp.a2mac1.com/costing(costing:projects/details/8191/equipment/6948093)","Rubber Extrusion machine")</f>
        <v>Rubber Extrusion machine</v>
      </c>
      <c r="F5522" t="s">
        <v>6027</v>
      </c>
    </row>
    <row r="5523" spans="1:6" ht="12.75">
      <c r="A5523">
        <v>5388594</v>
      </c>
      <c r="B5523">
        <v>5388245</v>
      </c>
      <c r="C5523" t="s">
        <v>12</v>
      </c>
      <c r="D5523" t="s">
        <v>8</v>
      </c>
      <c r="E5523" s="2" t="str">
        <f>HYPERLINK("https://ibp.a2mac1.com/costing(costing:projects/details/8191/part/5388594)","Exterior Weatherstrip")</f>
        <v>Exterior Weatherstrip</v>
      </c>
      <c r="F5523" t="s">
        <v>6016</v>
      </c>
    </row>
    <row r="5524" spans="1:6" ht="12.75">
      <c r="A5524">
        <v>6975505</v>
      </c>
      <c r="B5524">
        <v>5388594</v>
      </c>
      <c r="C5524" t="s">
        <v>99</v>
      </c>
      <c r="D5524" t="s">
        <v>12</v>
      </c>
      <c r="E5524" s="2" t="str">
        <f>HYPERLINK("https://ibp.a2mac1.com/costing(costing:projects/details/8191/process/6975505)","Seal Extrusion")</f>
        <v>Seal Extrusion</v>
      </c>
      <c r="F5524" t="s">
        <v>6028</v>
      </c>
    </row>
    <row r="5525" spans="1:6" ht="12.75">
      <c r="A5525">
        <v>5319931</v>
      </c>
      <c r="B5525">
        <v>6975505</v>
      </c>
      <c r="C5525" t="s">
        <v>24</v>
      </c>
      <c r="D5525" t="s">
        <v>99</v>
      </c>
      <c r="E5525" s="2" t="str">
        <f>HYPERLINK("https://ibp.a2mac1.com/costing(costing:projects/details/8191/material/5319931)","EPDM")</f>
        <v>EPDM</v>
      </c>
      <c r="F5525" t="s">
        <v>6029</v>
      </c>
    </row>
    <row r="5526" spans="1:6" ht="12.75">
      <c r="A5526">
        <v>5319932</v>
      </c>
      <c r="B5526">
        <v>6975505</v>
      </c>
      <c r="C5526" t="s">
        <v>24</v>
      </c>
      <c r="D5526" t="s">
        <v>99</v>
      </c>
      <c r="E5526" s="2" t="str">
        <f>HYPERLINK("https://ibp.a2mac1.com/costing(costing:projects/details/8191/material/5319932)","Aluminum for extrusion (default, e.g. EN-AW6016)")</f>
        <v>Aluminum for extrusion (default, e.g. EN-AW6016)</v>
      </c>
      <c r="F5526" t="s">
        <v>6029</v>
      </c>
    </row>
    <row r="5527" spans="1:6" ht="12.75">
      <c r="A5527">
        <v>6948094</v>
      </c>
      <c r="B5527">
        <v>6975505</v>
      </c>
      <c r="C5527" t="s">
        <v>189</v>
      </c>
      <c r="D5527" t="s">
        <v>99</v>
      </c>
      <c r="E5527" s="2" t="str">
        <f>HYPERLINK("https://ibp.a2mac1.com/costing(costing:projects/details/8191/equipment/6948094)","Rubber Extrusion machine")</f>
        <v>Rubber Extrusion machine</v>
      </c>
      <c r="F5527" t="s">
        <v>6029</v>
      </c>
    </row>
    <row r="5528" spans="1:6" ht="12.75">
      <c r="A5528">
        <v>5388246</v>
      </c>
      <c r="B5528">
        <v>5388139</v>
      </c>
      <c r="C5528" t="s">
        <v>8</v>
      </c>
      <c r="D5528" t="s">
        <v>8</v>
      </c>
      <c r="E5528" s="2" t="str">
        <f>HYPERLINK("https://ibp.a2mac1.com/costing(costing:projects/details/8191/assembly/5388246)","Hinges")</f>
        <v>Hinges</v>
      </c>
      <c r="F5528" t="s">
        <v>5925</v>
      </c>
    </row>
    <row r="5529" spans="1:6" ht="12.75">
      <c r="A5529">
        <v>5388597</v>
      </c>
      <c r="B5529">
        <v>5388246</v>
      </c>
      <c r="C5529" t="s">
        <v>8</v>
      </c>
      <c r="D5529" t="s">
        <v>8</v>
      </c>
      <c r="E5529" s="2" t="str">
        <f>HYPERLINK("https://ibp.a2mac1.com/costing(costing:projects/details/8191/assembly/5388597)","Upper")</f>
        <v>Upper</v>
      </c>
      <c r="F5529" t="s">
        <v>6031</v>
      </c>
    </row>
    <row r="5530" spans="1:6" ht="12.75">
      <c r="A5530">
        <v>5388917</v>
      </c>
      <c r="B5530">
        <v>5388597</v>
      </c>
      <c r="C5530" t="s">
        <v>8</v>
      </c>
      <c r="D5530" t="s">
        <v>8</v>
      </c>
      <c r="E5530" s="2" t="str">
        <f>HYPERLINK("https://ibp.a2mac1.com/costing(costing:projects/details/8191/assembly/5388917)","On Body")</f>
        <v>On Body</v>
      </c>
      <c r="F5530" t="s">
        <v>6032</v>
      </c>
    </row>
    <row r="5531" spans="1:6" ht="12.75">
      <c r="A5531">
        <v>5389232</v>
      </c>
      <c r="B5531">
        <v>5388917</v>
      </c>
      <c r="C5531" t="s">
        <v>12</v>
      </c>
      <c r="D5531" t="s">
        <v>8</v>
      </c>
      <c r="E5531" s="2" t="str">
        <f>HYPERLINK("https://ibp.a2mac1.com/costing(costing:projects/details/8191/part/5389232)","Part 01 single/main")</f>
        <v>Part 01 single/main</v>
      </c>
      <c r="F5531" t="s">
        <v>6033</v>
      </c>
    </row>
    <row r="5532" spans="1:6" ht="12.75">
      <c r="A5532">
        <v>6975844</v>
      </c>
      <c r="B5532">
        <v>5389232</v>
      </c>
      <c r="C5532" t="s">
        <v>99</v>
      </c>
      <c r="D5532" t="s">
        <v>12</v>
      </c>
      <c r="E5532" s="2" t="str">
        <f>HYPERLINK("https://ibp.a2mac1.com/costing(costing:projects/details/8191/process/6975844)","Manufacturing Process")</f>
        <v>Manufacturing Process</v>
      </c>
      <c r="F5532" t="s">
        <v>6034</v>
      </c>
    </row>
    <row r="5533" spans="1:6" ht="12.75">
      <c r="A5533">
        <v>5320299</v>
      </c>
      <c r="B5533">
        <v>6975844</v>
      </c>
      <c r="C5533" t="s">
        <v>24</v>
      </c>
      <c r="D5533" t="s">
        <v>99</v>
      </c>
      <c r="E5533" s="2" t="str">
        <f>HYPERLINK("https://ibp.a2mac1.com/costing(costing:projects/details/8191/material/5320299)","Standard Structural Steel sheet")</f>
        <v>Standard Structural Steel sheet</v>
      </c>
      <c r="F5533" t="s">
        <v>6035</v>
      </c>
    </row>
    <row r="5534" spans="1:6" ht="12.75">
      <c r="A5534">
        <v>6948439</v>
      </c>
      <c r="B5534">
        <v>6975844</v>
      </c>
      <c r="C5534" t="s">
        <v>189</v>
      </c>
      <c r="D5534" t="s">
        <v>99</v>
      </c>
      <c r="E5534" s="2" t="str">
        <f>HYPERLINK("https://ibp.a2mac1.com/costing(costing:projects/details/8191/equipment/6948439)","Equipment (Casting)")</f>
        <v>Equipment (Casting)</v>
      </c>
      <c r="F5534" t="s">
        <v>6035</v>
      </c>
    </row>
    <row r="5535" spans="1:6" ht="12.75">
      <c r="A5535">
        <v>5388918</v>
      </c>
      <c r="B5535">
        <v>5388597</v>
      </c>
      <c r="C5535" t="s">
        <v>8</v>
      </c>
      <c r="D5535" t="s">
        <v>8</v>
      </c>
      <c r="E5535" s="2" t="str">
        <f>HYPERLINK("https://ibp.a2mac1.com/costing(costing:projects/details/8191/assembly/5388918)","On Door")</f>
        <v>On Door</v>
      </c>
      <c r="F5535" t="s">
        <v>6032</v>
      </c>
    </row>
    <row r="5536" spans="1:6" ht="12.75">
      <c r="A5536">
        <v>5389233</v>
      </c>
      <c r="B5536">
        <v>5388918</v>
      </c>
      <c r="C5536" t="s">
        <v>12</v>
      </c>
      <c r="D5536" t="s">
        <v>8</v>
      </c>
      <c r="E5536" s="2" t="str">
        <f>HYPERLINK("https://ibp.a2mac1.com/costing(costing:projects/details/8191/part/5389233)","Part 01 single/main")</f>
        <v>Part 01 single/main</v>
      </c>
      <c r="F5536" t="s">
        <v>6036</v>
      </c>
    </row>
    <row r="5537" spans="1:6" ht="12.75">
      <c r="A5537">
        <v>6975845</v>
      </c>
      <c r="B5537">
        <v>5389233</v>
      </c>
      <c r="C5537" t="s">
        <v>99</v>
      </c>
      <c r="D5537" t="s">
        <v>12</v>
      </c>
      <c r="E5537" s="2" t="str">
        <f>HYPERLINK("https://ibp.a2mac1.com/costing(costing:projects/details/8191/process/6975845)","Manufacturing Process")</f>
        <v>Manufacturing Process</v>
      </c>
      <c r="F5537" t="s">
        <v>6037</v>
      </c>
    </row>
    <row r="5538" spans="1:6" ht="12.75">
      <c r="A5538">
        <v>5320300</v>
      </c>
      <c r="B5538">
        <v>6975845</v>
      </c>
      <c r="C5538" t="s">
        <v>24</v>
      </c>
      <c r="D5538" t="s">
        <v>99</v>
      </c>
      <c r="E5538" s="2" t="str">
        <f>HYPERLINK("https://ibp.a2mac1.com/costing(costing:projects/details/8191/material/5320300)","Standard Structural Steel sheet")</f>
        <v>Standard Structural Steel sheet</v>
      </c>
      <c r="F5538" t="s">
        <v>6038</v>
      </c>
    </row>
    <row r="5539" spans="1:6" ht="12.75">
      <c r="A5539">
        <v>6948440</v>
      </c>
      <c r="B5539">
        <v>6975845</v>
      </c>
      <c r="C5539" t="s">
        <v>189</v>
      </c>
      <c r="D5539" t="s">
        <v>99</v>
      </c>
      <c r="E5539" s="2" t="str">
        <f>HYPERLINK("https://ibp.a2mac1.com/costing(costing:projects/details/8191/equipment/6948440)","Equipment (Casting)")</f>
        <v>Equipment (Casting)</v>
      </c>
      <c r="F5539" t="s">
        <v>6038</v>
      </c>
    </row>
    <row r="5540" spans="1:6" ht="12.75">
      <c r="A5540">
        <v>5388919</v>
      </c>
      <c r="B5540">
        <v>5388597</v>
      </c>
      <c r="C5540" t="s">
        <v>8</v>
      </c>
      <c r="D5540" t="s">
        <v>8</v>
      </c>
      <c r="E5540" s="2" t="str">
        <f>HYPERLINK("https://ibp.a2mac1.com/costing(costing:projects/details/8191/assembly/5388919)","Fastners")</f>
        <v>Fastners</v>
      </c>
      <c r="F5540" t="s">
        <v>6032</v>
      </c>
    </row>
    <row r="5541" spans="1:6" ht="12.75">
      <c r="A5541">
        <v>5319933</v>
      </c>
      <c r="B5541">
        <v>5388919</v>
      </c>
      <c r="C5541" t="s">
        <v>574</v>
      </c>
      <c r="D5541" t="s">
        <v>8</v>
      </c>
      <c r="E5541" s="2" t="str">
        <f>HYPERLINK("https://ibp.a2mac1.com/costing(costing:projects/details/8191/component/5319933)","Screw &gt; Hexagon screw with flange")</f>
        <v>Screw &gt; Hexagon screw with flange</v>
      </c>
      <c r="F5541" t="s">
        <v>6039</v>
      </c>
    </row>
    <row r="5542" spans="1:6" ht="12.75">
      <c r="A5542">
        <v>5319941</v>
      </c>
      <c r="B5542">
        <v>5388919</v>
      </c>
      <c r="C5542" t="s">
        <v>574</v>
      </c>
      <c r="D5542" t="s">
        <v>8</v>
      </c>
      <c r="E5542" s="2" t="str">
        <f>HYPERLINK("https://ibp.a2mac1.com/costing(costing:projects/details/8191/component/5319941)","Screw &gt; Torx screw")</f>
        <v>Screw &gt; Torx screw</v>
      </c>
      <c r="F5542" t="s">
        <v>6039</v>
      </c>
    </row>
    <row r="5543" spans="1:6" ht="12.75">
      <c r="A5543">
        <v>5388598</v>
      </c>
      <c r="B5543">
        <v>5388246</v>
      </c>
      <c r="C5543" t="s">
        <v>8</v>
      </c>
      <c r="D5543" t="s">
        <v>8</v>
      </c>
      <c r="E5543" s="2" t="str">
        <f>HYPERLINK("https://ibp.a2mac1.com/costing(costing:projects/details/8191/assembly/5388598)","Lower")</f>
        <v>Lower</v>
      </c>
      <c r="F5543" t="s">
        <v>6031</v>
      </c>
    </row>
    <row r="5544" spans="1:6" ht="12.75">
      <c r="A5544">
        <v>5388920</v>
      </c>
      <c r="B5544">
        <v>5388598</v>
      </c>
      <c r="C5544" t="s">
        <v>8</v>
      </c>
      <c r="D5544" t="s">
        <v>8</v>
      </c>
      <c r="E5544" s="2" t="str">
        <f>HYPERLINK("https://ibp.a2mac1.com/costing(costing:projects/details/8191/assembly/5388920)","On Body")</f>
        <v>On Body</v>
      </c>
      <c r="F5544" t="s">
        <v>6040</v>
      </c>
    </row>
    <row r="5545" spans="1:6" ht="12.75">
      <c r="A5545">
        <v>5389234</v>
      </c>
      <c r="B5545">
        <v>5388920</v>
      </c>
      <c r="C5545" t="s">
        <v>12</v>
      </c>
      <c r="D5545" t="s">
        <v>8</v>
      </c>
      <c r="E5545" s="2" t="str">
        <f>HYPERLINK("https://ibp.a2mac1.com/costing(costing:projects/details/8191/part/5389234)","Part 01 single/main")</f>
        <v>Part 01 single/main</v>
      </c>
      <c r="F5545" t="s">
        <v>6041</v>
      </c>
    </row>
    <row r="5546" spans="1:6" ht="12.75">
      <c r="A5546">
        <v>6975846</v>
      </c>
      <c r="B5546">
        <v>5389234</v>
      </c>
      <c r="C5546" t="s">
        <v>99</v>
      </c>
      <c r="D5546" t="s">
        <v>12</v>
      </c>
      <c r="E5546" s="2" t="str">
        <f>HYPERLINK("https://ibp.a2mac1.com/costing(costing:projects/details/8191/process/6975846)","Manufacturing Process")</f>
        <v>Manufacturing Process</v>
      </c>
      <c r="F5546" t="s">
        <v>6042</v>
      </c>
    </row>
    <row r="5547" spans="1:6" ht="12.75">
      <c r="A5547">
        <v>5320301</v>
      </c>
      <c r="B5547">
        <v>6975846</v>
      </c>
      <c r="C5547" t="s">
        <v>24</v>
      </c>
      <c r="D5547" t="s">
        <v>99</v>
      </c>
      <c r="E5547" s="2" t="str">
        <f>HYPERLINK("https://ibp.a2mac1.com/costing(costing:projects/details/8191/material/5320301)","Standard Structural Steel sheet")</f>
        <v>Standard Structural Steel sheet</v>
      </c>
      <c r="F5547" t="s">
        <v>6043</v>
      </c>
    </row>
    <row r="5548" spans="1:6" ht="12.75">
      <c r="A5548">
        <v>6948441</v>
      </c>
      <c r="B5548">
        <v>6975846</v>
      </c>
      <c r="C5548" t="s">
        <v>189</v>
      </c>
      <c r="D5548" t="s">
        <v>99</v>
      </c>
      <c r="E5548" s="2" t="str">
        <f>HYPERLINK("https://ibp.a2mac1.com/costing(costing:projects/details/8191/equipment/6948441)","Equipment (Casting)")</f>
        <v>Equipment (Casting)</v>
      </c>
      <c r="F5548" t="s">
        <v>6043</v>
      </c>
    </row>
    <row r="5549" spans="1:6" ht="12.75">
      <c r="A5549">
        <v>5388921</v>
      </c>
      <c r="B5549">
        <v>5388598</v>
      </c>
      <c r="C5549" t="s">
        <v>8</v>
      </c>
      <c r="D5549" t="s">
        <v>8</v>
      </c>
      <c r="E5549" s="2" t="str">
        <f>HYPERLINK("https://ibp.a2mac1.com/costing(costing:projects/details/8191/assembly/5388921)","On Door")</f>
        <v>On Door</v>
      </c>
      <c r="F5549" t="s">
        <v>6040</v>
      </c>
    </row>
    <row r="5550" spans="1:6" ht="12.75">
      <c r="A5550">
        <v>5389235</v>
      </c>
      <c r="B5550">
        <v>5388921</v>
      </c>
      <c r="C5550" t="s">
        <v>12</v>
      </c>
      <c r="D5550" t="s">
        <v>8</v>
      </c>
      <c r="E5550" s="2" t="str">
        <f>HYPERLINK("https://ibp.a2mac1.com/costing(costing:projects/details/8191/part/5389235)","Part 01 single/main")</f>
        <v>Part 01 single/main</v>
      </c>
      <c r="F5550" t="s">
        <v>6044</v>
      </c>
    </row>
    <row r="5551" spans="1:6" ht="12.75">
      <c r="A5551">
        <v>6975847</v>
      </c>
      <c r="B5551">
        <v>5389235</v>
      </c>
      <c r="C5551" t="s">
        <v>99</v>
      </c>
      <c r="D5551" t="s">
        <v>12</v>
      </c>
      <c r="E5551" s="2" t="str">
        <f>HYPERLINK("https://ibp.a2mac1.com/costing(costing:projects/details/8191/process/6975847)","Manufacturing Process")</f>
        <v>Manufacturing Process</v>
      </c>
      <c r="F5551" t="s">
        <v>6045</v>
      </c>
    </row>
    <row r="5552" spans="1:6" ht="12.75">
      <c r="A5552">
        <v>5320302</v>
      </c>
      <c r="B5552">
        <v>6975847</v>
      </c>
      <c r="C5552" t="s">
        <v>24</v>
      </c>
      <c r="D5552" t="s">
        <v>99</v>
      </c>
      <c r="E5552" s="2" t="str">
        <f>HYPERLINK("https://ibp.a2mac1.com/costing(costing:projects/details/8191/material/5320302)","Standard Structural Steel sheet")</f>
        <v>Standard Structural Steel sheet</v>
      </c>
      <c r="F5552" t="s">
        <v>6046</v>
      </c>
    </row>
    <row r="5553" spans="1:6" ht="12.75">
      <c r="A5553">
        <v>6948442</v>
      </c>
      <c r="B5553">
        <v>6975847</v>
      </c>
      <c r="C5553" t="s">
        <v>189</v>
      </c>
      <c r="D5553" t="s">
        <v>99</v>
      </c>
      <c r="E5553" s="2" t="str">
        <f>HYPERLINK("https://ibp.a2mac1.com/costing(costing:projects/details/8191/equipment/6948442)","Equipment (Casting)")</f>
        <v>Equipment (Casting)</v>
      </c>
      <c r="F5553" t="s">
        <v>6046</v>
      </c>
    </row>
    <row r="5554" spans="1:6" ht="12.75">
      <c r="A5554">
        <v>5388922</v>
      </c>
      <c r="B5554">
        <v>5388598</v>
      </c>
      <c r="C5554" t="s">
        <v>8</v>
      </c>
      <c r="D5554" t="s">
        <v>8</v>
      </c>
      <c r="E5554" s="2" t="str">
        <f>HYPERLINK("https://ibp.a2mac1.com/costing(costing:projects/details/8191/assembly/5388922)","Fastners")</f>
        <v>Fastners</v>
      </c>
      <c r="F5554" t="s">
        <v>6040</v>
      </c>
    </row>
    <row r="5555" spans="1:6" ht="12.75">
      <c r="A5555">
        <v>5319942</v>
      </c>
      <c r="B5555">
        <v>5388922</v>
      </c>
      <c r="C5555" t="s">
        <v>574</v>
      </c>
      <c r="D5555" t="s">
        <v>8</v>
      </c>
      <c r="E5555" s="2" t="str">
        <f>HYPERLINK("https://ibp.a2mac1.com/costing(costing:projects/details/8191/component/5319942)","Screw &gt; 12 point socket head cap screw with flange")</f>
        <v>Screw &gt; 12 point socket head cap screw with flange</v>
      </c>
      <c r="F5555" t="s">
        <v>6047</v>
      </c>
    </row>
    <row r="5556" spans="1:6" ht="12.75">
      <c r="A5556">
        <v>5319943</v>
      </c>
      <c r="B5556">
        <v>5388922</v>
      </c>
      <c r="C5556" t="s">
        <v>574</v>
      </c>
      <c r="D5556" t="s">
        <v>8</v>
      </c>
      <c r="E5556" s="2" t="str">
        <f>HYPERLINK("https://ibp.a2mac1.com/costing(costing:projects/details/8191/component/5319943)","Screw &gt; Torx screw")</f>
        <v>Screw &gt; Torx screw</v>
      </c>
      <c r="F5556" t="s">
        <v>6047</v>
      </c>
    </row>
    <row r="5557" spans="1:6" ht="12.75">
      <c r="A5557">
        <v>5388599</v>
      </c>
      <c r="B5557">
        <v>5388246</v>
      </c>
      <c r="C5557" t="s">
        <v>8</v>
      </c>
      <c r="D5557" t="s">
        <v>8</v>
      </c>
      <c r="E5557" s="2" t="str">
        <f>HYPERLINK("https://ibp.a2mac1.com/costing(costing:projects/details/8191/assembly/5388599)","Fastners")</f>
        <v>Fastners</v>
      </c>
      <c r="F5557" t="s">
        <v>6031</v>
      </c>
    </row>
    <row r="5558" spans="1:6" ht="12.75">
      <c r="A5558">
        <v>5319639</v>
      </c>
      <c r="B5558">
        <v>5388599</v>
      </c>
      <c r="C5558" t="s">
        <v>574</v>
      </c>
      <c r="D5558" t="s">
        <v>8</v>
      </c>
      <c r="E5558" s="2" t="str">
        <f>HYPERLINK("https://ibp.a2mac1.com/costing(costing:projects/details/8191/component/5319639)","Screw &gt; Torx socket head cap screw with captive washer")</f>
        <v>Screw &gt; Torx socket head cap screw with captive washer</v>
      </c>
      <c r="F5558" t="s">
        <v>6048</v>
      </c>
    </row>
    <row r="5559" spans="1:6" ht="12.75">
      <c r="A5559">
        <v>5388596</v>
      </c>
      <c r="B5559">
        <v>5388246</v>
      </c>
      <c r="C5559" t="s">
        <v>12</v>
      </c>
      <c r="D5559" t="s">
        <v>8</v>
      </c>
      <c r="E5559" s="2" t="str">
        <f>HYPERLINK("https://ibp.a2mac1.com/costing(costing:projects/details/8191/part/5388596)","Door Stopper")</f>
        <v>Door Stopper</v>
      </c>
      <c r="F5559" t="s">
        <v>6031</v>
      </c>
    </row>
    <row r="5560" spans="1:6" ht="12.75">
      <c r="A5560">
        <v>5388247</v>
      </c>
      <c r="B5560">
        <v>5388139</v>
      </c>
      <c r="C5560" t="s">
        <v>8</v>
      </c>
      <c r="D5560" t="s">
        <v>8</v>
      </c>
      <c r="E5560" s="2" t="str">
        <f>HYPERLINK("https://ibp.a2mac1.com/costing(costing:projects/details/8191/assembly/5388247)","Power System")</f>
        <v>Power System</v>
      </c>
      <c r="F5560" t="s">
        <v>5925</v>
      </c>
    </row>
    <row r="5561" spans="1:6" ht="12.75">
      <c r="A5561">
        <v>5388605</v>
      </c>
      <c r="B5561">
        <v>5388247</v>
      </c>
      <c r="C5561" t="s">
        <v>8</v>
      </c>
      <c r="D5561" t="s">
        <v>8</v>
      </c>
      <c r="E5561" s="2" t="str">
        <f>HYPERLINK("https://ibp.a2mac1.com/costing(costing:projects/details/8191/assembly/5388605)","Door ECU")</f>
        <v>Door ECU</v>
      </c>
      <c r="F5561" t="s">
        <v>6050</v>
      </c>
    </row>
    <row r="5562" spans="1:6" ht="12.75">
      <c r="A5562">
        <v>6975506</v>
      </c>
      <c r="B5562">
        <v>5388605</v>
      </c>
      <c r="C5562" t="s">
        <v>99</v>
      </c>
      <c r="D5562" t="s">
        <v>8</v>
      </c>
      <c r="E5562" s="2" t="str">
        <f>HYPERLINK("https://ibp.a2mac1.com/costing(costing:projects/details/8191/process/6975506)","Process")</f>
        <v>Process</v>
      </c>
      <c r="F5562" t="s">
        <v>6051</v>
      </c>
    </row>
    <row r="5563" spans="1:6" ht="12.75">
      <c r="A5563">
        <v>6948095</v>
      </c>
      <c r="B5563">
        <v>6975506</v>
      </c>
      <c r="C5563" t="s">
        <v>189</v>
      </c>
      <c r="D5563" t="s">
        <v>99</v>
      </c>
      <c r="E5563" s="2" t="str">
        <f>HYPERLINK("https://ibp.a2mac1.com/costing(costing:projects/details/8191/equipment/6948095)","Dummy Machine (PCBA+Final Assembly Line)")</f>
        <v>Dummy Machine (PCBA+Final Assembly Line)</v>
      </c>
      <c r="F5563" t="s">
        <v>6052</v>
      </c>
    </row>
    <row r="5564" spans="1:6" ht="12.75">
      <c r="A5564">
        <v>5319640</v>
      </c>
      <c r="B5564">
        <v>5388605</v>
      </c>
      <c r="C5564" t="s">
        <v>574</v>
      </c>
      <c r="D5564" t="s">
        <v>8</v>
      </c>
      <c r="E5564" s="2" t="str">
        <f>HYPERLINK("https://ibp.a2mac1.com/costing(costing:projects/details/8191/component/5319640)","Electronics")</f>
        <v>Electronics</v>
      </c>
      <c r="F5564" t="s">
        <v>6051</v>
      </c>
    </row>
    <row r="5565" spans="1:6" ht="12.75">
      <c r="A5565">
        <v>5319641</v>
      </c>
      <c r="B5565">
        <v>5388605</v>
      </c>
      <c r="C5565" t="s">
        <v>574</v>
      </c>
      <c r="D5565" t="s">
        <v>8</v>
      </c>
      <c r="E5565" s="2" t="str">
        <f>HYPERLINK("https://ibp.a2mac1.com/costing(costing:projects/details/8191/component/5319641)","Mechanics")</f>
        <v>Mechanics</v>
      </c>
      <c r="F5565" t="s">
        <v>6051</v>
      </c>
    </row>
    <row r="5566" spans="1:6" ht="12.75">
      <c r="A5566">
        <v>5388606</v>
      </c>
      <c r="B5566">
        <v>5388247</v>
      </c>
      <c r="C5566" t="s">
        <v>8</v>
      </c>
      <c r="D5566" t="s">
        <v>8</v>
      </c>
      <c r="E5566" s="2" t="str">
        <f>HYPERLINK("https://ibp.a2mac1.com/costing(costing:projects/details/8191/assembly/5388606)","Fastners")</f>
        <v>Fastners</v>
      </c>
      <c r="F5566" t="s">
        <v>6050</v>
      </c>
    </row>
    <row r="5567" spans="1:6" ht="12.75">
      <c r="A5567">
        <v>5319642</v>
      </c>
      <c r="B5567">
        <v>5388606</v>
      </c>
      <c r="C5567" t="s">
        <v>574</v>
      </c>
      <c r="D5567" t="s">
        <v>8</v>
      </c>
      <c r="E5567" s="2" t="str">
        <f>HYPERLINK("https://ibp.a2mac1.com/costing(costing:projects/details/8191/component/5319642)","Tube/cluster support &gt; Tube/cluster beribboned support on board side")</f>
        <v>Tube/cluster support &gt; Tube/cluster beribboned support on board side</v>
      </c>
      <c r="F5567" t="s">
        <v>6053</v>
      </c>
    </row>
    <row r="5568" spans="1:6" ht="12.75">
      <c r="A5568">
        <v>5319643</v>
      </c>
      <c r="B5568">
        <v>5388606</v>
      </c>
      <c r="C5568" t="s">
        <v>574</v>
      </c>
      <c r="D5568" t="s">
        <v>8</v>
      </c>
      <c r="E5568" s="2" t="str">
        <f>HYPERLINK("https://ibp.a2mac1.com/costing(costing:projects/details/8191/component/5319643)","Tube/cluster support &gt; Tube/cluster beribboned support in hole")</f>
        <v>Tube/cluster support &gt; Tube/cluster beribboned support in hole</v>
      </c>
      <c r="F5568" t="s">
        <v>6053</v>
      </c>
    </row>
    <row r="5569" spans="1:6" ht="12.75">
      <c r="A5569">
        <v>5388600</v>
      </c>
      <c r="B5569">
        <v>5388247</v>
      </c>
      <c r="C5569" t="s">
        <v>12</v>
      </c>
      <c r="D5569" t="s">
        <v>8</v>
      </c>
      <c r="E5569" s="2" t="str">
        <f>HYPERLINK("https://ibp.a2mac1.com/costing(costing:projects/details/8191/part/5388600)","Harness")</f>
        <v>Harness</v>
      </c>
      <c r="F5569" t="s">
        <v>6050</v>
      </c>
    </row>
    <row r="5570" spans="1:6" ht="12.75">
      <c r="A5570">
        <v>5388601</v>
      </c>
      <c r="B5570">
        <v>5388247</v>
      </c>
      <c r="C5570" t="s">
        <v>12</v>
      </c>
      <c r="D5570" t="s">
        <v>8</v>
      </c>
      <c r="E5570" s="2" t="str">
        <f>HYPERLINK("https://ibp.a2mac1.com/costing(costing:projects/details/8191/part/5388601)","2nd Harness   Audio")</f>
        <v>2nd Harness   Audio</v>
      </c>
      <c r="F5570" t="s">
        <v>6050</v>
      </c>
    </row>
    <row r="5571" spans="1:6" ht="12.75">
      <c r="A5571">
        <v>5388602</v>
      </c>
      <c r="B5571">
        <v>5388247</v>
      </c>
      <c r="C5571" t="s">
        <v>12</v>
      </c>
      <c r="D5571" t="s">
        <v>8</v>
      </c>
      <c r="E5571" s="2" t="str">
        <f>HYPERLINK("https://ibp.a2mac1.com/costing(costing:projects/details/8191/part/5388602)","3rd Harness")</f>
        <v>3rd Harness</v>
      </c>
      <c r="F5571" t="s">
        <v>6050</v>
      </c>
    </row>
    <row r="5572" spans="1:6" ht="12.75">
      <c r="A5572">
        <v>5388603</v>
      </c>
      <c r="B5572">
        <v>5388247</v>
      </c>
      <c r="C5572" t="s">
        <v>12</v>
      </c>
      <c r="D5572" t="s">
        <v>8</v>
      </c>
      <c r="E5572" s="2" t="str">
        <f>HYPERLINK("https://ibp.a2mac1.com/costing(costing:projects/details/8191/part/5388603)","Harness Grommet")</f>
        <v>Harness Grommet</v>
      </c>
      <c r="F5572" t="s">
        <v>6050</v>
      </c>
    </row>
    <row r="5573" spans="1:6" ht="12.75">
      <c r="A5573">
        <v>5388604</v>
      </c>
      <c r="B5573">
        <v>5388247</v>
      </c>
      <c r="C5573" t="s">
        <v>12</v>
      </c>
      <c r="D5573" t="s">
        <v>8</v>
      </c>
      <c r="E5573" s="2" t="str">
        <f>HYPERLINK("https://ibp.a2mac1.com/costing(costing:projects/details/8191/part/5388604)","2nd Harness Grommet")</f>
        <v>2nd Harness Grommet</v>
      </c>
      <c r="F5573" t="s">
        <v>6050</v>
      </c>
    </row>
    <row r="5574" spans="1:6" ht="12.75">
      <c r="A5574">
        <v>5388248</v>
      </c>
      <c r="B5574">
        <v>5388139</v>
      </c>
      <c r="C5574" t="s">
        <v>8</v>
      </c>
      <c r="D5574" t="s">
        <v>8</v>
      </c>
      <c r="E5574" s="2" t="str">
        <f>HYPERLINK("https://ibp.a2mac1.com/costing(costing:projects/details/8191/assembly/5388248)","Molding System")</f>
        <v>Molding System</v>
      </c>
      <c r="F5574" t="s">
        <v>5925</v>
      </c>
    </row>
    <row r="5575" spans="1:6" ht="12.75">
      <c r="A5575">
        <v>5388609</v>
      </c>
      <c r="B5575">
        <v>5388248</v>
      </c>
      <c r="C5575" t="s">
        <v>8</v>
      </c>
      <c r="D5575" t="s">
        <v>8</v>
      </c>
      <c r="E5575" s="2" t="str">
        <f>HYPERLINK("https://ibp.a2mac1.com/costing(costing:projects/details/8191/assembly/5388609)","Fastners")</f>
        <v>Fastners</v>
      </c>
      <c r="F5575" t="s">
        <v>6054</v>
      </c>
    </row>
    <row r="5576" spans="1:6" ht="12.75">
      <c r="A5576">
        <v>5319644</v>
      </c>
      <c r="B5576">
        <v>5388609</v>
      </c>
      <c r="C5576" t="s">
        <v>574</v>
      </c>
      <c r="D5576" t="s">
        <v>8</v>
      </c>
      <c r="E5576" s="2" t="str">
        <f>HYPERLINK("https://ibp.a2mac1.com/costing(costing:projects/details/8191/component/5319644)","Panel holder &gt; Clips in round hole")</f>
        <v>Panel holder &gt; Clips in round hole</v>
      </c>
      <c r="F5576" t="s">
        <v>6055</v>
      </c>
    </row>
    <row r="5577" spans="1:6" ht="12.75">
      <c r="A5577">
        <v>5319645</v>
      </c>
      <c r="B5577">
        <v>5388609</v>
      </c>
      <c r="C5577" t="s">
        <v>574</v>
      </c>
      <c r="D5577" t="s">
        <v>8</v>
      </c>
      <c r="E5577" s="2" t="str">
        <f>HYPERLINK("https://ibp.a2mac1.com/costing(costing:projects/details/8191/component/5319645)","Rivet &gt; Screw rivet")</f>
        <v>Rivet &gt; Screw rivet</v>
      </c>
      <c r="F5577" t="s">
        <v>6055</v>
      </c>
    </row>
    <row r="5578" spans="1:6" ht="12.75">
      <c r="A5578">
        <v>5388607</v>
      </c>
      <c r="B5578">
        <v>5388248</v>
      </c>
      <c r="C5578" t="s">
        <v>12</v>
      </c>
      <c r="D5578" t="s">
        <v>8</v>
      </c>
      <c r="E5578" s="2" t="str">
        <f>HYPERLINK("https://ibp.a2mac1.com/costing(costing:projects/details/8191/part/5388607)","Door Molding")</f>
        <v>Door Molding</v>
      </c>
      <c r="F5578" t="s">
        <v>6054</v>
      </c>
    </row>
    <row r="5579" spans="1:6" ht="12.75">
      <c r="A5579">
        <v>6975507</v>
      </c>
      <c r="B5579">
        <v>5388607</v>
      </c>
      <c r="C5579" t="s">
        <v>99</v>
      </c>
      <c r="D5579" t="s">
        <v>12</v>
      </c>
      <c r="E5579" s="2" t="str">
        <f>HYPERLINK("https://ibp.a2mac1.com/costing(costing:projects/details/8191/process/6975507)","Injection molding")</f>
        <v>Injection molding</v>
      </c>
      <c r="F5579" t="s">
        <v>6056</v>
      </c>
    </row>
    <row r="5580" spans="1:6" ht="12.75">
      <c r="A5580">
        <v>5319944</v>
      </c>
      <c r="B5580">
        <v>6975507</v>
      </c>
      <c r="C5580" t="s">
        <v>24</v>
      </c>
      <c r="D5580" t="s">
        <v>99</v>
      </c>
      <c r="E5580" s="2" t="str">
        <f>HYPERLINK("https://ibp.a2mac1.com/costing(costing:projects/details/8191/material/5319944)","PP-TD20")</f>
        <v>PP-TD20</v>
      </c>
      <c r="F5580" t="s">
        <v>6057</v>
      </c>
    </row>
    <row r="5581" spans="1:6" ht="12.75">
      <c r="A5581">
        <v>6948096</v>
      </c>
      <c r="B5581">
        <v>6975507</v>
      </c>
      <c r="C5581" t="s">
        <v>189</v>
      </c>
      <c r="D5581" t="s">
        <v>99</v>
      </c>
      <c r="E5581" s="2" t="str">
        <f>HYPERLINK("https://ibp.a2mac1.com/costing(costing:projects/details/8191/equipment/6948096)","No.10 - Injection Press - 500T - 98kW - 900x900 - Max Volume 1936cm3 ")</f>
        <v xml:space="preserve">No.10 - Injection Press - 500T - 98kW - 900x900 - Max Volume 1936cm3 </v>
      </c>
      <c r="F5581" t="s">
        <v>6057</v>
      </c>
    </row>
    <row r="5582" spans="1:6" ht="12.75">
      <c r="A5582">
        <v>6975508</v>
      </c>
      <c r="B5582">
        <v>5388607</v>
      </c>
      <c r="C5582" t="s">
        <v>99</v>
      </c>
      <c r="D5582" t="s">
        <v>12</v>
      </c>
      <c r="E5582" s="2" t="str">
        <f>HYPERLINK("https://ibp.a2mac1.com/costing(costing:projects/details/8191/process/6975508)","Handling/Visual Inspection/Packaging")</f>
        <v>Handling/Visual Inspection/Packaging</v>
      </c>
      <c r="F5582" t="s">
        <v>6056</v>
      </c>
    </row>
    <row r="5583" spans="1:6" ht="12.75">
      <c r="A5583">
        <v>6948097</v>
      </c>
      <c r="B5583">
        <v>6975508</v>
      </c>
      <c r="C5583" t="s">
        <v>189</v>
      </c>
      <c r="D5583" t="s">
        <v>99</v>
      </c>
      <c r="E5583" s="2" t="str">
        <f>HYPERLINK("https://ibp.a2mac1.com/costing(costing:projects/details/8191/equipment/6948097)","Packaging")</f>
        <v>Packaging</v>
      </c>
      <c r="F5583" t="s">
        <v>6058</v>
      </c>
    </row>
    <row r="5584" spans="1:6" ht="12.75">
      <c r="A5584">
        <v>5388608</v>
      </c>
      <c r="B5584">
        <v>5388248</v>
      </c>
      <c r="C5584" t="s">
        <v>12</v>
      </c>
      <c r="D5584" t="s">
        <v>8</v>
      </c>
      <c r="E5584" s="2" t="str">
        <f>HYPERLINK("https://ibp.a2mac1.com/costing(costing:projects/details/8191/part/5388608)","Upper Frame Front Exterior Trim")</f>
        <v>Upper Frame Front Exterior Trim</v>
      </c>
      <c r="F5584" t="s">
        <v>6054</v>
      </c>
    </row>
    <row r="5585" spans="1:6" ht="12.75">
      <c r="A5585">
        <v>6975509</v>
      </c>
      <c r="B5585">
        <v>5388608</v>
      </c>
      <c r="C5585" t="s">
        <v>99</v>
      </c>
      <c r="D5585" t="s">
        <v>12</v>
      </c>
      <c r="E5585" s="2" t="str">
        <f>HYPERLINK("https://ibp.a2mac1.com/costing(costing:projects/details/8191/process/6975509)","Injection molding")</f>
        <v>Injection molding</v>
      </c>
      <c r="F5585" t="s">
        <v>6059</v>
      </c>
    </row>
    <row r="5586" spans="1:6" ht="12.75">
      <c r="A5586">
        <v>5319945</v>
      </c>
      <c r="B5586">
        <v>6975509</v>
      </c>
      <c r="C5586" t="s">
        <v>24</v>
      </c>
      <c r="D5586" t="s">
        <v>99</v>
      </c>
      <c r="E5586" s="2" t="str">
        <f>HYPERLINK("https://ibp.a2mac1.com/costing(costing:projects/details/8191/material/5319945)","PMMA")</f>
        <v>PMMA</v>
      </c>
      <c r="F5586" t="s">
        <v>6060</v>
      </c>
    </row>
    <row r="5587" spans="1:6" ht="12.75">
      <c r="A5587">
        <v>6948098</v>
      </c>
      <c r="B5587">
        <v>6975509</v>
      </c>
      <c r="C5587" t="s">
        <v>189</v>
      </c>
      <c r="D5587" t="s">
        <v>99</v>
      </c>
      <c r="E5587" s="2" t="str">
        <f>HYPERLINK("https://ibp.a2mac1.com/costing(costing:projects/details/8191/equipment/6948098)","No.07 - Injection Press - 250T - 63kW - 570x570 - Max Volume 958cm3 ")</f>
        <v xml:space="preserve">No.07 - Injection Press - 250T - 63kW - 570x570 - Max Volume 958cm3 </v>
      </c>
      <c r="F5587" t="s">
        <v>6060</v>
      </c>
    </row>
    <row r="5588" spans="1:6" ht="12.75">
      <c r="A5588">
        <v>6975510</v>
      </c>
      <c r="B5588">
        <v>5388608</v>
      </c>
      <c r="C5588" t="s">
        <v>99</v>
      </c>
      <c r="D5588" t="s">
        <v>12</v>
      </c>
      <c r="E5588" s="2" t="str">
        <f>HYPERLINK("https://ibp.a2mac1.com/costing(costing:projects/details/8191/process/6975510)","Handling/Visual Inspection/Packaging")</f>
        <v>Handling/Visual Inspection/Packaging</v>
      </c>
      <c r="F5588" t="s">
        <v>6059</v>
      </c>
    </row>
    <row r="5589" spans="1:6" ht="12.75">
      <c r="A5589">
        <v>6948099</v>
      </c>
      <c r="B5589">
        <v>6975510</v>
      </c>
      <c r="C5589" t="s">
        <v>189</v>
      </c>
      <c r="D5589" t="s">
        <v>99</v>
      </c>
      <c r="E5589" s="2" t="str">
        <f>HYPERLINK("https://ibp.a2mac1.com/costing(costing:projects/details/8191/equipment/6948099)","Packaging")</f>
        <v>Packaging</v>
      </c>
      <c r="F5589" t="s">
        <v>6061</v>
      </c>
    </row>
    <row r="5590" spans="1:6" ht="12.75">
      <c r="A5590">
        <v>5388249</v>
      </c>
      <c r="B5590">
        <v>5388139</v>
      </c>
      <c r="C5590" t="s">
        <v>8</v>
      </c>
      <c r="D5590" t="s">
        <v>8</v>
      </c>
      <c r="E5590" s="2" t="str">
        <f>HYPERLINK("https://ibp.a2mac1.com/costing(costing:projects/details/8191/assembly/5388249)","Power Controls")</f>
        <v>Power Controls</v>
      </c>
      <c r="F5590" t="s">
        <v>5925</v>
      </c>
    </row>
    <row r="5591" spans="1:6" ht="12.75">
      <c r="A5591">
        <v>5388610</v>
      </c>
      <c r="B5591">
        <v>5388249</v>
      </c>
      <c r="C5591" t="s">
        <v>12</v>
      </c>
      <c r="D5591" t="s">
        <v>8</v>
      </c>
      <c r="E5591" s="2" t="str">
        <f>HYPERLINK("https://ibp.a2mac1.com/costing(costing:projects/details/8191/part/5388610)","Electric window lift control")</f>
        <v>Electric window lift control</v>
      </c>
      <c r="F5591" t="s">
        <v>6062</v>
      </c>
    </row>
    <row r="5592" spans="1:6" ht="12.75">
      <c r="A5592">
        <v>5388250</v>
      </c>
      <c r="B5592">
        <v>5388139</v>
      </c>
      <c r="C5592" t="s">
        <v>8</v>
      </c>
      <c r="D5592" t="s">
        <v>8</v>
      </c>
      <c r="E5592" s="2" t="str">
        <f>HYPERLINK("https://ibp.a2mac1.com/costing(costing:projects/details/8191/assembly/5388250)","Speaker System")</f>
        <v>Speaker System</v>
      </c>
      <c r="F5592" t="s">
        <v>5925</v>
      </c>
    </row>
    <row r="5593" spans="1:6" ht="12.75">
      <c r="A5593">
        <v>5388611</v>
      </c>
      <c r="B5593">
        <v>5388250</v>
      </c>
      <c r="C5593" t="s">
        <v>12</v>
      </c>
      <c r="D5593" t="s">
        <v>8</v>
      </c>
      <c r="E5593" s="2" t="str">
        <f>HYPERLINK("https://ibp.a2mac1.com/costing(costing:projects/details/8191/part/5388611)","Speaker")</f>
        <v>Speaker</v>
      </c>
      <c r="F5593" t="s">
        <v>6063</v>
      </c>
    </row>
    <row r="5594" spans="1:6" ht="12.75">
      <c r="A5594">
        <v>5388251</v>
      </c>
      <c r="B5594">
        <v>5388139</v>
      </c>
      <c r="C5594" t="s">
        <v>8</v>
      </c>
      <c r="D5594" t="s">
        <v>8</v>
      </c>
      <c r="E5594" s="2" t="str">
        <f>HYPERLINK("https://ibp.a2mac1.com/costing(costing:projects/details/8191/assembly/5388251)","Fastners")</f>
        <v>Fastners</v>
      </c>
      <c r="F5594" t="s">
        <v>5925</v>
      </c>
    </row>
    <row r="5595" spans="1:6" ht="12.75">
      <c r="A5595">
        <v>5319485</v>
      </c>
      <c r="B5595">
        <v>5388251</v>
      </c>
      <c r="C5595" t="s">
        <v>574</v>
      </c>
      <c r="D5595" t="s">
        <v>8</v>
      </c>
      <c r="E5595" s="2" t="str">
        <f>HYPERLINK("https://ibp.a2mac1.com/costing(costing:projects/details/8191/component/5319485)","Screw &gt; Torx socket head cap screw with flange")</f>
        <v>Screw &gt; Torx socket head cap screw with flange</v>
      </c>
      <c r="F5595" t="s">
        <v>6064</v>
      </c>
    </row>
    <row r="5596" spans="1:6" ht="12.75">
      <c r="A5596">
        <v>5319486</v>
      </c>
      <c r="B5596">
        <v>5388251</v>
      </c>
      <c r="C5596" t="s">
        <v>574</v>
      </c>
      <c r="D5596" t="s">
        <v>8</v>
      </c>
      <c r="E5596" s="2" t="str">
        <f>HYPERLINK("https://ibp.a2mac1.com/costing(costing:projects/details/8191/component/5319486)","Hole plug &gt; Round hole")</f>
        <v>Hole plug &gt; Round hole</v>
      </c>
      <c r="F5596" t="s">
        <v>6064</v>
      </c>
    </row>
    <row r="5597" spans="1:6" ht="12.75">
      <c r="A5597">
        <v>5388241</v>
      </c>
      <c r="B5597">
        <v>5388139</v>
      </c>
      <c r="C5597" t="s">
        <v>12</v>
      </c>
      <c r="D5597" t="s">
        <v>8</v>
      </c>
      <c r="E5597" s="2" t="str">
        <f>HYPERLINK("https://ibp.a2mac1.com/costing(costing:projects/details/8191/part/5388241)","Hole Plugs")</f>
        <v>Hole Plugs</v>
      </c>
      <c r="F5597" t="s">
        <v>5925</v>
      </c>
    </row>
    <row r="5598" spans="1:6" ht="12.75">
      <c r="A5598">
        <v>5388128</v>
      </c>
      <c r="B5598">
        <v>5388126</v>
      </c>
      <c r="C5598" t="s">
        <v>8</v>
      </c>
      <c r="D5598" t="s">
        <v>8</v>
      </c>
      <c r="E5598" s="2" t="str">
        <f>HYPERLINK("https://ibp.a2mac1.com/costing(costing:projects/details/8191/assembly/5388128)","Frame")</f>
        <v>Frame</v>
      </c>
      <c r="F5598" t="s">
        <v>4589</v>
      </c>
    </row>
    <row r="5599" spans="1:6" ht="12.75">
      <c r="A5599">
        <v>5388142</v>
      </c>
      <c r="B5599">
        <v>5388128</v>
      </c>
      <c r="C5599" t="s">
        <v>8</v>
      </c>
      <c r="D5599" t="s">
        <v>8</v>
      </c>
      <c r="E5599" s="2" t="str">
        <f>HYPERLINK("https://ibp.a2mac1.com/costing(costing:projects/details/8191/assembly/5388142)","Frontend Cooling")</f>
        <v>Frontend Cooling</v>
      </c>
      <c r="F5599" t="s">
        <v>6067</v>
      </c>
    </row>
    <row r="5600" spans="1:6" ht="12.75">
      <c r="A5600">
        <v>5388252</v>
      </c>
      <c r="B5600">
        <v>5388142</v>
      </c>
      <c r="C5600" t="s">
        <v>8</v>
      </c>
      <c r="D5600" t="s">
        <v>8</v>
      </c>
      <c r="E5600" s="2" t="str">
        <f>HYPERLINK("https://ibp.a2mac1.com/costing(costing:projects/details/8191/assembly/5388252)","Upper Cross Member")</f>
        <v>Upper Cross Member</v>
      </c>
      <c r="F5600" t="s">
        <v>6068</v>
      </c>
    </row>
    <row r="5601" spans="1:6" ht="12.75">
      <c r="A5601">
        <v>5388612</v>
      </c>
      <c r="B5601">
        <v>5388252</v>
      </c>
      <c r="C5601" t="s">
        <v>12</v>
      </c>
      <c r="D5601" t="s">
        <v>8</v>
      </c>
      <c r="E5601" s="2" t="str">
        <f>HYPERLINK("https://ibp.a2mac1.com/costing(costing:projects/details/8191/part/5388612)","Upper Cross Member")</f>
        <v>Upper Cross Member</v>
      </c>
      <c r="F5601" t="s">
        <v>6069</v>
      </c>
    </row>
    <row r="5602" spans="1:6" ht="12.75">
      <c r="A5602">
        <v>6975511</v>
      </c>
      <c r="B5602">
        <v>5388612</v>
      </c>
      <c r="C5602" t="s">
        <v>99</v>
      </c>
      <c r="D5602" t="s">
        <v>12</v>
      </c>
      <c r="E5602" s="2" t="str">
        <f>HYPERLINK("https://ibp.a2mac1.com/costing(costing:projects/details/8191/process/6975511)","Injection molding")</f>
        <v>Injection molding</v>
      </c>
      <c r="F5602" t="s">
        <v>6070</v>
      </c>
    </row>
    <row r="5603" spans="1:6" ht="12.75">
      <c r="A5603">
        <v>5319946</v>
      </c>
      <c r="B5603">
        <v>6975511</v>
      </c>
      <c r="C5603" t="s">
        <v>24</v>
      </c>
      <c r="D5603" t="s">
        <v>99</v>
      </c>
      <c r="E5603" s="2" t="str">
        <f>HYPERLINK("https://ibp.a2mac1.com/costing(costing:projects/details/8191/material/5319946)","PP-GF30")</f>
        <v>PP-GF30</v>
      </c>
      <c r="F5603" t="s">
        <v>6073</v>
      </c>
    </row>
    <row r="5604" spans="1:6" ht="12.75">
      <c r="A5604">
        <v>6948100</v>
      </c>
      <c r="B5604">
        <v>6975511</v>
      </c>
      <c r="C5604" t="s">
        <v>189</v>
      </c>
      <c r="D5604" t="s">
        <v>99</v>
      </c>
      <c r="E5604" s="2" t="str">
        <f>HYPERLINK("https://ibp.a2mac1.com/costing(costing:projects/details/8191/equipment/6948100)","No.12 - Injection Press - 800T - 160kW - 1120x1120 - Max Volume 5374cm3 ")</f>
        <v xml:space="preserve">No.12 - Injection Press - 800T - 160kW - 1120x1120 - Max Volume 5374cm3 </v>
      </c>
      <c r="F5604" t="s">
        <v>6073</v>
      </c>
    </row>
    <row r="5605" spans="1:6" ht="12.75">
      <c r="A5605">
        <v>5319646</v>
      </c>
      <c r="B5605">
        <v>5388612</v>
      </c>
      <c r="C5605" t="s">
        <v>574</v>
      </c>
      <c r="D5605" t="s">
        <v>12</v>
      </c>
      <c r="E5605" s="2" t="str">
        <f>HYPERLINK("https://ibp.a2mac1.com/costing(costing:projects/details/8191/component/5319646)","Steel Inserts")</f>
        <v>Steel Inserts</v>
      </c>
      <c r="F5605" t="s">
        <v>6070</v>
      </c>
    </row>
    <row r="5606" spans="1:6" ht="12.75">
      <c r="A5606">
        <v>5388253</v>
      </c>
      <c r="B5606">
        <v>5388142</v>
      </c>
      <c r="C5606" t="s">
        <v>12</v>
      </c>
      <c r="D5606" t="s">
        <v>8</v>
      </c>
      <c r="E5606" s="2" t="str">
        <f>HYPERLINK("https://ibp.a2mac1.com/costing(costing:projects/details/8191/part/5388253)","Reinforcement")</f>
        <v>Reinforcement</v>
      </c>
      <c r="F5606" t="s">
        <v>6068</v>
      </c>
    </row>
    <row r="5607" spans="1:6" ht="12.75">
      <c r="A5607">
        <v>6975305</v>
      </c>
      <c r="B5607">
        <v>5388253</v>
      </c>
      <c r="C5607" t="s">
        <v>99</v>
      </c>
      <c r="D5607" t="s">
        <v>12</v>
      </c>
      <c r="E5607" s="2" t="str">
        <f>HYPERLINK("https://ibp.a2mac1.com/costing(costing:projects/details/8191/process/6975305)","Stamping")</f>
        <v>Stamping</v>
      </c>
      <c r="F5607" t="s">
        <v>6076</v>
      </c>
    </row>
    <row r="5608" spans="1:6" ht="12.75">
      <c r="A5608">
        <v>5319647</v>
      </c>
      <c r="B5608">
        <v>6975305</v>
      </c>
      <c r="C5608" t="s">
        <v>24</v>
      </c>
      <c r="D5608" t="s">
        <v>99</v>
      </c>
      <c r="E5608" s="2" t="str">
        <f>HYPERLINK("https://ibp.a2mac1.com/costing(costing:projects/details/8191/material/5319647)","Steel sheet (default)")</f>
        <v>Steel sheet (default)</v>
      </c>
      <c r="F5608" t="s">
        <v>6079</v>
      </c>
    </row>
    <row r="5609" spans="1:6" ht="12.75">
      <c r="A5609">
        <v>6947862</v>
      </c>
      <c r="B5609">
        <v>6975305</v>
      </c>
      <c r="C5609" t="s">
        <v>189</v>
      </c>
      <c r="D5609" t="s">
        <v>99</v>
      </c>
      <c r="E5609" s="2" t="str">
        <f>HYPERLINK("https://ibp.a2mac1.com/costing(costing:projects/details/8191/equipment/6947862)","DC machine - General")</f>
        <v>DC machine - General</v>
      </c>
      <c r="F5609" t="s">
        <v>6079</v>
      </c>
    </row>
    <row r="5610" spans="1:6" ht="12.75">
      <c r="A5610">
        <v>5388254</v>
      </c>
      <c r="B5610">
        <v>5388142</v>
      </c>
      <c r="C5610" t="s">
        <v>12</v>
      </c>
      <c r="D5610" t="s">
        <v>8</v>
      </c>
      <c r="E5610" s="2" t="str">
        <f>HYPERLINK("https://ibp.a2mac1.com/costing(costing:projects/details/8191/part/5388254)","2nd Reinforcement")</f>
        <v>2nd Reinforcement</v>
      </c>
      <c r="F5610" t="s">
        <v>6068</v>
      </c>
    </row>
    <row r="5611" spans="1:6" ht="12.75">
      <c r="A5611">
        <v>6975306</v>
      </c>
      <c r="B5611">
        <v>5388254</v>
      </c>
      <c r="C5611" t="s">
        <v>99</v>
      </c>
      <c r="D5611" t="s">
        <v>12</v>
      </c>
      <c r="E5611" s="2" t="str">
        <f>HYPERLINK("https://ibp.a2mac1.com/costing(costing:projects/details/8191/process/6975306)","Stamping")</f>
        <v>Stamping</v>
      </c>
      <c r="F5611" t="s">
        <v>6081</v>
      </c>
    </row>
    <row r="5612" spans="1:6" ht="12.75">
      <c r="A5612">
        <v>5319648</v>
      </c>
      <c r="B5612">
        <v>6975306</v>
      </c>
      <c r="C5612" t="s">
        <v>24</v>
      </c>
      <c r="D5612" t="s">
        <v>99</v>
      </c>
      <c r="E5612" s="2" t="str">
        <f>HYPERLINK("https://ibp.a2mac1.com/costing(costing:projects/details/8191/material/5319648)","Steel sheet (default)")</f>
        <v>Steel sheet (default)</v>
      </c>
      <c r="F5612" t="s">
        <v>6084</v>
      </c>
    </row>
    <row r="5613" spans="1:6" ht="12.75">
      <c r="A5613">
        <v>6947863</v>
      </c>
      <c r="B5613">
        <v>6975306</v>
      </c>
      <c r="C5613" t="s">
        <v>189</v>
      </c>
      <c r="D5613" t="s">
        <v>99</v>
      </c>
      <c r="E5613" s="2" t="str">
        <f>HYPERLINK("https://ibp.a2mac1.com/costing(costing:projects/details/8191/equipment/6947863)","DC machine - General")</f>
        <v>DC machine - General</v>
      </c>
      <c r="F5613" t="s">
        <v>6084</v>
      </c>
    </row>
    <row r="5614" spans="1:6" ht="12.75">
      <c r="A5614">
        <v>5388255</v>
      </c>
      <c r="B5614">
        <v>5388142</v>
      </c>
      <c r="C5614" t="s">
        <v>12</v>
      </c>
      <c r="D5614" t="s">
        <v>8</v>
      </c>
      <c r="E5614" s="2" t="str">
        <f>HYPERLINK("https://ibp.a2mac1.com/costing(costing:projects/details/8191/part/5388255)","3rd Reinforcement")</f>
        <v>3rd Reinforcement</v>
      </c>
      <c r="F5614" t="s">
        <v>6068</v>
      </c>
    </row>
    <row r="5615" spans="1:6" ht="12.75">
      <c r="A5615">
        <v>6975307</v>
      </c>
      <c r="B5615">
        <v>5388255</v>
      </c>
      <c r="C5615" t="s">
        <v>99</v>
      </c>
      <c r="D5615" t="s">
        <v>12</v>
      </c>
      <c r="E5615" s="2" t="str">
        <f>HYPERLINK("https://ibp.a2mac1.com/costing(costing:projects/details/8191/process/6975307)","Stamping")</f>
        <v>Stamping</v>
      </c>
      <c r="F5615" t="s">
        <v>6086</v>
      </c>
    </row>
    <row r="5616" spans="1:6" ht="12.75">
      <c r="A5616">
        <v>5319649</v>
      </c>
      <c r="B5616">
        <v>6975307</v>
      </c>
      <c r="C5616" t="s">
        <v>24</v>
      </c>
      <c r="D5616" t="s">
        <v>99</v>
      </c>
      <c r="E5616" s="2" t="str">
        <f>HYPERLINK("https://ibp.a2mac1.com/costing(costing:projects/details/8191/material/5319649)","Steel sheet (default)")</f>
        <v>Steel sheet (default)</v>
      </c>
      <c r="F5616" t="s">
        <v>6089</v>
      </c>
    </row>
    <row r="5617" spans="1:6" ht="12.75">
      <c r="A5617">
        <v>6947864</v>
      </c>
      <c r="B5617">
        <v>6975307</v>
      </c>
      <c r="C5617" t="s">
        <v>189</v>
      </c>
      <c r="D5617" t="s">
        <v>99</v>
      </c>
      <c r="E5617" s="2" t="str">
        <f>HYPERLINK("https://ibp.a2mac1.com/costing(costing:projects/details/8191/equipment/6947864)","DC machine - General")</f>
        <v>DC machine - General</v>
      </c>
      <c r="F5617" t="s">
        <v>6089</v>
      </c>
    </row>
    <row r="5618" spans="1:6" ht="12.75">
      <c r="A5618">
        <v>5388256</v>
      </c>
      <c r="B5618">
        <v>5388142</v>
      </c>
      <c r="C5618" t="s">
        <v>12</v>
      </c>
      <c r="D5618" t="s">
        <v>8</v>
      </c>
      <c r="E5618" s="2" t="str">
        <f>HYPERLINK("https://ibp.a2mac1.com/costing(costing:projects/details/8191/part/5388256)","Lower Supports")</f>
        <v>Lower Supports</v>
      </c>
      <c r="F5618" t="s">
        <v>6068</v>
      </c>
    </row>
    <row r="5619" spans="1:6" ht="12.75">
      <c r="A5619">
        <v>6975308</v>
      </c>
      <c r="B5619">
        <v>5388256</v>
      </c>
      <c r="C5619" t="s">
        <v>99</v>
      </c>
      <c r="D5619" t="s">
        <v>12</v>
      </c>
      <c r="E5619" s="2" t="str">
        <f>HYPERLINK("https://ibp.a2mac1.com/costing(costing:projects/details/8191/process/6975308)","Injection molding")</f>
        <v>Injection molding</v>
      </c>
      <c r="F5619" t="s">
        <v>6091</v>
      </c>
    </row>
    <row r="5620" spans="1:6" ht="12.75">
      <c r="A5620">
        <v>5319650</v>
      </c>
      <c r="B5620">
        <v>6975308</v>
      </c>
      <c r="C5620" t="s">
        <v>24</v>
      </c>
      <c r="D5620" t="s">
        <v>99</v>
      </c>
      <c r="E5620" s="2" t="str">
        <f>HYPERLINK("https://ibp.a2mac1.com/costing(costing:projects/details/8191/material/5319650)","PA6")</f>
        <v>PA6</v>
      </c>
      <c r="F5620" t="s">
        <v>6094</v>
      </c>
    </row>
    <row r="5621" spans="1:6" ht="12.75">
      <c r="A5621">
        <v>6947865</v>
      </c>
      <c r="B5621">
        <v>6975308</v>
      </c>
      <c r="C5621" t="s">
        <v>189</v>
      </c>
      <c r="D5621" t="s">
        <v>99</v>
      </c>
      <c r="E5621" s="2" t="str">
        <f>HYPERLINK("https://ibp.a2mac1.com/costing(costing:projects/details/8191/equipment/6947865)","No.03 - Injection Press - 80T - 30kW - 370x370 - Max Volume 260cm3 ")</f>
        <v xml:space="preserve">No.03 - Injection Press - 80T - 30kW - 370x370 - Max Volume 260cm3 </v>
      </c>
      <c r="F5621" t="s">
        <v>6094</v>
      </c>
    </row>
    <row r="5622" spans="1:6" ht="12.75">
      <c r="A5622">
        <v>5319489</v>
      </c>
      <c r="B5622">
        <v>5388256</v>
      </c>
      <c r="C5622" t="s">
        <v>574</v>
      </c>
      <c r="D5622" t="s">
        <v>12</v>
      </c>
      <c r="E5622" s="2" t="str">
        <f>HYPERLINK("https://ibp.a2mac1.com/costing(costing:projects/details/8191/component/5319489)","Steel Inserts")</f>
        <v>Steel Inserts</v>
      </c>
      <c r="F5622" t="s">
        <v>6091</v>
      </c>
    </row>
    <row r="5623" spans="1:6" ht="12.75">
      <c r="A5623">
        <v>5319421</v>
      </c>
      <c r="B5623">
        <v>5388142</v>
      </c>
      <c r="C5623" t="s">
        <v>574</v>
      </c>
      <c r="D5623" t="s">
        <v>8</v>
      </c>
      <c r="E5623" s="2" t="str">
        <f>HYPERLINK("https://ibp.a2mac1.com/costing(costing:projects/details/8191/component/5319421)","Screw &gt; Hexagon socket head cap screw with captive washer")</f>
        <v>Screw &gt; Hexagon socket head cap screw with captive washer</v>
      </c>
      <c r="F5623" t="s">
        <v>6068</v>
      </c>
    </row>
    <row r="5624" spans="1:6" ht="12.75">
      <c r="A5624">
        <v>5319422</v>
      </c>
      <c r="B5624">
        <v>5388142</v>
      </c>
      <c r="C5624" t="s">
        <v>574</v>
      </c>
      <c r="D5624" t="s">
        <v>8</v>
      </c>
      <c r="E5624" s="2" t="str">
        <f>HYPERLINK("https://ibp.a2mac1.com/costing(costing:projects/details/8191/component/5319422)","Screw &gt; Hexagon screw with flange and captive washer")</f>
        <v>Screw &gt; Hexagon screw with flange and captive washer</v>
      </c>
      <c r="F5624" t="s">
        <v>6068</v>
      </c>
    </row>
    <row r="5625" spans="1:6" ht="12.75">
      <c r="A5625">
        <v>5319423</v>
      </c>
      <c r="B5625">
        <v>5388142</v>
      </c>
      <c r="C5625" t="s">
        <v>574</v>
      </c>
      <c r="D5625" t="s">
        <v>8</v>
      </c>
      <c r="E5625" s="2" t="str">
        <f>HYPERLINK("https://ibp.a2mac1.com/costing(costing:projects/details/8191/component/5319423)","Screw &gt; Hexagon screw with flange")</f>
        <v>Screw &gt; Hexagon screw with flange</v>
      </c>
      <c r="F5625" t="s">
        <v>6068</v>
      </c>
    </row>
    <row r="5626" spans="1:6" ht="12.75">
      <c r="A5626">
        <v>5319424</v>
      </c>
      <c r="B5626">
        <v>5388142</v>
      </c>
      <c r="C5626" t="s">
        <v>574</v>
      </c>
      <c r="D5626" t="s">
        <v>8</v>
      </c>
      <c r="E5626" s="2" t="str">
        <f>HYPERLINK("https://ibp.a2mac1.com/costing(costing:projects/details/8191/component/5319424)","Screw &gt; 12 point socket head cap screw with flange")</f>
        <v>Screw &gt; 12 point socket head cap screw with flange</v>
      </c>
      <c r="F5626" t="s">
        <v>6068</v>
      </c>
    </row>
    <row r="5627" spans="1:6" ht="12.75">
      <c r="A5627">
        <v>5319425</v>
      </c>
      <c r="B5627">
        <v>5388142</v>
      </c>
      <c r="C5627" t="s">
        <v>574</v>
      </c>
      <c r="D5627" t="s">
        <v>8</v>
      </c>
      <c r="E5627" s="2" t="str">
        <f>HYPERLINK("https://ibp.a2mac1.com/costing(costing:projects/details/8191/component/5319425)","Other fastener &gt; Attachment")</f>
        <v>Other fastener &gt; Attachment</v>
      </c>
      <c r="F5627" t="s">
        <v>6068</v>
      </c>
    </row>
    <row r="5628" spans="1:6" ht="12.75">
      <c r="A5628">
        <v>5388143</v>
      </c>
      <c r="B5628">
        <v>5388128</v>
      </c>
      <c r="C5628" t="s">
        <v>8</v>
      </c>
      <c r="D5628" t="s">
        <v>8</v>
      </c>
      <c r="E5628" s="2" t="str">
        <f>HYPERLINK("https://ibp.a2mac1.com/costing(costing:projects/details/8191/assembly/5388143)","Aerodynamic Shield")</f>
        <v>Aerodynamic Shield</v>
      </c>
      <c r="F5628" t="s">
        <v>6067</v>
      </c>
    </row>
    <row r="5629" spans="1:6" ht="12.75">
      <c r="A5629">
        <v>5388260</v>
      </c>
      <c r="B5629">
        <v>5388143</v>
      </c>
      <c r="C5629" t="s">
        <v>8</v>
      </c>
      <c r="D5629" t="s">
        <v>8</v>
      </c>
      <c r="E5629" s="2" t="str">
        <f>HYPERLINK("https://ibp.a2mac1.com/costing(costing:projects/details/8191/assembly/5388260)","Shield Under Front Bumper System")</f>
        <v>Shield Under Front Bumper System</v>
      </c>
      <c r="F5629" t="s">
        <v>6099</v>
      </c>
    </row>
    <row r="5630" spans="1:6" ht="12.75">
      <c r="A5630">
        <v>5388613</v>
      </c>
      <c r="B5630">
        <v>5388260</v>
      </c>
      <c r="C5630" t="s">
        <v>12</v>
      </c>
      <c r="D5630" t="s">
        <v>8</v>
      </c>
      <c r="E5630" s="2" t="str">
        <f>HYPERLINK("https://ibp.a2mac1.com/costing(costing:projects/details/8191/part/5388613)","Main Shield")</f>
        <v>Main Shield</v>
      </c>
      <c r="F5630" t="s">
        <v>6100</v>
      </c>
    </row>
    <row r="5631" spans="1:6" ht="12.75">
      <c r="A5631">
        <v>6975512</v>
      </c>
      <c r="B5631">
        <v>5388613</v>
      </c>
      <c r="C5631" t="s">
        <v>99</v>
      </c>
      <c r="D5631" t="s">
        <v>12</v>
      </c>
      <c r="E5631" s="2" t="str">
        <f>HYPERLINK("https://ibp.a2mac1.com/costing(costing:projects/details/8191/process/6975512)","Automated Process")</f>
        <v>Automated Process</v>
      </c>
      <c r="F5631" t="s">
        <v>6101</v>
      </c>
    </row>
    <row r="5632" spans="1:6" ht="12.75">
      <c r="A5632">
        <v>5319947</v>
      </c>
      <c r="B5632">
        <v>6975512</v>
      </c>
      <c r="C5632" t="s">
        <v>24</v>
      </c>
      <c r="D5632" t="s">
        <v>99</v>
      </c>
      <c r="E5632" s="2" t="str">
        <f>HYPERLINK("https://ibp.a2mac1.com/costing(costing:projects/details/8191/material/5319947)","PP-E/P")</f>
        <v>PP-E/P</v>
      </c>
      <c r="F5632" t="s">
        <v>6104</v>
      </c>
    </row>
    <row r="5633" spans="1:6" ht="12.75">
      <c r="A5633">
        <v>6948101</v>
      </c>
      <c r="B5633">
        <v>6975512</v>
      </c>
      <c r="C5633" t="s">
        <v>189</v>
      </c>
      <c r="D5633" t="s">
        <v>99</v>
      </c>
      <c r="E5633" s="2" t="str">
        <f>HYPERLINK("https://ibp.a2mac1.com/costing(costing:projects/details/8191/equipment/6948101)","Equipment (Injection Molding)")</f>
        <v>Equipment (Injection Molding)</v>
      </c>
      <c r="F5633" t="s">
        <v>6104</v>
      </c>
    </row>
    <row r="5634" spans="1:6" ht="12.75">
      <c r="A5634">
        <v>5388614</v>
      </c>
      <c r="B5634">
        <v>5388260</v>
      </c>
      <c r="C5634" t="s">
        <v>12</v>
      </c>
      <c r="D5634" t="s">
        <v>8</v>
      </c>
      <c r="E5634" s="2" t="str">
        <f>HYPERLINK("https://ibp.a2mac1.com/costing(costing:projects/details/8191/part/5388614)","Left Shield")</f>
        <v>Left Shield</v>
      </c>
      <c r="F5634" t="s">
        <v>6100</v>
      </c>
    </row>
    <row r="5635" spans="1:6" ht="12.75">
      <c r="A5635">
        <v>6975513</v>
      </c>
      <c r="B5635">
        <v>5388614</v>
      </c>
      <c r="C5635" t="s">
        <v>99</v>
      </c>
      <c r="D5635" t="s">
        <v>12</v>
      </c>
      <c r="E5635" s="2" t="str">
        <f>HYPERLINK("https://ibp.a2mac1.com/costing(costing:projects/details/8191/process/6975513)","Automated Process")</f>
        <v>Automated Process</v>
      </c>
      <c r="F5635" t="s">
        <v>6107</v>
      </c>
    </row>
    <row r="5636" spans="1:6" ht="12.75">
      <c r="A5636">
        <v>5319948</v>
      </c>
      <c r="B5636">
        <v>6975513</v>
      </c>
      <c r="C5636" t="s">
        <v>24</v>
      </c>
      <c r="D5636" t="s">
        <v>99</v>
      </c>
      <c r="E5636" s="2" t="str">
        <f>HYPERLINK("https://ibp.a2mac1.com/costing(costing:projects/details/8191/material/5319948)","PP-EPDM")</f>
        <v>PP-EPDM</v>
      </c>
      <c r="F5636" t="s">
        <v>6110</v>
      </c>
    </row>
    <row r="5637" spans="1:6" ht="12.75">
      <c r="A5637">
        <v>6948102</v>
      </c>
      <c r="B5637">
        <v>6975513</v>
      </c>
      <c r="C5637" t="s">
        <v>189</v>
      </c>
      <c r="D5637" t="s">
        <v>99</v>
      </c>
      <c r="E5637" s="2" t="str">
        <f>HYPERLINK("https://ibp.a2mac1.com/costing(costing:projects/details/8191/equipment/6948102)","Equipment (Injection Molding)")</f>
        <v>Equipment (Injection Molding)</v>
      </c>
      <c r="F5637" t="s">
        <v>6110</v>
      </c>
    </row>
    <row r="5638" spans="1:6" ht="12.75">
      <c r="A5638">
        <v>5388615</v>
      </c>
      <c r="B5638">
        <v>5388260</v>
      </c>
      <c r="C5638" t="s">
        <v>12</v>
      </c>
      <c r="D5638" t="s">
        <v>8</v>
      </c>
      <c r="E5638" s="2" t="str">
        <f>HYPERLINK("https://ibp.a2mac1.com/costing(costing:projects/details/8191/part/5388615)","Right Shield")</f>
        <v>Right Shield</v>
      </c>
      <c r="F5638" t="s">
        <v>6100</v>
      </c>
    </row>
    <row r="5639" spans="1:6" ht="12.75">
      <c r="A5639">
        <v>6975514</v>
      </c>
      <c r="B5639">
        <v>5388615</v>
      </c>
      <c r="C5639" t="s">
        <v>99</v>
      </c>
      <c r="D5639" t="s">
        <v>12</v>
      </c>
      <c r="E5639" s="2" t="str">
        <f>HYPERLINK("https://ibp.a2mac1.com/costing(costing:projects/details/8191/process/6975514)","Automated Process")</f>
        <v>Automated Process</v>
      </c>
      <c r="F5639" t="s">
        <v>6113</v>
      </c>
    </row>
    <row r="5640" spans="1:6" ht="12.75">
      <c r="A5640">
        <v>5319949</v>
      </c>
      <c r="B5640">
        <v>6975514</v>
      </c>
      <c r="C5640" t="s">
        <v>24</v>
      </c>
      <c r="D5640" t="s">
        <v>99</v>
      </c>
      <c r="E5640" s="2" t="str">
        <f>HYPERLINK("https://ibp.a2mac1.com/costing(costing:projects/details/8191/material/5319949)","PP-EPDM")</f>
        <v>PP-EPDM</v>
      </c>
      <c r="F5640" t="s">
        <v>6116</v>
      </c>
    </row>
    <row r="5641" spans="1:6" ht="12.75">
      <c r="A5641">
        <v>6948103</v>
      </c>
      <c r="B5641">
        <v>6975514</v>
      </c>
      <c r="C5641" t="s">
        <v>189</v>
      </c>
      <c r="D5641" t="s">
        <v>99</v>
      </c>
      <c r="E5641" s="2" t="str">
        <f>HYPERLINK("https://ibp.a2mac1.com/costing(costing:projects/details/8191/equipment/6948103)","Equipment (Injection Molding)")</f>
        <v>Equipment (Injection Molding)</v>
      </c>
      <c r="F5641" t="s">
        <v>6116</v>
      </c>
    </row>
    <row r="5642" spans="1:6" ht="12.75">
      <c r="A5642">
        <v>5319490</v>
      </c>
      <c r="B5642">
        <v>5388260</v>
      </c>
      <c r="C5642" t="s">
        <v>574</v>
      </c>
      <c r="D5642" t="s">
        <v>8</v>
      </c>
      <c r="E5642" s="2" t="str">
        <f>HYPERLINK("https://ibp.a2mac1.com/costing(costing:projects/details/8191/component/5319490)","Screw &gt; Torx socket head cap screw with flange")</f>
        <v>Screw &gt; Torx socket head cap screw with flange</v>
      </c>
      <c r="F5642" t="s">
        <v>6100</v>
      </c>
    </row>
    <row r="5643" spans="1:6" ht="12.75">
      <c r="A5643">
        <v>5319491</v>
      </c>
      <c r="B5643">
        <v>5388260</v>
      </c>
      <c r="C5643" t="s">
        <v>574</v>
      </c>
      <c r="D5643" t="s">
        <v>8</v>
      </c>
      <c r="E5643" s="2" t="str">
        <f>HYPERLINK("https://ibp.a2mac1.com/costing(costing:projects/details/8191/component/5319491)","Screw &gt; Torx socket head cap screw with flange")</f>
        <v>Screw &gt; Torx socket head cap screw with flange</v>
      </c>
      <c r="F5643" t="s">
        <v>6100</v>
      </c>
    </row>
    <row r="5644" spans="1:6" ht="12.75">
      <c r="A5644">
        <v>5388261</v>
      </c>
      <c r="B5644">
        <v>5388143</v>
      </c>
      <c r="C5644" t="s">
        <v>8</v>
      </c>
      <c r="D5644" t="s">
        <v>8</v>
      </c>
      <c r="E5644" s="2" t="str">
        <f>HYPERLINK("https://ibp.a2mac1.com/costing(costing:projects/details/8191/assembly/5388261)","Shield Under Engine K-Frame System")</f>
        <v>Shield Under Engine K-Frame System</v>
      </c>
      <c r="F5644" t="s">
        <v>6099</v>
      </c>
    </row>
    <row r="5645" spans="1:6" ht="12.75">
      <c r="A5645">
        <v>5388616</v>
      </c>
      <c r="B5645">
        <v>5388261</v>
      </c>
      <c r="C5645" t="s">
        <v>12</v>
      </c>
      <c r="D5645" t="s">
        <v>8</v>
      </c>
      <c r="E5645" s="2" t="str">
        <f>HYPERLINK("https://ibp.a2mac1.com/costing(costing:projects/details/8191/part/5388616)","Shield Under Engine")</f>
        <v>Shield Under Engine</v>
      </c>
      <c r="F5645" t="s">
        <v>6119</v>
      </c>
    </row>
    <row r="5646" spans="1:6" ht="12.75">
      <c r="A5646">
        <v>6975515</v>
      </c>
      <c r="B5646">
        <v>5388616</v>
      </c>
      <c r="C5646" t="s">
        <v>99</v>
      </c>
      <c r="D5646" t="s">
        <v>12</v>
      </c>
      <c r="E5646" s="2" t="str">
        <f>HYPERLINK("https://ibp.a2mac1.com/costing(costing:projects/details/8191/process/6975515)","Automated Process")</f>
        <v>Automated Process</v>
      </c>
      <c r="F5646" t="s">
        <v>6120</v>
      </c>
    </row>
    <row r="5647" spans="1:6" ht="12.75">
      <c r="A5647">
        <v>5319950</v>
      </c>
      <c r="B5647">
        <v>6975515</v>
      </c>
      <c r="C5647" t="s">
        <v>24</v>
      </c>
      <c r="D5647" t="s">
        <v>99</v>
      </c>
      <c r="E5647" s="2" t="str">
        <f>HYPERLINK("https://ibp.a2mac1.com/costing(costing:projects/details/8191/material/5319950)","PP-PE")</f>
        <v>PP-PE</v>
      </c>
      <c r="F5647" t="s">
        <v>6123</v>
      </c>
    </row>
    <row r="5648" spans="1:6" ht="12.75">
      <c r="A5648">
        <v>6948104</v>
      </c>
      <c r="B5648">
        <v>6975515</v>
      </c>
      <c r="C5648" t="s">
        <v>189</v>
      </c>
      <c r="D5648" t="s">
        <v>99</v>
      </c>
      <c r="E5648" s="2" t="str">
        <f>HYPERLINK("https://ibp.a2mac1.com/costing(costing:projects/details/8191/equipment/6948104)","Equipment (Injection Molding)")</f>
        <v>Equipment (Injection Molding)</v>
      </c>
      <c r="F5648" t="s">
        <v>6123</v>
      </c>
    </row>
    <row r="5649" spans="1:6" ht="12.75">
      <c r="A5649">
        <v>5319492</v>
      </c>
      <c r="B5649">
        <v>5388261</v>
      </c>
      <c r="C5649" t="s">
        <v>574</v>
      </c>
      <c r="D5649" t="s">
        <v>8</v>
      </c>
      <c r="E5649" s="2" t="str">
        <f>HYPERLINK("https://ibp.a2mac1.com/costing(costing:projects/details/8191/component/5319492)","Screw &gt; Torx socket head cap screw with flange")</f>
        <v>Screw &gt; Torx socket head cap screw with flange</v>
      </c>
      <c r="F5649" t="s">
        <v>6119</v>
      </c>
    </row>
    <row r="5650" spans="1:6" ht="12.75">
      <c r="A5650">
        <v>5388257</v>
      </c>
      <c r="B5650">
        <v>5388143</v>
      </c>
      <c r="C5650" t="s">
        <v>12</v>
      </c>
      <c r="D5650" t="s">
        <v>8</v>
      </c>
      <c r="E5650" s="2" t="str">
        <f>HYPERLINK("https://ibp.a2mac1.com/costing(costing:projects/details/8191/part/5388257)","Under the Rear Axle")</f>
        <v>Under the Rear Axle</v>
      </c>
      <c r="F5650" t="s">
        <v>6099</v>
      </c>
    </row>
    <row r="5651" spans="1:6" ht="12.75">
      <c r="A5651">
        <v>6975309</v>
      </c>
      <c r="B5651">
        <v>5388257</v>
      </c>
      <c r="C5651" t="s">
        <v>99</v>
      </c>
      <c r="D5651" t="s">
        <v>12</v>
      </c>
      <c r="E5651" s="2" t="str">
        <f>HYPERLINK("https://ibp.a2mac1.com/costing(costing:projects/details/8191/process/6975309)","Automated Process")</f>
        <v>Automated Process</v>
      </c>
      <c r="F5651" t="s">
        <v>6126</v>
      </c>
    </row>
    <row r="5652" spans="1:6" ht="12.75">
      <c r="A5652">
        <v>5319651</v>
      </c>
      <c r="B5652">
        <v>6975309</v>
      </c>
      <c r="C5652" t="s">
        <v>24</v>
      </c>
      <c r="D5652" t="s">
        <v>99</v>
      </c>
      <c r="E5652" s="2" t="str">
        <f>HYPERLINK("https://ibp.a2mac1.com/costing(costing:projects/details/8191/material/5319651)","PP")</f>
        <v>PP</v>
      </c>
      <c r="F5652" t="s">
        <v>6129</v>
      </c>
    </row>
    <row r="5653" spans="1:6" ht="12.75">
      <c r="A5653">
        <v>5319652</v>
      </c>
      <c r="B5653">
        <v>6975309</v>
      </c>
      <c r="C5653" t="s">
        <v>24</v>
      </c>
      <c r="D5653" t="s">
        <v>99</v>
      </c>
      <c r="E5653" s="2" t="str">
        <f>HYPERLINK("https://ibp.a2mac1.com/costing(costing:projects/details/8191/material/5319652)","PUR")</f>
        <v>PUR</v>
      </c>
      <c r="F5653" t="s">
        <v>6129</v>
      </c>
    </row>
    <row r="5654" spans="1:6" ht="12.75">
      <c r="A5654">
        <v>5319653</v>
      </c>
      <c r="B5654">
        <v>6975309</v>
      </c>
      <c r="C5654" t="s">
        <v>24</v>
      </c>
      <c r="D5654" t="s">
        <v>99</v>
      </c>
      <c r="E5654" s="2" t="str">
        <f>HYPERLINK("https://ibp.a2mac1.com/costing(costing:projects/details/8191/material/5319653)","PET")</f>
        <v>PET</v>
      </c>
      <c r="F5654" t="s">
        <v>6129</v>
      </c>
    </row>
    <row r="5655" spans="1:6" ht="12.75">
      <c r="A5655">
        <v>6947866</v>
      </c>
      <c r="B5655">
        <v>6975309</v>
      </c>
      <c r="C5655" t="s">
        <v>189</v>
      </c>
      <c r="D5655" t="s">
        <v>99</v>
      </c>
      <c r="E5655" s="2" t="str">
        <f>HYPERLINK("https://ibp.a2mac1.com/costing(costing:projects/details/8191/equipment/6947866)","Equipment (Injection Molding)")</f>
        <v>Equipment (Injection Molding)</v>
      </c>
      <c r="F5655" t="s">
        <v>6129</v>
      </c>
    </row>
    <row r="5656" spans="1:6" ht="12.75">
      <c r="A5656">
        <v>6947867</v>
      </c>
      <c r="B5656">
        <v>6975309</v>
      </c>
      <c r="C5656" t="s">
        <v>189</v>
      </c>
      <c r="D5656" t="s">
        <v>99</v>
      </c>
      <c r="E5656" s="2" t="str">
        <f>HYPERLINK("https://ibp.a2mac1.com/costing(costing:projects/details/8191/equipment/6947867)","Equipment (Injection Molding)")</f>
        <v>Equipment (Injection Molding)</v>
      </c>
      <c r="F5656" t="s">
        <v>6129</v>
      </c>
    </row>
    <row r="5657" spans="1:6" ht="12.75">
      <c r="A5657">
        <v>6947868</v>
      </c>
      <c r="B5657">
        <v>6975309</v>
      </c>
      <c r="C5657" t="s">
        <v>189</v>
      </c>
      <c r="D5657" t="s">
        <v>99</v>
      </c>
      <c r="E5657" s="2" t="str">
        <f>HYPERLINK("https://ibp.a2mac1.com/costing(costing:projects/details/8191/equipment/6947868)","Equipment (Injection Molding)")</f>
        <v>Equipment (Injection Molding)</v>
      </c>
      <c r="F5657" t="s">
        <v>6129</v>
      </c>
    </row>
    <row r="5658" spans="1:6" ht="12.75">
      <c r="A5658">
        <v>5388258</v>
      </c>
      <c r="B5658">
        <v>5388143</v>
      </c>
      <c r="C5658" t="s">
        <v>12</v>
      </c>
      <c r="D5658" t="s">
        <v>8</v>
      </c>
      <c r="E5658" s="2" t="str">
        <f>HYPERLINK("https://ibp.a2mac1.com/costing(costing:projects/details/8191/part/5388258)","Screen Between Body and Rear Bumper")</f>
        <v>Screen Between Body and Rear Bumper</v>
      </c>
      <c r="F5658" t="s">
        <v>6099</v>
      </c>
    </row>
    <row r="5659" spans="1:6" ht="12.75">
      <c r="A5659">
        <v>6975310</v>
      </c>
      <c r="B5659">
        <v>5388258</v>
      </c>
      <c r="C5659" t="s">
        <v>99</v>
      </c>
      <c r="D5659" t="s">
        <v>12</v>
      </c>
      <c r="E5659" s="2" t="str">
        <f>HYPERLINK("https://ibp.a2mac1.com/costing(costing:projects/details/8191/process/6975310)","Automated Process")</f>
        <v>Automated Process</v>
      </c>
      <c r="F5659" t="s">
        <v>6132</v>
      </c>
    </row>
    <row r="5660" spans="1:6" ht="12.75">
      <c r="A5660">
        <v>5319654</v>
      </c>
      <c r="B5660">
        <v>6975310</v>
      </c>
      <c r="C5660" t="s">
        <v>24</v>
      </c>
      <c r="D5660" t="s">
        <v>99</v>
      </c>
      <c r="E5660" s="2" t="str">
        <f>HYPERLINK("https://ibp.a2mac1.com/costing(costing:projects/details/8191/material/5319654)","PP-PE")</f>
        <v>PP-PE</v>
      </c>
      <c r="F5660" t="s">
        <v>6135</v>
      </c>
    </row>
    <row r="5661" spans="1:6" ht="12.75">
      <c r="A5661">
        <v>6947869</v>
      </c>
      <c r="B5661">
        <v>6975310</v>
      </c>
      <c r="C5661" t="s">
        <v>189</v>
      </c>
      <c r="D5661" t="s">
        <v>99</v>
      </c>
      <c r="E5661" s="2" t="str">
        <f>HYPERLINK("https://ibp.a2mac1.com/costing(costing:projects/details/8191/equipment/6947869)","Equipment (Injection Molding)")</f>
        <v>Equipment (Injection Molding)</v>
      </c>
      <c r="F5661" t="s">
        <v>6135</v>
      </c>
    </row>
    <row r="5662" spans="1:6" ht="12.75">
      <c r="A5662">
        <v>5388259</v>
      </c>
      <c r="B5662">
        <v>5388143</v>
      </c>
      <c r="C5662" t="s">
        <v>12</v>
      </c>
      <c r="D5662" t="s">
        <v>8</v>
      </c>
      <c r="E5662" s="2" t="str">
        <f>HYPERLINK("https://ibp.a2mac1.com/costing(costing:projects/details/8191/part/5388259)","Support")</f>
        <v>Support</v>
      </c>
      <c r="F5662" t="s">
        <v>6099</v>
      </c>
    </row>
    <row r="5663" spans="1:6" ht="12.75">
      <c r="A5663">
        <v>6975311</v>
      </c>
      <c r="B5663">
        <v>5388259</v>
      </c>
      <c r="C5663" t="s">
        <v>99</v>
      </c>
      <c r="D5663" t="s">
        <v>12</v>
      </c>
      <c r="E5663" s="2" t="str">
        <f>HYPERLINK("https://ibp.a2mac1.com/costing(costing:projects/details/8191/process/6975311)","Stamping")</f>
        <v>Stamping</v>
      </c>
      <c r="F5663" t="s">
        <v>6137</v>
      </c>
    </row>
    <row r="5664" spans="1:6" ht="12.75">
      <c r="A5664">
        <v>5319655</v>
      </c>
      <c r="B5664">
        <v>6975311</v>
      </c>
      <c r="C5664" t="s">
        <v>24</v>
      </c>
      <c r="D5664" t="s">
        <v>99</v>
      </c>
      <c r="E5664" s="2" t="str">
        <f>HYPERLINK("https://ibp.a2mac1.com/costing(costing:projects/details/8191/material/5319655)","Steel sheet (default)")</f>
        <v>Steel sheet (default)</v>
      </c>
      <c r="F5664" t="s">
        <v>6140</v>
      </c>
    </row>
    <row r="5665" spans="1:6" ht="12.75">
      <c r="A5665">
        <v>6947870</v>
      </c>
      <c r="B5665">
        <v>6975311</v>
      </c>
      <c r="C5665" t="s">
        <v>189</v>
      </c>
      <c r="D5665" t="s">
        <v>99</v>
      </c>
      <c r="E5665" s="2" t="str">
        <f>HYPERLINK("https://ibp.a2mac1.com/costing(costing:projects/details/8191/equipment/6947870)","DC machine - General")</f>
        <v>DC machine - General</v>
      </c>
      <c r="F5665" t="s">
        <v>6140</v>
      </c>
    </row>
    <row r="5666" spans="1:6" ht="12.75">
      <c r="A5666">
        <v>5319426</v>
      </c>
      <c r="B5666">
        <v>5388143</v>
      </c>
      <c r="C5666" t="s">
        <v>574</v>
      </c>
      <c r="D5666" t="s">
        <v>8</v>
      </c>
      <c r="E5666" s="2" t="str">
        <f>HYPERLINK("https://ibp.a2mac1.com/costing(costing:projects/details/8191/component/5319426)","Screw &gt; Torx socket head cap screw with captive washer")</f>
        <v>Screw &gt; Torx socket head cap screw with captive washer</v>
      </c>
      <c r="F5666" t="s">
        <v>6099</v>
      </c>
    </row>
    <row r="5667" spans="1:6" ht="12.75">
      <c r="A5667">
        <v>5319427</v>
      </c>
      <c r="B5667">
        <v>5388143</v>
      </c>
      <c r="C5667" t="s">
        <v>574</v>
      </c>
      <c r="D5667" t="s">
        <v>8</v>
      </c>
      <c r="E5667" s="2" t="str">
        <f>HYPERLINK("https://ibp.a2mac1.com/costing(costing:projects/details/8191/component/5319427)","Nut &gt; Clipping nut for metal sheet screw")</f>
        <v>Nut &gt; Clipping nut for metal sheet screw</v>
      </c>
      <c r="F5667" t="s">
        <v>6099</v>
      </c>
    </row>
    <row r="5668" spans="1:6" ht="12.75">
      <c r="A5668">
        <v>5319428</v>
      </c>
      <c r="B5668">
        <v>5388143</v>
      </c>
      <c r="C5668" t="s">
        <v>574</v>
      </c>
      <c r="D5668" t="s">
        <v>8</v>
      </c>
      <c r="E5668" s="2" t="str">
        <f>HYPERLINK("https://ibp.a2mac1.com/costing(costing:projects/details/8191/component/5319428)","Screw &gt; Hexagon screw with flange and captive washer")</f>
        <v>Screw &gt; Hexagon screw with flange and captive washer</v>
      </c>
      <c r="F5668" t="s">
        <v>6099</v>
      </c>
    </row>
    <row r="5669" spans="1:6" ht="12.75">
      <c r="A5669">
        <v>5388144</v>
      </c>
      <c r="B5669">
        <v>5388128</v>
      </c>
      <c r="C5669" t="s">
        <v>8</v>
      </c>
      <c r="D5669" t="s">
        <v>8</v>
      </c>
      <c r="E5669" s="2" t="str">
        <f>HYPERLINK("https://ibp.a2mac1.com/costing(costing:projects/details/8191/assembly/5388144)","Windshields Windows")</f>
        <v>Windshields Windows</v>
      </c>
      <c r="F5669" t="s">
        <v>6067</v>
      </c>
    </row>
    <row r="5670" spans="1:6" ht="12.75">
      <c r="A5670">
        <v>5388262</v>
      </c>
      <c r="B5670">
        <v>5388144</v>
      </c>
      <c r="C5670" t="s">
        <v>8</v>
      </c>
      <c r="D5670" t="s">
        <v>8</v>
      </c>
      <c r="E5670" s="2" t="str">
        <f>HYPERLINK("https://ibp.a2mac1.com/costing(costing:projects/details/8191/assembly/5388262)","Side Windows Quarter Glass")</f>
        <v>Side Windows Quarter Glass</v>
      </c>
      <c r="F5670" t="s">
        <v>6143</v>
      </c>
    </row>
    <row r="5671" spans="1:6" ht="12.75">
      <c r="A5671">
        <v>5388617</v>
      </c>
      <c r="B5671">
        <v>5388262</v>
      </c>
      <c r="C5671" t="s">
        <v>8</v>
      </c>
      <c r="D5671" t="s">
        <v>8</v>
      </c>
      <c r="E5671" s="2" t="str">
        <f>HYPERLINK("https://ibp.a2mac1.com/costing(costing:projects/details/8191/assembly/5388617)","Front")</f>
        <v>Front</v>
      </c>
      <c r="F5671" t="s">
        <v>6144</v>
      </c>
    </row>
    <row r="5672" spans="1:6" ht="12.75">
      <c r="A5672">
        <v>5388923</v>
      </c>
      <c r="B5672">
        <v>5388617</v>
      </c>
      <c r="C5672" t="s">
        <v>12</v>
      </c>
      <c r="D5672" t="s">
        <v>8</v>
      </c>
      <c r="E5672" s="2" t="str">
        <f>HYPERLINK("https://ibp.a2mac1.com/costing(costing:projects/details/8191/part/5388923)","Front Bezel")</f>
        <v>Front Bezel</v>
      </c>
      <c r="F5672" t="s">
        <v>6145</v>
      </c>
    </row>
    <row r="5673" spans="1:6" ht="12.75">
      <c r="A5673">
        <v>6975746</v>
      </c>
      <c r="B5673">
        <v>5388923</v>
      </c>
      <c r="C5673" t="s">
        <v>99</v>
      </c>
      <c r="D5673" t="s">
        <v>12</v>
      </c>
      <c r="E5673" s="2" t="str">
        <f>HYPERLINK("https://ibp.a2mac1.com/costing(costing:projects/details/8191/process/6975746)","Automated Process")</f>
        <v>Automated Process</v>
      </c>
      <c r="F5673" t="s">
        <v>6146</v>
      </c>
    </row>
    <row r="5674" spans="1:6" ht="12.75">
      <c r="A5674">
        <v>5320148</v>
      </c>
      <c r="B5674">
        <v>6975746</v>
      </c>
      <c r="C5674" t="s">
        <v>24</v>
      </c>
      <c r="D5674" t="s">
        <v>99</v>
      </c>
      <c r="E5674" s="2" t="str">
        <f>HYPERLINK("https://ibp.a2mac1.com/costing(costing:projects/details/8191/material/5320148)","ASA")</f>
        <v>ASA</v>
      </c>
      <c r="F5674" t="s">
        <v>6149</v>
      </c>
    </row>
    <row r="5675" spans="1:6" ht="12.75">
      <c r="A5675">
        <v>6948350</v>
      </c>
      <c r="B5675">
        <v>6975746</v>
      </c>
      <c r="C5675" t="s">
        <v>189</v>
      </c>
      <c r="D5675" t="s">
        <v>99</v>
      </c>
      <c r="E5675" s="2" t="str">
        <f>HYPERLINK("https://ibp.a2mac1.com/costing(costing:projects/details/8191/equipment/6948350)","Equipment (Injection Molding)")</f>
        <v>Equipment (Injection Molding)</v>
      </c>
      <c r="F5675" t="s">
        <v>6149</v>
      </c>
    </row>
    <row r="5676" spans="1:6" ht="12.75">
      <c r="A5676">
        <v>5319656</v>
      </c>
      <c r="B5676">
        <v>5388617</v>
      </c>
      <c r="C5676" t="s">
        <v>574</v>
      </c>
      <c r="D5676" t="s">
        <v>8</v>
      </c>
      <c r="E5676" s="2" t="str">
        <f>HYPERLINK("https://ibp.a2mac1.com/costing(costing:projects/details/8191/component/5319656)","Nut &gt; Clipping nut for soft materials screw")</f>
        <v>Nut &gt; Clipping nut for soft materials screw</v>
      </c>
      <c r="F5676" t="s">
        <v>6145</v>
      </c>
    </row>
    <row r="5677" spans="1:6" ht="12.75">
      <c r="A5677">
        <v>5388618</v>
      </c>
      <c r="B5677">
        <v>5388262</v>
      </c>
      <c r="C5677" t="s">
        <v>8</v>
      </c>
      <c r="D5677" t="s">
        <v>8</v>
      </c>
      <c r="E5677" s="2" t="str">
        <f>HYPERLINK("https://ibp.a2mac1.com/costing(costing:projects/details/8191/assembly/5388618)","Rear")</f>
        <v>Rear</v>
      </c>
      <c r="F5677" t="s">
        <v>6144</v>
      </c>
    </row>
    <row r="5678" spans="1:6" ht="12.75">
      <c r="A5678">
        <v>5388924</v>
      </c>
      <c r="B5678">
        <v>5388618</v>
      </c>
      <c r="C5678" t="s">
        <v>12</v>
      </c>
      <c r="D5678" t="s">
        <v>8</v>
      </c>
      <c r="E5678" s="2" t="str">
        <f>HYPERLINK("https://ibp.a2mac1.com/costing(costing:projects/details/8191/part/5388924)","Window")</f>
        <v>Window</v>
      </c>
      <c r="F5678" t="s">
        <v>6153</v>
      </c>
    </row>
    <row r="5679" spans="1:6" ht="12.75">
      <c r="A5679">
        <v>6975747</v>
      </c>
      <c r="B5679">
        <v>5388924</v>
      </c>
      <c r="C5679" t="s">
        <v>99</v>
      </c>
      <c r="D5679" t="s">
        <v>12</v>
      </c>
      <c r="E5679" s="2" t="str">
        <f>HYPERLINK("https://ibp.a2mac1.com/costing(costing:projects/details/8191/process/6975747)","Automated Process")</f>
        <v>Automated Process</v>
      </c>
      <c r="F5679" t="s">
        <v>6154</v>
      </c>
    </row>
    <row r="5680" spans="1:6" ht="12.75">
      <c r="A5680">
        <v>5320149</v>
      </c>
      <c r="B5680">
        <v>6975747</v>
      </c>
      <c r="C5680" t="s">
        <v>24</v>
      </c>
      <c r="D5680" t="s">
        <v>99</v>
      </c>
      <c r="E5680" s="2" t="str">
        <f>HYPERLINK("https://ibp.a2mac1.com/costing(costing:projects/details/8191/material/5320149)","Glass (default, float glass)")</f>
        <v>Glass (default, float glass)</v>
      </c>
      <c r="F5680" t="s">
        <v>6155</v>
      </c>
    </row>
    <row r="5681" spans="1:6" ht="12.75">
      <c r="A5681">
        <v>6948351</v>
      </c>
      <c r="B5681">
        <v>6975747</v>
      </c>
      <c r="C5681" t="s">
        <v>189</v>
      </c>
      <c r="D5681" t="s">
        <v>99</v>
      </c>
      <c r="E5681" s="2" t="str">
        <f>HYPERLINK("https://ibp.a2mac1.com/costing(costing:projects/details/8191/equipment/6948351)","DC machine - General")</f>
        <v>DC machine - General</v>
      </c>
      <c r="F5681" t="s">
        <v>6155</v>
      </c>
    </row>
    <row r="5682" spans="1:6" ht="12.75">
      <c r="A5682">
        <v>5388263</v>
      </c>
      <c r="B5682">
        <v>5388144</v>
      </c>
      <c r="C5682" t="s">
        <v>8</v>
      </c>
      <c r="D5682" t="s">
        <v>8</v>
      </c>
      <c r="E5682" s="2" t="str">
        <f>HYPERLINK("https://ibp.a2mac1.com/costing(costing:projects/details/8191/assembly/5388263)","Windshield System")</f>
        <v>Windshield System</v>
      </c>
      <c r="F5682" t="s">
        <v>6143</v>
      </c>
    </row>
    <row r="5683" spans="1:6" ht="12.75">
      <c r="A5683">
        <v>5388621</v>
      </c>
      <c r="B5683">
        <v>5388263</v>
      </c>
      <c r="C5683" t="s">
        <v>8</v>
      </c>
      <c r="D5683" t="s">
        <v>8</v>
      </c>
      <c r="E5683" s="2" t="str">
        <f>HYPERLINK("https://ibp.a2mac1.com/costing(costing:projects/details/8191/assembly/5388621)","Seal")</f>
        <v>Seal</v>
      </c>
      <c r="F5683" t="s">
        <v>6160</v>
      </c>
    </row>
    <row r="5684" spans="1:6" ht="12.75">
      <c r="A5684">
        <v>5388930</v>
      </c>
      <c r="B5684">
        <v>5388621</v>
      </c>
      <c r="C5684" t="s">
        <v>12</v>
      </c>
      <c r="D5684" t="s">
        <v>8</v>
      </c>
      <c r="E5684" s="2" t="str">
        <f>HYPERLINK("https://ibp.a2mac1.com/costing(costing:projects/details/8191/part/5388930)","Lower seal")</f>
        <v>Lower seal</v>
      </c>
      <c r="F5684" t="s">
        <v>6161</v>
      </c>
    </row>
    <row r="5685" spans="1:6" ht="12.75">
      <c r="A5685">
        <v>6975748</v>
      </c>
      <c r="B5685">
        <v>5388930</v>
      </c>
      <c r="C5685" t="s">
        <v>99</v>
      </c>
      <c r="D5685" t="s">
        <v>12</v>
      </c>
      <c r="E5685" s="2" t="str">
        <f>HYPERLINK("https://ibp.a2mac1.com/costing(costing:projects/details/8191/process/6975748)","Automated Process")</f>
        <v>Automated Process</v>
      </c>
      <c r="F5685" t="s">
        <v>6162</v>
      </c>
    </row>
    <row r="5686" spans="1:6" ht="12.75">
      <c r="A5686">
        <v>5320150</v>
      </c>
      <c r="B5686">
        <v>6975748</v>
      </c>
      <c r="C5686" t="s">
        <v>24</v>
      </c>
      <c r="D5686" t="s">
        <v>99</v>
      </c>
      <c r="E5686" s="2" t="str">
        <f>HYPERLINK("https://ibp.a2mac1.com/costing(costing:projects/details/8191/material/5320150)","TPV-(EPDM-PP)")</f>
        <v>TPV-(EPDM-PP)</v>
      </c>
      <c r="F5686" t="s">
        <v>6163</v>
      </c>
    </row>
    <row r="5687" spans="1:6" ht="12.75">
      <c r="A5687">
        <v>5320151</v>
      </c>
      <c r="B5687">
        <v>6975748</v>
      </c>
      <c r="C5687" t="s">
        <v>24</v>
      </c>
      <c r="D5687" t="s">
        <v>99</v>
      </c>
      <c r="E5687" s="2" t="str">
        <f>HYPERLINK("https://ibp.a2mac1.com/costing(costing:projects/details/8191/material/5320151)","Aluminum for casting (default, e.g. A380/ADC10/EN-AC46500)")</f>
        <v>Aluminum for casting (default, e.g. A380/ADC10/EN-AC46500)</v>
      </c>
      <c r="F5687" t="s">
        <v>6163</v>
      </c>
    </row>
    <row r="5688" spans="1:6" ht="12.75">
      <c r="A5688">
        <v>6948352</v>
      </c>
      <c r="B5688">
        <v>6975748</v>
      </c>
      <c r="C5688" t="s">
        <v>189</v>
      </c>
      <c r="D5688" t="s">
        <v>99</v>
      </c>
      <c r="E5688" s="2" t="str">
        <f>HYPERLINK("https://ibp.a2mac1.com/costing(costing:projects/details/8191/equipment/6948352)","Equipment (Injection Molding)")</f>
        <v>Equipment (Injection Molding)</v>
      </c>
      <c r="F5688" t="s">
        <v>6163</v>
      </c>
    </row>
    <row r="5689" spans="1:6" ht="12.75">
      <c r="A5689">
        <v>6948353</v>
      </c>
      <c r="B5689">
        <v>6975748</v>
      </c>
      <c r="C5689" t="s">
        <v>189</v>
      </c>
      <c r="D5689" t="s">
        <v>99</v>
      </c>
      <c r="E5689" s="2" t="str">
        <f>HYPERLINK("https://ibp.a2mac1.com/costing(costing:projects/details/8191/equipment/6948353)","Equipment (Casting)")</f>
        <v>Equipment (Casting)</v>
      </c>
      <c r="F5689" t="s">
        <v>6163</v>
      </c>
    </row>
    <row r="5690" spans="1:6" ht="12.75">
      <c r="A5690">
        <v>5388931</v>
      </c>
      <c r="B5690">
        <v>5388621</v>
      </c>
      <c r="C5690" t="s">
        <v>12</v>
      </c>
      <c r="D5690" t="s">
        <v>8</v>
      </c>
      <c r="E5690" s="2" t="str">
        <f>HYPERLINK("https://ibp.a2mac1.com/costing(costing:projects/details/8191/part/5388931)","Upper seal")</f>
        <v>Upper seal</v>
      </c>
      <c r="F5690" t="s">
        <v>6161</v>
      </c>
    </row>
    <row r="5691" spans="1:6" ht="12.75">
      <c r="A5691">
        <v>6975749</v>
      </c>
      <c r="B5691">
        <v>5388931</v>
      </c>
      <c r="C5691" t="s">
        <v>99</v>
      </c>
      <c r="D5691" t="s">
        <v>12</v>
      </c>
      <c r="E5691" s="2" t="str">
        <f>HYPERLINK("https://ibp.a2mac1.com/costing(costing:projects/details/8191/process/6975749)","Automated Process")</f>
        <v>Automated Process</v>
      </c>
      <c r="F5691" t="s">
        <v>6168</v>
      </c>
    </row>
    <row r="5692" spans="1:6" ht="12.75">
      <c r="A5692">
        <v>5320152</v>
      </c>
      <c r="B5692">
        <v>6975749</v>
      </c>
      <c r="C5692" t="s">
        <v>24</v>
      </c>
      <c r="D5692" t="s">
        <v>99</v>
      </c>
      <c r="E5692" s="2" t="str">
        <f>HYPERLINK("https://ibp.a2mac1.com/costing(costing:projects/details/8191/material/5320152)","EPDM")</f>
        <v>EPDM</v>
      </c>
      <c r="F5692" t="s">
        <v>6169</v>
      </c>
    </row>
    <row r="5693" spans="1:6" ht="12.75">
      <c r="A5693">
        <v>6948354</v>
      </c>
      <c r="B5693">
        <v>6975749</v>
      </c>
      <c r="C5693" t="s">
        <v>189</v>
      </c>
      <c r="D5693" t="s">
        <v>99</v>
      </c>
      <c r="E5693" s="2" t="str">
        <f>HYPERLINK("https://ibp.a2mac1.com/costing(costing:projects/details/8191/equipment/6948354)","Equipment (Injection Molding)")</f>
        <v>Equipment (Injection Molding)</v>
      </c>
      <c r="F5693" t="s">
        <v>6169</v>
      </c>
    </row>
    <row r="5694" spans="1:6" ht="12.75">
      <c r="A5694">
        <v>5388622</v>
      </c>
      <c r="B5694">
        <v>5388263</v>
      </c>
      <c r="C5694" t="s">
        <v>8</v>
      </c>
      <c r="D5694" t="s">
        <v>8</v>
      </c>
      <c r="E5694" s="2" t="str">
        <f>HYPERLINK("https://ibp.a2mac1.com/costing(costing:projects/details/8191/assembly/5388622)","Windshield")</f>
        <v>Windshield</v>
      </c>
      <c r="F5694" t="s">
        <v>6160</v>
      </c>
    </row>
    <row r="5695" spans="1:6" ht="12.75">
      <c r="A5695">
        <v>5388932</v>
      </c>
      <c r="B5695">
        <v>5388622</v>
      </c>
      <c r="C5695" t="s">
        <v>12</v>
      </c>
      <c r="D5695" t="s">
        <v>8</v>
      </c>
      <c r="E5695" s="2" t="str">
        <f>HYPERLINK("https://ibp.a2mac1.com/costing(costing:projects/details/8191/part/5388932)","Glas Panel")</f>
        <v>Glas Panel</v>
      </c>
      <c r="F5695" t="s">
        <v>6172</v>
      </c>
    </row>
    <row r="5696" spans="1:6" ht="12.75">
      <c r="A5696">
        <v>6975750</v>
      </c>
      <c r="B5696">
        <v>5388932</v>
      </c>
      <c r="C5696" t="s">
        <v>99</v>
      </c>
      <c r="D5696" t="s">
        <v>12</v>
      </c>
      <c r="E5696" s="2" t="str">
        <f>HYPERLINK("https://ibp.a2mac1.com/costing(costing:projects/details/8191/process/6975750)","Automated Process")</f>
        <v>Automated Process</v>
      </c>
      <c r="F5696" t="s">
        <v>6173</v>
      </c>
    </row>
    <row r="5697" spans="1:6" ht="12.75">
      <c r="A5697">
        <v>5320153</v>
      </c>
      <c r="B5697">
        <v>6975750</v>
      </c>
      <c r="C5697" t="s">
        <v>24</v>
      </c>
      <c r="D5697" t="s">
        <v>99</v>
      </c>
      <c r="E5697" s="2" t="str">
        <f>HYPERLINK("https://ibp.a2mac1.com/costing(costing:projects/details/8191/material/5320153)","Glass (default, float glass)")</f>
        <v>Glass (default, float glass)</v>
      </c>
      <c r="F5697" t="s">
        <v>6174</v>
      </c>
    </row>
    <row r="5698" spans="1:6" ht="12.75">
      <c r="A5698">
        <v>6948355</v>
      </c>
      <c r="B5698">
        <v>6975750</v>
      </c>
      <c r="C5698" t="s">
        <v>189</v>
      </c>
      <c r="D5698" t="s">
        <v>99</v>
      </c>
      <c r="E5698" s="2" t="str">
        <f>HYPERLINK("https://ibp.a2mac1.com/costing(costing:projects/details/8191/equipment/6948355)","DC machine - General")</f>
        <v>DC machine - General</v>
      </c>
      <c r="F5698" t="s">
        <v>6174</v>
      </c>
    </row>
    <row r="5699" spans="1:6" ht="12.75">
      <c r="A5699">
        <v>5388933</v>
      </c>
      <c r="B5699">
        <v>5388622</v>
      </c>
      <c r="C5699" t="s">
        <v>12</v>
      </c>
      <c r="D5699" t="s">
        <v>8</v>
      </c>
      <c r="E5699" s="2" t="str">
        <f>HYPERLINK("https://ibp.a2mac1.com/costing(costing:projects/details/8191/part/5388933)","Commodity: Sealing")</f>
        <v>Commodity: Sealing</v>
      </c>
      <c r="F5699" t="s">
        <v>6172</v>
      </c>
    </row>
    <row r="5700" spans="1:6" ht="12.75">
      <c r="A5700">
        <v>5388934</v>
      </c>
      <c r="B5700">
        <v>5388622</v>
      </c>
      <c r="C5700" t="s">
        <v>12</v>
      </c>
      <c r="D5700" t="s">
        <v>8</v>
      </c>
      <c r="E5700" s="2" t="str">
        <f>HYPERLINK("https://ibp.a2mac1.com/costing(costing:projects/details/8191/part/5388934)","Commodity: Mirror Support CPL")</f>
        <v>Commodity: Mirror Support CPL</v>
      </c>
      <c r="F5700" t="s">
        <v>6172</v>
      </c>
    </row>
    <row r="5701" spans="1:6" ht="12.75">
      <c r="A5701">
        <v>6975751</v>
      </c>
      <c r="B5701">
        <v>5388934</v>
      </c>
      <c r="C5701" t="s">
        <v>99</v>
      </c>
      <c r="D5701" t="s">
        <v>12</v>
      </c>
      <c r="E5701" s="2" t="str">
        <f>HYPERLINK("https://ibp.a2mac1.com/costing(costing:projects/details/8191/process/6975751)","Injection molding")</f>
        <v>Injection molding</v>
      </c>
      <c r="F5701" t="s">
        <v>6177</v>
      </c>
    </row>
    <row r="5702" spans="1:6" ht="12.75">
      <c r="A5702">
        <v>5320154</v>
      </c>
      <c r="B5702">
        <v>6975751</v>
      </c>
      <c r="C5702" t="s">
        <v>24</v>
      </c>
      <c r="D5702" t="s">
        <v>99</v>
      </c>
      <c r="E5702" s="2" t="str">
        <f>HYPERLINK("https://ibp.a2mac1.com/costing(costing:projects/details/8191/material/5320154)","PP")</f>
        <v>PP</v>
      </c>
      <c r="F5702" t="s">
        <v>6179</v>
      </c>
    </row>
    <row r="5703" spans="1:6" ht="12.75">
      <c r="A5703">
        <v>6948356</v>
      </c>
      <c r="B5703">
        <v>6975751</v>
      </c>
      <c r="C5703" t="s">
        <v>189</v>
      </c>
      <c r="D5703" t="s">
        <v>99</v>
      </c>
      <c r="E5703" s="2" t="str">
        <f>HYPERLINK("https://ibp.a2mac1.com/costing(costing:projects/details/8191/equipment/6948356)","No.07 - Injection Press - 250T - 63kW - 570x570 - Max Volume 958cm3 ")</f>
        <v xml:space="preserve">No.07 - Injection Press - 250T - 63kW - 570x570 - Max Volume 958cm3 </v>
      </c>
      <c r="F5703" t="s">
        <v>6179</v>
      </c>
    </row>
    <row r="5704" spans="1:6" ht="12.75">
      <c r="A5704">
        <v>5388619</v>
      </c>
      <c r="B5704">
        <v>5388263</v>
      </c>
      <c r="C5704" t="s">
        <v>12</v>
      </c>
      <c r="D5704" t="s">
        <v>8</v>
      </c>
      <c r="E5704" s="2" t="str">
        <f>HYPERLINK("https://ibp.a2mac1.com/costing(costing:projects/details/8191/part/5388619)","Windshield Trim")</f>
        <v>Windshield Trim</v>
      </c>
      <c r="F5704" t="s">
        <v>6160</v>
      </c>
    </row>
    <row r="5705" spans="1:6" ht="12.75">
      <c r="A5705">
        <v>6975516</v>
      </c>
      <c r="B5705">
        <v>5388619</v>
      </c>
      <c r="C5705" t="s">
        <v>99</v>
      </c>
      <c r="D5705" t="s">
        <v>12</v>
      </c>
      <c r="E5705" s="2" t="str">
        <f>HYPERLINK("https://ibp.a2mac1.com/costing(costing:projects/details/8191/process/6975516)","Automated Process")</f>
        <v>Automated Process</v>
      </c>
      <c r="F5705" t="s">
        <v>6183</v>
      </c>
    </row>
    <row r="5706" spans="1:6" ht="12.75">
      <c r="A5706">
        <v>5319951</v>
      </c>
      <c r="B5706">
        <v>6975516</v>
      </c>
      <c r="C5706" t="s">
        <v>24</v>
      </c>
      <c r="D5706" t="s">
        <v>99</v>
      </c>
      <c r="E5706" s="2" t="str">
        <f>HYPERLINK("https://ibp.a2mac1.com/costing(costing:projects/details/8191/material/5319951)","PP")</f>
        <v>PP</v>
      </c>
      <c r="F5706" t="s">
        <v>6186</v>
      </c>
    </row>
    <row r="5707" spans="1:6" ht="12.75">
      <c r="A5707">
        <v>6948105</v>
      </c>
      <c r="B5707">
        <v>6975516</v>
      </c>
      <c r="C5707" t="s">
        <v>189</v>
      </c>
      <c r="D5707" t="s">
        <v>99</v>
      </c>
      <c r="E5707" s="2" t="str">
        <f>HYPERLINK("https://ibp.a2mac1.com/costing(costing:projects/details/8191/equipment/6948105)","Equipment (Injection Molding)")</f>
        <v>Equipment (Injection Molding)</v>
      </c>
      <c r="F5707" t="s">
        <v>6186</v>
      </c>
    </row>
    <row r="5708" spans="1:6" ht="12.75">
      <c r="A5708">
        <v>5388620</v>
      </c>
      <c r="B5708">
        <v>5388263</v>
      </c>
      <c r="C5708" t="s">
        <v>12</v>
      </c>
      <c r="D5708" t="s">
        <v>8</v>
      </c>
      <c r="E5708" s="2" t="str">
        <f>HYPERLINK("https://ibp.a2mac1.com/costing(costing:projects/details/8191/part/5388620)","Windshield Trim Support")</f>
        <v>Windshield Trim Support</v>
      </c>
      <c r="F5708" t="s">
        <v>6160</v>
      </c>
    </row>
    <row r="5709" spans="1:6" ht="12.75">
      <c r="A5709">
        <v>6975517</v>
      </c>
      <c r="B5709">
        <v>5388620</v>
      </c>
      <c r="C5709" t="s">
        <v>99</v>
      </c>
      <c r="D5709" t="s">
        <v>12</v>
      </c>
      <c r="E5709" s="2" t="str">
        <f>HYPERLINK("https://ibp.a2mac1.com/costing(costing:projects/details/8191/process/6975517)","Automated Process")</f>
        <v>Automated Process</v>
      </c>
      <c r="F5709" t="s">
        <v>6188</v>
      </c>
    </row>
    <row r="5710" spans="1:6" ht="12.75">
      <c r="A5710">
        <v>5319952</v>
      </c>
      <c r="B5710">
        <v>6975517</v>
      </c>
      <c r="C5710" t="s">
        <v>24</v>
      </c>
      <c r="D5710" t="s">
        <v>99</v>
      </c>
      <c r="E5710" s="2" t="str">
        <f>HYPERLINK("https://ibp.a2mac1.com/costing(costing:projects/details/8191/material/5319952)","Aluminum sheet (default, e.g. EN AW1050A)")</f>
        <v>Aluminum sheet (default, e.g. EN AW1050A)</v>
      </c>
      <c r="F5710" t="s">
        <v>6189</v>
      </c>
    </row>
    <row r="5711" spans="1:6" ht="12.75">
      <c r="A5711">
        <v>6948106</v>
      </c>
      <c r="B5711">
        <v>6975517</v>
      </c>
      <c r="C5711" t="s">
        <v>189</v>
      </c>
      <c r="D5711" t="s">
        <v>99</v>
      </c>
      <c r="E5711" s="2" t="str">
        <f>HYPERLINK("https://ibp.a2mac1.com/costing(costing:projects/details/8191/equipment/6948106)","DC machine - General")</f>
        <v>DC machine - General</v>
      </c>
      <c r="F5711" t="s">
        <v>6189</v>
      </c>
    </row>
    <row r="5712" spans="1:6" ht="12.75">
      <c r="A5712">
        <v>5319493</v>
      </c>
      <c r="B5712">
        <v>5388263</v>
      </c>
      <c r="C5712" t="s">
        <v>574</v>
      </c>
      <c r="D5712" t="s">
        <v>8</v>
      </c>
      <c r="E5712" s="2" t="str">
        <f>HYPERLINK("https://ibp.a2mac1.com/costing(costing:projects/details/8191/component/5319493)","Rivet &gt; Pop rivet")</f>
        <v>Rivet &gt; Pop rivet</v>
      </c>
      <c r="F5712" t="s">
        <v>6160</v>
      </c>
    </row>
    <row r="5713" spans="1:6" ht="12.75">
      <c r="A5713">
        <v>5388264</v>
      </c>
      <c r="B5713">
        <v>5388144</v>
      </c>
      <c r="C5713" t="s">
        <v>8</v>
      </c>
      <c r="D5713" t="s">
        <v>8</v>
      </c>
      <c r="E5713" s="2" t="str">
        <f>HYPERLINK("https://ibp.a2mac1.com/costing(costing:projects/details/8191/assembly/5388264)","Panoramic Roof")</f>
        <v>Panoramic Roof</v>
      </c>
      <c r="F5713" t="s">
        <v>6143</v>
      </c>
    </row>
    <row r="5714" spans="1:6" ht="12.75">
      <c r="A5714">
        <v>5388623</v>
      </c>
      <c r="B5714">
        <v>5388264</v>
      </c>
      <c r="C5714" t="s">
        <v>12</v>
      </c>
      <c r="D5714" t="s">
        <v>8</v>
      </c>
      <c r="E5714" s="2" t="str">
        <f>HYPERLINK("https://ibp.a2mac1.com/costing(costing:projects/details/8191/part/5388623)","Complete Panoramic Roof")</f>
        <v>Complete Panoramic Roof</v>
      </c>
      <c r="F5714" t="s">
        <v>6192</v>
      </c>
    </row>
    <row r="5715" spans="1:6" ht="12.75">
      <c r="A5715">
        <v>6975518</v>
      </c>
      <c r="B5715">
        <v>5388623</v>
      </c>
      <c r="C5715" t="s">
        <v>99</v>
      </c>
      <c r="D5715" t="s">
        <v>12</v>
      </c>
      <c r="E5715" s="2" t="str">
        <f>HYPERLINK("https://ibp.a2mac1.com/costing(costing:projects/details/8191/process/6975518)","Automated Process")</f>
        <v>Automated Process</v>
      </c>
      <c r="F5715" t="s">
        <v>6193</v>
      </c>
    </row>
    <row r="5716" spans="1:6" ht="12.75">
      <c r="A5716">
        <v>5319953</v>
      </c>
      <c r="B5716">
        <v>6975518</v>
      </c>
      <c r="C5716" t="s">
        <v>24</v>
      </c>
      <c r="D5716" t="s">
        <v>99</v>
      </c>
      <c r="E5716" s="2" t="str">
        <f>HYPERLINK("https://ibp.a2mac1.com/costing(costing:projects/details/8191/material/5319953)","Glass + Support sealing and brackets")</f>
        <v>Glass + Support sealing and brackets</v>
      </c>
      <c r="F5716" t="s">
        <v>6194</v>
      </c>
    </row>
    <row r="5717" spans="1:6" ht="12.75">
      <c r="A5717">
        <v>6948107</v>
      </c>
      <c r="B5717">
        <v>6975518</v>
      </c>
      <c r="C5717" t="s">
        <v>189</v>
      </c>
      <c r="D5717" t="s">
        <v>99</v>
      </c>
      <c r="E5717" s="2" t="str">
        <f>HYPERLINK("https://ibp.a2mac1.com/costing(costing:projects/details/8191/equipment/6948107)","DC machine - General")</f>
        <v>DC machine - General</v>
      </c>
      <c r="F5717" t="s">
        <v>6194</v>
      </c>
    </row>
    <row r="5718" spans="1:6" ht="12.75">
      <c r="A5718">
        <v>5388145</v>
      </c>
      <c r="B5718">
        <v>5388128</v>
      </c>
      <c r="C5718" t="s">
        <v>8</v>
      </c>
      <c r="D5718" t="s">
        <v>8</v>
      </c>
      <c r="E5718" s="2" t="str">
        <f>HYPERLINK("https://ibp.a2mac1.com/costing(costing:projects/details/8191/assembly/5388145)","Scuttle Grille System")</f>
        <v>Scuttle Grille System</v>
      </c>
      <c r="F5718" t="s">
        <v>6067</v>
      </c>
    </row>
    <row r="5719" spans="1:6" ht="12.75">
      <c r="A5719">
        <v>5388265</v>
      </c>
      <c r="B5719">
        <v>5388145</v>
      </c>
      <c r="C5719" t="s">
        <v>12</v>
      </c>
      <c r="D5719" t="s">
        <v>8</v>
      </c>
      <c r="E5719" s="2" t="str">
        <f>HYPERLINK("https://ibp.a2mac1.com/costing(costing:projects/details/8191/part/5388265)","Covering Cowl Air Inlet Central Single")</f>
        <v>Covering Cowl Air Inlet Central Single</v>
      </c>
      <c r="F5719" t="s">
        <v>6200</v>
      </c>
    </row>
    <row r="5720" spans="1:6" ht="12.75">
      <c r="A5720">
        <v>6975312</v>
      </c>
      <c r="B5720">
        <v>5388265</v>
      </c>
      <c r="C5720" t="s">
        <v>99</v>
      </c>
      <c r="D5720" t="s">
        <v>12</v>
      </c>
      <c r="E5720" s="2" t="str">
        <f>HYPERLINK("https://ibp.a2mac1.com/costing(costing:projects/details/8191/process/6975312)","Automated Process")</f>
        <v>Automated Process</v>
      </c>
      <c r="F5720" t="s">
        <v>6201</v>
      </c>
    </row>
    <row r="5721" spans="1:6" ht="12.75">
      <c r="A5721">
        <v>5319657</v>
      </c>
      <c r="B5721">
        <v>6975312</v>
      </c>
      <c r="C5721" t="s">
        <v>24</v>
      </c>
      <c r="D5721" t="s">
        <v>99</v>
      </c>
      <c r="E5721" s="2" t="str">
        <f>HYPERLINK("https://ibp.a2mac1.com/costing(costing:projects/details/8191/material/5319657)","PP")</f>
        <v>PP</v>
      </c>
      <c r="F5721" t="s">
        <v>6204</v>
      </c>
    </row>
    <row r="5722" spans="1:6" ht="12.75">
      <c r="A5722">
        <v>6947874</v>
      </c>
      <c r="B5722">
        <v>6975312</v>
      </c>
      <c r="C5722" t="s">
        <v>189</v>
      </c>
      <c r="D5722" t="s">
        <v>99</v>
      </c>
      <c r="E5722" s="2" t="str">
        <f>HYPERLINK("https://ibp.a2mac1.com/costing(costing:projects/details/8191/equipment/6947874)","Equipment (Injection Molding)")</f>
        <v>Equipment (Injection Molding)</v>
      </c>
      <c r="F5722" t="s">
        <v>6204</v>
      </c>
    </row>
    <row r="5723" spans="1:6" ht="12.75">
      <c r="A5723">
        <v>5388266</v>
      </c>
      <c r="B5723">
        <v>5388145</v>
      </c>
      <c r="C5723" t="s">
        <v>12</v>
      </c>
      <c r="D5723" t="s">
        <v>8</v>
      </c>
      <c r="E5723" s="2" t="str">
        <f>HYPERLINK("https://ibp.a2mac1.com/costing(costing:projects/details/8191/part/5388266)","Windshield Weather Strip Trim")</f>
        <v>Windshield Weather Strip Trim</v>
      </c>
      <c r="F5723" t="s">
        <v>6200</v>
      </c>
    </row>
    <row r="5724" spans="1:6" ht="12.75">
      <c r="A5724">
        <v>6975313</v>
      </c>
      <c r="B5724">
        <v>5388266</v>
      </c>
      <c r="C5724" t="s">
        <v>99</v>
      </c>
      <c r="D5724" t="s">
        <v>12</v>
      </c>
      <c r="E5724" s="2" t="str">
        <f>HYPERLINK("https://ibp.a2mac1.com/costing(costing:projects/details/8191/process/6975313)","Automated Process")</f>
        <v>Automated Process</v>
      </c>
      <c r="F5724" t="s">
        <v>6207</v>
      </c>
    </row>
    <row r="5725" spans="1:6" ht="12.75">
      <c r="A5725">
        <v>5319658</v>
      </c>
      <c r="B5725">
        <v>6975313</v>
      </c>
      <c r="C5725" t="s">
        <v>24</v>
      </c>
      <c r="D5725" t="s">
        <v>99</v>
      </c>
      <c r="E5725" s="2" t="str">
        <f>HYPERLINK("https://ibp.a2mac1.com/costing(costing:projects/details/8191/material/5319658)","PP")</f>
        <v>PP</v>
      </c>
      <c r="F5725" t="s">
        <v>6209</v>
      </c>
    </row>
    <row r="5726" spans="1:6" ht="12.75">
      <c r="A5726">
        <v>6947875</v>
      </c>
      <c r="B5726">
        <v>6975313</v>
      </c>
      <c r="C5726" t="s">
        <v>189</v>
      </c>
      <c r="D5726" t="s">
        <v>99</v>
      </c>
      <c r="E5726" s="2" t="str">
        <f>HYPERLINK("https://ibp.a2mac1.com/costing(costing:projects/details/8191/equipment/6947875)","Equipment (Injection Molding)")</f>
        <v>Equipment (Injection Molding)</v>
      </c>
      <c r="F5726" t="s">
        <v>6209</v>
      </c>
    </row>
    <row r="5727" spans="1:6" ht="12.75">
      <c r="A5727">
        <v>5388267</v>
      </c>
      <c r="B5727">
        <v>5388145</v>
      </c>
      <c r="C5727" t="s">
        <v>12</v>
      </c>
      <c r="D5727" t="s">
        <v>8</v>
      </c>
      <c r="E5727" s="2" t="str">
        <f>HYPERLINK("https://ibp.a2mac1.com/costing(costing:projects/details/8191/part/5388267)","Scuttle Grille Reinforcement")</f>
        <v>Scuttle Grille Reinforcement</v>
      </c>
      <c r="F5727" t="s">
        <v>6200</v>
      </c>
    </row>
    <row r="5728" spans="1:6" ht="12.75">
      <c r="A5728">
        <v>6975314</v>
      </c>
      <c r="B5728">
        <v>5388267</v>
      </c>
      <c r="C5728" t="s">
        <v>99</v>
      </c>
      <c r="D5728" t="s">
        <v>12</v>
      </c>
      <c r="E5728" s="2" t="str">
        <f>HYPERLINK("https://ibp.a2mac1.com/costing(costing:projects/details/8191/process/6975314)","Automated Process")</f>
        <v>Automated Process</v>
      </c>
      <c r="F5728" t="s">
        <v>6211</v>
      </c>
    </row>
    <row r="5729" spans="1:6" ht="12.75">
      <c r="A5729">
        <v>5319659</v>
      </c>
      <c r="B5729">
        <v>6975314</v>
      </c>
      <c r="C5729" t="s">
        <v>24</v>
      </c>
      <c r="D5729" t="s">
        <v>99</v>
      </c>
      <c r="E5729" s="2" t="str">
        <f>HYPERLINK("https://ibp.a2mac1.com/costing(costing:projects/details/8191/material/5319659)","PP")</f>
        <v>PP</v>
      </c>
      <c r="F5729" t="s">
        <v>6214</v>
      </c>
    </row>
    <row r="5730" spans="1:6" ht="12.75">
      <c r="A5730">
        <v>6947876</v>
      </c>
      <c r="B5730">
        <v>6975314</v>
      </c>
      <c r="C5730" t="s">
        <v>189</v>
      </c>
      <c r="D5730" t="s">
        <v>99</v>
      </c>
      <c r="E5730" s="2" t="str">
        <f>HYPERLINK("https://ibp.a2mac1.com/costing(costing:projects/details/8191/equipment/6947876)","Equipment (Injection Molding)")</f>
        <v>Equipment (Injection Molding)</v>
      </c>
      <c r="F5730" t="s">
        <v>6214</v>
      </c>
    </row>
    <row r="5731" spans="1:6" ht="12.75">
      <c r="A5731">
        <v>5388146</v>
      </c>
      <c r="B5731">
        <v>5388128</v>
      </c>
      <c r="C5731" t="s">
        <v>8</v>
      </c>
      <c r="D5731" t="s">
        <v>8</v>
      </c>
      <c r="E5731" s="2" t="str">
        <f>HYPERLINK("https://ibp.a2mac1.com/costing(costing:projects/details/8191/assembly/5388146)","Water Box   Draining System")</f>
        <v>Water Box   Draining System</v>
      </c>
      <c r="F5731" t="s">
        <v>6067</v>
      </c>
    </row>
    <row r="5732" spans="1:6" ht="12.75">
      <c r="A5732">
        <v>5388270</v>
      </c>
      <c r="B5732">
        <v>5388146</v>
      </c>
      <c r="C5732" t="s">
        <v>8</v>
      </c>
      <c r="D5732" t="s">
        <v>8</v>
      </c>
      <c r="E5732" s="2" t="str">
        <f>HYPERLINK("https://ibp.a2mac1.com/costing(costing:projects/details/8191/assembly/5388270)","Water Drainage Ducts")</f>
        <v>Water Drainage Ducts</v>
      </c>
      <c r="F5732" t="s">
        <v>6217</v>
      </c>
    </row>
    <row r="5733" spans="1:6" ht="12.75">
      <c r="A5733">
        <v>5388624</v>
      </c>
      <c r="B5733">
        <v>5388270</v>
      </c>
      <c r="C5733" t="s">
        <v>12</v>
      </c>
      <c r="D5733" t="s">
        <v>8</v>
      </c>
      <c r="E5733" s="2" t="str">
        <f>HYPERLINK("https://ibp.a2mac1.com/costing(costing:projects/details/8191/part/5388624)","Draining Flap on Floor")</f>
        <v>Draining Flap on Floor</v>
      </c>
      <c r="F5733" t="s">
        <v>6218</v>
      </c>
    </row>
    <row r="5734" spans="1:6" ht="12.75">
      <c r="A5734">
        <v>6975519</v>
      </c>
      <c r="B5734">
        <v>5388624</v>
      </c>
      <c r="C5734" t="s">
        <v>99</v>
      </c>
      <c r="D5734" t="s">
        <v>12</v>
      </c>
      <c r="E5734" s="2" t="str">
        <f>HYPERLINK("https://ibp.a2mac1.com/costing(costing:projects/details/8191/process/6975519)","Automated Process")</f>
        <v>Automated Process</v>
      </c>
      <c r="F5734" t="s">
        <v>6219</v>
      </c>
    </row>
    <row r="5735" spans="1:6" ht="12.75">
      <c r="A5735">
        <v>5319954</v>
      </c>
      <c r="B5735">
        <v>6975519</v>
      </c>
      <c r="C5735" t="s">
        <v>24</v>
      </c>
      <c r="D5735" t="s">
        <v>99</v>
      </c>
      <c r="E5735" s="2" t="str">
        <f>HYPERLINK("https://ibp.a2mac1.com/costing(costing:projects/details/8191/material/5319954)","PP")</f>
        <v>PP</v>
      </c>
      <c r="F5735" t="s">
        <v>6220</v>
      </c>
    </row>
    <row r="5736" spans="1:6" ht="12.75">
      <c r="A5736">
        <v>6948108</v>
      </c>
      <c r="B5736">
        <v>6975519</v>
      </c>
      <c r="C5736" t="s">
        <v>189</v>
      </c>
      <c r="D5736" t="s">
        <v>99</v>
      </c>
      <c r="E5736" s="2" t="str">
        <f>HYPERLINK("https://ibp.a2mac1.com/costing(costing:projects/details/8191/equipment/6948108)","Equipment (Injection Molding)")</f>
        <v>Equipment (Injection Molding)</v>
      </c>
      <c r="F5736" t="s">
        <v>6220</v>
      </c>
    </row>
    <row r="5737" spans="1:6" ht="12.75">
      <c r="A5737">
        <v>5388625</v>
      </c>
      <c r="B5737">
        <v>5388270</v>
      </c>
      <c r="C5737" t="s">
        <v>12</v>
      </c>
      <c r="D5737" t="s">
        <v>8</v>
      </c>
      <c r="E5737" s="2" t="str">
        <f>HYPERLINK("https://ibp.a2mac1.com/costing(costing:projects/details/8191/part/5388625)","2nd Middle")</f>
        <v>2nd Middle</v>
      </c>
      <c r="F5737" t="s">
        <v>6218</v>
      </c>
    </row>
    <row r="5738" spans="1:6" ht="12.75">
      <c r="A5738">
        <v>6975520</v>
      </c>
      <c r="B5738">
        <v>5388625</v>
      </c>
      <c r="C5738" t="s">
        <v>99</v>
      </c>
      <c r="D5738" t="s">
        <v>12</v>
      </c>
      <c r="E5738" s="2" t="str">
        <f>HYPERLINK("https://ibp.a2mac1.com/costing(costing:projects/details/8191/process/6975520)","Automated Process")</f>
        <v>Automated Process</v>
      </c>
      <c r="F5738" t="s">
        <v>6222</v>
      </c>
    </row>
    <row r="5739" spans="1:6" ht="12.75">
      <c r="A5739">
        <v>5319955</v>
      </c>
      <c r="B5739">
        <v>6975520</v>
      </c>
      <c r="C5739" t="s">
        <v>24</v>
      </c>
      <c r="D5739" t="s">
        <v>99</v>
      </c>
      <c r="E5739" s="2" t="str">
        <f>HYPERLINK("https://ibp.a2mac1.com/costing(costing:projects/details/8191/material/5319955)","PP")</f>
        <v>PP</v>
      </c>
      <c r="F5739" t="s">
        <v>6223</v>
      </c>
    </row>
    <row r="5740" spans="1:6" ht="12.75">
      <c r="A5740">
        <v>6948109</v>
      </c>
      <c r="B5740">
        <v>6975520</v>
      </c>
      <c r="C5740" t="s">
        <v>189</v>
      </c>
      <c r="D5740" t="s">
        <v>99</v>
      </c>
      <c r="E5740" s="2" t="str">
        <f>HYPERLINK("https://ibp.a2mac1.com/costing(costing:projects/details/8191/equipment/6948109)","Equipment (Injection Molding)")</f>
        <v>Equipment (Injection Molding)</v>
      </c>
      <c r="F5740" t="s">
        <v>6223</v>
      </c>
    </row>
    <row r="5741" spans="1:6" ht="12.75">
      <c r="A5741">
        <v>5388268</v>
      </c>
      <c r="B5741">
        <v>5388146</v>
      </c>
      <c r="C5741" t="s">
        <v>12</v>
      </c>
      <c r="D5741" t="s">
        <v>8</v>
      </c>
      <c r="E5741" s="2" t="str">
        <f>HYPERLINK("https://ibp.a2mac1.com/costing(costing:projects/details/8191/part/5388268)","Bulkhead")</f>
        <v>Bulkhead</v>
      </c>
      <c r="F5741" t="s">
        <v>6217</v>
      </c>
    </row>
    <row r="5742" spans="1:6" ht="12.75">
      <c r="A5742">
        <v>6975315</v>
      </c>
      <c r="B5742">
        <v>5388268</v>
      </c>
      <c r="C5742" t="s">
        <v>99</v>
      </c>
      <c r="D5742" t="s">
        <v>12</v>
      </c>
      <c r="E5742" s="2" t="str">
        <f>HYPERLINK("https://ibp.a2mac1.com/costing(costing:projects/details/8191/process/6975315)","Stamping")</f>
        <v>Stamping</v>
      </c>
      <c r="F5742" t="s">
        <v>6226</v>
      </c>
    </row>
    <row r="5743" spans="1:6" ht="12.75">
      <c r="A5743">
        <v>5319660</v>
      </c>
      <c r="B5743">
        <v>6975315</v>
      </c>
      <c r="C5743" t="s">
        <v>24</v>
      </c>
      <c r="D5743" t="s">
        <v>99</v>
      </c>
      <c r="E5743" s="2" t="str">
        <f>HYPERLINK("https://ibp.a2mac1.com/costing(costing:projects/details/8191/material/5319660)","Steel sheet (default)")</f>
        <v>Steel sheet (default)</v>
      </c>
      <c r="F5743" t="s">
        <v>6229</v>
      </c>
    </row>
    <row r="5744" spans="1:6" ht="12.75">
      <c r="A5744">
        <v>6947877</v>
      </c>
      <c r="B5744">
        <v>6975315</v>
      </c>
      <c r="C5744" t="s">
        <v>189</v>
      </c>
      <c r="D5744" t="s">
        <v>99</v>
      </c>
      <c r="E5744" s="2" t="str">
        <f>HYPERLINK("https://ibp.a2mac1.com/costing(costing:projects/details/8191/equipment/6947877)","DC machine - General")</f>
        <v>DC machine - General</v>
      </c>
      <c r="F5744" t="s">
        <v>6229</v>
      </c>
    </row>
    <row r="5745" spans="1:6" ht="12.75">
      <c r="A5745">
        <v>5388269</v>
      </c>
      <c r="B5745">
        <v>5388146</v>
      </c>
      <c r="C5745" t="s">
        <v>12</v>
      </c>
      <c r="D5745" t="s">
        <v>8</v>
      </c>
      <c r="E5745" s="2" t="str">
        <f>HYPERLINK("https://ibp.a2mac1.com/costing(costing:projects/details/8191/part/5388269)","Weather Stripping Panel Body")</f>
        <v>Weather Stripping Panel Body</v>
      </c>
      <c r="F5745" t="s">
        <v>6217</v>
      </c>
    </row>
    <row r="5746" spans="1:6" ht="12.75">
      <c r="A5746">
        <v>6975316</v>
      </c>
      <c r="B5746">
        <v>5388269</v>
      </c>
      <c r="C5746" t="s">
        <v>99</v>
      </c>
      <c r="D5746" t="s">
        <v>12</v>
      </c>
      <c r="E5746" s="2" t="str">
        <f>HYPERLINK("https://ibp.a2mac1.com/costing(costing:projects/details/8191/process/6975316)","Seal Extrusion (Multi Layer)")</f>
        <v>Seal Extrusion (Multi Layer)</v>
      </c>
      <c r="F5746" t="s">
        <v>6231</v>
      </c>
    </row>
    <row r="5747" spans="1:6" ht="12.75">
      <c r="A5747">
        <v>5319661</v>
      </c>
      <c r="B5747">
        <v>6975316</v>
      </c>
      <c r="C5747" t="s">
        <v>24</v>
      </c>
      <c r="D5747" t="s">
        <v>99</v>
      </c>
      <c r="E5747" s="2" t="str">
        <f>HYPERLINK("https://ibp.a2mac1.com/costing(costing:projects/details/8191/material/5319661)","EPDM")</f>
        <v>EPDM</v>
      </c>
      <c r="F5747" t="s">
        <v>6233</v>
      </c>
    </row>
    <row r="5748" spans="1:6" ht="12.75">
      <c r="A5748">
        <v>5319662</v>
      </c>
      <c r="B5748">
        <v>6975316</v>
      </c>
      <c r="C5748" t="s">
        <v>24</v>
      </c>
      <c r="D5748" t="s">
        <v>99</v>
      </c>
      <c r="E5748" s="2" t="str">
        <f>HYPERLINK("https://ibp.a2mac1.com/costing(costing:projects/details/8191/material/5319662)","Ferrous Metal")</f>
        <v>Ferrous Metal</v>
      </c>
      <c r="F5748" t="s">
        <v>6233</v>
      </c>
    </row>
    <row r="5749" spans="1:6" ht="12.75">
      <c r="A5749">
        <v>6947878</v>
      </c>
      <c r="B5749">
        <v>6975316</v>
      </c>
      <c r="C5749" t="s">
        <v>189</v>
      </c>
      <c r="D5749" t="s">
        <v>99</v>
      </c>
      <c r="E5749" s="2" t="str">
        <f>HYPERLINK("https://ibp.a2mac1.com/costing(costing:projects/details/8191/equipment/6947878)","Rubber Extrusion machine")</f>
        <v>Rubber Extrusion machine</v>
      </c>
      <c r="F5749" t="s">
        <v>6233</v>
      </c>
    </row>
    <row r="5750" spans="1:6" ht="12.75">
      <c r="A5750">
        <v>5319429</v>
      </c>
      <c r="B5750">
        <v>5388146</v>
      </c>
      <c r="C5750" t="s">
        <v>574</v>
      </c>
      <c r="D5750" t="s">
        <v>8</v>
      </c>
      <c r="E5750" s="2" t="str">
        <f>HYPERLINK("https://ibp.a2mac1.com/costing(costing:projects/details/8191/component/5319429)","Nut &gt; Hexagonal nut with collar")</f>
        <v>Nut &gt; Hexagonal nut with collar</v>
      </c>
      <c r="F5750" t="s">
        <v>6217</v>
      </c>
    </row>
    <row r="5751" spans="1:6" ht="12.75">
      <c r="A5751">
        <v>5388147</v>
      </c>
      <c r="B5751">
        <v>5388128</v>
      </c>
      <c r="C5751" t="s">
        <v>8</v>
      </c>
      <c r="D5751" t="s">
        <v>8</v>
      </c>
      <c r="E5751" s="2" t="str">
        <f>HYPERLINK("https://ibp.a2mac1.com/costing(costing:projects/details/8191/assembly/5388147)","Rocker Panel Cover")</f>
        <v>Rocker Panel Cover</v>
      </c>
      <c r="F5751" t="s">
        <v>6067</v>
      </c>
    </row>
    <row r="5752" spans="1:6" ht="12.75">
      <c r="A5752">
        <v>5388271</v>
      </c>
      <c r="B5752">
        <v>5388147</v>
      </c>
      <c r="C5752" t="s">
        <v>12</v>
      </c>
      <c r="D5752" t="s">
        <v>8</v>
      </c>
      <c r="E5752" s="2" t="str">
        <f>HYPERLINK("https://ibp.a2mac1.com/costing(costing:projects/details/8191/part/5388271)","Cover")</f>
        <v>Cover</v>
      </c>
      <c r="F5752" t="s">
        <v>6237</v>
      </c>
    </row>
    <row r="5753" spans="1:6" ht="12.75">
      <c r="A5753">
        <v>6975317</v>
      </c>
      <c r="B5753">
        <v>5388271</v>
      </c>
      <c r="C5753" t="s">
        <v>99</v>
      </c>
      <c r="D5753" t="s">
        <v>12</v>
      </c>
      <c r="E5753" s="2" t="str">
        <f>HYPERLINK("https://ibp.a2mac1.com/costing(costing:projects/details/8191/process/6975317)","Automated Process")</f>
        <v>Automated Process</v>
      </c>
      <c r="F5753" t="s">
        <v>6238</v>
      </c>
    </row>
    <row r="5754" spans="1:6" ht="12.75">
      <c r="A5754">
        <v>5319663</v>
      </c>
      <c r="B5754">
        <v>6975317</v>
      </c>
      <c r="C5754" t="s">
        <v>24</v>
      </c>
      <c r="D5754" t="s">
        <v>99</v>
      </c>
      <c r="E5754" s="2" t="str">
        <f>HYPERLINK("https://ibp.a2mac1.com/costing(costing:projects/details/8191/material/5319663)","PP-E/P")</f>
        <v>PP-E/P</v>
      </c>
      <c r="F5754" t="s">
        <v>6241</v>
      </c>
    </row>
    <row r="5755" spans="1:6" ht="12.75">
      <c r="A5755">
        <v>6947879</v>
      </c>
      <c r="B5755">
        <v>6975317</v>
      </c>
      <c r="C5755" t="s">
        <v>189</v>
      </c>
      <c r="D5755" t="s">
        <v>99</v>
      </c>
      <c r="E5755" s="2" t="str">
        <f>HYPERLINK("https://ibp.a2mac1.com/costing(costing:projects/details/8191/equipment/6947879)","Equipment (Injection Molding)")</f>
        <v>Equipment (Injection Molding)</v>
      </c>
      <c r="F5755" t="s">
        <v>6241</v>
      </c>
    </row>
    <row r="5756" spans="1:6" ht="12.75">
      <c r="A5756">
        <v>5319430</v>
      </c>
      <c r="B5756">
        <v>5388147</v>
      </c>
      <c r="C5756" t="s">
        <v>574</v>
      </c>
      <c r="D5756" t="s">
        <v>8</v>
      </c>
      <c r="E5756" s="2" t="str">
        <f>HYPERLINK("https://ibp.a2mac1.com/costing(costing:projects/details/8191/component/5319430)","Panel holder &gt; Clips in round hole")</f>
        <v>Panel holder &gt; Clips in round hole</v>
      </c>
      <c r="F5756" t="s">
        <v>6237</v>
      </c>
    </row>
    <row r="5757" spans="1:6" ht="12.75">
      <c r="A5757">
        <v>5388148</v>
      </c>
      <c r="B5757">
        <v>5388128</v>
      </c>
      <c r="C5757" t="s">
        <v>8</v>
      </c>
      <c r="D5757" t="s">
        <v>8</v>
      </c>
      <c r="E5757" s="2" t="str">
        <f>HYPERLINK("https://ibp.a2mac1.com/costing(costing:projects/details/8191/assembly/5388148)","Pillar Trim")</f>
        <v>Pillar Trim</v>
      </c>
      <c r="F5757" t="s">
        <v>6067</v>
      </c>
    </row>
    <row r="5758" spans="1:6" ht="12.75">
      <c r="A5758">
        <v>5388272</v>
      </c>
      <c r="B5758">
        <v>5388148</v>
      </c>
      <c r="C5758" t="s">
        <v>12</v>
      </c>
      <c r="D5758" t="s">
        <v>8</v>
      </c>
      <c r="E5758" s="2" t="str">
        <f>HYPERLINK("https://ibp.a2mac1.com/costing(costing:projects/details/8191/part/5388272)","A Pillar Trims 1")</f>
        <v>A Pillar Trims 1</v>
      </c>
      <c r="F5758" t="s">
        <v>6244</v>
      </c>
    </row>
    <row r="5759" spans="1:6" ht="12.75">
      <c r="A5759">
        <v>6975318</v>
      </c>
      <c r="B5759">
        <v>5388272</v>
      </c>
      <c r="C5759" t="s">
        <v>99</v>
      </c>
      <c r="D5759" t="s">
        <v>12</v>
      </c>
      <c r="E5759" s="2" t="str">
        <f>HYPERLINK("https://ibp.a2mac1.com/costing(costing:projects/details/8191/process/6975318)","Automated Process")</f>
        <v>Automated Process</v>
      </c>
      <c r="F5759" t="s">
        <v>6245</v>
      </c>
    </row>
    <row r="5760" spans="1:6" ht="12.75">
      <c r="A5760">
        <v>5319664</v>
      </c>
      <c r="B5760">
        <v>6975318</v>
      </c>
      <c r="C5760" t="s">
        <v>24</v>
      </c>
      <c r="D5760" t="s">
        <v>99</v>
      </c>
      <c r="E5760" s="2" t="str">
        <f>HYPERLINK("https://ibp.a2mac1.com/costing(costing:projects/details/8191/material/5319664)","PC-ABS")</f>
        <v>PC-ABS</v>
      </c>
      <c r="F5760" t="s">
        <v>6246</v>
      </c>
    </row>
    <row r="5761" spans="1:6" ht="12.75">
      <c r="A5761">
        <v>6947880</v>
      </c>
      <c r="B5761">
        <v>6975318</v>
      </c>
      <c r="C5761" t="s">
        <v>189</v>
      </c>
      <c r="D5761" t="s">
        <v>99</v>
      </c>
      <c r="E5761" s="2" t="str">
        <f>HYPERLINK("https://ibp.a2mac1.com/costing(costing:projects/details/8191/equipment/6947880)","Equipment (Injection Molding)")</f>
        <v>Equipment (Injection Molding)</v>
      </c>
      <c r="F5761" t="s">
        <v>6246</v>
      </c>
    </row>
    <row r="5762" spans="1:6" ht="12.75">
      <c r="A5762">
        <v>5388273</v>
      </c>
      <c r="B5762">
        <v>5388148</v>
      </c>
      <c r="C5762" t="s">
        <v>12</v>
      </c>
      <c r="D5762" t="s">
        <v>8</v>
      </c>
      <c r="E5762" s="2" t="str">
        <f>HYPERLINK("https://ibp.a2mac1.com/costing(costing:projects/details/8191/part/5388273)","C Left Pillar Trims")</f>
        <v>C Left Pillar Trims</v>
      </c>
      <c r="F5762" t="s">
        <v>6244</v>
      </c>
    </row>
    <row r="5763" spans="1:6" ht="12.75">
      <c r="A5763">
        <v>6975319</v>
      </c>
      <c r="B5763">
        <v>5388273</v>
      </c>
      <c r="C5763" t="s">
        <v>99</v>
      </c>
      <c r="D5763" t="s">
        <v>12</v>
      </c>
      <c r="E5763" s="2" t="str">
        <f>HYPERLINK("https://ibp.a2mac1.com/costing(costing:projects/details/8191/process/6975319)","Automated Process")</f>
        <v>Automated Process</v>
      </c>
      <c r="F5763" t="s">
        <v>6248</v>
      </c>
    </row>
    <row r="5764" spans="1:6" ht="12.75">
      <c r="A5764">
        <v>5319665</v>
      </c>
      <c r="B5764">
        <v>6975319</v>
      </c>
      <c r="C5764" t="s">
        <v>24</v>
      </c>
      <c r="D5764" t="s">
        <v>99</v>
      </c>
      <c r="E5764" s="2" t="str">
        <f>HYPERLINK("https://ibp.a2mac1.com/costing(costing:projects/details/8191/material/5319665)","PC-ABS")</f>
        <v>PC-ABS</v>
      </c>
      <c r="F5764" t="s">
        <v>6251</v>
      </c>
    </row>
    <row r="5765" spans="1:6" ht="12.75">
      <c r="A5765">
        <v>6947881</v>
      </c>
      <c r="B5765">
        <v>6975319</v>
      </c>
      <c r="C5765" t="s">
        <v>189</v>
      </c>
      <c r="D5765" t="s">
        <v>99</v>
      </c>
      <c r="E5765" s="2" t="str">
        <f>HYPERLINK("https://ibp.a2mac1.com/costing(costing:projects/details/8191/equipment/6947881)","Equipment (Injection Molding)")</f>
        <v>Equipment (Injection Molding)</v>
      </c>
      <c r="F5765" t="s">
        <v>6251</v>
      </c>
    </row>
    <row r="5766" spans="1:6" ht="12.75">
      <c r="A5766">
        <v>5388274</v>
      </c>
      <c r="B5766">
        <v>5388148</v>
      </c>
      <c r="C5766" t="s">
        <v>12</v>
      </c>
      <c r="D5766" t="s">
        <v>8</v>
      </c>
      <c r="E5766" s="2" t="str">
        <f>HYPERLINK("https://ibp.a2mac1.com/costing(costing:projects/details/8191/part/5388274)","Left C Pillar Trims Support")</f>
        <v>Left C Pillar Trims Support</v>
      </c>
      <c r="F5766" t="s">
        <v>6244</v>
      </c>
    </row>
    <row r="5767" spans="1:6" ht="12.75">
      <c r="A5767">
        <v>6975320</v>
      </c>
      <c r="B5767">
        <v>5388274</v>
      </c>
      <c r="C5767" t="s">
        <v>99</v>
      </c>
      <c r="D5767" t="s">
        <v>12</v>
      </c>
      <c r="E5767" s="2" t="str">
        <f>HYPERLINK("https://ibp.a2mac1.com/costing(costing:projects/details/8191/process/6975320)","Automated Process")</f>
        <v>Automated Process</v>
      </c>
      <c r="F5767" t="s">
        <v>6253</v>
      </c>
    </row>
    <row r="5768" spans="1:6" ht="12.75">
      <c r="A5768">
        <v>5319666</v>
      </c>
      <c r="B5768">
        <v>6975320</v>
      </c>
      <c r="C5768" t="s">
        <v>24</v>
      </c>
      <c r="D5768" t="s">
        <v>99</v>
      </c>
      <c r="E5768" s="2" t="str">
        <f>HYPERLINK("https://ibp.a2mac1.com/costing(costing:projects/details/8191/material/5319666)","PC")</f>
        <v>PC</v>
      </c>
      <c r="F5768" t="s">
        <v>6256</v>
      </c>
    </row>
    <row r="5769" spans="1:6" ht="12.75">
      <c r="A5769">
        <v>5319667</v>
      </c>
      <c r="B5769">
        <v>6975320</v>
      </c>
      <c r="C5769" t="s">
        <v>24</v>
      </c>
      <c r="D5769" t="s">
        <v>99</v>
      </c>
      <c r="E5769" s="2" t="str">
        <f>HYPERLINK("https://ibp.a2mac1.com/costing(costing:projects/details/8191/material/5319667)","ABS")</f>
        <v>ABS</v>
      </c>
      <c r="F5769" t="s">
        <v>6256</v>
      </c>
    </row>
    <row r="5770" spans="1:6" ht="12.75">
      <c r="A5770">
        <v>5319668</v>
      </c>
      <c r="B5770">
        <v>6975320</v>
      </c>
      <c r="C5770" t="s">
        <v>24</v>
      </c>
      <c r="D5770" t="s">
        <v>99</v>
      </c>
      <c r="E5770" s="2" t="str">
        <f>HYPERLINK("https://ibp.a2mac1.com/costing(costing:projects/details/8191/material/5319668)","PP")</f>
        <v>PP</v>
      </c>
      <c r="F5770" t="s">
        <v>6256</v>
      </c>
    </row>
    <row r="5771" spans="1:6" ht="12.75">
      <c r="A5771">
        <v>5319669</v>
      </c>
      <c r="B5771">
        <v>6975320</v>
      </c>
      <c r="C5771" t="s">
        <v>24</v>
      </c>
      <c r="D5771" t="s">
        <v>99</v>
      </c>
      <c r="E5771" s="2" t="str">
        <f>HYPERLINK("https://ibp.a2mac1.com/costing(costing:projects/details/8191/material/5319669)","TPV-(EPDM-PP)")</f>
        <v>TPV-(EPDM-PP)</v>
      </c>
      <c r="F5771" t="s">
        <v>6256</v>
      </c>
    </row>
    <row r="5772" spans="1:6" ht="12.75">
      <c r="A5772">
        <v>5319670</v>
      </c>
      <c r="B5772">
        <v>6975320</v>
      </c>
      <c r="C5772" t="s">
        <v>24</v>
      </c>
      <c r="D5772" t="s">
        <v>99</v>
      </c>
      <c r="E5772" s="2" t="str">
        <f>HYPERLINK("https://ibp.a2mac1.com/costing(costing:projects/details/8191/material/5319670)","ASA")</f>
        <v>ASA</v>
      </c>
      <c r="F5772" t="s">
        <v>6256</v>
      </c>
    </row>
    <row r="5773" spans="1:6" ht="12.75">
      <c r="A5773">
        <v>6947882</v>
      </c>
      <c r="B5773">
        <v>6975320</v>
      </c>
      <c r="C5773" t="s">
        <v>189</v>
      </c>
      <c r="D5773" t="s">
        <v>99</v>
      </c>
      <c r="E5773" s="2" t="str">
        <f>HYPERLINK("https://ibp.a2mac1.com/costing(costing:projects/details/8191/equipment/6947882)","Equipment (Injection Molding)")</f>
        <v>Equipment (Injection Molding)</v>
      </c>
      <c r="F5773" t="s">
        <v>6256</v>
      </c>
    </row>
    <row r="5774" spans="1:6" ht="12.75">
      <c r="A5774">
        <v>6947883</v>
      </c>
      <c r="B5774">
        <v>6975320</v>
      </c>
      <c r="C5774" t="s">
        <v>189</v>
      </c>
      <c r="D5774" t="s">
        <v>99</v>
      </c>
      <c r="E5774" s="2" t="str">
        <f>HYPERLINK("https://ibp.a2mac1.com/costing(costing:projects/details/8191/equipment/6947883)","Equipment (Injection Molding)")</f>
        <v>Equipment (Injection Molding)</v>
      </c>
      <c r="F5774" t="s">
        <v>6256</v>
      </c>
    </row>
    <row r="5775" spans="1:6" ht="12.75">
      <c r="A5775">
        <v>6947884</v>
      </c>
      <c r="B5775">
        <v>6975320</v>
      </c>
      <c r="C5775" t="s">
        <v>189</v>
      </c>
      <c r="D5775" t="s">
        <v>99</v>
      </c>
      <c r="E5775" s="2" t="str">
        <f>HYPERLINK("https://ibp.a2mac1.com/costing(costing:projects/details/8191/equipment/6947884)","Equipment (Injection Molding)")</f>
        <v>Equipment (Injection Molding)</v>
      </c>
      <c r="F5775" t="s">
        <v>6256</v>
      </c>
    </row>
    <row r="5776" spans="1:6" ht="12.75">
      <c r="A5776">
        <v>6947885</v>
      </c>
      <c r="B5776">
        <v>6975320</v>
      </c>
      <c r="C5776" t="s">
        <v>189</v>
      </c>
      <c r="D5776" t="s">
        <v>99</v>
      </c>
      <c r="E5776" s="2" t="str">
        <f>HYPERLINK("https://ibp.a2mac1.com/costing(costing:projects/details/8191/equipment/6947885)","Equipment (Injection Molding)")</f>
        <v>Equipment (Injection Molding)</v>
      </c>
      <c r="F5776" t="s">
        <v>6256</v>
      </c>
    </row>
    <row r="5777" spans="1:6" ht="12.75">
      <c r="A5777">
        <v>6947886</v>
      </c>
      <c r="B5777">
        <v>6975320</v>
      </c>
      <c r="C5777" t="s">
        <v>189</v>
      </c>
      <c r="D5777" t="s">
        <v>99</v>
      </c>
      <c r="E5777" s="2" t="str">
        <f>HYPERLINK("https://ibp.a2mac1.com/costing(costing:projects/details/8191/equipment/6947886)","Equipment (Injection Molding)")</f>
        <v>Equipment (Injection Molding)</v>
      </c>
      <c r="F5777" t="s">
        <v>6256</v>
      </c>
    </row>
    <row r="5778" spans="1:6" ht="12.75">
      <c r="A5778">
        <v>5319431</v>
      </c>
      <c r="B5778">
        <v>5388148</v>
      </c>
      <c r="C5778" t="s">
        <v>574</v>
      </c>
      <c r="D5778" t="s">
        <v>8</v>
      </c>
      <c r="E5778" s="2" t="str">
        <f>HYPERLINK("https://ibp.a2mac1.com/costing(costing:projects/details/8191/component/5319431)","Other fastener &gt; Adhesive")</f>
        <v>Other fastener &gt; Adhesive</v>
      </c>
      <c r="F5778" t="s">
        <v>6244</v>
      </c>
    </row>
    <row r="5779" spans="1:6" ht="12.75">
      <c r="A5779">
        <v>5319432</v>
      </c>
      <c r="B5779">
        <v>5388148</v>
      </c>
      <c r="C5779" t="s">
        <v>574</v>
      </c>
      <c r="D5779" t="s">
        <v>8</v>
      </c>
      <c r="E5779" s="2" t="str">
        <f>HYPERLINK("https://ibp.a2mac1.com/costing(costing:projects/details/8191/component/5319432)","Panel holder &gt; Clips in round hole")</f>
        <v>Panel holder &gt; Clips in round hole</v>
      </c>
      <c r="F5779" t="s">
        <v>6244</v>
      </c>
    </row>
    <row r="5780" spans="1:6" ht="12.75">
      <c r="A5780">
        <v>5388149</v>
      </c>
      <c r="B5780">
        <v>5388128</v>
      </c>
      <c r="C5780" t="s">
        <v>8</v>
      </c>
      <c r="D5780" t="s">
        <v>8</v>
      </c>
      <c r="E5780" s="2" t="str">
        <f>HYPERLINK("https://ibp.a2mac1.com/costing(costing:projects/details/8191/assembly/5388149)","Roof Trim")</f>
        <v>Roof Trim</v>
      </c>
      <c r="F5780" t="s">
        <v>6067</v>
      </c>
    </row>
    <row r="5781" spans="1:6" ht="12.75">
      <c r="A5781">
        <v>5388275</v>
      </c>
      <c r="B5781">
        <v>5388149</v>
      </c>
      <c r="C5781" t="s">
        <v>12</v>
      </c>
      <c r="D5781" t="s">
        <v>8</v>
      </c>
      <c r="E5781" s="2" t="str">
        <f>HYPERLINK("https://ibp.a2mac1.com/costing(costing:projects/details/8191/part/5388275)","Roof Trim Side")</f>
        <v>Roof Trim Side</v>
      </c>
      <c r="F5781" t="s">
        <v>6260</v>
      </c>
    </row>
    <row r="5782" spans="1:6" ht="12.75">
      <c r="A5782">
        <v>6975321</v>
      </c>
      <c r="B5782">
        <v>5388275</v>
      </c>
      <c r="C5782" t="s">
        <v>99</v>
      </c>
      <c r="D5782" t="s">
        <v>12</v>
      </c>
      <c r="E5782" s="2" t="str">
        <f>HYPERLINK("https://ibp.a2mac1.com/costing(costing:projects/details/8191/process/6975321)","Aluminum extrusion")</f>
        <v>Aluminum extrusion</v>
      </c>
      <c r="F5782" t="s">
        <v>6261</v>
      </c>
    </row>
    <row r="5783" spans="1:6" ht="12.75">
      <c r="A5783">
        <v>5319671</v>
      </c>
      <c r="B5783">
        <v>6975321</v>
      </c>
      <c r="C5783" t="s">
        <v>24</v>
      </c>
      <c r="D5783" t="s">
        <v>99</v>
      </c>
      <c r="E5783" s="2" t="str">
        <f>HYPERLINK("https://ibp.a2mac1.com/costing(costing:projects/details/8191/material/5319671)","Aluminum for extrusion (default, e.g. EN-AW6016)")</f>
        <v>Aluminum for extrusion (default, e.g. EN-AW6016)</v>
      </c>
      <c r="F5783" t="s">
        <v>6264</v>
      </c>
    </row>
    <row r="5784" spans="1:6" ht="12.75">
      <c r="A5784">
        <v>5319672</v>
      </c>
      <c r="B5784">
        <v>6975321</v>
      </c>
      <c r="C5784" t="s">
        <v>24</v>
      </c>
      <c r="D5784" t="s">
        <v>99</v>
      </c>
      <c r="E5784" s="2" t="str">
        <f>HYPERLINK("https://ibp.a2mac1.com/costing(costing:projects/details/8191/material/5319672)","PVC-P")</f>
        <v>PVC-P</v>
      </c>
      <c r="F5784" t="s">
        <v>6264</v>
      </c>
    </row>
    <row r="5785" spans="1:6" ht="12.75">
      <c r="A5785">
        <v>6947887</v>
      </c>
      <c r="B5785">
        <v>6975321</v>
      </c>
      <c r="C5785" t="s">
        <v>189</v>
      </c>
      <c r="D5785" t="s">
        <v>99</v>
      </c>
      <c r="E5785" s="2" t="str">
        <f>HYPERLINK("https://ibp.a2mac1.com/costing(costing:projects/details/8191/equipment/6947887)","No.01 - Extrusion Press Line - 600T ")</f>
        <v xml:space="preserve">No.01 - Extrusion Press Line - 600T </v>
      </c>
      <c r="F5785" t="s">
        <v>6264</v>
      </c>
    </row>
    <row r="5786" spans="1:6" ht="12.75">
      <c r="A5786">
        <v>5319433</v>
      </c>
      <c r="B5786">
        <v>5388149</v>
      </c>
      <c r="C5786" t="s">
        <v>574</v>
      </c>
      <c r="D5786" t="s">
        <v>8</v>
      </c>
      <c r="E5786" s="2" t="str">
        <f>HYPERLINK("https://ibp.a2mac1.com/costing(costing:projects/details/8191/component/5319433)","Panel holder &gt; Clips in round hole")</f>
        <v>Panel holder &gt; Clips in round hole</v>
      </c>
      <c r="F5786" t="s">
        <v>6260</v>
      </c>
    </row>
    <row r="5787" spans="1:6" ht="12.75">
      <c r="A5787">
        <v>5388150</v>
      </c>
      <c r="B5787">
        <v>5388128</v>
      </c>
      <c r="C5787" t="s">
        <v>8</v>
      </c>
      <c r="D5787" t="s">
        <v>8</v>
      </c>
      <c r="E5787" s="2" t="str">
        <f>HYPERLINK("https://ibp.a2mac1.com/costing(costing:projects/details/8191/assembly/5388150)","Decompression System")</f>
        <v>Decompression System</v>
      </c>
      <c r="F5787" t="s">
        <v>6067</v>
      </c>
    </row>
    <row r="5788" spans="1:6" ht="12.75">
      <c r="A5788">
        <v>5388276</v>
      </c>
      <c r="B5788">
        <v>5388150</v>
      </c>
      <c r="C5788" t="s">
        <v>12</v>
      </c>
      <c r="D5788" t="s">
        <v>8</v>
      </c>
      <c r="E5788" s="2" t="str">
        <f>HYPERLINK("https://ibp.a2mac1.com/costing(costing:projects/details/8191/part/5388276)","Decompression Air Vent")</f>
        <v>Decompression Air Vent</v>
      </c>
      <c r="F5788" t="s">
        <v>6270</v>
      </c>
    </row>
    <row r="5789" spans="1:6" ht="12.75">
      <c r="A5789">
        <v>6975322</v>
      </c>
      <c r="B5789">
        <v>5388276</v>
      </c>
      <c r="C5789" t="s">
        <v>99</v>
      </c>
      <c r="D5789" t="s">
        <v>12</v>
      </c>
      <c r="E5789" s="2" t="str">
        <f>HYPERLINK("https://ibp.a2mac1.com/costing(costing:projects/details/8191/process/6975322)","Injection molding")</f>
        <v>Injection molding</v>
      </c>
      <c r="F5789" t="s">
        <v>6271</v>
      </c>
    </row>
    <row r="5790" spans="1:6" ht="12.75">
      <c r="A5790">
        <v>5319673</v>
      </c>
      <c r="B5790">
        <v>6975322</v>
      </c>
      <c r="C5790" t="s">
        <v>24</v>
      </c>
      <c r="D5790" t="s">
        <v>99</v>
      </c>
      <c r="E5790" s="2" t="str">
        <f>HYPERLINK("https://ibp.a2mac1.com/costing(costing:projects/details/8191/material/5319673)","PP-EPDM")</f>
        <v>PP-EPDM</v>
      </c>
      <c r="F5790" t="s">
        <v>6274</v>
      </c>
    </row>
    <row r="5791" spans="1:6" ht="12.75">
      <c r="A5791">
        <v>6947888</v>
      </c>
      <c r="B5791">
        <v>6975322</v>
      </c>
      <c r="C5791" t="s">
        <v>189</v>
      </c>
      <c r="D5791" t="s">
        <v>99</v>
      </c>
      <c r="E5791" s="2" t="str">
        <f>HYPERLINK("https://ibp.a2mac1.com/costing(costing:projects/details/8191/equipment/6947888)","No.04 - Injection Press - 100T - 33kW - 400x400 - Max Volume 260cm3 ")</f>
        <v xml:space="preserve">No.04 - Injection Press - 100T - 33kW - 400x400 - Max Volume 260cm3 </v>
      </c>
      <c r="F5791" t="s">
        <v>6274</v>
      </c>
    </row>
    <row r="5792" spans="1:6" ht="12.75">
      <c r="A5792">
        <v>6975323</v>
      </c>
      <c r="B5792">
        <v>5388276</v>
      </c>
      <c r="C5792" t="s">
        <v>99</v>
      </c>
      <c r="D5792" t="s">
        <v>12</v>
      </c>
      <c r="E5792" s="2" t="str">
        <f>HYPERLINK("https://ibp.a2mac1.com/costing(costing:projects/details/8191/process/6975323)","Handling/Visual Inspection/Packing")</f>
        <v>Handling/Visual Inspection/Packing</v>
      </c>
      <c r="F5792" t="s">
        <v>6271</v>
      </c>
    </row>
    <row r="5793" spans="1:6" ht="12.75">
      <c r="A5793">
        <v>6947889</v>
      </c>
      <c r="B5793">
        <v>6975323</v>
      </c>
      <c r="C5793" t="s">
        <v>189</v>
      </c>
      <c r="D5793" t="s">
        <v>99</v>
      </c>
      <c r="E5793" s="2" t="str">
        <f>HYPERLINK("https://ibp.a2mac1.com/costing(costing:projects/details/8191/equipment/6947889)","Packaging ")</f>
        <v xml:space="preserve">Packaging </v>
      </c>
      <c r="F5793" t="s">
        <v>6277</v>
      </c>
    </row>
    <row r="5794" spans="1:6" ht="12.75">
      <c r="A5794">
        <v>5388151</v>
      </c>
      <c r="B5794">
        <v>5388128</v>
      </c>
      <c r="C5794" t="s">
        <v>8</v>
      </c>
      <c r="D5794" t="s">
        <v>8</v>
      </c>
      <c r="E5794" s="2" t="str">
        <f>HYPERLINK("https://ibp.a2mac1.com/costing(costing:projects/details/8191/assembly/5388151)","Hole Plugs")</f>
        <v>Hole Plugs</v>
      </c>
      <c r="F5794" t="s">
        <v>6067</v>
      </c>
    </row>
    <row r="5795" spans="1:6" ht="12.75">
      <c r="A5795">
        <v>5388277</v>
      </c>
      <c r="B5795">
        <v>5388151</v>
      </c>
      <c r="C5795" t="s">
        <v>12</v>
      </c>
      <c r="D5795" t="s">
        <v>8</v>
      </c>
      <c r="E5795" s="2" t="str">
        <f>HYPERLINK("https://ibp.a2mac1.com/costing(costing:projects/details/8191/part/5388277)","Wheel Arch Front")</f>
        <v>Wheel Arch Front</v>
      </c>
      <c r="F5795" t="s">
        <v>6281</v>
      </c>
    </row>
    <row r="5796" spans="1:6" ht="12.75">
      <c r="A5796">
        <v>5388278</v>
      </c>
      <c r="B5796">
        <v>5388151</v>
      </c>
      <c r="C5796" t="s">
        <v>12</v>
      </c>
      <c r="D5796" t="s">
        <v>8</v>
      </c>
      <c r="E5796" s="2" t="str">
        <f>HYPERLINK("https://ibp.a2mac1.com/costing(costing:projects/details/8191/part/5388278)","Wheel Arch Rear")</f>
        <v>Wheel Arch Rear</v>
      </c>
      <c r="F5796" t="s">
        <v>6281</v>
      </c>
    </row>
    <row r="5797" spans="1:6" ht="12.75">
      <c r="A5797">
        <v>5388279</v>
      </c>
      <c r="B5797">
        <v>5388151</v>
      </c>
      <c r="C5797" t="s">
        <v>12</v>
      </c>
      <c r="D5797" t="s">
        <v>8</v>
      </c>
      <c r="E5797" s="2" t="str">
        <f>HYPERLINK("https://ibp.a2mac1.com/costing(costing:projects/details/8191/part/5388279)","Passenger Cell Floor")</f>
        <v>Passenger Cell Floor</v>
      </c>
      <c r="F5797" t="s">
        <v>6281</v>
      </c>
    </row>
    <row r="5798" spans="1:6" ht="12.75">
      <c r="A5798">
        <v>5388280</v>
      </c>
      <c r="B5798">
        <v>5388151</v>
      </c>
      <c r="C5798" t="s">
        <v>12</v>
      </c>
      <c r="D5798" t="s">
        <v>8</v>
      </c>
      <c r="E5798" s="2" t="str">
        <f>HYPERLINK("https://ibp.a2mac1.com/costing(costing:projects/details/8191/part/5388280)","Trunk Tailgate Floor")</f>
        <v>Trunk Tailgate Floor</v>
      </c>
      <c r="F5798" t="s">
        <v>6281</v>
      </c>
    </row>
    <row r="5799" spans="1:6" ht="12.75">
      <c r="A5799">
        <v>5388281</v>
      </c>
      <c r="B5799">
        <v>5388151</v>
      </c>
      <c r="C5799" t="s">
        <v>12</v>
      </c>
      <c r="D5799" t="s">
        <v>8</v>
      </c>
      <c r="E5799" s="2" t="str">
        <f>HYPERLINK("https://ibp.a2mac1.com/costing(costing:projects/details/8191/part/5388281)","Hyper Structure")</f>
        <v>Hyper Structure</v>
      </c>
      <c r="F5799" t="s">
        <v>6281</v>
      </c>
    </row>
    <row r="5800" spans="1:6" ht="12.75">
      <c r="A5800">
        <v>5388282</v>
      </c>
      <c r="B5800">
        <v>5388151</v>
      </c>
      <c r="C5800" t="s">
        <v>12</v>
      </c>
      <c r="D5800" t="s">
        <v>8</v>
      </c>
      <c r="E5800" s="2" t="str">
        <f>HYPERLINK("https://ibp.a2mac1.com/costing(costing:projects/details/8191/part/5388282)","Underbody")</f>
        <v>Underbody</v>
      </c>
      <c r="F5800" t="s">
        <v>6281</v>
      </c>
    </row>
    <row r="5801" spans="1:6" ht="12.75">
      <c r="A5801">
        <v>5388283</v>
      </c>
      <c r="B5801">
        <v>5388151</v>
      </c>
      <c r="C5801" t="s">
        <v>12</v>
      </c>
      <c r="D5801" t="s">
        <v>8</v>
      </c>
      <c r="E5801" s="2" t="str">
        <f>HYPERLINK("https://ibp.a2mac1.com/costing(costing:projects/details/8191/part/5388283)","Engine Compartment")</f>
        <v>Engine Compartment</v>
      </c>
      <c r="F5801" t="s">
        <v>6281</v>
      </c>
    </row>
    <row r="5802" spans="1:6" ht="12.75">
      <c r="A5802">
        <v>5388284</v>
      </c>
      <c r="B5802">
        <v>5388151</v>
      </c>
      <c r="C5802" t="s">
        <v>12</v>
      </c>
      <c r="D5802" t="s">
        <v>8</v>
      </c>
      <c r="E5802" s="2" t="str">
        <f>HYPERLINK("https://ibp.a2mac1.com/costing(costing:projects/details/8191/part/5388284)","Front Body Panel")</f>
        <v>Front Body Panel</v>
      </c>
      <c r="F5802" t="s">
        <v>6281</v>
      </c>
    </row>
    <row r="5803" spans="1:6" ht="12.75">
      <c r="A5803">
        <v>5388285</v>
      </c>
      <c r="B5803">
        <v>5388151</v>
      </c>
      <c r="C5803" t="s">
        <v>12</v>
      </c>
      <c r="D5803" t="s">
        <v>8</v>
      </c>
      <c r="E5803" s="2" t="str">
        <f>HYPERLINK("https://ibp.a2mac1.com/costing(costing:projects/details/8191/part/5388285)","Drainage System")</f>
        <v>Drainage System</v>
      </c>
      <c r="F5803" t="s">
        <v>6281</v>
      </c>
    </row>
    <row r="5804" spans="1:6" ht="12.75">
      <c r="A5804">
        <v>5388286</v>
      </c>
      <c r="B5804">
        <v>5388151</v>
      </c>
      <c r="C5804" t="s">
        <v>12</v>
      </c>
      <c r="D5804" t="s">
        <v>8</v>
      </c>
      <c r="E5804" s="2" t="str">
        <f>HYPERLINK("https://ibp.a2mac1.com/costing(costing:projects/details/8191/part/5388286)","On Roof")</f>
        <v>On Roof</v>
      </c>
      <c r="F5804" t="s">
        <v>6281</v>
      </c>
    </row>
    <row r="5805" spans="1:6" ht="12.75">
      <c r="A5805">
        <v>5319434</v>
      </c>
      <c r="B5805">
        <v>5388151</v>
      </c>
      <c r="C5805" t="s">
        <v>574</v>
      </c>
      <c r="D5805" t="s">
        <v>8</v>
      </c>
      <c r="E5805" s="2" t="str">
        <f>HYPERLINK("https://ibp.a2mac1.com/costing(costing:projects/details/8191/component/5319434)","Hole plug &gt; Oval hole")</f>
        <v>Hole plug &gt; Oval hole</v>
      </c>
      <c r="F5805" t="s">
        <v>6281</v>
      </c>
    </row>
    <row r="5806" spans="1:6" ht="12.75">
      <c r="A5806">
        <v>5319435</v>
      </c>
      <c r="B5806">
        <v>5388151</v>
      </c>
      <c r="C5806" t="s">
        <v>574</v>
      </c>
      <c r="D5806" t="s">
        <v>8</v>
      </c>
      <c r="E5806" s="2" t="str">
        <f>HYPERLINK("https://ibp.a2mac1.com/costing(costing:projects/details/8191/component/5319435)","Hole plug &gt; Round hole")</f>
        <v>Hole plug &gt; Round hole</v>
      </c>
      <c r="F5806" t="s">
        <v>6281</v>
      </c>
    </row>
    <row r="5807" spans="1:6" ht="12.75">
      <c r="A5807">
        <v>5319436</v>
      </c>
      <c r="B5807">
        <v>5388151</v>
      </c>
      <c r="C5807" t="s">
        <v>574</v>
      </c>
      <c r="D5807" t="s">
        <v>8</v>
      </c>
      <c r="E5807" s="2" t="str">
        <f>HYPERLINK("https://ibp.a2mac1.com/costing(costing:projects/details/8191/component/5319436)","Hole plug &gt; Oval hole")</f>
        <v>Hole plug &gt; Oval hole</v>
      </c>
      <c r="F5807" t="s">
        <v>6281</v>
      </c>
    </row>
    <row r="5808" spans="1:6" ht="12.75">
      <c r="A5808">
        <v>5319437</v>
      </c>
      <c r="B5808">
        <v>5388151</v>
      </c>
      <c r="C5808" t="s">
        <v>574</v>
      </c>
      <c r="D5808" t="s">
        <v>8</v>
      </c>
      <c r="E5808" s="2" t="str">
        <f>HYPERLINK("https://ibp.a2mac1.com/costing(costing:projects/details/8191/component/5319437)","Hole plug &gt; Oval hole")</f>
        <v>Hole plug &gt; Oval hole</v>
      </c>
      <c r="F5808" t="s">
        <v>6281</v>
      </c>
    </row>
    <row r="5809" spans="1:6" ht="12.75">
      <c r="A5809">
        <v>5319438</v>
      </c>
      <c r="B5809">
        <v>5388151</v>
      </c>
      <c r="C5809" t="s">
        <v>574</v>
      </c>
      <c r="D5809" t="s">
        <v>8</v>
      </c>
      <c r="E5809" s="2" t="str">
        <f>HYPERLINK("https://ibp.a2mac1.com/costing(costing:projects/details/8191/component/5319438)","Hole plug &gt; Oval hole")</f>
        <v>Hole plug &gt; Oval hole</v>
      </c>
      <c r="F5809" t="s">
        <v>6281</v>
      </c>
    </row>
    <row r="5810" spans="1:6" ht="12.75">
      <c r="A5810">
        <v>5319439</v>
      </c>
      <c r="B5810">
        <v>5388151</v>
      </c>
      <c r="C5810" t="s">
        <v>574</v>
      </c>
      <c r="D5810" t="s">
        <v>8</v>
      </c>
      <c r="E5810" s="2" t="str">
        <f>HYPERLINK("https://ibp.a2mac1.com/costing(costing:projects/details/8191/component/5319439)","Hole plug &gt; Oval hole")</f>
        <v>Hole plug &gt; Oval hole</v>
      </c>
      <c r="F5810" t="s">
        <v>6281</v>
      </c>
    </row>
    <row r="5811" spans="1:6" ht="12.75">
      <c r="A5811">
        <v>5319440</v>
      </c>
      <c r="B5811">
        <v>5388151</v>
      </c>
      <c r="C5811" t="s">
        <v>574</v>
      </c>
      <c r="D5811" t="s">
        <v>8</v>
      </c>
      <c r="E5811" s="2" t="str">
        <f>HYPERLINK("https://ibp.a2mac1.com/costing(costing:projects/details/8191/component/5319440)","Hole plug &gt; Round hole")</f>
        <v>Hole plug &gt; Round hole</v>
      </c>
      <c r="F5811" t="s">
        <v>6281</v>
      </c>
    </row>
    <row r="5812" spans="1:6" ht="12.75">
      <c r="A5812">
        <v>5319441</v>
      </c>
      <c r="B5812">
        <v>5388151</v>
      </c>
      <c r="C5812" t="s">
        <v>574</v>
      </c>
      <c r="D5812" t="s">
        <v>8</v>
      </c>
      <c r="E5812" s="2" t="str">
        <f>HYPERLINK("https://ibp.a2mac1.com/costing(costing:projects/details/8191/component/5319441)","Hole plug &gt; Round hole")</f>
        <v>Hole plug &gt; Round hole</v>
      </c>
      <c r="F5812" t="s">
        <v>6281</v>
      </c>
    </row>
    <row r="5813" spans="1:6" ht="12.75">
      <c r="A5813">
        <v>5319442</v>
      </c>
      <c r="B5813">
        <v>5388151</v>
      </c>
      <c r="C5813" t="s">
        <v>574</v>
      </c>
      <c r="D5813" t="s">
        <v>8</v>
      </c>
      <c r="E5813" s="2" t="str">
        <f>HYPERLINK("https://ibp.a2mac1.com/costing(costing:projects/details/8191/component/5319442)","Hole plug &gt; Round hole")</f>
        <v>Hole plug &gt; Round hole</v>
      </c>
      <c r="F5813" t="s">
        <v>6281</v>
      </c>
    </row>
    <row r="5814" spans="1:6" ht="12.75">
      <c r="A5814">
        <v>5319443</v>
      </c>
      <c r="B5814">
        <v>5388151</v>
      </c>
      <c r="C5814" t="s">
        <v>574</v>
      </c>
      <c r="D5814" t="s">
        <v>8</v>
      </c>
      <c r="E5814" s="2" t="str">
        <f>HYPERLINK("https://ibp.a2mac1.com/costing(costing:projects/details/8191/component/5319443)","Hole plug &gt; Round hole")</f>
        <v>Hole plug &gt; Round hole</v>
      </c>
      <c r="F5814" t="s">
        <v>6281</v>
      </c>
    </row>
    <row r="5815" spans="1:6" ht="12.75">
      <c r="A5815">
        <v>5388152</v>
      </c>
      <c r="B5815">
        <v>5388128</v>
      </c>
      <c r="C5815" t="s">
        <v>8</v>
      </c>
      <c r="D5815" t="s">
        <v>8</v>
      </c>
      <c r="E5815" s="2" t="str">
        <f>HYPERLINK("https://ibp.a2mac1.com/costing(costing:projects/details/8191/assembly/5388152)","Roof Member")</f>
        <v>Roof Member</v>
      </c>
      <c r="F5815" t="s">
        <v>6067</v>
      </c>
    </row>
    <row r="5816" spans="1:6" ht="12.75">
      <c r="A5816">
        <v>5388287</v>
      </c>
      <c r="B5816">
        <v>5388152</v>
      </c>
      <c r="C5816" t="s">
        <v>12</v>
      </c>
      <c r="D5816" t="s">
        <v>8</v>
      </c>
      <c r="E5816" s="2" t="str">
        <f>HYPERLINK("https://ibp.a2mac1.com/costing(costing:projects/details/8191/part/5388287)","Cross Member")</f>
        <v>Cross Member</v>
      </c>
      <c r="F5816" t="s">
        <v>6299</v>
      </c>
    </row>
    <row r="5817" spans="1:6" ht="12.75">
      <c r="A5817">
        <v>6975324</v>
      </c>
      <c r="B5817">
        <v>5388287</v>
      </c>
      <c r="C5817" t="s">
        <v>99</v>
      </c>
      <c r="D5817" t="s">
        <v>12</v>
      </c>
      <c r="E5817" s="2" t="str">
        <f>HYPERLINK("https://ibp.a2mac1.com/costing(costing:projects/details/8191/process/6975324)","Blanking")</f>
        <v>Blanking</v>
      </c>
      <c r="F5817" t="s">
        <v>6300</v>
      </c>
    </row>
    <row r="5818" spans="1:6" ht="12.75">
      <c r="A5818">
        <v>5319674</v>
      </c>
      <c r="B5818">
        <v>6975324</v>
      </c>
      <c r="C5818" t="s">
        <v>24</v>
      </c>
      <c r="D5818" t="s">
        <v>99</v>
      </c>
      <c r="E5818" s="2" t="str">
        <f>HYPERLINK("https://ibp.a2mac1.com/costing(costing:projects/details/8191/material/5319674)","Steel sheet (default)")</f>
        <v>Steel sheet (default)</v>
      </c>
      <c r="F5818" t="s">
        <v>6303</v>
      </c>
    </row>
    <row r="5819" spans="1:6" ht="12.75">
      <c r="A5819">
        <v>6947890</v>
      </c>
      <c r="B5819">
        <v>6975324</v>
      </c>
      <c r="C5819" t="s">
        <v>189</v>
      </c>
      <c r="D5819" t="s">
        <v>99</v>
      </c>
      <c r="E5819" s="2" t="str">
        <f>HYPERLINK("https://ibp.a2mac1.com/costing(costing:projects/details/8191/equipment/6947890)","No.01 - Blanking Press - 500T ")</f>
        <v xml:space="preserve">No.01 - Blanking Press - 500T </v>
      </c>
      <c r="F5819" t="s">
        <v>6303</v>
      </c>
    </row>
    <row r="5820" spans="1:6" ht="12.75">
      <c r="A5820">
        <v>6975325</v>
      </c>
      <c r="B5820">
        <v>5388287</v>
      </c>
      <c r="C5820" t="s">
        <v>99</v>
      </c>
      <c r="D5820" t="s">
        <v>12</v>
      </c>
      <c r="E5820" s="2" t="str">
        <f>HYPERLINK("https://ibp.a2mac1.com/costing(costing:projects/details/8191/process/6975325)","Stamping")</f>
        <v>Stamping</v>
      </c>
      <c r="F5820" t="s">
        <v>6300</v>
      </c>
    </row>
    <row r="5821" spans="1:6" ht="12.75">
      <c r="A5821">
        <v>6947891</v>
      </c>
      <c r="B5821">
        <v>6975325</v>
      </c>
      <c r="C5821" t="s">
        <v>189</v>
      </c>
      <c r="D5821" t="s">
        <v>99</v>
      </c>
      <c r="E5821" s="2" t="str">
        <f>HYPERLINK("https://ibp.a2mac1.com/costing(costing:projects/details/8191/equipment/6947891)","No.02 - Tandem Press Line - 800T + 4 x 400T ")</f>
        <v xml:space="preserve">No.02 - Tandem Press Line - 800T + 4 x 400T </v>
      </c>
      <c r="F5821" t="s">
        <v>6304</v>
      </c>
    </row>
    <row r="5822" spans="1:6" ht="12.75">
      <c r="A5822">
        <v>5319444</v>
      </c>
      <c r="B5822">
        <v>5388152</v>
      </c>
      <c r="C5822" t="s">
        <v>574</v>
      </c>
      <c r="D5822" t="s">
        <v>8</v>
      </c>
      <c r="E5822" s="2" t="str">
        <f>HYPERLINK("https://ibp.a2mac1.com/costing(costing:projects/details/8191/component/5319444)","Stud &gt; Threaded screwed up dowel")</f>
        <v>Stud &gt; Threaded screwed up dowel</v>
      </c>
      <c r="F5822" t="s">
        <v>6299</v>
      </c>
    </row>
    <row r="5823" spans="1:6" ht="12.75">
      <c r="A5823">
        <v>5388153</v>
      </c>
      <c r="B5823">
        <v>5388128</v>
      </c>
      <c r="C5823" t="s">
        <v>8</v>
      </c>
      <c r="D5823" t="s">
        <v>8</v>
      </c>
      <c r="E5823" s="2" t="str">
        <f>HYPERLINK("https://ibp.a2mac1.com/costing(costing:projects/details/8191/assembly/5388153)","Sliding Roof System")</f>
        <v>Sliding Roof System</v>
      </c>
      <c r="F5823" t="s">
        <v>6067</v>
      </c>
    </row>
    <row r="5824" spans="1:6" ht="12.75">
      <c r="A5824">
        <v>5388288</v>
      </c>
      <c r="B5824">
        <v>5388153</v>
      </c>
      <c r="C5824" t="s">
        <v>8</v>
      </c>
      <c r="D5824" t="s">
        <v>8</v>
      </c>
      <c r="E5824" s="2" t="str">
        <f>HYPERLINK("https://ibp.a2mac1.com/costing(costing:projects/details/8191/assembly/5388288)","Front")</f>
        <v>Front</v>
      </c>
      <c r="F5824" t="s">
        <v>6308</v>
      </c>
    </row>
    <row r="5825" spans="1:6" ht="12.75">
      <c r="A5825">
        <v>5388626</v>
      </c>
      <c r="B5825">
        <v>5388288</v>
      </c>
      <c r="C5825" t="s">
        <v>12</v>
      </c>
      <c r="D5825" t="s">
        <v>8</v>
      </c>
      <c r="E5825" s="2" t="str">
        <f>HYPERLINK("https://ibp.a2mac1.com/costing(costing:projects/details/8191/part/5388626)","Sun Roof")</f>
        <v>Sun Roof</v>
      </c>
      <c r="F5825" t="s">
        <v>6309</v>
      </c>
    </row>
    <row r="5826" spans="1:6" ht="12.75">
      <c r="A5826">
        <v>6975521</v>
      </c>
      <c r="B5826">
        <v>5388626</v>
      </c>
      <c r="C5826" t="s">
        <v>99</v>
      </c>
      <c r="D5826" t="s">
        <v>12</v>
      </c>
      <c r="E5826" s="2" t="str">
        <f>HYPERLINK("https://ibp.a2mac1.com/costing(costing:projects/details/8191/process/6975521)","Automated Process")</f>
        <v>Automated Process</v>
      </c>
      <c r="F5826" t="s">
        <v>6310</v>
      </c>
    </row>
    <row r="5827" spans="1:6" ht="12.75">
      <c r="A5827">
        <v>5319956</v>
      </c>
      <c r="B5827">
        <v>6975521</v>
      </c>
      <c r="C5827" t="s">
        <v>24</v>
      </c>
      <c r="D5827" t="s">
        <v>99</v>
      </c>
      <c r="E5827" s="2" t="str">
        <f>HYPERLINK("https://ibp.a2mac1.com/costing(costing:projects/details/8191/material/5319956)","PLASTIC UNKNOWN")</f>
        <v>PLASTIC UNKNOWN</v>
      </c>
      <c r="F5827" t="s">
        <v>6313</v>
      </c>
    </row>
    <row r="5828" spans="1:6" ht="12.75">
      <c r="A5828">
        <v>5319957</v>
      </c>
      <c r="B5828">
        <v>6975521</v>
      </c>
      <c r="C5828" t="s">
        <v>24</v>
      </c>
      <c r="D5828" t="s">
        <v>99</v>
      </c>
      <c r="E5828" s="2" t="str">
        <f>HYPERLINK("https://ibp.a2mac1.com/costing(costing:projects/details/8191/material/5319957)","EPDM")</f>
        <v>EPDM</v>
      </c>
      <c r="F5828" t="s">
        <v>6313</v>
      </c>
    </row>
    <row r="5829" spans="1:6" ht="12.75">
      <c r="A5829">
        <v>6948110</v>
      </c>
      <c r="B5829">
        <v>6975521</v>
      </c>
      <c r="C5829" t="s">
        <v>189</v>
      </c>
      <c r="D5829" t="s">
        <v>99</v>
      </c>
      <c r="E5829" s="2" t="str">
        <f>HYPERLINK("https://ibp.a2mac1.com/costing(costing:projects/details/8191/equipment/6948110)","Equipment (Injection Molding)")</f>
        <v>Equipment (Injection Molding)</v>
      </c>
      <c r="F5829" t="s">
        <v>6313</v>
      </c>
    </row>
    <row r="5830" spans="1:6" ht="12.75">
      <c r="A5830">
        <v>6948111</v>
      </c>
      <c r="B5830">
        <v>6975521</v>
      </c>
      <c r="C5830" t="s">
        <v>189</v>
      </c>
      <c r="D5830" t="s">
        <v>99</v>
      </c>
      <c r="E5830" s="2" t="str">
        <f>HYPERLINK("https://ibp.a2mac1.com/costing(costing:projects/details/8191/equipment/6948111)","Equipment (Injection Molding)")</f>
        <v>Equipment (Injection Molding)</v>
      </c>
      <c r="F5830" t="s">
        <v>6313</v>
      </c>
    </row>
    <row r="5831" spans="1:6" ht="12.75">
      <c r="A5831">
        <v>6948112</v>
      </c>
      <c r="B5831">
        <v>6975521</v>
      </c>
      <c r="C5831" t="s">
        <v>189</v>
      </c>
      <c r="D5831" t="s">
        <v>99</v>
      </c>
      <c r="E5831" s="2" t="str">
        <f>HYPERLINK("https://ibp.a2mac1.com/costing(costing:projects/details/8191/equipment/6948112)","Equipment (Standard Process)")</f>
        <v>Equipment (Standard Process)</v>
      </c>
      <c r="F5831" t="s">
        <v>6313</v>
      </c>
    </row>
    <row r="5832" spans="1:6" ht="12.75">
      <c r="A5832">
        <v>5319494</v>
      </c>
      <c r="B5832">
        <v>5388288</v>
      </c>
      <c r="C5832" t="s">
        <v>574</v>
      </c>
      <c r="D5832" t="s">
        <v>8</v>
      </c>
      <c r="E5832" s="2" t="str">
        <f>HYPERLINK("https://ibp.a2mac1.com/costing(costing:projects/details/8191/component/5319494)","Nut &gt; Hexagonal nut with collar")</f>
        <v>Nut &gt; Hexagonal nut with collar</v>
      </c>
      <c r="F5832" t="s">
        <v>6309</v>
      </c>
    </row>
    <row r="5833" spans="1:6" ht="12.75">
      <c r="A5833">
        <v>5388289</v>
      </c>
      <c r="B5833">
        <v>5388153</v>
      </c>
      <c r="C5833" t="s">
        <v>8</v>
      </c>
      <c r="D5833" t="s">
        <v>8</v>
      </c>
      <c r="E5833" s="2" t="str">
        <f>HYPERLINK("https://ibp.a2mac1.com/costing(costing:projects/details/8191/assembly/5388289)","Sliding Roof Water Outlet System")</f>
        <v>Sliding Roof Water Outlet System</v>
      </c>
      <c r="F5833" t="s">
        <v>6308</v>
      </c>
    </row>
    <row r="5834" spans="1:6" ht="12.75">
      <c r="A5834">
        <v>5388627</v>
      </c>
      <c r="B5834">
        <v>5388289</v>
      </c>
      <c r="C5834" t="s">
        <v>12</v>
      </c>
      <c r="D5834" t="s">
        <v>8</v>
      </c>
      <c r="E5834" s="2" t="str">
        <f>HYPERLINK("https://ibp.a2mac1.com/costing(costing:projects/details/8191/part/5388627)","Rear")</f>
        <v>Rear</v>
      </c>
      <c r="F5834" t="s">
        <v>6317</v>
      </c>
    </row>
    <row r="5835" spans="1:6" ht="12.75">
      <c r="A5835">
        <v>6975522</v>
      </c>
      <c r="B5835">
        <v>5388627</v>
      </c>
      <c r="C5835" t="s">
        <v>99</v>
      </c>
      <c r="D5835" t="s">
        <v>12</v>
      </c>
      <c r="E5835" s="2" t="str">
        <f>HYPERLINK("https://ibp.a2mac1.com/costing(costing:projects/details/8191/process/6975522)","Automated Process")</f>
        <v>Automated Process</v>
      </c>
      <c r="F5835" t="s">
        <v>6318</v>
      </c>
    </row>
    <row r="5836" spans="1:6" ht="12.75">
      <c r="A5836">
        <v>5319958</v>
      </c>
      <c r="B5836">
        <v>6975522</v>
      </c>
      <c r="C5836" t="s">
        <v>24</v>
      </c>
      <c r="D5836" t="s">
        <v>99</v>
      </c>
      <c r="E5836" s="2" t="str">
        <f>HYPERLINK("https://ibp.a2mac1.com/costing(costing:projects/details/8191/material/5319958)","PVC")</f>
        <v>PVC</v>
      </c>
      <c r="F5836" t="s">
        <v>6321</v>
      </c>
    </row>
    <row r="5837" spans="1:6" ht="12.75">
      <c r="A5837">
        <v>6948113</v>
      </c>
      <c r="B5837">
        <v>6975522</v>
      </c>
      <c r="C5837" t="s">
        <v>189</v>
      </c>
      <c r="D5837" t="s">
        <v>99</v>
      </c>
      <c r="E5837" s="2" t="str">
        <f>HYPERLINK("https://ibp.a2mac1.com/costing(costing:projects/details/8191/equipment/6948113)","Equipment (Injection Molding)")</f>
        <v>Equipment (Injection Molding)</v>
      </c>
      <c r="F5837" t="s">
        <v>6321</v>
      </c>
    </row>
    <row r="5838" spans="1:6" ht="12.75">
      <c r="A5838">
        <v>5388628</v>
      </c>
      <c r="B5838">
        <v>5388289</v>
      </c>
      <c r="C5838" t="s">
        <v>12</v>
      </c>
      <c r="D5838" t="s">
        <v>8</v>
      </c>
      <c r="E5838" s="2" t="str">
        <f>HYPERLINK("https://ibp.a2mac1.com/costing(costing:projects/details/8191/part/5388628)","Water Drainage Outlet")</f>
        <v>Water Drainage Outlet</v>
      </c>
      <c r="F5838" t="s">
        <v>6317</v>
      </c>
    </row>
    <row r="5839" spans="1:6" ht="12.75">
      <c r="A5839">
        <v>6975523</v>
      </c>
      <c r="B5839">
        <v>5388628</v>
      </c>
      <c r="C5839" t="s">
        <v>99</v>
      </c>
      <c r="D5839" t="s">
        <v>12</v>
      </c>
      <c r="E5839" s="2" t="str">
        <f>HYPERLINK("https://ibp.a2mac1.com/costing(costing:projects/details/8191/process/6975523)","Automated Process")</f>
        <v>Automated Process</v>
      </c>
      <c r="F5839" t="s">
        <v>6324</v>
      </c>
    </row>
    <row r="5840" spans="1:6" ht="12.75">
      <c r="A5840">
        <v>5319959</v>
      </c>
      <c r="B5840">
        <v>6975523</v>
      </c>
      <c r="C5840" t="s">
        <v>24</v>
      </c>
      <c r="D5840" t="s">
        <v>99</v>
      </c>
      <c r="E5840" s="2" t="str">
        <f>HYPERLINK("https://ibp.a2mac1.com/costing(costing:projects/details/8191/material/5319959)","PP")</f>
        <v>PP</v>
      </c>
      <c r="F5840" t="s">
        <v>6327</v>
      </c>
    </row>
    <row r="5841" spans="1:6" ht="12.75">
      <c r="A5841">
        <v>6948114</v>
      </c>
      <c r="B5841">
        <v>6975523</v>
      </c>
      <c r="C5841" t="s">
        <v>189</v>
      </c>
      <c r="D5841" t="s">
        <v>99</v>
      </c>
      <c r="E5841" s="2" t="str">
        <f>HYPERLINK("https://ibp.a2mac1.com/costing(costing:projects/details/8191/equipment/6948114)","Equipment (Injection Molding)")</f>
        <v>Equipment (Injection Molding)</v>
      </c>
      <c r="F5841" t="s">
        <v>6327</v>
      </c>
    </row>
    <row r="5842" spans="1:6" ht="12.75">
      <c r="A5842">
        <v>5319495</v>
      </c>
      <c r="B5842">
        <v>5388289</v>
      </c>
      <c r="C5842" t="s">
        <v>574</v>
      </c>
      <c r="D5842" t="s">
        <v>8</v>
      </c>
      <c r="E5842" s="2" t="str">
        <f>HYPERLINK("https://ibp.a2mac1.com/costing(costing:projects/details/8191/component/5319495)","Tube/cluster support &gt; Tube/cluster clipped support in hole")</f>
        <v>Tube/cluster support &gt; Tube/cluster clipped support in hole</v>
      </c>
      <c r="F5842" t="s">
        <v>6317</v>
      </c>
    </row>
    <row r="5843" spans="1:6" ht="12.75">
      <c r="A5843">
        <v>5388154</v>
      </c>
      <c r="B5843">
        <v>5388128</v>
      </c>
      <c r="C5843" t="s">
        <v>8</v>
      </c>
      <c r="D5843" t="s">
        <v>8</v>
      </c>
      <c r="E5843" s="2" t="str">
        <f>HYPERLINK("https://ibp.a2mac1.com/costing(costing:projects/details/8191/assembly/5388154)","Engine Compartment Protection System")</f>
        <v>Engine Compartment Protection System</v>
      </c>
      <c r="F5843" t="s">
        <v>6067</v>
      </c>
    </row>
    <row r="5844" spans="1:6" ht="12.75">
      <c r="A5844">
        <v>5388290</v>
      </c>
      <c r="B5844">
        <v>5388154</v>
      </c>
      <c r="C5844" t="s">
        <v>12</v>
      </c>
      <c r="D5844" t="s">
        <v>8</v>
      </c>
      <c r="E5844" s="2" t="str">
        <f>HYPERLINK("https://ibp.a2mac1.com/costing(costing:projects/details/8191/part/5388290)","Left")</f>
        <v>Left</v>
      </c>
      <c r="F5844" t="s">
        <v>6331</v>
      </c>
    </row>
    <row r="5845" spans="1:6" ht="12.75">
      <c r="A5845">
        <v>6975326</v>
      </c>
      <c r="B5845">
        <v>5388290</v>
      </c>
      <c r="C5845" t="s">
        <v>99</v>
      </c>
      <c r="D5845" t="s">
        <v>12</v>
      </c>
      <c r="E5845" s="2" t="str">
        <f>HYPERLINK("https://ibp.a2mac1.com/costing(costing:projects/details/8191/process/6975326)","Injection molding")</f>
        <v>Injection molding</v>
      </c>
      <c r="F5845" t="s">
        <v>6332</v>
      </c>
    </row>
    <row r="5846" spans="1:6" ht="12.75">
      <c r="A5846">
        <v>5319675</v>
      </c>
      <c r="B5846">
        <v>6975326</v>
      </c>
      <c r="C5846" t="s">
        <v>24</v>
      </c>
      <c r="D5846" t="s">
        <v>99</v>
      </c>
      <c r="E5846" s="2" t="str">
        <f>HYPERLINK("https://ibp.a2mac1.com/costing(costing:projects/details/8191/material/5319675)","PA6-GF15")</f>
        <v>PA6-GF15</v>
      </c>
      <c r="F5846" t="s">
        <v>6334</v>
      </c>
    </row>
    <row r="5847" spans="1:6" ht="12.75">
      <c r="A5847">
        <v>6947892</v>
      </c>
      <c r="B5847">
        <v>6975326</v>
      </c>
      <c r="C5847" t="s">
        <v>189</v>
      </c>
      <c r="D5847" t="s">
        <v>99</v>
      </c>
      <c r="E5847" s="2" t="str">
        <f>HYPERLINK("https://ibp.a2mac1.com/costing(costing:projects/details/8191/equipment/6947892)","No.06 - Injection Press - 200T - 45kW - 510x510 - Max Volume 624cm3 ")</f>
        <v xml:space="preserve">No.06 - Injection Press - 200T - 45kW - 510x510 - Max Volume 624cm3 </v>
      </c>
      <c r="F5847" t="s">
        <v>6334</v>
      </c>
    </row>
    <row r="5848" spans="1:6" ht="12.75">
      <c r="A5848">
        <v>5388291</v>
      </c>
      <c r="B5848">
        <v>5388154</v>
      </c>
      <c r="C5848" t="s">
        <v>12</v>
      </c>
      <c r="D5848" t="s">
        <v>8</v>
      </c>
      <c r="E5848" s="2" t="str">
        <f>HYPERLINK("https://ibp.a2mac1.com/costing(costing:projects/details/8191/part/5388291)","2nd Left")</f>
        <v>2nd Left</v>
      </c>
      <c r="F5848" t="s">
        <v>6331</v>
      </c>
    </row>
    <row r="5849" spans="1:6" ht="12.75">
      <c r="A5849">
        <v>6975327</v>
      </c>
      <c r="B5849">
        <v>5388291</v>
      </c>
      <c r="C5849" t="s">
        <v>99</v>
      </c>
      <c r="D5849" t="s">
        <v>12</v>
      </c>
      <c r="E5849" s="2" t="str">
        <f>HYPERLINK("https://ibp.a2mac1.com/costing(costing:projects/details/8191/process/6975327)","Injection molding")</f>
        <v>Injection molding</v>
      </c>
      <c r="F5849" t="s">
        <v>6337</v>
      </c>
    </row>
    <row r="5850" spans="1:6" ht="12.75">
      <c r="A5850">
        <v>5319676</v>
      </c>
      <c r="B5850">
        <v>6975327</v>
      </c>
      <c r="C5850" t="s">
        <v>24</v>
      </c>
      <c r="D5850" t="s">
        <v>99</v>
      </c>
      <c r="E5850" s="2" t="str">
        <f>HYPERLINK("https://ibp.a2mac1.com/costing(costing:projects/details/8191/material/5319676)","PA6-GF15")</f>
        <v>PA6-GF15</v>
      </c>
      <c r="F5850" t="s">
        <v>6341</v>
      </c>
    </row>
    <row r="5851" spans="1:6" ht="12.75">
      <c r="A5851">
        <v>6947893</v>
      </c>
      <c r="B5851">
        <v>6975327</v>
      </c>
      <c r="C5851" t="s">
        <v>189</v>
      </c>
      <c r="D5851" t="s">
        <v>99</v>
      </c>
      <c r="E5851" s="2" t="str">
        <f>HYPERLINK("https://ibp.a2mac1.com/costing(costing:projects/details/8191/equipment/6947893)","Equipment (Injection Molding)")</f>
        <v>Equipment (Injection Molding)</v>
      </c>
      <c r="F5851" t="s">
        <v>6341</v>
      </c>
    </row>
    <row r="5852" spans="1:6" ht="12.75">
      <c r="A5852">
        <v>5388155</v>
      </c>
      <c r="B5852">
        <v>5388128</v>
      </c>
      <c r="C5852" t="s">
        <v>8</v>
      </c>
      <c r="D5852" t="s">
        <v>8</v>
      </c>
      <c r="E5852" s="2" t="str">
        <f>HYPERLINK("https://ibp.a2mac1.com/costing(costing:projects/details/8191/assembly/5388155)","Body In White (With Paint)")</f>
        <v>Body In White (With Paint)</v>
      </c>
      <c r="F5852" t="s">
        <v>6067</v>
      </c>
    </row>
    <row r="5853" spans="1:6" ht="12.75">
      <c r="A5853">
        <v>5388292</v>
      </c>
      <c r="B5853">
        <v>5388155</v>
      </c>
      <c r="C5853" t="s">
        <v>8</v>
      </c>
      <c r="D5853" t="s">
        <v>8</v>
      </c>
      <c r="E5853" s="2" t="str">
        <f>HYPERLINK("https://ibp.a2mac1.com/costing(costing:projects/details/8191/assembly/5388292)","Upper body")</f>
        <v>Upper body</v>
      </c>
      <c r="F5853" t="s">
        <v>6344</v>
      </c>
    </row>
    <row r="5854" spans="1:6" ht="12.75">
      <c r="A5854">
        <v>5388629</v>
      </c>
      <c r="B5854">
        <v>5388292</v>
      </c>
      <c r="C5854" t="s">
        <v>8</v>
      </c>
      <c r="D5854" t="s">
        <v>8</v>
      </c>
      <c r="E5854" s="2" t="str">
        <f>HYPERLINK("https://ibp.a2mac1.com/costing(costing:projects/details/8191/assembly/5388629)","Roof assy")</f>
        <v>Roof assy</v>
      </c>
      <c r="F5854" t="s">
        <v>6345</v>
      </c>
    </row>
    <row r="5855" spans="1:6" ht="12.75">
      <c r="A5855">
        <v>5388935</v>
      </c>
      <c r="B5855">
        <v>5388629</v>
      </c>
      <c r="C5855" t="s">
        <v>8</v>
      </c>
      <c r="D5855" t="s">
        <v>8</v>
      </c>
      <c r="E5855" s="2" t="str">
        <f>HYPERLINK("https://ibp.a2mac1.com/costing(costing:projects/details/8191/assembly/5388935)","Cross members")</f>
        <v>Cross members</v>
      </c>
      <c r="F5855" t="s">
        <v>6346</v>
      </c>
    </row>
    <row r="5856" spans="1:6" ht="12.75">
      <c r="A5856">
        <v>5389236</v>
      </c>
      <c r="B5856">
        <v>5388935</v>
      </c>
      <c r="C5856" t="s">
        <v>8</v>
      </c>
      <c r="D5856" t="s">
        <v>8</v>
      </c>
      <c r="E5856" s="2" t="str">
        <f>HYPERLINK("https://ibp.a2mac1.com/costing(costing:projects/details/8191/assembly/5389236)","Front cross member assy")</f>
        <v>Front cross member assy</v>
      </c>
      <c r="F5856" t="s">
        <v>6347</v>
      </c>
    </row>
    <row r="5857" spans="1:6" ht="12.75">
      <c r="A5857">
        <v>5389437</v>
      </c>
      <c r="B5857">
        <v>5389236</v>
      </c>
      <c r="C5857" t="s">
        <v>8</v>
      </c>
      <c r="D5857" t="s">
        <v>8</v>
      </c>
      <c r="E5857" s="2" t="str">
        <f>HYPERLINK("https://ibp.a2mac1.com/costing(costing:projects/details/8191/assembly/5389437)","Cross member")</f>
        <v>Cross member</v>
      </c>
      <c r="F5857" t="s">
        <v>6348</v>
      </c>
    </row>
    <row r="5858" spans="1:6" ht="12.75">
      <c r="A5858">
        <v>5389715</v>
      </c>
      <c r="B5858">
        <v>5389437</v>
      </c>
      <c r="C5858" t="s">
        <v>12</v>
      </c>
      <c r="D5858" t="s">
        <v>8</v>
      </c>
      <c r="E5858" s="2" t="str">
        <f>HYPERLINK("https://ibp.a2mac1.com/costing(costing:projects/details/8191/part/5389715)","Part 01 single/main")</f>
        <v>Part 01 single/main</v>
      </c>
      <c r="F5858" t="s">
        <v>6349</v>
      </c>
    </row>
    <row r="5859" spans="1:6" ht="12.75">
      <c r="A5859">
        <v>6976139</v>
      </c>
      <c r="B5859">
        <v>5389715</v>
      </c>
      <c r="C5859" t="s">
        <v>99</v>
      </c>
      <c r="D5859" t="s">
        <v>12</v>
      </c>
      <c r="E5859" s="2" t="str">
        <f>HYPERLINK("https://ibp.a2mac1.com/costing(costing:projects/details/8191/process/6976139)","MANUFACTURING  PROCESS")</f>
        <v>MANUFACTURING  PROCESS</v>
      </c>
      <c r="F5859" t="s">
        <v>6350</v>
      </c>
    </row>
    <row r="5860" spans="1:6" ht="12.75">
      <c r="A5860">
        <v>5320548</v>
      </c>
      <c r="B5860">
        <v>6976139</v>
      </c>
      <c r="C5860" t="s">
        <v>24</v>
      </c>
      <c r="D5860" t="s">
        <v>99</v>
      </c>
      <c r="E5860" s="2" t="str">
        <f>HYPERLINK("https://ibp.a2mac1.com/costing(costing:projects/details/8191/material/5320548)","Standard Structural Steel sheet")</f>
        <v>Standard Structural Steel sheet</v>
      </c>
      <c r="F5860" t="s">
        <v>6353</v>
      </c>
    </row>
    <row r="5861" spans="1:6" ht="12.75">
      <c r="A5861">
        <v>6948733</v>
      </c>
      <c r="B5861">
        <v>6976139</v>
      </c>
      <c r="C5861" t="s">
        <v>189</v>
      </c>
      <c r="D5861" t="s">
        <v>99</v>
      </c>
      <c r="E5861" s="2" t="str">
        <f>HYPERLINK("https://ibp.a2mac1.com/costing(costing:projects/details/8191/equipment/6948733)","Manufacturing Equipment")</f>
        <v>Manufacturing Equipment</v>
      </c>
      <c r="F5861" t="s">
        <v>6353</v>
      </c>
    </row>
    <row r="5862" spans="1:6" ht="12.75">
      <c r="A5862">
        <v>5389716</v>
      </c>
      <c r="B5862">
        <v>5389437</v>
      </c>
      <c r="C5862" t="s">
        <v>12</v>
      </c>
      <c r="D5862" t="s">
        <v>8</v>
      </c>
      <c r="E5862" s="2" t="str">
        <f>HYPERLINK("https://ibp.a2mac1.com/costing(costing:projects/details/8191/part/5389716)","Part 02")</f>
        <v>Part 02</v>
      </c>
      <c r="F5862" t="s">
        <v>6349</v>
      </c>
    </row>
    <row r="5863" spans="1:6" ht="12.75">
      <c r="A5863">
        <v>6976140</v>
      </c>
      <c r="B5863">
        <v>5389716</v>
      </c>
      <c r="C5863" t="s">
        <v>99</v>
      </c>
      <c r="D5863" t="s">
        <v>12</v>
      </c>
      <c r="E5863" s="2" t="str">
        <f>HYPERLINK("https://ibp.a2mac1.com/costing(costing:projects/details/8191/process/6976140)","MANUFACTURING  PROCESS")</f>
        <v>MANUFACTURING  PROCESS</v>
      </c>
      <c r="F5863" t="s">
        <v>6356</v>
      </c>
    </row>
    <row r="5864" spans="1:6" ht="12.75">
      <c r="A5864">
        <v>5320549</v>
      </c>
      <c r="B5864">
        <v>6976140</v>
      </c>
      <c r="C5864" t="s">
        <v>24</v>
      </c>
      <c r="D5864" t="s">
        <v>99</v>
      </c>
      <c r="E5864" s="2" t="str">
        <f>HYPERLINK("https://ibp.a2mac1.com/costing(costing:projects/details/8191/material/5320549)","Standard Structural Steel sheet")</f>
        <v>Standard Structural Steel sheet</v>
      </c>
      <c r="F5864" t="s">
        <v>6359</v>
      </c>
    </row>
    <row r="5865" spans="1:6" ht="12.75">
      <c r="A5865">
        <v>6948734</v>
      </c>
      <c r="B5865">
        <v>6976140</v>
      </c>
      <c r="C5865" t="s">
        <v>189</v>
      </c>
      <c r="D5865" t="s">
        <v>99</v>
      </c>
      <c r="E5865" s="2" t="str">
        <f>HYPERLINK("https://ibp.a2mac1.com/costing(costing:projects/details/8191/equipment/6948734)","Manufacturing Equipment")</f>
        <v>Manufacturing Equipment</v>
      </c>
      <c r="F5865" t="s">
        <v>6359</v>
      </c>
    </row>
    <row r="5866" spans="1:6" ht="12.75">
      <c r="A5866">
        <v>5389438</v>
      </c>
      <c r="B5866">
        <v>5389236</v>
      </c>
      <c r="C5866" t="s">
        <v>8</v>
      </c>
      <c r="D5866" t="s">
        <v>8</v>
      </c>
      <c r="E5866" s="2" t="str">
        <f>HYPERLINK("https://ibp.a2mac1.com/costing(costing:projects/details/8191/assembly/5389438)","Gussets")</f>
        <v>Gussets</v>
      </c>
      <c r="F5866" t="s">
        <v>6348</v>
      </c>
    </row>
    <row r="5867" spans="1:6" ht="12.75">
      <c r="A5867">
        <v>5389717</v>
      </c>
      <c r="B5867">
        <v>5389438</v>
      </c>
      <c r="C5867" t="s">
        <v>12</v>
      </c>
      <c r="D5867" t="s">
        <v>8</v>
      </c>
      <c r="E5867" s="2" t="str">
        <f>HYPERLINK("https://ibp.a2mac1.com/costing(costing:projects/details/8191/part/5389717)","Part 01 single/main")</f>
        <v>Part 01 single/main</v>
      </c>
      <c r="F5867" t="s">
        <v>6360</v>
      </c>
    </row>
    <row r="5868" spans="1:6" ht="12.75">
      <c r="A5868">
        <v>6976141</v>
      </c>
      <c r="B5868">
        <v>5389717</v>
      </c>
      <c r="C5868" t="s">
        <v>99</v>
      </c>
      <c r="D5868" t="s">
        <v>12</v>
      </c>
      <c r="E5868" s="2" t="str">
        <f>HYPERLINK("https://ibp.a2mac1.com/costing(costing:projects/details/8191/process/6976141)","MANUFACTURING  PROCESS")</f>
        <v>MANUFACTURING  PROCESS</v>
      </c>
      <c r="F5868" t="s">
        <v>6361</v>
      </c>
    </row>
    <row r="5869" spans="1:6" ht="12.75">
      <c r="A5869">
        <v>5320550</v>
      </c>
      <c r="B5869">
        <v>6976141</v>
      </c>
      <c r="C5869" t="s">
        <v>24</v>
      </c>
      <c r="D5869" t="s">
        <v>99</v>
      </c>
      <c r="E5869" s="2" t="str">
        <f>HYPERLINK("https://ibp.a2mac1.com/costing(costing:projects/details/8191/material/5320550)","Standard Structural Steel sheet")</f>
        <v>Standard Structural Steel sheet</v>
      </c>
      <c r="F5869" t="s">
        <v>6362</v>
      </c>
    </row>
    <row r="5870" spans="1:6" ht="12.75">
      <c r="A5870">
        <v>6948735</v>
      </c>
      <c r="B5870">
        <v>6976141</v>
      </c>
      <c r="C5870" t="s">
        <v>189</v>
      </c>
      <c r="D5870" t="s">
        <v>99</v>
      </c>
      <c r="E5870" s="2" t="str">
        <f>HYPERLINK("https://ibp.a2mac1.com/costing(costing:projects/details/8191/equipment/6948735)","Manufacturing Equipment")</f>
        <v>Manufacturing Equipment</v>
      </c>
      <c r="F5870" t="s">
        <v>6362</v>
      </c>
    </row>
    <row r="5871" spans="1:6" ht="12.75">
      <c r="A5871">
        <v>5389237</v>
      </c>
      <c r="B5871">
        <v>5388935</v>
      </c>
      <c r="C5871" t="s">
        <v>8</v>
      </c>
      <c r="D5871" t="s">
        <v>8</v>
      </c>
      <c r="E5871" s="2" t="str">
        <f>HYPERLINK("https://ibp.a2mac1.com/costing(costing:projects/details/8191/assembly/5389237)","Rear cross member assy")</f>
        <v>Rear cross member assy</v>
      </c>
      <c r="F5871" t="s">
        <v>6347</v>
      </c>
    </row>
    <row r="5872" spans="1:6" ht="12.75">
      <c r="A5872">
        <v>5389439</v>
      </c>
      <c r="B5872">
        <v>5389237</v>
      </c>
      <c r="C5872" t="s">
        <v>8</v>
      </c>
      <c r="D5872" t="s">
        <v>8</v>
      </c>
      <c r="E5872" s="2" t="str">
        <f>HYPERLINK("https://ibp.a2mac1.com/costing(costing:projects/details/8191/assembly/5389439)","Cross member")</f>
        <v>Cross member</v>
      </c>
      <c r="F5872" t="s">
        <v>6363</v>
      </c>
    </row>
    <row r="5873" spans="1:6" ht="12.75">
      <c r="A5873">
        <v>5389718</v>
      </c>
      <c r="B5873">
        <v>5389439</v>
      </c>
      <c r="C5873" t="s">
        <v>12</v>
      </c>
      <c r="D5873" t="s">
        <v>8</v>
      </c>
      <c r="E5873" s="2" t="str">
        <f>HYPERLINK("https://ibp.a2mac1.com/costing(costing:projects/details/8191/part/5389718)","Part 01 single/main")</f>
        <v>Part 01 single/main</v>
      </c>
      <c r="F5873" t="s">
        <v>6364</v>
      </c>
    </row>
    <row r="5874" spans="1:6" ht="12.75">
      <c r="A5874">
        <v>6976142</v>
      </c>
      <c r="B5874">
        <v>5389718</v>
      </c>
      <c r="C5874" t="s">
        <v>99</v>
      </c>
      <c r="D5874" t="s">
        <v>12</v>
      </c>
      <c r="E5874" s="2" t="str">
        <f>HYPERLINK("https://ibp.a2mac1.com/costing(costing:projects/details/8191/process/6976142)","MANUFACTURING  PROCESS")</f>
        <v>MANUFACTURING  PROCESS</v>
      </c>
      <c r="F5874" t="s">
        <v>6365</v>
      </c>
    </row>
    <row r="5875" spans="1:6" ht="12.75">
      <c r="A5875">
        <v>5320551</v>
      </c>
      <c r="B5875">
        <v>6976142</v>
      </c>
      <c r="C5875" t="s">
        <v>24</v>
      </c>
      <c r="D5875" t="s">
        <v>99</v>
      </c>
      <c r="E5875" s="2" t="str">
        <f>HYPERLINK("https://ibp.a2mac1.com/costing(costing:projects/details/8191/material/5320551)","Standard Structural Steel sheet")</f>
        <v>Standard Structural Steel sheet</v>
      </c>
      <c r="F5875" t="s">
        <v>6368</v>
      </c>
    </row>
    <row r="5876" spans="1:6" ht="12.75">
      <c r="A5876">
        <v>6948736</v>
      </c>
      <c r="B5876">
        <v>6976142</v>
      </c>
      <c r="C5876" t="s">
        <v>189</v>
      </c>
      <c r="D5876" t="s">
        <v>99</v>
      </c>
      <c r="E5876" s="2" t="str">
        <f>HYPERLINK("https://ibp.a2mac1.com/costing(costing:projects/details/8191/equipment/6948736)","Manufacturing Equipment")</f>
        <v>Manufacturing Equipment</v>
      </c>
      <c r="F5876" t="s">
        <v>6368</v>
      </c>
    </row>
    <row r="5877" spans="1:6" ht="12.75">
      <c r="A5877">
        <v>5389238</v>
      </c>
      <c r="B5877">
        <v>5388935</v>
      </c>
      <c r="C5877" t="s">
        <v>8</v>
      </c>
      <c r="D5877" t="s">
        <v>8</v>
      </c>
      <c r="E5877" s="2" t="str">
        <f>HYPERLINK("https://ibp.a2mac1.com/costing(costing:projects/details/8191/assembly/5389238)","Intermediate cross members")</f>
        <v>Intermediate cross members</v>
      </c>
      <c r="F5877" t="s">
        <v>6347</v>
      </c>
    </row>
    <row r="5878" spans="1:6" ht="12.75">
      <c r="A5878">
        <v>5389440</v>
      </c>
      <c r="B5878">
        <v>5389238</v>
      </c>
      <c r="C5878" t="s">
        <v>8</v>
      </c>
      <c r="D5878" t="s">
        <v>8</v>
      </c>
      <c r="E5878" s="2" t="str">
        <f>HYPERLINK("https://ibp.a2mac1.com/costing(costing:projects/details/8191/assembly/5389440)","Cross member 01 front")</f>
        <v>Cross member 01 front</v>
      </c>
      <c r="F5878" t="s">
        <v>6369</v>
      </c>
    </row>
    <row r="5879" spans="1:6" ht="12.75">
      <c r="A5879">
        <v>5389719</v>
      </c>
      <c r="B5879">
        <v>5389440</v>
      </c>
      <c r="C5879" t="s">
        <v>8</v>
      </c>
      <c r="D5879" t="s">
        <v>8</v>
      </c>
      <c r="E5879" s="2" t="str">
        <f>HYPERLINK("https://ibp.a2mac1.com/costing(costing:projects/details/8191/assembly/5389719)","Cross member")</f>
        <v>Cross member</v>
      </c>
      <c r="F5879" t="s">
        <v>6370</v>
      </c>
    </row>
    <row r="5880" spans="1:6" ht="12.75">
      <c r="A5880">
        <v>5389979</v>
      </c>
      <c r="B5880">
        <v>5389719</v>
      </c>
      <c r="C5880" t="s">
        <v>12</v>
      </c>
      <c r="D5880" t="s">
        <v>8</v>
      </c>
      <c r="E5880" s="2" t="str">
        <f>HYPERLINK("https://ibp.a2mac1.com/costing(costing:projects/details/8191/part/5389979)","Part 01 single/main")</f>
        <v>Part 01 single/main</v>
      </c>
      <c r="F5880" t="s">
        <v>6371</v>
      </c>
    </row>
    <row r="5881" spans="1:6" ht="12.75">
      <c r="A5881">
        <v>6976179</v>
      </c>
      <c r="B5881">
        <v>5389979</v>
      </c>
      <c r="C5881" t="s">
        <v>99</v>
      </c>
      <c r="D5881" t="s">
        <v>12</v>
      </c>
      <c r="E5881" s="2" t="str">
        <f>HYPERLINK("https://ibp.a2mac1.com/costing(costing:projects/details/8191/process/6976179)","MANUFACTURING  PROCESS")</f>
        <v>MANUFACTURING  PROCESS</v>
      </c>
      <c r="F5881" t="s">
        <v>6372</v>
      </c>
    </row>
    <row r="5882" spans="1:6" ht="12.75">
      <c r="A5882">
        <v>5320588</v>
      </c>
      <c r="B5882">
        <v>6976179</v>
      </c>
      <c r="C5882" t="s">
        <v>24</v>
      </c>
      <c r="D5882" t="s">
        <v>99</v>
      </c>
      <c r="E5882" s="2" t="str">
        <f>HYPERLINK("https://ibp.a2mac1.com/costing(costing:projects/details/8191/material/5320588)","Standard Structural Steel sheet")</f>
        <v>Standard Structural Steel sheet</v>
      </c>
      <c r="F5882" t="s">
        <v>6374</v>
      </c>
    </row>
    <row r="5883" spans="1:6" ht="12.75">
      <c r="A5883">
        <v>6948773</v>
      </c>
      <c r="B5883">
        <v>6976179</v>
      </c>
      <c r="C5883" t="s">
        <v>189</v>
      </c>
      <c r="D5883" t="s">
        <v>99</v>
      </c>
      <c r="E5883" s="2" t="str">
        <f>HYPERLINK("https://ibp.a2mac1.com/costing(costing:projects/details/8191/equipment/6948773)","Manufacturing Equipment")</f>
        <v>Manufacturing Equipment</v>
      </c>
      <c r="F5883" t="s">
        <v>6374</v>
      </c>
    </row>
    <row r="5884" spans="1:6" ht="12.75">
      <c r="A5884">
        <v>5388936</v>
      </c>
      <c r="B5884">
        <v>5388629</v>
      </c>
      <c r="C5884" t="s">
        <v>8</v>
      </c>
      <c r="D5884" t="s">
        <v>8</v>
      </c>
      <c r="E5884" s="2" t="str">
        <f>HYPERLINK("https://ibp.a2mac1.com/costing(costing:projects/details/8191/assembly/5388936)","Roof panel assy")</f>
        <v>Roof panel assy</v>
      </c>
      <c r="F5884" t="s">
        <v>6346</v>
      </c>
    </row>
    <row r="5885" spans="1:6" ht="12.75">
      <c r="A5885">
        <v>5389239</v>
      </c>
      <c r="B5885">
        <v>5388936</v>
      </c>
      <c r="C5885" t="s">
        <v>8</v>
      </c>
      <c r="D5885" t="s">
        <v>8</v>
      </c>
      <c r="E5885" s="2" t="str">
        <f>HYPERLINK("https://ibp.a2mac1.com/costing(costing:projects/details/8191/assembly/5389239)","Exterior skin")</f>
        <v>Exterior skin</v>
      </c>
      <c r="F5885" t="s">
        <v>6375</v>
      </c>
    </row>
    <row r="5886" spans="1:6" ht="12.75">
      <c r="A5886">
        <v>5389441</v>
      </c>
      <c r="B5886">
        <v>5389239</v>
      </c>
      <c r="C5886" t="s">
        <v>12</v>
      </c>
      <c r="D5886" t="s">
        <v>8</v>
      </c>
      <c r="E5886" s="2" t="str">
        <f>HYPERLINK("https://ibp.a2mac1.com/costing(costing:projects/details/8191/part/5389441)","Part 01 main/front")</f>
        <v>Part 01 main/front</v>
      </c>
      <c r="F5886" t="s">
        <v>6376</v>
      </c>
    </row>
    <row r="5887" spans="1:6" ht="12.75">
      <c r="A5887">
        <v>6975904</v>
      </c>
      <c r="B5887">
        <v>5389441</v>
      </c>
      <c r="C5887" t="s">
        <v>99</v>
      </c>
      <c r="D5887" t="s">
        <v>12</v>
      </c>
      <c r="E5887" s="2" t="str">
        <f>HYPERLINK("https://ibp.a2mac1.com/costing(costing:projects/details/8191/process/6975904)","MANUFACTURING  PROCESS")</f>
        <v>MANUFACTURING  PROCESS</v>
      </c>
      <c r="F5887" t="s">
        <v>6377</v>
      </c>
    </row>
    <row r="5888" spans="1:6" ht="12.75">
      <c r="A5888">
        <v>5320368</v>
      </c>
      <c r="B5888">
        <v>6975904</v>
      </c>
      <c r="C5888" t="s">
        <v>24</v>
      </c>
      <c r="D5888" t="s">
        <v>99</v>
      </c>
      <c r="E5888" s="2" t="str">
        <f>HYPERLINK("https://ibp.a2mac1.com/costing(costing:projects/details/8191/material/5320368)","Standard Structural Steel sheet")</f>
        <v>Standard Structural Steel sheet</v>
      </c>
      <c r="F5888" t="s">
        <v>6380</v>
      </c>
    </row>
    <row r="5889" spans="1:6" ht="12.75">
      <c r="A5889">
        <v>6948523</v>
      </c>
      <c r="B5889">
        <v>6975904</v>
      </c>
      <c r="C5889" t="s">
        <v>189</v>
      </c>
      <c r="D5889" t="s">
        <v>99</v>
      </c>
      <c r="E5889" s="2" t="str">
        <f>HYPERLINK("https://ibp.a2mac1.com/costing(costing:projects/details/8191/equipment/6948523)","Manufacturing Equipment")</f>
        <v>Manufacturing Equipment</v>
      </c>
      <c r="F5889" t="s">
        <v>6380</v>
      </c>
    </row>
    <row r="5890" spans="1:6" ht="12.75">
      <c r="A5890">
        <v>5389240</v>
      </c>
      <c r="B5890">
        <v>5388936</v>
      </c>
      <c r="C5890" t="s">
        <v>8</v>
      </c>
      <c r="D5890" t="s">
        <v>8</v>
      </c>
      <c r="E5890" s="2" t="str">
        <f>HYPERLINK("https://ibp.a2mac1.com/costing(costing:projects/details/8191/assembly/5389240)","Frame assy")</f>
        <v>Frame assy</v>
      </c>
      <c r="F5890" t="s">
        <v>6375</v>
      </c>
    </row>
    <row r="5891" spans="1:6" ht="12.75">
      <c r="A5891">
        <v>5389442</v>
      </c>
      <c r="B5891">
        <v>5389240</v>
      </c>
      <c r="C5891" t="s">
        <v>8</v>
      </c>
      <c r="D5891" t="s">
        <v>8</v>
      </c>
      <c r="E5891" s="2" t="str">
        <f>HYPERLINK("https://ibp.a2mac1.com/costing(costing:projects/details/8191/assembly/5389442)","Frame")</f>
        <v>Frame</v>
      </c>
      <c r="F5891" t="s">
        <v>6382</v>
      </c>
    </row>
    <row r="5892" spans="1:6" ht="12.75">
      <c r="A5892">
        <v>5389720</v>
      </c>
      <c r="B5892">
        <v>5389442</v>
      </c>
      <c r="C5892" t="s">
        <v>12</v>
      </c>
      <c r="D5892" t="s">
        <v>8</v>
      </c>
      <c r="E5892" s="2" t="str">
        <f>HYPERLINK("https://ibp.a2mac1.com/costing(costing:projects/details/8191/part/5389720)","Part 01 single/main")</f>
        <v>Part 01 single/main</v>
      </c>
      <c r="F5892" t="s">
        <v>6383</v>
      </c>
    </row>
    <row r="5893" spans="1:6" ht="12.75">
      <c r="A5893">
        <v>6976143</v>
      </c>
      <c r="B5893">
        <v>5389720</v>
      </c>
      <c r="C5893" t="s">
        <v>99</v>
      </c>
      <c r="D5893" t="s">
        <v>12</v>
      </c>
      <c r="E5893" s="2" t="str">
        <f>HYPERLINK("https://ibp.a2mac1.com/costing(costing:projects/details/8191/process/6976143)","MANUFACTURING  PROCESS")</f>
        <v>MANUFACTURING  PROCESS</v>
      </c>
      <c r="F5893" t="s">
        <v>6384</v>
      </c>
    </row>
    <row r="5894" spans="1:6" ht="12.75">
      <c r="A5894">
        <v>5320552</v>
      </c>
      <c r="B5894">
        <v>6976143</v>
      </c>
      <c r="C5894" t="s">
        <v>24</v>
      </c>
      <c r="D5894" t="s">
        <v>99</v>
      </c>
      <c r="E5894" s="2" t="str">
        <f>HYPERLINK("https://ibp.a2mac1.com/costing(costing:projects/details/8191/material/5320552)","Standard Structural Steel sheet")</f>
        <v>Standard Structural Steel sheet</v>
      </c>
      <c r="F5894" t="s">
        <v>6386</v>
      </c>
    </row>
    <row r="5895" spans="1:6" ht="12.75">
      <c r="A5895">
        <v>6948737</v>
      </c>
      <c r="B5895">
        <v>6976143</v>
      </c>
      <c r="C5895" t="s">
        <v>189</v>
      </c>
      <c r="D5895" t="s">
        <v>99</v>
      </c>
      <c r="E5895" s="2" t="str">
        <f>HYPERLINK("https://ibp.a2mac1.com/costing(costing:projects/details/8191/equipment/6948737)","Manufacturing Equipment")</f>
        <v>Manufacturing Equipment</v>
      </c>
      <c r="F5895" t="s">
        <v>6386</v>
      </c>
    </row>
    <row r="5896" spans="1:6" ht="12.75">
      <c r="A5896">
        <v>5388630</v>
      </c>
      <c r="B5896">
        <v>5388292</v>
      </c>
      <c r="C5896" t="s">
        <v>8</v>
      </c>
      <c r="D5896" t="s">
        <v>8</v>
      </c>
      <c r="E5896" s="2" t="str">
        <f>HYPERLINK("https://ibp.a2mac1.com/costing(costing:projects/details/8191/assembly/5388630)","Cowl assy")</f>
        <v>Cowl assy</v>
      </c>
      <c r="F5896" t="s">
        <v>6345</v>
      </c>
    </row>
    <row r="5897" spans="1:6" ht="12.75">
      <c r="A5897">
        <v>5388937</v>
      </c>
      <c r="B5897">
        <v>5388630</v>
      </c>
      <c r="C5897" t="s">
        <v>8</v>
      </c>
      <c r="D5897" t="s">
        <v>8</v>
      </c>
      <c r="E5897" s="2" t="str">
        <f>HYPERLINK("https://ibp.a2mac1.com/costing(costing:projects/details/8191/assembly/5388937)","Cowl member")</f>
        <v>Cowl member</v>
      </c>
      <c r="F5897" t="s">
        <v>6387</v>
      </c>
    </row>
    <row r="5898" spans="1:6" ht="12.75">
      <c r="A5898">
        <v>5389241</v>
      </c>
      <c r="B5898">
        <v>5388937</v>
      </c>
      <c r="C5898" t="s">
        <v>8</v>
      </c>
      <c r="D5898" t="s">
        <v>8</v>
      </c>
      <c r="E5898" s="2" t="str">
        <f>HYPERLINK("https://ibp.a2mac1.com/costing(costing:projects/details/8191/assembly/5389241)","Member")</f>
        <v>Member</v>
      </c>
      <c r="F5898" t="s">
        <v>6388</v>
      </c>
    </row>
    <row r="5899" spans="1:6" ht="12.75">
      <c r="A5899">
        <v>5389443</v>
      </c>
      <c r="B5899">
        <v>5389241</v>
      </c>
      <c r="C5899" t="s">
        <v>12</v>
      </c>
      <c r="D5899" t="s">
        <v>8</v>
      </c>
      <c r="E5899" s="2" t="str">
        <f>HYPERLINK("https://ibp.a2mac1.com/costing(costing:projects/details/8191/part/5389443)","Part 01 single/main")</f>
        <v>Part 01 single/main</v>
      </c>
      <c r="F5899" t="s">
        <v>6389</v>
      </c>
    </row>
    <row r="5900" spans="1:6" ht="12.75">
      <c r="A5900">
        <v>6975905</v>
      </c>
      <c r="B5900">
        <v>5389443</v>
      </c>
      <c r="C5900" t="s">
        <v>99</v>
      </c>
      <c r="D5900" t="s">
        <v>12</v>
      </c>
      <c r="E5900" s="2" t="str">
        <f>HYPERLINK("https://ibp.a2mac1.com/costing(costing:projects/details/8191/process/6975905)","MANUFACTURING  PROCESS")</f>
        <v>MANUFACTURING  PROCESS</v>
      </c>
      <c r="F5900" t="s">
        <v>6390</v>
      </c>
    </row>
    <row r="5901" spans="1:6" ht="12.75">
      <c r="A5901">
        <v>5320369</v>
      </c>
      <c r="B5901">
        <v>6975905</v>
      </c>
      <c r="C5901" t="s">
        <v>24</v>
      </c>
      <c r="D5901" t="s">
        <v>99</v>
      </c>
      <c r="E5901" s="2" t="str">
        <f>HYPERLINK("https://ibp.a2mac1.com/costing(costing:projects/details/8191/material/5320369)","Standard Structural Steel sheet")</f>
        <v>Standard Structural Steel sheet</v>
      </c>
      <c r="F5901" t="s">
        <v>6393</v>
      </c>
    </row>
    <row r="5902" spans="1:6" ht="12.75">
      <c r="A5902">
        <v>6948524</v>
      </c>
      <c r="B5902">
        <v>6975905</v>
      </c>
      <c r="C5902" t="s">
        <v>189</v>
      </c>
      <c r="D5902" t="s">
        <v>99</v>
      </c>
      <c r="E5902" s="2" t="str">
        <f>HYPERLINK("https://ibp.a2mac1.com/costing(costing:projects/details/8191/equipment/6948524)","Manufacturing Equipment")</f>
        <v>Manufacturing Equipment</v>
      </c>
      <c r="F5902" t="s">
        <v>6393</v>
      </c>
    </row>
    <row r="5903" spans="1:6" ht="12.75">
      <c r="A5903">
        <v>5389242</v>
      </c>
      <c r="B5903">
        <v>5388937</v>
      </c>
      <c r="C5903" t="s">
        <v>8</v>
      </c>
      <c r="D5903" t="s">
        <v>8</v>
      </c>
      <c r="E5903" s="2" t="str">
        <f>HYPERLINK("https://ibp.a2mac1.com/costing(costing:projects/details/8191/assembly/5389242)","Reinforcements")</f>
        <v>Reinforcements</v>
      </c>
      <c r="F5903" t="s">
        <v>6388</v>
      </c>
    </row>
    <row r="5904" spans="1:6" ht="12.75">
      <c r="A5904">
        <v>5389444</v>
      </c>
      <c r="B5904">
        <v>5389242</v>
      </c>
      <c r="C5904" t="s">
        <v>12</v>
      </c>
      <c r="D5904" t="s">
        <v>8</v>
      </c>
      <c r="E5904" s="2" t="str">
        <f>HYPERLINK("https://ibp.a2mac1.com/costing(costing:projects/details/8191/part/5389444)","Part 01 single/main")</f>
        <v>Part 01 single/main</v>
      </c>
      <c r="F5904" t="s">
        <v>6394</v>
      </c>
    </row>
    <row r="5905" spans="1:6" ht="12.75">
      <c r="A5905">
        <v>6975906</v>
      </c>
      <c r="B5905">
        <v>5389444</v>
      </c>
      <c r="C5905" t="s">
        <v>99</v>
      </c>
      <c r="D5905" t="s">
        <v>12</v>
      </c>
      <c r="E5905" s="2" t="str">
        <f>HYPERLINK("https://ibp.a2mac1.com/costing(costing:projects/details/8191/process/6975906)","MANUFACTURING  PROCESS")</f>
        <v>MANUFACTURING  PROCESS</v>
      </c>
      <c r="F5905" t="s">
        <v>6395</v>
      </c>
    </row>
    <row r="5906" spans="1:6" ht="12.75">
      <c r="A5906">
        <v>5320370</v>
      </c>
      <c r="B5906">
        <v>6975906</v>
      </c>
      <c r="C5906" t="s">
        <v>24</v>
      </c>
      <c r="D5906" t="s">
        <v>99</v>
      </c>
      <c r="E5906" s="2" t="str">
        <f>HYPERLINK("https://ibp.a2mac1.com/costing(costing:projects/details/8191/material/5320370)","Standard Structural Steel sheet")</f>
        <v>Standard Structural Steel sheet</v>
      </c>
      <c r="F5906" t="s">
        <v>6397</v>
      </c>
    </row>
    <row r="5907" spans="1:6" ht="12.75">
      <c r="A5907">
        <v>6948525</v>
      </c>
      <c r="B5907">
        <v>6975906</v>
      </c>
      <c r="C5907" t="s">
        <v>189</v>
      </c>
      <c r="D5907" t="s">
        <v>99</v>
      </c>
      <c r="E5907" s="2" t="str">
        <f>HYPERLINK("https://ibp.a2mac1.com/costing(costing:projects/details/8191/equipment/6948525)","Manufacturing Equipment")</f>
        <v>Manufacturing Equipment</v>
      </c>
      <c r="F5907" t="s">
        <v>6397</v>
      </c>
    </row>
    <row r="5908" spans="1:6" ht="12.75">
      <c r="A5908">
        <v>5389445</v>
      </c>
      <c r="B5908">
        <v>5389242</v>
      </c>
      <c r="C5908" t="s">
        <v>12</v>
      </c>
      <c r="D5908" t="s">
        <v>8</v>
      </c>
      <c r="E5908" s="2" t="str">
        <f>HYPERLINK("https://ibp.a2mac1.com/costing(costing:projects/details/8191/part/5389445)","Part 02")</f>
        <v>Part 02</v>
      </c>
      <c r="F5908" t="s">
        <v>6394</v>
      </c>
    </row>
    <row r="5909" spans="1:6" ht="12.75">
      <c r="A5909">
        <v>6975907</v>
      </c>
      <c r="B5909">
        <v>5389445</v>
      </c>
      <c r="C5909" t="s">
        <v>99</v>
      </c>
      <c r="D5909" t="s">
        <v>12</v>
      </c>
      <c r="E5909" s="2" t="str">
        <f>HYPERLINK("https://ibp.a2mac1.com/costing(costing:projects/details/8191/process/6975907)","MANUFACTURING  PROCESS")</f>
        <v>MANUFACTURING  PROCESS</v>
      </c>
      <c r="F5909" t="s">
        <v>6398</v>
      </c>
    </row>
    <row r="5910" spans="1:6" ht="12.75">
      <c r="A5910">
        <v>5320371</v>
      </c>
      <c r="B5910">
        <v>6975907</v>
      </c>
      <c r="C5910" t="s">
        <v>24</v>
      </c>
      <c r="D5910" t="s">
        <v>99</v>
      </c>
      <c r="E5910" s="2" t="str">
        <f>HYPERLINK("https://ibp.a2mac1.com/costing(costing:projects/details/8191/material/5320371)","Standard Structural Steel sheet")</f>
        <v>Standard Structural Steel sheet</v>
      </c>
      <c r="F5910" t="s">
        <v>6401</v>
      </c>
    </row>
    <row r="5911" spans="1:6" ht="12.75">
      <c r="A5911">
        <v>6948526</v>
      </c>
      <c r="B5911">
        <v>6975907</v>
      </c>
      <c r="C5911" t="s">
        <v>189</v>
      </c>
      <c r="D5911" t="s">
        <v>99</v>
      </c>
      <c r="E5911" s="2" t="str">
        <f>HYPERLINK("https://ibp.a2mac1.com/costing(costing:projects/details/8191/equipment/6948526)","Manufacturing Equipment")</f>
        <v>Manufacturing Equipment</v>
      </c>
      <c r="F5911" t="s">
        <v>6401</v>
      </c>
    </row>
    <row r="5912" spans="1:6" ht="12.75">
      <c r="A5912">
        <v>5389243</v>
      </c>
      <c r="B5912">
        <v>5388937</v>
      </c>
      <c r="C5912" t="s">
        <v>8</v>
      </c>
      <c r="D5912" t="s">
        <v>8</v>
      </c>
      <c r="E5912" s="2" t="str">
        <f>HYPERLINK("https://ibp.a2mac1.com/costing(costing:projects/details/8191/assembly/5389243)","Fixing parts")</f>
        <v>Fixing parts</v>
      </c>
      <c r="F5912" t="s">
        <v>6388</v>
      </c>
    </row>
    <row r="5913" spans="1:6" ht="12.75">
      <c r="A5913">
        <v>5389446</v>
      </c>
      <c r="B5913">
        <v>5389243</v>
      </c>
      <c r="C5913" t="s">
        <v>12</v>
      </c>
      <c r="D5913" t="s">
        <v>8</v>
      </c>
      <c r="E5913" s="2" t="str">
        <f>HYPERLINK("https://ibp.a2mac1.com/costing(costing:projects/details/8191/part/5389446)","Part 01 single/main")</f>
        <v>Part 01 single/main</v>
      </c>
      <c r="F5913" t="s">
        <v>6402</v>
      </c>
    </row>
    <row r="5914" spans="1:6" ht="12.75">
      <c r="A5914">
        <v>6975908</v>
      </c>
      <c r="B5914">
        <v>5389446</v>
      </c>
      <c r="C5914" t="s">
        <v>99</v>
      </c>
      <c r="D5914" t="s">
        <v>12</v>
      </c>
      <c r="E5914" s="2" t="str">
        <f>HYPERLINK("https://ibp.a2mac1.com/costing(costing:projects/details/8191/process/6975908)","MANUFACTURING  PROCESS")</f>
        <v>MANUFACTURING  PROCESS</v>
      </c>
      <c r="F5914" t="s">
        <v>6403</v>
      </c>
    </row>
    <row r="5915" spans="1:6" ht="12.75">
      <c r="A5915">
        <v>5320372</v>
      </c>
      <c r="B5915">
        <v>6975908</v>
      </c>
      <c r="C5915" t="s">
        <v>24</v>
      </c>
      <c r="D5915" t="s">
        <v>99</v>
      </c>
      <c r="E5915" s="2" t="str">
        <f>HYPERLINK("https://ibp.a2mac1.com/costing(costing:projects/details/8191/material/5320372)","Standard Structural Steel sheet")</f>
        <v>Standard Structural Steel sheet</v>
      </c>
      <c r="F5915" t="s">
        <v>6405</v>
      </c>
    </row>
    <row r="5916" spans="1:6" ht="12.75">
      <c r="A5916">
        <v>6948527</v>
      </c>
      <c r="B5916">
        <v>6975908</v>
      </c>
      <c r="C5916" t="s">
        <v>189</v>
      </c>
      <c r="D5916" t="s">
        <v>99</v>
      </c>
      <c r="E5916" s="2" t="str">
        <f>HYPERLINK("https://ibp.a2mac1.com/costing(costing:projects/details/8191/equipment/6948527)","Manufacturing Equipment")</f>
        <v>Manufacturing Equipment</v>
      </c>
      <c r="F5916" t="s">
        <v>6405</v>
      </c>
    </row>
    <row r="5917" spans="1:6" ht="12.75">
      <c r="A5917">
        <v>5389447</v>
      </c>
      <c r="B5917">
        <v>5389243</v>
      </c>
      <c r="C5917" t="s">
        <v>12</v>
      </c>
      <c r="D5917" t="s">
        <v>8</v>
      </c>
      <c r="E5917" s="2" t="str">
        <f>HYPERLINK("https://ibp.a2mac1.com/costing(costing:projects/details/8191/part/5389447)","Part 02")</f>
        <v>Part 02</v>
      </c>
      <c r="F5917" t="s">
        <v>6402</v>
      </c>
    </row>
    <row r="5918" spans="1:6" ht="12.75">
      <c r="A5918">
        <v>6975909</v>
      </c>
      <c r="B5918">
        <v>5389447</v>
      </c>
      <c r="C5918" t="s">
        <v>99</v>
      </c>
      <c r="D5918" t="s">
        <v>12</v>
      </c>
      <c r="E5918" s="2" t="str">
        <f>HYPERLINK("https://ibp.a2mac1.com/costing(costing:projects/details/8191/process/6975909)","MANUFACTURING  PROCESS")</f>
        <v>MANUFACTURING  PROCESS</v>
      </c>
      <c r="F5918" t="s">
        <v>6406</v>
      </c>
    </row>
    <row r="5919" spans="1:6" ht="12.75">
      <c r="A5919">
        <v>5320373</v>
      </c>
      <c r="B5919">
        <v>6975909</v>
      </c>
      <c r="C5919" t="s">
        <v>24</v>
      </c>
      <c r="D5919" t="s">
        <v>99</v>
      </c>
      <c r="E5919" s="2" t="str">
        <f>HYPERLINK("https://ibp.a2mac1.com/costing(costing:projects/details/8191/material/5320373)","Standard Structural Steel sheet")</f>
        <v>Standard Structural Steel sheet</v>
      </c>
      <c r="F5919" t="s">
        <v>6408</v>
      </c>
    </row>
    <row r="5920" spans="1:6" ht="12.75">
      <c r="A5920">
        <v>6948528</v>
      </c>
      <c r="B5920">
        <v>6975909</v>
      </c>
      <c r="C5920" t="s">
        <v>189</v>
      </c>
      <c r="D5920" t="s">
        <v>99</v>
      </c>
      <c r="E5920" s="2" t="str">
        <f>HYPERLINK("https://ibp.a2mac1.com/costing(costing:projects/details/8191/equipment/6948528)","Manufacturing Equipment")</f>
        <v>Manufacturing Equipment</v>
      </c>
      <c r="F5920" t="s">
        <v>6408</v>
      </c>
    </row>
    <row r="5921" spans="1:6" ht="12.75">
      <c r="A5921">
        <v>5389448</v>
      </c>
      <c r="B5921">
        <v>5389243</v>
      </c>
      <c r="C5921" t="s">
        <v>12</v>
      </c>
      <c r="D5921" t="s">
        <v>8</v>
      </c>
      <c r="E5921" s="2" t="str">
        <f>HYPERLINK("https://ibp.a2mac1.com/costing(costing:projects/details/8191/part/5389448)","Part 03")</f>
        <v>Part 03</v>
      </c>
      <c r="F5921" t="s">
        <v>6402</v>
      </c>
    </row>
    <row r="5922" spans="1:6" ht="12.75">
      <c r="A5922">
        <v>6975910</v>
      </c>
      <c r="B5922">
        <v>5389448</v>
      </c>
      <c r="C5922" t="s">
        <v>99</v>
      </c>
      <c r="D5922" t="s">
        <v>12</v>
      </c>
      <c r="E5922" s="2" t="str">
        <f>HYPERLINK("https://ibp.a2mac1.com/costing(costing:projects/details/8191/process/6975910)","MANUFACTURING  PROCESS")</f>
        <v>MANUFACTURING  PROCESS</v>
      </c>
      <c r="F5922" t="s">
        <v>6409</v>
      </c>
    </row>
    <row r="5923" spans="1:6" ht="12.75">
      <c r="A5923">
        <v>5320374</v>
      </c>
      <c r="B5923">
        <v>6975910</v>
      </c>
      <c r="C5923" t="s">
        <v>24</v>
      </c>
      <c r="D5923" t="s">
        <v>99</v>
      </c>
      <c r="E5923" s="2" t="str">
        <f>HYPERLINK("https://ibp.a2mac1.com/costing(costing:projects/details/8191/material/5320374)","Standard Structural Steel sheet")</f>
        <v>Standard Structural Steel sheet</v>
      </c>
      <c r="F5923" t="s">
        <v>6410</v>
      </c>
    </row>
    <row r="5924" spans="1:6" ht="12.75">
      <c r="A5924">
        <v>6948529</v>
      </c>
      <c r="B5924">
        <v>6975910</v>
      </c>
      <c r="C5924" t="s">
        <v>189</v>
      </c>
      <c r="D5924" t="s">
        <v>99</v>
      </c>
      <c r="E5924" s="2" t="str">
        <f>HYPERLINK("https://ibp.a2mac1.com/costing(costing:projects/details/8191/equipment/6948529)","Manufacturing Equipment")</f>
        <v>Manufacturing Equipment</v>
      </c>
      <c r="F5924" t="s">
        <v>6410</v>
      </c>
    </row>
    <row r="5925" spans="1:6" ht="12.75">
      <c r="A5925">
        <v>5389449</v>
      </c>
      <c r="B5925">
        <v>5389243</v>
      </c>
      <c r="C5925" t="s">
        <v>12</v>
      </c>
      <c r="D5925" t="s">
        <v>8</v>
      </c>
      <c r="E5925" s="2" t="str">
        <f>HYPERLINK("https://ibp.a2mac1.com/costing(costing:projects/details/8191/part/5389449)","Part 04")</f>
        <v>Part 04</v>
      </c>
      <c r="F5925" t="s">
        <v>6402</v>
      </c>
    </row>
    <row r="5926" spans="1:6" ht="12.75">
      <c r="A5926">
        <v>6975911</v>
      </c>
      <c r="B5926">
        <v>5389449</v>
      </c>
      <c r="C5926" t="s">
        <v>99</v>
      </c>
      <c r="D5926" t="s">
        <v>12</v>
      </c>
      <c r="E5926" s="2" t="str">
        <f>HYPERLINK("https://ibp.a2mac1.com/costing(costing:projects/details/8191/process/6975911)","MANUFACTURING  PROCESS")</f>
        <v>MANUFACTURING  PROCESS</v>
      </c>
      <c r="F5926" t="s">
        <v>6411</v>
      </c>
    </row>
    <row r="5927" spans="1:6" ht="12.75">
      <c r="A5927">
        <v>5320375</v>
      </c>
      <c r="B5927">
        <v>6975911</v>
      </c>
      <c r="C5927" t="s">
        <v>24</v>
      </c>
      <c r="D5927" t="s">
        <v>99</v>
      </c>
      <c r="E5927" s="2" t="str">
        <f>HYPERLINK("https://ibp.a2mac1.com/costing(costing:projects/details/8191/material/5320375)","Standard Structural Steel sheet")</f>
        <v>Standard Structural Steel sheet</v>
      </c>
      <c r="F5927" t="s">
        <v>6413</v>
      </c>
    </row>
    <row r="5928" spans="1:6" ht="12.75">
      <c r="A5928">
        <v>6948530</v>
      </c>
      <c r="B5928">
        <v>6975911</v>
      </c>
      <c r="C5928" t="s">
        <v>189</v>
      </c>
      <c r="D5928" t="s">
        <v>99</v>
      </c>
      <c r="E5928" s="2" t="str">
        <f>HYPERLINK("https://ibp.a2mac1.com/costing(costing:projects/details/8191/equipment/6948530)","Manufacturing Equipment")</f>
        <v>Manufacturing Equipment</v>
      </c>
      <c r="F5928" t="s">
        <v>6413</v>
      </c>
    </row>
    <row r="5929" spans="1:6" ht="12.75">
      <c r="A5929">
        <v>5388938</v>
      </c>
      <c r="B5929">
        <v>5388630</v>
      </c>
      <c r="C5929" t="s">
        <v>8</v>
      </c>
      <c r="D5929" t="s">
        <v>8</v>
      </c>
      <c r="E5929" s="2" t="str">
        <f>HYPERLINK("https://ibp.a2mac1.com/costing(costing:projects/details/8191/assembly/5388938)","Cowl panel")</f>
        <v>Cowl panel</v>
      </c>
      <c r="F5929" t="s">
        <v>6387</v>
      </c>
    </row>
    <row r="5930" spans="1:6" ht="12.75">
      <c r="A5930">
        <v>5389244</v>
      </c>
      <c r="B5930">
        <v>5388938</v>
      </c>
      <c r="C5930" t="s">
        <v>8</v>
      </c>
      <c r="D5930" t="s">
        <v>8</v>
      </c>
      <c r="E5930" s="2" t="str">
        <f>HYPERLINK("https://ibp.a2mac1.com/costing(costing:projects/details/8191/assembly/5389244)","Panel")</f>
        <v>Panel</v>
      </c>
      <c r="F5930" t="s">
        <v>6414</v>
      </c>
    </row>
    <row r="5931" spans="1:6" ht="12.75">
      <c r="A5931">
        <v>5389450</v>
      </c>
      <c r="B5931">
        <v>5389244</v>
      </c>
      <c r="C5931" t="s">
        <v>12</v>
      </c>
      <c r="D5931" t="s">
        <v>8</v>
      </c>
      <c r="E5931" s="2" t="str">
        <f>HYPERLINK("https://ibp.a2mac1.com/costing(costing:projects/details/8191/part/5389450)","Part 01 single/main")</f>
        <v>Part 01 single/main</v>
      </c>
      <c r="F5931" t="s">
        <v>6415</v>
      </c>
    </row>
    <row r="5932" spans="1:6" ht="12.75">
      <c r="A5932">
        <v>6975912</v>
      </c>
      <c r="B5932">
        <v>5389450</v>
      </c>
      <c r="C5932" t="s">
        <v>99</v>
      </c>
      <c r="D5932" t="s">
        <v>12</v>
      </c>
      <c r="E5932" s="2" t="str">
        <f>HYPERLINK("https://ibp.a2mac1.com/costing(costing:projects/details/8191/process/6975912)","MANUFACTURING  PROCESS")</f>
        <v>MANUFACTURING  PROCESS</v>
      </c>
      <c r="F5932" t="s">
        <v>6416</v>
      </c>
    </row>
    <row r="5933" spans="1:6" ht="12.75">
      <c r="A5933">
        <v>5320383</v>
      </c>
      <c r="B5933">
        <v>6975912</v>
      </c>
      <c r="C5933" t="s">
        <v>24</v>
      </c>
      <c r="D5933" t="s">
        <v>99</v>
      </c>
      <c r="E5933" s="2" t="str">
        <f>HYPERLINK("https://ibp.a2mac1.com/costing(costing:projects/details/8191/material/5320383)","Standard Structural Steel sheet")</f>
        <v>Standard Structural Steel sheet</v>
      </c>
      <c r="F5933" t="s">
        <v>6419</v>
      </c>
    </row>
    <row r="5934" spans="1:6" ht="12.75">
      <c r="A5934">
        <v>6948531</v>
      </c>
      <c r="B5934">
        <v>6975912</v>
      </c>
      <c r="C5934" t="s">
        <v>189</v>
      </c>
      <c r="D5934" t="s">
        <v>99</v>
      </c>
      <c r="E5934" s="2" t="str">
        <f>HYPERLINK("https://ibp.a2mac1.com/costing(costing:projects/details/8191/equipment/6948531)","Manufacturing Equipment")</f>
        <v>Manufacturing Equipment</v>
      </c>
      <c r="F5934" t="s">
        <v>6419</v>
      </c>
    </row>
    <row r="5935" spans="1:6" ht="12.75">
      <c r="A5935">
        <v>5389245</v>
      </c>
      <c r="B5935">
        <v>5388938</v>
      </c>
      <c r="C5935" t="s">
        <v>8</v>
      </c>
      <c r="D5935" t="s">
        <v>8</v>
      </c>
      <c r="E5935" s="2" t="str">
        <f>HYPERLINK("https://ibp.a2mac1.com/costing(costing:projects/details/8191/assembly/5389245)","Reinforcements")</f>
        <v>Reinforcements</v>
      </c>
      <c r="F5935" t="s">
        <v>6414</v>
      </c>
    </row>
    <row r="5936" spans="1:6" ht="12.75">
      <c r="A5936">
        <v>5389451</v>
      </c>
      <c r="B5936">
        <v>5389245</v>
      </c>
      <c r="C5936" t="s">
        <v>12</v>
      </c>
      <c r="D5936" t="s">
        <v>8</v>
      </c>
      <c r="E5936" s="2" t="str">
        <f>HYPERLINK("https://ibp.a2mac1.com/costing(costing:projects/details/8191/part/5389451)","Part 01 single/main")</f>
        <v>Part 01 single/main</v>
      </c>
      <c r="F5936" t="s">
        <v>6420</v>
      </c>
    </row>
    <row r="5937" spans="1:6" ht="12.75">
      <c r="A5937">
        <v>6975913</v>
      </c>
      <c r="B5937">
        <v>5389451</v>
      </c>
      <c r="C5937" t="s">
        <v>99</v>
      </c>
      <c r="D5937" t="s">
        <v>12</v>
      </c>
      <c r="E5937" s="2" t="str">
        <f>HYPERLINK("https://ibp.a2mac1.com/costing(costing:projects/details/8191/process/6975913)","MANUFACTURING  PROCESS")</f>
        <v>MANUFACTURING  PROCESS</v>
      </c>
      <c r="F5937" t="s">
        <v>6421</v>
      </c>
    </row>
    <row r="5938" spans="1:6" ht="12.75">
      <c r="A5938">
        <v>5320384</v>
      </c>
      <c r="B5938">
        <v>6975913</v>
      </c>
      <c r="C5938" t="s">
        <v>24</v>
      </c>
      <c r="D5938" t="s">
        <v>99</v>
      </c>
      <c r="E5938" s="2" t="str">
        <f>HYPERLINK("https://ibp.a2mac1.com/costing(costing:projects/details/8191/material/5320384)","Standard Structural Steel sheet")</f>
        <v>Standard Structural Steel sheet</v>
      </c>
      <c r="F5938" t="s">
        <v>6424</v>
      </c>
    </row>
    <row r="5939" spans="1:6" ht="12.75">
      <c r="A5939">
        <v>6948532</v>
      </c>
      <c r="B5939">
        <v>6975913</v>
      </c>
      <c r="C5939" t="s">
        <v>189</v>
      </c>
      <c r="D5939" t="s">
        <v>99</v>
      </c>
      <c r="E5939" s="2" t="str">
        <f>HYPERLINK("https://ibp.a2mac1.com/costing(costing:projects/details/8191/equipment/6948532)","Manufacturing Equipment")</f>
        <v>Manufacturing Equipment</v>
      </c>
      <c r="F5939" t="s">
        <v>6424</v>
      </c>
    </row>
    <row r="5940" spans="1:6" ht="12.75">
      <c r="A5940">
        <v>5389246</v>
      </c>
      <c r="B5940">
        <v>5388938</v>
      </c>
      <c r="C5940" t="s">
        <v>8</v>
      </c>
      <c r="D5940" t="s">
        <v>8</v>
      </c>
      <c r="E5940" s="2" t="str">
        <f>HYPERLINK("https://ibp.a2mac1.com/costing(costing:projects/details/8191/assembly/5389246)","Fixing parts")</f>
        <v>Fixing parts</v>
      </c>
      <c r="F5940" t="s">
        <v>6414</v>
      </c>
    </row>
    <row r="5941" spans="1:6" ht="12.75">
      <c r="A5941">
        <v>5389452</v>
      </c>
      <c r="B5941">
        <v>5389246</v>
      </c>
      <c r="C5941" t="s">
        <v>12</v>
      </c>
      <c r="D5941" t="s">
        <v>8</v>
      </c>
      <c r="E5941" s="2" t="str">
        <f>HYPERLINK("https://ibp.a2mac1.com/costing(costing:projects/details/8191/part/5389452)","Part 01 single/main")</f>
        <v>Part 01 single/main</v>
      </c>
      <c r="F5941" t="s">
        <v>6425</v>
      </c>
    </row>
    <row r="5942" spans="1:6" ht="12.75">
      <c r="A5942">
        <v>6975914</v>
      </c>
      <c r="B5942">
        <v>5389452</v>
      </c>
      <c r="C5942" t="s">
        <v>99</v>
      </c>
      <c r="D5942" t="s">
        <v>12</v>
      </c>
      <c r="E5942" s="2" t="str">
        <f>HYPERLINK("https://ibp.a2mac1.com/costing(costing:projects/details/8191/process/6975914)","MANUFACTURING  PROCESS")</f>
        <v>MANUFACTURING  PROCESS</v>
      </c>
      <c r="F5942" t="s">
        <v>6426</v>
      </c>
    </row>
    <row r="5943" spans="1:6" ht="12.75">
      <c r="A5943">
        <v>5320385</v>
      </c>
      <c r="B5943">
        <v>6975914</v>
      </c>
      <c r="C5943" t="s">
        <v>24</v>
      </c>
      <c r="D5943" t="s">
        <v>99</v>
      </c>
      <c r="E5943" s="2" t="str">
        <f>HYPERLINK("https://ibp.a2mac1.com/costing(costing:projects/details/8191/material/5320385)","Standard Structural Steel sheet")</f>
        <v>Standard Structural Steel sheet</v>
      </c>
      <c r="F5943" t="s">
        <v>6428</v>
      </c>
    </row>
    <row r="5944" spans="1:6" ht="12.75">
      <c r="A5944">
        <v>6948533</v>
      </c>
      <c r="B5944">
        <v>6975914</v>
      </c>
      <c r="C5944" t="s">
        <v>189</v>
      </c>
      <c r="D5944" t="s">
        <v>99</v>
      </c>
      <c r="E5944" s="2" t="str">
        <f>HYPERLINK("https://ibp.a2mac1.com/costing(costing:projects/details/8191/equipment/6948533)","Manufacturing Equipment")</f>
        <v>Manufacturing Equipment</v>
      </c>
      <c r="F5944" t="s">
        <v>6428</v>
      </c>
    </row>
    <row r="5945" spans="1:6" ht="12.75">
      <c r="A5945">
        <v>5389453</v>
      </c>
      <c r="B5945">
        <v>5389246</v>
      </c>
      <c r="C5945" t="s">
        <v>12</v>
      </c>
      <c r="D5945" t="s">
        <v>8</v>
      </c>
      <c r="E5945" s="2" t="str">
        <f>HYPERLINK("https://ibp.a2mac1.com/costing(costing:projects/details/8191/part/5389453)","Part 02")</f>
        <v>Part 02</v>
      </c>
      <c r="F5945" t="s">
        <v>6425</v>
      </c>
    </row>
    <row r="5946" spans="1:6" ht="12.75">
      <c r="A5946">
        <v>6975915</v>
      </c>
      <c r="B5946">
        <v>5389453</v>
      </c>
      <c r="C5946" t="s">
        <v>99</v>
      </c>
      <c r="D5946" t="s">
        <v>12</v>
      </c>
      <c r="E5946" s="2" t="str">
        <f>HYPERLINK("https://ibp.a2mac1.com/costing(costing:projects/details/8191/process/6975915)","MANUFACTURING  PROCESS")</f>
        <v>MANUFACTURING  PROCESS</v>
      </c>
      <c r="F5946" t="s">
        <v>6429</v>
      </c>
    </row>
    <row r="5947" spans="1:6" ht="12.75">
      <c r="A5947">
        <v>5320386</v>
      </c>
      <c r="B5947">
        <v>6975915</v>
      </c>
      <c r="C5947" t="s">
        <v>24</v>
      </c>
      <c r="D5947" t="s">
        <v>99</v>
      </c>
      <c r="E5947" s="2" t="str">
        <f>HYPERLINK("https://ibp.a2mac1.com/costing(costing:projects/details/8191/material/5320386)","Standard Structural Steel sheet")</f>
        <v>Standard Structural Steel sheet</v>
      </c>
      <c r="F5947" t="s">
        <v>6431</v>
      </c>
    </row>
    <row r="5948" spans="1:6" ht="12.75">
      <c r="A5948">
        <v>6948534</v>
      </c>
      <c r="B5948">
        <v>6975915</v>
      </c>
      <c r="C5948" t="s">
        <v>189</v>
      </c>
      <c r="D5948" t="s">
        <v>99</v>
      </c>
      <c r="E5948" s="2" t="str">
        <f>HYPERLINK("https://ibp.a2mac1.com/costing(costing:projects/details/8191/equipment/6948534)","Manufacturing Equipment")</f>
        <v>Manufacturing Equipment</v>
      </c>
      <c r="F5948" t="s">
        <v>6431</v>
      </c>
    </row>
    <row r="5949" spans="1:6" ht="12.75">
      <c r="A5949">
        <v>5388939</v>
      </c>
      <c r="B5949">
        <v>5388630</v>
      </c>
      <c r="C5949" t="s">
        <v>8</v>
      </c>
      <c r="D5949" t="s">
        <v>8</v>
      </c>
      <c r="E5949" s="2" t="str">
        <f>HYPERLINK("https://ibp.a2mac1.com/costing(costing:projects/details/8191/assembly/5388939)","Other cross members")</f>
        <v>Other cross members</v>
      </c>
      <c r="F5949" t="s">
        <v>6387</v>
      </c>
    </row>
    <row r="5950" spans="1:6" ht="12.75">
      <c r="A5950">
        <v>5389247</v>
      </c>
      <c r="B5950">
        <v>5388939</v>
      </c>
      <c r="C5950" t="s">
        <v>8</v>
      </c>
      <c r="D5950" t="s">
        <v>8</v>
      </c>
      <c r="E5950" s="2" t="str">
        <f>HYPERLINK("https://ibp.a2mac1.com/costing(costing:projects/details/8191/assembly/5389247)","Cross member 01 main upper")</f>
        <v>Cross member 01 main upper</v>
      </c>
      <c r="F5950" t="s">
        <v>6432</v>
      </c>
    </row>
    <row r="5951" spans="1:6" ht="12.75">
      <c r="A5951">
        <v>5389454</v>
      </c>
      <c r="B5951">
        <v>5389247</v>
      </c>
      <c r="C5951" t="s">
        <v>8</v>
      </c>
      <c r="D5951" t="s">
        <v>8</v>
      </c>
      <c r="E5951" s="2" t="str">
        <f>HYPERLINK("https://ibp.a2mac1.com/costing(costing:projects/details/8191/assembly/5389454)","Member")</f>
        <v>Member</v>
      </c>
      <c r="F5951" t="s">
        <v>6433</v>
      </c>
    </row>
    <row r="5952" spans="1:6" ht="12.75">
      <c r="A5952">
        <v>5389721</v>
      </c>
      <c r="B5952">
        <v>5389454</v>
      </c>
      <c r="C5952" t="s">
        <v>12</v>
      </c>
      <c r="D5952" t="s">
        <v>8</v>
      </c>
      <c r="E5952" s="2" t="str">
        <f>HYPERLINK("https://ibp.a2mac1.com/costing(costing:projects/details/8191/part/5389721)","Part 01 single/main")</f>
        <v>Part 01 single/main</v>
      </c>
      <c r="F5952" t="s">
        <v>6434</v>
      </c>
    </row>
    <row r="5953" spans="1:6" ht="12.75">
      <c r="A5953">
        <v>6976144</v>
      </c>
      <c r="B5953">
        <v>5389721</v>
      </c>
      <c r="C5953" t="s">
        <v>99</v>
      </c>
      <c r="D5953" t="s">
        <v>12</v>
      </c>
      <c r="E5953" s="2" t="str">
        <f>HYPERLINK("https://ibp.a2mac1.com/costing(costing:projects/details/8191/process/6976144)","MANUFACTURING  PROCESS")</f>
        <v>MANUFACTURING  PROCESS</v>
      </c>
      <c r="F5953" t="s">
        <v>6435</v>
      </c>
    </row>
    <row r="5954" spans="1:6" ht="12.75">
      <c r="A5954">
        <v>5320553</v>
      </c>
      <c r="B5954">
        <v>6976144</v>
      </c>
      <c r="C5954" t="s">
        <v>24</v>
      </c>
      <c r="D5954" t="s">
        <v>99</v>
      </c>
      <c r="E5954" s="2" t="str">
        <f>HYPERLINK("https://ibp.a2mac1.com/costing(costing:projects/details/8191/material/5320553)","Standard Structural Steel sheet")</f>
        <v>Standard Structural Steel sheet</v>
      </c>
      <c r="F5954" t="s">
        <v>6438</v>
      </c>
    </row>
    <row r="5955" spans="1:6" ht="12.75">
      <c r="A5955">
        <v>6948738</v>
      </c>
      <c r="B5955">
        <v>6976144</v>
      </c>
      <c r="C5955" t="s">
        <v>189</v>
      </c>
      <c r="D5955" t="s">
        <v>99</v>
      </c>
      <c r="E5955" s="2" t="str">
        <f>HYPERLINK("https://ibp.a2mac1.com/costing(costing:projects/details/8191/equipment/6948738)","Manufacturing Equipment")</f>
        <v>Manufacturing Equipment</v>
      </c>
      <c r="F5955" t="s">
        <v>6438</v>
      </c>
    </row>
    <row r="5956" spans="1:6" ht="12.75">
      <c r="A5956">
        <v>5389455</v>
      </c>
      <c r="B5956">
        <v>5389247</v>
      </c>
      <c r="C5956" t="s">
        <v>8</v>
      </c>
      <c r="D5956" t="s">
        <v>8</v>
      </c>
      <c r="E5956" s="2" t="str">
        <f>HYPERLINK("https://ibp.a2mac1.com/costing(costing:projects/details/8191/assembly/5389455)","Gussets")</f>
        <v>Gussets</v>
      </c>
      <c r="F5956" t="s">
        <v>6433</v>
      </c>
    </row>
    <row r="5957" spans="1:6" ht="12.75">
      <c r="A5957">
        <v>5389722</v>
      </c>
      <c r="B5957">
        <v>5389455</v>
      </c>
      <c r="C5957" t="s">
        <v>12</v>
      </c>
      <c r="D5957" t="s">
        <v>8</v>
      </c>
      <c r="E5957" s="2" t="str">
        <f>HYPERLINK("https://ibp.a2mac1.com/costing(costing:projects/details/8191/part/5389722)","Part 01 single/main")</f>
        <v>Part 01 single/main</v>
      </c>
      <c r="F5957" t="s">
        <v>6439</v>
      </c>
    </row>
    <row r="5958" spans="1:6" ht="12.75">
      <c r="A5958">
        <v>6976145</v>
      </c>
      <c r="B5958">
        <v>5389722</v>
      </c>
      <c r="C5958" t="s">
        <v>99</v>
      </c>
      <c r="D5958" t="s">
        <v>12</v>
      </c>
      <c r="E5958" s="2" t="str">
        <f>HYPERLINK("https://ibp.a2mac1.com/costing(costing:projects/details/8191/process/6976145)","MANUFACTURING  PROCESS")</f>
        <v>MANUFACTURING  PROCESS</v>
      </c>
      <c r="F5958" t="s">
        <v>6440</v>
      </c>
    </row>
    <row r="5959" spans="1:6" ht="12.75">
      <c r="A5959">
        <v>5320554</v>
      </c>
      <c r="B5959">
        <v>6976145</v>
      </c>
      <c r="C5959" t="s">
        <v>24</v>
      </c>
      <c r="D5959" t="s">
        <v>99</v>
      </c>
      <c r="E5959" s="2" t="str">
        <f>HYPERLINK("https://ibp.a2mac1.com/costing(costing:projects/details/8191/material/5320554)","Standard Structural Steel sheet")</f>
        <v>Standard Structural Steel sheet</v>
      </c>
      <c r="F5959" t="s">
        <v>6443</v>
      </c>
    </row>
    <row r="5960" spans="1:6" ht="12.75">
      <c r="A5960">
        <v>6948739</v>
      </c>
      <c r="B5960">
        <v>6976145</v>
      </c>
      <c r="C5960" t="s">
        <v>189</v>
      </c>
      <c r="D5960" t="s">
        <v>99</v>
      </c>
      <c r="E5960" s="2" t="str">
        <f>HYPERLINK("https://ibp.a2mac1.com/costing(costing:projects/details/8191/equipment/6948739)","Manufacturing Equipment")</f>
        <v>Manufacturing Equipment</v>
      </c>
      <c r="F5960" t="s">
        <v>6443</v>
      </c>
    </row>
    <row r="5961" spans="1:6" ht="12.75">
      <c r="A5961">
        <v>5388631</v>
      </c>
      <c r="B5961">
        <v>5388292</v>
      </c>
      <c r="C5961" t="s">
        <v>8</v>
      </c>
      <c r="D5961" t="s">
        <v>8</v>
      </c>
      <c r="E5961" s="2" t="str">
        <f>HYPERLINK("https://ibp.a2mac1.com/costing(costing:projects/details/8191/assembly/5388631)","Rear panel assy")</f>
        <v>Rear panel assy</v>
      </c>
      <c r="F5961" t="s">
        <v>6345</v>
      </c>
    </row>
    <row r="5962" spans="1:6" ht="12.75">
      <c r="A5962">
        <v>5388940</v>
      </c>
      <c r="B5962">
        <v>5388631</v>
      </c>
      <c r="C5962" t="s">
        <v>8</v>
      </c>
      <c r="D5962" t="s">
        <v>8</v>
      </c>
      <c r="E5962" s="2" t="str">
        <f>HYPERLINK("https://ibp.a2mac1.com/costing(costing:projects/details/8191/assembly/5388940)","Outer panel")</f>
        <v>Outer panel</v>
      </c>
      <c r="F5962" t="s">
        <v>6444</v>
      </c>
    </row>
    <row r="5963" spans="1:6" ht="12.75">
      <c r="A5963">
        <v>5389248</v>
      </c>
      <c r="B5963">
        <v>5388940</v>
      </c>
      <c r="C5963" t="s">
        <v>12</v>
      </c>
      <c r="D5963" t="s">
        <v>8</v>
      </c>
      <c r="E5963" s="2" t="str">
        <f>HYPERLINK("https://ibp.a2mac1.com/costing(costing:projects/details/8191/part/5389248)","Part 01 single/main")</f>
        <v>Part 01 single/main</v>
      </c>
      <c r="F5963" t="s">
        <v>6445</v>
      </c>
    </row>
    <row r="5964" spans="1:6" ht="12.75">
      <c r="A5964">
        <v>6975848</v>
      </c>
      <c r="B5964">
        <v>5389248</v>
      </c>
      <c r="C5964" t="s">
        <v>99</v>
      </c>
      <c r="D5964" t="s">
        <v>12</v>
      </c>
      <c r="E5964" s="2" t="str">
        <f>HYPERLINK("https://ibp.a2mac1.com/costing(costing:projects/details/8191/process/6975848)","MANUFACTURING  PROCESS")</f>
        <v>MANUFACTURING  PROCESS</v>
      </c>
      <c r="F5964" t="s">
        <v>6446</v>
      </c>
    </row>
    <row r="5965" spans="1:6" ht="12.75">
      <c r="A5965">
        <v>5320303</v>
      </c>
      <c r="B5965">
        <v>6975848</v>
      </c>
      <c r="C5965" t="s">
        <v>24</v>
      </c>
      <c r="D5965" t="s">
        <v>99</v>
      </c>
      <c r="E5965" s="2" t="str">
        <f>HYPERLINK("https://ibp.a2mac1.com/costing(costing:projects/details/8191/material/5320303)","Standard Structural Steel sheet")</f>
        <v>Standard Structural Steel sheet</v>
      </c>
      <c r="F5965" t="s">
        <v>6449</v>
      </c>
    </row>
    <row r="5966" spans="1:6" ht="12.75">
      <c r="A5966">
        <v>6948443</v>
      </c>
      <c r="B5966">
        <v>6975848</v>
      </c>
      <c r="C5966" t="s">
        <v>189</v>
      </c>
      <c r="D5966" t="s">
        <v>99</v>
      </c>
      <c r="E5966" s="2" t="str">
        <f>HYPERLINK("https://ibp.a2mac1.com/costing(costing:projects/details/8191/equipment/6948443)","Manufacturing Equipment")</f>
        <v>Manufacturing Equipment</v>
      </c>
      <c r="F5966" t="s">
        <v>6449</v>
      </c>
    </row>
    <row r="5967" spans="1:6" ht="12.75">
      <c r="A5967">
        <v>5388941</v>
      </c>
      <c r="B5967">
        <v>5388631</v>
      </c>
      <c r="C5967" t="s">
        <v>8</v>
      </c>
      <c r="D5967" t="s">
        <v>8</v>
      </c>
      <c r="E5967" s="2" t="str">
        <f>HYPERLINK("https://ibp.a2mac1.com/costing(costing:projects/details/8191/assembly/5388941)","Inner panel")</f>
        <v>Inner panel</v>
      </c>
      <c r="F5967" t="s">
        <v>6444</v>
      </c>
    </row>
    <row r="5968" spans="1:6" ht="12.75">
      <c r="A5968">
        <v>5389249</v>
      </c>
      <c r="B5968">
        <v>5388941</v>
      </c>
      <c r="C5968" t="s">
        <v>12</v>
      </c>
      <c r="D5968" t="s">
        <v>8</v>
      </c>
      <c r="E5968" s="2" t="str">
        <f>HYPERLINK("https://ibp.a2mac1.com/costing(costing:projects/details/8191/part/5389249)","Part 01 single/main")</f>
        <v>Part 01 single/main</v>
      </c>
      <c r="F5968" t="s">
        <v>6450</v>
      </c>
    </row>
    <row r="5969" spans="1:6" ht="12.75">
      <c r="A5969">
        <v>6975849</v>
      </c>
      <c r="B5969">
        <v>5389249</v>
      </c>
      <c r="C5969" t="s">
        <v>99</v>
      </c>
      <c r="D5969" t="s">
        <v>12</v>
      </c>
      <c r="E5969" s="2" t="str">
        <f>HYPERLINK("https://ibp.a2mac1.com/costing(costing:projects/details/8191/process/6975849)","MANUFACTURING  PROCESS")</f>
        <v>MANUFACTURING  PROCESS</v>
      </c>
      <c r="F5969" t="s">
        <v>6451</v>
      </c>
    </row>
    <row r="5970" spans="1:6" ht="12.75">
      <c r="A5970">
        <v>5320304</v>
      </c>
      <c r="B5970">
        <v>6975849</v>
      </c>
      <c r="C5970" t="s">
        <v>24</v>
      </c>
      <c r="D5970" t="s">
        <v>99</v>
      </c>
      <c r="E5970" s="2" t="str">
        <f>HYPERLINK("https://ibp.a2mac1.com/costing(costing:projects/details/8191/material/5320304)","Standard Structural Steel sheet")</f>
        <v>Standard Structural Steel sheet</v>
      </c>
      <c r="F5970" t="s">
        <v>6454</v>
      </c>
    </row>
    <row r="5971" spans="1:6" ht="12.75">
      <c r="A5971">
        <v>6948444</v>
      </c>
      <c r="B5971">
        <v>6975849</v>
      </c>
      <c r="C5971" t="s">
        <v>189</v>
      </c>
      <c r="D5971" t="s">
        <v>99</v>
      </c>
      <c r="E5971" s="2" t="str">
        <f>HYPERLINK("https://ibp.a2mac1.com/costing(costing:projects/details/8191/equipment/6948444)","Manufacturing Equipment")</f>
        <v>Manufacturing Equipment</v>
      </c>
      <c r="F5971" t="s">
        <v>6454</v>
      </c>
    </row>
    <row r="5972" spans="1:6" ht="12.75">
      <c r="A5972">
        <v>5388942</v>
      </c>
      <c r="B5972">
        <v>5388631</v>
      </c>
      <c r="C5972" t="s">
        <v>8</v>
      </c>
      <c r="D5972" t="s">
        <v>8</v>
      </c>
      <c r="E5972" s="2" t="str">
        <f>HYPERLINK("https://ibp.a2mac1.com/costing(costing:projects/details/8191/assembly/5388942)","Reinforcements")</f>
        <v>Reinforcements</v>
      </c>
      <c r="F5972" t="s">
        <v>6444</v>
      </c>
    </row>
    <row r="5973" spans="1:6" ht="12.75">
      <c r="A5973">
        <v>5389250</v>
      </c>
      <c r="B5973">
        <v>5388942</v>
      </c>
      <c r="C5973" t="s">
        <v>12</v>
      </c>
      <c r="D5973" t="s">
        <v>8</v>
      </c>
      <c r="E5973" s="2" t="str">
        <f>HYPERLINK("https://ibp.a2mac1.com/costing(costing:projects/details/8191/part/5389250)","Part 01 single/main")</f>
        <v>Part 01 single/main</v>
      </c>
      <c r="F5973" t="s">
        <v>6455</v>
      </c>
    </row>
    <row r="5974" spans="1:6" ht="12.75">
      <c r="A5974">
        <v>6975850</v>
      </c>
      <c r="B5974">
        <v>5389250</v>
      </c>
      <c r="C5974" t="s">
        <v>99</v>
      </c>
      <c r="D5974" t="s">
        <v>12</v>
      </c>
      <c r="E5974" s="2" t="str">
        <f>HYPERLINK("https://ibp.a2mac1.com/costing(costing:projects/details/8191/process/6975850)","MANUFACTURING  PROCESS")</f>
        <v>MANUFACTURING  PROCESS</v>
      </c>
      <c r="F5974" t="s">
        <v>6456</v>
      </c>
    </row>
    <row r="5975" spans="1:6" ht="12.75">
      <c r="A5975">
        <v>5320305</v>
      </c>
      <c r="B5975">
        <v>6975850</v>
      </c>
      <c r="C5975" t="s">
        <v>24</v>
      </c>
      <c r="D5975" t="s">
        <v>99</v>
      </c>
      <c r="E5975" s="2" t="str">
        <f>HYPERLINK("https://ibp.a2mac1.com/costing(costing:projects/details/8191/material/5320305)","Standard Structural Steel sheet")</f>
        <v>Standard Structural Steel sheet</v>
      </c>
      <c r="F5975" t="s">
        <v>6457</v>
      </c>
    </row>
    <row r="5976" spans="1:6" ht="12.75">
      <c r="A5976">
        <v>6948445</v>
      </c>
      <c r="B5976">
        <v>6975850</v>
      </c>
      <c r="C5976" t="s">
        <v>189</v>
      </c>
      <c r="D5976" t="s">
        <v>99</v>
      </c>
      <c r="E5976" s="2" t="str">
        <f>HYPERLINK("https://ibp.a2mac1.com/costing(costing:projects/details/8191/equipment/6948445)","Manufacturing Equipment")</f>
        <v>Manufacturing Equipment</v>
      </c>
      <c r="F5976" t="s">
        <v>6457</v>
      </c>
    </row>
    <row r="5977" spans="1:6" ht="12.75">
      <c r="A5977">
        <v>5389251</v>
      </c>
      <c r="B5977">
        <v>5388942</v>
      </c>
      <c r="C5977" t="s">
        <v>12</v>
      </c>
      <c r="D5977" t="s">
        <v>8</v>
      </c>
      <c r="E5977" s="2" t="str">
        <f>HYPERLINK("https://ibp.a2mac1.com/costing(costing:projects/details/8191/part/5389251)","Part 02")</f>
        <v>Part 02</v>
      </c>
      <c r="F5977" t="s">
        <v>6455</v>
      </c>
    </row>
    <row r="5978" spans="1:6" ht="12.75">
      <c r="A5978">
        <v>6975851</v>
      </c>
      <c r="B5978">
        <v>5389251</v>
      </c>
      <c r="C5978" t="s">
        <v>99</v>
      </c>
      <c r="D5978" t="s">
        <v>12</v>
      </c>
      <c r="E5978" s="2" t="str">
        <f>HYPERLINK("https://ibp.a2mac1.com/costing(costing:projects/details/8191/process/6975851)","MANUFACTURING  PROCESS")</f>
        <v>MANUFACTURING  PROCESS</v>
      </c>
      <c r="F5978" t="s">
        <v>6458</v>
      </c>
    </row>
    <row r="5979" spans="1:6" ht="12.75">
      <c r="A5979">
        <v>5320306</v>
      </c>
      <c r="B5979">
        <v>6975851</v>
      </c>
      <c r="C5979" t="s">
        <v>24</v>
      </c>
      <c r="D5979" t="s">
        <v>99</v>
      </c>
      <c r="E5979" s="2" t="str">
        <f>HYPERLINK("https://ibp.a2mac1.com/costing(costing:projects/details/8191/material/5320306)","Standard Structural Steel sheet")</f>
        <v>Standard Structural Steel sheet</v>
      </c>
      <c r="F5979" t="s">
        <v>6460</v>
      </c>
    </row>
    <row r="5980" spans="1:6" ht="12.75">
      <c r="A5980">
        <v>6948446</v>
      </c>
      <c r="B5980">
        <v>6975851</v>
      </c>
      <c r="C5980" t="s">
        <v>189</v>
      </c>
      <c r="D5980" t="s">
        <v>99</v>
      </c>
      <c r="E5980" s="2" t="str">
        <f>HYPERLINK("https://ibp.a2mac1.com/costing(costing:projects/details/8191/equipment/6948446)","Manufacturing Equipment")</f>
        <v>Manufacturing Equipment</v>
      </c>
      <c r="F5980" t="s">
        <v>6460</v>
      </c>
    </row>
    <row r="5981" spans="1:6" ht="12.75">
      <c r="A5981">
        <v>5388943</v>
      </c>
      <c r="B5981">
        <v>5388631</v>
      </c>
      <c r="C5981" t="s">
        <v>8</v>
      </c>
      <c r="D5981" t="s">
        <v>8</v>
      </c>
      <c r="E5981" s="2" t="str">
        <f>HYPERLINK("https://ibp.a2mac1.com/costing(costing:projects/details/8191/assembly/5388943)","Spacers")</f>
        <v>Spacers</v>
      </c>
      <c r="F5981" t="s">
        <v>6444</v>
      </c>
    </row>
    <row r="5982" spans="1:6" ht="12.75">
      <c r="A5982">
        <v>5389252</v>
      </c>
      <c r="B5982">
        <v>5388943</v>
      </c>
      <c r="C5982" t="s">
        <v>12</v>
      </c>
      <c r="D5982" t="s">
        <v>8</v>
      </c>
      <c r="E5982" s="2" t="str">
        <f>HYPERLINK("https://ibp.a2mac1.com/costing(costing:projects/details/8191/part/5389252)","Part 01 single/main")</f>
        <v>Part 01 single/main</v>
      </c>
      <c r="F5982" t="s">
        <v>6461</v>
      </c>
    </row>
    <row r="5983" spans="1:6" ht="12.75">
      <c r="A5983">
        <v>6975852</v>
      </c>
      <c r="B5983">
        <v>5389252</v>
      </c>
      <c r="C5983" t="s">
        <v>99</v>
      </c>
      <c r="D5983" t="s">
        <v>12</v>
      </c>
      <c r="E5983" s="2" t="str">
        <f>HYPERLINK("https://ibp.a2mac1.com/costing(costing:projects/details/8191/process/6975852)","MANUFACTURING  PROCESS")</f>
        <v>MANUFACTURING  PROCESS</v>
      </c>
      <c r="F5983" t="s">
        <v>6462</v>
      </c>
    </row>
    <row r="5984" spans="1:6" ht="12.75">
      <c r="A5984">
        <v>5320307</v>
      </c>
      <c r="B5984">
        <v>6975852</v>
      </c>
      <c r="C5984" t="s">
        <v>24</v>
      </c>
      <c r="D5984" t="s">
        <v>99</v>
      </c>
      <c r="E5984" s="2" t="str">
        <f>HYPERLINK("https://ibp.a2mac1.com/costing(costing:projects/details/8191/material/5320307)","Standard Structural Steel sheet")</f>
        <v>Standard Structural Steel sheet</v>
      </c>
      <c r="F5984" t="s">
        <v>6464</v>
      </c>
    </row>
    <row r="5985" spans="1:6" ht="12.75">
      <c r="A5985">
        <v>6948447</v>
      </c>
      <c r="B5985">
        <v>6975852</v>
      </c>
      <c r="C5985" t="s">
        <v>189</v>
      </c>
      <c r="D5985" t="s">
        <v>99</v>
      </c>
      <c r="E5985" s="2" t="str">
        <f>HYPERLINK("https://ibp.a2mac1.com/costing(costing:projects/details/8191/equipment/6948447)","Manufacturing Equipment")</f>
        <v>Manufacturing Equipment</v>
      </c>
      <c r="F5985" t="s">
        <v>6464</v>
      </c>
    </row>
    <row r="5986" spans="1:6" ht="12.75">
      <c r="A5986">
        <v>5388944</v>
      </c>
      <c r="B5986">
        <v>5388631</v>
      </c>
      <c r="C5986" t="s">
        <v>8</v>
      </c>
      <c r="D5986" t="s">
        <v>8</v>
      </c>
      <c r="E5986" s="2" t="str">
        <f>HYPERLINK("https://ibp.a2mac1.com/costing(costing:projects/details/8191/assembly/5388944)","Fixing parts")</f>
        <v>Fixing parts</v>
      </c>
      <c r="F5986" t="s">
        <v>6444</v>
      </c>
    </row>
    <row r="5987" spans="1:6" ht="12.75">
      <c r="A5987">
        <v>5389253</v>
      </c>
      <c r="B5987">
        <v>5388944</v>
      </c>
      <c r="C5987" t="s">
        <v>12</v>
      </c>
      <c r="D5987" t="s">
        <v>8</v>
      </c>
      <c r="E5987" s="2" t="str">
        <f>HYPERLINK("https://ibp.a2mac1.com/costing(costing:projects/details/8191/part/5389253)","Part 01 single/main")</f>
        <v>Part 01 single/main</v>
      </c>
      <c r="F5987" t="s">
        <v>6465</v>
      </c>
    </row>
    <row r="5988" spans="1:6" ht="12.75">
      <c r="A5988">
        <v>6975853</v>
      </c>
      <c r="B5988">
        <v>5389253</v>
      </c>
      <c r="C5988" t="s">
        <v>99</v>
      </c>
      <c r="D5988" t="s">
        <v>12</v>
      </c>
      <c r="E5988" s="2" t="str">
        <f>HYPERLINK("https://ibp.a2mac1.com/costing(costing:projects/details/8191/process/6975853)","MANUFACTURING  PROCESS")</f>
        <v>MANUFACTURING  PROCESS</v>
      </c>
      <c r="F5988" t="s">
        <v>6466</v>
      </c>
    </row>
    <row r="5989" spans="1:6" ht="12.75">
      <c r="A5989">
        <v>5320308</v>
      </c>
      <c r="B5989">
        <v>6975853</v>
      </c>
      <c r="C5989" t="s">
        <v>24</v>
      </c>
      <c r="D5989" t="s">
        <v>99</v>
      </c>
      <c r="E5989" s="2" t="str">
        <f>HYPERLINK("https://ibp.a2mac1.com/costing(costing:projects/details/8191/material/5320308)","Standard Structural Steel sheet")</f>
        <v>Standard Structural Steel sheet</v>
      </c>
      <c r="F5989" t="s">
        <v>6468</v>
      </c>
    </row>
    <row r="5990" spans="1:6" ht="12.75">
      <c r="A5990">
        <v>6948448</v>
      </c>
      <c r="B5990">
        <v>6975853</v>
      </c>
      <c r="C5990" t="s">
        <v>189</v>
      </c>
      <c r="D5990" t="s">
        <v>99</v>
      </c>
      <c r="E5990" s="2" t="str">
        <f>HYPERLINK("https://ibp.a2mac1.com/costing(costing:projects/details/8191/equipment/6948448)","Manufacturing Equipment")</f>
        <v>Manufacturing Equipment</v>
      </c>
      <c r="F5990" t="s">
        <v>6468</v>
      </c>
    </row>
    <row r="5991" spans="1:6" ht="12.75">
      <c r="A5991">
        <v>5389254</v>
      </c>
      <c r="B5991">
        <v>5388944</v>
      </c>
      <c r="C5991" t="s">
        <v>12</v>
      </c>
      <c r="D5991" t="s">
        <v>8</v>
      </c>
      <c r="E5991" s="2" t="str">
        <f>HYPERLINK("https://ibp.a2mac1.com/costing(costing:projects/details/8191/part/5389254)","Part 02")</f>
        <v>Part 02</v>
      </c>
      <c r="F5991" t="s">
        <v>6465</v>
      </c>
    </row>
    <row r="5992" spans="1:6" ht="12.75">
      <c r="A5992">
        <v>6975854</v>
      </c>
      <c r="B5992">
        <v>5389254</v>
      </c>
      <c r="C5992" t="s">
        <v>99</v>
      </c>
      <c r="D5992" t="s">
        <v>12</v>
      </c>
      <c r="E5992" s="2" t="str">
        <f>HYPERLINK("https://ibp.a2mac1.com/costing(costing:projects/details/8191/process/6975854)","MANUFACTURING  PROCESS")</f>
        <v>MANUFACTURING  PROCESS</v>
      </c>
      <c r="F5992" t="s">
        <v>6469</v>
      </c>
    </row>
    <row r="5993" spans="1:6" ht="12.75">
      <c r="A5993">
        <v>5320309</v>
      </c>
      <c r="B5993">
        <v>6975854</v>
      </c>
      <c r="C5993" t="s">
        <v>24</v>
      </c>
      <c r="D5993" t="s">
        <v>99</v>
      </c>
      <c r="E5993" s="2" t="str">
        <f>HYPERLINK("https://ibp.a2mac1.com/costing(costing:projects/details/8191/material/5320309)","Standard Structural Steel sheet")</f>
        <v>Standard Structural Steel sheet</v>
      </c>
      <c r="F5993" t="s">
        <v>6471</v>
      </c>
    </row>
    <row r="5994" spans="1:6" ht="12.75">
      <c r="A5994">
        <v>6948449</v>
      </c>
      <c r="B5994">
        <v>6975854</v>
      </c>
      <c r="C5994" t="s">
        <v>189</v>
      </c>
      <c r="D5994" t="s">
        <v>99</v>
      </c>
      <c r="E5994" s="2" t="str">
        <f>HYPERLINK("https://ibp.a2mac1.com/costing(costing:projects/details/8191/equipment/6948449)","Manufacturing Equipment")</f>
        <v>Manufacturing Equipment</v>
      </c>
      <c r="F5994" t="s">
        <v>6471</v>
      </c>
    </row>
    <row r="5995" spans="1:6" ht="12.75">
      <c r="A5995">
        <v>5389255</v>
      </c>
      <c r="B5995">
        <v>5388944</v>
      </c>
      <c r="C5995" t="s">
        <v>12</v>
      </c>
      <c r="D5995" t="s">
        <v>8</v>
      </c>
      <c r="E5995" s="2" t="str">
        <f>HYPERLINK("https://ibp.a2mac1.com/costing(costing:projects/details/8191/part/5389255)","Part 03")</f>
        <v>Part 03</v>
      </c>
      <c r="F5995" t="s">
        <v>6465</v>
      </c>
    </row>
    <row r="5996" spans="1:6" ht="12.75">
      <c r="A5996">
        <v>6975855</v>
      </c>
      <c r="B5996">
        <v>5389255</v>
      </c>
      <c r="C5996" t="s">
        <v>99</v>
      </c>
      <c r="D5996" t="s">
        <v>12</v>
      </c>
      <c r="E5996" s="2" t="str">
        <f>HYPERLINK("https://ibp.a2mac1.com/costing(costing:projects/details/8191/process/6975855)","MANUFACTURING  PROCESS")</f>
        <v>MANUFACTURING  PROCESS</v>
      </c>
      <c r="F5996" t="s">
        <v>6472</v>
      </c>
    </row>
    <row r="5997" spans="1:6" ht="12.75">
      <c r="A5997">
        <v>5320310</v>
      </c>
      <c r="B5997">
        <v>6975855</v>
      </c>
      <c r="C5997" t="s">
        <v>24</v>
      </c>
      <c r="D5997" t="s">
        <v>99</v>
      </c>
      <c r="E5997" s="2" t="str">
        <f>HYPERLINK("https://ibp.a2mac1.com/costing(costing:projects/details/8191/material/5320310)","Standard Structural Steel sheet")</f>
        <v>Standard Structural Steel sheet</v>
      </c>
      <c r="F5997" t="s">
        <v>6473</v>
      </c>
    </row>
    <row r="5998" spans="1:6" ht="12.75">
      <c r="A5998">
        <v>6948450</v>
      </c>
      <c r="B5998">
        <v>6975855</v>
      </c>
      <c r="C5998" t="s">
        <v>189</v>
      </c>
      <c r="D5998" t="s">
        <v>99</v>
      </c>
      <c r="E5998" s="2" t="str">
        <f>HYPERLINK("https://ibp.a2mac1.com/costing(costing:projects/details/8191/equipment/6948450)","Manufacturing Equipment")</f>
        <v>Manufacturing Equipment</v>
      </c>
      <c r="F5998" t="s">
        <v>6473</v>
      </c>
    </row>
    <row r="5999" spans="1:6" ht="12.75">
      <c r="A5999">
        <v>5389256</v>
      </c>
      <c r="B5999">
        <v>5388944</v>
      </c>
      <c r="C5999" t="s">
        <v>12</v>
      </c>
      <c r="D5999" t="s">
        <v>8</v>
      </c>
      <c r="E5999" s="2" t="str">
        <f>HYPERLINK("https://ibp.a2mac1.com/costing(costing:projects/details/8191/part/5389256)","Part 04")</f>
        <v>Part 04</v>
      </c>
      <c r="F5999" t="s">
        <v>6465</v>
      </c>
    </row>
    <row r="6000" spans="1:6" ht="12.75">
      <c r="A6000">
        <v>6975859</v>
      </c>
      <c r="B6000">
        <v>5389256</v>
      </c>
      <c r="C6000" t="s">
        <v>99</v>
      </c>
      <c r="D6000" t="s">
        <v>12</v>
      </c>
      <c r="E6000" s="2" t="str">
        <f>HYPERLINK("https://ibp.a2mac1.com/costing(costing:projects/details/8191/process/6975859)","MANUFACTURING  PROCESS")</f>
        <v>MANUFACTURING  PROCESS</v>
      </c>
      <c r="F6000" t="s">
        <v>6474</v>
      </c>
    </row>
    <row r="6001" spans="1:6" ht="12.75">
      <c r="A6001">
        <v>5320311</v>
      </c>
      <c r="B6001">
        <v>6975859</v>
      </c>
      <c r="C6001" t="s">
        <v>24</v>
      </c>
      <c r="D6001" t="s">
        <v>99</v>
      </c>
      <c r="E6001" s="2" t="str">
        <f>HYPERLINK("https://ibp.a2mac1.com/costing(costing:projects/details/8191/material/5320311)","Standard Structural Steel sheet")</f>
        <v>Standard Structural Steel sheet</v>
      </c>
      <c r="F6001" t="s">
        <v>6475</v>
      </c>
    </row>
    <row r="6002" spans="1:6" ht="12.75">
      <c r="A6002">
        <v>6948451</v>
      </c>
      <c r="B6002">
        <v>6975859</v>
      </c>
      <c r="C6002" t="s">
        <v>189</v>
      </c>
      <c r="D6002" t="s">
        <v>99</v>
      </c>
      <c r="E6002" s="2" t="str">
        <f>HYPERLINK("https://ibp.a2mac1.com/costing(costing:projects/details/8191/equipment/6948451)","Manufacturing Equipment")</f>
        <v>Manufacturing Equipment</v>
      </c>
      <c r="F6002" t="s">
        <v>6475</v>
      </c>
    </row>
    <row r="6003" spans="1:6" ht="12.75">
      <c r="A6003">
        <v>5388632</v>
      </c>
      <c r="B6003">
        <v>5388292</v>
      </c>
      <c r="C6003" t="s">
        <v>8</v>
      </c>
      <c r="D6003" t="s">
        <v>8</v>
      </c>
      <c r="E6003" s="2" t="str">
        <f>HYPERLINK("https://ibp.a2mac1.com/costing(costing:projects/details/8191/assembly/5388632)","Body side assy")</f>
        <v>Body side assy</v>
      </c>
      <c r="F6003" t="s">
        <v>6345</v>
      </c>
    </row>
    <row r="6004" spans="1:6" ht="12.75">
      <c r="A6004">
        <v>5388945</v>
      </c>
      <c r="B6004">
        <v>5388632</v>
      </c>
      <c r="C6004" t="s">
        <v>8</v>
      </c>
      <c r="D6004" t="s">
        <v>8</v>
      </c>
      <c r="E6004" s="2" t="str">
        <f>HYPERLINK("https://ibp.a2mac1.com/costing(costing:projects/details/8191/assembly/5388945)","Outer skin assy")</f>
        <v>Outer skin assy</v>
      </c>
      <c r="F6004" t="s">
        <v>6476</v>
      </c>
    </row>
    <row r="6005" spans="1:6" ht="12.75">
      <c r="A6005">
        <v>5389257</v>
      </c>
      <c r="B6005">
        <v>5388945</v>
      </c>
      <c r="C6005" t="s">
        <v>8</v>
      </c>
      <c r="D6005" t="s">
        <v>8</v>
      </c>
      <c r="E6005" s="2" t="str">
        <f>HYPERLINK("https://ibp.a2mac1.com/costing(costing:projects/details/8191/assembly/5389257)","Outer skin")</f>
        <v>Outer skin</v>
      </c>
      <c r="F6005" t="s">
        <v>6477</v>
      </c>
    </row>
    <row r="6006" spans="1:6" ht="12.75">
      <c r="A6006">
        <v>5389456</v>
      </c>
      <c r="B6006">
        <v>5389257</v>
      </c>
      <c r="C6006" t="s">
        <v>12</v>
      </c>
      <c r="D6006" t="s">
        <v>8</v>
      </c>
      <c r="E6006" s="2" t="str">
        <f>HYPERLINK("https://ibp.a2mac1.com/costing(costing:projects/details/8191/part/5389456)","Part 01 single/main/front")</f>
        <v>Part 01 single/main/front</v>
      </c>
      <c r="F6006" t="s">
        <v>6478</v>
      </c>
    </row>
    <row r="6007" spans="1:6" ht="12.75">
      <c r="A6007">
        <v>6975916</v>
      </c>
      <c r="B6007">
        <v>5389456</v>
      </c>
      <c r="C6007" t="s">
        <v>99</v>
      </c>
      <c r="D6007" t="s">
        <v>12</v>
      </c>
      <c r="E6007" s="2" t="str">
        <f>HYPERLINK("https://ibp.a2mac1.com/costing(costing:projects/details/8191/process/6975916)","MANUFACTURING  PROCESS")</f>
        <v>MANUFACTURING  PROCESS</v>
      </c>
      <c r="F6007" t="s">
        <v>6479</v>
      </c>
    </row>
    <row r="6008" spans="1:6" ht="12.75">
      <c r="A6008">
        <v>5320387</v>
      </c>
      <c r="B6008">
        <v>6975916</v>
      </c>
      <c r="C6008" t="s">
        <v>24</v>
      </c>
      <c r="D6008" t="s">
        <v>99</v>
      </c>
      <c r="E6008" s="2" t="str">
        <f>HYPERLINK("https://ibp.a2mac1.com/costing(costing:projects/details/8191/material/5320387)","Standard Structural Steel sheet")</f>
        <v>Standard Structural Steel sheet</v>
      </c>
      <c r="F6008" t="s">
        <v>6482</v>
      </c>
    </row>
    <row r="6009" spans="1:6" ht="12.75">
      <c r="A6009">
        <v>6948535</v>
      </c>
      <c r="B6009">
        <v>6975916</v>
      </c>
      <c r="C6009" t="s">
        <v>189</v>
      </c>
      <c r="D6009" t="s">
        <v>99</v>
      </c>
      <c r="E6009" s="2" t="str">
        <f>HYPERLINK("https://ibp.a2mac1.com/costing(costing:projects/details/8191/equipment/6948535)","Manufacturing Equipment")</f>
        <v>Manufacturing Equipment</v>
      </c>
      <c r="F6009" t="s">
        <v>6482</v>
      </c>
    </row>
    <row r="6010" spans="1:6" ht="12.75">
      <c r="A6010">
        <v>5389457</v>
      </c>
      <c r="B6010">
        <v>5389257</v>
      </c>
      <c r="C6010" t="s">
        <v>12</v>
      </c>
      <c r="D6010" t="s">
        <v>8</v>
      </c>
      <c r="E6010" s="2" t="str">
        <f>HYPERLINK("https://ibp.a2mac1.com/costing(costing:projects/details/8191/part/5389457)","Part 02")</f>
        <v>Part 02</v>
      </c>
      <c r="F6010" t="s">
        <v>6478</v>
      </c>
    </row>
    <row r="6011" spans="1:6" ht="12.75">
      <c r="A6011">
        <v>6975917</v>
      </c>
      <c r="B6011">
        <v>5389457</v>
      </c>
      <c r="C6011" t="s">
        <v>99</v>
      </c>
      <c r="D6011" t="s">
        <v>12</v>
      </c>
      <c r="E6011" s="2" t="str">
        <f>HYPERLINK("https://ibp.a2mac1.com/costing(costing:projects/details/8191/process/6975917)","MANUFACTURING  PROCESS")</f>
        <v>MANUFACTURING  PROCESS</v>
      </c>
      <c r="F6011" t="s">
        <v>6483</v>
      </c>
    </row>
    <row r="6012" spans="1:6" ht="12.75">
      <c r="A6012">
        <v>5320388</v>
      </c>
      <c r="B6012">
        <v>6975917</v>
      </c>
      <c r="C6012" t="s">
        <v>24</v>
      </c>
      <c r="D6012" t="s">
        <v>99</v>
      </c>
      <c r="E6012" s="2" t="str">
        <f>HYPERLINK("https://ibp.a2mac1.com/costing(costing:projects/details/8191/material/5320388)","Standard Structural Steel sheet")</f>
        <v>Standard Structural Steel sheet</v>
      </c>
      <c r="F6012" t="s">
        <v>6485</v>
      </c>
    </row>
    <row r="6013" spans="1:6" ht="12.75">
      <c r="A6013">
        <v>6948536</v>
      </c>
      <c r="B6013">
        <v>6975917</v>
      </c>
      <c r="C6013" t="s">
        <v>189</v>
      </c>
      <c r="D6013" t="s">
        <v>99</v>
      </c>
      <c r="E6013" s="2" t="str">
        <f>HYPERLINK("https://ibp.a2mac1.com/costing(costing:projects/details/8191/equipment/6948536)","Manufacturing Equipment")</f>
        <v>Manufacturing Equipment</v>
      </c>
      <c r="F6013" t="s">
        <v>6485</v>
      </c>
    </row>
    <row r="6014" spans="1:6" ht="12.75">
      <c r="A6014">
        <v>5389458</v>
      </c>
      <c r="B6014">
        <v>5389257</v>
      </c>
      <c r="C6014" t="s">
        <v>12</v>
      </c>
      <c r="D6014" t="s">
        <v>8</v>
      </c>
      <c r="E6014" s="2" t="str">
        <f>HYPERLINK("https://ibp.a2mac1.com/costing(costing:projects/details/8191/part/5389458)"," Part 03")</f>
        <v xml:space="preserve"> Part 03</v>
      </c>
      <c r="F6014" t="s">
        <v>6478</v>
      </c>
    </row>
    <row r="6015" spans="1:6" ht="12.75">
      <c r="A6015">
        <v>6975918</v>
      </c>
      <c r="B6015">
        <v>5389458</v>
      </c>
      <c r="C6015" t="s">
        <v>99</v>
      </c>
      <c r="D6015" t="s">
        <v>12</v>
      </c>
      <c r="E6015" s="2" t="str">
        <f>HYPERLINK("https://ibp.a2mac1.com/costing(costing:projects/details/8191/process/6975918)","MANUFACTURING  PROCESS")</f>
        <v>MANUFACTURING  PROCESS</v>
      </c>
      <c r="F6015" t="s">
        <v>6486</v>
      </c>
    </row>
    <row r="6016" spans="1:6" ht="12.75">
      <c r="A6016">
        <v>5320389</v>
      </c>
      <c r="B6016">
        <v>6975918</v>
      </c>
      <c r="C6016" t="s">
        <v>24</v>
      </c>
      <c r="D6016" t="s">
        <v>99</v>
      </c>
      <c r="E6016" s="2" t="str">
        <f>HYPERLINK("https://ibp.a2mac1.com/costing(costing:projects/details/8191/material/5320389)","Standard Structural Steel sheet")</f>
        <v>Standard Structural Steel sheet</v>
      </c>
      <c r="F6016" t="s">
        <v>6487</v>
      </c>
    </row>
    <row r="6017" spans="1:6" ht="12.75">
      <c r="A6017">
        <v>6948537</v>
      </c>
      <c r="B6017">
        <v>6975918</v>
      </c>
      <c r="C6017" t="s">
        <v>189</v>
      </c>
      <c r="D6017" t="s">
        <v>99</v>
      </c>
      <c r="E6017" s="2" t="str">
        <f>HYPERLINK("https://ibp.a2mac1.com/costing(costing:projects/details/8191/equipment/6948537)","Manufacturing Equipment")</f>
        <v>Manufacturing Equipment</v>
      </c>
      <c r="F6017" t="s">
        <v>6487</v>
      </c>
    </row>
    <row r="6018" spans="1:6" ht="12.75">
      <c r="A6018">
        <v>5389459</v>
      </c>
      <c r="B6018">
        <v>5389257</v>
      </c>
      <c r="C6018" t="s">
        <v>12</v>
      </c>
      <c r="D6018" t="s">
        <v>8</v>
      </c>
      <c r="E6018" s="2" t="str">
        <f>HYPERLINK("https://ibp.a2mac1.com/costing(costing:projects/details/8191/part/5389459)"," Part 04")</f>
        <v xml:space="preserve"> Part 04</v>
      </c>
      <c r="F6018" t="s">
        <v>6478</v>
      </c>
    </row>
    <row r="6019" spans="1:6" ht="12.75">
      <c r="A6019">
        <v>6975919</v>
      </c>
      <c r="B6019">
        <v>5389459</v>
      </c>
      <c r="C6019" t="s">
        <v>99</v>
      </c>
      <c r="D6019" t="s">
        <v>12</v>
      </c>
      <c r="E6019" s="2" t="str">
        <f>HYPERLINK("https://ibp.a2mac1.com/costing(costing:projects/details/8191/process/6975919)","MANUFACTURING  PROCESS")</f>
        <v>MANUFACTURING  PROCESS</v>
      </c>
      <c r="F6019" t="s">
        <v>6488</v>
      </c>
    </row>
    <row r="6020" spans="1:6" ht="12.75">
      <c r="A6020">
        <v>5320390</v>
      </c>
      <c r="B6020">
        <v>6975919</v>
      </c>
      <c r="C6020" t="s">
        <v>24</v>
      </c>
      <c r="D6020" t="s">
        <v>99</v>
      </c>
      <c r="E6020" s="2" t="str">
        <f>HYPERLINK("https://ibp.a2mac1.com/costing(costing:projects/details/8191/material/5320390)","Standard Structural Steel sheet")</f>
        <v>Standard Structural Steel sheet</v>
      </c>
      <c r="F6020" t="s">
        <v>6491</v>
      </c>
    </row>
    <row r="6021" spans="1:6" ht="12.75">
      <c r="A6021">
        <v>6948538</v>
      </c>
      <c r="B6021">
        <v>6975919</v>
      </c>
      <c r="C6021" t="s">
        <v>189</v>
      </c>
      <c r="D6021" t="s">
        <v>99</v>
      </c>
      <c r="E6021" s="2" t="str">
        <f>HYPERLINK("https://ibp.a2mac1.com/costing(costing:projects/details/8191/equipment/6948538)","Manufacturing Equipment")</f>
        <v>Manufacturing Equipment</v>
      </c>
      <c r="F6021" t="s">
        <v>6491</v>
      </c>
    </row>
    <row r="6022" spans="1:6" ht="12.75">
      <c r="A6022">
        <v>5389460</v>
      </c>
      <c r="B6022">
        <v>5389257</v>
      </c>
      <c r="C6022" t="s">
        <v>12</v>
      </c>
      <c r="D6022" t="s">
        <v>8</v>
      </c>
      <c r="E6022" s="2" t="str">
        <f>HYPERLINK("https://ibp.a2mac1.com/costing(costing:projects/details/8191/part/5389460)","Part 05")</f>
        <v>Part 05</v>
      </c>
      <c r="F6022" t="s">
        <v>6478</v>
      </c>
    </row>
    <row r="6023" spans="1:6" ht="12.75">
      <c r="A6023">
        <v>6975920</v>
      </c>
      <c r="B6023">
        <v>5389460</v>
      </c>
      <c r="C6023" t="s">
        <v>99</v>
      </c>
      <c r="D6023" t="s">
        <v>12</v>
      </c>
      <c r="E6023" s="2" t="str">
        <f>HYPERLINK("https://ibp.a2mac1.com/costing(costing:projects/details/8191/process/6975920)","MANUFACTURING  PROCESS")</f>
        <v>MANUFACTURING  PROCESS</v>
      </c>
      <c r="F6023" t="s">
        <v>6492</v>
      </c>
    </row>
    <row r="6024" spans="1:6" ht="12.75">
      <c r="A6024">
        <v>5320391</v>
      </c>
      <c r="B6024">
        <v>6975920</v>
      </c>
      <c r="C6024" t="s">
        <v>24</v>
      </c>
      <c r="D6024" t="s">
        <v>99</v>
      </c>
      <c r="E6024" s="2" t="str">
        <f>HYPERLINK("https://ibp.a2mac1.com/costing(costing:projects/details/8191/material/5320391)","Standard Structural Steel sheet")</f>
        <v>Standard Structural Steel sheet</v>
      </c>
      <c r="F6024" t="s">
        <v>6494</v>
      </c>
    </row>
    <row r="6025" spans="1:6" ht="12.75">
      <c r="A6025">
        <v>6948539</v>
      </c>
      <c r="B6025">
        <v>6975920</v>
      </c>
      <c r="C6025" t="s">
        <v>189</v>
      </c>
      <c r="D6025" t="s">
        <v>99</v>
      </c>
      <c r="E6025" s="2" t="str">
        <f>HYPERLINK("https://ibp.a2mac1.com/costing(costing:projects/details/8191/equipment/6948539)","Manufacturing Equipment")</f>
        <v>Manufacturing Equipment</v>
      </c>
      <c r="F6025" t="s">
        <v>6494</v>
      </c>
    </row>
    <row r="6026" spans="1:6" ht="12.75">
      <c r="A6026">
        <v>5389258</v>
      </c>
      <c r="B6026">
        <v>5388945</v>
      </c>
      <c r="C6026" t="s">
        <v>8</v>
      </c>
      <c r="D6026" t="s">
        <v>8</v>
      </c>
      <c r="E6026" s="2" t="str">
        <f>HYPERLINK("https://ibp.a2mac1.com/costing(costing:projects/details/8191/assembly/5389258)","Rear gutter area")</f>
        <v>Rear gutter area</v>
      </c>
      <c r="F6026" t="s">
        <v>6477</v>
      </c>
    </row>
    <row r="6027" spans="1:6" ht="12.75">
      <c r="A6027">
        <v>5389461</v>
      </c>
      <c r="B6027">
        <v>5389258</v>
      </c>
      <c r="C6027" t="s">
        <v>12</v>
      </c>
      <c r="D6027" t="s">
        <v>8</v>
      </c>
      <c r="E6027" s="2" t="str">
        <f>HYPERLINK("https://ibp.a2mac1.com/costing(costing:projects/details/8191/part/5389461)"," Part 01 single/main/upper")</f>
        <v xml:space="preserve"> Part 01 single/main/upper</v>
      </c>
      <c r="F6027" t="s">
        <v>6495</v>
      </c>
    </row>
    <row r="6028" spans="1:6" ht="12.75">
      <c r="A6028">
        <v>6975921</v>
      </c>
      <c r="B6028">
        <v>5389461</v>
      </c>
      <c r="C6028" t="s">
        <v>99</v>
      </c>
      <c r="D6028" t="s">
        <v>12</v>
      </c>
      <c r="E6028" s="2" t="str">
        <f>HYPERLINK("https://ibp.a2mac1.com/costing(costing:projects/details/8191/process/6975921)","MANUFACTURING  PROCESS")</f>
        <v>MANUFACTURING  PROCESS</v>
      </c>
      <c r="F6028" t="s">
        <v>6496</v>
      </c>
    </row>
    <row r="6029" spans="1:6" ht="12.75">
      <c r="A6029">
        <v>5320392</v>
      </c>
      <c r="B6029">
        <v>6975921</v>
      </c>
      <c r="C6029" t="s">
        <v>24</v>
      </c>
      <c r="D6029" t="s">
        <v>99</v>
      </c>
      <c r="E6029" s="2" t="str">
        <f>HYPERLINK("https://ibp.a2mac1.com/costing(costing:projects/details/8191/material/5320392)","Standard Structural Steel sheet")</f>
        <v>Standard Structural Steel sheet</v>
      </c>
      <c r="F6029" t="s">
        <v>6499</v>
      </c>
    </row>
    <row r="6030" spans="1:6" ht="12.75">
      <c r="A6030">
        <v>6948540</v>
      </c>
      <c r="B6030">
        <v>6975921</v>
      </c>
      <c r="C6030" t="s">
        <v>189</v>
      </c>
      <c r="D6030" t="s">
        <v>99</v>
      </c>
      <c r="E6030" s="2" t="str">
        <f>HYPERLINK("https://ibp.a2mac1.com/costing(costing:projects/details/8191/equipment/6948540)","Manufacturing Equipment")</f>
        <v>Manufacturing Equipment</v>
      </c>
      <c r="F6030" t="s">
        <v>6499</v>
      </c>
    </row>
    <row r="6031" spans="1:6" ht="12.75">
      <c r="A6031">
        <v>5389259</v>
      </c>
      <c r="B6031">
        <v>5388945</v>
      </c>
      <c r="C6031" t="s">
        <v>8</v>
      </c>
      <c r="D6031" t="s">
        <v>8</v>
      </c>
      <c r="E6031" s="2" t="str">
        <f>HYPERLINK("https://ibp.a2mac1.com/costing(costing:projects/details/8191/assembly/5389259)","Reinforcements")</f>
        <v>Reinforcements</v>
      </c>
      <c r="F6031" t="s">
        <v>6477</v>
      </c>
    </row>
    <row r="6032" spans="1:6" ht="12.75">
      <c r="A6032">
        <v>5389462</v>
      </c>
      <c r="B6032">
        <v>5389259</v>
      </c>
      <c r="C6032" t="s">
        <v>12</v>
      </c>
      <c r="D6032" t="s">
        <v>8</v>
      </c>
      <c r="E6032" s="2" t="str">
        <f>HYPERLINK("https://ibp.a2mac1.com/costing(costing:projects/details/8191/part/5389462)"," Part 01 single/main")</f>
        <v xml:space="preserve"> Part 01 single/main</v>
      </c>
      <c r="F6032" t="s">
        <v>6500</v>
      </c>
    </row>
    <row r="6033" spans="1:6" ht="12.75">
      <c r="A6033">
        <v>6975922</v>
      </c>
      <c r="B6033">
        <v>5389462</v>
      </c>
      <c r="C6033" t="s">
        <v>99</v>
      </c>
      <c r="D6033" t="s">
        <v>12</v>
      </c>
      <c r="E6033" s="2" t="str">
        <f>HYPERLINK("https://ibp.a2mac1.com/costing(costing:projects/details/8191/process/6975922)","MANUFACTURING  PROCESS")</f>
        <v>MANUFACTURING  PROCESS</v>
      </c>
      <c r="F6033" t="s">
        <v>6501</v>
      </c>
    </row>
    <row r="6034" spans="1:6" ht="12.75">
      <c r="A6034">
        <v>5320393</v>
      </c>
      <c r="B6034">
        <v>6975922</v>
      </c>
      <c r="C6034" t="s">
        <v>24</v>
      </c>
      <c r="D6034" t="s">
        <v>99</v>
      </c>
      <c r="E6034" s="2" t="str">
        <f>HYPERLINK("https://ibp.a2mac1.com/costing(costing:projects/details/8191/material/5320393)","Standard Structural Steel sheet")</f>
        <v>Standard Structural Steel sheet</v>
      </c>
      <c r="F6034" t="s">
        <v>6502</v>
      </c>
    </row>
    <row r="6035" spans="1:6" ht="12.75">
      <c r="A6035">
        <v>6948541</v>
      </c>
      <c r="B6035">
        <v>6975922</v>
      </c>
      <c r="C6035" t="s">
        <v>189</v>
      </c>
      <c r="D6035" t="s">
        <v>99</v>
      </c>
      <c r="E6035" s="2" t="str">
        <f>HYPERLINK("https://ibp.a2mac1.com/costing(costing:projects/details/8191/equipment/6948541)","Manufacturing Equipment")</f>
        <v>Manufacturing Equipment</v>
      </c>
      <c r="F6035" t="s">
        <v>6502</v>
      </c>
    </row>
    <row r="6036" spans="1:6" ht="12.75">
      <c r="A6036">
        <v>5389463</v>
      </c>
      <c r="B6036">
        <v>5389259</v>
      </c>
      <c r="C6036" t="s">
        <v>12</v>
      </c>
      <c r="D6036" t="s">
        <v>8</v>
      </c>
      <c r="E6036" s="2" t="str">
        <f>HYPERLINK("https://ibp.a2mac1.com/costing(costing:projects/details/8191/part/5389463)","Part 02")</f>
        <v>Part 02</v>
      </c>
      <c r="F6036" t="s">
        <v>6500</v>
      </c>
    </row>
    <row r="6037" spans="1:6" ht="12.75">
      <c r="A6037">
        <v>6975923</v>
      </c>
      <c r="B6037">
        <v>5389463</v>
      </c>
      <c r="C6037" t="s">
        <v>99</v>
      </c>
      <c r="D6037" t="s">
        <v>12</v>
      </c>
      <c r="E6037" s="2" t="str">
        <f>HYPERLINK("https://ibp.a2mac1.com/costing(costing:projects/details/8191/process/6975923)","MANUFACTURING  PROCESS")</f>
        <v>MANUFACTURING  PROCESS</v>
      </c>
      <c r="F6037" t="s">
        <v>6503</v>
      </c>
    </row>
    <row r="6038" spans="1:6" ht="12.75">
      <c r="A6038">
        <v>5320394</v>
      </c>
      <c r="B6038">
        <v>6975923</v>
      </c>
      <c r="C6038" t="s">
        <v>24</v>
      </c>
      <c r="D6038" t="s">
        <v>99</v>
      </c>
      <c r="E6038" s="2" t="str">
        <f>HYPERLINK("https://ibp.a2mac1.com/costing(costing:projects/details/8191/material/5320394)","Standard Structural Steel sheet")</f>
        <v>Standard Structural Steel sheet</v>
      </c>
      <c r="F6038" t="s">
        <v>6505</v>
      </c>
    </row>
    <row r="6039" spans="1:6" ht="12.75">
      <c r="A6039">
        <v>6948542</v>
      </c>
      <c r="B6039">
        <v>6975923</v>
      </c>
      <c r="C6039" t="s">
        <v>189</v>
      </c>
      <c r="D6039" t="s">
        <v>99</v>
      </c>
      <c r="E6039" s="2" t="str">
        <f>HYPERLINK("https://ibp.a2mac1.com/costing(costing:projects/details/8191/equipment/6948542)","Manufacturing Equipment")</f>
        <v>Manufacturing Equipment</v>
      </c>
      <c r="F6039" t="s">
        <v>6505</v>
      </c>
    </row>
    <row r="6040" spans="1:6" ht="12.75">
      <c r="A6040">
        <v>5389464</v>
      </c>
      <c r="B6040">
        <v>5389259</v>
      </c>
      <c r="C6040" t="s">
        <v>12</v>
      </c>
      <c r="D6040" t="s">
        <v>8</v>
      </c>
      <c r="E6040" s="2" t="str">
        <f>HYPERLINK("https://ibp.a2mac1.com/costing(costing:projects/details/8191/part/5389464)"," Part 03")</f>
        <v xml:space="preserve"> Part 03</v>
      </c>
      <c r="F6040" t="s">
        <v>6500</v>
      </c>
    </row>
    <row r="6041" spans="1:6" ht="12.75">
      <c r="A6041">
        <v>6975924</v>
      </c>
      <c r="B6041">
        <v>5389464</v>
      </c>
      <c r="C6041" t="s">
        <v>99</v>
      </c>
      <c r="D6041" t="s">
        <v>12</v>
      </c>
      <c r="E6041" s="2" t="str">
        <f>HYPERLINK("https://ibp.a2mac1.com/costing(costing:projects/details/8191/process/6975924)","MANUFACTURING  PROCESS")</f>
        <v>MANUFACTURING  PROCESS</v>
      </c>
      <c r="F6041" t="s">
        <v>6506</v>
      </c>
    </row>
    <row r="6042" spans="1:6" ht="12.75">
      <c r="A6042">
        <v>5320395</v>
      </c>
      <c r="B6042">
        <v>6975924</v>
      </c>
      <c r="C6042" t="s">
        <v>24</v>
      </c>
      <c r="D6042" t="s">
        <v>99</v>
      </c>
      <c r="E6042" s="2" t="str">
        <f>HYPERLINK("https://ibp.a2mac1.com/costing(costing:projects/details/8191/material/5320395)","Standard Structural Steel sheet")</f>
        <v>Standard Structural Steel sheet</v>
      </c>
      <c r="F6042" t="s">
        <v>6507</v>
      </c>
    </row>
    <row r="6043" spans="1:6" ht="12.75">
      <c r="A6043">
        <v>6948543</v>
      </c>
      <c r="B6043">
        <v>6975924</v>
      </c>
      <c r="C6043" t="s">
        <v>189</v>
      </c>
      <c r="D6043" t="s">
        <v>99</v>
      </c>
      <c r="E6043" s="2" t="str">
        <f>HYPERLINK("https://ibp.a2mac1.com/costing(costing:projects/details/8191/equipment/6948543)","Manufacturing Equipment")</f>
        <v>Manufacturing Equipment</v>
      </c>
      <c r="F6043" t="s">
        <v>6507</v>
      </c>
    </row>
    <row r="6044" spans="1:6" ht="12.75">
      <c r="A6044">
        <v>5389465</v>
      </c>
      <c r="B6044">
        <v>5389259</v>
      </c>
      <c r="C6044" t="s">
        <v>12</v>
      </c>
      <c r="D6044" t="s">
        <v>8</v>
      </c>
      <c r="E6044" s="2" t="str">
        <f>HYPERLINK("https://ibp.a2mac1.com/costing(costing:projects/details/8191/part/5389465)","Part 04")</f>
        <v>Part 04</v>
      </c>
      <c r="F6044" t="s">
        <v>6500</v>
      </c>
    </row>
    <row r="6045" spans="1:6" ht="12.75">
      <c r="A6045">
        <v>6975925</v>
      </c>
      <c r="B6045">
        <v>5389465</v>
      </c>
      <c r="C6045" t="s">
        <v>99</v>
      </c>
      <c r="D6045" t="s">
        <v>12</v>
      </c>
      <c r="E6045" s="2" t="str">
        <f>HYPERLINK("https://ibp.a2mac1.com/costing(costing:projects/details/8191/process/6975925)","MANUFACTURING  PROCESS")</f>
        <v>MANUFACTURING  PROCESS</v>
      </c>
      <c r="F6045" t="s">
        <v>6508</v>
      </c>
    </row>
    <row r="6046" spans="1:6" ht="12.75">
      <c r="A6046">
        <v>5320396</v>
      </c>
      <c r="B6046">
        <v>6975925</v>
      </c>
      <c r="C6046" t="s">
        <v>24</v>
      </c>
      <c r="D6046" t="s">
        <v>99</v>
      </c>
      <c r="E6046" s="2" t="str">
        <f>HYPERLINK("https://ibp.a2mac1.com/costing(costing:projects/details/8191/material/5320396)","Standard Structural Steel sheet")</f>
        <v>Standard Structural Steel sheet</v>
      </c>
      <c r="F6046" t="s">
        <v>6510</v>
      </c>
    </row>
    <row r="6047" spans="1:6" ht="12.75">
      <c r="A6047">
        <v>6948544</v>
      </c>
      <c r="B6047">
        <v>6975925</v>
      </c>
      <c r="C6047" t="s">
        <v>189</v>
      </c>
      <c r="D6047" t="s">
        <v>99</v>
      </c>
      <c r="E6047" s="2" t="str">
        <f>HYPERLINK("https://ibp.a2mac1.com/costing(costing:projects/details/8191/equipment/6948544)","Manufacturing Equipment")</f>
        <v>Manufacturing Equipment</v>
      </c>
      <c r="F6047" t="s">
        <v>6510</v>
      </c>
    </row>
    <row r="6048" spans="1:6" ht="12.75">
      <c r="A6048">
        <v>5389260</v>
      </c>
      <c r="B6048">
        <v>5388945</v>
      </c>
      <c r="C6048" t="s">
        <v>8</v>
      </c>
      <c r="D6048" t="s">
        <v>8</v>
      </c>
      <c r="E6048" s="2" t="str">
        <f>HYPERLINK("https://ibp.a2mac1.com/costing(costing:projects/details/8191/assembly/5389260)","Fixing parts")</f>
        <v>Fixing parts</v>
      </c>
      <c r="F6048" t="s">
        <v>6477</v>
      </c>
    </row>
    <row r="6049" spans="1:6" ht="12.75">
      <c r="A6049">
        <v>5389466</v>
      </c>
      <c r="B6049">
        <v>5389260</v>
      </c>
      <c r="C6049" t="s">
        <v>12</v>
      </c>
      <c r="D6049" t="s">
        <v>8</v>
      </c>
      <c r="E6049" s="2" t="str">
        <f>HYPERLINK("https://ibp.a2mac1.com/costing(costing:projects/details/8191/part/5389466)","Part 01 single/main")</f>
        <v>Part 01 single/main</v>
      </c>
      <c r="F6049" t="s">
        <v>6511</v>
      </c>
    </row>
    <row r="6050" spans="1:6" ht="12.75">
      <c r="A6050">
        <v>6975926</v>
      </c>
      <c r="B6050">
        <v>5389466</v>
      </c>
      <c r="C6050" t="s">
        <v>99</v>
      </c>
      <c r="D6050" t="s">
        <v>12</v>
      </c>
      <c r="E6050" s="2" t="str">
        <f>HYPERLINK("https://ibp.a2mac1.com/costing(costing:projects/details/8191/process/6975926)","MANUFACTURING  PROCESS")</f>
        <v>MANUFACTURING  PROCESS</v>
      </c>
      <c r="F6050" t="s">
        <v>6512</v>
      </c>
    </row>
    <row r="6051" spans="1:6" ht="12.75">
      <c r="A6051">
        <v>5320397</v>
      </c>
      <c r="B6051">
        <v>6975926</v>
      </c>
      <c r="C6051" t="s">
        <v>24</v>
      </c>
      <c r="D6051" t="s">
        <v>99</v>
      </c>
      <c r="E6051" s="2" t="str">
        <f>HYPERLINK("https://ibp.a2mac1.com/costing(costing:projects/details/8191/material/5320397)","Standard Structural Steel sheet")</f>
        <v>Standard Structural Steel sheet</v>
      </c>
      <c r="F6051" t="s">
        <v>6514</v>
      </c>
    </row>
    <row r="6052" spans="1:6" ht="12.75">
      <c r="A6052">
        <v>6948545</v>
      </c>
      <c r="B6052">
        <v>6975926</v>
      </c>
      <c r="C6052" t="s">
        <v>189</v>
      </c>
      <c r="D6052" t="s">
        <v>99</v>
      </c>
      <c r="E6052" s="2" t="str">
        <f>HYPERLINK("https://ibp.a2mac1.com/costing(costing:projects/details/8191/equipment/6948545)","Manufacturing Equipment")</f>
        <v>Manufacturing Equipment</v>
      </c>
      <c r="F6052" t="s">
        <v>6514</v>
      </c>
    </row>
    <row r="6053" spans="1:6" ht="12.75">
      <c r="A6053">
        <v>5389467</v>
      </c>
      <c r="B6053">
        <v>5389260</v>
      </c>
      <c r="C6053" t="s">
        <v>12</v>
      </c>
      <c r="D6053" t="s">
        <v>8</v>
      </c>
      <c r="E6053" s="2" t="str">
        <f>HYPERLINK("https://ibp.a2mac1.com/costing(costing:projects/details/8191/part/5389467)","Part 02")</f>
        <v>Part 02</v>
      </c>
      <c r="F6053" t="s">
        <v>6511</v>
      </c>
    </row>
    <row r="6054" spans="1:6" ht="12.75">
      <c r="A6054">
        <v>6975927</v>
      </c>
      <c r="B6054">
        <v>5389467</v>
      </c>
      <c r="C6054" t="s">
        <v>99</v>
      </c>
      <c r="D6054" t="s">
        <v>12</v>
      </c>
      <c r="E6054" s="2" t="str">
        <f>HYPERLINK("https://ibp.a2mac1.com/costing(costing:projects/details/8191/process/6975927)","MANUFACTURING  PROCESS")</f>
        <v>MANUFACTURING  PROCESS</v>
      </c>
      <c r="F6054" t="s">
        <v>6515</v>
      </c>
    </row>
    <row r="6055" spans="1:6" ht="12.75">
      <c r="A6055">
        <v>5320398</v>
      </c>
      <c r="B6055">
        <v>6975927</v>
      </c>
      <c r="C6055" t="s">
        <v>24</v>
      </c>
      <c r="D6055" t="s">
        <v>99</v>
      </c>
      <c r="E6055" s="2" t="str">
        <f>HYPERLINK("https://ibp.a2mac1.com/costing(costing:projects/details/8191/material/5320398)","Standard Structural Steel sheet")</f>
        <v>Standard Structural Steel sheet</v>
      </c>
      <c r="F6055" t="s">
        <v>6516</v>
      </c>
    </row>
    <row r="6056" spans="1:6" ht="12.75">
      <c r="A6056">
        <v>6948546</v>
      </c>
      <c r="B6056">
        <v>6975927</v>
      </c>
      <c r="C6056" t="s">
        <v>189</v>
      </c>
      <c r="D6056" t="s">
        <v>99</v>
      </c>
      <c r="E6056" s="2" t="str">
        <f>HYPERLINK("https://ibp.a2mac1.com/costing(costing:projects/details/8191/equipment/6948546)","Manufacturing Equipment")</f>
        <v>Manufacturing Equipment</v>
      </c>
      <c r="F6056" t="s">
        <v>6516</v>
      </c>
    </row>
    <row r="6057" spans="1:6" ht="12.75">
      <c r="A6057">
        <v>5389468</v>
      </c>
      <c r="B6057">
        <v>5389260</v>
      </c>
      <c r="C6057" t="s">
        <v>12</v>
      </c>
      <c r="D6057" t="s">
        <v>8</v>
      </c>
      <c r="E6057" s="2" t="str">
        <f>HYPERLINK("https://ibp.a2mac1.com/costing(costing:projects/details/8191/part/5389468)"," Part 03")</f>
        <v xml:space="preserve"> Part 03</v>
      </c>
      <c r="F6057" t="s">
        <v>6511</v>
      </c>
    </row>
    <row r="6058" spans="1:6" ht="12.75">
      <c r="A6058">
        <v>6975928</v>
      </c>
      <c r="B6058">
        <v>5389468</v>
      </c>
      <c r="C6058" t="s">
        <v>99</v>
      </c>
      <c r="D6058" t="s">
        <v>12</v>
      </c>
      <c r="E6058" s="2" t="str">
        <f>HYPERLINK("https://ibp.a2mac1.com/costing(costing:projects/details/8191/process/6975928)","MANUFACTURING  PROCESS")</f>
        <v>MANUFACTURING  PROCESS</v>
      </c>
      <c r="F6058" t="s">
        <v>6517</v>
      </c>
    </row>
    <row r="6059" spans="1:6" ht="12.75">
      <c r="A6059">
        <v>5320399</v>
      </c>
      <c r="B6059">
        <v>6975928</v>
      </c>
      <c r="C6059" t="s">
        <v>24</v>
      </c>
      <c r="D6059" t="s">
        <v>99</v>
      </c>
      <c r="E6059" s="2" t="str">
        <f>HYPERLINK("https://ibp.a2mac1.com/costing(costing:projects/details/8191/material/5320399)","Standard Structural Steel sheet")</f>
        <v>Standard Structural Steel sheet</v>
      </c>
      <c r="F6059" t="s">
        <v>6519</v>
      </c>
    </row>
    <row r="6060" spans="1:6" ht="12.75">
      <c r="A6060">
        <v>6948547</v>
      </c>
      <c r="B6060">
        <v>6975928</v>
      </c>
      <c r="C6060" t="s">
        <v>189</v>
      </c>
      <c r="D6060" t="s">
        <v>99</v>
      </c>
      <c r="E6060" s="2" t="str">
        <f>HYPERLINK("https://ibp.a2mac1.com/costing(costing:projects/details/8191/equipment/6948547)","Manufacturing Equipment")</f>
        <v>Manufacturing Equipment</v>
      </c>
      <c r="F6060" t="s">
        <v>6519</v>
      </c>
    </row>
    <row r="6061" spans="1:6" ht="12.75">
      <c r="A6061">
        <v>5389469</v>
      </c>
      <c r="B6061">
        <v>5389260</v>
      </c>
      <c r="C6061" t="s">
        <v>12</v>
      </c>
      <c r="D6061" t="s">
        <v>8</v>
      </c>
      <c r="E6061" s="2" t="str">
        <f>HYPERLINK("https://ibp.a2mac1.com/costing(costing:projects/details/8191/part/5389469)","Part 04")</f>
        <v>Part 04</v>
      </c>
      <c r="F6061" t="s">
        <v>6511</v>
      </c>
    </row>
    <row r="6062" spans="1:6" ht="12.75">
      <c r="A6062">
        <v>6975929</v>
      </c>
      <c r="B6062">
        <v>5389469</v>
      </c>
      <c r="C6062" t="s">
        <v>99</v>
      </c>
      <c r="D6062" t="s">
        <v>12</v>
      </c>
      <c r="E6062" s="2" t="str">
        <f>HYPERLINK("https://ibp.a2mac1.com/costing(costing:projects/details/8191/process/6975929)","MANUFACTURING  PROCESS")</f>
        <v>MANUFACTURING  PROCESS</v>
      </c>
      <c r="F6062" t="s">
        <v>6520</v>
      </c>
    </row>
    <row r="6063" spans="1:6" ht="12.75">
      <c r="A6063">
        <v>5320400</v>
      </c>
      <c r="B6063">
        <v>6975929</v>
      </c>
      <c r="C6063" t="s">
        <v>24</v>
      </c>
      <c r="D6063" t="s">
        <v>99</v>
      </c>
      <c r="E6063" s="2" t="str">
        <f>HYPERLINK("https://ibp.a2mac1.com/costing(costing:projects/details/8191/material/5320400)","Standard Structural Steel sheet")</f>
        <v>Standard Structural Steel sheet</v>
      </c>
      <c r="F6063" t="s">
        <v>6521</v>
      </c>
    </row>
    <row r="6064" spans="1:6" ht="12.75">
      <c r="A6064">
        <v>6948548</v>
      </c>
      <c r="B6064">
        <v>6975929</v>
      </c>
      <c r="C6064" t="s">
        <v>189</v>
      </c>
      <c r="D6064" t="s">
        <v>99</v>
      </c>
      <c r="E6064" s="2" t="str">
        <f>HYPERLINK("https://ibp.a2mac1.com/costing(costing:projects/details/8191/equipment/6948548)","Manufacturing Equipment")</f>
        <v>Manufacturing Equipment</v>
      </c>
      <c r="F6064" t="s">
        <v>6521</v>
      </c>
    </row>
    <row r="6065" spans="1:6" ht="12.75">
      <c r="A6065">
        <v>5389470</v>
      </c>
      <c r="B6065">
        <v>5389260</v>
      </c>
      <c r="C6065" t="s">
        <v>12</v>
      </c>
      <c r="D6065" t="s">
        <v>8</v>
      </c>
      <c r="E6065" s="2" t="str">
        <f>HYPERLINK("https://ibp.a2mac1.com/costing(costing:projects/details/8191/part/5389470)"," Part 05")</f>
        <v xml:space="preserve"> Part 05</v>
      </c>
      <c r="F6065" t="s">
        <v>6511</v>
      </c>
    </row>
    <row r="6066" spans="1:6" ht="12.75">
      <c r="A6066">
        <v>6975930</v>
      </c>
      <c r="B6066">
        <v>5389470</v>
      </c>
      <c r="C6066" t="s">
        <v>99</v>
      </c>
      <c r="D6066" t="s">
        <v>12</v>
      </c>
      <c r="E6066" s="2" t="str">
        <f>HYPERLINK("https://ibp.a2mac1.com/costing(costing:projects/details/8191/process/6975930)","MANUFACTURING  PROCESS")</f>
        <v>MANUFACTURING  PROCESS</v>
      </c>
      <c r="F6066" t="s">
        <v>6522</v>
      </c>
    </row>
    <row r="6067" spans="1:6" ht="12.75">
      <c r="A6067">
        <v>5320401</v>
      </c>
      <c r="B6067">
        <v>6975930</v>
      </c>
      <c r="C6067" t="s">
        <v>24</v>
      </c>
      <c r="D6067" t="s">
        <v>99</v>
      </c>
      <c r="E6067" s="2" t="str">
        <f>HYPERLINK("https://ibp.a2mac1.com/costing(costing:projects/details/8191/material/5320401)","Standard Structural Steel sheet")</f>
        <v>Standard Structural Steel sheet</v>
      </c>
      <c r="F6067" t="s">
        <v>6524</v>
      </c>
    </row>
    <row r="6068" spans="1:6" ht="12.75">
      <c r="A6068">
        <v>6948549</v>
      </c>
      <c r="B6068">
        <v>6975930</v>
      </c>
      <c r="C6068" t="s">
        <v>189</v>
      </c>
      <c r="D6068" t="s">
        <v>99</v>
      </c>
      <c r="E6068" s="2" t="str">
        <f>HYPERLINK("https://ibp.a2mac1.com/costing(costing:projects/details/8191/equipment/6948549)","Manufacturing Equipment")</f>
        <v>Manufacturing Equipment</v>
      </c>
      <c r="F6068" t="s">
        <v>6524</v>
      </c>
    </row>
    <row r="6069" spans="1:6" ht="12.75">
      <c r="A6069">
        <v>5389471</v>
      </c>
      <c r="B6069">
        <v>5389260</v>
      </c>
      <c r="C6069" t="s">
        <v>12</v>
      </c>
      <c r="D6069" t="s">
        <v>8</v>
      </c>
      <c r="E6069" s="2" t="str">
        <f>HYPERLINK("https://ibp.a2mac1.com/costing(costing:projects/details/8191/part/5389471)","Part 06")</f>
        <v>Part 06</v>
      </c>
      <c r="F6069" t="s">
        <v>6511</v>
      </c>
    </row>
    <row r="6070" spans="1:6" ht="12.75">
      <c r="A6070">
        <v>6975931</v>
      </c>
      <c r="B6070">
        <v>5389471</v>
      </c>
      <c r="C6070" t="s">
        <v>99</v>
      </c>
      <c r="D6070" t="s">
        <v>12</v>
      </c>
      <c r="E6070" s="2" t="str">
        <f>HYPERLINK("https://ibp.a2mac1.com/costing(costing:projects/details/8191/process/6975931)","MANUFACTURING  PROCESS")</f>
        <v>MANUFACTURING  PROCESS</v>
      </c>
      <c r="F6070" t="s">
        <v>6525</v>
      </c>
    </row>
    <row r="6071" spans="1:6" ht="12.75">
      <c r="A6071">
        <v>5320402</v>
      </c>
      <c r="B6071">
        <v>6975931</v>
      </c>
      <c r="C6071" t="s">
        <v>24</v>
      </c>
      <c r="D6071" t="s">
        <v>99</v>
      </c>
      <c r="E6071" s="2" t="str">
        <f>HYPERLINK("https://ibp.a2mac1.com/costing(costing:projects/details/8191/material/5320402)","Standard Structural Steel sheet")</f>
        <v>Standard Structural Steel sheet</v>
      </c>
      <c r="F6071" t="s">
        <v>6527</v>
      </c>
    </row>
    <row r="6072" spans="1:6" ht="12.75">
      <c r="A6072">
        <v>6948550</v>
      </c>
      <c r="B6072">
        <v>6975931</v>
      </c>
      <c r="C6072" t="s">
        <v>189</v>
      </c>
      <c r="D6072" t="s">
        <v>99</v>
      </c>
      <c r="E6072" s="2" t="str">
        <f>HYPERLINK("https://ibp.a2mac1.com/costing(costing:projects/details/8191/equipment/6948550)","Manufacturing Equipment")</f>
        <v>Manufacturing Equipment</v>
      </c>
      <c r="F6072" t="s">
        <v>6527</v>
      </c>
    </row>
    <row r="6073" spans="1:6" ht="12.75">
      <c r="A6073">
        <v>5388946</v>
      </c>
      <c r="B6073">
        <v>5388632</v>
      </c>
      <c r="C6073" t="s">
        <v>8</v>
      </c>
      <c r="D6073" t="s">
        <v>8</v>
      </c>
      <c r="E6073" s="2" t="str">
        <f>HYPERLINK("https://ibp.a2mac1.com/costing(costing:projects/details/8191/assembly/5388946)","Roof bow assy")</f>
        <v>Roof bow assy</v>
      </c>
      <c r="F6073" t="s">
        <v>6476</v>
      </c>
    </row>
    <row r="6074" spans="1:6" ht="12.75">
      <c r="A6074">
        <v>5389261</v>
      </c>
      <c r="B6074">
        <v>5388946</v>
      </c>
      <c r="C6074" t="s">
        <v>8</v>
      </c>
      <c r="D6074" t="s">
        <v>8</v>
      </c>
      <c r="E6074" s="2" t="str">
        <f>HYPERLINK("https://ibp.a2mac1.com/costing(costing:projects/details/8191/assembly/5389261)","Frame")</f>
        <v>Frame</v>
      </c>
      <c r="F6074" t="s">
        <v>6528</v>
      </c>
    </row>
    <row r="6075" spans="1:6" ht="12.75">
      <c r="A6075">
        <v>5389472</v>
      </c>
      <c r="B6075">
        <v>5389261</v>
      </c>
      <c r="C6075" t="s">
        <v>12</v>
      </c>
      <c r="D6075" t="s">
        <v>8</v>
      </c>
      <c r="E6075" s="2" t="str">
        <f>HYPERLINK("https://ibp.a2mac1.com/costing(costing:projects/details/8191/part/5389472)"," Part 01 single/main/front")</f>
        <v xml:space="preserve"> Part 01 single/main/front</v>
      </c>
      <c r="F6075" t="s">
        <v>6529</v>
      </c>
    </row>
    <row r="6076" spans="1:6" ht="12.75">
      <c r="A6076">
        <v>6975932</v>
      </c>
      <c r="B6076">
        <v>5389472</v>
      </c>
      <c r="C6076" t="s">
        <v>99</v>
      </c>
      <c r="D6076" t="s">
        <v>12</v>
      </c>
      <c r="E6076" s="2" t="str">
        <f>HYPERLINK("https://ibp.a2mac1.com/costing(costing:projects/details/8191/process/6975932)","MANUFACTURING  PROCESS")</f>
        <v>MANUFACTURING  PROCESS</v>
      </c>
      <c r="F6076" t="s">
        <v>6530</v>
      </c>
    </row>
    <row r="6077" spans="1:6" ht="12.75">
      <c r="A6077">
        <v>5320403</v>
      </c>
      <c r="B6077">
        <v>6975932</v>
      </c>
      <c r="C6077" t="s">
        <v>24</v>
      </c>
      <c r="D6077" t="s">
        <v>99</v>
      </c>
      <c r="E6077" s="2" t="str">
        <f>HYPERLINK("https://ibp.a2mac1.com/costing(costing:projects/details/8191/material/5320403)","Steel sheet (Hot Forming Steel)")</f>
        <v>Steel sheet (Hot Forming Steel)</v>
      </c>
      <c r="F6077" t="s">
        <v>6533</v>
      </c>
    </row>
    <row r="6078" spans="1:6" ht="12.75">
      <c r="A6078">
        <v>6948551</v>
      </c>
      <c r="B6078">
        <v>6975932</v>
      </c>
      <c r="C6078" t="s">
        <v>189</v>
      </c>
      <c r="D6078" t="s">
        <v>99</v>
      </c>
      <c r="E6078" s="2" t="str">
        <f>HYPERLINK("https://ibp.a2mac1.com/costing(costing:projects/details/8191/equipment/6948551)","Manufacturing Equipment")</f>
        <v>Manufacturing Equipment</v>
      </c>
      <c r="F6078" t="s">
        <v>6533</v>
      </c>
    </row>
    <row r="6079" spans="1:6" ht="12.75">
      <c r="A6079">
        <v>5389473</v>
      </c>
      <c r="B6079">
        <v>5389261</v>
      </c>
      <c r="C6079" t="s">
        <v>12</v>
      </c>
      <c r="D6079" t="s">
        <v>8</v>
      </c>
      <c r="E6079" s="2" t="str">
        <f>HYPERLINK("https://ibp.a2mac1.com/costing(costing:projects/details/8191/part/5389473)"," Part 02")</f>
        <v xml:space="preserve"> Part 02</v>
      </c>
      <c r="F6079" t="s">
        <v>6529</v>
      </c>
    </row>
    <row r="6080" spans="1:6" ht="12.75">
      <c r="A6080">
        <v>6975933</v>
      </c>
      <c r="B6080">
        <v>5389473</v>
      </c>
      <c r="C6080" t="s">
        <v>99</v>
      </c>
      <c r="D6080" t="s">
        <v>12</v>
      </c>
      <c r="E6080" s="2" t="str">
        <f>HYPERLINK("https://ibp.a2mac1.com/costing(costing:projects/details/8191/process/6975933)","MANUFACTURING  PROCESS")</f>
        <v>MANUFACTURING  PROCESS</v>
      </c>
      <c r="F6080" t="s">
        <v>6534</v>
      </c>
    </row>
    <row r="6081" spans="1:6" ht="12.75">
      <c r="A6081">
        <v>5320404</v>
      </c>
      <c r="B6081">
        <v>6975933</v>
      </c>
      <c r="C6081" t="s">
        <v>24</v>
      </c>
      <c r="D6081" t="s">
        <v>99</v>
      </c>
      <c r="E6081" s="2" t="str">
        <f>HYPERLINK("https://ibp.a2mac1.com/costing(costing:projects/details/8191/material/5320404)","Standard Structural Steel sheet")</f>
        <v>Standard Structural Steel sheet</v>
      </c>
      <c r="F6081" t="s">
        <v>6537</v>
      </c>
    </row>
    <row r="6082" spans="1:6" ht="12.75">
      <c r="A6082">
        <v>6948552</v>
      </c>
      <c r="B6082">
        <v>6975933</v>
      </c>
      <c r="C6082" t="s">
        <v>189</v>
      </c>
      <c r="D6082" t="s">
        <v>99</v>
      </c>
      <c r="E6082" s="2" t="str">
        <f>HYPERLINK("https://ibp.a2mac1.com/costing(costing:projects/details/8191/equipment/6948552)","Manufacturing Equipment")</f>
        <v>Manufacturing Equipment</v>
      </c>
      <c r="F6082" t="s">
        <v>6537</v>
      </c>
    </row>
    <row r="6083" spans="1:6" ht="12.75">
      <c r="A6083">
        <v>5389262</v>
      </c>
      <c r="B6083">
        <v>5388946</v>
      </c>
      <c r="C6083" t="s">
        <v>8</v>
      </c>
      <c r="D6083" t="s">
        <v>8</v>
      </c>
      <c r="E6083" s="2" t="str">
        <f>HYPERLINK("https://ibp.a2mac1.com/costing(costing:projects/details/8191/assembly/5389262)","Inner skin")</f>
        <v>Inner skin</v>
      </c>
      <c r="F6083" t="s">
        <v>6528</v>
      </c>
    </row>
    <row r="6084" spans="1:6" ht="12.75">
      <c r="A6084">
        <v>5389474</v>
      </c>
      <c r="B6084">
        <v>5389262</v>
      </c>
      <c r="C6084" t="s">
        <v>12</v>
      </c>
      <c r="D6084" t="s">
        <v>8</v>
      </c>
      <c r="E6084" s="2" t="str">
        <f>HYPERLINK("https://ibp.a2mac1.com/costing(costing:projects/details/8191/part/5389474)","Part 01 single/main/front")</f>
        <v>Part 01 single/main/front</v>
      </c>
      <c r="F6084" t="s">
        <v>6538</v>
      </c>
    </row>
    <row r="6085" spans="1:6" ht="12.75">
      <c r="A6085">
        <v>6975934</v>
      </c>
      <c r="B6085">
        <v>5389474</v>
      </c>
      <c r="C6085" t="s">
        <v>99</v>
      </c>
      <c r="D6085" t="s">
        <v>12</v>
      </c>
      <c r="E6085" s="2" t="str">
        <f>HYPERLINK("https://ibp.a2mac1.com/costing(costing:projects/details/8191/process/6975934)","MANUFACTURING  PROCESS")</f>
        <v>MANUFACTURING  PROCESS</v>
      </c>
      <c r="F6085" t="s">
        <v>6539</v>
      </c>
    </row>
    <row r="6086" spans="1:6" ht="12.75">
      <c r="A6086">
        <v>5320405</v>
      </c>
      <c r="B6086">
        <v>6975934</v>
      </c>
      <c r="C6086" t="s">
        <v>24</v>
      </c>
      <c r="D6086" t="s">
        <v>99</v>
      </c>
      <c r="E6086" s="2" t="str">
        <f>HYPERLINK("https://ibp.a2mac1.com/costing(costing:projects/details/8191/material/5320405)","Steel sheet (Hot Forming Steel)")</f>
        <v>Steel sheet (Hot Forming Steel)</v>
      </c>
      <c r="F6086" t="s">
        <v>6542</v>
      </c>
    </row>
    <row r="6087" spans="1:6" ht="12.75">
      <c r="A6087">
        <v>6948553</v>
      </c>
      <c r="B6087">
        <v>6975934</v>
      </c>
      <c r="C6087" t="s">
        <v>189</v>
      </c>
      <c r="D6087" t="s">
        <v>99</v>
      </c>
      <c r="E6087" s="2" t="str">
        <f>HYPERLINK("https://ibp.a2mac1.com/costing(costing:projects/details/8191/equipment/6948553)","Manufacturing Equipment")</f>
        <v>Manufacturing Equipment</v>
      </c>
      <c r="F6087" t="s">
        <v>6542</v>
      </c>
    </row>
    <row r="6088" spans="1:6" ht="12.75">
      <c r="A6088">
        <v>5389263</v>
      </c>
      <c r="B6088">
        <v>5388946</v>
      </c>
      <c r="C6088" t="s">
        <v>8</v>
      </c>
      <c r="D6088" t="s">
        <v>8</v>
      </c>
      <c r="E6088" s="2" t="str">
        <f>HYPERLINK("https://ibp.a2mac1.com/costing(costing:projects/details/8191/assembly/5389263)","Reinforcements")</f>
        <v>Reinforcements</v>
      </c>
      <c r="F6088" t="s">
        <v>6528</v>
      </c>
    </row>
    <row r="6089" spans="1:6" ht="12.75">
      <c r="A6089">
        <v>5389475</v>
      </c>
      <c r="B6089">
        <v>5389263</v>
      </c>
      <c r="C6089" t="s">
        <v>12</v>
      </c>
      <c r="D6089" t="s">
        <v>8</v>
      </c>
      <c r="E6089" s="2" t="str">
        <f>HYPERLINK("https://ibp.a2mac1.com/costing(costing:projects/details/8191/part/5389475)","Part 01 single/main")</f>
        <v>Part 01 single/main</v>
      </c>
      <c r="F6089" t="s">
        <v>6543</v>
      </c>
    </row>
    <row r="6090" spans="1:6" ht="12.75">
      <c r="A6090">
        <v>6975935</v>
      </c>
      <c r="B6090">
        <v>5389475</v>
      </c>
      <c r="C6090" t="s">
        <v>99</v>
      </c>
      <c r="D6090" t="s">
        <v>12</v>
      </c>
      <c r="E6090" s="2" t="str">
        <f>HYPERLINK("https://ibp.a2mac1.com/costing(costing:projects/details/8191/process/6975935)","MANUFACTURING  PROCESS")</f>
        <v>MANUFACTURING  PROCESS</v>
      </c>
      <c r="F6090" t="s">
        <v>6544</v>
      </c>
    </row>
    <row r="6091" spans="1:6" ht="12.75">
      <c r="A6091">
        <v>5320406</v>
      </c>
      <c r="B6091">
        <v>6975935</v>
      </c>
      <c r="C6091" t="s">
        <v>24</v>
      </c>
      <c r="D6091" t="s">
        <v>99</v>
      </c>
      <c r="E6091" s="2" t="str">
        <f>HYPERLINK("https://ibp.a2mac1.com/costing(costing:projects/details/8191/material/5320406)","Standard Structural Steel sheet")</f>
        <v>Standard Structural Steel sheet</v>
      </c>
      <c r="F6091" t="s">
        <v>6547</v>
      </c>
    </row>
    <row r="6092" spans="1:6" ht="12.75">
      <c r="A6092">
        <v>6948554</v>
      </c>
      <c r="B6092">
        <v>6975935</v>
      </c>
      <c r="C6092" t="s">
        <v>189</v>
      </c>
      <c r="D6092" t="s">
        <v>99</v>
      </c>
      <c r="E6092" s="2" t="str">
        <f>HYPERLINK("https://ibp.a2mac1.com/costing(costing:projects/details/8191/equipment/6948554)","Manufacturing Equipment")</f>
        <v>Manufacturing Equipment</v>
      </c>
      <c r="F6092" t="s">
        <v>6547</v>
      </c>
    </row>
    <row r="6093" spans="1:6" ht="12.75">
      <c r="A6093">
        <v>5389264</v>
      </c>
      <c r="B6093">
        <v>5388946</v>
      </c>
      <c r="C6093" t="s">
        <v>8</v>
      </c>
      <c r="D6093" t="s">
        <v>8</v>
      </c>
      <c r="E6093" s="2" t="str">
        <f>HYPERLINK("https://ibp.a2mac1.com/costing(costing:projects/details/8191/assembly/5389264)","Fixing parts")</f>
        <v>Fixing parts</v>
      </c>
      <c r="F6093" t="s">
        <v>6528</v>
      </c>
    </row>
    <row r="6094" spans="1:6" ht="12.75">
      <c r="A6094">
        <v>5389476</v>
      </c>
      <c r="B6094">
        <v>5389264</v>
      </c>
      <c r="C6094" t="s">
        <v>12</v>
      </c>
      <c r="D6094" t="s">
        <v>8</v>
      </c>
      <c r="E6094" s="2" t="str">
        <f>HYPERLINK("https://ibp.a2mac1.com/costing(costing:projects/details/8191/part/5389476)","Part 01 single/main")</f>
        <v>Part 01 single/main</v>
      </c>
      <c r="F6094" t="s">
        <v>6548</v>
      </c>
    </row>
    <row r="6095" spans="1:6" ht="12.75">
      <c r="A6095">
        <v>6975936</v>
      </c>
      <c r="B6095">
        <v>5389476</v>
      </c>
      <c r="C6095" t="s">
        <v>99</v>
      </c>
      <c r="D6095" t="s">
        <v>12</v>
      </c>
      <c r="E6095" s="2" t="str">
        <f>HYPERLINK("https://ibp.a2mac1.com/costing(costing:projects/details/8191/process/6975936)","MANUFACTURING  PROCESS")</f>
        <v>MANUFACTURING  PROCESS</v>
      </c>
      <c r="F6095" t="s">
        <v>6549</v>
      </c>
    </row>
    <row r="6096" spans="1:6" ht="12.75">
      <c r="A6096">
        <v>5320407</v>
      </c>
      <c r="B6096">
        <v>6975936</v>
      </c>
      <c r="C6096" t="s">
        <v>24</v>
      </c>
      <c r="D6096" t="s">
        <v>99</v>
      </c>
      <c r="E6096" s="2" t="str">
        <f>HYPERLINK("https://ibp.a2mac1.com/costing(costing:projects/details/8191/material/5320407)","Standard Structural Steel sheet")</f>
        <v>Standard Structural Steel sheet</v>
      </c>
      <c r="F6096" t="s">
        <v>6551</v>
      </c>
    </row>
    <row r="6097" spans="1:6" ht="12.75">
      <c r="A6097">
        <v>6948555</v>
      </c>
      <c r="B6097">
        <v>6975936</v>
      </c>
      <c r="C6097" t="s">
        <v>189</v>
      </c>
      <c r="D6097" t="s">
        <v>99</v>
      </c>
      <c r="E6097" s="2" t="str">
        <f>HYPERLINK("https://ibp.a2mac1.com/costing(costing:projects/details/8191/equipment/6948555)","Manufacturing Equipment")</f>
        <v>Manufacturing Equipment</v>
      </c>
      <c r="F6097" t="s">
        <v>6551</v>
      </c>
    </row>
    <row r="6098" spans="1:6" ht="12.75">
      <c r="A6098">
        <v>5389477</v>
      </c>
      <c r="B6098">
        <v>5389264</v>
      </c>
      <c r="C6098" t="s">
        <v>12</v>
      </c>
      <c r="D6098" t="s">
        <v>8</v>
      </c>
      <c r="E6098" s="2" t="str">
        <f>HYPERLINK("https://ibp.a2mac1.com/costing(costing:projects/details/8191/part/5389477)","Part 02")</f>
        <v>Part 02</v>
      </c>
      <c r="F6098" t="s">
        <v>6548</v>
      </c>
    </row>
    <row r="6099" spans="1:6" ht="12.75">
      <c r="A6099">
        <v>6975937</v>
      </c>
      <c r="B6099">
        <v>5389477</v>
      </c>
      <c r="C6099" t="s">
        <v>99</v>
      </c>
      <c r="D6099" t="s">
        <v>12</v>
      </c>
      <c r="E6099" s="2" t="str">
        <f>HYPERLINK("https://ibp.a2mac1.com/costing(costing:projects/details/8191/process/6975937)","MANUFACTURING  PROCESS")</f>
        <v>MANUFACTURING  PROCESS</v>
      </c>
      <c r="F6099" t="s">
        <v>6552</v>
      </c>
    </row>
    <row r="6100" spans="1:6" ht="12.75">
      <c r="A6100">
        <v>5320408</v>
      </c>
      <c r="B6100">
        <v>6975937</v>
      </c>
      <c r="C6100" t="s">
        <v>24</v>
      </c>
      <c r="D6100" t="s">
        <v>99</v>
      </c>
      <c r="E6100" s="2" t="str">
        <f>HYPERLINK("https://ibp.a2mac1.com/costing(costing:projects/details/8191/material/5320408)","Standard Structural Steel sheet")</f>
        <v>Standard Structural Steel sheet</v>
      </c>
      <c r="F6100" t="s">
        <v>6553</v>
      </c>
    </row>
    <row r="6101" spans="1:6" ht="12.75">
      <c r="A6101">
        <v>6948556</v>
      </c>
      <c r="B6101">
        <v>6975937</v>
      </c>
      <c r="C6101" t="s">
        <v>189</v>
      </c>
      <c r="D6101" t="s">
        <v>99</v>
      </c>
      <c r="E6101" s="2" t="str">
        <f>HYPERLINK("https://ibp.a2mac1.com/costing(costing:projects/details/8191/equipment/6948556)","Manufacturing Equipment")</f>
        <v>Manufacturing Equipment</v>
      </c>
      <c r="F6101" t="s">
        <v>6553</v>
      </c>
    </row>
    <row r="6102" spans="1:6" ht="12.75">
      <c r="A6102">
        <v>5389478</v>
      </c>
      <c r="B6102">
        <v>5389264</v>
      </c>
      <c r="C6102" t="s">
        <v>12</v>
      </c>
      <c r="D6102" t="s">
        <v>8</v>
      </c>
      <c r="E6102" s="2" t="str">
        <f>HYPERLINK("https://ibp.a2mac1.com/costing(costing:projects/details/8191/part/5389478)","Part 03")</f>
        <v>Part 03</v>
      </c>
      <c r="F6102" t="s">
        <v>6548</v>
      </c>
    </row>
    <row r="6103" spans="1:6" ht="12.75">
      <c r="A6103">
        <v>6975938</v>
      </c>
      <c r="B6103">
        <v>5389478</v>
      </c>
      <c r="C6103" t="s">
        <v>99</v>
      </c>
      <c r="D6103" t="s">
        <v>12</v>
      </c>
      <c r="E6103" s="2" t="str">
        <f>HYPERLINK("https://ibp.a2mac1.com/costing(costing:projects/details/8191/process/6975938)","MANUFACTURING  PROCESS")</f>
        <v>MANUFACTURING  PROCESS</v>
      </c>
      <c r="F6103" t="s">
        <v>6554</v>
      </c>
    </row>
    <row r="6104" spans="1:6" ht="12.75">
      <c r="A6104">
        <v>5320409</v>
      </c>
      <c r="B6104">
        <v>6975938</v>
      </c>
      <c r="C6104" t="s">
        <v>24</v>
      </c>
      <c r="D6104" t="s">
        <v>99</v>
      </c>
      <c r="E6104" s="2" t="str">
        <f>HYPERLINK("https://ibp.a2mac1.com/costing(costing:projects/details/8191/material/5320409)","Standard Structural Steel sheet")</f>
        <v>Standard Structural Steel sheet</v>
      </c>
      <c r="F6104" t="s">
        <v>6555</v>
      </c>
    </row>
    <row r="6105" spans="1:6" ht="12.75">
      <c r="A6105">
        <v>6948557</v>
      </c>
      <c r="B6105">
        <v>6975938</v>
      </c>
      <c r="C6105" t="s">
        <v>189</v>
      </c>
      <c r="D6105" t="s">
        <v>99</v>
      </c>
      <c r="E6105" s="2" t="str">
        <f>HYPERLINK("https://ibp.a2mac1.com/costing(costing:projects/details/8191/equipment/6948557)","Manufacturing Equipment")</f>
        <v>Manufacturing Equipment</v>
      </c>
      <c r="F6105" t="s">
        <v>6555</v>
      </c>
    </row>
    <row r="6106" spans="1:6" ht="12.75">
      <c r="A6106">
        <v>5388947</v>
      </c>
      <c r="B6106">
        <v>5388632</v>
      </c>
      <c r="C6106" t="s">
        <v>8</v>
      </c>
      <c r="D6106" t="s">
        <v>8</v>
      </c>
      <c r="E6106" s="2" t="str">
        <f>HYPERLINK("https://ibp.a2mac1.com/costing(costing:projects/details/8191/assembly/5388947)","A pillar outer frame")</f>
        <v>A pillar outer frame</v>
      </c>
      <c r="F6106" t="s">
        <v>6476</v>
      </c>
    </row>
    <row r="6107" spans="1:6" ht="12.75">
      <c r="A6107">
        <v>5389265</v>
      </c>
      <c r="B6107">
        <v>5388947</v>
      </c>
      <c r="C6107" t="s">
        <v>8</v>
      </c>
      <c r="D6107" t="s">
        <v>8</v>
      </c>
      <c r="E6107" s="2" t="str">
        <f>HYPERLINK("https://ibp.a2mac1.com/costing(costing:projects/details/8191/assembly/5389265)","Frame")</f>
        <v>Frame</v>
      </c>
      <c r="F6107" t="s">
        <v>6556</v>
      </c>
    </row>
    <row r="6108" spans="1:6" ht="12.75">
      <c r="A6108">
        <v>5389479</v>
      </c>
      <c r="B6108">
        <v>5389265</v>
      </c>
      <c r="C6108" t="s">
        <v>12</v>
      </c>
      <c r="D6108" t="s">
        <v>8</v>
      </c>
      <c r="E6108" s="2" t="str">
        <f>HYPERLINK("https://ibp.a2mac1.com/costing(costing:projects/details/8191/part/5389479)","Part 01 single/main/upper")</f>
        <v>Part 01 single/main/upper</v>
      </c>
      <c r="F6108" t="s">
        <v>6557</v>
      </c>
    </row>
    <row r="6109" spans="1:6" ht="12.75">
      <c r="A6109">
        <v>6975939</v>
      </c>
      <c r="B6109">
        <v>5389479</v>
      </c>
      <c r="C6109" t="s">
        <v>99</v>
      </c>
      <c r="D6109" t="s">
        <v>12</v>
      </c>
      <c r="E6109" s="2" t="str">
        <f>HYPERLINK("https://ibp.a2mac1.com/costing(costing:projects/details/8191/process/6975939)","MANUFACTURING  PROCESS")</f>
        <v>MANUFACTURING  PROCESS</v>
      </c>
      <c r="F6109" t="s">
        <v>6558</v>
      </c>
    </row>
    <row r="6110" spans="1:6" ht="12.75">
      <c r="A6110">
        <v>5320410</v>
      </c>
      <c r="B6110">
        <v>6975939</v>
      </c>
      <c r="C6110" t="s">
        <v>24</v>
      </c>
      <c r="D6110" t="s">
        <v>99</v>
      </c>
      <c r="E6110" s="2" t="str">
        <f>HYPERLINK("https://ibp.a2mac1.com/costing(costing:projects/details/8191/material/5320410)","Standard Structural Steel sheet")</f>
        <v>Standard Structural Steel sheet</v>
      </c>
      <c r="F6110" t="s">
        <v>6561</v>
      </c>
    </row>
    <row r="6111" spans="1:6" ht="12.75">
      <c r="A6111">
        <v>6948558</v>
      </c>
      <c r="B6111">
        <v>6975939</v>
      </c>
      <c r="C6111" t="s">
        <v>189</v>
      </c>
      <c r="D6111" t="s">
        <v>99</v>
      </c>
      <c r="E6111" s="2" t="str">
        <f>HYPERLINK("https://ibp.a2mac1.com/costing(costing:projects/details/8191/equipment/6948558)","Manufacturing Equipment")</f>
        <v>Manufacturing Equipment</v>
      </c>
      <c r="F6111" t="s">
        <v>6561</v>
      </c>
    </row>
    <row r="6112" spans="1:6" ht="12.75">
      <c r="A6112">
        <v>5389266</v>
      </c>
      <c r="B6112">
        <v>5388947</v>
      </c>
      <c r="C6112" t="s">
        <v>8</v>
      </c>
      <c r="D6112" t="s">
        <v>8</v>
      </c>
      <c r="E6112" s="2" t="str">
        <f>HYPERLINK("https://ibp.a2mac1.com/costing(costing:projects/details/8191/assembly/5389266)","Spacers")</f>
        <v>Spacers</v>
      </c>
      <c r="F6112" t="s">
        <v>6556</v>
      </c>
    </row>
    <row r="6113" spans="1:6" ht="12.75">
      <c r="A6113">
        <v>5389480</v>
      </c>
      <c r="B6113">
        <v>5389266</v>
      </c>
      <c r="C6113" t="s">
        <v>12</v>
      </c>
      <c r="D6113" t="s">
        <v>8</v>
      </c>
      <c r="E6113" s="2" t="str">
        <f>HYPERLINK("https://ibp.a2mac1.com/costing(costing:projects/details/8191/part/5389480)","Part 01 single/main")</f>
        <v>Part 01 single/main</v>
      </c>
      <c r="F6113" t="s">
        <v>6562</v>
      </c>
    </row>
    <row r="6114" spans="1:6" ht="12.75">
      <c r="A6114">
        <v>6975940</v>
      </c>
      <c r="B6114">
        <v>5389480</v>
      </c>
      <c r="C6114" t="s">
        <v>99</v>
      </c>
      <c r="D6114" t="s">
        <v>12</v>
      </c>
      <c r="E6114" s="2" t="str">
        <f>HYPERLINK("https://ibp.a2mac1.com/costing(costing:projects/details/8191/process/6975940)","MANUFACTURING  PROCESS")</f>
        <v>MANUFACTURING  PROCESS</v>
      </c>
      <c r="F6114" t="s">
        <v>6563</v>
      </c>
    </row>
    <row r="6115" spans="1:6" ht="12.75">
      <c r="A6115">
        <v>5320411</v>
      </c>
      <c r="B6115">
        <v>6975940</v>
      </c>
      <c r="C6115" t="s">
        <v>24</v>
      </c>
      <c r="D6115" t="s">
        <v>99</v>
      </c>
      <c r="E6115" s="2" t="str">
        <f>HYPERLINK("https://ibp.a2mac1.com/costing(costing:projects/details/8191/material/5320411)","Standard Structural Steel sheet")</f>
        <v>Standard Structural Steel sheet</v>
      </c>
      <c r="F6115" t="s">
        <v>6565</v>
      </c>
    </row>
    <row r="6116" spans="1:6" ht="12.75">
      <c r="A6116">
        <v>6948559</v>
      </c>
      <c r="B6116">
        <v>6975940</v>
      </c>
      <c r="C6116" t="s">
        <v>189</v>
      </c>
      <c r="D6116" t="s">
        <v>99</v>
      </c>
      <c r="E6116" s="2" t="str">
        <f>HYPERLINK("https://ibp.a2mac1.com/costing(costing:projects/details/8191/equipment/6948559)","Manufacturing Equipment")</f>
        <v>Manufacturing Equipment</v>
      </c>
      <c r="F6116" t="s">
        <v>6565</v>
      </c>
    </row>
    <row r="6117" spans="1:6" ht="12.75">
      <c r="A6117">
        <v>5389267</v>
      </c>
      <c r="B6117">
        <v>5388947</v>
      </c>
      <c r="C6117" t="s">
        <v>8</v>
      </c>
      <c r="D6117" t="s">
        <v>8</v>
      </c>
      <c r="E6117" s="2" t="str">
        <f>HYPERLINK("https://ibp.a2mac1.com/costing(costing:projects/details/8191/assembly/5389267)","Fixing parts")</f>
        <v>Fixing parts</v>
      </c>
      <c r="F6117" t="s">
        <v>6556</v>
      </c>
    </row>
    <row r="6118" spans="1:6" ht="12.75">
      <c r="A6118">
        <v>5389481</v>
      </c>
      <c r="B6118">
        <v>5389267</v>
      </c>
      <c r="C6118" t="s">
        <v>12</v>
      </c>
      <c r="D6118" t="s">
        <v>8</v>
      </c>
      <c r="E6118" s="2" t="str">
        <f>HYPERLINK("https://ibp.a2mac1.com/costing(costing:projects/details/8191/part/5389481)"," Part 01 single/main")</f>
        <v xml:space="preserve"> Part 01 single/main</v>
      </c>
      <c r="F6118" t="s">
        <v>6566</v>
      </c>
    </row>
    <row r="6119" spans="1:6" ht="12.75">
      <c r="A6119">
        <v>6975941</v>
      </c>
      <c r="B6119">
        <v>5389481</v>
      </c>
      <c r="C6119" t="s">
        <v>99</v>
      </c>
      <c r="D6119" t="s">
        <v>12</v>
      </c>
      <c r="E6119" s="2" t="str">
        <f>HYPERLINK("https://ibp.a2mac1.com/costing(costing:projects/details/8191/process/6975941)","MANUFACTURING  PROCESS")</f>
        <v>MANUFACTURING  PROCESS</v>
      </c>
      <c r="F6119" t="s">
        <v>6567</v>
      </c>
    </row>
    <row r="6120" spans="1:6" ht="12.75">
      <c r="A6120">
        <v>5320412</v>
      </c>
      <c r="B6120">
        <v>6975941</v>
      </c>
      <c r="C6120" t="s">
        <v>24</v>
      </c>
      <c r="D6120" t="s">
        <v>99</v>
      </c>
      <c r="E6120" s="2" t="str">
        <f>HYPERLINK("https://ibp.a2mac1.com/costing(costing:projects/details/8191/material/5320412)","Standard Structural Steel sheet")</f>
        <v>Standard Structural Steel sheet</v>
      </c>
      <c r="F6120" t="s">
        <v>6568</v>
      </c>
    </row>
    <row r="6121" spans="1:6" ht="12.75">
      <c r="A6121">
        <v>6948560</v>
      </c>
      <c r="B6121">
        <v>6975941</v>
      </c>
      <c r="C6121" t="s">
        <v>189</v>
      </c>
      <c r="D6121" t="s">
        <v>99</v>
      </c>
      <c r="E6121" s="2" t="str">
        <f>HYPERLINK("https://ibp.a2mac1.com/costing(costing:projects/details/8191/equipment/6948560)","Manufacturing Equipment")</f>
        <v>Manufacturing Equipment</v>
      </c>
      <c r="F6121" t="s">
        <v>6568</v>
      </c>
    </row>
    <row r="6122" spans="1:6" ht="12.75">
      <c r="A6122">
        <v>5389482</v>
      </c>
      <c r="B6122">
        <v>5389267</v>
      </c>
      <c r="C6122" t="s">
        <v>12</v>
      </c>
      <c r="D6122" t="s">
        <v>8</v>
      </c>
      <c r="E6122" s="2" t="str">
        <f>HYPERLINK("https://ibp.a2mac1.com/costing(costing:projects/details/8191/part/5389482)","Part 02")</f>
        <v>Part 02</v>
      </c>
      <c r="F6122" t="s">
        <v>6566</v>
      </c>
    </row>
    <row r="6123" spans="1:6" ht="12.75">
      <c r="A6123">
        <v>6975942</v>
      </c>
      <c r="B6123">
        <v>5389482</v>
      </c>
      <c r="C6123" t="s">
        <v>99</v>
      </c>
      <c r="D6123" t="s">
        <v>12</v>
      </c>
      <c r="E6123" s="2" t="str">
        <f>HYPERLINK("https://ibp.a2mac1.com/costing(costing:projects/details/8191/process/6975942)","MANUFACTURING  PROCESS")</f>
        <v>MANUFACTURING  PROCESS</v>
      </c>
      <c r="F6123" t="s">
        <v>6569</v>
      </c>
    </row>
    <row r="6124" spans="1:6" ht="12.75">
      <c r="A6124">
        <v>5320413</v>
      </c>
      <c r="B6124">
        <v>6975942</v>
      </c>
      <c r="C6124" t="s">
        <v>24</v>
      </c>
      <c r="D6124" t="s">
        <v>99</v>
      </c>
      <c r="E6124" s="2" t="str">
        <f>HYPERLINK("https://ibp.a2mac1.com/costing(costing:projects/details/8191/material/5320413)","Standard Structural Steel sheet")</f>
        <v>Standard Structural Steel sheet</v>
      </c>
      <c r="F6124" t="s">
        <v>6572</v>
      </c>
    </row>
    <row r="6125" spans="1:6" ht="12.75">
      <c r="A6125">
        <v>6948561</v>
      </c>
      <c r="B6125">
        <v>6975942</v>
      </c>
      <c r="C6125" t="s">
        <v>189</v>
      </c>
      <c r="D6125" t="s">
        <v>99</v>
      </c>
      <c r="E6125" s="2" t="str">
        <f>HYPERLINK("https://ibp.a2mac1.com/costing(costing:projects/details/8191/equipment/6948561)","Manufacturing Equipment")</f>
        <v>Manufacturing Equipment</v>
      </c>
      <c r="F6125" t="s">
        <v>6572</v>
      </c>
    </row>
    <row r="6126" spans="1:6" ht="12.75">
      <c r="A6126">
        <v>5389483</v>
      </c>
      <c r="B6126">
        <v>5389267</v>
      </c>
      <c r="C6126" t="s">
        <v>12</v>
      </c>
      <c r="D6126" t="s">
        <v>8</v>
      </c>
      <c r="E6126" s="2" t="str">
        <f>HYPERLINK("https://ibp.a2mac1.com/costing(costing:projects/details/8191/part/5389483)","Part 03")</f>
        <v>Part 03</v>
      </c>
      <c r="F6126" t="s">
        <v>6566</v>
      </c>
    </row>
    <row r="6127" spans="1:6" ht="12.75">
      <c r="A6127">
        <v>6975943</v>
      </c>
      <c r="B6127">
        <v>5389483</v>
      </c>
      <c r="C6127" t="s">
        <v>99</v>
      </c>
      <c r="D6127" t="s">
        <v>12</v>
      </c>
      <c r="E6127" s="2" t="str">
        <f>HYPERLINK("https://ibp.a2mac1.com/costing(costing:projects/details/8191/process/6975943)","MANUFACTURING  PROCESS")</f>
        <v>MANUFACTURING  PROCESS</v>
      </c>
      <c r="F6127" t="s">
        <v>6573</v>
      </c>
    </row>
    <row r="6128" spans="1:6" ht="12.75">
      <c r="A6128">
        <v>5320414</v>
      </c>
      <c r="B6128">
        <v>6975943</v>
      </c>
      <c r="C6128" t="s">
        <v>24</v>
      </c>
      <c r="D6128" t="s">
        <v>99</v>
      </c>
      <c r="E6128" s="2" t="str">
        <f>HYPERLINK("https://ibp.a2mac1.com/costing(costing:projects/details/8191/material/5320414)","Standard Structural Steel sheet")</f>
        <v>Standard Structural Steel sheet</v>
      </c>
      <c r="F6128" t="s">
        <v>6575</v>
      </c>
    </row>
    <row r="6129" spans="1:6" ht="12.75">
      <c r="A6129">
        <v>6948562</v>
      </c>
      <c r="B6129">
        <v>6975943</v>
      </c>
      <c r="C6129" t="s">
        <v>189</v>
      </c>
      <c r="D6129" t="s">
        <v>99</v>
      </c>
      <c r="E6129" s="2" t="str">
        <f>HYPERLINK("https://ibp.a2mac1.com/costing(costing:projects/details/8191/equipment/6948562)","Manufacturing Equipment")</f>
        <v>Manufacturing Equipment</v>
      </c>
      <c r="F6129" t="s">
        <v>6575</v>
      </c>
    </row>
    <row r="6130" spans="1:6" ht="12.75">
      <c r="A6130">
        <v>5388948</v>
      </c>
      <c r="B6130">
        <v>5388632</v>
      </c>
      <c r="C6130" t="s">
        <v>8</v>
      </c>
      <c r="D6130" t="s">
        <v>8</v>
      </c>
      <c r="E6130" s="2" t="str">
        <f>HYPERLINK("https://ibp.a2mac1.com/costing(costing:projects/details/8191/assembly/5388948)","B pillar assy")</f>
        <v>B pillar assy</v>
      </c>
      <c r="F6130" t="s">
        <v>6476</v>
      </c>
    </row>
    <row r="6131" spans="1:6" ht="12.75">
      <c r="A6131">
        <v>5389268</v>
      </c>
      <c r="B6131">
        <v>5388948</v>
      </c>
      <c r="C6131" t="s">
        <v>8</v>
      </c>
      <c r="D6131" t="s">
        <v>8</v>
      </c>
      <c r="E6131" s="2" t="str">
        <f>HYPERLINK("https://ibp.a2mac1.com/costing(costing:projects/details/8191/assembly/5389268)","Frame")</f>
        <v>Frame</v>
      </c>
      <c r="F6131" t="s">
        <v>6576</v>
      </c>
    </row>
    <row r="6132" spans="1:6" ht="12.75">
      <c r="A6132">
        <v>5389484</v>
      </c>
      <c r="B6132">
        <v>5389268</v>
      </c>
      <c r="C6132" t="s">
        <v>12</v>
      </c>
      <c r="D6132" t="s">
        <v>8</v>
      </c>
      <c r="E6132" s="2" t="str">
        <f>HYPERLINK("https://ibp.a2mac1.com/costing(costing:projects/details/8191/part/5389484)","Part 01 single/main/upper")</f>
        <v>Part 01 single/main/upper</v>
      </c>
      <c r="F6132" t="s">
        <v>6577</v>
      </c>
    </row>
    <row r="6133" spans="1:6" ht="12.75">
      <c r="A6133">
        <v>6975944</v>
      </c>
      <c r="B6133">
        <v>5389484</v>
      </c>
      <c r="C6133" t="s">
        <v>99</v>
      </c>
      <c r="D6133" t="s">
        <v>12</v>
      </c>
      <c r="E6133" s="2" t="str">
        <f>HYPERLINK("https://ibp.a2mac1.com/costing(costing:projects/details/8191/process/6975944)","MANUFACTURING  PROCESS")</f>
        <v>MANUFACTURING  PROCESS</v>
      </c>
      <c r="F6133" t="s">
        <v>6578</v>
      </c>
    </row>
    <row r="6134" spans="1:6" ht="12.75">
      <c r="A6134">
        <v>5320415</v>
      </c>
      <c r="B6134">
        <v>6975944</v>
      </c>
      <c r="C6134" t="s">
        <v>24</v>
      </c>
      <c r="D6134" t="s">
        <v>99</v>
      </c>
      <c r="E6134" s="2" t="str">
        <f>HYPERLINK("https://ibp.a2mac1.com/costing(costing:projects/details/8191/material/5320415)","Steel sheet (Hot Forming Steel)")</f>
        <v>Steel sheet (Hot Forming Steel)</v>
      </c>
      <c r="F6134" t="s">
        <v>6581</v>
      </c>
    </row>
    <row r="6135" spans="1:6" ht="12.75">
      <c r="A6135">
        <v>6948563</v>
      </c>
      <c r="B6135">
        <v>6975944</v>
      </c>
      <c r="C6135" t="s">
        <v>189</v>
      </c>
      <c r="D6135" t="s">
        <v>99</v>
      </c>
      <c r="E6135" s="2" t="str">
        <f>HYPERLINK("https://ibp.a2mac1.com/costing(costing:projects/details/8191/equipment/6948563)","Manufacturing Equipment")</f>
        <v>Manufacturing Equipment</v>
      </c>
      <c r="F6135" t="s">
        <v>6581</v>
      </c>
    </row>
    <row r="6136" spans="1:6" ht="12.75">
      <c r="A6136">
        <v>5389269</v>
      </c>
      <c r="B6136">
        <v>5388948</v>
      </c>
      <c r="C6136" t="s">
        <v>8</v>
      </c>
      <c r="D6136" t="s">
        <v>8</v>
      </c>
      <c r="E6136" s="2" t="str">
        <f>HYPERLINK("https://ibp.a2mac1.com/costing(costing:projects/details/8191/assembly/5389269)","Inner skin")</f>
        <v>Inner skin</v>
      </c>
      <c r="F6136" t="s">
        <v>6576</v>
      </c>
    </row>
    <row r="6137" spans="1:6" ht="12.75">
      <c r="A6137">
        <v>5389485</v>
      </c>
      <c r="B6137">
        <v>5389269</v>
      </c>
      <c r="C6137" t="s">
        <v>12</v>
      </c>
      <c r="D6137" t="s">
        <v>8</v>
      </c>
      <c r="E6137" s="2" t="str">
        <f>HYPERLINK("https://ibp.a2mac1.com/costing(costing:projects/details/8191/part/5389485)","Part 01 single/main/front")</f>
        <v>Part 01 single/main/front</v>
      </c>
      <c r="F6137" t="s">
        <v>6582</v>
      </c>
    </row>
    <row r="6138" spans="1:6" ht="12.75">
      <c r="A6138">
        <v>6975945</v>
      </c>
      <c r="B6138">
        <v>5389485</v>
      </c>
      <c r="C6138" t="s">
        <v>99</v>
      </c>
      <c r="D6138" t="s">
        <v>12</v>
      </c>
      <c r="E6138" s="2" t="str">
        <f>HYPERLINK("https://ibp.a2mac1.com/costing(costing:projects/details/8191/process/6975945)","MANUFACTURING  PROCESS")</f>
        <v>MANUFACTURING  PROCESS</v>
      </c>
      <c r="F6138" t="s">
        <v>6583</v>
      </c>
    </row>
    <row r="6139" spans="1:6" ht="12.75">
      <c r="A6139">
        <v>5320416</v>
      </c>
      <c r="B6139">
        <v>6975945</v>
      </c>
      <c r="C6139" t="s">
        <v>24</v>
      </c>
      <c r="D6139" t="s">
        <v>99</v>
      </c>
      <c r="E6139" s="2" t="str">
        <f>HYPERLINK("https://ibp.a2mac1.com/costing(costing:projects/details/8191/material/5320416)","Standard Structural Steel sheet")</f>
        <v>Standard Structural Steel sheet</v>
      </c>
      <c r="F6139" t="s">
        <v>6586</v>
      </c>
    </row>
    <row r="6140" spans="1:6" ht="12.75">
      <c r="A6140">
        <v>6948564</v>
      </c>
      <c r="B6140">
        <v>6975945</v>
      </c>
      <c r="C6140" t="s">
        <v>189</v>
      </c>
      <c r="D6140" t="s">
        <v>99</v>
      </c>
      <c r="E6140" s="2" t="str">
        <f>HYPERLINK("https://ibp.a2mac1.com/costing(costing:projects/details/8191/equipment/6948564)","Manufacturing Equipment")</f>
        <v>Manufacturing Equipment</v>
      </c>
      <c r="F6140" t="s">
        <v>6586</v>
      </c>
    </row>
    <row r="6141" spans="1:6" ht="12.75">
      <c r="A6141">
        <v>5389486</v>
      </c>
      <c r="B6141">
        <v>5389269</v>
      </c>
      <c r="C6141" t="s">
        <v>12</v>
      </c>
      <c r="D6141" t="s">
        <v>8</v>
      </c>
      <c r="E6141" s="2" t="str">
        <f>HYPERLINK("https://ibp.a2mac1.com/costing(costing:projects/details/8191/part/5389486)","Part 02")</f>
        <v>Part 02</v>
      </c>
      <c r="F6141" t="s">
        <v>6582</v>
      </c>
    </row>
    <row r="6142" spans="1:6" ht="12.75">
      <c r="A6142">
        <v>6975946</v>
      </c>
      <c r="B6142">
        <v>5389486</v>
      </c>
      <c r="C6142" t="s">
        <v>99</v>
      </c>
      <c r="D6142" t="s">
        <v>12</v>
      </c>
      <c r="E6142" s="2" t="str">
        <f>HYPERLINK("https://ibp.a2mac1.com/costing(costing:projects/details/8191/process/6975946)","MANUFACTURING  PROCESS")</f>
        <v>MANUFACTURING  PROCESS</v>
      </c>
      <c r="F6142" t="s">
        <v>6587</v>
      </c>
    </row>
    <row r="6143" spans="1:6" ht="12.75">
      <c r="A6143">
        <v>5320417</v>
      </c>
      <c r="B6143">
        <v>6975946</v>
      </c>
      <c r="C6143" t="s">
        <v>24</v>
      </c>
      <c r="D6143" t="s">
        <v>99</v>
      </c>
      <c r="E6143" s="2" t="str">
        <f>HYPERLINK("https://ibp.a2mac1.com/costing(costing:projects/details/8191/material/5320417)","Standard Structural Steel sheet")</f>
        <v>Standard Structural Steel sheet</v>
      </c>
      <c r="F6143" t="s">
        <v>6589</v>
      </c>
    </row>
    <row r="6144" spans="1:6" ht="12.75">
      <c r="A6144">
        <v>6948565</v>
      </c>
      <c r="B6144">
        <v>6975946</v>
      </c>
      <c r="C6144" t="s">
        <v>189</v>
      </c>
      <c r="D6144" t="s">
        <v>99</v>
      </c>
      <c r="E6144" s="2" t="str">
        <f>HYPERLINK("https://ibp.a2mac1.com/costing(costing:projects/details/8191/equipment/6948565)","Manufacturing Equipment")</f>
        <v>Manufacturing Equipment</v>
      </c>
      <c r="F6144" t="s">
        <v>6589</v>
      </c>
    </row>
    <row r="6145" spans="1:6" ht="12.75">
      <c r="A6145">
        <v>5389270</v>
      </c>
      <c r="B6145">
        <v>5388948</v>
      </c>
      <c r="C6145" t="s">
        <v>8</v>
      </c>
      <c r="D6145" t="s">
        <v>8</v>
      </c>
      <c r="E6145" s="2" t="str">
        <f>HYPERLINK("https://ibp.a2mac1.com/costing(costing:projects/details/8191/assembly/5389270)","Reinforcements")</f>
        <v>Reinforcements</v>
      </c>
      <c r="F6145" t="s">
        <v>6576</v>
      </c>
    </row>
    <row r="6146" spans="1:6" ht="12.75">
      <c r="A6146">
        <v>5389487</v>
      </c>
      <c r="B6146">
        <v>5389270</v>
      </c>
      <c r="C6146" t="s">
        <v>12</v>
      </c>
      <c r="D6146" t="s">
        <v>8</v>
      </c>
      <c r="E6146" s="2" t="str">
        <f>HYPERLINK("https://ibp.a2mac1.com/costing(costing:projects/details/8191/part/5389487)","Part 01 single/main")</f>
        <v>Part 01 single/main</v>
      </c>
      <c r="F6146" t="s">
        <v>6590</v>
      </c>
    </row>
    <row r="6147" spans="1:6" ht="12.75">
      <c r="A6147">
        <v>6975947</v>
      </c>
      <c r="B6147">
        <v>5389487</v>
      </c>
      <c r="C6147" t="s">
        <v>99</v>
      </c>
      <c r="D6147" t="s">
        <v>12</v>
      </c>
      <c r="E6147" s="2" t="str">
        <f>HYPERLINK("https://ibp.a2mac1.com/costing(costing:projects/details/8191/process/6975947)","MANUFACTURING  PROCESS")</f>
        <v>MANUFACTURING  PROCESS</v>
      </c>
      <c r="F6147" t="s">
        <v>6591</v>
      </c>
    </row>
    <row r="6148" spans="1:6" ht="12.75">
      <c r="A6148">
        <v>5320418</v>
      </c>
      <c r="B6148">
        <v>6975947</v>
      </c>
      <c r="C6148" t="s">
        <v>24</v>
      </c>
      <c r="D6148" t="s">
        <v>99</v>
      </c>
      <c r="E6148" s="2" t="str">
        <f>HYPERLINK("https://ibp.a2mac1.com/costing(costing:projects/details/8191/material/5320418)","Standard Structural Steel sheet")</f>
        <v>Standard Structural Steel sheet</v>
      </c>
      <c r="F6148" t="s">
        <v>6594</v>
      </c>
    </row>
    <row r="6149" spans="1:6" ht="12.75">
      <c r="A6149">
        <v>6948566</v>
      </c>
      <c r="B6149">
        <v>6975947</v>
      </c>
      <c r="C6149" t="s">
        <v>189</v>
      </c>
      <c r="D6149" t="s">
        <v>99</v>
      </c>
      <c r="E6149" s="2" t="str">
        <f>HYPERLINK("https://ibp.a2mac1.com/costing(costing:projects/details/8191/equipment/6948566)","Manufacturing Equipment")</f>
        <v>Manufacturing Equipment</v>
      </c>
      <c r="F6149" t="s">
        <v>6594</v>
      </c>
    </row>
    <row r="6150" spans="1:6" ht="12.75">
      <c r="A6150">
        <v>5389271</v>
      </c>
      <c r="B6150">
        <v>5388948</v>
      </c>
      <c r="C6150" t="s">
        <v>8</v>
      </c>
      <c r="D6150" t="s">
        <v>8</v>
      </c>
      <c r="E6150" s="2" t="str">
        <f>HYPERLINK("https://ibp.a2mac1.com/costing(costing:projects/details/8191/assembly/5389271)","Fixing parts")</f>
        <v>Fixing parts</v>
      </c>
      <c r="F6150" t="s">
        <v>6576</v>
      </c>
    </row>
    <row r="6151" spans="1:6" ht="12.75">
      <c r="A6151">
        <v>5389488</v>
      </c>
      <c r="B6151">
        <v>5389271</v>
      </c>
      <c r="C6151" t="s">
        <v>12</v>
      </c>
      <c r="D6151" t="s">
        <v>8</v>
      </c>
      <c r="E6151" s="2" t="str">
        <f>HYPERLINK("https://ibp.a2mac1.com/costing(costing:projects/details/8191/part/5389488)"," Part 01 single/main")</f>
        <v xml:space="preserve"> Part 01 single/main</v>
      </c>
      <c r="F6151" t="s">
        <v>6595</v>
      </c>
    </row>
    <row r="6152" spans="1:6" ht="12.75">
      <c r="A6152">
        <v>6975948</v>
      </c>
      <c r="B6152">
        <v>5389488</v>
      </c>
      <c r="C6152" t="s">
        <v>99</v>
      </c>
      <c r="D6152" t="s">
        <v>12</v>
      </c>
      <c r="E6152" s="2" t="str">
        <f>HYPERLINK("https://ibp.a2mac1.com/costing(costing:projects/details/8191/process/6975948)","MANUFACTURING  PROCESS")</f>
        <v>MANUFACTURING  PROCESS</v>
      </c>
      <c r="F6152" t="s">
        <v>6596</v>
      </c>
    </row>
    <row r="6153" spans="1:6" ht="12.75">
      <c r="A6153">
        <v>5320419</v>
      </c>
      <c r="B6153">
        <v>6975948</v>
      </c>
      <c r="C6153" t="s">
        <v>24</v>
      </c>
      <c r="D6153" t="s">
        <v>99</v>
      </c>
      <c r="E6153" s="2" t="str">
        <f>HYPERLINK("https://ibp.a2mac1.com/costing(costing:projects/details/8191/material/5320419)","Standard Structural Steel sheet")</f>
        <v>Standard Structural Steel sheet</v>
      </c>
      <c r="F6153" t="s">
        <v>6597</v>
      </c>
    </row>
    <row r="6154" spans="1:6" ht="12.75">
      <c r="A6154">
        <v>6948567</v>
      </c>
      <c r="B6154">
        <v>6975948</v>
      </c>
      <c r="C6154" t="s">
        <v>189</v>
      </c>
      <c r="D6154" t="s">
        <v>99</v>
      </c>
      <c r="E6154" s="2" t="str">
        <f>HYPERLINK("https://ibp.a2mac1.com/costing(costing:projects/details/8191/equipment/6948567)","Manufacturing Equipment")</f>
        <v>Manufacturing Equipment</v>
      </c>
      <c r="F6154" t="s">
        <v>6597</v>
      </c>
    </row>
    <row r="6155" spans="1:6" ht="12.75">
      <c r="A6155">
        <v>5389489</v>
      </c>
      <c r="B6155">
        <v>5389271</v>
      </c>
      <c r="C6155" t="s">
        <v>12</v>
      </c>
      <c r="D6155" t="s">
        <v>8</v>
      </c>
      <c r="E6155" s="2" t="str">
        <f>HYPERLINK("https://ibp.a2mac1.com/costing(costing:projects/details/8191/part/5389489)","Part 02")</f>
        <v>Part 02</v>
      </c>
      <c r="F6155" t="s">
        <v>6595</v>
      </c>
    </row>
    <row r="6156" spans="1:6" ht="12.75">
      <c r="A6156">
        <v>6975949</v>
      </c>
      <c r="B6156">
        <v>5389489</v>
      </c>
      <c r="C6156" t="s">
        <v>99</v>
      </c>
      <c r="D6156" t="s">
        <v>12</v>
      </c>
      <c r="E6156" s="2" t="str">
        <f>HYPERLINK("https://ibp.a2mac1.com/costing(costing:projects/details/8191/process/6975949)","MANUFACTURING  PROCESS")</f>
        <v>MANUFACTURING  PROCESS</v>
      </c>
      <c r="F6156" t="s">
        <v>6598</v>
      </c>
    </row>
    <row r="6157" spans="1:6" ht="12.75">
      <c r="A6157">
        <v>5320420</v>
      </c>
      <c r="B6157">
        <v>6975949</v>
      </c>
      <c r="C6157" t="s">
        <v>24</v>
      </c>
      <c r="D6157" t="s">
        <v>99</v>
      </c>
      <c r="E6157" s="2" t="str">
        <f>HYPERLINK("https://ibp.a2mac1.com/costing(costing:projects/details/8191/material/5320420)","Standard Structural Steel sheet")</f>
        <v>Standard Structural Steel sheet</v>
      </c>
      <c r="F6157" t="s">
        <v>6599</v>
      </c>
    </row>
    <row r="6158" spans="1:6" ht="12.75">
      <c r="A6158">
        <v>6948568</v>
      </c>
      <c r="B6158">
        <v>6975949</v>
      </c>
      <c r="C6158" t="s">
        <v>189</v>
      </c>
      <c r="D6158" t="s">
        <v>99</v>
      </c>
      <c r="E6158" s="2" t="str">
        <f>HYPERLINK("https://ibp.a2mac1.com/costing(costing:projects/details/8191/equipment/6948568)","Manufacturing Equipment")</f>
        <v>Manufacturing Equipment</v>
      </c>
      <c r="F6158" t="s">
        <v>6599</v>
      </c>
    </row>
    <row r="6159" spans="1:6" ht="12.75">
      <c r="A6159">
        <v>5389490</v>
      </c>
      <c r="B6159">
        <v>5389271</v>
      </c>
      <c r="C6159" t="s">
        <v>12</v>
      </c>
      <c r="D6159" t="s">
        <v>8</v>
      </c>
      <c r="E6159" s="2" t="str">
        <f>HYPERLINK("https://ibp.a2mac1.com/costing(costing:projects/details/8191/part/5389490)","Part 03")</f>
        <v>Part 03</v>
      </c>
      <c r="F6159" t="s">
        <v>6595</v>
      </c>
    </row>
    <row r="6160" spans="1:6" ht="12.75">
      <c r="A6160">
        <v>6975950</v>
      </c>
      <c r="B6160">
        <v>5389490</v>
      </c>
      <c r="C6160" t="s">
        <v>99</v>
      </c>
      <c r="D6160" t="s">
        <v>12</v>
      </c>
      <c r="E6160" s="2" t="str">
        <f>HYPERLINK("https://ibp.a2mac1.com/costing(costing:projects/details/8191/process/6975950)","MANUFACTURING  PROCESS")</f>
        <v>MANUFACTURING  PROCESS</v>
      </c>
      <c r="F6160" t="s">
        <v>6600</v>
      </c>
    </row>
    <row r="6161" spans="1:6" ht="12.75">
      <c r="A6161">
        <v>5320421</v>
      </c>
      <c r="B6161">
        <v>6975950</v>
      </c>
      <c r="C6161" t="s">
        <v>24</v>
      </c>
      <c r="D6161" t="s">
        <v>99</v>
      </c>
      <c r="E6161" s="2" t="str">
        <f>HYPERLINK("https://ibp.a2mac1.com/costing(costing:projects/details/8191/material/5320421)","Standard Structural Steel sheet")</f>
        <v>Standard Structural Steel sheet</v>
      </c>
      <c r="F6161" t="s">
        <v>6603</v>
      </c>
    </row>
    <row r="6162" spans="1:6" ht="12.75">
      <c r="A6162">
        <v>6948569</v>
      </c>
      <c r="B6162">
        <v>6975950</v>
      </c>
      <c r="C6162" t="s">
        <v>189</v>
      </c>
      <c r="D6162" t="s">
        <v>99</v>
      </c>
      <c r="E6162" s="2" t="str">
        <f>HYPERLINK("https://ibp.a2mac1.com/costing(costing:projects/details/8191/equipment/6948569)","Manufacturing Equipment")</f>
        <v>Manufacturing Equipment</v>
      </c>
      <c r="F6162" t="s">
        <v>6603</v>
      </c>
    </row>
    <row r="6163" spans="1:6" ht="12.75">
      <c r="A6163">
        <v>5389491</v>
      </c>
      <c r="B6163">
        <v>5389271</v>
      </c>
      <c r="C6163" t="s">
        <v>12</v>
      </c>
      <c r="D6163" t="s">
        <v>8</v>
      </c>
      <c r="E6163" s="2" t="str">
        <f>HYPERLINK("https://ibp.a2mac1.com/costing(costing:projects/details/8191/part/5389491)","Part 04")</f>
        <v>Part 04</v>
      </c>
      <c r="F6163" t="s">
        <v>6595</v>
      </c>
    </row>
    <row r="6164" spans="1:6" ht="12.75">
      <c r="A6164">
        <v>6975951</v>
      </c>
      <c r="B6164">
        <v>5389491</v>
      </c>
      <c r="C6164" t="s">
        <v>99</v>
      </c>
      <c r="D6164" t="s">
        <v>12</v>
      </c>
      <c r="E6164" s="2" t="str">
        <f>HYPERLINK("https://ibp.a2mac1.com/costing(costing:projects/details/8191/process/6975951)","MANUFACTURING  PROCESS")</f>
        <v>MANUFACTURING  PROCESS</v>
      </c>
      <c r="F6164" t="s">
        <v>6604</v>
      </c>
    </row>
    <row r="6165" spans="1:6" ht="12.75">
      <c r="A6165">
        <v>5320422</v>
      </c>
      <c r="B6165">
        <v>6975951</v>
      </c>
      <c r="C6165" t="s">
        <v>24</v>
      </c>
      <c r="D6165" t="s">
        <v>99</v>
      </c>
      <c r="E6165" s="2" t="str">
        <f>HYPERLINK("https://ibp.a2mac1.com/costing(costing:projects/details/8191/material/5320422)","Standard Structural Steel sheet")</f>
        <v>Standard Structural Steel sheet</v>
      </c>
      <c r="F6165" t="s">
        <v>6606</v>
      </c>
    </row>
    <row r="6166" spans="1:6" ht="12.75">
      <c r="A6166">
        <v>6948570</v>
      </c>
      <c r="B6166">
        <v>6975951</v>
      </c>
      <c r="C6166" t="s">
        <v>189</v>
      </c>
      <c r="D6166" t="s">
        <v>99</v>
      </c>
      <c r="E6166" s="2" t="str">
        <f>HYPERLINK("https://ibp.a2mac1.com/costing(costing:projects/details/8191/equipment/6948570)","Manufacturing Equipment")</f>
        <v>Manufacturing Equipment</v>
      </c>
      <c r="F6166" t="s">
        <v>6606</v>
      </c>
    </row>
    <row r="6167" spans="1:6" ht="12.75">
      <c r="A6167">
        <v>5389492</v>
      </c>
      <c r="B6167">
        <v>5389271</v>
      </c>
      <c r="C6167" t="s">
        <v>12</v>
      </c>
      <c r="D6167" t="s">
        <v>8</v>
      </c>
      <c r="E6167" s="2" t="str">
        <f>HYPERLINK("https://ibp.a2mac1.com/costing(costing:projects/details/8191/part/5389492)","Part 05")</f>
        <v>Part 05</v>
      </c>
      <c r="F6167" t="s">
        <v>6595</v>
      </c>
    </row>
    <row r="6168" spans="1:6" ht="12.75">
      <c r="A6168">
        <v>6975952</v>
      </c>
      <c r="B6168">
        <v>5389492</v>
      </c>
      <c r="C6168" t="s">
        <v>99</v>
      </c>
      <c r="D6168" t="s">
        <v>12</v>
      </c>
      <c r="E6168" s="2" t="str">
        <f>HYPERLINK("https://ibp.a2mac1.com/costing(costing:projects/details/8191/process/6975952)","MANUFACTURING  PROCESS")</f>
        <v>MANUFACTURING  PROCESS</v>
      </c>
      <c r="F6168" t="s">
        <v>6607</v>
      </c>
    </row>
    <row r="6169" spans="1:6" ht="12.75">
      <c r="A6169">
        <v>5320423</v>
      </c>
      <c r="B6169">
        <v>6975952</v>
      </c>
      <c r="C6169" t="s">
        <v>24</v>
      </c>
      <c r="D6169" t="s">
        <v>99</v>
      </c>
      <c r="E6169" s="2" t="str">
        <f>HYPERLINK("https://ibp.a2mac1.com/costing(costing:projects/details/8191/material/5320423)","Standard Structural Steel sheet")</f>
        <v>Standard Structural Steel sheet</v>
      </c>
      <c r="F6169" t="s">
        <v>6608</v>
      </c>
    </row>
    <row r="6170" spans="1:6" ht="12.75">
      <c r="A6170">
        <v>6948571</v>
      </c>
      <c r="B6170">
        <v>6975952</v>
      </c>
      <c r="C6170" t="s">
        <v>189</v>
      </c>
      <c r="D6170" t="s">
        <v>99</v>
      </c>
      <c r="E6170" s="2" t="str">
        <f>HYPERLINK("https://ibp.a2mac1.com/costing(costing:projects/details/8191/equipment/6948571)","Manufacturing Equipment")</f>
        <v>Manufacturing Equipment</v>
      </c>
      <c r="F6170" t="s">
        <v>6608</v>
      </c>
    </row>
    <row r="6171" spans="1:6" ht="12.75">
      <c r="A6171">
        <v>5388949</v>
      </c>
      <c r="B6171">
        <v>5388632</v>
      </c>
      <c r="C6171" t="s">
        <v>8</v>
      </c>
      <c r="D6171" t="s">
        <v>8</v>
      </c>
      <c r="E6171" s="2" t="str">
        <f>HYPERLINK("https://ibp.a2mac1.com/costing(costing:projects/details/8191/assembly/5388949)","C&amp;D pillar assy")</f>
        <v>C&amp;D pillar assy</v>
      </c>
      <c r="F6171" t="s">
        <v>6476</v>
      </c>
    </row>
    <row r="6172" spans="1:6" ht="12.75">
      <c r="A6172">
        <v>5389272</v>
      </c>
      <c r="B6172">
        <v>5388949</v>
      </c>
      <c r="C6172" t="s">
        <v>8</v>
      </c>
      <c r="D6172" t="s">
        <v>8</v>
      </c>
      <c r="E6172" s="2" t="str">
        <f>HYPERLINK("https://ibp.a2mac1.com/costing(costing:projects/details/8191/assembly/5389272)","Outer wheel shroud assy")</f>
        <v>Outer wheel shroud assy</v>
      </c>
      <c r="F6172" t="s">
        <v>6609</v>
      </c>
    </row>
    <row r="6173" spans="1:6" ht="12.75">
      <c r="A6173">
        <v>5389493</v>
      </c>
      <c r="B6173">
        <v>5389272</v>
      </c>
      <c r="C6173" t="s">
        <v>12</v>
      </c>
      <c r="D6173" t="s">
        <v>8</v>
      </c>
      <c r="E6173" s="2" t="str">
        <f>HYPERLINK("https://ibp.a2mac1.com/costing(costing:projects/details/8191/part/5389493)","Part 01 single/main/upper")</f>
        <v>Part 01 single/main/upper</v>
      </c>
      <c r="F6173" t="s">
        <v>6610</v>
      </c>
    </row>
    <row r="6174" spans="1:6" ht="12.75">
      <c r="A6174">
        <v>6975953</v>
      </c>
      <c r="B6174">
        <v>5389493</v>
      </c>
      <c r="C6174" t="s">
        <v>99</v>
      </c>
      <c r="D6174" t="s">
        <v>12</v>
      </c>
      <c r="E6174" s="2" t="str">
        <f>HYPERLINK("https://ibp.a2mac1.com/costing(costing:projects/details/8191/process/6975953)","MANUFACTURING  PROCESS")</f>
        <v>MANUFACTURING  PROCESS</v>
      </c>
      <c r="F6174" t="s">
        <v>6611</v>
      </c>
    </row>
    <row r="6175" spans="1:6" ht="12.75">
      <c r="A6175">
        <v>5320424</v>
      </c>
      <c r="B6175">
        <v>6975953</v>
      </c>
      <c r="C6175" t="s">
        <v>24</v>
      </c>
      <c r="D6175" t="s">
        <v>99</v>
      </c>
      <c r="E6175" s="2" t="str">
        <f>HYPERLINK("https://ibp.a2mac1.com/costing(costing:projects/details/8191/material/5320424)","Standard Structural Steel sheet")</f>
        <v>Standard Structural Steel sheet</v>
      </c>
      <c r="F6175" t="s">
        <v>6614</v>
      </c>
    </row>
    <row r="6176" spans="1:6" ht="12.75">
      <c r="A6176">
        <v>6948572</v>
      </c>
      <c r="B6176">
        <v>6975953</v>
      </c>
      <c r="C6176" t="s">
        <v>189</v>
      </c>
      <c r="D6176" t="s">
        <v>99</v>
      </c>
      <c r="E6176" s="2" t="str">
        <f>HYPERLINK("https://ibp.a2mac1.com/costing(costing:projects/details/8191/equipment/6948572)","Manufacturing Equipment")</f>
        <v>Manufacturing Equipment</v>
      </c>
      <c r="F6176" t="s">
        <v>6614</v>
      </c>
    </row>
    <row r="6177" spans="1:6" ht="12.75">
      <c r="A6177">
        <v>5389494</v>
      </c>
      <c r="B6177">
        <v>5389272</v>
      </c>
      <c r="C6177" t="s">
        <v>12</v>
      </c>
      <c r="D6177" t="s">
        <v>8</v>
      </c>
      <c r="E6177" s="2" t="str">
        <f>HYPERLINK("https://ibp.a2mac1.com/costing(costing:projects/details/8191/part/5389494)","Part 02")</f>
        <v>Part 02</v>
      </c>
      <c r="F6177" t="s">
        <v>6610</v>
      </c>
    </row>
    <row r="6178" spans="1:6" ht="12.75">
      <c r="A6178">
        <v>6975954</v>
      </c>
      <c r="B6178">
        <v>5389494</v>
      </c>
      <c r="C6178" t="s">
        <v>99</v>
      </c>
      <c r="D6178" t="s">
        <v>12</v>
      </c>
      <c r="E6178" s="2" t="str">
        <f>HYPERLINK("https://ibp.a2mac1.com/costing(costing:projects/details/8191/process/6975954)","MANUFACTURING  PROCESS")</f>
        <v>MANUFACTURING  PROCESS</v>
      </c>
      <c r="F6178" t="s">
        <v>6615</v>
      </c>
    </row>
    <row r="6179" spans="1:6" ht="12.75">
      <c r="A6179">
        <v>5320425</v>
      </c>
      <c r="B6179">
        <v>6975954</v>
      </c>
      <c r="C6179" t="s">
        <v>24</v>
      </c>
      <c r="D6179" t="s">
        <v>99</v>
      </c>
      <c r="E6179" s="2" t="str">
        <f>HYPERLINK("https://ibp.a2mac1.com/costing(costing:projects/details/8191/material/5320425)","Standard Structural Steel sheet")</f>
        <v>Standard Structural Steel sheet</v>
      </c>
      <c r="F6179" t="s">
        <v>6617</v>
      </c>
    </row>
    <row r="6180" spans="1:6" ht="12.75">
      <c r="A6180">
        <v>6948573</v>
      </c>
      <c r="B6180">
        <v>6975954</v>
      </c>
      <c r="C6180" t="s">
        <v>189</v>
      </c>
      <c r="D6180" t="s">
        <v>99</v>
      </c>
      <c r="E6180" s="2" t="str">
        <f>HYPERLINK("https://ibp.a2mac1.com/costing(costing:projects/details/8191/equipment/6948573)","Manufacturing Equipment")</f>
        <v>Manufacturing Equipment</v>
      </c>
      <c r="F6180" t="s">
        <v>6617</v>
      </c>
    </row>
    <row r="6181" spans="1:6" ht="12.75">
      <c r="A6181">
        <v>5389273</v>
      </c>
      <c r="B6181">
        <v>5388949</v>
      </c>
      <c r="C6181" t="s">
        <v>8</v>
      </c>
      <c r="D6181" t="s">
        <v>8</v>
      </c>
      <c r="E6181" s="2" t="str">
        <f>HYPERLINK("https://ibp.a2mac1.com/costing(costing:projects/details/8191/assembly/5389273)","Frame")</f>
        <v>Frame</v>
      </c>
      <c r="F6181" t="s">
        <v>6609</v>
      </c>
    </row>
    <row r="6182" spans="1:6" ht="12.75">
      <c r="A6182">
        <v>5389495</v>
      </c>
      <c r="B6182">
        <v>5389273</v>
      </c>
      <c r="C6182" t="s">
        <v>12</v>
      </c>
      <c r="D6182" t="s">
        <v>8</v>
      </c>
      <c r="E6182" s="2" t="str">
        <f>HYPERLINK("https://ibp.a2mac1.com/costing(costing:projects/details/8191/part/5389495)","Part 01 single/main/upper")</f>
        <v>Part 01 single/main/upper</v>
      </c>
      <c r="F6182" t="s">
        <v>6618</v>
      </c>
    </row>
    <row r="6183" spans="1:6" ht="12.75">
      <c r="A6183">
        <v>6975955</v>
      </c>
      <c r="B6183">
        <v>5389495</v>
      </c>
      <c r="C6183" t="s">
        <v>99</v>
      </c>
      <c r="D6183" t="s">
        <v>12</v>
      </c>
      <c r="E6183" s="2" t="str">
        <f>HYPERLINK("https://ibp.a2mac1.com/costing(costing:projects/details/8191/process/6975955)","MANUFACTURING  PROCESS")</f>
        <v>MANUFACTURING  PROCESS</v>
      </c>
      <c r="F6183" t="s">
        <v>6619</v>
      </c>
    </row>
    <row r="6184" spans="1:6" ht="12.75">
      <c r="A6184">
        <v>5320426</v>
      </c>
      <c r="B6184">
        <v>6975955</v>
      </c>
      <c r="C6184" t="s">
        <v>24</v>
      </c>
      <c r="D6184" t="s">
        <v>99</v>
      </c>
      <c r="E6184" s="2" t="str">
        <f>HYPERLINK("https://ibp.a2mac1.com/costing(costing:projects/details/8191/material/5320426)","Standard Structural Steel sheet")</f>
        <v>Standard Structural Steel sheet</v>
      </c>
      <c r="F6184" t="s">
        <v>6622</v>
      </c>
    </row>
    <row r="6185" spans="1:6" ht="12.75">
      <c r="A6185">
        <v>6948574</v>
      </c>
      <c r="B6185">
        <v>6975955</v>
      </c>
      <c r="C6185" t="s">
        <v>189</v>
      </c>
      <c r="D6185" t="s">
        <v>99</v>
      </c>
      <c r="E6185" s="2" t="str">
        <f>HYPERLINK("https://ibp.a2mac1.com/costing(costing:projects/details/8191/equipment/6948574)","Manufacturing Equipment")</f>
        <v>Manufacturing Equipment</v>
      </c>
      <c r="F6185" t="s">
        <v>6622</v>
      </c>
    </row>
    <row r="6186" spans="1:6" ht="12.75">
      <c r="A6186">
        <v>5389496</v>
      </c>
      <c r="B6186">
        <v>5389273</v>
      </c>
      <c r="C6186" t="s">
        <v>12</v>
      </c>
      <c r="D6186" t="s">
        <v>8</v>
      </c>
      <c r="E6186" s="2" t="str">
        <f>HYPERLINK("https://ibp.a2mac1.com/costing(costing:projects/details/8191/part/5389496)","Part 03")</f>
        <v>Part 03</v>
      </c>
      <c r="F6186" t="s">
        <v>6618</v>
      </c>
    </row>
    <row r="6187" spans="1:6" ht="12.75">
      <c r="A6187">
        <v>6975956</v>
      </c>
      <c r="B6187">
        <v>5389496</v>
      </c>
      <c r="C6187" t="s">
        <v>99</v>
      </c>
      <c r="D6187" t="s">
        <v>12</v>
      </c>
      <c r="E6187" s="2" t="str">
        <f>HYPERLINK("https://ibp.a2mac1.com/costing(costing:projects/details/8191/process/6975956)","MANUFACTURING  PROCESS")</f>
        <v>MANUFACTURING  PROCESS</v>
      </c>
      <c r="F6187" t="s">
        <v>6623</v>
      </c>
    </row>
    <row r="6188" spans="1:6" ht="12.75">
      <c r="A6188">
        <v>5320427</v>
      </c>
      <c r="B6188">
        <v>6975956</v>
      </c>
      <c r="C6188" t="s">
        <v>24</v>
      </c>
      <c r="D6188" t="s">
        <v>99</v>
      </c>
      <c r="E6188" s="2" t="str">
        <f>HYPERLINK("https://ibp.a2mac1.com/costing(costing:projects/details/8191/material/5320427)","Standard Structural Steel sheet")</f>
        <v>Standard Structural Steel sheet</v>
      </c>
      <c r="F6188" t="s">
        <v>6626</v>
      </c>
    </row>
    <row r="6189" spans="1:6" ht="12.75">
      <c r="A6189">
        <v>6948575</v>
      </c>
      <c r="B6189">
        <v>6975956</v>
      </c>
      <c r="C6189" t="s">
        <v>189</v>
      </c>
      <c r="D6189" t="s">
        <v>99</v>
      </c>
      <c r="E6189" s="2" t="str">
        <f>HYPERLINK("https://ibp.a2mac1.com/costing(costing:projects/details/8191/equipment/6948575)","Manufacturing Equipment")</f>
        <v>Manufacturing Equipment</v>
      </c>
      <c r="F6189" t="s">
        <v>6626</v>
      </c>
    </row>
    <row r="6190" spans="1:6" ht="12.75">
      <c r="A6190">
        <v>5389274</v>
      </c>
      <c r="B6190">
        <v>5388949</v>
      </c>
      <c r="C6190" t="s">
        <v>8</v>
      </c>
      <c r="D6190" t="s">
        <v>8</v>
      </c>
      <c r="E6190" s="2" t="str">
        <f>HYPERLINK("https://ibp.a2mac1.com/costing(costing:projects/details/8191/assembly/5389274)","Inner skin")</f>
        <v>Inner skin</v>
      </c>
      <c r="F6190" t="s">
        <v>6609</v>
      </c>
    </row>
    <row r="6191" spans="1:6" ht="12.75">
      <c r="A6191">
        <v>5389497</v>
      </c>
      <c r="B6191">
        <v>5389274</v>
      </c>
      <c r="C6191" t="s">
        <v>12</v>
      </c>
      <c r="D6191" t="s">
        <v>8</v>
      </c>
      <c r="E6191" s="2" t="str">
        <f>HYPERLINK("https://ibp.a2mac1.com/costing(costing:projects/details/8191/part/5389497)","Part 01 single/main/upper")</f>
        <v>Part 01 single/main/upper</v>
      </c>
      <c r="F6191" t="s">
        <v>6627</v>
      </c>
    </row>
    <row r="6192" spans="1:6" ht="12.75">
      <c r="A6192">
        <v>6975957</v>
      </c>
      <c r="B6192">
        <v>5389497</v>
      </c>
      <c r="C6192" t="s">
        <v>99</v>
      </c>
      <c r="D6192" t="s">
        <v>12</v>
      </c>
      <c r="E6192" s="2" t="str">
        <f>HYPERLINK("https://ibp.a2mac1.com/costing(costing:projects/details/8191/process/6975957)","MANUFACTURING  PROCESS")</f>
        <v>MANUFACTURING  PROCESS</v>
      </c>
      <c r="F6192" t="s">
        <v>6628</v>
      </c>
    </row>
    <row r="6193" spans="1:6" ht="12.75">
      <c r="A6193">
        <v>5320428</v>
      </c>
      <c r="B6193">
        <v>6975957</v>
      </c>
      <c r="C6193" t="s">
        <v>24</v>
      </c>
      <c r="D6193" t="s">
        <v>99</v>
      </c>
      <c r="E6193" s="2" t="str">
        <f>HYPERLINK("https://ibp.a2mac1.com/costing(costing:projects/details/8191/material/5320428)","Standard Structural Steel sheet")</f>
        <v>Standard Structural Steel sheet</v>
      </c>
      <c r="F6193" t="s">
        <v>6631</v>
      </c>
    </row>
    <row r="6194" spans="1:6" ht="12.75">
      <c r="A6194">
        <v>6948576</v>
      </c>
      <c r="B6194">
        <v>6975957</v>
      </c>
      <c r="C6194" t="s">
        <v>189</v>
      </c>
      <c r="D6194" t="s">
        <v>99</v>
      </c>
      <c r="E6194" s="2" t="str">
        <f>HYPERLINK("https://ibp.a2mac1.com/costing(costing:projects/details/8191/equipment/6948576)","Manufacturing Equipment")</f>
        <v>Manufacturing Equipment</v>
      </c>
      <c r="F6194" t="s">
        <v>6631</v>
      </c>
    </row>
    <row r="6195" spans="1:6" ht="12.75">
      <c r="A6195">
        <v>5389498</v>
      </c>
      <c r="B6195">
        <v>5389274</v>
      </c>
      <c r="C6195" t="s">
        <v>12</v>
      </c>
      <c r="D6195" t="s">
        <v>8</v>
      </c>
      <c r="E6195" s="2" t="str">
        <f>HYPERLINK("https://ibp.a2mac1.com/costing(costing:projects/details/8191/part/5389498)","Part 02")</f>
        <v>Part 02</v>
      </c>
      <c r="F6195" t="s">
        <v>6627</v>
      </c>
    </row>
    <row r="6196" spans="1:6" ht="12.75">
      <c r="A6196">
        <v>6975958</v>
      </c>
      <c r="B6196">
        <v>5389498</v>
      </c>
      <c r="C6196" t="s">
        <v>99</v>
      </c>
      <c r="D6196" t="s">
        <v>12</v>
      </c>
      <c r="E6196" s="2" t="str">
        <f>HYPERLINK("https://ibp.a2mac1.com/costing(costing:projects/details/8191/process/6975958)","MANUFACTURING  PROCESS")</f>
        <v>MANUFACTURING  PROCESS</v>
      </c>
      <c r="F6196" t="s">
        <v>6632</v>
      </c>
    </row>
    <row r="6197" spans="1:6" ht="12.75">
      <c r="A6197">
        <v>5320429</v>
      </c>
      <c r="B6197">
        <v>6975958</v>
      </c>
      <c r="C6197" t="s">
        <v>24</v>
      </c>
      <c r="D6197" t="s">
        <v>99</v>
      </c>
      <c r="E6197" s="2" t="str">
        <f>HYPERLINK("https://ibp.a2mac1.com/costing(costing:projects/details/8191/material/5320429)","Standard Structural Steel sheet")</f>
        <v>Standard Structural Steel sheet</v>
      </c>
      <c r="F6197" t="s">
        <v>6635</v>
      </c>
    </row>
    <row r="6198" spans="1:6" ht="12.75">
      <c r="A6198">
        <v>6948577</v>
      </c>
      <c r="B6198">
        <v>6975958</v>
      </c>
      <c r="C6198" t="s">
        <v>189</v>
      </c>
      <c r="D6198" t="s">
        <v>99</v>
      </c>
      <c r="E6198" s="2" t="str">
        <f>HYPERLINK("https://ibp.a2mac1.com/costing(costing:projects/details/8191/equipment/6948577)","Manufacturing Equipment")</f>
        <v>Manufacturing Equipment</v>
      </c>
      <c r="F6198" t="s">
        <v>6635</v>
      </c>
    </row>
    <row r="6199" spans="1:6" ht="12.75">
      <c r="A6199">
        <v>5389499</v>
      </c>
      <c r="B6199">
        <v>5389274</v>
      </c>
      <c r="C6199" t="s">
        <v>12</v>
      </c>
      <c r="D6199" t="s">
        <v>8</v>
      </c>
      <c r="E6199" s="2" t="str">
        <f>HYPERLINK("https://ibp.a2mac1.com/costing(costing:projects/details/8191/part/5389499)"," Part 03")</f>
        <v xml:space="preserve"> Part 03</v>
      </c>
      <c r="F6199" t="s">
        <v>6627</v>
      </c>
    </row>
    <row r="6200" spans="1:6" ht="12.75">
      <c r="A6200">
        <v>6975959</v>
      </c>
      <c r="B6200">
        <v>5389499</v>
      </c>
      <c r="C6200" t="s">
        <v>99</v>
      </c>
      <c r="D6200" t="s">
        <v>12</v>
      </c>
      <c r="E6200" s="2" t="str">
        <f>HYPERLINK("https://ibp.a2mac1.com/costing(costing:projects/details/8191/process/6975959)","MANUFACTURING  PROCESS")</f>
        <v>MANUFACTURING  PROCESS</v>
      </c>
      <c r="F6200" t="s">
        <v>6636</v>
      </c>
    </row>
    <row r="6201" spans="1:6" ht="12.75">
      <c r="A6201">
        <v>5320430</v>
      </c>
      <c r="B6201">
        <v>6975959</v>
      </c>
      <c r="C6201" t="s">
        <v>24</v>
      </c>
      <c r="D6201" t="s">
        <v>99</v>
      </c>
      <c r="E6201" s="2" t="str">
        <f>HYPERLINK("https://ibp.a2mac1.com/costing(costing:projects/details/8191/material/5320430)","Standard Structural Steel sheet")</f>
        <v>Standard Structural Steel sheet</v>
      </c>
      <c r="F6201" t="s">
        <v>6639</v>
      </c>
    </row>
    <row r="6202" spans="1:6" ht="12.75">
      <c r="A6202">
        <v>6948578</v>
      </c>
      <c r="B6202">
        <v>6975959</v>
      </c>
      <c r="C6202" t="s">
        <v>189</v>
      </c>
      <c r="D6202" t="s">
        <v>99</v>
      </c>
      <c r="E6202" s="2" t="str">
        <f>HYPERLINK("https://ibp.a2mac1.com/costing(costing:projects/details/8191/equipment/6948578)","Manufacturing Equipment")</f>
        <v>Manufacturing Equipment</v>
      </c>
      <c r="F6202" t="s">
        <v>6639</v>
      </c>
    </row>
    <row r="6203" spans="1:6" ht="12.75">
      <c r="A6203">
        <v>5389500</v>
      </c>
      <c r="B6203">
        <v>5389274</v>
      </c>
      <c r="C6203" t="s">
        <v>12</v>
      </c>
      <c r="D6203" t="s">
        <v>8</v>
      </c>
      <c r="E6203" s="2" t="str">
        <f>HYPERLINK("https://ibp.a2mac1.com/costing(costing:projects/details/8191/part/5389500)","Part 04")</f>
        <v>Part 04</v>
      </c>
      <c r="F6203" t="s">
        <v>6627</v>
      </c>
    </row>
    <row r="6204" spans="1:6" ht="12.75">
      <c r="A6204">
        <v>6975960</v>
      </c>
      <c r="B6204">
        <v>5389500</v>
      </c>
      <c r="C6204" t="s">
        <v>99</v>
      </c>
      <c r="D6204" t="s">
        <v>12</v>
      </c>
      <c r="E6204" s="2" t="str">
        <f>HYPERLINK("https://ibp.a2mac1.com/costing(costing:projects/details/8191/process/6975960)","MANUFACTURING  PROCESS")</f>
        <v>MANUFACTURING  PROCESS</v>
      </c>
      <c r="F6204" t="s">
        <v>6640</v>
      </c>
    </row>
    <row r="6205" spans="1:6" ht="12.75">
      <c r="A6205">
        <v>5320431</v>
      </c>
      <c r="B6205">
        <v>6975960</v>
      </c>
      <c r="C6205" t="s">
        <v>24</v>
      </c>
      <c r="D6205" t="s">
        <v>99</v>
      </c>
      <c r="E6205" s="2" t="str">
        <f>HYPERLINK("https://ibp.a2mac1.com/costing(costing:projects/details/8191/material/5320431)","Standard Structural Steel sheet")</f>
        <v>Standard Structural Steel sheet</v>
      </c>
      <c r="F6205" t="s">
        <v>6642</v>
      </c>
    </row>
    <row r="6206" spans="1:6" ht="12.75">
      <c r="A6206">
        <v>6948579</v>
      </c>
      <c r="B6206">
        <v>6975960</v>
      </c>
      <c r="C6206" t="s">
        <v>189</v>
      </c>
      <c r="D6206" t="s">
        <v>99</v>
      </c>
      <c r="E6206" s="2" t="str">
        <f>HYPERLINK("https://ibp.a2mac1.com/costing(costing:projects/details/8191/equipment/6948579)","Manufacturing Equipment")</f>
        <v>Manufacturing Equipment</v>
      </c>
      <c r="F6206" t="s">
        <v>6642</v>
      </c>
    </row>
    <row r="6207" spans="1:6" ht="12.75">
      <c r="A6207">
        <v>5389275</v>
      </c>
      <c r="B6207">
        <v>5388949</v>
      </c>
      <c r="C6207" t="s">
        <v>8</v>
      </c>
      <c r="D6207" t="s">
        <v>8</v>
      </c>
      <c r="E6207" s="2" t="str">
        <f>HYPERLINK("https://ibp.a2mac1.com/costing(costing:projects/details/8191/assembly/5389275)","Reinforcements")</f>
        <v>Reinforcements</v>
      </c>
      <c r="F6207" t="s">
        <v>6609</v>
      </c>
    </row>
    <row r="6208" spans="1:6" ht="12.75">
      <c r="A6208">
        <v>5389501</v>
      </c>
      <c r="B6208">
        <v>5389275</v>
      </c>
      <c r="C6208" t="s">
        <v>12</v>
      </c>
      <c r="D6208" t="s">
        <v>8</v>
      </c>
      <c r="E6208" s="2" t="str">
        <f>HYPERLINK("https://ibp.a2mac1.com/costing(costing:projects/details/8191/part/5389501)","Part 01 single/main")</f>
        <v>Part 01 single/main</v>
      </c>
      <c r="F6208" t="s">
        <v>6643</v>
      </c>
    </row>
    <row r="6209" spans="1:6" ht="12.75">
      <c r="A6209">
        <v>6975961</v>
      </c>
      <c r="B6209">
        <v>5389501</v>
      </c>
      <c r="C6209" t="s">
        <v>99</v>
      </c>
      <c r="D6209" t="s">
        <v>12</v>
      </c>
      <c r="E6209" s="2" t="str">
        <f>HYPERLINK("https://ibp.a2mac1.com/costing(costing:projects/details/8191/process/6975961)","MANUFACTURING  PROCESS")</f>
        <v>MANUFACTURING  PROCESS</v>
      </c>
      <c r="F6209" t="s">
        <v>6644</v>
      </c>
    </row>
    <row r="6210" spans="1:6" ht="12.75">
      <c r="A6210">
        <v>5320432</v>
      </c>
      <c r="B6210">
        <v>6975961</v>
      </c>
      <c r="C6210" t="s">
        <v>24</v>
      </c>
      <c r="D6210" t="s">
        <v>99</v>
      </c>
      <c r="E6210" s="2" t="str">
        <f>HYPERLINK("https://ibp.a2mac1.com/costing(costing:projects/details/8191/material/5320432)","Standard Structural Steel sheet")</f>
        <v>Standard Structural Steel sheet</v>
      </c>
      <c r="F6210" t="s">
        <v>6646</v>
      </c>
    </row>
    <row r="6211" spans="1:6" ht="12.75">
      <c r="A6211">
        <v>6948580</v>
      </c>
      <c r="B6211">
        <v>6975961</v>
      </c>
      <c r="C6211" t="s">
        <v>189</v>
      </c>
      <c r="D6211" t="s">
        <v>99</v>
      </c>
      <c r="E6211" s="2" t="str">
        <f>HYPERLINK("https://ibp.a2mac1.com/costing(costing:projects/details/8191/equipment/6948580)","Manufacturing Equipment")</f>
        <v>Manufacturing Equipment</v>
      </c>
      <c r="F6211" t="s">
        <v>6646</v>
      </c>
    </row>
    <row r="6212" spans="1:6" ht="12.75">
      <c r="A6212">
        <v>5389276</v>
      </c>
      <c r="B6212">
        <v>5388949</v>
      </c>
      <c r="C6212" t="s">
        <v>8</v>
      </c>
      <c r="D6212" t="s">
        <v>8</v>
      </c>
      <c r="E6212" s="2" t="str">
        <f>HYPERLINK("https://ibp.a2mac1.com/costing(costing:projects/details/8191/assembly/5389276)","Spacers")</f>
        <v>Spacers</v>
      </c>
      <c r="F6212" t="s">
        <v>6609</v>
      </c>
    </row>
    <row r="6213" spans="1:6" ht="12.75">
      <c r="A6213">
        <v>5389502</v>
      </c>
      <c r="B6213">
        <v>5389276</v>
      </c>
      <c r="C6213" t="s">
        <v>12</v>
      </c>
      <c r="D6213" t="s">
        <v>8</v>
      </c>
      <c r="E6213" s="2" t="str">
        <f>HYPERLINK("https://ibp.a2mac1.com/costing(costing:projects/details/8191/part/5389502)","Part 01 single/main")</f>
        <v>Part 01 single/main</v>
      </c>
      <c r="F6213" t="s">
        <v>6647</v>
      </c>
    </row>
    <row r="6214" spans="1:6" ht="12.75">
      <c r="A6214">
        <v>6975962</v>
      </c>
      <c r="B6214">
        <v>5389502</v>
      </c>
      <c r="C6214" t="s">
        <v>99</v>
      </c>
      <c r="D6214" t="s">
        <v>12</v>
      </c>
      <c r="E6214" s="2" t="str">
        <f>HYPERLINK("https://ibp.a2mac1.com/costing(costing:projects/details/8191/process/6975962)","MANUFACTURING  PROCESS")</f>
        <v>MANUFACTURING  PROCESS</v>
      </c>
      <c r="F6214" t="s">
        <v>6648</v>
      </c>
    </row>
    <row r="6215" spans="1:6" ht="12.75">
      <c r="A6215">
        <v>5320433</v>
      </c>
      <c r="B6215">
        <v>6975962</v>
      </c>
      <c r="C6215" t="s">
        <v>24</v>
      </c>
      <c r="D6215" t="s">
        <v>99</v>
      </c>
      <c r="E6215" s="2" t="str">
        <f>HYPERLINK("https://ibp.a2mac1.com/costing(costing:projects/details/8191/material/5320433)","Standard Structural Steel sheet")</f>
        <v>Standard Structural Steel sheet</v>
      </c>
      <c r="F6215" t="s">
        <v>6650</v>
      </c>
    </row>
    <row r="6216" spans="1:6" ht="12.75">
      <c r="A6216">
        <v>6948581</v>
      </c>
      <c r="B6216">
        <v>6975962</v>
      </c>
      <c r="C6216" t="s">
        <v>189</v>
      </c>
      <c r="D6216" t="s">
        <v>99</v>
      </c>
      <c r="E6216" s="2" t="str">
        <f>HYPERLINK("https://ibp.a2mac1.com/costing(costing:projects/details/8191/equipment/6948581)","Manufacturing Equipment")</f>
        <v>Manufacturing Equipment</v>
      </c>
      <c r="F6216" t="s">
        <v>6650</v>
      </c>
    </row>
    <row r="6217" spans="1:6" ht="12.75">
      <c r="A6217">
        <v>5389277</v>
      </c>
      <c r="B6217">
        <v>5388949</v>
      </c>
      <c r="C6217" t="s">
        <v>8</v>
      </c>
      <c r="D6217" t="s">
        <v>8</v>
      </c>
      <c r="E6217" s="2" t="str">
        <f>HYPERLINK("https://ibp.a2mac1.com/costing(costing:projects/details/8191/assembly/5389277)","Fixing parts")</f>
        <v>Fixing parts</v>
      </c>
      <c r="F6217" t="s">
        <v>6609</v>
      </c>
    </row>
    <row r="6218" spans="1:6" ht="12.75">
      <c r="A6218">
        <v>5389503</v>
      </c>
      <c r="B6218">
        <v>5389277</v>
      </c>
      <c r="C6218" t="s">
        <v>12</v>
      </c>
      <c r="D6218" t="s">
        <v>8</v>
      </c>
      <c r="E6218" s="2" t="str">
        <f>HYPERLINK("https://ibp.a2mac1.com/costing(costing:projects/details/8191/part/5389503)","Part 01 single/main")</f>
        <v>Part 01 single/main</v>
      </c>
      <c r="F6218" t="s">
        <v>6651</v>
      </c>
    </row>
    <row r="6219" spans="1:6" ht="12.75">
      <c r="A6219">
        <v>6975963</v>
      </c>
      <c r="B6219">
        <v>5389503</v>
      </c>
      <c r="C6219" t="s">
        <v>99</v>
      </c>
      <c r="D6219" t="s">
        <v>12</v>
      </c>
      <c r="E6219" s="2" t="str">
        <f>HYPERLINK("https://ibp.a2mac1.com/costing(costing:projects/details/8191/process/6975963)","MANUFACTURING  PROCESS")</f>
        <v>MANUFACTURING  PROCESS</v>
      </c>
      <c r="F6219" t="s">
        <v>6652</v>
      </c>
    </row>
    <row r="6220" spans="1:6" ht="12.75">
      <c r="A6220">
        <v>5320434</v>
      </c>
      <c r="B6220">
        <v>6975963</v>
      </c>
      <c r="C6220" t="s">
        <v>24</v>
      </c>
      <c r="D6220" t="s">
        <v>99</v>
      </c>
      <c r="E6220" s="2" t="str">
        <f>HYPERLINK("https://ibp.a2mac1.com/costing(costing:projects/details/8191/material/5320434)","Standard Structural Steel sheet")</f>
        <v>Standard Structural Steel sheet</v>
      </c>
      <c r="F6220" t="s">
        <v>6654</v>
      </c>
    </row>
    <row r="6221" spans="1:6" ht="12.75">
      <c r="A6221">
        <v>6948582</v>
      </c>
      <c r="B6221">
        <v>6975963</v>
      </c>
      <c r="C6221" t="s">
        <v>189</v>
      </c>
      <c r="D6221" t="s">
        <v>99</v>
      </c>
      <c r="E6221" s="2" t="str">
        <f>HYPERLINK("https://ibp.a2mac1.com/costing(costing:projects/details/8191/equipment/6948582)","Manufacturing Equipment")</f>
        <v>Manufacturing Equipment</v>
      </c>
      <c r="F6221" t="s">
        <v>6654</v>
      </c>
    </row>
    <row r="6222" spans="1:6" ht="12.75">
      <c r="A6222">
        <v>5389504</v>
      </c>
      <c r="B6222">
        <v>5389277</v>
      </c>
      <c r="C6222" t="s">
        <v>12</v>
      </c>
      <c r="D6222" t="s">
        <v>8</v>
      </c>
      <c r="E6222" s="2" t="str">
        <f>HYPERLINK("https://ibp.a2mac1.com/costing(costing:projects/details/8191/part/5389504)","Part 02")</f>
        <v>Part 02</v>
      </c>
      <c r="F6222" t="s">
        <v>6651</v>
      </c>
    </row>
    <row r="6223" spans="1:6" ht="12.75">
      <c r="A6223">
        <v>6975964</v>
      </c>
      <c r="B6223">
        <v>5389504</v>
      </c>
      <c r="C6223" t="s">
        <v>99</v>
      </c>
      <c r="D6223" t="s">
        <v>12</v>
      </c>
      <c r="E6223" s="2" t="str">
        <f>HYPERLINK("https://ibp.a2mac1.com/costing(costing:projects/details/8191/process/6975964)","MANUFACTURING  PROCESS")</f>
        <v>MANUFACTURING  PROCESS</v>
      </c>
      <c r="F6223" t="s">
        <v>6655</v>
      </c>
    </row>
    <row r="6224" spans="1:6" ht="12.75">
      <c r="A6224">
        <v>5320435</v>
      </c>
      <c r="B6224">
        <v>6975964</v>
      </c>
      <c r="C6224" t="s">
        <v>24</v>
      </c>
      <c r="D6224" t="s">
        <v>99</v>
      </c>
      <c r="E6224" s="2" t="str">
        <f>HYPERLINK("https://ibp.a2mac1.com/costing(costing:projects/details/8191/material/5320435)","Standard Structural Steel sheet")</f>
        <v>Standard Structural Steel sheet</v>
      </c>
      <c r="F6224" t="s">
        <v>6657</v>
      </c>
    </row>
    <row r="6225" spans="1:6" ht="12.75">
      <c r="A6225">
        <v>6948583</v>
      </c>
      <c r="B6225">
        <v>6975964</v>
      </c>
      <c r="C6225" t="s">
        <v>189</v>
      </c>
      <c r="D6225" t="s">
        <v>99</v>
      </c>
      <c r="E6225" s="2" t="str">
        <f>HYPERLINK("https://ibp.a2mac1.com/costing(costing:projects/details/8191/equipment/6948583)","Manufacturing Equipment")</f>
        <v>Manufacturing Equipment</v>
      </c>
      <c r="F6225" t="s">
        <v>6657</v>
      </c>
    </row>
    <row r="6226" spans="1:6" ht="12.75">
      <c r="A6226">
        <v>5388950</v>
      </c>
      <c r="B6226">
        <v>5388632</v>
      </c>
      <c r="C6226" t="s">
        <v>8</v>
      </c>
      <c r="D6226" t="s">
        <v>8</v>
      </c>
      <c r="E6226" s="2" t="str">
        <f>HYPERLINK("https://ibp.a2mac1.com/costing(costing:projects/details/8191/assembly/5388950)","Outer shotgun assy")</f>
        <v>Outer shotgun assy</v>
      </c>
      <c r="F6226" t="s">
        <v>6476</v>
      </c>
    </row>
    <row r="6227" spans="1:6" ht="12.75">
      <c r="A6227">
        <v>5389278</v>
      </c>
      <c r="B6227">
        <v>5388950</v>
      </c>
      <c r="C6227" t="s">
        <v>8</v>
      </c>
      <c r="D6227" t="s">
        <v>8</v>
      </c>
      <c r="E6227" s="2" t="str">
        <f>HYPERLINK("https://ibp.a2mac1.com/costing(costing:projects/details/8191/assembly/5389278)","Frame")</f>
        <v>Frame</v>
      </c>
      <c r="F6227" t="s">
        <v>6658</v>
      </c>
    </row>
    <row r="6228" spans="1:6" ht="12.75">
      <c r="A6228">
        <v>5389505</v>
      </c>
      <c r="B6228">
        <v>5389278</v>
      </c>
      <c r="C6228" t="s">
        <v>12</v>
      </c>
      <c r="D6228" t="s">
        <v>8</v>
      </c>
      <c r="E6228" s="2" t="str">
        <f>HYPERLINK("https://ibp.a2mac1.com/costing(costing:projects/details/8191/part/5389505)","Part 01 single/main/front")</f>
        <v>Part 01 single/main/front</v>
      </c>
      <c r="F6228" t="s">
        <v>6659</v>
      </c>
    </row>
    <row r="6229" spans="1:6" ht="12.75">
      <c r="A6229">
        <v>6975965</v>
      </c>
      <c r="B6229">
        <v>5389505</v>
      </c>
      <c r="C6229" t="s">
        <v>99</v>
      </c>
      <c r="D6229" t="s">
        <v>12</v>
      </c>
      <c r="E6229" s="2" t="str">
        <f>HYPERLINK("https://ibp.a2mac1.com/costing(costing:projects/details/8191/process/6975965)","MANUFACTURING  PROCESS")</f>
        <v>MANUFACTURING  PROCESS</v>
      </c>
      <c r="F6229" t="s">
        <v>6660</v>
      </c>
    </row>
    <row r="6230" spans="1:6" ht="12.75">
      <c r="A6230">
        <v>5320436</v>
      </c>
      <c r="B6230">
        <v>6975965</v>
      </c>
      <c r="C6230" t="s">
        <v>24</v>
      </c>
      <c r="D6230" t="s">
        <v>99</v>
      </c>
      <c r="E6230" s="2" t="str">
        <f>HYPERLINK("https://ibp.a2mac1.com/costing(costing:projects/details/8191/material/5320436)","Standard Structural Steel sheet")</f>
        <v>Standard Structural Steel sheet</v>
      </c>
      <c r="F6230" t="s">
        <v>6663</v>
      </c>
    </row>
    <row r="6231" spans="1:6" ht="12.75">
      <c r="A6231">
        <v>6948584</v>
      </c>
      <c r="B6231">
        <v>6975965</v>
      </c>
      <c r="C6231" t="s">
        <v>189</v>
      </c>
      <c r="D6231" t="s">
        <v>99</v>
      </c>
      <c r="E6231" s="2" t="str">
        <f>HYPERLINK("https://ibp.a2mac1.com/costing(costing:projects/details/8191/equipment/6948584)","Manufacturing Equipment")</f>
        <v>Manufacturing Equipment</v>
      </c>
      <c r="F6231" t="s">
        <v>6663</v>
      </c>
    </row>
    <row r="6232" spans="1:6" ht="12.75">
      <c r="A6232">
        <v>5389279</v>
      </c>
      <c r="B6232">
        <v>5388950</v>
      </c>
      <c r="C6232" t="s">
        <v>8</v>
      </c>
      <c r="D6232" t="s">
        <v>8</v>
      </c>
      <c r="E6232" s="2" t="str">
        <f>HYPERLINK("https://ibp.a2mac1.com/costing(costing:projects/details/8191/assembly/5389279)","Fixing parts")</f>
        <v>Fixing parts</v>
      </c>
      <c r="F6232" t="s">
        <v>6658</v>
      </c>
    </row>
    <row r="6233" spans="1:6" ht="12.75">
      <c r="A6233">
        <v>5389506</v>
      </c>
      <c r="B6233">
        <v>5389279</v>
      </c>
      <c r="C6233" t="s">
        <v>12</v>
      </c>
      <c r="D6233" t="s">
        <v>8</v>
      </c>
      <c r="E6233" s="2" t="str">
        <f>HYPERLINK("https://ibp.a2mac1.com/costing(costing:projects/details/8191/part/5389506)","Part 01 single/main")</f>
        <v>Part 01 single/main</v>
      </c>
      <c r="F6233" t="s">
        <v>6664</v>
      </c>
    </row>
    <row r="6234" spans="1:6" ht="12.75">
      <c r="A6234">
        <v>6975966</v>
      </c>
      <c r="B6234">
        <v>5389506</v>
      </c>
      <c r="C6234" t="s">
        <v>99</v>
      </c>
      <c r="D6234" t="s">
        <v>12</v>
      </c>
      <c r="E6234" s="2" t="str">
        <f>HYPERLINK("https://ibp.a2mac1.com/costing(costing:projects/details/8191/process/6975966)","MANUFACTURING  PROCESS")</f>
        <v>MANUFACTURING  PROCESS</v>
      </c>
      <c r="F6234" t="s">
        <v>6665</v>
      </c>
    </row>
    <row r="6235" spans="1:6" ht="12.75">
      <c r="A6235">
        <v>5320437</v>
      </c>
      <c r="B6235">
        <v>6975966</v>
      </c>
      <c r="C6235" t="s">
        <v>24</v>
      </c>
      <c r="D6235" t="s">
        <v>99</v>
      </c>
      <c r="E6235" s="2" t="str">
        <f>HYPERLINK("https://ibp.a2mac1.com/costing(costing:projects/details/8191/material/5320437)","Standard Structural Steel sheet")</f>
        <v>Standard Structural Steel sheet</v>
      </c>
      <c r="F6235" t="s">
        <v>6667</v>
      </c>
    </row>
    <row r="6236" spans="1:6" ht="12.75">
      <c r="A6236">
        <v>6948585</v>
      </c>
      <c r="B6236">
        <v>6975966</v>
      </c>
      <c r="C6236" t="s">
        <v>189</v>
      </c>
      <c r="D6236" t="s">
        <v>99</v>
      </c>
      <c r="E6236" s="2" t="str">
        <f>HYPERLINK("https://ibp.a2mac1.com/costing(costing:projects/details/8191/equipment/6948585)","Manufacturing Equipment")</f>
        <v>Manufacturing Equipment</v>
      </c>
      <c r="F6236" t="s">
        <v>6667</v>
      </c>
    </row>
    <row r="6237" spans="1:6" ht="12.75">
      <c r="A6237">
        <v>5389507</v>
      </c>
      <c r="B6237">
        <v>5389279</v>
      </c>
      <c r="C6237" t="s">
        <v>12</v>
      </c>
      <c r="D6237" t="s">
        <v>8</v>
      </c>
      <c r="E6237" s="2" t="str">
        <f>HYPERLINK("https://ibp.a2mac1.com/costing(costing:projects/details/8191/part/5389507)","Part 02")</f>
        <v>Part 02</v>
      </c>
      <c r="F6237" t="s">
        <v>6664</v>
      </c>
    </row>
    <row r="6238" spans="1:6" ht="12.75">
      <c r="A6238">
        <v>6975967</v>
      </c>
      <c r="B6238">
        <v>5389507</v>
      </c>
      <c r="C6238" t="s">
        <v>99</v>
      </c>
      <c r="D6238" t="s">
        <v>12</v>
      </c>
      <c r="E6238" s="2" t="str">
        <f>HYPERLINK("https://ibp.a2mac1.com/costing(costing:projects/details/8191/process/6975967)","MANUFACTURING  PROCESS")</f>
        <v>MANUFACTURING  PROCESS</v>
      </c>
      <c r="F6238" t="s">
        <v>6668</v>
      </c>
    </row>
    <row r="6239" spans="1:6" ht="12.75">
      <c r="A6239">
        <v>5320438</v>
      </c>
      <c r="B6239">
        <v>6975967</v>
      </c>
      <c r="C6239" t="s">
        <v>24</v>
      </c>
      <c r="D6239" t="s">
        <v>99</v>
      </c>
      <c r="E6239" s="2" t="str">
        <f>HYPERLINK("https://ibp.a2mac1.com/costing(costing:projects/details/8191/material/5320438)","Standard Structural Steel sheet")</f>
        <v>Standard Structural Steel sheet</v>
      </c>
      <c r="F6239" t="s">
        <v>6669</v>
      </c>
    </row>
    <row r="6240" spans="1:6" ht="12.75">
      <c r="A6240">
        <v>6948586</v>
      </c>
      <c r="B6240">
        <v>6975967</v>
      </c>
      <c r="C6240" t="s">
        <v>189</v>
      </c>
      <c r="D6240" t="s">
        <v>99</v>
      </c>
      <c r="E6240" s="2" t="str">
        <f>HYPERLINK("https://ibp.a2mac1.com/costing(costing:projects/details/8191/equipment/6948586)","Manufacturing Equipment")</f>
        <v>Manufacturing Equipment</v>
      </c>
      <c r="F6240" t="s">
        <v>6669</v>
      </c>
    </row>
    <row r="6241" spans="1:6" ht="12.75">
      <c r="A6241">
        <v>5388951</v>
      </c>
      <c r="B6241">
        <v>5388632</v>
      </c>
      <c r="C6241" t="s">
        <v>8</v>
      </c>
      <c r="D6241" t="s">
        <v>8</v>
      </c>
      <c r="E6241" s="2" t="str">
        <f>HYPERLINK("https://ibp.a2mac1.com/costing(costing:projects/details/8191/assembly/5388951)","Rocker outer frame")</f>
        <v>Rocker outer frame</v>
      </c>
      <c r="F6241" t="s">
        <v>6476</v>
      </c>
    </row>
    <row r="6242" spans="1:6" ht="12.75">
      <c r="A6242">
        <v>5389280</v>
      </c>
      <c r="B6242">
        <v>5388951</v>
      </c>
      <c r="C6242" t="s">
        <v>8</v>
      </c>
      <c r="D6242" t="s">
        <v>8</v>
      </c>
      <c r="E6242" s="2" t="str">
        <f>HYPERLINK("https://ibp.a2mac1.com/costing(costing:projects/details/8191/assembly/5389280)","Frame")</f>
        <v>Frame</v>
      </c>
      <c r="F6242" t="s">
        <v>6670</v>
      </c>
    </row>
    <row r="6243" spans="1:6" ht="12.75">
      <c r="A6243">
        <v>5389508</v>
      </c>
      <c r="B6243">
        <v>5389280</v>
      </c>
      <c r="C6243" t="s">
        <v>12</v>
      </c>
      <c r="D6243" t="s">
        <v>8</v>
      </c>
      <c r="E6243" s="2" t="str">
        <f>HYPERLINK("https://ibp.a2mac1.com/costing(costing:projects/details/8191/part/5389508)","Part 01 single/main")</f>
        <v>Part 01 single/main</v>
      </c>
      <c r="F6243" t="s">
        <v>6671</v>
      </c>
    </row>
    <row r="6244" spans="1:6" ht="12.75">
      <c r="A6244">
        <v>6975968</v>
      </c>
      <c r="B6244">
        <v>5389508</v>
      </c>
      <c r="C6244" t="s">
        <v>99</v>
      </c>
      <c r="D6244" t="s">
        <v>12</v>
      </c>
      <c r="E6244" s="2" t="str">
        <f>HYPERLINK("https://ibp.a2mac1.com/costing(costing:projects/details/8191/process/6975968)","MANUFACTURING  PROCESS")</f>
        <v>MANUFACTURING  PROCESS</v>
      </c>
      <c r="F6244" t="s">
        <v>6672</v>
      </c>
    </row>
    <row r="6245" spans="1:6" ht="12.75">
      <c r="A6245">
        <v>5320439</v>
      </c>
      <c r="B6245">
        <v>6975968</v>
      </c>
      <c r="C6245" t="s">
        <v>24</v>
      </c>
      <c r="D6245" t="s">
        <v>99</v>
      </c>
      <c r="E6245" s="2" t="str">
        <f>HYPERLINK("https://ibp.a2mac1.com/costing(costing:projects/details/8191/material/5320439)","Steel sheet (Hot Forming Steel)")</f>
        <v>Steel sheet (Hot Forming Steel)</v>
      </c>
      <c r="F6245" t="s">
        <v>6675</v>
      </c>
    </row>
    <row r="6246" spans="1:6" ht="12.75">
      <c r="A6246">
        <v>6948587</v>
      </c>
      <c r="B6246">
        <v>6975968</v>
      </c>
      <c r="C6246" t="s">
        <v>189</v>
      </c>
      <c r="D6246" t="s">
        <v>99</v>
      </c>
      <c r="E6246" s="2" t="str">
        <f>HYPERLINK("https://ibp.a2mac1.com/costing(costing:projects/details/8191/equipment/6948587)","Manufacturing Equipment")</f>
        <v>Manufacturing Equipment</v>
      </c>
      <c r="F6246" t="s">
        <v>6675</v>
      </c>
    </row>
    <row r="6247" spans="1:6" ht="12.75">
      <c r="A6247">
        <v>5389509</v>
      </c>
      <c r="B6247">
        <v>5389280</v>
      </c>
      <c r="C6247" t="s">
        <v>12</v>
      </c>
      <c r="D6247" t="s">
        <v>8</v>
      </c>
      <c r="E6247" s="2" t="str">
        <f>HYPERLINK("https://ibp.a2mac1.com/costing(costing:projects/details/8191/part/5389509)","Part 03 rear")</f>
        <v>Part 03 rear</v>
      </c>
      <c r="F6247" t="s">
        <v>6671</v>
      </c>
    </row>
    <row r="6248" spans="1:6" ht="12.75">
      <c r="A6248">
        <v>6975969</v>
      </c>
      <c r="B6248">
        <v>5389509</v>
      </c>
      <c r="C6248" t="s">
        <v>99</v>
      </c>
      <c r="D6248" t="s">
        <v>12</v>
      </c>
      <c r="E6248" s="2" t="str">
        <f>HYPERLINK("https://ibp.a2mac1.com/costing(costing:projects/details/8191/process/6975969)","MANUFACTURING  PROCESS")</f>
        <v>MANUFACTURING  PROCESS</v>
      </c>
      <c r="F6248" t="s">
        <v>6676</v>
      </c>
    </row>
    <row r="6249" spans="1:6" ht="12.75">
      <c r="A6249">
        <v>5320440</v>
      </c>
      <c r="B6249">
        <v>6975969</v>
      </c>
      <c r="C6249" t="s">
        <v>24</v>
      </c>
      <c r="D6249" t="s">
        <v>99</v>
      </c>
      <c r="E6249" s="2" t="str">
        <f>HYPERLINK("https://ibp.a2mac1.com/costing(costing:projects/details/8191/material/5320440)","Standard Structural Steel sheet")</f>
        <v>Standard Structural Steel sheet</v>
      </c>
      <c r="F6249" t="s">
        <v>6678</v>
      </c>
    </row>
    <row r="6250" spans="1:6" ht="12.75">
      <c r="A6250">
        <v>6948588</v>
      </c>
      <c r="B6250">
        <v>6975969</v>
      </c>
      <c r="C6250" t="s">
        <v>189</v>
      </c>
      <c r="D6250" t="s">
        <v>99</v>
      </c>
      <c r="E6250" s="2" t="str">
        <f>HYPERLINK("https://ibp.a2mac1.com/costing(costing:projects/details/8191/equipment/6948588)","Manufacturing Equipment")</f>
        <v>Manufacturing Equipment</v>
      </c>
      <c r="F6250" t="s">
        <v>6678</v>
      </c>
    </row>
    <row r="6251" spans="1:6" ht="12.75">
      <c r="A6251">
        <v>5389281</v>
      </c>
      <c r="B6251">
        <v>5388951</v>
      </c>
      <c r="C6251" t="s">
        <v>8</v>
      </c>
      <c r="D6251" t="s">
        <v>8</v>
      </c>
      <c r="E6251" s="2" t="str">
        <f>HYPERLINK("https://ibp.a2mac1.com/costing(costing:projects/details/8191/assembly/5389281)","Fixing parts")</f>
        <v>Fixing parts</v>
      </c>
      <c r="F6251" t="s">
        <v>6670</v>
      </c>
    </row>
    <row r="6252" spans="1:6" ht="12.75">
      <c r="A6252">
        <v>5389510</v>
      </c>
      <c r="B6252">
        <v>5389281</v>
      </c>
      <c r="C6252" t="s">
        <v>12</v>
      </c>
      <c r="D6252" t="s">
        <v>8</v>
      </c>
      <c r="E6252" s="2" t="str">
        <f>HYPERLINK("https://ibp.a2mac1.com/costing(costing:projects/details/8191/part/5389510)","Part 01 single/main")</f>
        <v>Part 01 single/main</v>
      </c>
      <c r="F6252" t="s">
        <v>6679</v>
      </c>
    </row>
    <row r="6253" spans="1:6" ht="12.75">
      <c r="A6253">
        <v>6975970</v>
      </c>
      <c r="B6253">
        <v>5389510</v>
      </c>
      <c r="C6253" t="s">
        <v>99</v>
      </c>
      <c r="D6253" t="s">
        <v>12</v>
      </c>
      <c r="E6253" s="2" t="str">
        <f>HYPERLINK("https://ibp.a2mac1.com/costing(costing:projects/details/8191/process/6975970)","MANUFACTURING  PROCESS")</f>
        <v>MANUFACTURING  PROCESS</v>
      </c>
      <c r="F6253" t="s">
        <v>6680</v>
      </c>
    </row>
    <row r="6254" spans="1:6" ht="12.75">
      <c r="A6254">
        <v>5320441</v>
      </c>
      <c r="B6254">
        <v>6975970</v>
      </c>
      <c r="C6254" t="s">
        <v>24</v>
      </c>
      <c r="D6254" t="s">
        <v>99</v>
      </c>
      <c r="E6254" s="2" t="str">
        <f>HYPERLINK("https://ibp.a2mac1.com/costing(costing:projects/details/8191/material/5320441)","Standard Structural Steel sheet")</f>
        <v>Standard Structural Steel sheet</v>
      </c>
      <c r="F6254" t="s">
        <v>6683</v>
      </c>
    </row>
    <row r="6255" spans="1:6" ht="12.75">
      <c r="A6255">
        <v>6948589</v>
      </c>
      <c r="B6255">
        <v>6975970</v>
      </c>
      <c r="C6255" t="s">
        <v>189</v>
      </c>
      <c r="D6255" t="s">
        <v>99</v>
      </c>
      <c r="E6255" s="2" t="str">
        <f>HYPERLINK("https://ibp.a2mac1.com/costing(costing:projects/details/8191/equipment/6948589)","Manufacturing Equipment")</f>
        <v>Manufacturing Equipment</v>
      </c>
      <c r="F6255" t="s">
        <v>6683</v>
      </c>
    </row>
    <row r="6256" spans="1:6" ht="12.75">
      <c r="A6256">
        <v>5389511</v>
      </c>
      <c r="B6256">
        <v>5389281</v>
      </c>
      <c r="C6256" t="s">
        <v>12</v>
      </c>
      <c r="D6256" t="s">
        <v>8</v>
      </c>
      <c r="E6256" s="2" t="str">
        <f>HYPERLINK("https://ibp.a2mac1.com/costing(costing:projects/details/8191/part/5389511)","Part 02")</f>
        <v>Part 02</v>
      </c>
      <c r="F6256" t="s">
        <v>6679</v>
      </c>
    </row>
    <row r="6257" spans="1:6" ht="12.75">
      <c r="A6257">
        <v>6975971</v>
      </c>
      <c r="B6257">
        <v>5389511</v>
      </c>
      <c r="C6257" t="s">
        <v>99</v>
      </c>
      <c r="D6257" t="s">
        <v>12</v>
      </c>
      <c r="E6257" s="2" t="str">
        <f>HYPERLINK("https://ibp.a2mac1.com/costing(costing:projects/details/8191/process/6975971)","MANUFACTURING  PROCESS")</f>
        <v>MANUFACTURING  PROCESS</v>
      </c>
      <c r="F6257" t="s">
        <v>6684</v>
      </c>
    </row>
    <row r="6258" spans="1:6" ht="12.75">
      <c r="A6258">
        <v>5320442</v>
      </c>
      <c r="B6258">
        <v>6975971</v>
      </c>
      <c r="C6258" t="s">
        <v>24</v>
      </c>
      <c r="D6258" t="s">
        <v>99</v>
      </c>
      <c r="E6258" s="2" t="str">
        <f>HYPERLINK("https://ibp.a2mac1.com/costing(costing:projects/details/8191/material/5320442)","Standard Structural Steel sheet")</f>
        <v>Standard Structural Steel sheet</v>
      </c>
      <c r="F6258" t="s">
        <v>6685</v>
      </c>
    </row>
    <row r="6259" spans="1:6" ht="12.75">
      <c r="A6259">
        <v>6948590</v>
      </c>
      <c r="B6259">
        <v>6975971</v>
      </c>
      <c r="C6259" t="s">
        <v>189</v>
      </c>
      <c r="D6259" t="s">
        <v>99</v>
      </c>
      <c r="E6259" s="2" t="str">
        <f>HYPERLINK("https://ibp.a2mac1.com/costing(costing:projects/details/8191/equipment/6948590)","Manufacturing Equipment")</f>
        <v>Manufacturing Equipment</v>
      </c>
      <c r="F6259" t="s">
        <v>6685</v>
      </c>
    </row>
    <row r="6260" spans="1:6" ht="12.75">
      <c r="A6260">
        <v>5388293</v>
      </c>
      <c r="B6260">
        <v>5388155</v>
      </c>
      <c r="C6260" t="s">
        <v>8</v>
      </c>
      <c r="D6260" t="s">
        <v>8</v>
      </c>
      <c r="E6260" s="2" t="str">
        <f>HYPERLINK("https://ibp.a2mac1.com/costing(costing:projects/details/8191/assembly/5388293)","Underbody")</f>
        <v>Underbody</v>
      </c>
      <c r="F6260" t="s">
        <v>6344</v>
      </c>
    </row>
    <row r="6261" spans="1:6" ht="12.75">
      <c r="A6261">
        <v>5388633</v>
      </c>
      <c r="B6261">
        <v>5388293</v>
      </c>
      <c r="C6261" t="s">
        <v>8</v>
      </c>
      <c r="D6261" t="s">
        <v>8</v>
      </c>
      <c r="E6261" s="2" t="str">
        <f>HYPERLINK("https://ibp.a2mac1.com/costing(costing:projects/details/8191/assembly/5388633)","Front unit")</f>
        <v>Front unit</v>
      </c>
      <c r="F6261" t="s">
        <v>6686</v>
      </c>
    </row>
    <row r="6262" spans="1:6" ht="12.75">
      <c r="A6262">
        <v>5388952</v>
      </c>
      <c r="B6262">
        <v>5388633</v>
      </c>
      <c r="C6262" t="s">
        <v>8</v>
      </c>
      <c r="D6262" t="s">
        <v>8</v>
      </c>
      <c r="E6262" s="2" t="str">
        <f>HYPERLINK("https://ibp.a2mac1.com/costing(costing:projects/details/8191/assembly/5388952)","Front wheel shroud assy")</f>
        <v>Front wheel shroud assy</v>
      </c>
      <c r="F6262" t="s">
        <v>6687</v>
      </c>
    </row>
    <row r="6263" spans="1:6" ht="12.75">
      <c r="A6263">
        <v>5389282</v>
      </c>
      <c r="B6263">
        <v>5388952</v>
      </c>
      <c r="C6263" t="s">
        <v>8</v>
      </c>
      <c r="D6263" t="s">
        <v>8</v>
      </c>
      <c r="E6263" s="2" t="str">
        <f>HYPERLINK("https://ibp.a2mac1.com/costing(costing:projects/details/8191/assembly/5389282)","Inner shotgun assy")</f>
        <v>Inner shotgun assy</v>
      </c>
      <c r="F6263" t="s">
        <v>6688</v>
      </c>
    </row>
    <row r="6264" spans="1:6" ht="12.75">
      <c r="A6264">
        <v>5389512</v>
      </c>
      <c r="B6264">
        <v>5389282</v>
      </c>
      <c r="C6264" t="s">
        <v>8</v>
      </c>
      <c r="D6264" t="s">
        <v>8</v>
      </c>
      <c r="E6264" s="2" t="str">
        <f>HYPERLINK("https://ibp.a2mac1.com/costing(costing:projects/details/8191/assembly/5389512)","Frame")</f>
        <v>Frame</v>
      </c>
      <c r="F6264" t="s">
        <v>6689</v>
      </c>
    </row>
    <row r="6265" spans="1:6" ht="12.75">
      <c r="A6265">
        <v>5389723</v>
      </c>
      <c r="B6265">
        <v>5389512</v>
      </c>
      <c r="C6265" t="s">
        <v>12</v>
      </c>
      <c r="D6265" t="s">
        <v>8</v>
      </c>
      <c r="E6265" s="2" t="str">
        <f>HYPERLINK("https://ibp.a2mac1.com/costing(costing:projects/details/8191/part/5389723)","Part 01 single/main/upper")</f>
        <v>Part 01 single/main/upper</v>
      </c>
      <c r="F6265" t="s">
        <v>6690</v>
      </c>
    </row>
    <row r="6266" spans="1:6" ht="12.75">
      <c r="A6266">
        <v>6976146</v>
      </c>
      <c r="B6266">
        <v>5389723</v>
      </c>
      <c r="C6266" t="s">
        <v>99</v>
      </c>
      <c r="D6266" t="s">
        <v>12</v>
      </c>
      <c r="E6266" s="2" t="str">
        <f>HYPERLINK("https://ibp.a2mac1.com/costing(costing:projects/details/8191/process/6976146)","MANUFACTURING  PROCESS")</f>
        <v>MANUFACTURING  PROCESS</v>
      </c>
      <c r="F6266" t="s">
        <v>6691</v>
      </c>
    </row>
    <row r="6267" spans="1:6" ht="12.75">
      <c r="A6267">
        <v>5320555</v>
      </c>
      <c r="B6267">
        <v>6976146</v>
      </c>
      <c r="C6267" t="s">
        <v>24</v>
      </c>
      <c r="D6267" t="s">
        <v>99</v>
      </c>
      <c r="E6267" s="2" t="str">
        <f>HYPERLINK("https://ibp.a2mac1.com/costing(costing:projects/details/8191/material/5320555)","Standard Structural Steel sheet")</f>
        <v>Standard Structural Steel sheet</v>
      </c>
      <c r="F6267" t="s">
        <v>6694</v>
      </c>
    </row>
    <row r="6268" spans="1:6" ht="12.75">
      <c r="A6268">
        <v>6948740</v>
      </c>
      <c r="B6268">
        <v>6976146</v>
      </c>
      <c r="C6268" t="s">
        <v>189</v>
      </c>
      <c r="D6268" t="s">
        <v>99</v>
      </c>
      <c r="E6268" s="2" t="str">
        <f>HYPERLINK("https://ibp.a2mac1.com/costing(costing:projects/details/8191/equipment/6948740)","Manufacturing Equipment")</f>
        <v>Manufacturing Equipment</v>
      </c>
      <c r="F6268" t="s">
        <v>6694</v>
      </c>
    </row>
    <row r="6269" spans="1:6" ht="12.75">
      <c r="A6269">
        <v>5389283</v>
      </c>
      <c r="B6269">
        <v>5388952</v>
      </c>
      <c r="C6269" t="s">
        <v>8</v>
      </c>
      <c r="D6269" t="s">
        <v>8</v>
      </c>
      <c r="E6269" s="2" t="str">
        <f>HYPERLINK("https://ibp.a2mac1.com/costing(costing:projects/details/8191/assembly/5389283)","Shock absorber bowl assy")</f>
        <v>Shock absorber bowl assy</v>
      </c>
      <c r="F6269" t="s">
        <v>6688</v>
      </c>
    </row>
    <row r="6270" spans="1:6" ht="12.75">
      <c r="A6270">
        <v>5389513</v>
      </c>
      <c r="B6270">
        <v>5389283</v>
      </c>
      <c r="C6270" t="s">
        <v>8</v>
      </c>
      <c r="D6270" t="s">
        <v>8</v>
      </c>
      <c r="E6270" s="2" t="str">
        <f>HYPERLINK("https://ibp.a2mac1.com/costing(costing:projects/details/8191/assembly/5389513)","Bowl")</f>
        <v>Bowl</v>
      </c>
      <c r="F6270" t="s">
        <v>6695</v>
      </c>
    </row>
    <row r="6271" spans="1:6" ht="12.75">
      <c r="A6271">
        <v>5389724</v>
      </c>
      <c r="B6271">
        <v>5389513</v>
      </c>
      <c r="C6271" t="s">
        <v>12</v>
      </c>
      <c r="D6271" t="s">
        <v>8</v>
      </c>
      <c r="E6271" s="2" t="str">
        <f>HYPERLINK("https://ibp.a2mac1.com/costing(costing:projects/details/8191/part/5389724)","Part 01 single/main")</f>
        <v>Part 01 single/main</v>
      </c>
      <c r="F6271" t="s">
        <v>6696</v>
      </c>
    </row>
    <row r="6272" spans="1:6" ht="12.75">
      <c r="A6272">
        <v>6976147</v>
      </c>
      <c r="B6272">
        <v>5389724</v>
      </c>
      <c r="C6272" t="s">
        <v>99</v>
      </c>
      <c r="D6272" t="s">
        <v>12</v>
      </c>
      <c r="E6272" s="2" t="str">
        <f>HYPERLINK("https://ibp.a2mac1.com/costing(costing:projects/details/8191/process/6976147)","MANUFACTURING  PROCESS")</f>
        <v>MANUFACTURING  PROCESS</v>
      </c>
      <c r="F6272" t="s">
        <v>6697</v>
      </c>
    </row>
    <row r="6273" spans="1:6" ht="12.75">
      <c r="A6273">
        <v>5320556</v>
      </c>
      <c r="B6273">
        <v>6976147</v>
      </c>
      <c r="C6273" t="s">
        <v>24</v>
      </c>
      <c r="D6273" t="s">
        <v>99</v>
      </c>
      <c r="E6273" s="2" t="str">
        <f>HYPERLINK("https://ibp.a2mac1.com/costing(costing:projects/details/8191/material/5320556)","Standard Structural Steel sheet")</f>
        <v>Standard Structural Steel sheet</v>
      </c>
      <c r="F6273" t="s">
        <v>6700</v>
      </c>
    </row>
    <row r="6274" spans="1:6" ht="12.75">
      <c r="A6274">
        <v>6948741</v>
      </c>
      <c r="B6274">
        <v>6976147</v>
      </c>
      <c r="C6274" t="s">
        <v>189</v>
      </c>
      <c r="D6274" t="s">
        <v>99</v>
      </c>
      <c r="E6274" s="2" t="str">
        <f>HYPERLINK("https://ibp.a2mac1.com/costing(costing:projects/details/8191/equipment/6948741)","Manufacturing Equipment")</f>
        <v>Manufacturing Equipment</v>
      </c>
      <c r="F6274" t="s">
        <v>6700</v>
      </c>
    </row>
    <row r="6275" spans="1:6" ht="12.75">
      <c r="A6275">
        <v>5389284</v>
      </c>
      <c r="B6275">
        <v>5388952</v>
      </c>
      <c r="C6275" t="s">
        <v>8</v>
      </c>
      <c r="D6275" t="s">
        <v>8</v>
      </c>
      <c r="E6275" s="2" t="str">
        <f>HYPERLINK("https://ibp.a2mac1.com/costing(costing:projects/details/8191/assembly/5389284)","Wheel shroud assy")</f>
        <v>Wheel shroud assy</v>
      </c>
      <c r="F6275" t="s">
        <v>6688</v>
      </c>
    </row>
    <row r="6276" spans="1:6" ht="12.75">
      <c r="A6276">
        <v>5389514</v>
      </c>
      <c r="B6276">
        <v>5389284</v>
      </c>
      <c r="C6276" t="s">
        <v>8</v>
      </c>
      <c r="D6276" t="s">
        <v>8</v>
      </c>
      <c r="E6276" s="2" t="str">
        <f>HYPERLINK("https://ibp.a2mac1.com/costing(costing:projects/details/8191/assembly/5389514)","Frame")</f>
        <v>Frame</v>
      </c>
      <c r="F6276" t="s">
        <v>6701</v>
      </c>
    </row>
    <row r="6277" spans="1:6" ht="12.75">
      <c r="A6277">
        <v>5389725</v>
      </c>
      <c r="B6277">
        <v>5389514</v>
      </c>
      <c r="C6277" t="s">
        <v>12</v>
      </c>
      <c r="D6277" t="s">
        <v>8</v>
      </c>
      <c r="E6277" s="2" t="str">
        <f>HYPERLINK("https://ibp.a2mac1.com/costing(costing:projects/details/8191/part/5389725)","Part 01 single/main/upper")</f>
        <v>Part 01 single/main/upper</v>
      </c>
      <c r="F6277" t="s">
        <v>6702</v>
      </c>
    </row>
    <row r="6278" spans="1:6" ht="12.75">
      <c r="A6278">
        <v>6976148</v>
      </c>
      <c r="B6278">
        <v>5389725</v>
      </c>
      <c r="C6278" t="s">
        <v>99</v>
      </c>
      <c r="D6278" t="s">
        <v>12</v>
      </c>
      <c r="E6278" s="2" t="str">
        <f>HYPERLINK("https://ibp.a2mac1.com/costing(costing:projects/details/8191/process/6976148)","MANUFACTURING  PROCESS")</f>
        <v>MANUFACTURING  PROCESS</v>
      </c>
      <c r="F6278" t="s">
        <v>6703</v>
      </c>
    </row>
    <row r="6279" spans="1:6" ht="12.75">
      <c r="A6279">
        <v>5320557</v>
      </c>
      <c r="B6279">
        <v>6976148</v>
      </c>
      <c r="C6279" t="s">
        <v>24</v>
      </c>
      <c r="D6279" t="s">
        <v>99</v>
      </c>
      <c r="E6279" s="2" t="str">
        <f>HYPERLINK("https://ibp.a2mac1.com/costing(costing:projects/details/8191/material/5320557)","Standard Structural Steel sheet")</f>
        <v>Standard Structural Steel sheet</v>
      </c>
      <c r="F6279" t="s">
        <v>6706</v>
      </c>
    </row>
    <row r="6280" spans="1:6" ht="12.75">
      <c r="A6280">
        <v>6948742</v>
      </c>
      <c r="B6280">
        <v>6976148</v>
      </c>
      <c r="C6280" t="s">
        <v>189</v>
      </c>
      <c r="D6280" t="s">
        <v>99</v>
      </c>
      <c r="E6280" s="2" t="str">
        <f>HYPERLINK("https://ibp.a2mac1.com/costing(costing:projects/details/8191/equipment/6948742)","Manufacturing Equipment")</f>
        <v>Manufacturing Equipment</v>
      </c>
      <c r="F6280" t="s">
        <v>6706</v>
      </c>
    </row>
    <row r="6281" spans="1:6" ht="12.75">
      <c r="A6281">
        <v>5389515</v>
      </c>
      <c r="B6281">
        <v>5389284</v>
      </c>
      <c r="C6281" t="s">
        <v>8</v>
      </c>
      <c r="D6281" t="s">
        <v>8</v>
      </c>
      <c r="E6281" s="2" t="str">
        <f>HYPERLINK("https://ibp.a2mac1.com/costing(costing:projects/details/8191/assembly/5389515)","Reinforcements")</f>
        <v>Reinforcements</v>
      </c>
      <c r="F6281" t="s">
        <v>6701</v>
      </c>
    </row>
    <row r="6282" spans="1:6" ht="12.75">
      <c r="A6282">
        <v>5389726</v>
      </c>
      <c r="B6282">
        <v>5389515</v>
      </c>
      <c r="C6282" t="s">
        <v>12</v>
      </c>
      <c r="D6282" t="s">
        <v>8</v>
      </c>
      <c r="E6282" s="2" t="str">
        <f>HYPERLINK("https://ibp.a2mac1.com/costing(costing:projects/details/8191/part/5389726)","Part 01 single/main")</f>
        <v>Part 01 single/main</v>
      </c>
      <c r="F6282" t="s">
        <v>6707</v>
      </c>
    </row>
    <row r="6283" spans="1:6" ht="12.75">
      <c r="A6283">
        <v>6976149</v>
      </c>
      <c r="B6283">
        <v>5389726</v>
      </c>
      <c r="C6283" t="s">
        <v>99</v>
      </c>
      <c r="D6283" t="s">
        <v>12</v>
      </c>
      <c r="E6283" s="2" t="str">
        <f>HYPERLINK("https://ibp.a2mac1.com/costing(costing:projects/details/8191/process/6976149)","MANUFACTURING  PROCESS")</f>
        <v>MANUFACTURING  PROCESS</v>
      </c>
      <c r="F6283" t="s">
        <v>6708</v>
      </c>
    </row>
    <row r="6284" spans="1:6" ht="12.75">
      <c r="A6284">
        <v>5320558</v>
      </c>
      <c r="B6284">
        <v>6976149</v>
      </c>
      <c r="C6284" t="s">
        <v>24</v>
      </c>
      <c r="D6284" t="s">
        <v>99</v>
      </c>
      <c r="E6284" s="2" t="str">
        <f>HYPERLINK("https://ibp.a2mac1.com/costing(costing:projects/details/8191/material/5320558)","Standard Structural Steel sheet")</f>
        <v>Standard Structural Steel sheet</v>
      </c>
      <c r="F6284" t="s">
        <v>6710</v>
      </c>
    </row>
    <row r="6285" spans="1:6" ht="12.75">
      <c r="A6285">
        <v>6948743</v>
      </c>
      <c r="B6285">
        <v>6976149</v>
      </c>
      <c r="C6285" t="s">
        <v>189</v>
      </c>
      <c r="D6285" t="s">
        <v>99</v>
      </c>
      <c r="E6285" s="2" t="str">
        <f>HYPERLINK("https://ibp.a2mac1.com/costing(costing:projects/details/8191/equipment/6948743)","Manufacturing Equipment")</f>
        <v>Manufacturing Equipment</v>
      </c>
      <c r="F6285" t="s">
        <v>6710</v>
      </c>
    </row>
    <row r="6286" spans="1:6" ht="12.75">
      <c r="A6286">
        <v>5389727</v>
      </c>
      <c r="B6286">
        <v>5389515</v>
      </c>
      <c r="C6286" t="s">
        <v>12</v>
      </c>
      <c r="D6286" t="s">
        <v>8</v>
      </c>
      <c r="E6286" s="2" t="str">
        <f>HYPERLINK("https://ibp.a2mac1.com/costing(costing:projects/details/8191/part/5389727)","Part 02")</f>
        <v>Part 02</v>
      </c>
      <c r="F6286" t="s">
        <v>6707</v>
      </c>
    </row>
    <row r="6287" spans="1:6" ht="12.75">
      <c r="A6287">
        <v>6976150</v>
      </c>
      <c r="B6287">
        <v>5389727</v>
      </c>
      <c r="C6287" t="s">
        <v>99</v>
      </c>
      <c r="D6287" t="s">
        <v>12</v>
      </c>
      <c r="E6287" s="2" t="str">
        <f>HYPERLINK("https://ibp.a2mac1.com/costing(costing:projects/details/8191/process/6976150)","MANUFACTURING  PROCESS")</f>
        <v>MANUFACTURING  PROCESS</v>
      </c>
      <c r="F6287" t="s">
        <v>6711</v>
      </c>
    </row>
    <row r="6288" spans="1:6" ht="12.75">
      <c r="A6288">
        <v>5320559</v>
      </c>
      <c r="B6288">
        <v>6976150</v>
      </c>
      <c r="C6288" t="s">
        <v>24</v>
      </c>
      <c r="D6288" t="s">
        <v>99</v>
      </c>
      <c r="E6288" s="2" t="str">
        <f>HYPERLINK("https://ibp.a2mac1.com/costing(costing:projects/details/8191/material/5320559)","Standard Structural Steel sheet")</f>
        <v>Standard Structural Steel sheet</v>
      </c>
      <c r="F6288" t="s">
        <v>6714</v>
      </c>
    </row>
    <row r="6289" spans="1:6" ht="12.75">
      <c r="A6289">
        <v>6948744</v>
      </c>
      <c r="B6289">
        <v>6976150</v>
      </c>
      <c r="C6289" t="s">
        <v>189</v>
      </c>
      <c r="D6289" t="s">
        <v>99</v>
      </c>
      <c r="E6289" s="2" t="str">
        <f>HYPERLINK("https://ibp.a2mac1.com/costing(costing:projects/details/8191/equipment/6948744)","Manufacturing Equipment")</f>
        <v>Manufacturing Equipment</v>
      </c>
      <c r="F6289" t="s">
        <v>6714</v>
      </c>
    </row>
    <row r="6290" spans="1:6" ht="12.75">
      <c r="A6290">
        <v>5389516</v>
      </c>
      <c r="B6290">
        <v>5389284</v>
      </c>
      <c r="C6290" t="s">
        <v>8</v>
      </c>
      <c r="D6290" t="s">
        <v>8</v>
      </c>
      <c r="E6290" s="2" t="str">
        <f>HYPERLINK("https://ibp.a2mac1.com/costing(costing:projects/details/8191/assembly/5389516)","Fixing parts")</f>
        <v>Fixing parts</v>
      </c>
      <c r="F6290" t="s">
        <v>6701</v>
      </c>
    </row>
    <row r="6291" spans="1:6" ht="12.75">
      <c r="A6291">
        <v>5389728</v>
      </c>
      <c r="B6291">
        <v>5389516</v>
      </c>
      <c r="C6291" t="s">
        <v>12</v>
      </c>
      <c r="D6291" t="s">
        <v>8</v>
      </c>
      <c r="E6291" s="2" t="str">
        <f>HYPERLINK("https://ibp.a2mac1.com/costing(costing:projects/details/8191/part/5389728)"," Part 01 single/main")</f>
        <v xml:space="preserve"> Part 01 single/main</v>
      </c>
      <c r="F6291" t="s">
        <v>6715</v>
      </c>
    </row>
    <row r="6292" spans="1:6" ht="12.75">
      <c r="A6292">
        <v>6976151</v>
      </c>
      <c r="B6292">
        <v>5389728</v>
      </c>
      <c r="C6292" t="s">
        <v>99</v>
      </c>
      <c r="D6292" t="s">
        <v>12</v>
      </c>
      <c r="E6292" s="2" t="str">
        <f>HYPERLINK("https://ibp.a2mac1.com/costing(costing:projects/details/8191/process/6976151)","MANUFACTURING  PROCESS")</f>
        <v>MANUFACTURING  PROCESS</v>
      </c>
      <c r="F6292" t="s">
        <v>6716</v>
      </c>
    </row>
    <row r="6293" spans="1:6" ht="12.75">
      <c r="A6293">
        <v>5320560</v>
      </c>
      <c r="B6293">
        <v>6976151</v>
      </c>
      <c r="C6293" t="s">
        <v>24</v>
      </c>
      <c r="D6293" t="s">
        <v>99</v>
      </c>
      <c r="E6293" s="2" t="str">
        <f>HYPERLINK("https://ibp.a2mac1.com/costing(costing:projects/details/8191/material/5320560)","Standard Structural Steel sheet")</f>
        <v>Standard Structural Steel sheet</v>
      </c>
      <c r="F6293" t="s">
        <v>6718</v>
      </c>
    </row>
    <row r="6294" spans="1:6" ht="12.75">
      <c r="A6294">
        <v>6948745</v>
      </c>
      <c r="B6294">
        <v>6976151</v>
      </c>
      <c r="C6294" t="s">
        <v>189</v>
      </c>
      <c r="D6294" t="s">
        <v>99</v>
      </c>
      <c r="E6294" s="2" t="str">
        <f>HYPERLINK("https://ibp.a2mac1.com/costing(costing:projects/details/8191/equipment/6948745)","Manufacturing Equipment")</f>
        <v>Manufacturing Equipment</v>
      </c>
      <c r="F6294" t="s">
        <v>6718</v>
      </c>
    </row>
    <row r="6295" spans="1:6" ht="12.75">
      <c r="A6295">
        <v>5388953</v>
      </c>
      <c r="B6295">
        <v>5388633</v>
      </c>
      <c r="C6295" t="s">
        <v>8</v>
      </c>
      <c r="D6295" t="s">
        <v>8</v>
      </c>
      <c r="E6295" s="2" t="str">
        <f>HYPERLINK("https://ibp.a2mac1.com/costing(costing:projects/details/8191/assembly/5388953)","Front side member assy")</f>
        <v>Front side member assy</v>
      </c>
      <c r="F6295" t="s">
        <v>6687</v>
      </c>
    </row>
    <row r="6296" spans="1:6" ht="12.75">
      <c r="A6296">
        <v>5389285</v>
      </c>
      <c r="B6296">
        <v>5388953</v>
      </c>
      <c r="C6296" t="s">
        <v>8</v>
      </c>
      <c r="D6296" t="s">
        <v>8</v>
      </c>
      <c r="E6296" s="2" t="str">
        <f>HYPERLINK("https://ibp.a2mac1.com/costing(costing:projects/details/8191/assembly/5389285)","Frame")</f>
        <v>Frame</v>
      </c>
      <c r="F6296" t="s">
        <v>6719</v>
      </c>
    </row>
    <row r="6297" spans="1:6" ht="12.75">
      <c r="A6297">
        <v>5389517</v>
      </c>
      <c r="B6297">
        <v>5389285</v>
      </c>
      <c r="C6297" t="s">
        <v>12</v>
      </c>
      <c r="D6297" t="s">
        <v>8</v>
      </c>
      <c r="E6297" s="2" t="str">
        <f>HYPERLINK("https://ibp.a2mac1.com/costing(costing:projects/details/8191/part/5389517)","Part 01 main/single/front")</f>
        <v>Part 01 main/single/front</v>
      </c>
      <c r="F6297" t="s">
        <v>6720</v>
      </c>
    </row>
    <row r="6298" spans="1:6" ht="12.75">
      <c r="A6298">
        <v>6975972</v>
      </c>
      <c r="B6298">
        <v>5389517</v>
      </c>
      <c r="C6298" t="s">
        <v>99</v>
      </c>
      <c r="D6298" t="s">
        <v>12</v>
      </c>
      <c r="E6298" s="2" t="str">
        <f>HYPERLINK("https://ibp.a2mac1.com/costing(costing:projects/details/8191/process/6975972)","MANUFACTURING  PROCESS")</f>
        <v>MANUFACTURING  PROCESS</v>
      </c>
      <c r="F6298" t="s">
        <v>6721</v>
      </c>
    </row>
    <row r="6299" spans="1:6" ht="12.75">
      <c r="A6299">
        <v>5320443</v>
      </c>
      <c r="B6299">
        <v>6975972</v>
      </c>
      <c r="C6299" t="s">
        <v>24</v>
      </c>
      <c r="D6299" t="s">
        <v>99</v>
      </c>
      <c r="E6299" s="2" t="str">
        <f>HYPERLINK("https://ibp.a2mac1.com/costing(costing:projects/details/8191/material/5320443)","Standard Structural Steel sheet")</f>
        <v>Standard Structural Steel sheet</v>
      </c>
      <c r="F6299" t="s">
        <v>6724</v>
      </c>
    </row>
    <row r="6300" spans="1:6" ht="12.75">
      <c r="A6300">
        <v>6948591</v>
      </c>
      <c r="B6300">
        <v>6975972</v>
      </c>
      <c r="C6300" t="s">
        <v>189</v>
      </c>
      <c r="D6300" t="s">
        <v>99</v>
      </c>
      <c r="E6300" s="2" t="str">
        <f>HYPERLINK("https://ibp.a2mac1.com/costing(costing:projects/details/8191/equipment/6948591)","Manufacturing Equipment")</f>
        <v>Manufacturing Equipment</v>
      </c>
      <c r="F6300" t="s">
        <v>6724</v>
      </c>
    </row>
    <row r="6301" spans="1:6" ht="12.75">
      <c r="A6301">
        <v>5389518</v>
      </c>
      <c r="B6301">
        <v>5389285</v>
      </c>
      <c r="C6301" t="s">
        <v>12</v>
      </c>
      <c r="D6301" t="s">
        <v>8</v>
      </c>
      <c r="E6301" s="2" t="str">
        <f>HYPERLINK("https://ibp.a2mac1.com/costing(costing:projects/details/8191/part/5389518)","Part 02")</f>
        <v>Part 02</v>
      </c>
      <c r="F6301" t="s">
        <v>6720</v>
      </c>
    </row>
    <row r="6302" spans="1:6" ht="12.75">
      <c r="A6302">
        <v>6975973</v>
      </c>
      <c r="B6302">
        <v>5389518</v>
      </c>
      <c r="C6302" t="s">
        <v>99</v>
      </c>
      <c r="D6302" t="s">
        <v>12</v>
      </c>
      <c r="E6302" s="2" t="str">
        <f>HYPERLINK("https://ibp.a2mac1.com/costing(costing:projects/details/8191/process/6975973)","MANUFACTURING  PROCESS")</f>
        <v>MANUFACTURING  PROCESS</v>
      </c>
      <c r="F6302" t="s">
        <v>6725</v>
      </c>
    </row>
    <row r="6303" spans="1:6" ht="12.75">
      <c r="A6303">
        <v>5320444</v>
      </c>
      <c r="B6303">
        <v>6975973</v>
      </c>
      <c r="C6303" t="s">
        <v>24</v>
      </c>
      <c r="D6303" t="s">
        <v>99</v>
      </c>
      <c r="E6303" s="2" t="str">
        <f>HYPERLINK("https://ibp.a2mac1.com/costing(costing:projects/details/8191/material/5320444)","Steel sheet (Hot Forming Steel)")</f>
        <v>Steel sheet (Hot Forming Steel)</v>
      </c>
      <c r="F6303" t="s">
        <v>6728</v>
      </c>
    </row>
    <row r="6304" spans="1:6" ht="12.75">
      <c r="A6304">
        <v>6948592</v>
      </c>
      <c r="B6304">
        <v>6975973</v>
      </c>
      <c r="C6304" t="s">
        <v>189</v>
      </c>
      <c r="D6304" t="s">
        <v>99</v>
      </c>
      <c r="E6304" s="2" t="str">
        <f>HYPERLINK("https://ibp.a2mac1.com/costing(costing:projects/details/8191/equipment/6948592)","Manufacturing Equipment")</f>
        <v>Manufacturing Equipment</v>
      </c>
      <c r="F6304" t="s">
        <v>6728</v>
      </c>
    </row>
    <row r="6305" spans="1:6" ht="12.75">
      <c r="A6305">
        <v>5389519</v>
      </c>
      <c r="B6305">
        <v>5389285</v>
      </c>
      <c r="C6305" t="s">
        <v>12</v>
      </c>
      <c r="D6305" t="s">
        <v>8</v>
      </c>
      <c r="E6305" s="2" t="str">
        <f>HYPERLINK("https://ibp.a2mac1.com/costing(costing:projects/details/8191/part/5389519)","Part 03")</f>
        <v>Part 03</v>
      </c>
      <c r="F6305" t="s">
        <v>6720</v>
      </c>
    </row>
    <row r="6306" spans="1:6" ht="12.75">
      <c r="A6306">
        <v>6975974</v>
      </c>
      <c r="B6306">
        <v>5389519</v>
      </c>
      <c r="C6306" t="s">
        <v>99</v>
      </c>
      <c r="D6306" t="s">
        <v>12</v>
      </c>
      <c r="E6306" s="2" t="str">
        <f>HYPERLINK("https://ibp.a2mac1.com/costing(costing:projects/details/8191/process/6975974)","MANUFACTURING  PROCESS")</f>
        <v>MANUFACTURING  PROCESS</v>
      </c>
      <c r="F6306" t="s">
        <v>6729</v>
      </c>
    </row>
    <row r="6307" spans="1:6" ht="12.75">
      <c r="A6307">
        <v>5320445</v>
      </c>
      <c r="B6307">
        <v>6975974</v>
      </c>
      <c r="C6307" t="s">
        <v>24</v>
      </c>
      <c r="D6307" t="s">
        <v>99</v>
      </c>
      <c r="E6307" s="2" t="str">
        <f>HYPERLINK("https://ibp.a2mac1.com/costing(costing:projects/details/8191/material/5320445)","Standard Structural Steel sheet")</f>
        <v>Standard Structural Steel sheet</v>
      </c>
      <c r="F6307" t="s">
        <v>6731</v>
      </c>
    </row>
    <row r="6308" spans="1:6" ht="12.75">
      <c r="A6308">
        <v>6948593</v>
      </c>
      <c r="B6308">
        <v>6975974</v>
      </c>
      <c r="C6308" t="s">
        <v>189</v>
      </c>
      <c r="D6308" t="s">
        <v>99</v>
      </c>
      <c r="E6308" s="2" t="str">
        <f>HYPERLINK("https://ibp.a2mac1.com/costing(costing:projects/details/8191/equipment/6948593)","Manufacturing Equipment")</f>
        <v>Manufacturing Equipment</v>
      </c>
      <c r="F6308" t="s">
        <v>6731</v>
      </c>
    </row>
    <row r="6309" spans="1:6" ht="12.75">
      <c r="A6309">
        <v>5389520</v>
      </c>
      <c r="B6309">
        <v>5389285</v>
      </c>
      <c r="C6309" t="s">
        <v>12</v>
      </c>
      <c r="D6309" t="s">
        <v>8</v>
      </c>
      <c r="E6309" s="2" t="str">
        <f>HYPERLINK("https://ibp.a2mac1.com/costing(costing:projects/details/8191/part/5389520)"," Part 04")</f>
        <v xml:space="preserve"> Part 04</v>
      </c>
      <c r="F6309" t="s">
        <v>6720</v>
      </c>
    </row>
    <row r="6310" spans="1:6" ht="12.75">
      <c r="A6310">
        <v>6975975</v>
      </c>
      <c r="B6310">
        <v>5389520</v>
      </c>
      <c r="C6310" t="s">
        <v>99</v>
      </c>
      <c r="D6310" t="s">
        <v>12</v>
      </c>
      <c r="E6310" s="2" t="str">
        <f>HYPERLINK("https://ibp.a2mac1.com/costing(costing:projects/details/8191/process/6975975)","MANUFACTURING  PROCESS")</f>
        <v>MANUFACTURING  PROCESS</v>
      </c>
      <c r="F6310" t="s">
        <v>6732</v>
      </c>
    </row>
    <row r="6311" spans="1:6" ht="12.75">
      <c r="A6311">
        <v>5320446</v>
      </c>
      <c r="B6311">
        <v>6975975</v>
      </c>
      <c r="C6311" t="s">
        <v>24</v>
      </c>
      <c r="D6311" t="s">
        <v>99</v>
      </c>
      <c r="E6311" s="2" t="str">
        <f>HYPERLINK("https://ibp.a2mac1.com/costing(costing:projects/details/8191/material/5320446)","Standard Structural Steel sheet")</f>
        <v>Standard Structural Steel sheet</v>
      </c>
      <c r="F6311" t="s">
        <v>6735</v>
      </c>
    </row>
    <row r="6312" spans="1:6" ht="12.75">
      <c r="A6312">
        <v>6948594</v>
      </c>
      <c r="B6312">
        <v>6975975</v>
      </c>
      <c r="C6312" t="s">
        <v>189</v>
      </c>
      <c r="D6312" t="s">
        <v>99</v>
      </c>
      <c r="E6312" s="2" t="str">
        <f>HYPERLINK("https://ibp.a2mac1.com/costing(costing:projects/details/8191/equipment/6948594)","Manufacturing Equipment")</f>
        <v>Manufacturing Equipment</v>
      </c>
      <c r="F6312" t="s">
        <v>6735</v>
      </c>
    </row>
    <row r="6313" spans="1:6" ht="12.75">
      <c r="A6313">
        <v>5389521</v>
      </c>
      <c r="B6313">
        <v>5389285</v>
      </c>
      <c r="C6313" t="s">
        <v>12</v>
      </c>
      <c r="D6313" t="s">
        <v>8</v>
      </c>
      <c r="E6313" s="2" t="str">
        <f>HYPERLINK("https://ibp.a2mac1.com/costing(costing:projects/details/8191/part/5389521)","Part 06")</f>
        <v>Part 06</v>
      </c>
      <c r="F6313" t="s">
        <v>6720</v>
      </c>
    </row>
    <row r="6314" spans="1:6" ht="12.75">
      <c r="A6314">
        <v>6975976</v>
      </c>
      <c r="B6314">
        <v>5389521</v>
      </c>
      <c r="C6314" t="s">
        <v>99</v>
      </c>
      <c r="D6314" t="s">
        <v>12</v>
      </c>
      <c r="E6314" s="2" t="str">
        <f>HYPERLINK("https://ibp.a2mac1.com/costing(costing:projects/details/8191/process/6975976)","MANUFACTURING  PROCESS")</f>
        <v>MANUFACTURING  PROCESS</v>
      </c>
      <c r="F6314" t="s">
        <v>6736</v>
      </c>
    </row>
    <row r="6315" spans="1:6" ht="12.75">
      <c r="A6315">
        <v>5320447</v>
      </c>
      <c r="B6315">
        <v>6975976</v>
      </c>
      <c r="C6315" t="s">
        <v>24</v>
      </c>
      <c r="D6315" t="s">
        <v>99</v>
      </c>
      <c r="E6315" s="2" t="str">
        <f>HYPERLINK("https://ibp.a2mac1.com/costing(costing:projects/details/8191/material/5320447)","Standard Structural Steel sheet")</f>
        <v>Standard Structural Steel sheet</v>
      </c>
      <c r="F6315" t="s">
        <v>6738</v>
      </c>
    </row>
    <row r="6316" spans="1:6" ht="12.75">
      <c r="A6316">
        <v>6948595</v>
      </c>
      <c r="B6316">
        <v>6975976</v>
      </c>
      <c r="C6316" t="s">
        <v>189</v>
      </c>
      <c r="D6316" t="s">
        <v>99</v>
      </c>
      <c r="E6316" s="2" t="str">
        <f>HYPERLINK("https://ibp.a2mac1.com/costing(costing:projects/details/8191/equipment/6948595)","Manufacturing Equipment")</f>
        <v>Manufacturing Equipment</v>
      </c>
      <c r="F6316" t="s">
        <v>6738</v>
      </c>
    </row>
    <row r="6317" spans="1:6" ht="12.75">
      <c r="A6317">
        <v>5389522</v>
      </c>
      <c r="B6317">
        <v>5389285</v>
      </c>
      <c r="C6317" t="s">
        <v>12</v>
      </c>
      <c r="D6317" t="s">
        <v>8</v>
      </c>
      <c r="E6317" s="2" t="str">
        <f>HYPERLINK("https://ibp.a2mac1.com/costing(costing:projects/details/8191/part/5389522)","Part 07")</f>
        <v>Part 07</v>
      </c>
      <c r="F6317" t="s">
        <v>6720</v>
      </c>
    </row>
    <row r="6318" spans="1:6" ht="12.75">
      <c r="A6318">
        <v>6975977</v>
      </c>
      <c r="B6318">
        <v>5389522</v>
      </c>
      <c r="C6318" t="s">
        <v>99</v>
      </c>
      <c r="D6318" t="s">
        <v>12</v>
      </c>
      <c r="E6318" s="2" t="str">
        <f>HYPERLINK("https://ibp.a2mac1.com/costing(costing:projects/details/8191/process/6975977)","MANUFACTURING  PROCESS")</f>
        <v>MANUFACTURING  PROCESS</v>
      </c>
      <c r="F6318" t="s">
        <v>6739</v>
      </c>
    </row>
    <row r="6319" spans="1:6" ht="12.75">
      <c r="A6319">
        <v>5320448</v>
      </c>
      <c r="B6319">
        <v>6975977</v>
      </c>
      <c r="C6319" t="s">
        <v>24</v>
      </c>
      <c r="D6319" t="s">
        <v>99</v>
      </c>
      <c r="E6319" s="2" t="str">
        <f>HYPERLINK("https://ibp.a2mac1.com/costing(costing:projects/details/8191/material/5320448)","Steel sheet (Hot Forming Steel)")</f>
        <v>Steel sheet (Hot Forming Steel)</v>
      </c>
      <c r="F6319" t="s">
        <v>6742</v>
      </c>
    </row>
    <row r="6320" spans="1:6" ht="12.75">
      <c r="A6320">
        <v>6948596</v>
      </c>
      <c r="B6320">
        <v>6975977</v>
      </c>
      <c r="C6320" t="s">
        <v>189</v>
      </c>
      <c r="D6320" t="s">
        <v>99</v>
      </c>
      <c r="E6320" s="2" t="str">
        <f>HYPERLINK("https://ibp.a2mac1.com/costing(costing:projects/details/8191/equipment/6948596)","Manufacturing Equipment")</f>
        <v>Manufacturing Equipment</v>
      </c>
      <c r="F6320" t="s">
        <v>6742</v>
      </c>
    </row>
    <row r="6321" spans="1:6" ht="12.75">
      <c r="A6321">
        <v>5389286</v>
      </c>
      <c r="B6321">
        <v>5388953</v>
      </c>
      <c r="C6321" t="s">
        <v>8</v>
      </c>
      <c r="D6321" t="s">
        <v>8</v>
      </c>
      <c r="E6321" s="2" t="str">
        <f>HYPERLINK("https://ibp.a2mac1.com/costing(costing:projects/details/8191/assembly/5389286)","Reinforcements")</f>
        <v>Reinforcements</v>
      </c>
      <c r="F6321" t="s">
        <v>6719</v>
      </c>
    </row>
    <row r="6322" spans="1:6" ht="12.75">
      <c r="A6322">
        <v>5389523</v>
      </c>
      <c r="B6322">
        <v>5389286</v>
      </c>
      <c r="C6322" t="s">
        <v>12</v>
      </c>
      <c r="D6322" t="s">
        <v>8</v>
      </c>
      <c r="E6322" s="2" t="str">
        <f>HYPERLINK("https://ibp.a2mac1.com/costing(costing:projects/details/8191/part/5389523)","Part 01 single/main")</f>
        <v>Part 01 single/main</v>
      </c>
      <c r="F6322" t="s">
        <v>6743</v>
      </c>
    </row>
    <row r="6323" spans="1:6" ht="12.75">
      <c r="A6323">
        <v>6975978</v>
      </c>
      <c r="B6323">
        <v>5389523</v>
      </c>
      <c r="C6323" t="s">
        <v>99</v>
      </c>
      <c r="D6323" t="s">
        <v>12</v>
      </c>
      <c r="E6323" s="2" t="str">
        <f>HYPERLINK("https://ibp.a2mac1.com/costing(costing:projects/details/8191/process/6975978)","MANUFACTURING  PROCESS")</f>
        <v>MANUFACTURING  PROCESS</v>
      </c>
      <c r="F6323" t="s">
        <v>6744</v>
      </c>
    </row>
    <row r="6324" spans="1:6" ht="12.75">
      <c r="A6324">
        <v>5320449</v>
      </c>
      <c r="B6324">
        <v>6975978</v>
      </c>
      <c r="C6324" t="s">
        <v>24</v>
      </c>
      <c r="D6324" t="s">
        <v>99</v>
      </c>
      <c r="E6324" s="2" t="str">
        <f>HYPERLINK("https://ibp.a2mac1.com/costing(costing:projects/details/8191/material/5320449)","Standard Structural Steel sheet")</f>
        <v>Standard Structural Steel sheet</v>
      </c>
      <c r="F6324" t="s">
        <v>6746</v>
      </c>
    </row>
    <row r="6325" spans="1:6" ht="12.75">
      <c r="A6325">
        <v>6948597</v>
      </c>
      <c r="B6325">
        <v>6975978</v>
      </c>
      <c r="C6325" t="s">
        <v>189</v>
      </c>
      <c r="D6325" t="s">
        <v>99</v>
      </c>
      <c r="E6325" s="2" t="str">
        <f>HYPERLINK("https://ibp.a2mac1.com/costing(costing:projects/details/8191/equipment/6948597)","Manufacturing Equipment")</f>
        <v>Manufacturing Equipment</v>
      </c>
      <c r="F6325" t="s">
        <v>6746</v>
      </c>
    </row>
    <row r="6326" spans="1:6" ht="12.75">
      <c r="A6326">
        <v>5389524</v>
      </c>
      <c r="B6326">
        <v>5389286</v>
      </c>
      <c r="C6326" t="s">
        <v>12</v>
      </c>
      <c r="D6326" t="s">
        <v>8</v>
      </c>
      <c r="E6326" s="2" t="str">
        <f>HYPERLINK("https://ibp.a2mac1.com/costing(costing:projects/details/8191/part/5389524)","Part 02")</f>
        <v>Part 02</v>
      </c>
      <c r="F6326" t="s">
        <v>6743</v>
      </c>
    </row>
    <row r="6327" spans="1:6" ht="12.75">
      <c r="A6327">
        <v>6975979</v>
      </c>
      <c r="B6327">
        <v>5389524</v>
      </c>
      <c r="C6327" t="s">
        <v>99</v>
      </c>
      <c r="D6327" t="s">
        <v>12</v>
      </c>
      <c r="E6327" s="2" t="str">
        <f>HYPERLINK("https://ibp.a2mac1.com/costing(costing:projects/details/8191/process/6975979)","MANUFACTURING  PROCESS")</f>
        <v>MANUFACTURING  PROCESS</v>
      </c>
      <c r="F6327" t="s">
        <v>6747</v>
      </c>
    </row>
    <row r="6328" spans="1:6" ht="12.75">
      <c r="A6328">
        <v>5320450</v>
      </c>
      <c r="B6328">
        <v>6975979</v>
      </c>
      <c r="C6328" t="s">
        <v>24</v>
      </c>
      <c r="D6328" t="s">
        <v>99</v>
      </c>
      <c r="E6328" s="2" t="str">
        <f>HYPERLINK("https://ibp.a2mac1.com/costing(costing:projects/details/8191/material/5320450)","Standard Structural Steel sheet")</f>
        <v>Standard Structural Steel sheet</v>
      </c>
      <c r="F6328" t="s">
        <v>6748</v>
      </c>
    </row>
    <row r="6329" spans="1:6" ht="12.75">
      <c r="A6329">
        <v>6948598</v>
      </c>
      <c r="B6329">
        <v>6975979</v>
      </c>
      <c r="C6329" t="s">
        <v>189</v>
      </c>
      <c r="D6329" t="s">
        <v>99</v>
      </c>
      <c r="E6329" s="2" t="str">
        <f>HYPERLINK("https://ibp.a2mac1.com/costing(costing:projects/details/8191/equipment/6948598)","Manufacturing Equipment")</f>
        <v>Manufacturing Equipment</v>
      </c>
      <c r="F6329" t="s">
        <v>6748</v>
      </c>
    </row>
    <row r="6330" spans="1:6" ht="12.75">
      <c r="A6330">
        <v>5389525</v>
      </c>
      <c r="B6330">
        <v>5389286</v>
      </c>
      <c r="C6330" t="s">
        <v>12</v>
      </c>
      <c r="D6330" t="s">
        <v>8</v>
      </c>
      <c r="E6330" s="2" t="str">
        <f>HYPERLINK("https://ibp.a2mac1.com/costing(costing:projects/details/8191/part/5389525)","Part 03")</f>
        <v>Part 03</v>
      </c>
      <c r="F6330" t="s">
        <v>6743</v>
      </c>
    </row>
    <row r="6331" spans="1:6" ht="12.75">
      <c r="A6331">
        <v>6975980</v>
      </c>
      <c r="B6331">
        <v>5389525</v>
      </c>
      <c r="C6331" t="s">
        <v>99</v>
      </c>
      <c r="D6331" t="s">
        <v>12</v>
      </c>
      <c r="E6331" s="2" t="str">
        <f>HYPERLINK("https://ibp.a2mac1.com/costing(costing:projects/details/8191/process/6975980)","MANUFACTURING  PROCESS")</f>
        <v>MANUFACTURING  PROCESS</v>
      </c>
      <c r="F6331" t="s">
        <v>6749</v>
      </c>
    </row>
    <row r="6332" spans="1:6" ht="12.75">
      <c r="A6332">
        <v>5320451</v>
      </c>
      <c r="B6332">
        <v>6975980</v>
      </c>
      <c r="C6332" t="s">
        <v>24</v>
      </c>
      <c r="D6332" t="s">
        <v>99</v>
      </c>
      <c r="E6332" s="2" t="str">
        <f>HYPERLINK("https://ibp.a2mac1.com/costing(costing:projects/details/8191/material/5320451)","Standard Structural Steel sheet")</f>
        <v>Standard Structural Steel sheet</v>
      </c>
      <c r="F6332" t="s">
        <v>6751</v>
      </c>
    </row>
    <row r="6333" spans="1:6" ht="12.75">
      <c r="A6333">
        <v>6948599</v>
      </c>
      <c r="B6333">
        <v>6975980</v>
      </c>
      <c r="C6333" t="s">
        <v>189</v>
      </c>
      <c r="D6333" t="s">
        <v>99</v>
      </c>
      <c r="E6333" s="2" t="str">
        <f>HYPERLINK("https://ibp.a2mac1.com/costing(costing:projects/details/8191/equipment/6948599)","Manufacturing Equipment")</f>
        <v>Manufacturing Equipment</v>
      </c>
      <c r="F6333" t="s">
        <v>6751</v>
      </c>
    </row>
    <row r="6334" spans="1:6" ht="12.75">
      <c r="A6334">
        <v>5389526</v>
      </c>
      <c r="B6334">
        <v>5389286</v>
      </c>
      <c r="C6334" t="s">
        <v>12</v>
      </c>
      <c r="D6334" t="s">
        <v>8</v>
      </c>
      <c r="E6334" s="2" t="str">
        <f>HYPERLINK("https://ibp.a2mac1.com/costing(costing:projects/details/8191/part/5389526)"," Part 04")</f>
        <v xml:space="preserve"> Part 04</v>
      </c>
      <c r="F6334" t="s">
        <v>6743</v>
      </c>
    </row>
    <row r="6335" spans="1:6" ht="12.75">
      <c r="A6335">
        <v>6975992</v>
      </c>
      <c r="B6335">
        <v>5389526</v>
      </c>
      <c r="C6335" t="s">
        <v>99</v>
      </c>
      <c r="D6335" t="s">
        <v>12</v>
      </c>
      <c r="E6335" s="2" t="str">
        <f>HYPERLINK("https://ibp.a2mac1.com/costing(costing:projects/details/8191/process/6975992)","MANUFACTURING  PROCESS")</f>
        <v>MANUFACTURING  PROCESS</v>
      </c>
      <c r="F6335" t="s">
        <v>6752</v>
      </c>
    </row>
    <row r="6336" spans="1:6" ht="12.75">
      <c r="A6336">
        <v>5320452</v>
      </c>
      <c r="B6336">
        <v>6975992</v>
      </c>
      <c r="C6336" t="s">
        <v>24</v>
      </c>
      <c r="D6336" t="s">
        <v>99</v>
      </c>
      <c r="E6336" s="2" t="str">
        <f>HYPERLINK("https://ibp.a2mac1.com/costing(costing:projects/details/8191/material/5320452)","Standard Structural Steel sheet")</f>
        <v>Standard Structural Steel sheet</v>
      </c>
      <c r="F6336" t="s">
        <v>6754</v>
      </c>
    </row>
    <row r="6337" spans="1:6" ht="12.75">
      <c r="A6337">
        <v>6948600</v>
      </c>
      <c r="B6337">
        <v>6975992</v>
      </c>
      <c r="C6337" t="s">
        <v>189</v>
      </c>
      <c r="D6337" t="s">
        <v>99</v>
      </c>
      <c r="E6337" s="2" t="str">
        <f>HYPERLINK("https://ibp.a2mac1.com/costing(costing:projects/details/8191/equipment/6948600)","Manufacturing Equipment")</f>
        <v>Manufacturing Equipment</v>
      </c>
      <c r="F6337" t="s">
        <v>6754</v>
      </c>
    </row>
    <row r="6338" spans="1:6" ht="12.75">
      <c r="A6338">
        <v>5389287</v>
      </c>
      <c r="B6338">
        <v>5388953</v>
      </c>
      <c r="C6338" t="s">
        <v>8</v>
      </c>
      <c r="D6338" t="s">
        <v>8</v>
      </c>
      <c r="E6338" s="2" t="str">
        <f>HYPERLINK("https://ibp.a2mac1.com/costing(costing:projects/details/8191/assembly/5389287)","Spacers")</f>
        <v>Spacers</v>
      </c>
      <c r="F6338" t="s">
        <v>6719</v>
      </c>
    </row>
    <row r="6339" spans="1:6" ht="12.75">
      <c r="A6339">
        <v>5389527</v>
      </c>
      <c r="B6339">
        <v>5389287</v>
      </c>
      <c r="C6339" t="s">
        <v>12</v>
      </c>
      <c r="D6339" t="s">
        <v>8</v>
      </c>
      <c r="E6339" s="2" t="str">
        <f>HYPERLINK("https://ibp.a2mac1.com/costing(costing:projects/details/8191/part/5389527)","Part 01 single/main")</f>
        <v>Part 01 single/main</v>
      </c>
      <c r="F6339" t="s">
        <v>6755</v>
      </c>
    </row>
    <row r="6340" spans="1:6" ht="12.75">
      <c r="A6340">
        <v>6975993</v>
      </c>
      <c r="B6340">
        <v>5389527</v>
      </c>
      <c r="C6340" t="s">
        <v>99</v>
      </c>
      <c r="D6340" t="s">
        <v>12</v>
      </c>
      <c r="E6340" s="2" t="str">
        <f>HYPERLINK("https://ibp.a2mac1.com/costing(costing:projects/details/8191/process/6975993)","MANUFACTURING  PROCESS")</f>
        <v>MANUFACTURING  PROCESS</v>
      </c>
      <c r="F6340" t="s">
        <v>6756</v>
      </c>
    </row>
    <row r="6341" spans="1:6" ht="12.75">
      <c r="A6341">
        <v>5320453</v>
      </c>
      <c r="B6341">
        <v>6975993</v>
      </c>
      <c r="C6341" t="s">
        <v>24</v>
      </c>
      <c r="D6341" t="s">
        <v>99</v>
      </c>
      <c r="E6341" s="2" t="str">
        <f>HYPERLINK("https://ibp.a2mac1.com/costing(costing:projects/details/8191/material/5320453)","Standard Structural Steel sheet")</f>
        <v>Standard Structural Steel sheet</v>
      </c>
      <c r="F6341" t="s">
        <v>6758</v>
      </c>
    </row>
    <row r="6342" spans="1:6" ht="12.75">
      <c r="A6342">
        <v>6948601</v>
      </c>
      <c r="B6342">
        <v>6975993</v>
      </c>
      <c r="C6342" t="s">
        <v>189</v>
      </c>
      <c r="D6342" t="s">
        <v>99</v>
      </c>
      <c r="E6342" s="2" t="str">
        <f>HYPERLINK("https://ibp.a2mac1.com/costing(costing:projects/details/8191/equipment/6948601)","Manufacturing Equipment")</f>
        <v>Manufacturing Equipment</v>
      </c>
      <c r="F6342" t="s">
        <v>6758</v>
      </c>
    </row>
    <row r="6343" spans="1:6" ht="12.75">
      <c r="A6343">
        <v>5389528</v>
      </c>
      <c r="B6343">
        <v>5389287</v>
      </c>
      <c r="C6343" t="s">
        <v>12</v>
      </c>
      <c r="D6343" t="s">
        <v>8</v>
      </c>
      <c r="E6343" s="2" t="str">
        <f>HYPERLINK("https://ibp.a2mac1.com/costing(costing:projects/details/8191/part/5389528)"," Part 02")</f>
        <v xml:space="preserve"> Part 02</v>
      </c>
      <c r="F6343" t="s">
        <v>6755</v>
      </c>
    </row>
    <row r="6344" spans="1:6" ht="12.75">
      <c r="A6344">
        <v>6975994</v>
      </c>
      <c r="B6344">
        <v>5389528</v>
      </c>
      <c r="C6344" t="s">
        <v>99</v>
      </c>
      <c r="D6344" t="s">
        <v>12</v>
      </c>
      <c r="E6344" s="2" t="str">
        <f>HYPERLINK("https://ibp.a2mac1.com/costing(costing:projects/details/8191/process/6975994)","MANUFACTURING  PROCESS")</f>
        <v>MANUFACTURING  PROCESS</v>
      </c>
      <c r="F6344" t="s">
        <v>6759</v>
      </c>
    </row>
    <row r="6345" spans="1:6" ht="12.75">
      <c r="A6345">
        <v>5320454</v>
      </c>
      <c r="B6345">
        <v>6975994</v>
      </c>
      <c r="C6345" t="s">
        <v>24</v>
      </c>
      <c r="D6345" t="s">
        <v>99</v>
      </c>
      <c r="E6345" s="2" t="str">
        <f>HYPERLINK("https://ibp.a2mac1.com/costing(costing:projects/details/8191/material/5320454)","Standard Structural Steel sheet")</f>
        <v>Standard Structural Steel sheet</v>
      </c>
      <c r="F6345" t="s">
        <v>6761</v>
      </c>
    </row>
    <row r="6346" spans="1:6" ht="12.75">
      <c r="A6346">
        <v>6948602</v>
      </c>
      <c r="B6346">
        <v>6975994</v>
      </c>
      <c r="C6346" t="s">
        <v>189</v>
      </c>
      <c r="D6346" t="s">
        <v>99</v>
      </c>
      <c r="E6346" s="2" t="str">
        <f>HYPERLINK("https://ibp.a2mac1.com/costing(costing:projects/details/8191/equipment/6948602)","Manufacturing Equipment")</f>
        <v>Manufacturing Equipment</v>
      </c>
      <c r="F6346" t="s">
        <v>6761</v>
      </c>
    </row>
    <row r="6347" spans="1:6" ht="12.75">
      <c r="A6347">
        <v>5389529</v>
      </c>
      <c r="B6347">
        <v>5389287</v>
      </c>
      <c r="C6347" t="s">
        <v>12</v>
      </c>
      <c r="D6347" t="s">
        <v>8</v>
      </c>
      <c r="E6347" s="2" t="str">
        <f>HYPERLINK("https://ibp.a2mac1.com/costing(costing:projects/details/8191/part/5389529)","Part 03")</f>
        <v>Part 03</v>
      </c>
      <c r="F6347" t="s">
        <v>6755</v>
      </c>
    </row>
    <row r="6348" spans="1:6" ht="12.75">
      <c r="A6348">
        <v>6975995</v>
      </c>
      <c r="B6348">
        <v>5389529</v>
      </c>
      <c r="C6348" t="s">
        <v>99</v>
      </c>
      <c r="D6348" t="s">
        <v>12</v>
      </c>
      <c r="E6348" s="2" t="str">
        <f>HYPERLINK("https://ibp.a2mac1.com/costing(costing:projects/details/8191/process/6975995)","MANUFACTURING  PROCESS")</f>
        <v>MANUFACTURING  PROCESS</v>
      </c>
      <c r="F6348" t="s">
        <v>6762</v>
      </c>
    </row>
    <row r="6349" spans="1:6" ht="12.75">
      <c r="A6349">
        <v>5320455</v>
      </c>
      <c r="B6349">
        <v>6975995</v>
      </c>
      <c r="C6349" t="s">
        <v>24</v>
      </c>
      <c r="D6349" t="s">
        <v>99</v>
      </c>
      <c r="E6349" s="2" t="str">
        <f>HYPERLINK("https://ibp.a2mac1.com/costing(costing:projects/details/8191/material/5320455)","Standard Structural Steel sheet")</f>
        <v>Standard Structural Steel sheet</v>
      </c>
      <c r="F6349" t="s">
        <v>6764</v>
      </c>
    </row>
    <row r="6350" spans="1:6" ht="12.75">
      <c r="A6350">
        <v>6948603</v>
      </c>
      <c r="B6350">
        <v>6975995</v>
      </c>
      <c r="C6350" t="s">
        <v>189</v>
      </c>
      <c r="D6350" t="s">
        <v>99</v>
      </c>
      <c r="E6350" s="2" t="str">
        <f>HYPERLINK("https://ibp.a2mac1.com/costing(costing:projects/details/8191/equipment/6948603)","Manufacturing Equipment")</f>
        <v>Manufacturing Equipment</v>
      </c>
      <c r="F6350" t="s">
        <v>6764</v>
      </c>
    </row>
    <row r="6351" spans="1:6" ht="12.75">
      <c r="A6351">
        <v>5389288</v>
      </c>
      <c r="B6351">
        <v>5388953</v>
      </c>
      <c r="C6351" t="s">
        <v>8</v>
      </c>
      <c r="D6351" t="s">
        <v>8</v>
      </c>
      <c r="E6351" s="2" t="str">
        <f>HYPERLINK("https://ibp.a2mac1.com/costing(costing:projects/details/8191/assembly/5389288)","Front end support 01")</f>
        <v>Front end support 01</v>
      </c>
      <c r="F6351" t="s">
        <v>6719</v>
      </c>
    </row>
    <row r="6352" spans="1:6" ht="12.75">
      <c r="A6352">
        <v>5389530</v>
      </c>
      <c r="B6352">
        <v>5389288</v>
      </c>
      <c r="C6352" t="s">
        <v>12</v>
      </c>
      <c r="D6352" t="s">
        <v>8</v>
      </c>
      <c r="E6352" s="2" t="str">
        <f>HYPERLINK("https://ibp.a2mac1.com/costing(costing:projects/details/8191/part/5389530)","Part 01 single/main")</f>
        <v>Part 01 single/main</v>
      </c>
      <c r="F6352" t="s">
        <v>6765</v>
      </c>
    </row>
    <row r="6353" spans="1:6" ht="12.75">
      <c r="A6353">
        <v>6975996</v>
      </c>
      <c r="B6353">
        <v>5389530</v>
      </c>
      <c r="C6353" t="s">
        <v>99</v>
      </c>
      <c r="D6353" t="s">
        <v>12</v>
      </c>
      <c r="E6353" s="2" t="str">
        <f>HYPERLINK("https://ibp.a2mac1.com/costing(costing:projects/details/8191/process/6975996)","MANUFACTURING  PROCESS")</f>
        <v>MANUFACTURING  PROCESS</v>
      </c>
      <c r="F6353" t="s">
        <v>6766</v>
      </c>
    </row>
    <row r="6354" spans="1:6" ht="12.75">
      <c r="A6354">
        <v>5320456</v>
      </c>
      <c r="B6354">
        <v>6975996</v>
      </c>
      <c r="C6354" t="s">
        <v>24</v>
      </c>
      <c r="D6354" t="s">
        <v>99</v>
      </c>
      <c r="E6354" s="2" t="str">
        <f>HYPERLINK("https://ibp.a2mac1.com/costing(costing:projects/details/8191/material/5320456)","Standard Structural Steel sheet")</f>
        <v>Standard Structural Steel sheet</v>
      </c>
      <c r="F6354" t="s">
        <v>6769</v>
      </c>
    </row>
    <row r="6355" spans="1:6" ht="12.75">
      <c r="A6355">
        <v>6948604</v>
      </c>
      <c r="B6355">
        <v>6975996</v>
      </c>
      <c r="C6355" t="s">
        <v>189</v>
      </c>
      <c r="D6355" t="s">
        <v>99</v>
      </c>
      <c r="E6355" s="2" t="str">
        <f>HYPERLINK("https://ibp.a2mac1.com/costing(costing:projects/details/8191/equipment/6948604)","Manufacturing Equipment")</f>
        <v>Manufacturing Equipment</v>
      </c>
      <c r="F6355" t="s">
        <v>6769</v>
      </c>
    </row>
    <row r="6356" spans="1:6" ht="12.75">
      <c r="A6356">
        <v>5389289</v>
      </c>
      <c r="B6356">
        <v>5388953</v>
      </c>
      <c r="C6356" t="s">
        <v>8</v>
      </c>
      <c r="D6356" t="s">
        <v>8</v>
      </c>
      <c r="E6356" s="2" t="str">
        <f>HYPERLINK("https://ibp.a2mac1.com/costing(costing:projects/details/8191/assembly/5389289)","Other fixing parts")</f>
        <v>Other fixing parts</v>
      </c>
      <c r="F6356" t="s">
        <v>6719</v>
      </c>
    </row>
    <row r="6357" spans="1:6" ht="12.75">
      <c r="A6357">
        <v>5389531</v>
      </c>
      <c r="B6357">
        <v>5389289</v>
      </c>
      <c r="C6357" t="s">
        <v>12</v>
      </c>
      <c r="D6357" t="s">
        <v>8</v>
      </c>
      <c r="E6357" s="2" t="str">
        <f>HYPERLINK("https://ibp.a2mac1.com/costing(costing:projects/details/8191/part/5389531)","Part 01 single/main")</f>
        <v>Part 01 single/main</v>
      </c>
      <c r="F6357" t="s">
        <v>6770</v>
      </c>
    </row>
    <row r="6358" spans="1:6" ht="12.75">
      <c r="A6358">
        <v>6975997</v>
      </c>
      <c r="B6358">
        <v>5389531</v>
      </c>
      <c r="C6358" t="s">
        <v>99</v>
      </c>
      <c r="D6358" t="s">
        <v>12</v>
      </c>
      <c r="E6358" s="2" t="str">
        <f>HYPERLINK("https://ibp.a2mac1.com/costing(costing:projects/details/8191/process/6975997)","MANUFACTURING  PROCESS")</f>
        <v>MANUFACTURING  PROCESS</v>
      </c>
      <c r="F6358" t="s">
        <v>6771</v>
      </c>
    </row>
    <row r="6359" spans="1:6" ht="12.75">
      <c r="A6359">
        <v>5320457</v>
      </c>
      <c r="B6359">
        <v>6975997</v>
      </c>
      <c r="C6359" t="s">
        <v>24</v>
      </c>
      <c r="D6359" t="s">
        <v>99</v>
      </c>
      <c r="E6359" s="2" t="str">
        <f>HYPERLINK("https://ibp.a2mac1.com/costing(costing:projects/details/8191/material/5320457)","Standard Structural Steel sheet")</f>
        <v>Standard Structural Steel sheet</v>
      </c>
      <c r="F6359" t="s">
        <v>6772</v>
      </c>
    </row>
    <row r="6360" spans="1:6" ht="12.75">
      <c r="A6360">
        <v>6948605</v>
      </c>
      <c r="B6360">
        <v>6975997</v>
      </c>
      <c r="C6360" t="s">
        <v>189</v>
      </c>
      <c r="D6360" t="s">
        <v>99</v>
      </c>
      <c r="E6360" s="2" t="str">
        <f>HYPERLINK("https://ibp.a2mac1.com/costing(costing:projects/details/8191/equipment/6948605)","Manufacturing Equipment")</f>
        <v>Manufacturing Equipment</v>
      </c>
      <c r="F6360" t="s">
        <v>6772</v>
      </c>
    </row>
    <row r="6361" spans="1:6" ht="12.75">
      <c r="A6361">
        <v>5389532</v>
      </c>
      <c r="B6361">
        <v>5389289</v>
      </c>
      <c r="C6361" t="s">
        <v>12</v>
      </c>
      <c r="D6361" t="s">
        <v>8</v>
      </c>
      <c r="E6361" s="2" t="str">
        <f>HYPERLINK("https://ibp.a2mac1.com/costing(costing:projects/details/8191/part/5389532)","Part 02")</f>
        <v>Part 02</v>
      </c>
      <c r="F6361" t="s">
        <v>6770</v>
      </c>
    </row>
    <row r="6362" spans="1:6" ht="12.75">
      <c r="A6362">
        <v>6975998</v>
      </c>
      <c r="B6362">
        <v>5389532</v>
      </c>
      <c r="C6362" t="s">
        <v>99</v>
      </c>
      <c r="D6362" t="s">
        <v>12</v>
      </c>
      <c r="E6362" s="2" t="str">
        <f>HYPERLINK("https://ibp.a2mac1.com/costing(costing:projects/details/8191/process/6975998)","MANUFACTURING  PROCESS")</f>
        <v>MANUFACTURING  PROCESS</v>
      </c>
      <c r="F6362" t="s">
        <v>6773</v>
      </c>
    </row>
    <row r="6363" spans="1:6" ht="12.75">
      <c r="A6363">
        <v>5320458</v>
      </c>
      <c r="B6363">
        <v>6975998</v>
      </c>
      <c r="C6363" t="s">
        <v>24</v>
      </c>
      <c r="D6363" t="s">
        <v>99</v>
      </c>
      <c r="E6363" s="2" t="str">
        <f>HYPERLINK("https://ibp.a2mac1.com/costing(costing:projects/details/8191/material/5320458)","Standard Structural Steel sheet")</f>
        <v>Standard Structural Steel sheet</v>
      </c>
      <c r="F6363" t="s">
        <v>6774</v>
      </c>
    </row>
    <row r="6364" spans="1:6" ht="12.75">
      <c r="A6364">
        <v>6948606</v>
      </c>
      <c r="B6364">
        <v>6975998</v>
      </c>
      <c r="C6364" t="s">
        <v>189</v>
      </c>
      <c r="D6364" t="s">
        <v>99</v>
      </c>
      <c r="E6364" s="2" t="str">
        <f>HYPERLINK("https://ibp.a2mac1.com/costing(costing:projects/details/8191/equipment/6948606)","Manufacturing Equipment")</f>
        <v>Manufacturing Equipment</v>
      </c>
      <c r="F6364" t="s">
        <v>6774</v>
      </c>
    </row>
    <row r="6365" spans="1:6" ht="12.75">
      <c r="A6365">
        <v>5389533</v>
      </c>
      <c r="B6365">
        <v>5389289</v>
      </c>
      <c r="C6365" t="s">
        <v>12</v>
      </c>
      <c r="D6365" t="s">
        <v>8</v>
      </c>
      <c r="E6365" s="2" t="str">
        <f>HYPERLINK("https://ibp.a2mac1.com/costing(costing:projects/details/8191/part/5389533)","Part 03")</f>
        <v>Part 03</v>
      </c>
      <c r="F6365" t="s">
        <v>6770</v>
      </c>
    </row>
    <row r="6366" spans="1:6" ht="12.75">
      <c r="A6366">
        <v>6975999</v>
      </c>
      <c r="B6366">
        <v>5389533</v>
      </c>
      <c r="C6366" t="s">
        <v>99</v>
      </c>
      <c r="D6366" t="s">
        <v>12</v>
      </c>
      <c r="E6366" s="2" t="str">
        <f>HYPERLINK("https://ibp.a2mac1.com/costing(costing:projects/details/8191/process/6975999)","MANUFACTURING  PROCESS")</f>
        <v>MANUFACTURING  PROCESS</v>
      </c>
      <c r="F6366" t="s">
        <v>6775</v>
      </c>
    </row>
    <row r="6367" spans="1:6" ht="12.75">
      <c r="A6367">
        <v>5320459</v>
      </c>
      <c r="B6367">
        <v>6975999</v>
      </c>
      <c r="C6367" t="s">
        <v>24</v>
      </c>
      <c r="D6367" t="s">
        <v>99</v>
      </c>
      <c r="E6367" s="2" t="str">
        <f>HYPERLINK("https://ibp.a2mac1.com/costing(costing:projects/details/8191/material/5320459)","Standard Structural Steel sheet")</f>
        <v>Standard Structural Steel sheet</v>
      </c>
      <c r="F6367" t="s">
        <v>6776</v>
      </c>
    </row>
    <row r="6368" spans="1:6" ht="12.75">
      <c r="A6368">
        <v>6948607</v>
      </c>
      <c r="B6368">
        <v>6975999</v>
      </c>
      <c r="C6368" t="s">
        <v>189</v>
      </c>
      <c r="D6368" t="s">
        <v>99</v>
      </c>
      <c r="E6368" s="2" t="str">
        <f>HYPERLINK("https://ibp.a2mac1.com/costing(costing:projects/details/8191/equipment/6948607)","Manufacturing Equipment")</f>
        <v>Manufacturing Equipment</v>
      </c>
      <c r="F6368" t="s">
        <v>6776</v>
      </c>
    </row>
    <row r="6369" spans="1:6" ht="12.75">
      <c r="A6369">
        <v>5389534</v>
      </c>
      <c r="B6369">
        <v>5389289</v>
      </c>
      <c r="C6369" t="s">
        <v>12</v>
      </c>
      <c r="D6369" t="s">
        <v>8</v>
      </c>
      <c r="E6369" s="2" t="str">
        <f>HYPERLINK("https://ibp.a2mac1.com/costing(costing:projects/details/8191/part/5389534)","Part 04")</f>
        <v>Part 04</v>
      </c>
      <c r="F6369" t="s">
        <v>6770</v>
      </c>
    </row>
    <row r="6370" spans="1:6" ht="12.75">
      <c r="A6370">
        <v>6976000</v>
      </c>
      <c r="B6370">
        <v>5389534</v>
      </c>
      <c r="C6370" t="s">
        <v>99</v>
      </c>
      <c r="D6370" t="s">
        <v>12</v>
      </c>
      <c r="E6370" s="2" t="str">
        <f>HYPERLINK("https://ibp.a2mac1.com/costing(costing:projects/details/8191/process/6976000)","MANUFACTURING  PROCESS")</f>
        <v>MANUFACTURING  PROCESS</v>
      </c>
      <c r="F6370" t="s">
        <v>6777</v>
      </c>
    </row>
    <row r="6371" spans="1:6" ht="12.75">
      <c r="A6371">
        <v>5320460</v>
      </c>
      <c r="B6371">
        <v>6976000</v>
      </c>
      <c r="C6371" t="s">
        <v>24</v>
      </c>
      <c r="D6371" t="s">
        <v>99</v>
      </c>
      <c r="E6371" s="2" t="str">
        <f>HYPERLINK("https://ibp.a2mac1.com/costing(costing:projects/details/8191/material/5320460)","Standard Structural Steel sheet")</f>
        <v>Standard Structural Steel sheet</v>
      </c>
      <c r="F6371" t="s">
        <v>6779</v>
      </c>
    </row>
    <row r="6372" spans="1:6" ht="12.75">
      <c r="A6372">
        <v>6948608</v>
      </c>
      <c r="B6372">
        <v>6976000</v>
      </c>
      <c r="C6372" t="s">
        <v>189</v>
      </c>
      <c r="D6372" t="s">
        <v>99</v>
      </c>
      <c r="E6372" s="2" t="str">
        <f>HYPERLINK("https://ibp.a2mac1.com/costing(costing:projects/details/8191/equipment/6948608)","Manufacturing Equipment")</f>
        <v>Manufacturing Equipment</v>
      </c>
      <c r="F6372" t="s">
        <v>6779</v>
      </c>
    </row>
    <row r="6373" spans="1:6" ht="12.75">
      <c r="A6373">
        <v>5389535</v>
      </c>
      <c r="B6373">
        <v>5389289</v>
      </c>
      <c r="C6373" t="s">
        <v>12</v>
      </c>
      <c r="D6373" t="s">
        <v>8</v>
      </c>
      <c r="E6373" s="2" t="str">
        <f>HYPERLINK("https://ibp.a2mac1.com/costing(costing:projects/details/8191/part/5389535)","Part 05")</f>
        <v>Part 05</v>
      </c>
      <c r="F6373" t="s">
        <v>6770</v>
      </c>
    </row>
    <row r="6374" spans="1:6" ht="12.75">
      <c r="A6374">
        <v>6976001</v>
      </c>
      <c r="B6374">
        <v>5389535</v>
      </c>
      <c r="C6374" t="s">
        <v>99</v>
      </c>
      <c r="D6374" t="s">
        <v>12</v>
      </c>
      <c r="E6374" s="2" t="str">
        <f>HYPERLINK("https://ibp.a2mac1.com/costing(costing:projects/details/8191/process/6976001)","MANUFACTURING  PROCESS")</f>
        <v>MANUFACTURING  PROCESS</v>
      </c>
      <c r="F6374" t="s">
        <v>6780</v>
      </c>
    </row>
    <row r="6375" spans="1:6" ht="12.75">
      <c r="A6375">
        <v>5320461</v>
      </c>
      <c r="B6375">
        <v>6976001</v>
      </c>
      <c r="C6375" t="s">
        <v>24</v>
      </c>
      <c r="D6375" t="s">
        <v>99</v>
      </c>
      <c r="E6375" s="2" t="str">
        <f>HYPERLINK("https://ibp.a2mac1.com/costing(costing:projects/details/8191/material/5320461)","Standard Structural Steel sheet")</f>
        <v>Standard Structural Steel sheet</v>
      </c>
      <c r="F6375" t="s">
        <v>6782</v>
      </c>
    </row>
    <row r="6376" spans="1:6" ht="12.75">
      <c r="A6376">
        <v>6948609</v>
      </c>
      <c r="B6376">
        <v>6976001</v>
      </c>
      <c r="C6376" t="s">
        <v>189</v>
      </c>
      <c r="D6376" t="s">
        <v>99</v>
      </c>
      <c r="E6376" s="2" t="str">
        <f>HYPERLINK("https://ibp.a2mac1.com/costing(costing:projects/details/8191/equipment/6948609)","Manufacturing Equipment")</f>
        <v>Manufacturing Equipment</v>
      </c>
      <c r="F6376" t="s">
        <v>6782</v>
      </c>
    </row>
    <row r="6377" spans="1:6" ht="12.75">
      <c r="A6377">
        <v>5389536</v>
      </c>
      <c r="B6377">
        <v>5389289</v>
      </c>
      <c r="C6377" t="s">
        <v>12</v>
      </c>
      <c r="D6377" t="s">
        <v>8</v>
      </c>
      <c r="E6377" s="2" t="str">
        <f>HYPERLINK("https://ibp.a2mac1.com/costing(costing:projects/details/8191/part/5389536)","Part 06")</f>
        <v>Part 06</v>
      </c>
      <c r="F6377" t="s">
        <v>6770</v>
      </c>
    </row>
    <row r="6378" spans="1:6" ht="12.75">
      <c r="A6378">
        <v>6976002</v>
      </c>
      <c r="B6378">
        <v>5389536</v>
      </c>
      <c r="C6378" t="s">
        <v>99</v>
      </c>
      <c r="D6378" t="s">
        <v>12</v>
      </c>
      <c r="E6378" s="2" t="str">
        <f>HYPERLINK("https://ibp.a2mac1.com/costing(costing:projects/details/8191/process/6976002)","MANUFACTURING  PROCESS")</f>
        <v>MANUFACTURING  PROCESS</v>
      </c>
      <c r="F6378" t="s">
        <v>6783</v>
      </c>
    </row>
    <row r="6379" spans="1:6" ht="12.75">
      <c r="A6379">
        <v>5320462</v>
      </c>
      <c r="B6379">
        <v>6976002</v>
      </c>
      <c r="C6379" t="s">
        <v>24</v>
      </c>
      <c r="D6379" t="s">
        <v>99</v>
      </c>
      <c r="E6379" s="2" t="str">
        <f>HYPERLINK("https://ibp.a2mac1.com/costing(costing:projects/details/8191/material/5320462)","Standard Structural Steel sheet")</f>
        <v>Standard Structural Steel sheet</v>
      </c>
      <c r="F6379" t="s">
        <v>6784</v>
      </c>
    </row>
    <row r="6380" spans="1:6" ht="12.75">
      <c r="A6380">
        <v>6948610</v>
      </c>
      <c r="B6380">
        <v>6976002</v>
      </c>
      <c r="C6380" t="s">
        <v>189</v>
      </c>
      <c r="D6380" t="s">
        <v>99</v>
      </c>
      <c r="E6380" s="2" t="str">
        <f>HYPERLINK("https://ibp.a2mac1.com/costing(costing:projects/details/8191/equipment/6948610)","Manufacturing Equipment")</f>
        <v>Manufacturing Equipment</v>
      </c>
      <c r="F6380" t="s">
        <v>6784</v>
      </c>
    </row>
    <row r="6381" spans="1:6" ht="12.75">
      <c r="A6381">
        <v>5389537</v>
      </c>
      <c r="B6381">
        <v>5389289</v>
      </c>
      <c r="C6381" t="s">
        <v>12</v>
      </c>
      <c r="D6381" t="s">
        <v>8</v>
      </c>
      <c r="E6381" s="2" t="str">
        <f>HYPERLINK("https://ibp.a2mac1.com/costing(costing:projects/details/8191/part/5389537)","Part 07")</f>
        <v>Part 07</v>
      </c>
      <c r="F6381" t="s">
        <v>6770</v>
      </c>
    </row>
    <row r="6382" spans="1:6" ht="12.75">
      <c r="A6382">
        <v>6976003</v>
      </c>
      <c r="B6382">
        <v>5389537</v>
      </c>
      <c r="C6382" t="s">
        <v>99</v>
      </c>
      <c r="D6382" t="s">
        <v>12</v>
      </c>
      <c r="E6382" s="2" t="str">
        <f>HYPERLINK("https://ibp.a2mac1.com/costing(costing:projects/details/8191/process/6976003)","MANUFACTURING  PROCESS")</f>
        <v>MANUFACTURING  PROCESS</v>
      </c>
      <c r="F6382" t="s">
        <v>6785</v>
      </c>
    </row>
    <row r="6383" spans="1:6" ht="12.75">
      <c r="A6383">
        <v>5320463</v>
      </c>
      <c r="B6383">
        <v>6976003</v>
      </c>
      <c r="C6383" t="s">
        <v>24</v>
      </c>
      <c r="D6383" t="s">
        <v>99</v>
      </c>
      <c r="E6383" s="2" t="str">
        <f>HYPERLINK("https://ibp.a2mac1.com/costing(costing:projects/details/8191/material/5320463)","Standard Structural Steel sheet")</f>
        <v>Standard Structural Steel sheet</v>
      </c>
      <c r="F6383" t="s">
        <v>6786</v>
      </c>
    </row>
    <row r="6384" spans="1:6" ht="12.75">
      <c r="A6384">
        <v>6948611</v>
      </c>
      <c r="B6384">
        <v>6976003</v>
      </c>
      <c r="C6384" t="s">
        <v>189</v>
      </c>
      <c r="D6384" t="s">
        <v>99</v>
      </c>
      <c r="E6384" s="2" t="str">
        <f>HYPERLINK("https://ibp.a2mac1.com/costing(costing:projects/details/8191/equipment/6948611)","Manufacturing Equipment")</f>
        <v>Manufacturing Equipment</v>
      </c>
      <c r="F6384" t="s">
        <v>6786</v>
      </c>
    </row>
    <row r="6385" spans="1:6" ht="12.75">
      <c r="A6385">
        <v>5388954</v>
      </c>
      <c r="B6385">
        <v>5388633</v>
      </c>
      <c r="C6385" t="s">
        <v>8</v>
      </c>
      <c r="D6385" t="s">
        <v>8</v>
      </c>
      <c r="E6385" s="2" t="str">
        <f>HYPERLINK("https://ibp.a2mac1.com/costing(costing:projects/details/8191/assembly/5388954)","Dash panel assy")</f>
        <v>Dash panel assy</v>
      </c>
      <c r="F6385" t="s">
        <v>6687</v>
      </c>
    </row>
    <row r="6386" spans="1:6" ht="12.75">
      <c r="A6386">
        <v>5389290</v>
      </c>
      <c r="B6386">
        <v>5388954</v>
      </c>
      <c r="C6386" t="s">
        <v>8</v>
      </c>
      <c r="D6386" t="s">
        <v>8</v>
      </c>
      <c r="E6386" s="2" t="str">
        <f>HYPERLINK("https://ibp.a2mac1.com/costing(costing:projects/details/8191/assembly/5389290)","Dash panel")</f>
        <v>Dash panel</v>
      </c>
      <c r="F6386" t="s">
        <v>6787</v>
      </c>
    </row>
    <row r="6387" spans="1:6" ht="12.75">
      <c r="A6387">
        <v>5389538</v>
      </c>
      <c r="B6387">
        <v>5389290</v>
      </c>
      <c r="C6387" t="s">
        <v>12</v>
      </c>
      <c r="D6387" t="s">
        <v>8</v>
      </c>
      <c r="E6387" s="2" t="str">
        <f>HYPERLINK("https://ibp.a2mac1.com/costing(costing:projects/details/8191/part/5389538)","Part 01 single/main/upper")</f>
        <v>Part 01 single/main/upper</v>
      </c>
      <c r="F6387" t="s">
        <v>6788</v>
      </c>
    </row>
    <row r="6388" spans="1:6" ht="12.75">
      <c r="A6388">
        <v>6976004</v>
      </c>
      <c r="B6388">
        <v>5389538</v>
      </c>
      <c r="C6388" t="s">
        <v>99</v>
      </c>
      <c r="D6388" t="s">
        <v>12</v>
      </c>
      <c r="E6388" s="2" t="str">
        <f>HYPERLINK("https://ibp.a2mac1.com/costing(costing:projects/details/8191/process/6976004)","MANUFACTURING  PROCESS")</f>
        <v>MANUFACTURING  PROCESS</v>
      </c>
      <c r="F6388" t="s">
        <v>6789</v>
      </c>
    </row>
    <row r="6389" spans="1:6" ht="12.75">
      <c r="A6389">
        <v>5320464</v>
      </c>
      <c r="B6389">
        <v>6976004</v>
      </c>
      <c r="C6389" t="s">
        <v>24</v>
      </c>
      <c r="D6389" t="s">
        <v>99</v>
      </c>
      <c r="E6389" s="2" t="str">
        <f>HYPERLINK("https://ibp.a2mac1.com/costing(costing:projects/details/8191/material/5320464)","Standard Structural Steel sheet")</f>
        <v>Standard Structural Steel sheet</v>
      </c>
      <c r="F6389" t="s">
        <v>6792</v>
      </c>
    </row>
    <row r="6390" spans="1:6" ht="12.75">
      <c r="A6390">
        <v>6948612</v>
      </c>
      <c r="B6390">
        <v>6976004</v>
      </c>
      <c r="C6390" t="s">
        <v>189</v>
      </c>
      <c r="D6390" t="s">
        <v>99</v>
      </c>
      <c r="E6390" s="2" t="str">
        <f>HYPERLINK("https://ibp.a2mac1.com/costing(costing:projects/details/8191/equipment/6948612)","Manufacturing Equipment")</f>
        <v>Manufacturing Equipment</v>
      </c>
      <c r="F6390" t="s">
        <v>6792</v>
      </c>
    </row>
    <row r="6391" spans="1:6" ht="12.75">
      <c r="A6391">
        <v>5389291</v>
      </c>
      <c r="B6391">
        <v>5388954</v>
      </c>
      <c r="C6391" t="s">
        <v>8</v>
      </c>
      <c r="D6391" t="s">
        <v>8</v>
      </c>
      <c r="E6391" s="2" t="str">
        <f>HYPERLINK("https://ibp.a2mac1.com/costing(costing:projects/details/8191/assembly/5389291)","Cross member assy")</f>
        <v>Cross member assy</v>
      </c>
      <c r="F6391" t="s">
        <v>6787</v>
      </c>
    </row>
    <row r="6392" spans="1:6" ht="12.75">
      <c r="A6392">
        <v>5389539</v>
      </c>
      <c r="B6392">
        <v>5389291</v>
      </c>
      <c r="C6392" t="s">
        <v>8</v>
      </c>
      <c r="D6392" t="s">
        <v>8</v>
      </c>
      <c r="E6392" s="2" t="str">
        <f>HYPERLINK("https://ibp.a2mac1.com/costing(costing:projects/details/8191/assembly/5389539)","Cross member")</f>
        <v>Cross member</v>
      </c>
      <c r="F6392" t="s">
        <v>6793</v>
      </c>
    </row>
    <row r="6393" spans="1:6" ht="12.75">
      <c r="A6393">
        <v>5389729</v>
      </c>
      <c r="B6393">
        <v>5389539</v>
      </c>
      <c r="C6393" t="s">
        <v>12</v>
      </c>
      <c r="D6393" t="s">
        <v>8</v>
      </c>
      <c r="E6393" s="2" t="str">
        <f>HYPERLINK("https://ibp.a2mac1.com/costing(costing:projects/details/8191/part/5389729)"," Part 01 single/main")</f>
        <v xml:space="preserve"> Part 01 single/main</v>
      </c>
      <c r="F6393" t="s">
        <v>6794</v>
      </c>
    </row>
    <row r="6394" spans="1:6" ht="12.75">
      <c r="A6394">
        <v>6976152</v>
      </c>
      <c r="B6394">
        <v>5389729</v>
      </c>
      <c r="C6394" t="s">
        <v>99</v>
      </c>
      <c r="D6394" t="s">
        <v>12</v>
      </c>
      <c r="E6394" s="2" t="str">
        <f>HYPERLINK("https://ibp.a2mac1.com/costing(costing:projects/details/8191/process/6976152)","MANUFACTURING  PROCESS")</f>
        <v>MANUFACTURING  PROCESS</v>
      </c>
      <c r="F6394" t="s">
        <v>6795</v>
      </c>
    </row>
    <row r="6395" spans="1:6" ht="12.75">
      <c r="A6395">
        <v>5320561</v>
      </c>
      <c r="B6395">
        <v>6976152</v>
      </c>
      <c r="C6395" t="s">
        <v>24</v>
      </c>
      <c r="D6395" t="s">
        <v>99</v>
      </c>
      <c r="E6395" s="2" t="str">
        <f>HYPERLINK("https://ibp.a2mac1.com/costing(costing:projects/details/8191/material/5320561)","Standard Structural Steel sheet")</f>
        <v>Standard Structural Steel sheet</v>
      </c>
      <c r="F6395" t="s">
        <v>6797</v>
      </c>
    </row>
    <row r="6396" spans="1:6" ht="12.75">
      <c r="A6396">
        <v>6948746</v>
      </c>
      <c r="B6396">
        <v>6976152</v>
      </c>
      <c r="C6396" t="s">
        <v>189</v>
      </c>
      <c r="D6396" t="s">
        <v>99</v>
      </c>
      <c r="E6396" s="2" t="str">
        <f>HYPERLINK("https://ibp.a2mac1.com/costing(costing:projects/details/8191/equipment/6948746)","Manufacturing Equipment")</f>
        <v>Manufacturing Equipment</v>
      </c>
      <c r="F6396" t="s">
        <v>6797</v>
      </c>
    </row>
    <row r="6397" spans="1:6" ht="12.75">
      <c r="A6397">
        <v>5389540</v>
      </c>
      <c r="B6397">
        <v>5389291</v>
      </c>
      <c r="C6397" t="s">
        <v>8</v>
      </c>
      <c r="D6397" t="s">
        <v>8</v>
      </c>
      <c r="E6397" s="2" t="str">
        <f>HYPERLINK("https://ibp.a2mac1.com/costing(costing:projects/details/8191/assembly/5389540)","Gussets")</f>
        <v>Gussets</v>
      </c>
      <c r="F6397" t="s">
        <v>6793</v>
      </c>
    </row>
    <row r="6398" spans="1:6" ht="12.75">
      <c r="A6398">
        <v>5389730</v>
      </c>
      <c r="B6398">
        <v>5389540</v>
      </c>
      <c r="C6398" t="s">
        <v>12</v>
      </c>
      <c r="D6398" t="s">
        <v>8</v>
      </c>
      <c r="E6398" s="2" t="str">
        <f>HYPERLINK("https://ibp.a2mac1.com/costing(costing:projects/details/8191/part/5389730)","Part 01 single/main")</f>
        <v>Part 01 single/main</v>
      </c>
      <c r="F6398" t="s">
        <v>6798</v>
      </c>
    </row>
    <row r="6399" spans="1:6" ht="12.75">
      <c r="A6399">
        <v>6976153</v>
      </c>
      <c r="B6399">
        <v>5389730</v>
      </c>
      <c r="C6399" t="s">
        <v>99</v>
      </c>
      <c r="D6399" t="s">
        <v>12</v>
      </c>
      <c r="E6399" s="2" t="str">
        <f>HYPERLINK("https://ibp.a2mac1.com/costing(costing:projects/details/8191/process/6976153)","MANUFACTURING  PROCESS")</f>
        <v>MANUFACTURING  PROCESS</v>
      </c>
      <c r="F6399" t="s">
        <v>6799</v>
      </c>
    </row>
    <row r="6400" spans="1:6" ht="12.75">
      <c r="A6400">
        <v>5320562</v>
      </c>
      <c r="B6400">
        <v>6976153</v>
      </c>
      <c r="C6400" t="s">
        <v>24</v>
      </c>
      <c r="D6400" t="s">
        <v>99</v>
      </c>
      <c r="E6400" s="2" t="str">
        <f>HYPERLINK("https://ibp.a2mac1.com/costing(costing:projects/details/8191/material/5320562)","Standard Structural Steel sheet")</f>
        <v>Standard Structural Steel sheet</v>
      </c>
      <c r="F6400" t="s">
        <v>6800</v>
      </c>
    </row>
    <row r="6401" spans="1:6" ht="12.75">
      <c r="A6401">
        <v>6948747</v>
      </c>
      <c r="B6401">
        <v>6976153</v>
      </c>
      <c r="C6401" t="s">
        <v>189</v>
      </c>
      <c r="D6401" t="s">
        <v>99</v>
      </c>
      <c r="E6401" s="2" t="str">
        <f>HYPERLINK("https://ibp.a2mac1.com/costing(costing:projects/details/8191/equipment/6948747)","Manufacturing Equipment")</f>
        <v>Manufacturing Equipment</v>
      </c>
      <c r="F6401" t="s">
        <v>6800</v>
      </c>
    </row>
    <row r="6402" spans="1:6" ht="12.75">
      <c r="A6402">
        <v>5388955</v>
      </c>
      <c r="B6402">
        <v>5388633</v>
      </c>
      <c r="C6402" t="s">
        <v>8</v>
      </c>
      <c r="D6402" t="s">
        <v>8</v>
      </c>
      <c r="E6402" s="2" t="str">
        <f>HYPERLINK("https://ibp.a2mac1.com/costing(costing:projects/details/8191/assembly/5388955)","A pillar inner skin")</f>
        <v>A pillar inner skin</v>
      </c>
      <c r="F6402" t="s">
        <v>6687</v>
      </c>
    </row>
    <row r="6403" spans="1:6" ht="12.75">
      <c r="A6403">
        <v>5389292</v>
      </c>
      <c r="B6403">
        <v>5388955</v>
      </c>
      <c r="C6403" t="s">
        <v>8</v>
      </c>
      <c r="D6403" t="s">
        <v>8</v>
      </c>
      <c r="E6403" s="2" t="str">
        <f>HYPERLINK("https://ibp.a2mac1.com/costing(costing:projects/details/8191/assembly/5389292)","Inner skin")</f>
        <v>Inner skin</v>
      </c>
      <c r="F6403" t="s">
        <v>6801</v>
      </c>
    </row>
    <row r="6404" spans="1:6" ht="12.75">
      <c r="A6404">
        <v>5389541</v>
      </c>
      <c r="B6404">
        <v>5389292</v>
      </c>
      <c r="C6404" t="s">
        <v>12</v>
      </c>
      <c r="D6404" t="s">
        <v>8</v>
      </c>
      <c r="E6404" s="2" t="str">
        <f>HYPERLINK("https://ibp.a2mac1.com/costing(costing:projects/details/8191/part/5389541)","Part 01 single/main/front")</f>
        <v>Part 01 single/main/front</v>
      </c>
      <c r="F6404" t="s">
        <v>6802</v>
      </c>
    </row>
    <row r="6405" spans="1:6" ht="12.75">
      <c r="A6405">
        <v>6976005</v>
      </c>
      <c r="B6405">
        <v>5389541</v>
      </c>
      <c r="C6405" t="s">
        <v>99</v>
      </c>
      <c r="D6405" t="s">
        <v>12</v>
      </c>
      <c r="E6405" s="2" t="str">
        <f>HYPERLINK("https://ibp.a2mac1.com/costing(costing:projects/details/8191/process/6976005)","MANUFACTURING  PROCESS")</f>
        <v>MANUFACTURING  PROCESS</v>
      </c>
      <c r="F6405" t="s">
        <v>6803</v>
      </c>
    </row>
    <row r="6406" spans="1:6" ht="12.75">
      <c r="A6406">
        <v>5320465</v>
      </c>
      <c r="B6406">
        <v>6976005</v>
      </c>
      <c r="C6406" t="s">
        <v>24</v>
      </c>
      <c r="D6406" t="s">
        <v>99</v>
      </c>
      <c r="E6406" s="2" t="str">
        <f>HYPERLINK("https://ibp.a2mac1.com/costing(costing:projects/details/8191/material/5320465)","Steel sheet (Hot Forming Steel)")</f>
        <v>Steel sheet (Hot Forming Steel)</v>
      </c>
      <c r="F6406" t="s">
        <v>6805</v>
      </c>
    </row>
    <row r="6407" spans="1:6" ht="12.75">
      <c r="A6407">
        <v>6948614</v>
      </c>
      <c r="B6407">
        <v>6976005</v>
      </c>
      <c r="C6407" t="s">
        <v>189</v>
      </c>
      <c r="D6407" t="s">
        <v>99</v>
      </c>
      <c r="E6407" s="2" t="str">
        <f>HYPERLINK("https://ibp.a2mac1.com/costing(costing:projects/details/8191/equipment/6948614)","Manufacturing Equipment")</f>
        <v>Manufacturing Equipment</v>
      </c>
      <c r="F6407" t="s">
        <v>6805</v>
      </c>
    </row>
    <row r="6408" spans="1:6" ht="12.75">
      <c r="A6408">
        <v>5389542</v>
      </c>
      <c r="B6408">
        <v>5389292</v>
      </c>
      <c r="C6408" t="s">
        <v>12</v>
      </c>
      <c r="D6408" t="s">
        <v>8</v>
      </c>
      <c r="E6408" s="2" t="str">
        <f>HYPERLINK("https://ibp.a2mac1.com/costing(costing:projects/details/8191/part/5389542)"," Part 02")</f>
        <v xml:space="preserve"> Part 02</v>
      </c>
      <c r="F6408" t="s">
        <v>6802</v>
      </c>
    </row>
    <row r="6409" spans="1:6" ht="12.75">
      <c r="A6409">
        <v>6976006</v>
      </c>
      <c r="B6409">
        <v>5389542</v>
      </c>
      <c r="C6409" t="s">
        <v>99</v>
      </c>
      <c r="D6409" t="s">
        <v>12</v>
      </c>
      <c r="E6409" s="2" t="str">
        <f>HYPERLINK("https://ibp.a2mac1.com/costing(costing:projects/details/8191/process/6976006)","MANUFACTURING  PROCESS")</f>
        <v>MANUFACTURING  PROCESS</v>
      </c>
      <c r="F6409" t="s">
        <v>6806</v>
      </c>
    </row>
    <row r="6410" spans="1:6" ht="12.75">
      <c r="A6410">
        <v>5320466</v>
      </c>
      <c r="B6410">
        <v>6976006</v>
      </c>
      <c r="C6410" t="s">
        <v>24</v>
      </c>
      <c r="D6410" t="s">
        <v>99</v>
      </c>
      <c r="E6410" s="2" t="str">
        <f>HYPERLINK("https://ibp.a2mac1.com/costing(costing:projects/details/8191/material/5320466)","Standard Structural Steel sheet")</f>
        <v>Standard Structural Steel sheet</v>
      </c>
      <c r="F6410" t="s">
        <v>6809</v>
      </c>
    </row>
    <row r="6411" spans="1:6" ht="12.75">
      <c r="A6411">
        <v>6948615</v>
      </c>
      <c r="B6411">
        <v>6976006</v>
      </c>
      <c r="C6411" t="s">
        <v>189</v>
      </c>
      <c r="D6411" t="s">
        <v>99</v>
      </c>
      <c r="E6411" s="2" t="str">
        <f>HYPERLINK("https://ibp.a2mac1.com/costing(costing:projects/details/8191/equipment/6948615)","Manufacturing Equipment")</f>
        <v>Manufacturing Equipment</v>
      </c>
      <c r="F6411" t="s">
        <v>6809</v>
      </c>
    </row>
    <row r="6412" spans="1:6" ht="12.75">
      <c r="A6412">
        <v>5389293</v>
      </c>
      <c r="B6412">
        <v>5388955</v>
      </c>
      <c r="C6412" t="s">
        <v>8</v>
      </c>
      <c r="D6412" t="s">
        <v>8</v>
      </c>
      <c r="E6412" s="2" t="str">
        <f>HYPERLINK("https://ibp.a2mac1.com/costing(costing:projects/details/8191/assembly/5389293)","Fixing parts")</f>
        <v>Fixing parts</v>
      </c>
      <c r="F6412" t="s">
        <v>6801</v>
      </c>
    </row>
    <row r="6413" spans="1:6" ht="12.75">
      <c r="A6413">
        <v>5389543</v>
      </c>
      <c r="B6413">
        <v>5389293</v>
      </c>
      <c r="C6413" t="s">
        <v>12</v>
      </c>
      <c r="D6413" t="s">
        <v>8</v>
      </c>
      <c r="E6413" s="2" t="str">
        <f>HYPERLINK("https://ibp.a2mac1.com/costing(costing:projects/details/8191/part/5389543)","Part 01 single/main")</f>
        <v>Part 01 single/main</v>
      </c>
      <c r="F6413" t="s">
        <v>6810</v>
      </c>
    </row>
    <row r="6414" spans="1:6" ht="12.75">
      <c r="A6414">
        <v>6976007</v>
      </c>
      <c r="B6414">
        <v>5389543</v>
      </c>
      <c r="C6414" t="s">
        <v>99</v>
      </c>
      <c r="D6414" t="s">
        <v>12</v>
      </c>
      <c r="E6414" s="2" t="str">
        <f>HYPERLINK("https://ibp.a2mac1.com/costing(costing:projects/details/8191/process/6976007)","MANUFACTURING  PROCESS")</f>
        <v>MANUFACTURING  PROCESS</v>
      </c>
      <c r="F6414" t="s">
        <v>6811</v>
      </c>
    </row>
    <row r="6415" spans="1:6" ht="12.75">
      <c r="A6415">
        <v>5320467</v>
      </c>
      <c r="B6415">
        <v>6976007</v>
      </c>
      <c r="C6415" t="s">
        <v>24</v>
      </c>
      <c r="D6415" t="s">
        <v>99</v>
      </c>
      <c r="E6415" s="2" t="str">
        <f>HYPERLINK("https://ibp.a2mac1.com/costing(costing:projects/details/8191/material/5320467)","Standard Structural Steel sheet")</f>
        <v>Standard Structural Steel sheet</v>
      </c>
      <c r="F6415" t="s">
        <v>6813</v>
      </c>
    </row>
    <row r="6416" spans="1:6" ht="12.75">
      <c r="A6416">
        <v>6948616</v>
      </c>
      <c r="B6416">
        <v>6976007</v>
      </c>
      <c r="C6416" t="s">
        <v>189</v>
      </c>
      <c r="D6416" t="s">
        <v>99</v>
      </c>
      <c r="E6416" s="2" t="str">
        <f>HYPERLINK("https://ibp.a2mac1.com/costing(costing:projects/details/8191/equipment/6948616)","Manufacturing Equipment")</f>
        <v>Manufacturing Equipment</v>
      </c>
      <c r="F6416" t="s">
        <v>6813</v>
      </c>
    </row>
    <row r="6417" spans="1:6" ht="12.75">
      <c r="A6417">
        <v>5388634</v>
      </c>
      <c r="B6417">
        <v>5388293</v>
      </c>
      <c r="C6417" t="s">
        <v>8</v>
      </c>
      <c r="D6417" t="s">
        <v>8</v>
      </c>
      <c r="E6417" s="2" t="str">
        <f>HYPERLINK("https://ibp.a2mac1.com/costing(costing:projects/details/8191/assembly/5388634)","Central unit")</f>
        <v>Central unit</v>
      </c>
      <c r="F6417" t="s">
        <v>6686</v>
      </c>
    </row>
    <row r="6418" spans="1:6" ht="12.75">
      <c r="A6418">
        <v>5388956</v>
      </c>
      <c r="B6418">
        <v>5388634</v>
      </c>
      <c r="C6418" t="s">
        <v>8</v>
      </c>
      <c r="D6418" t="s">
        <v>8</v>
      </c>
      <c r="E6418" s="2" t="str">
        <f>HYPERLINK("https://ibp.a2mac1.com/costing(costing:projects/details/8191/assembly/5388956)","Floor panel")</f>
        <v>Floor panel</v>
      </c>
      <c r="F6418" t="s">
        <v>6814</v>
      </c>
    </row>
    <row r="6419" spans="1:6" ht="12.75">
      <c r="A6419">
        <v>5389294</v>
      </c>
      <c r="B6419">
        <v>5388956</v>
      </c>
      <c r="C6419" t="s">
        <v>8</v>
      </c>
      <c r="D6419" t="s">
        <v>8</v>
      </c>
      <c r="E6419" s="2" t="str">
        <f>HYPERLINK("https://ibp.a2mac1.com/costing(costing:projects/details/8191/assembly/5389294)","Panel")</f>
        <v>Panel</v>
      </c>
      <c r="F6419" t="s">
        <v>6815</v>
      </c>
    </row>
    <row r="6420" spans="1:6" ht="12.75">
      <c r="A6420">
        <v>5389544</v>
      </c>
      <c r="B6420">
        <v>5389294</v>
      </c>
      <c r="C6420" t="s">
        <v>12</v>
      </c>
      <c r="D6420" t="s">
        <v>8</v>
      </c>
      <c r="E6420" s="2" t="str">
        <f>HYPERLINK("https://ibp.a2mac1.com/costing(costing:projects/details/8191/part/5389544)","Part 01 single/main/front")</f>
        <v>Part 01 single/main/front</v>
      </c>
      <c r="F6420" t="s">
        <v>6816</v>
      </c>
    </row>
    <row r="6421" spans="1:6" ht="12.75">
      <c r="A6421">
        <v>6976008</v>
      </c>
      <c r="B6421">
        <v>5389544</v>
      </c>
      <c r="C6421" t="s">
        <v>99</v>
      </c>
      <c r="D6421" t="s">
        <v>12</v>
      </c>
      <c r="E6421" s="2" t="str">
        <f>HYPERLINK("https://ibp.a2mac1.com/costing(costing:projects/details/8191/process/6976008)","MANUFACTURING  PROCESS")</f>
        <v>MANUFACTURING  PROCESS</v>
      </c>
      <c r="F6421" t="s">
        <v>6817</v>
      </c>
    </row>
    <row r="6422" spans="1:6" ht="12.75">
      <c r="A6422">
        <v>5320468</v>
      </c>
      <c r="B6422">
        <v>6976008</v>
      </c>
      <c r="C6422" t="s">
        <v>24</v>
      </c>
      <c r="D6422" t="s">
        <v>99</v>
      </c>
      <c r="E6422" s="2" t="str">
        <f>HYPERLINK("https://ibp.a2mac1.com/costing(costing:projects/details/8191/material/5320468)","Standard Structural Steel sheet")</f>
        <v>Standard Structural Steel sheet</v>
      </c>
      <c r="F6422" t="s">
        <v>6820</v>
      </c>
    </row>
    <row r="6423" spans="1:6" ht="12.75">
      <c r="A6423">
        <v>6948617</v>
      </c>
      <c r="B6423">
        <v>6976008</v>
      </c>
      <c r="C6423" t="s">
        <v>189</v>
      </c>
      <c r="D6423" t="s">
        <v>99</v>
      </c>
      <c r="E6423" s="2" t="str">
        <f>HYPERLINK("https://ibp.a2mac1.com/costing(costing:projects/details/8191/equipment/6948617)","Manufacturing Equipment")</f>
        <v>Manufacturing Equipment</v>
      </c>
      <c r="F6423" t="s">
        <v>6820</v>
      </c>
    </row>
    <row r="6424" spans="1:6" ht="12.75">
      <c r="A6424">
        <v>5389545</v>
      </c>
      <c r="B6424">
        <v>5389294</v>
      </c>
      <c r="C6424" t="s">
        <v>12</v>
      </c>
      <c r="D6424" t="s">
        <v>8</v>
      </c>
      <c r="E6424" s="2" t="str">
        <f>HYPERLINK("https://ibp.a2mac1.com/costing(costing:projects/details/8191/part/5389545)"," Part 02")</f>
        <v xml:space="preserve"> Part 02</v>
      </c>
      <c r="F6424" t="s">
        <v>6816</v>
      </c>
    </row>
    <row r="6425" spans="1:6" ht="12.75">
      <c r="A6425">
        <v>6976009</v>
      </c>
      <c r="B6425">
        <v>5389545</v>
      </c>
      <c r="C6425" t="s">
        <v>99</v>
      </c>
      <c r="D6425" t="s">
        <v>12</v>
      </c>
      <c r="E6425" s="2" t="str">
        <f>HYPERLINK("https://ibp.a2mac1.com/costing(costing:projects/details/8191/process/6976009)","MANUFACTURING  PROCESS")</f>
        <v>MANUFACTURING  PROCESS</v>
      </c>
      <c r="F6425" t="s">
        <v>6821</v>
      </c>
    </row>
    <row r="6426" spans="1:6" ht="12.75">
      <c r="A6426">
        <v>5320469</v>
      </c>
      <c r="B6426">
        <v>6976009</v>
      </c>
      <c r="C6426" t="s">
        <v>24</v>
      </c>
      <c r="D6426" t="s">
        <v>99</v>
      </c>
      <c r="E6426" s="2" t="str">
        <f>HYPERLINK("https://ibp.a2mac1.com/costing(costing:projects/details/8191/material/5320469)","Steel sheet (Hot Forming Steel)")</f>
        <v>Steel sheet (Hot Forming Steel)</v>
      </c>
      <c r="F6426" t="s">
        <v>6824</v>
      </c>
    </row>
    <row r="6427" spans="1:6" ht="12.75">
      <c r="A6427">
        <v>6948618</v>
      </c>
      <c r="B6427">
        <v>6976009</v>
      </c>
      <c r="C6427" t="s">
        <v>189</v>
      </c>
      <c r="D6427" t="s">
        <v>99</v>
      </c>
      <c r="E6427" s="2" t="str">
        <f>HYPERLINK("https://ibp.a2mac1.com/costing(costing:projects/details/8191/equipment/6948618)","Manufacturing Equipment")</f>
        <v>Manufacturing Equipment</v>
      </c>
      <c r="F6427" t="s">
        <v>6824</v>
      </c>
    </row>
    <row r="6428" spans="1:6" ht="12.75">
      <c r="A6428">
        <v>5389546</v>
      </c>
      <c r="B6428">
        <v>5389294</v>
      </c>
      <c r="C6428" t="s">
        <v>12</v>
      </c>
      <c r="D6428" t="s">
        <v>8</v>
      </c>
      <c r="E6428" s="2" t="str">
        <f>HYPERLINK("https://ibp.a2mac1.com/costing(costing:projects/details/8191/part/5389546)"," Part 03")</f>
        <v xml:space="preserve"> Part 03</v>
      </c>
      <c r="F6428" t="s">
        <v>6816</v>
      </c>
    </row>
    <row r="6429" spans="1:6" ht="12.75">
      <c r="A6429">
        <v>6976010</v>
      </c>
      <c r="B6429">
        <v>5389546</v>
      </c>
      <c r="C6429" t="s">
        <v>99</v>
      </c>
      <c r="D6429" t="s">
        <v>12</v>
      </c>
      <c r="E6429" s="2" t="str">
        <f>HYPERLINK("https://ibp.a2mac1.com/costing(costing:projects/details/8191/process/6976010)","MANUFACTURING  PROCESS")</f>
        <v>MANUFACTURING  PROCESS</v>
      </c>
      <c r="F6429" t="s">
        <v>6825</v>
      </c>
    </row>
    <row r="6430" spans="1:6" ht="12.75">
      <c r="A6430">
        <v>5320470</v>
      </c>
      <c r="B6430">
        <v>6976010</v>
      </c>
      <c r="C6430" t="s">
        <v>24</v>
      </c>
      <c r="D6430" t="s">
        <v>99</v>
      </c>
      <c r="E6430" s="2" t="str">
        <f>HYPERLINK("https://ibp.a2mac1.com/costing(costing:projects/details/8191/material/5320470)","Steel sheet (Hot Forming Steel)")</f>
        <v>Steel sheet (Hot Forming Steel)</v>
      </c>
      <c r="F6430" t="s">
        <v>6828</v>
      </c>
    </row>
    <row r="6431" spans="1:6" ht="12.75">
      <c r="A6431">
        <v>6948619</v>
      </c>
      <c r="B6431">
        <v>6976010</v>
      </c>
      <c r="C6431" t="s">
        <v>189</v>
      </c>
      <c r="D6431" t="s">
        <v>99</v>
      </c>
      <c r="E6431" s="2" t="str">
        <f>HYPERLINK("https://ibp.a2mac1.com/costing(costing:projects/details/8191/equipment/6948619)","Manufacturing Equipment")</f>
        <v>Manufacturing Equipment</v>
      </c>
      <c r="F6431" t="s">
        <v>6828</v>
      </c>
    </row>
    <row r="6432" spans="1:6" ht="12.75">
      <c r="A6432">
        <v>5389295</v>
      </c>
      <c r="B6432">
        <v>5388956</v>
      </c>
      <c r="C6432" t="s">
        <v>8</v>
      </c>
      <c r="D6432" t="s">
        <v>8</v>
      </c>
      <c r="E6432" s="2" t="str">
        <f>HYPERLINK("https://ibp.a2mac1.com/costing(costing:projects/details/8191/assembly/5389295)","Reinforcements")</f>
        <v>Reinforcements</v>
      </c>
      <c r="F6432" t="s">
        <v>6815</v>
      </c>
    </row>
    <row r="6433" spans="1:6" ht="12.75">
      <c r="A6433">
        <v>5389547</v>
      </c>
      <c r="B6433">
        <v>5389295</v>
      </c>
      <c r="C6433" t="s">
        <v>12</v>
      </c>
      <c r="D6433" t="s">
        <v>8</v>
      </c>
      <c r="E6433" s="2" t="str">
        <f>HYPERLINK("https://ibp.a2mac1.com/costing(costing:projects/details/8191/part/5389547)","Part 01 single/main")</f>
        <v>Part 01 single/main</v>
      </c>
      <c r="F6433" t="s">
        <v>6829</v>
      </c>
    </row>
    <row r="6434" spans="1:6" ht="12.75">
      <c r="A6434">
        <v>6976011</v>
      </c>
      <c r="B6434">
        <v>5389547</v>
      </c>
      <c r="C6434" t="s">
        <v>99</v>
      </c>
      <c r="D6434" t="s">
        <v>12</v>
      </c>
      <c r="E6434" s="2" t="str">
        <f>HYPERLINK("https://ibp.a2mac1.com/costing(costing:projects/details/8191/process/6976011)","MANUFACTURING  PROCESS")</f>
        <v>MANUFACTURING  PROCESS</v>
      </c>
      <c r="F6434" t="s">
        <v>6830</v>
      </c>
    </row>
    <row r="6435" spans="1:6" ht="12.75">
      <c r="A6435">
        <v>5320471</v>
      </c>
      <c r="B6435">
        <v>6976011</v>
      </c>
      <c r="C6435" t="s">
        <v>24</v>
      </c>
      <c r="D6435" t="s">
        <v>99</v>
      </c>
      <c r="E6435" s="2" t="str">
        <f>HYPERLINK("https://ibp.a2mac1.com/costing(costing:projects/details/8191/material/5320471)","Standard Structural Steel sheet")</f>
        <v>Standard Structural Steel sheet</v>
      </c>
      <c r="F6435" t="s">
        <v>6831</v>
      </c>
    </row>
    <row r="6436" spans="1:6" ht="12.75">
      <c r="A6436">
        <v>6948620</v>
      </c>
      <c r="B6436">
        <v>6976011</v>
      </c>
      <c r="C6436" t="s">
        <v>189</v>
      </c>
      <c r="D6436" t="s">
        <v>99</v>
      </c>
      <c r="E6436" s="2" t="str">
        <f>HYPERLINK("https://ibp.a2mac1.com/costing(costing:projects/details/8191/equipment/6948620)","Manufacturing Equipment")</f>
        <v>Manufacturing Equipment</v>
      </c>
      <c r="F6436" t="s">
        <v>6831</v>
      </c>
    </row>
    <row r="6437" spans="1:6" ht="12.75">
      <c r="A6437">
        <v>5389296</v>
      </c>
      <c r="B6437">
        <v>5388956</v>
      </c>
      <c r="C6437" t="s">
        <v>8</v>
      </c>
      <c r="D6437" t="s">
        <v>8</v>
      </c>
      <c r="E6437" s="2" t="str">
        <f>HYPERLINK("https://ibp.a2mac1.com/costing(costing:projects/details/8191/assembly/5389296)","Fixing parts")</f>
        <v>Fixing parts</v>
      </c>
      <c r="F6437" t="s">
        <v>6815</v>
      </c>
    </row>
    <row r="6438" spans="1:6" ht="12.75">
      <c r="A6438">
        <v>5389548</v>
      </c>
      <c r="B6438">
        <v>5389296</v>
      </c>
      <c r="C6438" t="s">
        <v>12</v>
      </c>
      <c r="D6438" t="s">
        <v>8</v>
      </c>
      <c r="E6438" s="2" t="str">
        <f>HYPERLINK("https://ibp.a2mac1.com/costing(costing:projects/details/8191/part/5389548)"," Part 01 single/main")</f>
        <v xml:space="preserve"> Part 01 single/main</v>
      </c>
      <c r="F6438" t="s">
        <v>6832</v>
      </c>
    </row>
    <row r="6439" spans="1:6" ht="12.75">
      <c r="A6439">
        <v>6976012</v>
      </c>
      <c r="B6439">
        <v>5389548</v>
      </c>
      <c r="C6439" t="s">
        <v>99</v>
      </c>
      <c r="D6439" t="s">
        <v>12</v>
      </c>
      <c r="E6439" s="2" t="str">
        <f>HYPERLINK("https://ibp.a2mac1.com/costing(costing:projects/details/8191/process/6976012)","MANUFACTURING  PROCESS")</f>
        <v>MANUFACTURING  PROCESS</v>
      </c>
      <c r="F6439" t="s">
        <v>6833</v>
      </c>
    </row>
    <row r="6440" spans="1:6" ht="12.75">
      <c r="A6440">
        <v>5320472</v>
      </c>
      <c r="B6440">
        <v>6976012</v>
      </c>
      <c r="C6440" t="s">
        <v>24</v>
      </c>
      <c r="D6440" t="s">
        <v>99</v>
      </c>
      <c r="E6440" s="2" t="str">
        <f>HYPERLINK("https://ibp.a2mac1.com/costing(costing:projects/details/8191/material/5320472)","Standard Structural Steel sheet")</f>
        <v>Standard Structural Steel sheet</v>
      </c>
      <c r="F6440" t="s">
        <v>6835</v>
      </c>
    </row>
    <row r="6441" spans="1:6" ht="12.75">
      <c r="A6441">
        <v>6948621</v>
      </c>
      <c r="B6441">
        <v>6976012</v>
      </c>
      <c r="C6441" t="s">
        <v>189</v>
      </c>
      <c r="D6441" t="s">
        <v>99</v>
      </c>
      <c r="E6441" s="2" t="str">
        <f>HYPERLINK("https://ibp.a2mac1.com/costing(costing:projects/details/8191/equipment/6948621)","Manufacturing Equipment")</f>
        <v>Manufacturing Equipment</v>
      </c>
      <c r="F6441" t="s">
        <v>6835</v>
      </c>
    </row>
    <row r="6442" spans="1:6" ht="12.75">
      <c r="A6442">
        <v>5388957</v>
      </c>
      <c r="B6442">
        <v>5388634</v>
      </c>
      <c r="C6442" t="s">
        <v>8</v>
      </c>
      <c r="D6442" t="s">
        <v>8</v>
      </c>
      <c r="E6442" s="2" t="str">
        <f>HYPERLINK("https://ibp.a2mac1.com/costing(costing:projects/details/8191/assembly/5388957)","Tunnel assy")</f>
        <v>Tunnel assy</v>
      </c>
      <c r="F6442" t="s">
        <v>6814</v>
      </c>
    </row>
    <row r="6443" spans="1:6" ht="12.75">
      <c r="A6443">
        <v>5389297</v>
      </c>
      <c r="B6443">
        <v>5388957</v>
      </c>
      <c r="C6443" t="s">
        <v>8</v>
      </c>
      <c r="D6443" t="s">
        <v>8</v>
      </c>
      <c r="E6443" s="2" t="str">
        <f>HYPERLINK("https://ibp.a2mac1.com/costing(costing:projects/details/8191/assembly/5389297)","Frame")</f>
        <v>Frame</v>
      </c>
      <c r="F6443" t="s">
        <v>6836</v>
      </c>
    </row>
    <row r="6444" spans="1:6" ht="12.75">
      <c r="A6444">
        <v>5389549</v>
      </c>
      <c r="B6444">
        <v>5389297</v>
      </c>
      <c r="C6444" t="s">
        <v>12</v>
      </c>
      <c r="D6444" t="s">
        <v>8</v>
      </c>
      <c r="E6444" s="2" t="str">
        <f>HYPERLINK("https://ibp.a2mac1.com/costing(costing:projects/details/8191/part/5389549)"," Part 01 single/main")</f>
        <v xml:space="preserve"> Part 01 single/main</v>
      </c>
      <c r="F6444" t="s">
        <v>6837</v>
      </c>
    </row>
    <row r="6445" spans="1:6" ht="12.75">
      <c r="A6445">
        <v>6976013</v>
      </c>
      <c r="B6445">
        <v>5389549</v>
      </c>
      <c r="C6445" t="s">
        <v>99</v>
      </c>
      <c r="D6445" t="s">
        <v>12</v>
      </c>
      <c r="E6445" s="2" t="str">
        <f>HYPERLINK("https://ibp.a2mac1.com/costing(costing:projects/details/8191/process/6976013)","MANUFACTURING  PROCESS")</f>
        <v>MANUFACTURING  PROCESS</v>
      </c>
      <c r="F6445" t="s">
        <v>6838</v>
      </c>
    </row>
    <row r="6446" spans="1:6" ht="12.75">
      <c r="A6446">
        <v>5320473</v>
      </c>
      <c r="B6446">
        <v>6976013</v>
      </c>
      <c r="C6446" t="s">
        <v>24</v>
      </c>
      <c r="D6446" t="s">
        <v>99</v>
      </c>
      <c r="E6446" s="2" t="str">
        <f>HYPERLINK("https://ibp.a2mac1.com/costing(costing:projects/details/8191/material/5320473)","Standard Structural Steel sheet")</f>
        <v>Standard Structural Steel sheet</v>
      </c>
      <c r="F6446" t="s">
        <v>6841</v>
      </c>
    </row>
    <row r="6447" spans="1:6" ht="12.75">
      <c r="A6447">
        <v>6948622</v>
      </c>
      <c r="B6447">
        <v>6976013</v>
      </c>
      <c r="C6447" t="s">
        <v>189</v>
      </c>
      <c r="D6447" t="s">
        <v>99</v>
      </c>
      <c r="E6447" s="2" t="str">
        <f>HYPERLINK("https://ibp.a2mac1.com/costing(costing:projects/details/8191/equipment/6948622)","Manufacturing Equipment")</f>
        <v>Manufacturing Equipment</v>
      </c>
      <c r="F6447" t="s">
        <v>6841</v>
      </c>
    </row>
    <row r="6448" spans="1:6" ht="12.75">
      <c r="A6448">
        <v>5389298</v>
      </c>
      <c r="B6448">
        <v>5388957</v>
      </c>
      <c r="C6448" t="s">
        <v>8</v>
      </c>
      <c r="D6448" t="s">
        <v>8</v>
      </c>
      <c r="E6448" s="2" t="str">
        <f>HYPERLINK("https://ibp.a2mac1.com/costing(costing:projects/details/8191/assembly/5389298)","Reinforcements")</f>
        <v>Reinforcements</v>
      </c>
      <c r="F6448" t="s">
        <v>6836</v>
      </c>
    </row>
    <row r="6449" spans="1:6" ht="12.75">
      <c r="A6449">
        <v>5389550</v>
      </c>
      <c r="B6449">
        <v>5389298</v>
      </c>
      <c r="C6449" t="s">
        <v>12</v>
      </c>
      <c r="D6449" t="s">
        <v>8</v>
      </c>
      <c r="E6449" s="2" t="str">
        <f>HYPERLINK("https://ibp.a2mac1.com/costing(costing:projects/details/8191/part/5389550)","Part 01 single/main")</f>
        <v>Part 01 single/main</v>
      </c>
      <c r="F6449" t="s">
        <v>6842</v>
      </c>
    </row>
    <row r="6450" spans="1:6" ht="12.75">
      <c r="A6450">
        <v>6976014</v>
      </c>
      <c r="B6450">
        <v>5389550</v>
      </c>
      <c r="C6450" t="s">
        <v>99</v>
      </c>
      <c r="D6450" t="s">
        <v>12</v>
      </c>
      <c r="E6450" s="2" t="str">
        <f>HYPERLINK("https://ibp.a2mac1.com/costing(costing:projects/details/8191/process/6976014)","MANUFACTURING  PROCESS")</f>
        <v>MANUFACTURING  PROCESS</v>
      </c>
      <c r="F6450" t="s">
        <v>6843</v>
      </c>
    </row>
    <row r="6451" spans="1:6" ht="12.75">
      <c r="A6451">
        <v>5320474</v>
      </c>
      <c r="B6451">
        <v>6976014</v>
      </c>
      <c r="C6451" t="s">
        <v>24</v>
      </c>
      <c r="D6451" t="s">
        <v>99</v>
      </c>
      <c r="E6451" s="2" t="str">
        <f>HYPERLINK("https://ibp.a2mac1.com/costing(costing:projects/details/8191/material/5320474)","Standard Structural Steel sheet")</f>
        <v>Standard Structural Steel sheet</v>
      </c>
      <c r="F6451" t="s">
        <v>6846</v>
      </c>
    </row>
    <row r="6452" spans="1:6" ht="12.75">
      <c r="A6452">
        <v>6948623</v>
      </c>
      <c r="B6452">
        <v>6976014</v>
      </c>
      <c r="C6452" t="s">
        <v>189</v>
      </c>
      <c r="D6452" t="s">
        <v>99</v>
      </c>
      <c r="E6452" s="2" t="str">
        <f>HYPERLINK("https://ibp.a2mac1.com/costing(costing:projects/details/8191/equipment/6948623)","Manufacturing Equipment")</f>
        <v>Manufacturing Equipment</v>
      </c>
      <c r="F6452" t="s">
        <v>6846</v>
      </c>
    </row>
    <row r="6453" spans="1:6" ht="12.75">
      <c r="A6453">
        <v>5389299</v>
      </c>
      <c r="B6453">
        <v>5388957</v>
      </c>
      <c r="C6453" t="s">
        <v>8</v>
      </c>
      <c r="D6453" t="s">
        <v>8</v>
      </c>
      <c r="E6453" s="2" t="str">
        <f>HYPERLINK("https://ibp.a2mac1.com/costing(costing:projects/details/8191/assembly/5389299)","Fixing parts")</f>
        <v>Fixing parts</v>
      </c>
      <c r="F6453" t="s">
        <v>6836</v>
      </c>
    </row>
    <row r="6454" spans="1:6" ht="12.75">
      <c r="A6454">
        <v>5389551</v>
      </c>
      <c r="B6454">
        <v>5389299</v>
      </c>
      <c r="C6454" t="s">
        <v>12</v>
      </c>
      <c r="D6454" t="s">
        <v>8</v>
      </c>
      <c r="E6454" s="2" t="str">
        <f>HYPERLINK("https://ibp.a2mac1.com/costing(costing:projects/details/8191/part/5389551)","Part 01 single/main")</f>
        <v>Part 01 single/main</v>
      </c>
      <c r="F6454" t="s">
        <v>6847</v>
      </c>
    </row>
    <row r="6455" spans="1:6" ht="12.75">
      <c r="A6455">
        <v>6976015</v>
      </c>
      <c r="B6455">
        <v>5389551</v>
      </c>
      <c r="C6455" t="s">
        <v>99</v>
      </c>
      <c r="D6455" t="s">
        <v>12</v>
      </c>
      <c r="E6455" s="2" t="str">
        <f>HYPERLINK("https://ibp.a2mac1.com/costing(costing:projects/details/8191/process/6976015)","MANUFACTURING  PROCESS")</f>
        <v>MANUFACTURING  PROCESS</v>
      </c>
      <c r="F6455" t="s">
        <v>6848</v>
      </c>
    </row>
    <row r="6456" spans="1:6" ht="12.75">
      <c r="A6456">
        <v>5320475</v>
      </c>
      <c r="B6456">
        <v>6976015</v>
      </c>
      <c r="C6456" t="s">
        <v>24</v>
      </c>
      <c r="D6456" t="s">
        <v>99</v>
      </c>
      <c r="E6456" s="2" t="str">
        <f>HYPERLINK("https://ibp.a2mac1.com/costing(costing:projects/details/8191/material/5320475)","Standard Structural Steel sheet")</f>
        <v>Standard Structural Steel sheet</v>
      </c>
      <c r="F6456" t="s">
        <v>6849</v>
      </c>
    </row>
    <row r="6457" spans="1:6" ht="12.75">
      <c r="A6457">
        <v>6948624</v>
      </c>
      <c r="B6457">
        <v>6976015</v>
      </c>
      <c r="C6457" t="s">
        <v>189</v>
      </c>
      <c r="D6457" t="s">
        <v>99</v>
      </c>
      <c r="E6457" s="2" t="str">
        <f>HYPERLINK("https://ibp.a2mac1.com/costing(costing:projects/details/8191/equipment/6948624)","Manufacturing Equipment")</f>
        <v>Manufacturing Equipment</v>
      </c>
      <c r="F6457" t="s">
        <v>6849</v>
      </c>
    </row>
    <row r="6458" spans="1:6" ht="12.75">
      <c r="A6458">
        <v>5389552</v>
      </c>
      <c r="B6458">
        <v>5389299</v>
      </c>
      <c r="C6458" t="s">
        <v>12</v>
      </c>
      <c r="D6458" t="s">
        <v>8</v>
      </c>
      <c r="E6458" s="2" t="str">
        <f>HYPERLINK("https://ibp.a2mac1.com/costing(costing:projects/details/8191/part/5389552)","Part 02")</f>
        <v>Part 02</v>
      </c>
      <c r="F6458" t="s">
        <v>6847</v>
      </c>
    </row>
    <row r="6459" spans="1:6" ht="12.75">
      <c r="A6459">
        <v>6976016</v>
      </c>
      <c r="B6459">
        <v>5389552</v>
      </c>
      <c r="C6459" t="s">
        <v>99</v>
      </c>
      <c r="D6459" t="s">
        <v>12</v>
      </c>
      <c r="E6459" s="2" t="str">
        <f>HYPERLINK("https://ibp.a2mac1.com/costing(costing:projects/details/8191/process/6976016)","MANUFACTURING  PROCESS")</f>
        <v>MANUFACTURING  PROCESS</v>
      </c>
      <c r="F6459" t="s">
        <v>6850</v>
      </c>
    </row>
    <row r="6460" spans="1:6" ht="12.75">
      <c r="A6460">
        <v>5320476</v>
      </c>
      <c r="B6460">
        <v>6976016</v>
      </c>
      <c r="C6460" t="s">
        <v>24</v>
      </c>
      <c r="D6460" t="s">
        <v>99</v>
      </c>
      <c r="E6460" s="2" t="str">
        <f>HYPERLINK("https://ibp.a2mac1.com/costing(costing:projects/details/8191/material/5320476)","Standard Structural Steel sheet")</f>
        <v>Standard Structural Steel sheet</v>
      </c>
      <c r="F6460" t="s">
        <v>6852</v>
      </c>
    </row>
    <row r="6461" spans="1:6" ht="12.75">
      <c r="A6461">
        <v>6948625</v>
      </c>
      <c r="B6461">
        <v>6976016</v>
      </c>
      <c r="C6461" t="s">
        <v>189</v>
      </c>
      <c r="D6461" t="s">
        <v>99</v>
      </c>
      <c r="E6461" s="2" t="str">
        <f>HYPERLINK("https://ibp.a2mac1.com/costing(costing:projects/details/8191/equipment/6948625)","Manufacturing Equipment")</f>
        <v>Manufacturing Equipment</v>
      </c>
      <c r="F6461" t="s">
        <v>6852</v>
      </c>
    </row>
    <row r="6462" spans="1:6" ht="12.75">
      <c r="A6462">
        <v>5389553</v>
      </c>
      <c r="B6462">
        <v>5389299</v>
      </c>
      <c r="C6462" t="s">
        <v>12</v>
      </c>
      <c r="D6462" t="s">
        <v>8</v>
      </c>
      <c r="E6462" s="2" t="str">
        <f>HYPERLINK("https://ibp.a2mac1.com/costing(costing:projects/details/8191/part/5389553)"," Part 03")</f>
        <v xml:space="preserve"> Part 03</v>
      </c>
      <c r="F6462" t="s">
        <v>6847</v>
      </c>
    </row>
    <row r="6463" spans="1:6" ht="12.75">
      <c r="A6463">
        <v>6976017</v>
      </c>
      <c r="B6463">
        <v>5389553</v>
      </c>
      <c r="C6463" t="s">
        <v>99</v>
      </c>
      <c r="D6463" t="s">
        <v>12</v>
      </c>
      <c r="E6463" s="2" t="str">
        <f>HYPERLINK("https://ibp.a2mac1.com/costing(costing:projects/details/8191/process/6976017)","MANUFACTURING  PROCESS")</f>
        <v>MANUFACTURING  PROCESS</v>
      </c>
      <c r="F6463" t="s">
        <v>6853</v>
      </c>
    </row>
    <row r="6464" spans="1:6" ht="12.75">
      <c r="A6464">
        <v>5320477</v>
      </c>
      <c r="B6464">
        <v>6976017</v>
      </c>
      <c r="C6464" t="s">
        <v>24</v>
      </c>
      <c r="D6464" t="s">
        <v>99</v>
      </c>
      <c r="E6464" s="2" t="str">
        <f>HYPERLINK("https://ibp.a2mac1.com/costing(costing:projects/details/8191/material/5320477)","Standard Structural Steel sheet")</f>
        <v>Standard Structural Steel sheet</v>
      </c>
      <c r="F6464" t="s">
        <v>6855</v>
      </c>
    </row>
    <row r="6465" spans="1:6" ht="12.75">
      <c r="A6465">
        <v>6948626</v>
      </c>
      <c r="B6465">
        <v>6976017</v>
      </c>
      <c r="C6465" t="s">
        <v>189</v>
      </c>
      <c r="D6465" t="s">
        <v>99</v>
      </c>
      <c r="E6465" s="2" t="str">
        <f>HYPERLINK("https://ibp.a2mac1.com/costing(costing:projects/details/8191/equipment/6948626)","Manufacturing Equipment")</f>
        <v>Manufacturing Equipment</v>
      </c>
      <c r="F6465" t="s">
        <v>6855</v>
      </c>
    </row>
    <row r="6466" spans="1:6" ht="12.75">
      <c r="A6466">
        <v>5388958</v>
      </c>
      <c r="B6466">
        <v>5388634</v>
      </c>
      <c r="C6466" t="s">
        <v>8</v>
      </c>
      <c r="D6466" t="s">
        <v>8</v>
      </c>
      <c r="E6466" s="2" t="str">
        <f>HYPERLINK("https://ibp.a2mac1.com/costing(costing:projects/details/8191/assembly/5388958)","Front cross member")</f>
        <v>Front cross member</v>
      </c>
      <c r="F6466" t="s">
        <v>6814</v>
      </c>
    </row>
    <row r="6467" spans="1:6" ht="12.75">
      <c r="A6467">
        <v>5389300</v>
      </c>
      <c r="B6467">
        <v>5388958</v>
      </c>
      <c r="C6467" t="s">
        <v>8</v>
      </c>
      <c r="D6467" t="s">
        <v>8</v>
      </c>
      <c r="E6467" s="2" t="str">
        <f>HYPERLINK("https://ibp.a2mac1.com/costing(costing:projects/details/8191/assembly/5389300)","Cross member")</f>
        <v>Cross member</v>
      </c>
      <c r="F6467" t="s">
        <v>6856</v>
      </c>
    </row>
    <row r="6468" spans="1:6" ht="12.75">
      <c r="A6468">
        <v>5389554</v>
      </c>
      <c r="B6468">
        <v>5389300</v>
      </c>
      <c r="C6468" t="s">
        <v>12</v>
      </c>
      <c r="D6468" t="s">
        <v>8</v>
      </c>
      <c r="E6468" s="2" t="str">
        <f>HYPERLINK("https://ibp.a2mac1.com/costing(costing:projects/details/8191/part/5389554)","Part 01 single/main")</f>
        <v>Part 01 single/main</v>
      </c>
      <c r="F6468" t="s">
        <v>6857</v>
      </c>
    </row>
    <row r="6469" spans="1:6" ht="12.75">
      <c r="A6469">
        <v>6976018</v>
      </c>
      <c r="B6469">
        <v>5389554</v>
      </c>
      <c r="C6469" t="s">
        <v>99</v>
      </c>
      <c r="D6469" t="s">
        <v>12</v>
      </c>
      <c r="E6469" s="2" t="str">
        <f>HYPERLINK("https://ibp.a2mac1.com/costing(costing:projects/details/8191/process/6976018)","MANUFACTURING  PROCESS")</f>
        <v>MANUFACTURING  PROCESS</v>
      </c>
      <c r="F6469" t="s">
        <v>6858</v>
      </c>
    </row>
    <row r="6470" spans="1:6" ht="12.75">
      <c r="A6470">
        <v>5320478</v>
      </c>
      <c r="B6470">
        <v>6976018</v>
      </c>
      <c r="C6470" t="s">
        <v>24</v>
      </c>
      <c r="D6470" t="s">
        <v>99</v>
      </c>
      <c r="E6470" s="2" t="str">
        <f>HYPERLINK("https://ibp.a2mac1.com/costing(costing:projects/details/8191/material/5320478)","Steel sheet (Hot Forming Steel)")</f>
        <v>Steel sheet (Hot Forming Steel)</v>
      </c>
      <c r="F6470" t="s">
        <v>6861</v>
      </c>
    </row>
    <row r="6471" spans="1:6" ht="12.75">
      <c r="A6471">
        <v>6948627</v>
      </c>
      <c r="B6471">
        <v>6976018</v>
      </c>
      <c r="C6471" t="s">
        <v>189</v>
      </c>
      <c r="D6471" t="s">
        <v>99</v>
      </c>
      <c r="E6471" s="2" t="str">
        <f>HYPERLINK("https://ibp.a2mac1.com/costing(costing:projects/details/8191/equipment/6948627)","Manufacturing Equipment")</f>
        <v>Manufacturing Equipment</v>
      </c>
      <c r="F6471" t="s">
        <v>6861</v>
      </c>
    </row>
    <row r="6472" spans="1:6" ht="12.75">
      <c r="A6472">
        <v>5389301</v>
      </c>
      <c r="B6472">
        <v>5388958</v>
      </c>
      <c r="C6472" t="s">
        <v>8</v>
      </c>
      <c r="D6472" t="s">
        <v>8</v>
      </c>
      <c r="E6472" s="2" t="str">
        <f>HYPERLINK("https://ibp.a2mac1.com/costing(costing:projects/details/8191/assembly/5389301)","Seat front left attachment")</f>
        <v>Seat front left attachment</v>
      </c>
      <c r="F6472" t="s">
        <v>6856</v>
      </c>
    </row>
    <row r="6473" spans="1:6" ht="12.75">
      <c r="A6473">
        <v>5389555</v>
      </c>
      <c r="B6473">
        <v>5389301</v>
      </c>
      <c r="C6473" t="s">
        <v>12</v>
      </c>
      <c r="D6473" t="s">
        <v>8</v>
      </c>
      <c r="E6473" s="2" t="str">
        <f>HYPERLINK("https://ibp.a2mac1.com/costing(costing:projects/details/8191/part/5389555)","Part 01 single/main")</f>
        <v>Part 01 single/main</v>
      </c>
      <c r="F6473" t="s">
        <v>6862</v>
      </c>
    </row>
    <row r="6474" spans="1:6" ht="12.75">
      <c r="A6474">
        <v>6976019</v>
      </c>
      <c r="B6474">
        <v>5389555</v>
      </c>
      <c r="C6474" t="s">
        <v>99</v>
      </c>
      <c r="D6474" t="s">
        <v>12</v>
      </c>
      <c r="E6474" s="2" t="str">
        <f>HYPERLINK("https://ibp.a2mac1.com/costing(costing:projects/details/8191/process/6976019)","MANUFACTURING  PROCESS")</f>
        <v>MANUFACTURING  PROCESS</v>
      </c>
      <c r="F6474" t="s">
        <v>6863</v>
      </c>
    </row>
    <row r="6475" spans="1:6" ht="12.75">
      <c r="A6475">
        <v>5320479</v>
      </c>
      <c r="B6475">
        <v>6976019</v>
      </c>
      <c r="C6475" t="s">
        <v>24</v>
      </c>
      <c r="D6475" t="s">
        <v>99</v>
      </c>
      <c r="E6475" s="2" t="str">
        <f>HYPERLINK("https://ibp.a2mac1.com/costing(costing:projects/details/8191/material/5320479)","Standard Structural Steel sheet")</f>
        <v>Standard Structural Steel sheet</v>
      </c>
      <c r="F6475" t="s">
        <v>6864</v>
      </c>
    </row>
    <row r="6476" spans="1:6" ht="12.75">
      <c r="A6476">
        <v>6948628</v>
      </c>
      <c r="B6476">
        <v>6976019</v>
      </c>
      <c r="C6476" t="s">
        <v>189</v>
      </c>
      <c r="D6476" t="s">
        <v>99</v>
      </c>
      <c r="E6476" s="2" t="str">
        <f>HYPERLINK("https://ibp.a2mac1.com/costing(costing:projects/details/8191/equipment/6948628)","Manufacturing Equipment")</f>
        <v>Manufacturing Equipment</v>
      </c>
      <c r="F6476" t="s">
        <v>6864</v>
      </c>
    </row>
    <row r="6477" spans="1:6" ht="12.75">
      <c r="A6477">
        <v>5389556</v>
      </c>
      <c r="B6477">
        <v>5389301</v>
      </c>
      <c r="C6477" t="s">
        <v>12</v>
      </c>
      <c r="D6477" t="s">
        <v>8</v>
      </c>
      <c r="E6477" s="2" t="str">
        <f>HYPERLINK("https://ibp.a2mac1.com/costing(costing:projects/details/8191/part/5389556)"," Part 02")</f>
        <v xml:space="preserve"> Part 02</v>
      </c>
      <c r="F6477" t="s">
        <v>6862</v>
      </c>
    </row>
    <row r="6478" spans="1:6" ht="12.75">
      <c r="A6478">
        <v>6976020</v>
      </c>
      <c r="B6478">
        <v>5389556</v>
      </c>
      <c r="C6478" t="s">
        <v>99</v>
      </c>
      <c r="D6478" t="s">
        <v>12</v>
      </c>
      <c r="E6478" s="2" t="str">
        <f>HYPERLINK("https://ibp.a2mac1.com/costing(costing:projects/details/8191/process/6976020)","MANUFACTURING  PROCESS")</f>
        <v>MANUFACTURING  PROCESS</v>
      </c>
      <c r="F6478" t="s">
        <v>6865</v>
      </c>
    </row>
    <row r="6479" spans="1:6" ht="12.75">
      <c r="A6479">
        <v>5320480</v>
      </c>
      <c r="B6479">
        <v>6976020</v>
      </c>
      <c r="C6479" t="s">
        <v>24</v>
      </c>
      <c r="D6479" t="s">
        <v>99</v>
      </c>
      <c r="E6479" s="2" t="str">
        <f>HYPERLINK("https://ibp.a2mac1.com/costing(costing:projects/details/8191/material/5320480)","Standard Structural Steel sheet")</f>
        <v>Standard Structural Steel sheet</v>
      </c>
      <c r="F6479" t="s">
        <v>6866</v>
      </c>
    </row>
    <row r="6480" spans="1:6" ht="12.75">
      <c r="A6480">
        <v>6948629</v>
      </c>
      <c r="B6480">
        <v>6976020</v>
      </c>
      <c r="C6480" t="s">
        <v>189</v>
      </c>
      <c r="D6480" t="s">
        <v>99</v>
      </c>
      <c r="E6480" s="2" t="str">
        <f>HYPERLINK("https://ibp.a2mac1.com/costing(costing:projects/details/8191/equipment/6948629)","Manufacturing Equipment")</f>
        <v>Manufacturing Equipment</v>
      </c>
      <c r="F6480" t="s">
        <v>6866</v>
      </c>
    </row>
    <row r="6481" spans="1:6" ht="12.75">
      <c r="A6481">
        <v>5389302</v>
      </c>
      <c r="B6481">
        <v>5388958</v>
      </c>
      <c r="C6481" t="s">
        <v>8</v>
      </c>
      <c r="D6481" t="s">
        <v>8</v>
      </c>
      <c r="E6481" s="2" t="str">
        <f>HYPERLINK("https://ibp.a2mac1.com/costing(costing:projects/details/8191/assembly/5389302)","Seat front right attachment")</f>
        <v>Seat front right attachment</v>
      </c>
      <c r="F6481" t="s">
        <v>6856</v>
      </c>
    </row>
    <row r="6482" spans="1:6" ht="12.75">
      <c r="A6482">
        <v>5389557</v>
      </c>
      <c r="B6482">
        <v>5389302</v>
      </c>
      <c r="C6482" t="s">
        <v>12</v>
      </c>
      <c r="D6482" t="s">
        <v>8</v>
      </c>
      <c r="E6482" s="2" t="str">
        <f>HYPERLINK("https://ibp.a2mac1.com/costing(costing:projects/details/8191/part/5389557)","Part 01 single/main")</f>
        <v>Part 01 single/main</v>
      </c>
      <c r="F6482" t="s">
        <v>6867</v>
      </c>
    </row>
    <row r="6483" spans="1:6" ht="12.75">
      <c r="A6483">
        <v>6976021</v>
      </c>
      <c r="B6483">
        <v>5389557</v>
      </c>
      <c r="C6483" t="s">
        <v>99</v>
      </c>
      <c r="D6483" t="s">
        <v>12</v>
      </c>
      <c r="E6483" s="2" t="str">
        <f>HYPERLINK("https://ibp.a2mac1.com/costing(costing:projects/details/8191/process/6976021)","MANUFACTURING  PROCESS")</f>
        <v>MANUFACTURING  PROCESS</v>
      </c>
      <c r="F6483" t="s">
        <v>6868</v>
      </c>
    </row>
    <row r="6484" spans="1:6" ht="12.75">
      <c r="A6484">
        <v>5320481</v>
      </c>
      <c r="B6484">
        <v>6976021</v>
      </c>
      <c r="C6484" t="s">
        <v>24</v>
      </c>
      <c r="D6484" t="s">
        <v>99</v>
      </c>
      <c r="E6484" s="2" t="str">
        <f>HYPERLINK("https://ibp.a2mac1.com/costing(costing:projects/details/8191/material/5320481)","Standard Structural Steel sheet")</f>
        <v>Standard Structural Steel sheet</v>
      </c>
      <c r="F6484" t="s">
        <v>6870</v>
      </c>
    </row>
    <row r="6485" spans="1:6" ht="12.75">
      <c r="A6485">
        <v>6948630</v>
      </c>
      <c r="B6485">
        <v>6976021</v>
      </c>
      <c r="C6485" t="s">
        <v>189</v>
      </c>
      <c r="D6485" t="s">
        <v>99</v>
      </c>
      <c r="E6485" s="2" t="str">
        <f>HYPERLINK("https://ibp.a2mac1.com/costing(costing:projects/details/8191/equipment/6948630)","Manufacturing Equipment")</f>
        <v>Manufacturing Equipment</v>
      </c>
      <c r="F6485" t="s">
        <v>6870</v>
      </c>
    </row>
    <row r="6486" spans="1:6" ht="12.75">
      <c r="A6486">
        <v>5389558</v>
      </c>
      <c r="B6486">
        <v>5389302</v>
      </c>
      <c r="C6486" t="s">
        <v>12</v>
      </c>
      <c r="D6486" t="s">
        <v>8</v>
      </c>
      <c r="E6486" s="2" t="str">
        <f>HYPERLINK("https://ibp.a2mac1.com/costing(costing:projects/details/8191/part/5389558)","Part 02")</f>
        <v>Part 02</v>
      </c>
      <c r="F6486" t="s">
        <v>6867</v>
      </c>
    </row>
    <row r="6487" spans="1:6" ht="12.75">
      <c r="A6487">
        <v>6976022</v>
      </c>
      <c r="B6487">
        <v>5389558</v>
      </c>
      <c r="C6487" t="s">
        <v>99</v>
      </c>
      <c r="D6487" t="s">
        <v>12</v>
      </c>
      <c r="E6487" s="2" t="str">
        <f>HYPERLINK("https://ibp.a2mac1.com/costing(costing:projects/details/8191/process/6976022)","MANUFACTURING  PROCESS")</f>
        <v>MANUFACTURING  PROCESS</v>
      </c>
      <c r="F6487" t="s">
        <v>6871</v>
      </c>
    </row>
    <row r="6488" spans="1:6" ht="12.75">
      <c r="A6488">
        <v>5320482</v>
      </c>
      <c r="B6488">
        <v>6976022</v>
      </c>
      <c r="C6488" t="s">
        <v>24</v>
      </c>
      <c r="D6488" t="s">
        <v>99</v>
      </c>
      <c r="E6488" s="2" t="str">
        <f>HYPERLINK("https://ibp.a2mac1.com/costing(costing:projects/details/8191/material/5320482)","Standard Structural Steel sheet")</f>
        <v>Standard Structural Steel sheet</v>
      </c>
      <c r="F6488" t="s">
        <v>6872</v>
      </c>
    </row>
    <row r="6489" spans="1:6" ht="12.75">
      <c r="A6489">
        <v>6948631</v>
      </c>
      <c r="B6489">
        <v>6976022</v>
      </c>
      <c r="C6489" t="s">
        <v>189</v>
      </c>
      <c r="D6489" t="s">
        <v>99</v>
      </c>
      <c r="E6489" s="2" t="str">
        <f>HYPERLINK("https://ibp.a2mac1.com/costing(costing:projects/details/8191/equipment/6948631)","Manufacturing Equipment")</f>
        <v>Manufacturing Equipment</v>
      </c>
      <c r="F6489" t="s">
        <v>6872</v>
      </c>
    </row>
    <row r="6490" spans="1:6" ht="12.75">
      <c r="A6490">
        <v>5389303</v>
      </c>
      <c r="B6490">
        <v>5388958</v>
      </c>
      <c r="C6490" t="s">
        <v>8</v>
      </c>
      <c r="D6490" t="s">
        <v>8</v>
      </c>
      <c r="E6490" s="2" t="str">
        <f>HYPERLINK("https://ibp.a2mac1.com/costing(costing:projects/details/8191/assembly/5389303)","Other fixing parts")</f>
        <v>Other fixing parts</v>
      </c>
      <c r="F6490" t="s">
        <v>6856</v>
      </c>
    </row>
    <row r="6491" spans="1:6" ht="12.75">
      <c r="A6491">
        <v>5389559</v>
      </c>
      <c r="B6491">
        <v>5389303</v>
      </c>
      <c r="C6491" t="s">
        <v>12</v>
      </c>
      <c r="D6491" t="s">
        <v>8</v>
      </c>
      <c r="E6491" s="2" t="str">
        <f>HYPERLINK("https://ibp.a2mac1.com/costing(costing:projects/details/8191/part/5389559)","Part 01 single/main")</f>
        <v>Part 01 single/main</v>
      </c>
      <c r="F6491" t="s">
        <v>6873</v>
      </c>
    </row>
    <row r="6492" spans="1:6" ht="12.75">
      <c r="A6492">
        <v>6976023</v>
      </c>
      <c r="B6492">
        <v>5389559</v>
      </c>
      <c r="C6492" t="s">
        <v>99</v>
      </c>
      <c r="D6492" t="s">
        <v>12</v>
      </c>
      <c r="E6492" s="2" t="str">
        <f>HYPERLINK("https://ibp.a2mac1.com/costing(costing:projects/details/8191/process/6976023)","MANUFACTURING  PROCESS")</f>
        <v>MANUFACTURING  PROCESS</v>
      </c>
      <c r="F6492" t="s">
        <v>6874</v>
      </c>
    </row>
    <row r="6493" spans="1:6" ht="12.75">
      <c r="A6493">
        <v>5320483</v>
      </c>
      <c r="B6493">
        <v>6976023</v>
      </c>
      <c r="C6493" t="s">
        <v>24</v>
      </c>
      <c r="D6493" t="s">
        <v>99</v>
      </c>
      <c r="E6493" s="2" t="str">
        <f>HYPERLINK("https://ibp.a2mac1.com/costing(costing:projects/details/8191/material/5320483)","Standard Structural Steel sheet")</f>
        <v>Standard Structural Steel sheet</v>
      </c>
      <c r="F6493" t="s">
        <v>6876</v>
      </c>
    </row>
    <row r="6494" spans="1:6" ht="12.75">
      <c r="A6494">
        <v>6948632</v>
      </c>
      <c r="B6494">
        <v>6976023</v>
      </c>
      <c r="C6494" t="s">
        <v>189</v>
      </c>
      <c r="D6494" t="s">
        <v>99</v>
      </c>
      <c r="E6494" s="2" t="str">
        <f>HYPERLINK("https://ibp.a2mac1.com/costing(costing:projects/details/8191/equipment/6948632)","Manufacturing Equipment")</f>
        <v>Manufacturing Equipment</v>
      </c>
      <c r="F6494" t="s">
        <v>6876</v>
      </c>
    </row>
    <row r="6495" spans="1:6" ht="12.75">
      <c r="A6495">
        <v>5388959</v>
      </c>
      <c r="B6495">
        <v>5388634</v>
      </c>
      <c r="C6495" t="s">
        <v>8</v>
      </c>
      <c r="D6495" t="s">
        <v>8</v>
      </c>
      <c r="E6495" s="2" t="str">
        <f>HYPERLINK("https://ibp.a2mac1.com/costing(costing:projects/details/8191/assembly/5388959)","Rear cross member")</f>
        <v>Rear cross member</v>
      </c>
      <c r="F6495" t="s">
        <v>6814</v>
      </c>
    </row>
    <row r="6496" spans="1:6" ht="12.75">
      <c r="A6496">
        <v>5389304</v>
      </c>
      <c r="B6496">
        <v>5388959</v>
      </c>
      <c r="C6496" t="s">
        <v>8</v>
      </c>
      <c r="D6496" t="s">
        <v>8</v>
      </c>
      <c r="E6496" s="2" t="str">
        <f>HYPERLINK("https://ibp.a2mac1.com/costing(costing:projects/details/8191/assembly/5389304)","Cross member")</f>
        <v>Cross member</v>
      </c>
      <c r="F6496" t="s">
        <v>6877</v>
      </c>
    </row>
    <row r="6497" spans="1:6" ht="12.75">
      <c r="A6497">
        <v>5389560</v>
      </c>
      <c r="B6497">
        <v>5389304</v>
      </c>
      <c r="C6497" t="s">
        <v>12</v>
      </c>
      <c r="D6497" t="s">
        <v>8</v>
      </c>
      <c r="E6497" s="2" t="str">
        <f>HYPERLINK("https://ibp.a2mac1.com/costing(costing:projects/details/8191/part/5389560)","Part 01 single/main")</f>
        <v>Part 01 single/main</v>
      </c>
      <c r="F6497" t="s">
        <v>6878</v>
      </c>
    </row>
    <row r="6498" spans="1:6" ht="12.75">
      <c r="A6498">
        <v>6976024</v>
      </c>
      <c r="B6498">
        <v>5389560</v>
      </c>
      <c r="C6498" t="s">
        <v>99</v>
      </c>
      <c r="D6498" t="s">
        <v>12</v>
      </c>
      <c r="E6498" s="2" t="str">
        <f>HYPERLINK("https://ibp.a2mac1.com/costing(costing:projects/details/8191/process/6976024)","MANUFACTURING  PROCESS")</f>
        <v>MANUFACTURING  PROCESS</v>
      </c>
      <c r="F6498" t="s">
        <v>6879</v>
      </c>
    </row>
    <row r="6499" spans="1:6" ht="12.75">
      <c r="A6499">
        <v>5320484</v>
      </c>
      <c r="B6499">
        <v>6976024</v>
      </c>
      <c r="C6499" t="s">
        <v>24</v>
      </c>
      <c r="D6499" t="s">
        <v>99</v>
      </c>
      <c r="E6499" s="2" t="str">
        <f>HYPERLINK("https://ibp.a2mac1.com/costing(costing:projects/details/8191/material/5320484)","Steel sheet (Hot Forming Steel)")</f>
        <v>Steel sheet (Hot Forming Steel)</v>
      </c>
      <c r="F6499" t="s">
        <v>6882</v>
      </c>
    </row>
    <row r="6500" spans="1:6" ht="12.75">
      <c r="A6500">
        <v>6948633</v>
      </c>
      <c r="B6500">
        <v>6976024</v>
      </c>
      <c r="C6500" t="s">
        <v>189</v>
      </c>
      <c r="D6500" t="s">
        <v>99</v>
      </c>
      <c r="E6500" s="2" t="str">
        <f>HYPERLINK("https://ibp.a2mac1.com/costing(costing:projects/details/8191/equipment/6948633)","Manufacturing Equipment")</f>
        <v>Manufacturing Equipment</v>
      </c>
      <c r="F6500" t="s">
        <v>6882</v>
      </c>
    </row>
    <row r="6501" spans="1:6" ht="12.75">
      <c r="A6501">
        <v>5389305</v>
      </c>
      <c r="B6501">
        <v>5388959</v>
      </c>
      <c r="C6501" t="s">
        <v>8</v>
      </c>
      <c r="D6501" t="s">
        <v>8</v>
      </c>
      <c r="E6501" s="2" t="str">
        <f>HYPERLINK("https://ibp.a2mac1.com/costing(costing:projects/details/8191/assembly/5389305)","Seat rear left attachment")</f>
        <v>Seat rear left attachment</v>
      </c>
      <c r="F6501" t="s">
        <v>6877</v>
      </c>
    </row>
    <row r="6502" spans="1:6" ht="12.75">
      <c r="A6502">
        <v>5389561</v>
      </c>
      <c r="B6502">
        <v>5389305</v>
      </c>
      <c r="C6502" t="s">
        <v>12</v>
      </c>
      <c r="D6502" t="s">
        <v>8</v>
      </c>
      <c r="E6502" s="2" t="str">
        <f>HYPERLINK("https://ibp.a2mac1.com/costing(costing:projects/details/8191/part/5389561)","Part 01 single/main")</f>
        <v>Part 01 single/main</v>
      </c>
      <c r="F6502" t="s">
        <v>6883</v>
      </c>
    </row>
    <row r="6503" spans="1:6" ht="12.75">
      <c r="A6503">
        <v>6976025</v>
      </c>
      <c r="B6503">
        <v>5389561</v>
      </c>
      <c r="C6503" t="s">
        <v>99</v>
      </c>
      <c r="D6503" t="s">
        <v>12</v>
      </c>
      <c r="E6503" s="2" t="str">
        <f>HYPERLINK("https://ibp.a2mac1.com/costing(costing:projects/details/8191/process/6976025)","MANUFACTURING  PROCESS")</f>
        <v>MANUFACTURING  PROCESS</v>
      </c>
      <c r="F6503" t="s">
        <v>6884</v>
      </c>
    </row>
    <row r="6504" spans="1:6" ht="12.75">
      <c r="A6504">
        <v>5320485</v>
      </c>
      <c r="B6504">
        <v>6976025</v>
      </c>
      <c r="C6504" t="s">
        <v>24</v>
      </c>
      <c r="D6504" t="s">
        <v>99</v>
      </c>
      <c r="E6504" s="2" t="str">
        <f>HYPERLINK("https://ibp.a2mac1.com/costing(costing:projects/details/8191/material/5320485)","Standard Structural Steel sheet")</f>
        <v>Standard Structural Steel sheet</v>
      </c>
      <c r="F6504" t="s">
        <v>6887</v>
      </c>
    </row>
    <row r="6505" spans="1:6" ht="12.75">
      <c r="A6505">
        <v>6948634</v>
      </c>
      <c r="B6505">
        <v>6976025</v>
      </c>
      <c r="C6505" t="s">
        <v>189</v>
      </c>
      <c r="D6505" t="s">
        <v>99</v>
      </c>
      <c r="E6505" s="2" t="str">
        <f>HYPERLINK("https://ibp.a2mac1.com/costing(costing:projects/details/8191/equipment/6948634)","Manufacturing Equipment")</f>
        <v>Manufacturing Equipment</v>
      </c>
      <c r="F6505" t="s">
        <v>6887</v>
      </c>
    </row>
    <row r="6506" spans="1:6" ht="12.75">
      <c r="A6506">
        <v>5389562</v>
      </c>
      <c r="B6506">
        <v>5389305</v>
      </c>
      <c r="C6506" t="s">
        <v>12</v>
      </c>
      <c r="D6506" t="s">
        <v>8</v>
      </c>
      <c r="E6506" s="2" t="str">
        <f>HYPERLINK("https://ibp.a2mac1.com/costing(costing:projects/details/8191/part/5389562)","Part 02")</f>
        <v>Part 02</v>
      </c>
      <c r="F6506" t="s">
        <v>6883</v>
      </c>
    </row>
    <row r="6507" spans="1:6" ht="12.75">
      <c r="A6507">
        <v>6976026</v>
      </c>
      <c r="B6507">
        <v>5389562</v>
      </c>
      <c r="C6507" t="s">
        <v>99</v>
      </c>
      <c r="D6507" t="s">
        <v>12</v>
      </c>
      <c r="E6507" s="2" t="str">
        <f>HYPERLINK("https://ibp.a2mac1.com/costing(costing:projects/details/8191/process/6976026)","MANUFACTURING  PROCESS")</f>
        <v>MANUFACTURING  PROCESS</v>
      </c>
      <c r="F6507" t="s">
        <v>6888</v>
      </c>
    </row>
    <row r="6508" spans="1:6" ht="12.75">
      <c r="A6508">
        <v>5320486</v>
      </c>
      <c r="B6508">
        <v>6976026</v>
      </c>
      <c r="C6508" t="s">
        <v>24</v>
      </c>
      <c r="D6508" t="s">
        <v>99</v>
      </c>
      <c r="E6508" s="2" t="str">
        <f>HYPERLINK("https://ibp.a2mac1.com/costing(costing:projects/details/8191/material/5320486)","Standard Structural Steel sheet")</f>
        <v>Standard Structural Steel sheet</v>
      </c>
      <c r="F6508" t="s">
        <v>6890</v>
      </c>
    </row>
    <row r="6509" spans="1:6" ht="12.75">
      <c r="A6509">
        <v>6948635</v>
      </c>
      <c r="B6509">
        <v>6976026</v>
      </c>
      <c r="C6509" t="s">
        <v>189</v>
      </c>
      <c r="D6509" t="s">
        <v>99</v>
      </c>
      <c r="E6509" s="2" t="str">
        <f>HYPERLINK("https://ibp.a2mac1.com/costing(costing:projects/details/8191/equipment/6948635)","Manufacturing Equipment")</f>
        <v>Manufacturing Equipment</v>
      </c>
      <c r="F6509" t="s">
        <v>6890</v>
      </c>
    </row>
    <row r="6510" spans="1:6" ht="12.75">
      <c r="A6510">
        <v>5389306</v>
      </c>
      <c r="B6510">
        <v>5388959</v>
      </c>
      <c r="C6510" t="s">
        <v>8</v>
      </c>
      <c r="D6510" t="s">
        <v>8</v>
      </c>
      <c r="E6510" s="2" t="str">
        <f>HYPERLINK("https://ibp.a2mac1.com/costing(costing:projects/details/8191/assembly/5389306)","Seat rear right attachment")</f>
        <v>Seat rear right attachment</v>
      </c>
      <c r="F6510" t="s">
        <v>6877</v>
      </c>
    </row>
    <row r="6511" spans="1:6" ht="12.75">
      <c r="A6511">
        <v>5389563</v>
      </c>
      <c r="B6511">
        <v>5389306</v>
      </c>
      <c r="C6511" t="s">
        <v>12</v>
      </c>
      <c r="D6511" t="s">
        <v>8</v>
      </c>
      <c r="E6511" s="2" t="str">
        <f>HYPERLINK("https://ibp.a2mac1.com/costing(costing:projects/details/8191/part/5389563)","Part 01 single/main")</f>
        <v>Part 01 single/main</v>
      </c>
      <c r="F6511" t="s">
        <v>6891</v>
      </c>
    </row>
    <row r="6512" spans="1:6" ht="12.75">
      <c r="A6512">
        <v>6976027</v>
      </c>
      <c r="B6512">
        <v>5389563</v>
      </c>
      <c r="C6512" t="s">
        <v>99</v>
      </c>
      <c r="D6512" t="s">
        <v>12</v>
      </c>
      <c r="E6512" s="2" t="str">
        <f>HYPERLINK("https://ibp.a2mac1.com/costing(costing:projects/details/8191/process/6976027)","MANUFACTURING  PROCESS")</f>
        <v>MANUFACTURING  PROCESS</v>
      </c>
      <c r="F6512" t="s">
        <v>6892</v>
      </c>
    </row>
    <row r="6513" spans="1:6" ht="12.75">
      <c r="A6513">
        <v>5320487</v>
      </c>
      <c r="B6513">
        <v>6976027</v>
      </c>
      <c r="C6513" t="s">
        <v>24</v>
      </c>
      <c r="D6513" t="s">
        <v>99</v>
      </c>
      <c r="E6513" s="2" t="str">
        <f>HYPERLINK("https://ibp.a2mac1.com/costing(costing:projects/details/8191/material/5320487)","Standard Structural Steel sheet")</f>
        <v>Standard Structural Steel sheet</v>
      </c>
      <c r="F6513" t="s">
        <v>6895</v>
      </c>
    </row>
    <row r="6514" spans="1:6" ht="12.75">
      <c r="A6514">
        <v>6948636</v>
      </c>
      <c r="B6514">
        <v>6976027</v>
      </c>
      <c r="C6514" t="s">
        <v>189</v>
      </c>
      <c r="D6514" t="s">
        <v>99</v>
      </c>
      <c r="E6514" s="2" t="str">
        <f>HYPERLINK("https://ibp.a2mac1.com/costing(costing:projects/details/8191/equipment/6948636)","Manufacturing Equipment")</f>
        <v>Manufacturing Equipment</v>
      </c>
      <c r="F6514" t="s">
        <v>6895</v>
      </c>
    </row>
    <row r="6515" spans="1:6" ht="12.75">
      <c r="A6515">
        <v>5389564</v>
      </c>
      <c r="B6515">
        <v>5389306</v>
      </c>
      <c r="C6515" t="s">
        <v>12</v>
      </c>
      <c r="D6515" t="s">
        <v>8</v>
      </c>
      <c r="E6515" s="2" t="str">
        <f>HYPERLINK("https://ibp.a2mac1.com/costing(costing:projects/details/8191/part/5389564)","Part 02")</f>
        <v>Part 02</v>
      </c>
      <c r="F6515" t="s">
        <v>6891</v>
      </c>
    </row>
    <row r="6516" spans="1:6" ht="12.75">
      <c r="A6516">
        <v>6976028</v>
      </c>
      <c r="B6516">
        <v>5389564</v>
      </c>
      <c r="C6516" t="s">
        <v>99</v>
      </c>
      <c r="D6516" t="s">
        <v>12</v>
      </c>
      <c r="E6516" s="2" t="str">
        <f>HYPERLINK("https://ibp.a2mac1.com/costing(costing:projects/details/8191/process/6976028)","MANUFACTURING  PROCESS")</f>
        <v>MANUFACTURING  PROCESS</v>
      </c>
      <c r="F6516" t="s">
        <v>6896</v>
      </c>
    </row>
    <row r="6517" spans="1:6" ht="12.75">
      <c r="A6517">
        <v>5320488</v>
      </c>
      <c r="B6517">
        <v>6976028</v>
      </c>
      <c r="C6517" t="s">
        <v>24</v>
      </c>
      <c r="D6517" t="s">
        <v>99</v>
      </c>
      <c r="E6517" s="2" t="str">
        <f>HYPERLINK("https://ibp.a2mac1.com/costing(costing:projects/details/8191/material/5320488)","Standard Structural Steel sheet")</f>
        <v>Standard Structural Steel sheet</v>
      </c>
      <c r="F6517" t="s">
        <v>6898</v>
      </c>
    </row>
    <row r="6518" spans="1:6" ht="12.75">
      <c r="A6518">
        <v>6948637</v>
      </c>
      <c r="B6518">
        <v>6976028</v>
      </c>
      <c r="C6518" t="s">
        <v>189</v>
      </c>
      <c r="D6518" t="s">
        <v>99</v>
      </c>
      <c r="E6518" s="2" t="str">
        <f>HYPERLINK("https://ibp.a2mac1.com/costing(costing:projects/details/8191/equipment/6948637)","Manufacturing Equipment")</f>
        <v>Manufacturing Equipment</v>
      </c>
      <c r="F6518" t="s">
        <v>6898</v>
      </c>
    </row>
    <row r="6519" spans="1:6" ht="12.75">
      <c r="A6519">
        <v>5389307</v>
      </c>
      <c r="B6519">
        <v>5388959</v>
      </c>
      <c r="C6519" t="s">
        <v>8</v>
      </c>
      <c r="D6519" t="s">
        <v>8</v>
      </c>
      <c r="E6519" s="2" t="str">
        <f>HYPERLINK("https://ibp.a2mac1.com/costing(costing:projects/details/8191/assembly/5389307)","Other fixing parts")</f>
        <v>Other fixing parts</v>
      </c>
      <c r="F6519" t="s">
        <v>6877</v>
      </c>
    </row>
    <row r="6520" spans="1:6" ht="12.75">
      <c r="A6520">
        <v>5389565</v>
      </c>
      <c r="B6520">
        <v>5389307</v>
      </c>
      <c r="C6520" t="s">
        <v>12</v>
      </c>
      <c r="D6520" t="s">
        <v>8</v>
      </c>
      <c r="E6520" s="2" t="str">
        <f>HYPERLINK("https://ibp.a2mac1.com/costing(costing:projects/details/8191/part/5389565)"," Part 01 single/main")</f>
        <v xml:space="preserve"> Part 01 single/main</v>
      </c>
      <c r="F6520" t="s">
        <v>6899</v>
      </c>
    </row>
    <row r="6521" spans="1:6" ht="12.75">
      <c r="A6521">
        <v>6976029</v>
      </c>
      <c r="B6521">
        <v>5389565</v>
      </c>
      <c r="C6521" t="s">
        <v>99</v>
      </c>
      <c r="D6521" t="s">
        <v>12</v>
      </c>
      <c r="E6521" s="2" t="str">
        <f>HYPERLINK("https://ibp.a2mac1.com/costing(costing:projects/details/8191/process/6976029)","MANUFACTURING  PROCESS")</f>
        <v>MANUFACTURING  PROCESS</v>
      </c>
      <c r="F6521" t="s">
        <v>6900</v>
      </c>
    </row>
    <row r="6522" spans="1:6" ht="12.75">
      <c r="A6522">
        <v>5320489</v>
      </c>
      <c r="B6522">
        <v>6976029</v>
      </c>
      <c r="C6522" t="s">
        <v>24</v>
      </c>
      <c r="D6522" t="s">
        <v>99</v>
      </c>
      <c r="E6522" s="2" t="str">
        <f>HYPERLINK("https://ibp.a2mac1.com/costing(costing:projects/details/8191/material/5320489)","Standard Structural Steel sheet")</f>
        <v>Standard Structural Steel sheet</v>
      </c>
      <c r="F6522" t="s">
        <v>6901</v>
      </c>
    </row>
    <row r="6523" spans="1:6" ht="12.75">
      <c r="A6523">
        <v>6948638</v>
      </c>
      <c r="B6523">
        <v>6976029</v>
      </c>
      <c r="C6523" t="s">
        <v>189</v>
      </c>
      <c r="D6523" t="s">
        <v>99</v>
      </c>
      <c r="E6523" s="2" t="str">
        <f>HYPERLINK("https://ibp.a2mac1.com/costing(costing:projects/details/8191/equipment/6948638)","Manufacturing Equipment")</f>
        <v>Manufacturing Equipment</v>
      </c>
      <c r="F6523" t="s">
        <v>6901</v>
      </c>
    </row>
    <row r="6524" spans="1:6" ht="12.75">
      <c r="A6524">
        <v>5389566</v>
      </c>
      <c r="B6524">
        <v>5389307</v>
      </c>
      <c r="C6524" t="s">
        <v>12</v>
      </c>
      <c r="D6524" t="s">
        <v>8</v>
      </c>
      <c r="E6524" s="2" t="str">
        <f>HYPERLINK("https://ibp.a2mac1.com/costing(costing:projects/details/8191/part/5389566)"," Part 02")</f>
        <v xml:space="preserve"> Part 02</v>
      </c>
      <c r="F6524" t="s">
        <v>6899</v>
      </c>
    </row>
    <row r="6525" spans="1:6" ht="12.75">
      <c r="A6525">
        <v>6976030</v>
      </c>
      <c r="B6525">
        <v>5389566</v>
      </c>
      <c r="C6525" t="s">
        <v>99</v>
      </c>
      <c r="D6525" t="s">
        <v>12</v>
      </c>
      <c r="E6525" s="2" t="str">
        <f>HYPERLINK("https://ibp.a2mac1.com/costing(costing:projects/details/8191/process/6976030)","MANUFACTURING  PROCESS")</f>
        <v>MANUFACTURING  PROCESS</v>
      </c>
      <c r="F6525" t="s">
        <v>6902</v>
      </c>
    </row>
    <row r="6526" spans="1:6" ht="12.75">
      <c r="A6526">
        <v>5320490</v>
      </c>
      <c r="B6526">
        <v>6976030</v>
      </c>
      <c r="C6526" t="s">
        <v>24</v>
      </c>
      <c r="D6526" t="s">
        <v>99</v>
      </c>
      <c r="E6526" s="2" t="str">
        <f>HYPERLINK("https://ibp.a2mac1.com/costing(costing:projects/details/8191/material/5320490)","Standard Structural Steel sheet")</f>
        <v>Standard Structural Steel sheet</v>
      </c>
      <c r="F6526" t="s">
        <v>6903</v>
      </c>
    </row>
    <row r="6527" spans="1:6" ht="12.75">
      <c r="A6527">
        <v>6948639</v>
      </c>
      <c r="B6527">
        <v>6976030</v>
      </c>
      <c r="C6527" t="s">
        <v>189</v>
      </c>
      <c r="D6527" t="s">
        <v>99</v>
      </c>
      <c r="E6527" s="2" t="str">
        <f>HYPERLINK("https://ibp.a2mac1.com/costing(costing:projects/details/8191/equipment/6948639)","Manufacturing Equipment")</f>
        <v>Manufacturing Equipment</v>
      </c>
      <c r="F6527" t="s">
        <v>6903</v>
      </c>
    </row>
    <row r="6528" spans="1:6" ht="12.75">
      <c r="A6528">
        <v>5389567</v>
      </c>
      <c r="B6528">
        <v>5389307</v>
      </c>
      <c r="C6528" t="s">
        <v>12</v>
      </c>
      <c r="D6528" t="s">
        <v>8</v>
      </c>
      <c r="E6528" s="2" t="str">
        <f>HYPERLINK("https://ibp.a2mac1.com/costing(costing:projects/details/8191/part/5389567)","Part 03")</f>
        <v>Part 03</v>
      </c>
      <c r="F6528" t="s">
        <v>6899</v>
      </c>
    </row>
    <row r="6529" spans="1:6" ht="12.75">
      <c r="A6529">
        <v>6976031</v>
      </c>
      <c r="B6529">
        <v>5389567</v>
      </c>
      <c r="C6529" t="s">
        <v>99</v>
      </c>
      <c r="D6529" t="s">
        <v>12</v>
      </c>
      <c r="E6529" s="2" t="str">
        <f>HYPERLINK("https://ibp.a2mac1.com/costing(costing:projects/details/8191/process/6976031)","MANUFACTURING  PROCESS")</f>
        <v>MANUFACTURING  PROCESS</v>
      </c>
      <c r="F6529" t="s">
        <v>6904</v>
      </c>
    </row>
    <row r="6530" spans="1:6" ht="12.75">
      <c r="A6530">
        <v>5320491</v>
      </c>
      <c r="B6530">
        <v>6976031</v>
      </c>
      <c r="C6530" t="s">
        <v>24</v>
      </c>
      <c r="D6530" t="s">
        <v>99</v>
      </c>
      <c r="E6530" s="2" t="str">
        <f>HYPERLINK("https://ibp.a2mac1.com/costing(costing:projects/details/8191/material/5320491)","Standard Structural Steel sheet")</f>
        <v>Standard Structural Steel sheet</v>
      </c>
      <c r="F6530" t="s">
        <v>6906</v>
      </c>
    </row>
    <row r="6531" spans="1:6" ht="12.75">
      <c r="A6531">
        <v>6948640</v>
      </c>
      <c r="B6531">
        <v>6976031</v>
      </c>
      <c r="C6531" t="s">
        <v>189</v>
      </c>
      <c r="D6531" t="s">
        <v>99</v>
      </c>
      <c r="E6531" s="2" t="str">
        <f>HYPERLINK("https://ibp.a2mac1.com/costing(costing:projects/details/8191/equipment/6948640)","Manufacturing Equipment")</f>
        <v>Manufacturing Equipment</v>
      </c>
      <c r="F6531" t="s">
        <v>6906</v>
      </c>
    </row>
    <row r="6532" spans="1:6" ht="12.75">
      <c r="A6532">
        <v>5388960</v>
      </c>
      <c r="B6532">
        <v>5388634</v>
      </c>
      <c r="C6532" t="s">
        <v>8</v>
      </c>
      <c r="D6532" t="s">
        <v>8</v>
      </c>
      <c r="E6532" s="2" t="str">
        <f>HYPERLINK("https://ibp.a2mac1.com/costing(costing:projects/details/8191/assembly/5388960)","Rocker inner frame")</f>
        <v>Rocker inner frame</v>
      </c>
      <c r="F6532" t="s">
        <v>6814</v>
      </c>
    </row>
    <row r="6533" spans="1:6" ht="12.75">
      <c r="A6533">
        <v>5389308</v>
      </c>
      <c r="B6533">
        <v>5388960</v>
      </c>
      <c r="C6533" t="s">
        <v>8</v>
      </c>
      <c r="D6533" t="s">
        <v>8</v>
      </c>
      <c r="E6533" s="2" t="str">
        <f>HYPERLINK("https://ibp.a2mac1.com/costing(costing:projects/details/8191/assembly/5389308)","Frame")</f>
        <v>Frame</v>
      </c>
      <c r="F6533" t="s">
        <v>6907</v>
      </c>
    </row>
    <row r="6534" spans="1:6" ht="12.75">
      <c r="A6534">
        <v>5389568</v>
      </c>
      <c r="B6534">
        <v>5389308</v>
      </c>
      <c r="C6534" t="s">
        <v>12</v>
      </c>
      <c r="D6534" t="s">
        <v>8</v>
      </c>
      <c r="E6534" s="2" t="str">
        <f>HYPERLINK("https://ibp.a2mac1.com/costing(costing:projects/details/8191/part/5389568)","Part 01 single/main")</f>
        <v>Part 01 single/main</v>
      </c>
      <c r="F6534" t="s">
        <v>6908</v>
      </c>
    </row>
    <row r="6535" spans="1:6" ht="12.75">
      <c r="A6535">
        <v>6976032</v>
      </c>
      <c r="B6535">
        <v>5389568</v>
      </c>
      <c r="C6535" t="s">
        <v>99</v>
      </c>
      <c r="D6535" t="s">
        <v>12</v>
      </c>
      <c r="E6535" s="2" t="str">
        <f>HYPERLINK("https://ibp.a2mac1.com/costing(costing:projects/details/8191/process/6976032)","MANUFACTURING  PROCESS")</f>
        <v>MANUFACTURING  PROCESS</v>
      </c>
      <c r="F6535" t="s">
        <v>6909</v>
      </c>
    </row>
    <row r="6536" spans="1:6" ht="12.75">
      <c r="A6536">
        <v>5320492</v>
      </c>
      <c r="B6536">
        <v>6976032</v>
      </c>
      <c r="C6536" t="s">
        <v>24</v>
      </c>
      <c r="D6536" t="s">
        <v>99</v>
      </c>
      <c r="E6536" s="2" t="str">
        <f>HYPERLINK("https://ibp.a2mac1.com/costing(costing:projects/details/8191/material/5320492)","Steel sheet (Hot Forming Steel)")</f>
        <v>Steel sheet (Hot Forming Steel)</v>
      </c>
      <c r="F6536" t="s">
        <v>6912</v>
      </c>
    </row>
    <row r="6537" spans="1:6" ht="12.75">
      <c r="A6537">
        <v>6948641</v>
      </c>
      <c r="B6537">
        <v>6976032</v>
      </c>
      <c r="C6537" t="s">
        <v>189</v>
      </c>
      <c r="D6537" t="s">
        <v>99</v>
      </c>
      <c r="E6537" s="2" t="str">
        <f>HYPERLINK("https://ibp.a2mac1.com/costing(costing:projects/details/8191/equipment/6948641)","Manufacturing Equipment")</f>
        <v>Manufacturing Equipment</v>
      </c>
      <c r="F6537" t="s">
        <v>6912</v>
      </c>
    </row>
    <row r="6538" spans="1:6" ht="12.75">
      <c r="A6538">
        <v>5389590</v>
      </c>
      <c r="B6538">
        <v>5389308</v>
      </c>
      <c r="C6538" t="s">
        <v>12</v>
      </c>
      <c r="D6538" t="s">
        <v>8</v>
      </c>
      <c r="E6538" s="2" t="str">
        <f>HYPERLINK("https://ibp.a2mac1.com/costing(costing:projects/details/8191/part/5389590)"," Part 02")</f>
        <v xml:space="preserve"> Part 02</v>
      </c>
      <c r="F6538" t="s">
        <v>6908</v>
      </c>
    </row>
    <row r="6539" spans="1:6" ht="12.75">
      <c r="A6539">
        <v>6976033</v>
      </c>
      <c r="B6539">
        <v>5389590</v>
      </c>
      <c r="C6539" t="s">
        <v>99</v>
      </c>
      <c r="D6539" t="s">
        <v>12</v>
      </c>
      <c r="E6539" s="2" t="str">
        <f>HYPERLINK("https://ibp.a2mac1.com/costing(costing:projects/details/8191/process/6976033)","MANUFACTURING  PROCESS")</f>
        <v>MANUFACTURING  PROCESS</v>
      </c>
      <c r="F6539" t="s">
        <v>6913</v>
      </c>
    </row>
    <row r="6540" spans="1:6" ht="12.75">
      <c r="A6540">
        <v>5320493</v>
      </c>
      <c r="B6540">
        <v>6976033</v>
      </c>
      <c r="C6540" t="s">
        <v>24</v>
      </c>
      <c r="D6540" t="s">
        <v>99</v>
      </c>
      <c r="E6540" s="2" t="str">
        <f>HYPERLINK("https://ibp.a2mac1.com/costing(costing:projects/details/8191/material/5320493)","Steel sheet (Hot Forming Steel)")</f>
        <v>Steel sheet (Hot Forming Steel)</v>
      </c>
      <c r="F6540" t="s">
        <v>6916</v>
      </c>
    </row>
    <row r="6541" spans="1:6" ht="12.75">
      <c r="A6541">
        <v>6948642</v>
      </c>
      <c r="B6541">
        <v>6976033</v>
      </c>
      <c r="C6541" t="s">
        <v>189</v>
      </c>
      <c r="D6541" t="s">
        <v>99</v>
      </c>
      <c r="E6541" s="2" t="str">
        <f>HYPERLINK("https://ibp.a2mac1.com/costing(costing:projects/details/8191/equipment/6948642)","Manufacturing Equipment")</f>
        <v>Manufacturing Equipment</v>
      </c>
      <c r="F6541" t="s">
        <v>6916</v>
      </c>
    </row>
    <row r="6542" spans="1:6" ht="12.75">
      <c r="A6542">
        <v>5389591</v>
      </c>
      <c r="B6542">
        <v>5389308</v>
      </c>
      <c r="C6542" t="s">
        <v>12</v>
      </c>
      <c r="D6542" t="s">
        <v>8</v>
      </c>
      <c r="E6542" s="2" t="str">
        <f>HYPERLINK("https://ibp.a2mac1.com/costing(costing:projects/details/8191/part/5389591)","Part 03")</f>
        <v>Part 03</v>
      </c>
      <c r="F6542" t="s">
        <v>6908</v>
      </c>
    </row>
    <row r="6543" spans="1:6" ht="12.75">
      <c r="A6543">
        <v>6976034</v>
      </c>
      <c r="B6543">
        <v>5389591</v>
      </c>
      <c r="C6543" t="s">
        <v>99</v>
      </c>
      <c r="D6543" t="s">
        <v>12</v>
      </c>
      <c r="E6543" s="2" t="str">
        <f>HYPERLINK("https://ibp.a2mac1.com/costing(costing:projects/details/8191/process/6976034)","MANUFACTURING  PROCESS")</f>
        <v>MANUFACTURING  PROCESS</v>
      </c>
      <c r="F6543" t="s">
        <v>6917</v>
      </c>
    </row>
    <row r="6544" spans="1:6" ht="12.75">
      <c r="A6544">
        <v>5320494</v>
      </c>
      <c r="B6544">
        <v>6976034</v>
      </c>
      <c r="C6544" t="s">
        <v>24</v>
      </c>
      <c r="D6544" t="s">
        <v>99</v>
      </c>
      <c r="E6544" s="2" t="str">
        <f>HYPERLINK("https://ibp.a2mac1.com/costing(costing:projects/details/8191/material/5320494)","Steel sheet (Hot Forming Steel)")</f>
        <v>Steel sheet (Hot Forming Steel)</v>
      </c>
      <c r="F6544" t="s">
        <v>6920</v>
      </c>
    </row>
    <row r="6545" spans="1:6" ht="12.75">
      <c r="A6545">
        <v>6948643</v>
      </c>
      <c r="B6545">
        <v>6976034</v>
      </c>
      <c r="C6545" t="s">
        <v>189</v>
      </c>
      <c r="D6545" t="s">
        <v>99</v>
      </c>
      <c r="E6545" s="2" t="str">
        <f>HYPERLINK("https://ibp.a2mac1.com/costing(costing:projects/details/8191/equipment/6948643)","Manufacturing Equipment")</f>
        <v>Manufacturing Equipment</v>
      </c>
      <c r="F6545" t="s">
        <v>6920</v>
      </c>
    </row>
    <row r="6546" spans="1:6" ht="12.75">
      <c r="A6546">
        <v>5389309</v>
      </c>
      <c r="B6546">
        <v>5388960</v>
      </c>
      <c r="C6546" t="s">
        <v>8</v>
      </c>
      <c r="D6546" t="s">
        <v>8</v>
      </c>
      <c r="E6546" s="2" t="str">
        <f>HYPERLINK("https://ibp.a2mac1.com/costing(costing:projects/details/8191/assembly/5389309)","Reinforcements")</f>
        <v>Reinforcements</v>
      </c>
      <c r="F6546" t="s">
        <v>6907</v>
      </c>
    </row>
    <row r="6547" spans="1:6" ht="12.75">
      <c r="A6547">
        <v>5389592</v>
      </c>
      <c r="B6547">
        <v>5389309</v>
      </c>
      <c r="C6547" t="s">
        <v>12</v>
      </c>
      <c r="D6547" t="s">
        <v>8</v>
      </c>
      <c r="E6547" s="2" t="str">
        <f>HYPERLINK("https://ibp.a2mac1.com/costing(costing:projects/details/8191/part/5389592)","Part 01 single/main")</f>
        <v>Part 01 single/main</v>
      </c>
      <c r="F6547" t="s">
        <v>6921</v>
      </c>
    </row>
    <row r="6548" spans="1:6" ht="12.75">
      <c r="A6548">
        <v>6976035</v>
      </c>
      <c r="B6548">
        <v>5389592</v>
      </c>
      <c r="C6548" t="s">
        <v>99</v>
      </c>
      <c r="D6548" t="s">
        <v>12</v>
      </c>
      <c r="E6548" s="2" t="str">
        <f>HYPERLINK("https://ibp.a2mac1.com/costing(costing:projects/details/8191/process/6976035)","MANUFACTURING  PROCESS")</f>
        <v>MANUFACTURING  PROCESS</v>
      </c>
      <c r="F6548" t="s">
        <v>6922</v>
      </c>
    </row>
    <row r="6549" spans="1:6" ht="12.75">
      <c r="A6549">
        <v>5320495</v>
      </c>
      <c r="B6549">
        <v>6976035</v>
      </c>
      <c r="C6549" t="s">
        <v>24</v>
      </c>
      <c r="D6549" t="s">
        <v>99</v>
      </c>
      <c r="E6549" s="2" t="str">
        <f>HYPERLINK("https://ibp.a2mac1.com/costing(costing:projects/details/8191/material/5320495)","Standard Structural Steel sheet")</f>
        <v>Standard Structural Steel sheet</v>
      </c>
      <c r="F6549" t="s">
        <v>6925</v>
      </c>
    </row>
    <row r="6550" spans="1:6" ht="12.75">
      <c r="A6550">
        <v>6948644</v>
      </c>
      <c r="B6550">
        <v>6976035</v>
      </c>
      <c r="C6550" t="s">
        <v>189</v>
      </c>
      <c r="D6550" t="s">
        <v>99</v>
      </c>
      <c r="E6550" s="2" t="str">
        <f>HYPERLINK("https://ibp.a2mac1.com/costing(costing:projects/details/8191/equipment/6948644)","Manufacturing Equipment")</f>
        <v>Manufacturing Equipment</v>
      </c>
      <c r="F6550" t="s">
        <v>6925</v>
      </c>
    </row>
    <row r="6551" spans="1:6" ht="12.75">
      <c r="A6551">
        <v>5389593</v>
      </c>
      <c r="B6551">
        <v>5389309</v>
      </c>
      <c r="C6551" t="s">
        <v>12</v>
      </c>
      <c r="D6551" t="s">
        <v>8</v>
      </c>
      <c r="E6551" s="2" t="str">
        <f>HYPERLINK("https://ibp.a2mac1.com/costing(costing:projects/details/8191/part/5389593)","Part 02")</f>
        <v>Part 02</v>
      </c>
      <c r="F6551" t="s">
        <v>6921</v>
      </c>
    </row>
    <row r="6552" spans="1:6" ht="12.75">
      <c r="A6552">
        <v>6976036</v>
      </c>
      <c r="B6552">
        <v>5389593</v>
      </c>
      <c r="C6552" t="s">
        <v>99</v>
      </c>
      <c r="D6552" t="s">
        <v>12</v>
      </c>
      <c r="E6552" s="2" t="str">
        <f>HYPERLINK("https://ibp.a2mac1.com/costing(costing:projects/details/8191/process/6976036)","MANUFACTURING  PROCESS")</f>
        <v>MANUFACTURING  PROCESS</v>
      </c>
      <c r="F6552" t="s">
        <v>6926</v>
      </c>
    </row>
    <row r="6553" spans="1:6" ht="12.75">
      <c r="A6553">
        <v>5320496</v>
      </c>
      <c r="B6553">
        <v>6976036</v>
      </c>
      <c r="C6553" t="s">
        <v>24</v>
      </c>
      <c r="D6553" t="s">
        <v>99</v>
      </c>
      <c r="E6553" s="2" t="str">
        <f>HYPERLINK("https://ibp.a2mac1.com/costing(costing:projects/details/8191/material/5320496)","Standard Structural Steel sheet")</f>
        <v>Standard Structural Steel sheet</v>
      </c>
      <c r="F6553" t="s">
        <v>6928</v>
      </c>
    </row>
    <row r="6554" spans="1:6" ht="12.75">
      <c r="A6554">
        <v>6948645</v>
      </c>
      <c r="B6554">
        <v>6976036</v>
      </c>
      <c r="C6554" t="s">
        <v>189</v>
      </c>
      <c r="D6554" t="s">
        <v>99</v>
      </c>
      <c r="E6554" s="2" t="str">
        <f>HYPERLINK("https://ibp.a2mac1.com/costing(costing:projects/details/8191/equipment/6948645)","Manufacturing Equipment")</f>
        <v>Manufacturing Equipment</v>
      </c>
      <c r="F6554" t="s">
        <v>6928</v>
      </c>
    </row>
    <row r="6555" spans="1:6" ht="12.75">
      <c r="A6555">
        <v>5389594</v>
      </c>
      <c r="B6555">
        <v>5389309</v>
      </c>
      <c r="C6555" t="s">
        <v>12</v>
      </c>
      <c r="D6555" t="s">
        <v>8</v>
      </c>
      <c r="E6555" s="2" t="str">
        <f>HYPERLINK("https://ibp.a2mac1.com/costing(costing:projects/details/8191/part/5389594)","Part 03")</f>
        <v>Part 03</v>
      </c>
      <c r="F6555" t="s">
        <v>6921</v>
      </c>
    </row>
    <row r="6556" spans="1:6" ht="12.75">
      <c r="A6556">
        <v>6976037</v>
      </c>
      <c r="B6556">
        <v>5389594</v>
      </c>
      <c r="C6556" t="s">
        <v>99</v>
      </c>
      <c r="D6556" t="s">
        <v>12</v>
      </c>
      <c r="E6556" s="2" t="str">
        <f>HYPERLINK("https://ibp.a2mac1.com/costing(costing:projects/details/8191/process/6976037)","MANUFACTURING  PROCESS")</f>
        <v>MANUFACTURING  PROCESS</v>
      </c>
      <c r="F6556" t="s">
        <v>6929</v>
      </c>
    </row>
    <row r="6557" spans="1:6" ht="12.75">
      <c r="A6557">
        <v>5320497</v>
      </c>
      <c r="B6557">
        <v>6976037</v>
      </c>
      <c r="C6557" t="s">
        <v>24</v>
      </c>
      <c r="D6557" t="s">
        <v>99</v>
      </c>
      <c r="E6557" s="2" t="str">
        <f>HYPERLINK("https://ibp.a2mac1.com/costing(costing:projects/details/8191/material/5320497)","Aluminum sheet body (default, e.g. EN-AW6063)")</f>
        <v>Aluminum sheet body (default, e.g. EN-AW6063)</v>
      </c>
      <c r="F6557" t="s">
        <v>6932</v>
      </c>
    </row>
    <row r="6558" spans="1:6" ht="12.75">
      <c r="A6558">
        <v>6948646</v>
      </c>
      <c r="B6558">
        <v>6976037</v>
      </c>
      <c r="C6558" t="s">
        <v>189</v>
      </c>
      <c r="D6558" t="s">
        <v>99</v>
      </c>
      <c r="E6558" s="2" t="str">
        <f>HYPERLINK("https://ibp.a2mac1.com/costing(costing:projects/details/8191/equipment/6948646)","Manufacturing Equipment")</f>
        <v>Manufacturing Equipment</v>
      </c>
      <c r="F6558" t="s">
        <v>6932</v>
      </c>
    </row>
    <row r="6559" spans="1:6" ht="12.75">
      <c r="A6559">
        <v>5389595</v>
      </c>
      <c r="B6559">
        <v>5389309</v>
      </c>
      <c r="C6559" t="s">
        <v>12</v>
      </c>
      <c r="D6559" t="s">
        <v>8</v>
      </c>
      <c r="E6559" s="2" t="str">
        <f>HYPERLINK("https://ibp.a2mac1.com/costing(costing:projects/details/8191/part/5389595)","Part 04")</f>
        <v>Part 04</v>
      </c>
      <c r="F6559" t="s">
        <v>6921</v>
      </c>
    </row>
    <row r="6560" spans="1:6" ht="12.75">
      <c r="A6560">
        <v>6976038</v>
      </c>
      <c r="B6560">
        <v>5389595</v>
      </c>
      <c r="C6560" t="s">
        <v>99</v>
      </c>
      <c r="D6560" t="s">
        <v>12</v>
      </c>
      <c r="E6560" s="2" t="str">
        <f>HYPERLINK("https://ibp.a2mac1.com/costing(costing:projects/details/8191/process/6976038)","MANUFACTURING  PROCESS")</f>
        <v>MANUFACTURING  PROCESS</v>
      </c>
      <c r="F6560" t="s">
        <v>6933</v>
      </c>
    </row>
    <row r="6561" spans="1:6" ht="12.75">
      <c r="A6561">
        <v>5320498</v>
      </c>
      <c r="B6561">
        <v>6976038</v>
      </c>
      <c r="C6561" t="s">
        <v>24</v>
      </c>
      <c r="D6561" t="s">
        <v>99</v>
      </c>
      <c r="E6561" s="2" t="str">
        <f>HYPERLINK("https://ibp.a2mac1.com/costing(costing:projects/details/8191/material/5320498)","Standard Structural Steel sheet")</f>
        <v>Standard Structural Steel sheet</v>
      </c>
      <c r="F6561" t="s">
        <v>6934</v>
      </c>
    </row>
    <row r="6562" spans="1:6" ht="12.75">
      <c r="A6562">
        <v>6948647</v>
      </c>
      <c r="B6562">
        <v>6976038</v>
      </c>
      <c r="C6562" t="s">
        <v>189</v>
      </c>
      <c r="D6562" t="s">
        <v>99</v>
      </c>
      <c r="E6562" s="2" t="str">
        <f>HYPERLINK("https://ibp.a2mac1.com/costing(costing:projects/details/8191/equipment/6948647)","Manufacturing Equipment")</f>
        <v>Manufacturing Equipment</v>
      </c>
      <c r="F6562" t="s">
        <v>6934</v>
      </c>
    </row>
    <row r="6563" spans="1:6" ht="12.75">
      <c r="A6563">
        <v>5389310</v>
      </c>
      <c r="B6563">
        <v>5388960</v>
      </c>
      <c r="C6563" t="s">
        <v>8</v>
      </c>
      <c r="D6563" t="s">
        <v>8</v>
      </c>
      <c r="E6563" s="2" t="str">
        <f>HYPERLINK("https://ibp.a2mac1.com/costing(costing:projects/details/8191/assembly/5389310)","Fixing parts")</f>
        <v>Fixing parts</v>
      </c>
      <c r="F6563" t="s">
        <v>6907</v>
      </c>
    </row>
    <row r="6564" spans="1:6" ht="12.75">
      <c r="A6564">
        <v>5389596</v>
      </c>
      <c r="B6564">
        <v>5389310</v>
      </c>
      <c r="C6564" t="s">
        <v>12</v>
      </c>
      <c r="D6564" t="s">
        <v>8</v>
      </c>
      <c r="E6564" s="2" t="str">
        <f>HYPERLINK("https://ibp.a2mac1.com/costing(costing:projects/details/8191/part/5389596)","Part 01 single/main")</f>
        <v>Part 01 single/main</v>
      </c>
      <c r="F6564" t="s">
        <v>6935</v>
      </c>
    </row>
    <row r="6565" spans="1:6" ht="12.75">
      <c r="A6565">
        <v>6976039</v>
      </c>
      <c r="B6565">
        <v>5389596</v>
      </c>
      <c r="C6565" t="s">
        <v>99</v>
      </c>
      <c r="D6565" t="s">
        <v>12</v>
      </c>
      <c r="E6565" s="2" t="str">
        <f>HYPERLINK("https://ibp.a2mac1.com/costing(costing:projects/details/8191/process/6976039)","MANUFACTURING  PROCESS")</f>
        <v>MANUFACTURING  PROCESS</v>
      </c>
      <c r="F6565" t="s">
        <v>6936</v>
      </c>
    </row>
    <row r="6566" spans="1:6" ht="12.75">
      <c r="A6566">
        <v>5320499</v>
      </c>
      <c r="B6566">
        <v>6976039</v>
      </c>
      <c r="C6566" t="s">
        <v>24</v>
      </c>
      <c r="D6566" t="s">
        <v>99</v>
      </c>
      <c r="E6566" s="2" t="str">
        <f>HYPERLINK("https://ibp.a2mac1.com/costing(costing:projects/details/8191/material/5320499)","Standard Structural Steel sheet")</f>
        <v>Standard Structural Steel sheet</v>
      </c>
      <c r="F6566" t="s">
        <v>6937</v>
      </c>
    </row>
    <row r="6567" spans="1:6" ht="12.75">
      <c r="A6567">
        <v>6948648</v>
      </c>
      <c r="B6567">
        <v>6976039</v>
      </c>
      <c r="C6567" t="s">
        <v>189</v>
      </c>
      <c r="D6567" t="s">
        <v>99</v>
      </c>
      <c r="E6567" s="2" t="str">
        <f>HYPERLINK("https://ibp.a2mac1.com/costing(costing:projects/details/8191/equipment/6948648)","Manufacturing Equipment")</f>
        <v>Manufacturing Equipment</v>
      </c>
      <c r="F6567" t="s">
        <v>6937</v>
      </c>
    </row>
    <row r="6568" spans="1:6" ht="12.75">
      <c r="A6568">
        <v>5389597</v>
      </c>
      <c r="B6568">
        <v>5389310</v>
      </c>
      <c r="C6568" t="s">
        <v>12</v>
      </c>
      <c r="D6568" t="s">
        <v>8</v>
      </c>
      <c r="E6568" s="2" t="str">
        <f>HYPERLINK("https://ibp.a2mac1.com/costing(costing:projects/details/8191/part/5389597)","Part 02")</f>
        <v>Part 02</v>
      </c>
      <c r="F6568" t="s">
        <v>6935</v>
      </c>
    </row>
    <row r="6569" spans="1:6" ht="12.75">
      <c r="A6569">
        <v>6976040</v>
      </c>
      <c r="B6569">
        <v>5389597</v>
      </c>
      <c r="C6569" t="s">
        <v>99</v>
      </c>
      <c r="D6569" t="s">
        <v>12</v>
      </c>
      <c r="E6569" s="2" t="str">
        <f>HYPERLINK("https://ibp.a2mac1.com/costing(costing:projects/details/8191/process/6976040)","MANUFACTURING  PROCESS")</f>
        <v>MANUFACTURING  PROCESS</v>
      </c>
      <c r="F6569" t="s">
        <v>6938</v>
      </c>
    </row>
    <row r="6570" spans="1:6" ht="12.75">
      <c r="A6570">
        <v>5320500</v>
      </c>
      <c r="B6570">
        <v>6976040</v>
      </c>
      <c r="C6570" t="s">
        <v>24</v>
      </c>
      <c r="D6570" t="s">
        <v>99</v>
      </c>
      <c r="E6570" s="2" t="str">
        <f>HYPERLINK("https://ibp.a2mac1.com/costing(costing:projects/details/8191/material/5320500)","Standard Structural Steel sheet")</f>
        <v>Standard Structural Steel sheet</v>
      </c>
      <c r="F6570" t="s">
        <v>6940</v>
      </c>
    </row>
    <row r="6571" spans="1:6" ht="12.75">
      <c r="A6571">
        <v>6948649</v>
      </c>
      <c r="B6571">
        <v>6976040</v>
      </c>
      <c r="C6571" t="s">
        <v>189</v>
      </c>
      <c r="D6571" t="s">
        <v>99</v>
      </c>
      <c r="E6571" s="2" t="str">
        <f>HYPERLINK("https://ibp.a2mac1.com/costing(costing:projects/details/8191/equipment/6948649)","Manufacturing Equipment")</f>
        <v>Manufacturing Equipment</v>
      </c>
      <c r="F6571" t="s">
        <v>6940</v>
      </c>
    </row>
    <row r="6572" spans="1:6" ht="12.75">
      <c r="A6572">
        <v>5389598</v>
      </c>
      <c r="B6572">
        <v>5389310</v>
      </c>
      <c r="C6572" t="s">
        <v>12</v>
      </c>
      <c r="D6572" t="s">
        <v>8</v>
      </c>
      <c r="E6572" s="2" t="str">
        <f>HYPERLINK("https://ibp.a2mac1.com/costing(costing:projects/details/8191/part/5389598)"," Part 03")</f>
        <v xml:space="preserve"> Part 03</v>
      </c>
      <c r="F6572" t="s">
        <v>6935</v>
      </c>
    </row>
    <row r="6573" spans="1:6" ht="12.75">
      <c r="A6573">
        <v>6976041</v>
      </c>
      <c r="B6573">
        <v>5389598</v>
      </c>
      <c r="C6573" t="s">
        <v>99</v>
      </c>
      <c r="D6573" t="s">
        <v>12</v>
      </c>
      <c r="E6573" s="2" t="str">
        <f>HYPERLINK("https://ibp.a2mac1.com/costing(costing:projects/details/8191/process/6976041)","MANUFACTURING  PROCESS")</f>
        <v>MANUFACTURING  PROCESS</v>
      </c>
      <c r="F6573" t="s">
        <v>6941</v>
      </c>
    </row>
    <row r="6574" spans="1:6" ht="12.75">
      <c r="A6574">
        <v>5320501</v>
      </c>
      <c r="B6574">
        <v>6976041</v>
      </c>
      <c r="C6574" t="s">
        <v>24</v>
      </c>
      <c r="D6574" t="s">
        <v>99</v>
      </c>
      <c r="E6574" s="2" t="str">
        <f>HYPERLINK("https://ibp.a2mac1.com/costing(costing:projects/details/8191/material/5320501)","Standard Structural Steel sheet")</f>
        <v>Standard Structural Steel sheet</v>
      </c>
      <c r="F6574" t="s">
        <v>6942</v>
      </c>
    </row>
    <row r="6575" spans="1:6" ht="12.75">
      <c r="A6575">
        <v>6948675</v>
      </c>
      <c r="B6575">
        <v>6976041</v>
      </c>
      <c r="C6575" t="s">
        <v>189</v>
      </c>
      <c r="D6575" t="s">
        <v>99</v>
      </c>
      <c r="E6575" s="2" t="str">
        <f>HYPERLINK("https://ibp.a2mac1.com/costing(costing:projects/details/8191/equipment/6948675)","Manufacturing Equipment")</f>
        <v>Manufacturing Equipment</v>
      </c>
      <c r="F6575" t="s">
        <v>6942</v>
      </c>
    </row>
    <row r="6576" spans="1:6" ht="12.75">
      <c r="A6576">
        <v>5389599</v>
      </c>
      <c r="B6576">
        <v>5389310</v>
      </c>
      <c r="C6576" t="s">
        <v>12</v>
      </c>
      <c r="D6576" t="s">
        <v>8</v>
      </c>
      <c r="E6576" s="2" t="str">
        <f>HYPERLINK("https://ibp.a2mac1.com/costing(costing:projects/details/8191/part/5389599)","Part 04")</f>
        <v>Part 04</v>
      </c>
      <c r="F6576" t="s">
        <v>6935</v>
      </c>
    </row>
    <row r="6577" spans="1:6" ht="12.75">
      <c r="A6577">
        <v>6976042</v>
      </c>
      <c r="B6577">
        <v>5389599</v>
      </c>
      <c r="C6577" t="s">
        <v>99</v>
      </c>
      <c r="D6577" t="s">
        <v>12</v>
      </c>
      <c r="E6577" s="2" t="str">
        <f>HYPERLINK("https://ibp.a2mac1.com/costing(costing:projects/details/8191/process/6976042)","MANUFACTURING  PROCESS")</f>
        <v>MANUFACTURING  PROCESS</v>
      </c>
      <c r="F6577" t="s">
        <v>6943</v>
      </c>
    </row>
    <row r="6578" spans="1:6" ht="12.75">
      <c r="A6578">
        <v>5320502</v>
      </c>
      <c r="B6578">
        <v>6976042</v>
      </c>
      <c r="C6578" t="s">
        <v>24</v>
      </c>
      <c r="D6578" t="s">
        <v>99</v>
      </c>
      <c r="E6578" s="2" t="str">
        <f>HYPERLINK("https://ibp.a2mac1.com/costing(costing:projects/details/8191/material/5320502)","Standard Structural Steel sheet")</f>
        <v>Standard Structural Steel sheet</v>
      </c>
      <c r="F6578" t="s">
        <v>6945</v>
      </c>
    </row>
    <row r="6579" spans="1:6" ht="12.75">
      <c r="A6579">
        <v>6948676</v>
      </c>
      <c r="B6579">
        <v>6976042</v>
      </c>
      <c r="C6579" t="s">
        <v>189</v>
      </c>
      <c r="D6579" t="s">
        <v>99</v>
      </c>
      <c r="E6579" s="2" t="str">
        <f>HYPERLINK("https://ibp.a2mac1.com/costing(costing:projects/details/8191/equipment/6948676)","Manufacturing Equipment")</f>
        <v>Manufacturing Equipment</v>
      </c>
      <c r="F6579" t="s">
        <v>6945</v>
      </c>
    </row>
    <row r="6580" spans="1:6" ht="12.75">
      <c r="A6580">
        <v>5389600</v>
      </c>
      <c r="B6580">
        <v>5389310</v>
      </c>
      <c r="C6580" t="s">
        <v>12</v>
      </c>
      <c r="D6580" t="s">
        <v>8</v>
      </c>
      <c r="E6580" s="2" t="str">
        <f>HYPERLINK("https://ibp.a2mac1.com/costing(costing:projects/details/8191/part/5389600)"," Part 05")</f>
        <v xml:space="preserve"> Part 05</v>
      </c>
      <c r="F6580" t="s">
        <v>6935</v>
      </c>
    </row>
    <row r="6581" spans="1:6" ht="12.75">
      <c r="A6581">
        <v>6976043</v>
      </c>
      <c r="B6581">
        <v>5389600</v>
      </c>
      <c r="C6581" t="s">
        <v>99</v>
      </c>
      <c r="D6581" t="s">
        <v>12</v>
      </c>
      <c r="E6581" s="2" t="str">
        <f>HYPERLINK("https://ibp.a2mac1.com/costing(costing:projects/details/8191/process/6976043)","MANUFACTURING  PROCESS")</f>
        <v>MANUFACTURING  PROCESS</v>
      </c>
      <c r="F6581" t="s">
        <v>6946</v>
      </c>
    </row>
    <row r="6582" spans="1:6" ht="12.75">
      <c r="A6582">
        <v>5320503</v>
      </c>
      <c r="B6582">
        <v>6976043</v>
      </c>
      <c r="C6582" t="s">
        <v>24</v>
      </c>
      <c r="D6582" t="s">
        <v>99</v>
      </c>
      <c r="E6582" s="2" t="str">
        <f>HYPERLINK("https://ibp.a2mac1.com/costing(costing:projects/details/8191/material/5320503)","Standard Structural Steel sheet")</f>
        <v>Standard Structural Steel sheet</v>
      </c>
      <c r="F6582" t="s">
        <v>6947</v>
      </c>
    </row>
    <row r="6583" spans="1:6" ht="12.75">
      <c r="A6583">
        <v>6948677</v>
      </c>
      <c r="B6583">
        <v>6976043</v>
      </c>
      <c r="C6583" t="s">
        <v>189</v>
      </c>
      <c r="D6583" t="s">
        <v>99</v>
      </c>
      <c r="E6583" s="2" t="str">
        <f>HYPERLINK("https://ibp.a2mac1.com/costing(costing:projects/details/8191/equipment/6948677)","Manufacturing Equipment")</f>
        <v>Manufacturing Equipment</v>
      </c>
      <c r="F6583" t="s">
        <v>6947</v>
      </c>
    </row>
    <row r="6584" spans="1:6" ht="12.75">
      <c r="A6584">
        <v>5389311</v>
      </c>
      <c r="B6584">
        <v>5388960</v>
      </c>
      <c r="C6584" t="s">
        <v>8</v>
      </c>
      <c r="D6584" t="s">
        <v>8</v>
      </c>
      <c r="E6584" s="2" t="str">
        <f>HYPERLINK("https://ibp.a2mac1.com/costing(costing:projects/details/8191/assembly/5389311)","Brackets")</f>
        <v>Brackets</v>
      </c>
      <c r="F6584" t="s">
        <v>6907</v>
      </c>
    </row>
    <row r="6585" spans="1:6" ht="12.75">
      <c r="A6585">
        <v>5389601</v>
      </c>
      <c r="B6585">
        <v>5389311</v>
      </c>
      <c r="C6585" t="s">
        <v>12</v>
      </c>
      <c r="D6585" t="s">
        <v>8</v>
      </c>
      <c r="E6585" s="2" t="str">
        <f>HYPERLINK("https://ibp.a2mac1.com/costing(costing:projects/details/8191/part/5389601)","Part 01 single/main")</f>
        <v>Part 01 single/main</v>
      </c>
      <c r="F6585" t="s">
        <v>6948</v>
      </c>
    </row>
    <row r="6586" spans="1:6" ht="12.75">
      <c r="A6586">
        <v>6976044</v>
      </c>
      <c r="B6586">
        <v>5389601</v>
      </c>
      <c r="C6586" t="s">
        <v>99</v>
      </c>
      <c r="D6586" t="s">
        <v>12</v>
      </c>
      <c r="E6586" s="2" t="str">
        <f>HYPERLINK("https://ibp.a2mac1.com/costing(costing:projects/details/8191/process/6976044)","MANUFACTURING  PROCESS")</f>
        <v>MANUFACTURING  PROCESS</v>
      </c>
      <c r="F6586" t="s">
        <v>6949</v>
      </c>
    </row>
    <row r="6587" spans="1:6" ht="12.75">
      <c r="A6587">
        <v>5320504</v>
      </c>
      <c r="B6587">
        <v>6976044</v>
      </c>
      <c r="C6587" t="s">
        <v>24</v>
      </c>
      <c r="D6587" t="s">
        <v>99</v>
      </c>
      <c r="E6587" s="2" t="str">
        <f>HYPERLINK("https://ibp.a2mac1.com/costing(costing:projects/details/8191/material/5320504)","Standard Structural Steel sheet")</f>
        <v>Standard Structural Steel sheet</v>
      </c>
      <c r="F6587" t="s">
        <v>6951</v>
      </c>
    </row>
    <row r="6588" spans="1:6" ht="12.75">
      <c r="A6588">
        <v>6948678</v>
      </c>
      <c r="B6588">
        <v>6976044</v>
      </c>
      <c r="C6588" t="s">
        <v>189</v>
      </c>
      <c r="D6588" t="s">
        <v>99</v>
      </c>
      <c r="E6588" s="2" t="str">
        <f>HYPERLINK("https://ibp.a2mac1.com/costing(costing:projects/details/8191/equipment/6948678)","Manufacturing Equipment")</f>
        <v>Manufacturing Equipment</v>
      </c>
      <c r="F6588" t="s">
        <v>6951</v>
      </c>
    </row>
    <row r="6589" spans="1:6" ht="12.75">
      <c r="A6589">
        <v>5389602</v>
      </c>
      <c r="B6589">
        <v>5389311</v>
      </c>
      <c r="C6589" t="s">
        <v>12</v>
      </c>
      <c r="D6589" t="s">
        <v>8</v>
      </c>
      <c r="E6589" s="2" t="str">
        <f>HYPERLINK("https://ibp.a2mac1.com/costing(costing:projects/details/8191/part/5389602)","Part 02")</f>
        <v>Part 02</v>
      </c>
      <c r="F6589" t="s">
        <v>6948</v>
      </c>
    </row>
    <row r="6590" spans="1:6" ht="12.75">
      <c r="A6590">
        <v>6976045</v>
      </c>
      <c r="B6590">
        <v>5389602</v>
      </c>
      <c r="C6590" t="s">
        <v>99</v>
      </c>
      <c r="D6590" t="s">
        <v>12</v>
      </c>
      <c r="E6590" s="2" t="str">
        <f>HYPERLINK("https://ibp.a2mac1.com/costing(costing:projects/details/8191/process/6976045)","MANUFACTURING  PROCESS")</f>
        <v>MANUFACTURING  PROCESS</v>
      </c>
      <c r="F6590" t="s">
        <v>6952</v>
      </c>
    </row>
    <row r="6591" spans="1:6" ht="12.75">
      <c r="A6591">
        <v>5320505</v>
      </c>
      <c r="B6591">
        <v>6976045</v>
      </c>
      <c r="C6591" t="s">
        <v>24</v>
      </c>
      <c r="D6591" t="s">
        <v>99</v>
      </c>
      <c r="E6591" s="2" t="str">
        <f>HYPERLINK("https://ibp.a2mac1.com/costing(costing:projects/details/8191/material/5320505)","Standard Structural Steel sheet")</f>
        <v>Standard Structural Steel sheet</v>
      </c>
      <c r="F6591" t="s">
        <v>6954</v>
      </c>
    </row>
    <row r="6592" spans="1:6" ht="12.75">
      <c r="A6592">
        <v>6948679</v>
      </c>
      <c r="B6592">
        <v>6976045</v>
      </c>
      <c r="C6592" t="s">
        <v>189</v>
      </c>
      <c r="D6592" t="s">
        <v>99</v>
      </c>
      <c r="E6592" s="2" t="str">
        <f>HYPERLINK("https://ibp.a2mac1.com/costing(costing:projects/details/8191/equipment/6948679)","Manufacturing Equipment")</f>
        <v>Manufacturing Equipment</v>
      </c>
      <c r="F6592" t="s">
        <v>6954</v>
      </c>
    </row>
    <row r="6593" spans="1:6" ht="12.75">
      <c r="A6593">
        <v>5389603</v>
      </c>
      <c r="B6593">
        <v>5389311</v>
      </c>
      <c r="C6593" t="s">
        <v>12</v>
      </c>
      <c r="D6593" t="s">
        <v>8</v>
      </c>
      <c r="E6593" s="2" t="str">
        <f>HYPERLINK("https://ibp.a2mac1.com/costing(costing:projects/details/8191/part/5389603)","Part 03")</f>
        <v>Part 03</v>
      </c>
      <c r="F6593" t="s">
        <v>6948</v>
      </c>
    </row>
    <row r="6594" spans="1:6" ht="12.75">
      <c r="A6594">
        <v>6976046</v>
      </c>
      <c r="B6594">
        <v>5389603</v>
      </c>
      <c r="C6594" t="s">
        <v>99</v>
      </c>
      <c r="D6594" t="s">
        <v>12</v>
      </c>
      <c r="E6594" s="2" t="str">
        <f>HYPERLINK("https://ibp.a2mac1.com/costing(costing:projects/details/8191/process/6976046)","MANUFACTURING  PROCESS")</f>
        <v>MANUFACTURING  PROCESS</v>
      </c>
      <c r="F6594" t="s">
        <v>6955</v>
      </c>
    </row>
    <row r="6595" spans="1:6" ht="12.75">
      <c r="A6595">
        <v>5320506</v>
      </c>
      <c r="B6595">
        <v>6976046</v>
      </c>
      <c r="C6595" t="s">
        <v>24</v>
      </c>
      <c r="D6595" t="s">
        <v>99</v>
      </c>
      <c r="E6595" s="2" t="str">
        <f>HYPERLINK("https://ibp.a2mac1.com/costing(costing:projects/details/8191/material/5320506)","Standard Structural Steel sheet")</f>
        <v>Standard Structural Steel sheet</v>
      </c>
      <c r="F6595" t="s">
        <v>6957</v>
      </c>
    </row>
    <row r="6596" spans="1:6" ht="12.75">
      <c r="A6596">
        <v>6948680</v>
      </c>
      <c r="B6596">
        <v>6976046</v>
      </c>
      <c r="C6596" t="s">
        <v>189</v>
      </c>
      <c r="D6596" t="s">
        <v>99</v>
      </c>
      <c r="E6596" s="2" t="str">
        <f>HYPERLINK("https://ibp.a2mac1.com/costing(costing:projects/details/8191/equipment/6948680)","Manufacturing Equipment")</f>
        <v>Manufacturing Equipment</v>
      </c>
      <c r="F6596" t="s">
        <v>6957</v>
      </c>
    </row>
    <row r="6597" spans="1:6" ht="12.75">
      <c r="A6597">
        <v>5388635</v>
      </c>
      <c r="B6597">
        <v>5388293</v>
      </c>
      <c r="C6597" t="s">
        <v>8</v>
      </c>
      <c r="D6597" t="s">
        <v>8</v>
      </c>
      <c r="E6597" s="2" t="str">
        <f>HYPERLINK("https://ibp.a2mac1.com/costing(costing:projects/details/8191/assembly/5388635)","Rear unit")</f>
        <v>Rear unit</v>
      </c>
      <c r="F6597" t="s">
        <v>6686</v>
      </c>
    </row>
    <row r="6598" spans="1:6" ht="12.75">
      <c r="A6598">
        <v>5388961</v>
      </c>
      <c r="B6598">
        <v>5388635</v>
      </c>
      <c r="C6598" t="s">
        <v>8</v>
      </c>
      <c r="D6598" t="s">
        <v>8</v>
      </c>
      <c r="E6598" s="2" t="str">
        <f>HYPERLINK("https://ibp.a2mac1.com/costing(costing:projects/details/8191/assembly/5388961)","Inner wheel shroud assy")</f>
        <v>Inner wheel shroud assy</v>
      </c>
      <c r="F6598" t="s">
        <v>6958</v>
      </c>
    </row>
    <row r="6599" spans="1:6" ht="12.75">
      <c r="A6599">
        <v>5389312</v>
      </c>
      <c r="B6599">
        <v>5388961</v>
      </c>
      <c r="C6599" t="s">
        <v>8</v>
      </c>
      <c r="D6599" t="s">
        <v>8</v>
      </c>
      <c r="E6599" s="2" t="str">
        <f>HYPERLINK("https://ibp.a2mac1.com/costing(costing:projects/details/8191/assembly/5389312)","Frame")</f>
        <v>Frame</v>
      </c>
      <c r="F6599" t="s">
        <v>6959</v>
      </c>
    </row>
    <row r="6600" spans="1:6" ht="12.75">
      <c r="A6600">
        <v>5389604</v>
      </c>
      <c r="B6600">
        <v>5389312</v>
      </c>
      <c r="C6600" t="s">
        <v>12</v>
      </c>
      <c r="D6600" t="s">
        <v>8</v>
      </c>
      <c r="E6600" s="2" t="str">
        <f>HYPERLINK("https://ibp.a2mac1.com/costing(costing:projects/details/8191/part/5389604)","Part 01 single/main")</f>
        <v>Part 01 single/main</v>
      </c>
      <c r="F6600" t="s">
        <v>6960</v>
      </c>
    </row>
    <row r="6601" spans="1:6" ht="12.75">
      <c r="A6601">
        <v>6976047</v>
      </c>
      <c r="B6601">
        <v>5389604</v>
      </c>
      <c r="C6601" t="s">
        <v>99</v>
      </c>
      <c r="D6601" t="s">
        <v>12</v>
      </c>
      <c r="E6601" s="2" t="str">
        <f>HYPERLINK("https://ibp.a2mac1.com/costing(costing:projects/details/8191/process/6976047)","MANUFACTURING  PROCESS")</f>
        <v>MANUFACTURING  PROCESS</v>
      </c>
      <c r="F6601" t="s">
        <v>6961</v>
      </c>
    </row>
    <row r="6602" spans="1:6" ht="12.75">
      <c r="A6602">
        <v>5320507</v>
      </c>
      <c r="B6602">
        <v>6976047</v>
      </c>
      <c r="C6602" t="s">
        <v>24</v>
      </c>
      <c r="D6602" t="s">
        <v>99</v>
      </c>
      <c r="E6602" s="2" t="str">
        <f>HYPERLINK("https://ibp.a2mac1.com/costing(costing:projects/details/8191/material/5320507)","Standard Structural Steel sheet")</f>
        <v>Standard Structural Steel sheet</v>
      </c>
      <c r="F6602" t="s">
        <v>6964</v>
      </c>
    </row>
    <row r="6603" spans="1:6" ht="12.75">
      <c r="A6603">
        <v>6948681</v>
      </c>
      <c r="B6603">
        <v>6976047</v>
      </c>
      <c r="C6603" t="s">
        <v>189</v>
      </c>
      <c r="D6603" t="s">
        <v>99</v>
      </c>
      <c r="E6603" s="2" t="str">
        <f>HYPERLINK("https://ibp.a2mac1.com/costing(costing:projects/details/8191/equipment/6948681)","Manufacturing Equipment")</f>
        <v>Manufacturing Equipment</v>
      </c>
      <c r="F6603" t="s">
        <v>6964</v>
      </c>
    </row>
    <row r="6604" spans="1:6" ht="12.75">
      <c r="A6604">
        <v>5389605</v>
      </c>
      <c r="B6604">
        <v>5389312</v>
      </c>
      <c r="C6604" t="s">
        <v>12</v>
      </c>
      <c r="D6604" t="s">
        <v>8</v>
      </c>
      <c r="E6604" s="2" t="str">
        <f>HYPERLINK("https://ibp.a2mac1.com/costing(costing:projects/details/8191/part/5389605)","Part 02")</f>
        <v>Part 02</v>
      </c>
      <c r="F6604" t="s">
        <v>6960</v>
      </c>
    </row>
    <row r="6605" spans="1:6" ht="12.75">
      <c r="A6605">
        <v>6976048</v>
      </c>
      <c r="B6605">
        <v>5389605</v>
      </c>
      <c r="C6605" t="s">
        <v>99</v>
      </c>
      <c r="D6605" t="s">
        <v>12</v>
      </c>
      <c r="E6605" s="2" t="str">
        <f>HYPERLINK("https://ibp.a2mac1.com/costing(costing:projects/details/8191/process/6976048)","MANUFACTURING  PROCESS")</f>
        <v>MANUFACTURING  PROCESS</v>
      </c>
      <c r="F6605" t="s">
        <v>6965</v>
      </c>
    </row>
    <row r="6606" spans="1:6" ht="12.75">
      <c r="A6606">
        <v>5320508</v>
      </c>
      <c r="B6606">
        <v>6976048</v>
      </c>
      <c r="C6606" t="s">
        <v>24</v>
      </c>
      <c r="D6606" t="s">
        <v>99</v>
      </c>
      <c r="E6606" s="2" t="str">
        <f>HYPERLINK("https://ibp.a2mac1.com/costing(costing:projects/details/8191/material/5320508)","Standard Structural Steel sheet")</f>
        <v>Standard Structural Steel sheet</v>
      </c>
      <c r="F6606" t="s">
        <v>6967</v>
      </c>
    </row>
    <row r="6607" spans="1:6" ht="12.75">
      <c r="A6607">
        <v>6948682</v>
      </c>
      <c r="B6607">
        <v>6976048</v>
      </c>
      <c r="C6607" t="s">
        <v>189</v>
      </c>
      <c r="D6607" t="s">
        <v>99</v>
      </c>
      <c r="E6607" s="2" t="str">
        <f>HYPERLINK("https://ibp.a2mac1.com/costing(costing:projects/details/8191/equipment/6948682)","Manufacturing Equipment")</f>
        <v>Manufacturing Equipment</v>
      </c>
      <c r="F6607" t="s">
        <v>6967</v>
      </c>
    </row>
    <row r="6608" spans="1:6" ht="12.75">
      <c r="A6608">
        <v>5389313</v>
      </c>
      <c r="B6608">
        <v>5388961</v>
      </c>
      <c r="C6608" t="s">
        <v>8</v>
      </c>
      <c r="D6608" t="s">
        <v>8</v>
      </c>
      <c r="E6608" s="2" t="str">
        <f>HYPERLINK("https://ibp.a2mac1.com/costing(costing:projects/details/8191/assembly/5389313)","Reinforcements")</f>
        <v>Reinforcements</v>
      </c>
      <c r="F6608" t="s">
        <v>6959</v>
      </c>
    </row>
    <row r="6609" spans="1:6" ht="12.75">
      <c r="A6609">
        <v>5389606</v>
      </c>
      <c r="B6609">
        <v>5389313</v>
      </c>
      <c r="C6609" t="s">
        <v>12</v>
      </c>
      <c r="D6609" t="s">
        <v>8</v>
      </c>
      <c r="E6609" s="2" t="str">
        <f>HYPERLINK("https://ibp.a2mac1.com/costing(costing:projects/details/8191/part/5389606)"," Part 01 single/main")</f>
        <v xml:space="preserve"> Part 01 single/main</v>
      </c>
      <c r="F6609" t="s">
        <v>6968</v>
      </c>
    </row>
    <row r="6610" spans="1:6" ht="12.75">
      <c r="A6610">
        <v>6976049</v>
      </c>
      <c r="B6610">
        <v>5389606</v>
      </c>
      <c r="C6610" t="s">
        <v>99</v>
      </c>
      <c r="D6610" t="s">
        <v>12</v>
      </c>
      <c r="E6610" s="2" t="str">
        <f>HYPERLINK("https://ibp.a2mac1.com/costing(costing:projects/details/8191/process/6976049)","MANUFACTURING  PROCESS")</f>
        <v>MANUFACTURING  PROCESS</v>
      </c>
      <c r="F6610" t="s">
        <v>6969</v>
      </c>
    </row>
    <row r="6611" spans="1:6" ht="12.75">
      <c r="A6611">
        <v>5320509</v>
      </c>
      <c r="B6611">
        <v>6976049</v>
      </c>
      <c r="C6611" t="s">
        <v>24</v>
      </c>
      <c r="D6611" t="s">
        <v>99</v>
      </c>
      <c r="E6611" s="2" t="str">
        <f>HYPERLINK("https://ibp.a2mac1.com/costing(costing:projects/details/8191/material/5320509)","Standard Structural Steel sheet")</f>
        <v>Standard Structural Steel sheet</v>
      </c>
      <c r="F6611" t="s">
        <v>6972</v>
      </c>
    </row>
    <row r="6612" spans="1:6" ht="12.75">
      <c r="A6612">
        <v>6948683</v>
      </c>
      <c r="B6612">
        <v>6976049</v>
      </c>
      <c r="C6612" t="s">
        <v>189</v>
      </c>
      <c r="D6612" t="s">
        <v>99</v>
      </c>
      <c r="E6612" s="2" t="str">
        <f>HYPERLINK("https://ibp.a2mac1.com/costing(costing:projects/details/8191/equipment/6948683)","Manufacturing Equipment")</f>
        <v>Manufacturing Equipment</v>
      </c>
      <c r="F6612" t="s">
        <v>6972</v>
      </c>
    </row>
    <row r="6613" spans="1:6" ht="12.75">
      <c r="A6613">
        <v>5389607</v>
      </c>
      <c r="B6613">
        <v>5389313</v>
      </c>
      <c r="C6613" t="s">
        <v>12</v>
      </c>
      <c r="D6613" t="s">
        <v>8</v>
      </c>
      <c r="E6613" s="2" t="str">
        <f>HYPERLINK("https://ibp.a2mac1.com/costing(costing:projects/details/8191/part/5389607)","Part 02")</f>
        <v>Part 02</v>
      </c>
      <c r="F6613" t="s">
        <v>6968</v>
      </c>
    </row>
    <row r="6614" spans="1:6" ht="12.75">
      <c r="A6614">
        <v>6976050</v>
      </c>
      <c r="B6614">
        <v>5389607</v>
      </c>
      <c r="C6614" t="s">
        <v>99</v>
      </c>
      <c r="D6614" t="s">
        <v>12</v>
      </c>
      <c r="E6614" s="2" t="str">
        <f>HYPERLINK("https://ibp.a2mac1.com/costing(costing:projects/details/8191/process/6976050)","MANUFACTURING  PROCESS")</f>
        <v>MANUFACTURING  PROCESS</v>
      </c>
      <c r="F6614" t="s">
        <v>6973</v>
      </c>
    </row>
    <row r="6615" spans="1:6" ht="12.75">
      <c r="A6615">
        <v>5320510</v>
      </c>
      <c r="B6615">
        <v>6976050</v>
      </c>
      <c r="C6615" t="s">
        <v>24</v>
      </c>
      <c r="D6615" t="s">
        <v>99</v>
      </c>
      <c r="E6615" s="2" t="str">
        <f>HYPERLINK("https://ibp.a2mac1.com/costing(costing:projects/details/8191/material/5320510)","Standard Structural Steel sheet")</f>
        <v>Standard Structural Steel sheet</v>
      </c>
      <c r="F6615" t="s">
        <v>6976</v>
      </c>
    </row>
    <row r="6616" spans="1:6" ht="12.75">
      <c r="A6616">
        <v>6948684</v>
      </c>
      <c r="B6616">
        <v>6976050</v>
      </c>
      <c r="C6616" t="s">
        <v>189</v>
      </c>
      <c r="D6616" t="s">
        <v>99</v>
      </c>
      <c r="E6616" s="2" t="str">
        <f>HYPERLINK("https://ibp.a2mac1.com/costing(costing:projects/details/8191/equipment/6948684)","Manufacturing Equipment")</f>
        <v>Manufacturing Equipment</v>
      </c>
      <c r="F6616" t="s">
        <v>6976</v>
      </c>
    </row>
    <row r="6617" spans="1:6" ht="12.75">
      <c r="A6617">
        <v>5389314</v>
      </c>
      <c r="B6617">
        <v>5388961</v>
      </c>
      <c r="C6617" t="s">
        <v>8</v>
      </c>
      <c r="D6617" t="s">
        <v>8</v>
      </c>
      <c r="E6617" s="2" t="str">
        <f>HYPERLINK("https://ibp.a2mac1.com/costing(costing:projects/details/8191/assembly/5389314)","Fixing parts")</f>
        <v>Fixing parts</v>
      </c>
      <c r="F6617" t="s">
        <v>6959</v>
      </c>
    </row>
    <row r="6618" spans="1:6" ht="12.75">
      <c r="A6618">
        <v>5389608</v>
      </c>
      <c r="B6618">
        <v>5389314</v>
      </c>
      <c r="C6618" t="s">
        <v>12</v>
      </c>
      <c r="D6618" t="s">
        <v>8</v>
      </c>
      <c r="E6618" s="2" t="str">
        <f>HYPERLINK("https://ibp.a2mac1.com/costing(costing:projects/details/8191/part/5389608)"," Part 01 single/main")</f>
        <v xml:space="preserve"> Part 01 single/main</v>
      </c>
      <c r="F6618" t="s">
        <v>6977</v>
      </c>
    </row>
    <row r="6619" spans="1:6" ht="12.75">
      <c r="A6619">
        <v>6976051</v>
      </c>
      <c r="B6619">
        <v>5389608</v>
      </c>
      <c r="C6619" t="s">
        <v>99</v>
      </c>
      <c r="D6619" t="s">
        <v>12</v>
      </c>
      <c r="E6619" s="2" t="str">
        <f>HYPERLINK("https://ibp.a2mac1.com/costing(costing:projects/details/8191/process/6976051)","MANUFACTURING  PROCESS")</f>
        <v>MANUFACTURING  PROCESS</v>
      </c>
      <c r="F6619" t="s">
        <v>6978</v>
      </c>
    </row>
    <row r="6620" spans="1:6" ht="12.75">
      <c r="A6620">
        <v>5320511</v>
      </c>
      <c r="B6620">
        <v>6976051</v>
      </c>
      <c r="C6620" t="s">
        <v>24</v>
      </c>
      <c r="D6620" t="s">
        <v>99</v>
      </c>
      <c r="E6620" s="2" t="str">
        <f>HYPERLINK("https://ibp.a2mac1.com/costing(costing:projects/details/8191/material/5320511)","Standard Structural Steel sheet")</f>
        <v>Standard Structural Steel sheet</v>
      </c>
      <c r="F6620" t="s">
        <v>6980</v>
      </c>
    </row>
    <row r="6621" spans="1:6" ht="12.75">
      <c r="A6621">
        <v>6948685</v>
      </c>
      <c r="B6621">
        <v>6976051</v>
      </c>
      <c r="C6621" t="s">
        <v>189</v>
      </c>
      <c r="D6621" t="s">
        <v>99</v>
      </c>
      <c r="E6621" s="2" t="str">
        <f>HYPERLINK("https://ibp.a2mac1.com/costing(costing:projects/details/8191/equipment/6948685)","Manufacturing Equipment")</f>
        <v>Manufacturing Equipment</v>
      </c>
      <c r="F6621" t="s">
        <v>6980</v>
      </c>
    </row>
    <row r="6622" spans="1:6" ht="12.75">
      <c r="A6622">
        <v>5389609</v>
      </c>
      <c r="B6622">
        <v>5389314</v>
      </c>
      <c r="C6622" t="s">
        <v>12</v>
      </c>
      <c r="D6622" t="s">
        <v>8</v>
      </c>
      <c r="E6622" s="2" t="str">
        <f>HYPERLINK("https://ibp.a2mac1.com/costing(costing:projects/details/8191/part/5389609)"," Part 02")</f>
        <v xml:space="preserve"> Part 02</v>
      </c>
      <c r="F6622" t="s">
        <v>6977</v>
      </c>
    </row>
    <row r="6623" spans="1:6" ht="12.75">
      <c r="A6623">
        <v>6976052</v>
      </c>
      <c r="B6623">
        <v>5389609</v>
      </c>
      <c r="C6623" t="s">
        <v>99</v>
      </c>
      <c r="D6623" t="s">
        <v>12</v>
      </c>
      <c r="E6623" s="2" t="str">
        <f>HYPERLINK("https://ibp.a2mac1.com/costing(costing:projects/details/8191/process/6976052)","MANUFACTURING  PROCESS")</f>
        <v>MANUFACTURING  PROCESS</v>
      </c>
      <c r="F6623" t="s">
        <v>6981</v>
      </c>
    </row>
    <row r="6624" spans="1:6" ht="12.75">
      <c r="A6624">
        <v>5320512</v>
      </c>
      <c r="B6624">
        <v>6976052</v>
      </c>
      <c r="C6624" t="s">
        <v>24</v>
      </c>
      <c r="D6624" t="s">
        <v>99</v>
      </c>
      <c r="E6624" s="2" t="str">
        <f>HYPERLINK("https://ibp.a2mac1.com/costing(costing:projects/details/8191/material/5320512)","Standard Structural Steel sheet")</f>
        <v>Standard Structural Steel sheet</v>
      </c>
      <c r="F6624" t="s">
        <v>6982</v>
      </c>
    </row>
    <row r="6625" spans="1:6" ht="12.75">
      <c r="A6625">
        <v>6948686</v>
      </c>
      <c r="B6625">
        <v>6976052</v>
      </c>
      <c r="C6625" t="s">
        <v>189</v>
      </c>
      <c r="D6625" t="s">
        <v>99</v>
      </c>
      <c r="E6625" s="2" t="str">
        <f>HYPERLINK("https://ibp.a2mac1.com/costing(costing:projects/details/8191/equipment/6948686)","Manufacturing Equipment")</f>
        <v>Manufacturing Equipment</v>
      </c>
      <c r="F6625" t="s">
        <v>6982</v>
      </c>
    </row>
    <row r="6626" spans="1:6" ht="12.75">
      <c r="A6626">
        <v>5389610</v>
      </c>
      <c r="B6626">
        <v>5389314</v>
      </c>
      <c r="C6626" t="s">
        <v>12</v>
      </c>
      <c r="D6626" t="s">
        <v>8</v>
      </c>
      <c r="E6626" s="2" t="str">
        <f>HYPERLINK("https://ibp.a2mac1.com/costing(costing:projects/details/8191/part/5389610)"," Part 03")</f>
        <v xml:space="preserve"> Part 03</v>
      </c>
      <c r="F6626" t="s">
        <v>6977</v>
      </c>
    </row>
    <row r="6627" spans="1:6" ht="12.75">
      <c r="A6627">
        <v>6976053</v>
      </c>
      <c r="B6627">
        <v>5389610</v>
      </c>
      <c r="C6627" t="s">
        <v>99</v>
      </c>
      <c r="D6627" t="s">
        <v>12</v>
      </c>
      <c r="E6627" s="2" t="str">
        <f>HYPERLINK("https://ibp.a2mac1.com/costing(costing:projects/details/8191/process/6976053)","MANUFACTURING  PROCESS")</f>
        <v>MANUFACTURING  PROCESS</v>
      </c>
      <c r="F6627" t="s">
        <v>6983</v>
      </c>
    </row>
    <row r="6628" spans="1:6" ht="12.75">
      <c r="A6628">
        <v>5320513</v>
      </c>
      <c r="B6628">
        <v>6976053</v>
      </c>
      <c r="C6628" t="s">
        <v>24</v>
      </c>
      <c r="D6628" t="s">
        <v>99</v>
      </c>
      <c r="E6628" s="2" t="str">
        <f>HYPERLINK("https://ibp.a2mac1.com/costing(costing:projects/details/8191/material/5320513)","Standard Structural Steel sheet")</f>
        <v>Standard Structural Steel sheet</v>
      </c>
      <c r="F6628" t="s">
        <v>6985</v>
      </c>
    </row>
    <row r="6629" spans="1:6" ht="12.75">
      <c r="A6629">
        <v>6948687</v>
      </c>
      <c r="B6629">
        <v>6976053</v>
      </c>
      <c r="C6629" t="s">
        <v>189</v>
      </c>
      <c r="D6629" t="s">
        <v>99</v>
      </c>
      <c r="E6629" s="2" t="str">
        <f>HYPERLINK("https://ibp.a2mac1.com/costing(costing:projects/details/8191/equipment/6948687)","Manufacturing Equipment")</f>
        <v>Manufacturing Equipment</v>
      </c>
      <c r="F6629" t="s">
        <v>6985</v>
      </c>
    </row>
    <row r="6630" spans="1:6" ht="12.75">
      <c r="A6630">
        <v>5389611</v>
      </c>
      <c r="B6630">
        <v>5389314</v>
      </c>
      <c r="C6630" t="s">
        <v>12</v>
      </c>
      <c r="D6630" t="s">
        <v>8</v>
      </c>
      <c r="E6630" s="2" t="str">
        <f>HYPERLINK("https://ibp.a2mac1.com/costing(costing:projects/details/8191/part/5389611)"," Part 04")</f>
        <v xml:space="preserve"> Part 04</v>
      </c>
      <c r="F6630" t="s">
        <v>6977</v>
      </c>
    </row>
    <row r="6631" spans="1:6" ht="12.75">
      <c r="A6631">
        <v>6976054</v>
      </c>
      <c r="B6631">
        <v>5389611</v>
      </c>
      <c r="C6631" t="s">
        <v>99</v>
      </c>
      <c r="D6631" t="s">
        <v>12</v>
      </c>
      <c r="E6631" s="2" t="str">
        <f>HYPERLINK("https://ibp.a2mac1.com/costing(costing:projects/details/8191/process/6976054)","MANUFACTURING  PROCESS")</f>
        <v>MANUFACTURING  PROCESS</v>
      </c>
      <c r="F6631" t="s">
        <v>6986</v>
      </c>
    </row>
    <row r="6632" spans="1:6" ht="12.75">
      <c r="A6632">
        <v>5320514</v>
      </c>
      <c r="B6632">
        <v>6976054</v>
      </c>
      <c r="C6632" t="s">
        <v>24</v>
      </c>
      <c r="D6632" t="s">
        <v>99</v>
      </c>
      <c r="E6632" s="2" t="str">
        <f>HYPERLINK("https://ibp.a2mac1.com/costing(costing:projects/details/8191/material/5320514)","Standard Structural Steel sheet")</f>
        <v>Standard Structural Steel sheet</v>
      </c>
      <c r="F6632" t="s">
        <v>6987</v>
      </c>
    </row>
    <row r="6633" spans="1:6" ht="12.75">
      <c r="A6633">
        <v>6948688</v>
      </c>
      <c r="B6633">
        <v>6976054</v>
      </c>
      <c r="C6633" t="s">
        <v>189</v>
      </c>
      <c r="D6633" t="s">
        <v>99</v>
      </c>
      <c r="E6633" s="2" t="str">
        <f>HYPERLINK("https://ibp.a2mac1.com/costing(costing:projects/details/8191/equipment/6948688)","Manufacturing Equipment")</f>
        <v>Manufacturing Equipment</v>
      </c>
      <c r="F6633" t="s">
        <v>6987</v>
      </c>
    </row>
    <row r="6634" spans="1:6" ht="12.75">
      <c r="A6634">
        <v>5389612</v>
      </c>
      <c r="B6634">
        <v>5389314</v>
      </c>
      <c r="C6634" t="s">
        <v>12</v>
      </c>
      <c r="D6634" t="s">
        <v>8</v>
      </c>
      <c r="E6634" s="2" t="str">
        <f>HYPERLINK("https://ibp.a2mac1.com/costing(costing:projects/details/8191/part/5389612)","Part 05")</f>
        <v>Part 05</v>
      </c>
      <c r="F6634" t="s">
        <v>6977</v>
      </c>
    </row>
    <row r="6635" spans="1:6" ht="12.75">
      <c r="A6635">
        <v>6976055</v>
      </c>
      <c r="B6635">
        <v>5389612</v>
      </c>
      <c r="C6635" t="s">
        <v>99</v>
      </c>
      <c r="D6635" t="s">
        <v>12</v>
      </c>
      <c r="E6635" s="2" t="str">
        <f>HYPERLINK("https://ibp.a2mac1.com/costing(costing:projects/details/8191/process/6976055)","MANUFACTURING  PROCESS")</f>
        <v>MANUFACTURING  PROCESS</v>
      </c>
      <c r="F6635" t="s">
        <v>6988</v>
      </c>
    </row>
    <row r="6636" spans="1:6" ht="12.75">
      <c r="A6636">
        <v>5320515</v>
      </c>
      <c r="B6636">
        <v>6976055</v>
      </c>
      <c r="C6636" t="s">
        <v>24</v>
      </c>
      <c r="D6636" t="s">
        <v>99</v>
      </c>
      <c r="E6636" s="2" t="str">
        <f>HYPERLINK("https://ibp.a2mac1.com/costing(costing:projects/details/8191/material/5320515)","Standard Structural Steel sheet")</f>
        <v>Standard Structural Steel sheet</v>
      </c>
      <c r="F6636" t="s">
        <v>6989</v>
      </c>
    </row>
    <row r="6637" spans="1:6" ht="12.75">
      <c r="A6637">
        <v>6948689</v>
      </c>
      <c r="B6637">
        <v>6976055</v>
      </c>
      <c r="C6637" t="s">
        <v>189</v>
      </c>
      <c r="D6637" t="s">
        <v>99</v>
      </c>
      <c r="E6637" s="2" t="str">
        <f>HYPERLINK("https://ibp.a2mac1.com/costing(costing:projects/details/8191/equipment/6948689)","Manufacturing Equipment")</f>
        <v>Manufacturing Equipment</v>
      </c>
      <c r="F6637" t="s">
        <v>6989</v>
      </c>
    </row>
    <row r="6638" spans="1:6" ht="12.75">
      <c r="A6638">
        <v>5389613</v>
      </c>
      <c r="B6638">
        <v>5389314</v>
      </c>
      <c r="C6638" t="s">
        <v>12</v>
      </c>
      <c r="D6638" t="s">
        <v>8</v>
      </c>
      <c r="E6638" s="2" t="str">
        <f>HYPERLINK("https://ibp.a2mac1.com/costing(costing:projects/details/8191/part/5389613)","Part 06")</f>
        <v>Part 06</v>
      </c>
      <c r="F6638" t="s">
        <v>6977</v>
      </c>
    </row>
    <row r="6639" spans="1:6" ht="12.75">
      <c r="A6639">
        <v>6976056</v>
      </c>
      <c r="B6639">
        <v>5389613</v>
      </c>
      <c r="C6639" t="s">
        <v>99</v>
      </c>
      <c r="D6639" t="s">
        <v>12</v>
      </c>
      <c r="E6639" s="2" t="str">
        <f>HYPERLINK("https://ibp.a2mac1.com/costing(costing:projects/details/8191/process/6976056)","MANUFACTURING  PROCESS")</f>
        <v>MANUFACTURING  PROCESS</v>
      </c>
      <c r="F6639" t="s">
        <v>6990</v>
      </c>
    </row>
    <row r="6640" spans="1:6" ht="12.75">
      <c r="A6640">
        <v>5320516</v>
      </c>
      <c r="B6640">
        <v>6976056</v>
      </c>
      <c r="C6640" t="s">
        <v>24</v>
      </c>
      <c r="D6640" t="s">
        <v>99</v>
      </c>
      <c r="E6640" s="2" t="str">
        <f>HYPERLINK("https://ibp.a2mac1.com/costing(costing:projects/details/8191/material/5320516)","Standard Structural Steel sheet")</f>
        <v>Standard Structural Steel sheet</v>
      </c>
      <c r="F6640" t="s">
        <v>6992</v>
      </c>
    </row>
    <row r="6641" spans="1:6" ht="12.75">
      <c r="A6641">
        <v>6948690</v>
      </c>
      <c r="B6641">
        <v>6976056</v>
      </c>
      <c r="C6641" t="s">
        <v>189</v>
      </c>
      <c r="D6641" t="s">
        <v>99</v>
      </c>
      <c r="E6641" s="2" t="str">
        <f>HYPERLINK("https://ibp.a2mac1.com/costing(costing:projects/details/8191/equipment/6948690)","Manufacturing Equipment")</f>
        <v>Manufacturing Equipment</v>
      </c>
      <c r="F6641" t="s">
        <v>6992</v>
      </c>
    </row>
    <row r="6642" spans="1:6" ht="12.75">
      <c r="A6642">
        <v>5389614</v>
      </c>
      <c r="B6642">
        <v>5389314</v>
      </c>
      <c r="C6642" t="s">
        <v>12</v>
      </c>
      <c r="D6642" t="s">
        <v>8</v>
      </c>
      <c r="E6642" s="2" t="str">
        <f>HYPERLINK("https://ibp.a2mac1.com/costing(costing:projects/details/8191/part/5389614)"," Part 07")</f>
        <v xml:space="preserve"> Part 07</v>
      </c>
      <c r="F6642" t="s">
        <v>6977</v>
      </c>
    </row>
    <row r="6643" spans="1:6" ht="12.75">
      <c r="A6643">
        <v>6976057</v>
      </c>
      <c r="B6643">
        <v>5389614</v>
      </c>
      <c r="C6643" t="s">
        <v>99</v>
      </c>
      <c r="D6643" t="s">
        <v>12</v>
      </c>
      <c r="E6643" s="2" t="str">
        <f>HYPERLINK("https://ibp.a2mac1.com/costing(costing:projects/details/8191/process/6976057)","MANUFACTURING  PROCESS")</f>
        <v>MANUFACTURING  PROCESS</v>
      </c>
      <c r="F6643" t="s">
        <v>6993</v>
      </c>
    </row>
    <row r="6644" spans="1:6" ht="12.75">
      <c r="A6644">
        <v>5320517</v>
      </c>
      <c r="B6644">
        <v>6976057</v>
      </c>
      <c r="C6644" t="s">
        <v>24</v>
      </c>
      <c r="D6644" t="s">
        <v>99</v>
      </c>
      <c r="E6644" s="2" t="str">
        <f>HYPERLINK("https://ibp.a2mac1.com/costing(costing:projects/details/8191/material/5320517)","Standard Structural Steel sheet")</f>
        <v>Standard Structural Steel sheet</v>
      </c>
      <c r="F6644" t="s">
        <v>6994</v>
      </c>
    </row>
    <row r="6645" spans="1:6" ht="12.75">
      <c r="A6645">
        <v>6948691</v>
      </c>
      <c r="B6645">
        <v>6976057</v>
      </c>
      <c r="C6645" t="s">
        <v>189</v>
      </c>
      <c r="D6645" t="s">
        <v>99</v>
      </c>
      <c r="E6645" s="2" t="str">
        <f>HYPERLINK("https://ibp.a2mac1.com/costing(costing:projects/details/8191/equipment/6948691)","Manufacturing Equipment")</f>
        <v>Manufacturing Equipment</v>
      </c>
      <c r="F6645" t="s">
        <v>6994</v>
      </c>
    </row>
    <row r="6646" spans="1:6" ht="12.75">
      <c r="A6646">
        <v>5389615</v>
      </c>
      <c r="B6646">
        <v>5389314</v>
      </c>
      <c r="C6646" t="s">
        <v>12</v>
      </c>
      <c r="D6646" t="s">
        <v>8</v>
      </c>
      <c r="E6646" s="2" t="str">
        <f>HYPERLINK("https://ibp.a2mac1.com/costing(costing:projects/details/8191/part/5389615)"," Part 08")</f>
        <v xml:space="preserve"> Part 08</v>
      </c>
      <c r="F6646" t="s">
        <v>6977</v>
      </c>
    </row>
    <row r="6647" spans="1:6" ht="12.75">
      <c r="A6647">
        <v>6976058</v>
      </c>
      <c r="B6647">
        <v>5389615</v>
      </c>
      <c r="C6647" t="s">
        <v>99</v>
      </c>
      <c r="D6647" t="s">
        <v>12</v>
      </c>
      <c r="E6647" s="2" t="str">
        <f>HYPERLINK("https://ibp.a2mac1.com/costing(costing:projects/details/8191/process/6976058)","MANUFACTURING  PROCESS")</f>
        <v>MANUFACTURING  PROCESS</v>
      </c>
      <c r="F6647" t="s">
        <v>6995</v>
      </c>
    </row>
    <row r="6648" spans="1:6" ht="12.75">
      <c r="A6648">
        <v>5320518</v>
      </c>
      <c r="B6648">
        <v>6976058</v>
      </c>
      <c r="C6648" t="s">
        <v>24</v>
      </c>
      <c r="D6648" t="s">
        <v>99</v>
      </c>
      <c r="E6648" s="2" t="str">
        <f>HYPERLINK("https://ibp.a2mac1.com/costing(costing:projects/details/8191/material/5320518)","Standard Structural Steel sheet")</f>
        <v>Standard Structural Steel sheet</v>
      </c>
      <c r="F6648" t="s">
        <v>6996</v>
      </c>
    </row>
    <row r="6649" spans="1:6" ht="12.75">
      <c r="A6649">
        <v>6948692</v>
      </c>
      <c r="B6649">
        <v>6976058</v>
      </c>
      <c r="C6649" t="s">
        <v>189</v>
      </c>
      <c r="D6649" t="s">
        <v>99</v>
      </c>
      <c r="E6649" s="2" t="str">
        <f>HYPERLINK("https://ibp.a2mac1.com/costing(costing:projects/details/8191/equipment/6948692)","Manufacturing Equipment")</f>
        <v>Manufacturing Equipment</v>
      </c>
      <c r="F6649" t="s">
        <v>6996</v>
      </c>
    </row>
    <row r="6650" spans="1:6" ht="12.75">
      <c r="A6650">
        <v>5389616</v>
      </c>
      <c r="B6650">
        <v>5389314</v>
      </c>
      <c r="C6650" t="s">
        <v>12</v>
      </c>
      <c r="D6650" t="s">
        <v>8</v>
      </c>
      <c r="E6650" s="2" t="str">
        <f>HYPERLINK("https://ibp.a2mac1.com/costing(costing:projects/details/8191/part/5389616)"," Part 09")</f>
        <v xml:space="preserve"> Part 09</v>
      </c>
      <c r="F6650" t="s">
        <v>6977</v>
      </c>
    </row>
    <row r="6651" spans="1:6" ht="12.75">
      <c r="A6651">
        <v>6976059</v>
      </c>
      <c r="B6651">
        <v>5389616</v>
      </c>
      <c r="C6651" t="s">
        <v>99</v>
      </c>
      <c r="D6651" t="s">
        <v>12</v>
      </c>
      <c r="E6651" s="2" t="str">
        <f>HYPERLINK("https://ibp.a2mac1.com/costing(costing:projects/details/8191/process/6976059)","MANUFACTURING  PROCESS")</f>
        <v>MANUFACTURING  PROCESS</v>
      </c>
      <c r="F6651" t="s">
        <v>6997</v>
      </c>
    </row>
    <row r="6652" spans="1:6" ht="12.75">
      <c r="A6652">
        <v>5320519</v>
      </c>
      <c r="B6652">
        <v>6976059</v>
      </c>
      <c r="C6652" t="s">
        <v>24</v>
      </c>
      <c r="D6652" t="s">
        <v>99</v>
      </c>
      <c r="E6652" s="2" t="str">
        <f>HYPERLINK("https://ibp.a2mac1.com/costing(costing:projects/details/8191/material/5320519)","Standard Structural Steel sheet")</f>
        <v>Standard Structural Steel sheet</v>
      </c>
      <c r="F6652" t="s">
        <v>6999</v>
      </c>
    </row>
    <row r="6653" spans="1:6" ht="12.75">
      <c r="A6653">
        <v>6948693</v>
      </c>
      <c r="B6653">
        <v>6976059</v>
      </c>
      <c r="C6653" t="s">
        <v>189</v>
      </c>
      <c r="D6653" t="s">
        <v>99</v>
      </c>
      <c r="E6653" s="2" t="str">
        <f>HYPERLINK("https://ibp.a2mac1.com/costing(costing:projects/details/8191/equipment/6948693)","Manufacturing Equipment")</f>
        <v>Manufacturing Equipment</v>
      </c>
      <c r="F6653" t="s">
        <v>6999</v>
      </c>
    </row>
    <row r="6654" spans="1:6" ht="12.75">
      <c r="A6654">
        <v>5389617</v>
      </c>
      <c r="B6654">
        <v>5389314</v>
      </c>
      <c r="C6654" t="s">
        <v>12</v>
      </c>
      <c r="D6654" t="s">
        <v>8</v>
      </c>
      <c r="E6654" s="2" t="str">
        <f>HYPERLINK("https://ibp.a2mac1.com/costing(costing:projects/details/8191/part/5389617)"," Part 10")</f>
        <v xml:space="preserve"> Part 10</v>
      </c>
      <c r="F6654" t="s">
        <v>6977</v>
      </c>
    </row>
    <row r="6655" spans="1:6" ht="12.75">
      <c r="A6655">
        <v>6976060</v>
      </c>
      <c r="B6655">
        <v>5389617</v>
      </c>
      <c r="C6655" t="s">
        <v>99</v>
      </c>
      <c r="D6655" t="s">
        <v>12</v>
      </c>
      <c r="E6655" s="2" t="str">
        <f>HYPERLINK("https://ibp.a2mac1.com/costing(costing:projects/details/8191/process/6976060)","MANUFACTURING  PROCESS")</f>
        <v>MANUFACTURING  PROCESS</v>
      </c>
      <c r="F6655" t="s">
        <v>7000</v>
      </c>
    </row>
    <row r="6656" spans="1:6" ht="12.75">
      <c r="A6656">
        <v>5320520</v>
      </c>
      <c r="B6656">
        <v>6976060</v>
      </c>
      <c r="C6656" t="s">
        <v>24</v>
      </c>
      <c r="D6656" t="s">
        <v>99</v>
      </c>
      <c r="E6656" s="2" t="str">
        <f>HYPERLINK("https://ibp.a2mac1.com/costing(costing:projects/details/8191/material/5320520)","Standard Structural Steel sheet")</f>
        <v>Standard Structural Steel sheet</v>
      </c>
      <c r="F6656" t="s">
        <v>7001</v>
      </c>
    </row>
    <row r="6657" spans="1:6" ht="12.75">
      <c r="A6657">
        <v>6948694</v>
      </c>
      <c r="B6657">
        <v>6976060</v>
      </c>
      <c r="C6657" t="s">
        <v>189</v>
      </c>
      <c r="D6657" t="s">
        <v>99</v>
      </c>
      <c r="E6657" s="2" t="str">
        <f>HYPERLINK("https://ibp.a2mac1.com/costing(costing:projects/details/8191/equipment/6948694)","Manufacturing Equipment")</f>
        <v>Manufacturing Equipment</v>
      </c>
      <c r="F6657" t="s">
        <v>7001</v>
      </c>
    </row>
    <row r="6658" spans="1:6" ht="12.75">
      <c r="A6658">
        <v>5389618</v>
      </c>
      <c r="B6658">
        <v>5389314</v>
      </c>
      <c r="C6658" t="s">
        <v>12</v>
      </c>
      <c r="D6658" t="s">
        <v>8</v>
      </c>
      <c r="E6658" s="2" t="str">
        <f>HYPERLINK("https://ibp.a2mac1.com/costing(costing:projects/details/8191/part/5389618)"," Part 11")</f>
        <v xml:space="preserve"> Part 11</v>
      </c>
      <c r="F6658" t="s">
        <v>6977</v>
      </c>
    </row>
    <row r="6659" spans="1:6" ht="12.75">
      <c r="A6659">
        <v>6976061</v>
      </c>
      <c r="B6659">
        <v>5389618</v>
      </c>
      <c r="C6659" t="s">
        <v>99</v>
      </c>
      <c r="D6659" t="s">
        <v>12</v>
      </c>
      <c r="E6659" s="2" t="str">
        <f>HYPERLINK("https://ibp.a2mac1.com/costing(costing:projects/details/8191/process/6976061)","MANUFACTURING  PROCESS")</f>
        <v>MANUFACTURING  PROCESS</v>
      </c>
      <c r="F6659" t="s">
        <v>7002</v>
      </c>
    </row>
    <row r="6660" spans="1:6" ht="12.75">
      <c r="A6660">
        <v>5320521</v>
      </c>
      <c r="B6660">
        <v>6976061</v>
      </c>
      <c r="C6660" t="s">
        <v>24</v>
      </c>
      <c r="D6660" t="s">
        <v>99</v>
      </c>
      <c r="E6660" s="2" t="str">
        <f>HYPERLINK("https://ibp.a2mac1.com/costing(costing:projects/details/8191/material/5320521)","Standard Structural Steel sheet")</f>
        <v>Standard Structural Steel sheet</v>
      </c>
      <c r="F6660" t="s">
        <v>7004</v>
      </c>
    </row>
    <row r="6661" spans="1:6" ht="12.75">
      <c r="A6661">
        <v>6948695</v>
      </c>
      <c r="B6661">
        <v>6976061</v>
      </c>
      <c r="C6661" t="s">
        <v>189</v>
      </c>
      <c r="D6661" t="s">
        <v>99</v>
      </c>
      <c r="E6661" s="2" t="str">
        <f>HYPERLINK("https://ibp.a2mac1.com/costing(costing:projects/details/8191/equipment/6948695)","Manufacturing Equipment")</f>
        <v>Manufacturing Equipment</v>
      </c>
      <c r="F6661" t="s">
        <v>7004</v>
      </c>
    </row>
    <row r="6662" spans="1:6" ht="12.75">
      <c r="A6662">
        <v>5389619</v>
      </c>
      <c r="B6662">
        <v>5389314</v>
      </c>
      <c r="C6662" t="s">
        <v>12</v>
      </c>
      <c r="D6662" t="s">
        <v>8</v>
      </c>
      <c r="E6662" s="2" t="str">
        <f>HYPERLINK("https://ibp.a2mac1.com/costing(costing:projects/details/8191/part/5389619)","Part 12")</f>
        <v>Part 12</v>
      </c>
      <c r="F6662" t="s">
        <v>6977</v>
      </c>
    </row>
    <row r="6663" spans="1:6" ht="12.75">
      <c r="A6663">
        <v>6976062</v>
      </c>
      <c r="B6663">
        <v>5389619</v>
      </c>
      <c r="C6663" t="s">
        <v>99</v>
      </c>
      <c r="D6663" t="s">
        <v>12</v>
      </c>
      <c r="E6663" s="2" t="str">
        <f>HYPERLINK("https://ibp.a2mac1.com/costing(costing:projects/details/8191/process/6976062)","MANUFACTURING  PROCESS")</f>
        <v>MANUFACTURING  PROCESS</v>
      </c>
      <c r="F6663" t="s">
        <v>7005</v>
      </c>
    </row>
    <row r="6664" spans="1:6" ht="12.75">
      <c r="A6664">
        <v>5320522</v>
      </c>
      <c r="B6664">
        <v>6976062</v>
      </c>
      <c r="C6664" t="s">
        <v>24</v>
      </c>
      <c r="D6664" t="s">
        <v>99</v>
      </c>
      <c r="E6664" s="2" t="str">
        <f>HYPERLINK("https://ibp.a2mac1.com/costing(costing:projects/details/8191/material/5320522)","Standard Structural Steel sheet")</f>
        <v>Standard Structural Steel sheet</v>
      </c>
      <c r="F6664" t="s">
        <v>7006</v>
      </c>
    </row>
    <row r="6665" spans="1:6" ht="12.75">
      <c r="A6665">
        <v>6948696</v>
      </c>
      <c r="B6665">
        <v>6976062</v>
      </c>
      <c r="C6665" t="s">
        <v>189</v>
      </c>
      <c r="D6665" t="s">
        <v>99</v>
      </c>
      <c r="E6665" s="2" t="str">
        <f>HYPERLINK("https://ibp.a2mac1.com/costing(costing:projects/details/8191/equipment/6948696)","Manufacturing Equipment")</f>
        <v>Manufacturing Equipment</v>
      </c>
      <c r="F6665" t="s">
        <v>7006</v>
      </c>
    </row>
    <row r="6666" spans="1:6" ht="12.75">
      <c r="A6666">
        <v>5388962</v>
      </c>
      <c r="B6666">
        <v>5388635</v>
      </c>
      <c r="C6666" t="s">
        <v>8</v>
      </c>
      <c r="D6666" t="s">
        <v>8</v>
      </c>
      <c r="E6666" s="2" t="str">
        <f>HYPERLINK("https://ibp.a2mac1.com/costing(costing:projects/details/8191/assembly/5388962)","Rear floor assy")</f>
        <v>Rear floor assy</v>
      </c>
      <c r="F6666" t="s">
        <v>6958</v>
      </c>
    </row>
    <row r="6667" spans="1:6" ht="12.75">
      <c r="A6667">
        <v>5389315</v>
      </c>
      <c r="B6667">
        <v>5388962</v>
      </c>
      <c r="C6667" t="s">
        <v>8</v>
      </c>
      <c r="D6667" t="s">
        <v>8</v>
      </c>
      <c r="E6667" s="2" t="str">
        <f>HYPERLINK("https://ibp.a2mac1.com/costing(costing:projects/details/8191/assembly/5389315)","Heel board")</f>
        <v>Heel board</v>
      </c>
      <c r="F6667" t="s">
        <v>7007</v>
      </c>
    </row>
    <row r="6668" spans="1:6" ht="12.75">
      <c r="A6668">
        <v>5389620</v>
      </c>
      <c r="B6668">
        <v>5389315</v>
      </c>
      <c r="C6668" t="s">
        <v>8</v>
      </c>
      <c r="D6668" t="s">
        <v>8</v>
      </c>
      <c r="E6668" s="2" t="str">
        <f>HYPERLINK("https://ibp.a2mac1.com/costing(costing:projects/details/8191/assembly/5389620)","Frame")</f>
        <v>Frame</v>
      </c>
      <c r="F6668" t="s">
        <v>7008</v>
      </c>
    </row>
    <row r="6669" spans="1:6" ht="12.75">
      <c r="A6669">
        <v>5389731</v>
      </c>
      <c r="B6669">
        <v>5389620</v>
      </c>
      <c r="C6669" t="s">
        <v>12</v>
      </c>
      <c r="D6669" t="s">
        <v>8</v>
      </c>
      <c r="E6669" s="2" t="str">
        <f>HYPERLINK("https://ibp.a2mac1.com/costing(costing:projects/details/8191/part/5389731)","Part 01 single/main")</f>
        <v>Part 01 single/main</v>
      </c>
      <c r="F6669" t="s">
        <v>7009</v>
      </c>
    </row>
    <row r="6670" spans="1:6" ht="12.75">
      <c r="A6670">
        <v>6976154</v>
      </c>
      <c r="B6670">
        <v>5389731</v>
      </c>
      <c r="C6670" t="s">
        <v>99</v>
      </c>
      <c r="D6670" t="s">
        <v>12</v>
      </c>
      <c r="E6670" s="2" t="str">
        <f>HYPERLINK("https://ibp.a2mac1.com/costing(costing:projects/details/8191/process/6976154)","MANUFACTURING  PROCESS")</f>
        <v>MANUFACTURING  PROCESS</v>
      </c>
      <c r="F6670" t="s">
        <v>7010</v>
      </c>
    </row>
    <row r="6671" spans="1:6" ht="12.75">
      <c r="A6671">
        <v>5320563</v>
      </c>
      <c r="B6671">
        <v>6976154</v>
      </c>
      <c r="C6671" t="s">
        <v>24</v>
      </c>
      <c r="D6671" t="s">
        <v>99</v>
      </c>
      <c r="E6671" s="2" t="str">
        <f>HYPERLINK("https://ibp.a2mac1.com/costing(costing:projects/details/8191/material/5320563)","Standard Structural Steel sheet")</f>
        <v>Standard Structural Steel sheet</v>
      </c>
      <c r="F6671" t="s">
        <v>7013</v>
      </c>
    </row>
    <row r="6672" spans="1:6" ht="12.75">
      <c r="A6672">
        <v>6948748</v>
      </c>
      <c r="B6672">
        <v>6976154</v>
      </c>
      <c r="C6672" t="s">
        <v>189</v>
      </c>
      <c r="D6672" t="s">
        <v>99</v>
      </c>
      <c r="E6672" s="2" t="str">
        <f>HYPERLINK("https://ibp.a2mac1.com/costing(costing:projects/details/8191/equipment/6948748)","Manufacturing Equipment")</f>
        <v>Manufacturing Equipment</v>
      </c>
      <c r="F6672" t="s">
        <v>7013</v>
      </c>
    </row>
    <row r="6673" spans="1:6" ht="12.75">
      <c r="A6673">
        <v>5389621</v>
      </c>
      <c r="B6673">
        <v>5389315</v>
      </c>
      <c r="C6673" t="s">
        <v>8</v>
      </c>
      <c r="D6673" t="s">
        <v>8</v>
      </c>
      <c r="E6673" s="2" t="str">
        <f>HYPERLINK("https://ibp.a2mac1.com/costing(costing:projects/details/8191/assembly/5389621)","Reinforcements")</f>
        <v>Reinforcements</v>
      </c>
      <c r="F6673" t="s">
        <v>7008</v>
      </c>
    </row>
    <row r="6674" spans="1:6" ht="12.75">
      <c r="A6674">
        <v>5389732</v>
      </c>
      <c r="B6674">
        <v>5389621</v>
      </c>
      <c r="C6674" t="s">
        <v>12</v>
      </c>
      <c r="D6674" t="s">
        <v>8</v>
      </c>
      <c r="E6674" s="2" t="str">
        <f>HYPERLINK("https://ibp.a2mac1.com/costing(costing:projects/details/8191/part/5389732)","Part 01 single/main")</f>
        <v>Part 01 single/main</v>
      </c>
      <c r="F6674" t="s">
        <v>7014</v>
      </c>
    </row>
    <row r="6675" spans="1:6" ht="12.75">
      <c r="A6675">
        <v>6976155</v>
      </c>
      <c r="B6675">
        <v>5389732</v>
      </c>
      <c r="C6675" t="s">
        <v>99</v>
      </c>
      <c r="D6675" t="s">
        <v>12</v>
      </c>
      <c r="E6675" s="2" t="str">
        <f>HYPERLINK("https://ibp.a2mac1.com/costing(costing:projects/details/8191/process/6976155)","MANUFACTURING  PROCESS")</f>
        <v>MANUFACTURING  PROCESS</v>
      </c>
      <c r="F6675" t="s">
        <v>7015</v>
      </c>
    </row>
    <row r="6676" spans="1:6" ht="12.75">
      <c r="A6676">
        <v>5320564</v>
      </c>
      <c r="B6676">
        <v>6976155</v>
      </c>
      <c r="C6676" t="s">
        <v>24</v>
      </c>
      <c r="D6676" t="s">
        <v>99</v>
      </c>
      <c r="E6676" s="2" t="str">
        <f>HYPERLINK("https://ibp.a2mac1.com/costing(costing:projects/details/8191/material/5320564)","Standard Structural Steel sheet")</f>
        <v>Standard Structural Steel sheet</v>
      </c>
      <c r="F6676" t="s">
        <v>7016</v>
      </c>
    </row>
    <row r="6677" spans="1:6" ht="12.75">
      <c r="A6677">
        <v>6948749</v>
      </c>
      <c r="B6677">
        <v>6976155</v>
      </c>
      <c r="C6677" t="s">
        <v>189</v>
      </c>
      <c r="D6677" t="s">
        <v>99</v>
      </c>
      <c r="E6677" s="2" t="str">
        <f>HYPERLINK("https://ibp.a2mac1.com/costing(costing:projects/details/8191/equipment/6948749)","Manufacturing Equipment")</f>
        <v>Manufacturing Equipment</v>
      </c>
      <c r="F6677" t="s">
        <v>7016</v>
      </c>
    </row>
    <row r="6678" spans="1:6" ht="12.75">
      <c r="A6678">
        <v>5389746</v>
      </c>
      <c r="B6678">
        <v>5389621</v>
      </c>
      <c r="C6678" t="s">
        <v>12</v>
      </c>
      <c r="D6678" t="s">
        <v>8</v>
      </c>
      <c r="E6678" s="2" t="str">
        <f>HYPERLINK("https://ibp.a2mac1.com/costing(costing:projects/details/8191/part/5389746)","Part 02")</f>
        <v>Part 02</v>
      </c>
      <c r="F6678" t="s">
        <v>7014</v>
      </c>
    </row>
    <row r="6679" spans="1:6" ht="12.75">
      <c r="A6679">
        <v>6976156</v>
      </c>
      <c r="B6679">
        <v>5389746</v>
      </c>
      <c r="C6679" t="s">
        <v>99</v>
      </c>
      <c r="D6679" t="s">
        <v>12</v>
      </c>
      <c r="E6679" s="2" t="str">
        <f>HYPERLINK("https://ibp.a2mac1.com/costing(costing:projects/details/8191/process/6976156)","MANUFACTURING  PROCESS")</f>
        <v>MANUFACTURING  PROCESS</v>
      </c>
      <c r="F6679" t="s">
        <v>7017</v>
      </c>
    </row>
    <row r="6680" spans="1:6" ht="12.75">
      <c r="A6680">
        <v>5320565</v>
      </c>
      <c r="B6680">
        <v>6976156</v>
      </c>
      <c r="C6680" t="s">
        <v>24</v>
      </c>
      <c r="D6680" t="s">
        <v>99</v>
      </c>
      <c r="E6680" s="2" t="str">
        <f>HYPERLINK("https://ibp.a2mac1.com/costing(costing:projects/details/8191/material/5320565)","Standard Structural Steel sheet")</f>
        <v>Standard Structural Steel sheet</v>
      </c>
      <c r="F6680" t="s">
        <v>7018</v>
      </c>
    </row>
    <row r="6681" spans="1:6" ht="12.75">
      <c r="A6681">
        <v>6948750</v>
      </c>
      <c r="B6681">
        <v>6976156</v>
      </c>
      <c r="C6681" t="s">
        <v>189</v>
      </c>
      <c r="D6681" t="s">
        <v>99</v>
      </c>
      <c r="E6681" s="2" t="str">
        <f>HYPERLINK("https://ibp.a2mac1.com/costing(costing:projects/details/8191/equipment/6948750)","Manufacturing Equipment")</f>
        <v>Manufacturing Equipment</v>
      </c>
      <c r="F6681" t="s">
        <v>7018</v>
      </c>
    </row>
    <row r="6682" spans="1:6" ht="12.75">
      <c r="A6682">
        <v>5389316</v>
      </c>
      <c r="B6682">
        <v>5388962</v>
      </c>
      <c r="C6682" t="s">
        <v>8</v>
      </c>
      <c r="D6682" t="s">
        <v>8</v>
      </c>
      <c r="E6682" s="2" t="str">
        <f>HYPERLINK("https://ibp.a2mac1.com/costing(costing:projects/details/8191/assembly/5389316)","Rear floor panel")</f>
        <v>Rear floor panel</v>
      </c>
      <c r="F6682" t="s">
        <v>7007</v>
      </c>
    </row>
    <row r="6683" spans="1:6" ht="12.75">
      <c r="A6683">
        <v>5389622</v>
      </c>
      <c r="B6683">
        <v>5389316</v>
      </c>
      <c r="C6683" t="s">
        <v>8</v>
      </c>
      <c r="D6683" t="s">
        <v>8</v>
      </c>
      <c r="E6683" s="2" t="str">
        <f>HYPERLINK("https://ibp.a2mac1.com/costing(costing:projects/details/8191/assembly/5389622)","Panel")</f>
        <v>Panel</v>
      </c>
      <c r="F6683" t="s">
        <v>7019</v>
      </c>
    </row>
    <row r="6684" spans="1:6" ht="12.75">
      <c r="A6684">
        <v>5389747</v>
      </c>
      <c r="B6684">
        <v>5389622</v>
      </c>
      <c r="C6684" t="s">
        <v>12</v>
      </c>
      <c r="D6684" t="s">
        <v>8</v>
      </c>
      <c r="E6684" s="2" t="str">
        <f>HYPERLINK("https://ibp.a2mac1.com/costing(costing:projects/details/8191/part/5389747)","Part 01 single/main")</f>
        <v>Part 01 single/main</v>
      </c>
      <c r="F6684" t="s">
        <v>7020</v>
      </c>
    </row>
    <row r="6685" spans="1:6" ht="12.75">
      <c r="A6685">
        <v>6976157</v>
      </c>
      <c r="B6685">
        <v>5389747</v>
      </c>
      <c r="C6685" t="s">
        <v>99</v>
      </c>
      <c r="D6685" t="s">
        <v>12</v>
      </c>
      <c r="E6685" s="2" t="str">
        <f>HYPERLINK("https://ibp.a2mac1.com/costing(costing:projects/details/8191/process/6976157)","MANUFACTURING  PROCESS")</f>
        <v>MANUFACTURING  PROCESS</v>
      </c>
      <c r="F6685" t="s">
        <v>7021</v>
      </c>
    </row>
    <row r="6686" spans="1:6" ht="12.75">
      <c r="A6686">
        <v>5320566</v>
      </c>
      <c r="B6686">
        <v>6976157</v>
      </c>
      <c r="C6686" t="s">
        <v>24</v>
      </c>
      <c r="D6686" t="s">
        <v>99</v>
      </c>
      <c r="E6686" s="2" t="str">
        <f>HYPERLINK("https://ibp.a2mac1.com/costing(costing:projects/details/8191/material/5320566)","Standard Structural Steel sheet")</f>
        <v>Standard Structural Steel sheet</v>
      </c>
      <c r="F6686" t="s">
        <v>7024</v>
      </c>
    </row>
    <row r="6687" spans="1:6" ht="12.75">
      <c r="A6687">
        <v>6948751</v>
      </c>
      <c r="B6687">
        <v>6976157</v>
      </c>
      <c r="C6687" t="s">
        <v>189</v>
      </c>
      <c r="D6687" t="s">
        <v>99</v>
      </c>
      <c r="E6687" s="2" t="str">
        <f>HYPERLINK("https://ibp.a2mac1.com/costing(costing:projects/details/8191/equipment/6948751)","Manufacturing Equipment")</f>
        <v>Manufacturing Equipment</v>
      </c>
      <c r="F6687" t="s">
        <v>7024</v>
      </c>
    </row>
    <row r="6688" spans="1:6" ht="12.75">
      <c r="A6688">
        <v>5389748</v>
      </c>
      <c r="B6688">
        <v>5389622</v>
      </c>
      <c r="C6688" t="s">
        <v>12</v>
      </c>
      <c r="D6688" t="s">
        <v>8</v>
      </c>
      <c r="E6688" s="2" t="str">
        <f>HYPERLINK("https://ibp.a2mac1.com/costing(costing:projects/details/8191/part/5389748)","Part 02")</f>
        <v>Part 02</v>
      </c>
      <c r="F6688" t="s">
        <v>7020</v>
      </c>
    </row>
    <row r="6689" spans="1:6" ht="12.75">
      <c r="A6689">
        <v>6976158</v>
      </c>
      <c r="B6689">
        <v>5389748</v>
      </c>
      <c r="C6689" t="s">
        <v>99</v>
      </c>
      <c r="D6689" t="s">
        <v>12</v>
      </c>
      <c r="E6689" s="2" t="str">
        <f>HYPERLINK("https://ibp.a2mac1.com/costing(costing:projects/details/8191/process/6976158)","MANUFACTURING  PROCESS")</f>
        <v>MANUFACTURING  PROCESS</v>
      </c>
      <c r="F6689" t="s">
        <v>7025</v>
      </c>
    </row>
    <row r="6690" spans="1:6" ht="12.75">
      <c r="A6690">
        <v>5320567</v>
      </c>
      <c r="B6690">
        <v>6976158</v>
      </c>
      <c r="C6690" t="s">
        <v>24</v>
      </c>
      <c r="D6690" t="s">
        <v>99</v>
      </c>
      <c r="E6690" s="2" t="str">
        <f>HYPERLINK("https://ibp.a2mac1.com/costing(costing:projects/details/8191/material/5320567)","Standard Structural Steel sheet")</f>
        <v>Standard Structural Steel sheet</v>
      </c>
      <c r="F6690" t="s">
        <v>7028</v>
      </c>
    </row>
    <row r="6691" spans="1:6" ht="12.75">
      <c r="A6691">
        <v>6948752</v>
      </c>
      <c r="B6691">
        <v>6976158</v>
      </c>
      <c r="C6691" t="s">
        <v>189</v>
      </c>
      <c r="D6691" t="s">
        <v>99</v>
      </c>
      <c r="E6691" s="2" t="str">
        <f>HYPERLINK("https://ibp.a2mac1.com/costing(costing:projects/details/8191/equipment/6948752)","Manufacturing Equipment")</f>
        <v>Manufacturing Equipment</v>
      </c>
      <c r="F6691" t="s">
        <v>7028</v>
      </c>
    </row>
    <row r="6692" spans="1:6" ht="12.75">
      <c r="A6692">
        <v>5389749</v>
      </c>
      <c r="B6692">
        <v>5389622</v>
      </c>
      <c r="C6692" t="s">
        <v>12</v>
      </c>
      <c r="D6692" t="s">
        <v>8</v>
      </c>
      <c r="E6692" s="2" t="str">
        <f>HYPERLINK("https://ibp.a2mac1.com/costing(costing:projects/details/8191/part/5389749)","Part 03")</f>
        <v>Part 03</v>
      </c>
      <c r="F6692" t="s">
        <v>7020</v>
      </c>
    </row>
    <row r="6693" spans="1:6" ht="12.75">
      <c r="A6693">
        <v>6976159</v>
      </c>
      <c r="B6693">
        <v>5389749</v>
      </c>
      <c r="C6693" t="s">
        <v>99</v>
      </c>
      <c r="D6693" t="s">
        <v>12</v>
      </c>
      <c r="E6693" s="2" t="str">
        <f>HYPERLINK("https://ibp.a2mac1.com/costing(costing:projects/details/8191/process/6976159)","MANUFACTURING  PROCESS")</f>
        <v>MANUFACTURING  PROCESS</v>
      </c>
      <c r="F6693" t="s">
        <v>7029</v>
      </c>
    </row>
    <row r="6694" spans="1:6" ht="12.75">
      <c r="A6694">
        <v>5320568</v>
      </c>
      <c r="B6694">
        <v>6976159</v>
      </c>
      <c r="C6694" t="s">
        <v>24</v>
      </c>
      <c r="D6694" t="s">
        <v>99</v>
      </c>
      <c r="E6694" s="2" t="str">
        <f>HYPERLINK("https://ibp.a2mac1.com/costing(costing:projects/details/8191/material/5320568)","Standard Structural Steel sheet")</f>
        <v>Standard Structural Steel sheet</v>
      </c>
      <c r="F6694" t="s">
        <v>7032</v>
      </c>
    </row>
    <row r="6695" spans="1:6" ht="12.75">
      <c r="A6695">
        <v>6948753</v>
      </c>
      <c r="B6695">
        <v>6976159</v>
      </c>
      <c r="C6695" t="s">
        <v>189</v>
      </c>
      <c r="D6695" t="s">
        <v>99</v>
      </c>
      <c r="E6695" s="2" t="str">
        <f>HYPERLINK("https://ibp.a2mac1.com/costing(costing:projects/details/8191/equipment/6948753)","Manufacturing Equipment")</f>
        <v>Manufacturing Equipment</v>
      </c>
      <c r="F6695" t="s">
        <v>7032</v>
      </c>
    </row>
    <row r="6696" spans="1:6" ht="12.75">
      <c r="A6696">
        <v>5389623</v>
      </c>
      <c r="B6696">
        <v>5389316</v>
      </c>
      <c r="C6696" t="s">
        <v>8</v>
      </c>
      <c r="D6696" t="s">
        <v>8</v>
      </c>
      <c r="E6696" s="2" t="str">
        <f>HYPERLINK("https://ibp.a2mac1.com/costing(costing:projects/details/8191/assembly/5389623)","Reinforcements")</f>
        <v>Reinforcements</v>
      </c>
      <c r="F6696" t="s">
        <v>7019</v>
      </c>
    </row>
    <row r="6697" spans="1:6" ht="12.75">
      <c r="A6697">
        <v>5389750</v>
      </c>
      <c r="B6697">
        <v>5389623</v>
      </c>
      <c r="C6697" t="s">
        <v>12</v>
      </c>
      <c r="D6697" t="s">
        <v>8</v>
      </c>
      <c r="E6697" s="2" t="str">
        <f>HYPERLINK("https://ibp.a2mac1.com/costing(costing:projects/details/8191/part/5389750)"," Part 01 single/main")</f>
        <v xml:space="preserve"> Part 01 single/main</v>
      </c>
      <c r="F6697" t="s">
        <v>7033</v>
      </c>
    </row>
    <row r="6698" spans="1:6" ht="12.75">
      <c r="A6698">
        <v>6976160</v>
      </c>
      <c r="B6698">
        <v>5389750</v>
      </c>
      <c r="C6698" t="s">
        <v>99</v>
      </c>
      <c r="D6698" t="s">
        <v>12</v>
      </c>
      <c r="E6698" s="2" t="str">
        <f>HYPERLINK("https://ibp.a2mac1.com/costing(costing:projects/details/8191/process/6976160)","MANUFACTURING  PROCESS")</f>
        <v>MANUFACTURING  PROCESS</v>
      </c>
      <c r="F6698" t="s">
        <v>7034</v>
      </c>
    </row>
    <row r="6699" spans="1:6" ht="12.75">
      <c r="A6699">
        <v>5320569</v>
      </c>
      <c r="B6699">
        <v>6976160</v>
      </c>
      <c r="C6699" t="s">
        <v>24</v>
      </c>
      <c r="D6699" t="s">
        <v>99</v>
      </c>
      <c r="E6699" s="2" t="str">
        <f>HYPERLINK("https://ibp.a2mac1.com/costing(costing:projects/details/8191/material/5320569)","Standard Structural Steel sheet")</f>
        <v>Standard Structural Steel sheet</v>
      </c>
      <c r="F6699" t="s">
        <v>7036</v>
      </c>
    </row>
    <row r="6700" spans="1:6" ht="12.75">
      <c r="A6700">
        <v>6948754</v>
      </c>
      <c r="B6700">
        <v>6976160</v>
      </c>
      <c r="C6700" t="s">
        <v>189</v>
      </c>
      <c r="D6700" t="s">
        <v>99</v>
      </c>
      <c r="E6700" s="2" t="str">
        <f>HYPERLINK("https://ibp.a2mac1.com/costing(costing:projects/details/8191/equipment/6948754)","Manufacturing Equipment")</f>
        <v>Manufacturing Equipment</v>
      </c>
      <c r="F6700" t="s">
        <v>7036</v>
      </c>
    </row>
    <row r="6701" spans="1:6" ht="12.75">
      <c r="A6701">
        <v>5388963</v>
      </c>
      <c r="B6701">
        <v>5388635</v>
      </c>
      <c r="C6701" t="s">
        <v>8</v>
      </c>
      <c r="D6701" t="s">
        <v>8</v>
      </c>
      <c r="E6701" s="2" t="str">
        <f>HYPERLINK("https://ibp.a2mac1.com/costing(costing:projects/details/8191/assembly/5388963)","Rear side member assy")</f>
        <v>Rear side member assy</v>
      </c>
      <c r="F6701" t="s">
        <v>6958</v>
      </c>
    </row>
    <row r="6702" spans="1:6" ht="12.75">
      <c r="A6702">
        <v>5389317</v>
      </c>
      <c r="B6702">
        <v>5388963</v>
      </c>
      <c r="C6702" t="s">
        <v>8</v>
      </c>
      <c r="D6702" t="s">
        <v>8</v>
      </c>
      <c r="E6702" s="2" t="str">
        <f>HYPERLINK("https://ibp.a2mac1.com/costing(costing:projects/details/8191/assembly/5389317)","Frame")</f>
        <v>Frame</v>
      </c>
      <c r="F6702" t="s">
        <v>7037</v>
      </c>
    </row>
    <row r="6703" spans="1:6" ht="12.75">
      <c r="A6703">
        <v>5389624</v>
      </c>
      <c r="B6703">
        <v>5389317</v>
      </c>
      <c r="C6703" t="s">
        <v>12</v>
      </c>
      <c r="D6703" t="s">
        <v>8</v>
      </c>
      <c r="E6703" s="2" t="str">
        <f>HYPERLINK("https://ibp.a2mac1.com/costing(costing:projects/details/8191/part/5389624)","Part 01 single/main")</f>
        <v>Part 01 single/main</v>
      </c>
      <c r="F6703" t="s">
        <v>7038</v>
      </c>
    </row>
    <row r="6704" spans="1:6" ht="12.75">
      <c r="A6704">
        <v>6976063</v>
      </c>
      <c r="B6704">
        <v>5389624</v>
      </c>
      <c r="C6704" t="s">
        <v>99</v>
      </c>
      <c r="D6704" t="s">
        <v>12</v>
      </c>
      <c r="E6704" s="2" t="str">
        <f>HYPERLINK("https://ibp.a2mac1.com/costing(costing:projects/details/8191/process/6976063)","MANUFACTURING  PROCESS")</f>
        <v>MANUFACTURING  PROCESS</v>
      </c>
      <c r="F6704" t="s">
        <v>7039</v>
      </c>
    </row>
    <row r="6705" spans="1:6" ht="12.75">
      <c r="A6705">
        <v>5320523</v>
      </c>
      <c r="B6705">
        <v>6976063</v>
      </c>
      <c r="C6705" t="s">
        <v>24</v>
      </c>
      <c r="D6705" t="s">
        <v>99</v>
      </c>
      <c r="E6705" s="2" t="str">
        <f>HYPERLINK("https://ibp.a2mac1.com/costing(costing:projects/details/8191/material/5320523)","Steel sheet (Hot Forming Steel)")</f>
        <v>Steel sheet (Hot Forming Steel)</v>
      </c>
      <c r="F6705" t="s">
        <v>7042</v>
      </c>
    </row>
    <row r="6706" spans="1:6" ht="12.75">
      <c r="A6706">
        <v>6948697</v>
      </c>
      <c r="B6706">
        <v>6976063</v>
      </c>
      <c r="C6706" t="s">
        <v>189</v>
      </c>
      <c r="D6706" t="s">
        <v>99</v>
      </c>
      <c r="E6706" s="2" t="str">
        <f>HYPERLINK("https://ibp.a2mac1.com/costing(costing:projects/details/8191/equipment/6948697)","Manufacturing Equipment")</f>
        <v>Manufacturing Equipment</v>
      </c>
      <c r="F6706" t="s">
        <v>7042</v>
      </c>
    </row>
    <row r="6707" spans="1:6" ht="12.75">
      <c r="A6707">
        <v>5389625</v>
      </c>
      <c r="B6707">
        <v>5389317</v>
      </c>
      <c r="C6707" t="s">
        <v>12</v>
      </c>
      <c r="D6707" t="s">
        <v>8</v>
      </c>
      <c r="E6707" s="2" t="str">
        <f>HYPERLINK("https://ibp.a2mac1.com/costing(costing:projects/details/8191/part/5389625)","Part 03")</f>
        <v>Part 03</v>
      </c>
      <c r="F6707" t="s">
        <v>7038</v>
      </c>
    </row>
    <row r="6708" spans="1:6" ht="12.75">
      <c r="A6708">
        <v>6976064</v>
      </c>
      <c r="B6708">
        <v>5389625</v>
      </c>
      <c r="C6708" t="s">
        <v>99</v>
      </c>
      <c r="D6708" t="s">
        <v>12</v>
      </c>
      <c r="E6708" s="2" t="str">
        <f>HYPERLINK("https://ibp.a2mac1.com/costing(costing:projects/details/8191/process/6976064)","MANUFACTURING  PROCESS")</f>
        <v>MANUFACTURING  PROCESS</v>
      </c>
      <c r="F6708" t="s">
        <v>7043</v>
      </c>
    </row>
    <row r="6709" spans="1:6" ht="12.75">
      <c r="A6709">
        <v>5320524</v>
      </c>
      <c r="B6709">
        <v>6976064</v>
      </c>
      <c r="C6709" t="s">
        <v>24</v>
      </c>
      <c r="D6709" t="s">
        <v>99</v>
      </c>
      <c r="E6709" s="2" t="str">
        <f>HYPERLINK("https://ibp.a2mac1.com/costing(costing:projects/details/8191/material/5320524)","Standard Structural Steel sheet")</f>
        <v>Standard Structural Steel sheet</v>
      </c>
      <c r="F6709" t="s">
        <v>7046</v>
      </c>
    </row>
    <row r="6710" spans="1:6" ht="12.75">
      <c r="A6710">
        <v>6948698</v>
      </c>
      <c r="B6710">
        <v>6976064</v>
      </c>
      <c r="C6710" t="s">
        <v>189</v>
      </c>
      <c r="D6710" t="s">
        <v>99</v>
      </c>
      <c r="E6710" s="2" t="str">
        <f>HYPERLINK("https://ibp.a2mac1.com/costing(costing:projects/details/8191/equipment/6948698)","Manufacturing Equipment")</f>
        <v>Manufacturing Equipment</v>
      </c>
      <c r="F6710" t="s">
        <v>7046</v>
      </c>
    </row>
    <row r="6711" spans="1:6" ht="12.75">
      <c r="A6711">
        <v>5389626</v>
      </c>
      <c r="B6711">
        <v>5389317</v>
      </c>
      <c r="C6711" t="s">
        <v>12</v>
      </c>
      <c r="D6711" t="s">
        <v>8</v>
      </c>
      <c r="E6711" s="2" t="str">
        <f>HYPERLINK("https://ibp.a2mac1.com/costing(costing:projects/details/8191/part/5389626)","Part 04")</f>
        <v>Part 04</v>
      </c>
      <c r="F6711" t="s">
        <v>7038</v>
      </c>
    </row>
    <row r="6712" spans="1:6" ht="12.75">
      <c r="A6712">
        <v>6976065</v>
      </c>
      <c r="B6712">
        <v>5389626</v>
      </c>
      <c r="C6712" t="s">
        <v>99</v>
      </c>
      <c r="D6712" t="s">
        <v>12</v>
      </c>
      <c r="E6712" s="2" t="str">
        <f>HYPERLINK("https://ibp.a2mac1.com/costing(costing:projects/details/8191/process/6976065)","MANUFACTURING  PROCESS")</f>
        <v>MANUFACTURING  PROCESS</v>
      </c>
      <c r="F6712" t="s">
        <v>7047</v>
      </c>
    </row>
    <row r="6713" spans="1:6" ht="12.75">
      <c r="A6713">
        <v>5320525</v>
      </c>
      <c r="B6713">
        <v>6976065</v>
      </c>
      <c r="C6713" t="s">
        <v>24</v>
      </c>
      <c r="D6713" t="s">
        <v>99</v>
      </c>
      <c r="E6713" s="2" t="str">
        <f>HYPERLINK("https://ibp.a2mac1.com/costing(costing:projects/details/8191/material/5320525)","Standard Structural Steel sheet")</f>
        <v>Standard Structural Steel sheet</v>
      </c>
      <c r="F6713" t="s">
        <v>7050</v>
      </c>
    </row>
    <row r="6714" spans="1:6" ht="12.75">
      <c r="A6714">
        <v>6948699</v>
      </c>
      <c r="B6714">
        <v>6976065</v>
      </c>
      <c r="C6714" t="s">
        <v>189</v>
      </c>
      <c r="D6714" t="s">
        <v>99</v>
      </c>
      <c r="E6714" s="2" t="str">
        <f>HYPERLINK("https://ibp.a2mac1.com/costing(costing:projects/details/8191/equipment/6948699)","Manufacturing Equipment")</f>
        <v>Manufacturing Equipment</v>
      </c>
      <c r="F6714" t="s">
        <v>7050</v>
      </c>
    </row>
    <row r="6715" spans="1:6" ht="12.75">
      <c r="A6715">
        <v>5389627</v>
      </c>
      <c r="B6715">
        <v>5389317</v>
      </c>
      <c r="C6715" t="s">
        <v>12</v>
      </c>
      <c r="D6715" t="s">
        <v>8</v>
      </c>
      <c r="E6715" s="2" t="str">
        <f>HYPERLINK("https://ibp.a2mac1.com/costing(costing:projects/details/8191/part/5389627)"," Part 05")</f>
        <v xml:space="preserve"> Part 05</v>
      </c>
      <c r="F6715" t="s">
        <v>7038</v>
      </c>
    </row>
    <row r="6716" spans="1:6" ht="12.75">
      <c r="A6716">
        <v>6976066</v>
      </c>
      <c r="B6716">
        <v>5389627</v>
      </c>
      <c r="C6716" t="s">
        <v>99</v>
      </c>
      <c r="D6716" t="s">
        <v>12</v>
      </c>
      <c r="E6716" s="2" t="str">
        <f>HYPERLINK("https://ibp.a2mac1.com/costing(costing:projects/details/8191/process/6976066)","MANUFACTURING  PROCESS")</f>
        <v>MANUFACTURING  PROCESS</v>
      </c>
      <c r="F6716" t="s">
        <v>7051</v>
      </c>
    </row>
    <row r="6717" spans="1:6" ht="12.75">
      <c r="A6717">
        <v>5320526</v>
      </c>
      <c r="B6717">
        <v>6976066</v>
      </c>
      <c r="C6717" t="s">
        <v>24</v>
      </c>
      <c r="D6717" t="s">
        <v>99</v>
      </c>
      <c r="E6717" s="2" t="str">
        <f>HYPERLINK("https://ibp.a2mac1.com/costing(costing:projects/details/8191/material/5320526)","Standard Structural Steel sheet")</f>
        <v>Standard Structural Steel sheet</v>
      </c>
      <c r="F6717" t="s">
        <v>7054</v>
      </c>
    </row>
    <row r="6718" spans="1:6" ht="12.75">
      <c r="A6718">
        <v>6948700</v>
      </c>
      <c r="B6718">
        <v>6976066</v>
      </c>
      <c r="C6718" t="s">
        <v>189</v>
      </c>
      <c r="D6718" t="s">
        <v>99</v>
      </c>
      <c r="E6718" s="2" t="str">
        <f>HYPERLINK("https://ibp.a2mac1.com/costing(costing:projects/details/8191/equipment/6948700)","Manufacturing Equipment")</f>
        <v>Manufacturing Equipment</v>
      </c>
      <c r="F6718" t="s">
        <v>7054</v>
      </c>
    </row>
    <row r="6719" spans="1:6" ht="12.75">
      <c r="A6719">
        <v>5389318</v>
      </c>
      <c r="B6719">
        <v>5388963</v>
      </c>
      <c r="C6719" t="s">
        <v>8</v>
      </c>
      <c r="D6719" t="s">
        <v>8</v>
      </c>
      <c r="E6719" s="2" t="str">
        <f>HYPERLINK("https://ibp.a2mac1.com/costing(costing:projects/details/8191/assembly/5389318)","Reinforcements")</f>
        <v>Reinforcements</v>
      </c>
      <c r="F6719" t="s">
        <v>7037</v>
      </c>
    </row>
    <row r="6720" spans="1:6" ht="12.75">
      <c r="A6720">
        <v>5389628</v>
      </c>
      <c r="B6720">
        <v>5389318</v>
      </c>
      <c r="C6720" t="s">
        <v>12</v>
      </c>
      <c r="D6720" t="s">
        <v>8</v>
      </c>
      <c r="E6720" s="2" t="str">
        <f>HYPERLINK("https://ibp.a2mac1.com/costing(costing:projects/details/8191/part/5389628)","Part 01 single/main")</f>
        <v>Part 01 single/main</v>
      </c>
      <c r="F6720" t="s">
        <v>7055</v>
      </c>
    </row>
    <row r="6721" spans="1:6" ht="12.75">
      <c r="A6721">
        <v>6976067</v>
      </c>
      <c r="B6721">
        <v>5389628</v>
      </c>
      <c r="C6721" t="s">
        <v>99</v>
      </c>
      <c r="D6721" t="s">
        <v>12</v>
      </c>
      <c r="E6721" s="2" t="str">
        <f>HYPERLINK("https://ibp.a2mac1.com/costing(costing:projects/details/8191/process/6976067)","MANUFACTURING  PROCESS")</f>
        <v>MANUFACTURING  PROCESS</v>
      </c>
      <c r="F6721" t="s">
        <v>7056</v>
      </c>
    </row>
    <row r="6722" spans="1:6" ht="12.75">
      <c r="A6722">
        <v>5320527</v>
      </c>
      <c r="B6722">
        <v>6976067</v>
      </c>
      <c r="C6722" t="s">
        <v>24</v>
      </c>
      <c r="D6722" t="s">
        <v>99</v>
      </c>
      <c r="E6722" s="2" t="str">
        <f>HYPERLINK("https://ibp.a2mac1.com/costing(costing:projects/details/8191/material/5320527)","Standard Structural Steel sheet")</f>
        <v>Standard Structural Steel sheet</v>
      </c>
      <c r="F6722" t="s">
        <v>7058</v>
      </c>
    </row>
    <row r="6723" spans="1:6" ht="12.75">
      <c r="A6723">
        <v>6948701</v>
      </c>
      <c r="B6723">
        <v>6976067</v>
      </c>
      <c r="C6723" t="s">
        <v>189</v>
      </c>
      <c r="D6723" t="s">
        <v>99</v>
      </c>
      <c r="E6723" s="2" t="str">
        <f>HYPERLINK("https://ibp.a2mac1.com/costing(costing:projects/details/8191/equipment/6948701)","Manufacturing Equipment")</f>
        <v>Manufacturing Equipment</v>
      </c>
      <c r="F6723" t="s">
        <v>7058</v>
      </c>
    </row>
    <row r="6724" spans="1:6" ht="12.75">
      <c r="A6724">
        <v>5389629</v>
      </c>
      <c r="B6724">
        <v>5389318</v>
      </c>
      <c r="C6724" t="s">
        <v>12</v>
      </c>
      <c r="D6724" t="s">
        <v>8</v>
      </c>
      <c r="E6724" s="2" t="str">
        <f>HYPERLINK("https://ibp.a2mac1.com/costing(costing:projects/details/8191/part/5389629)"," Part 02")</f>
        <v xml:space="preserve"> Part 02</v>
      </c>
      <c r="F6724" t="s">
        <v>7055</v>
      </c>
    </row>
    <row r="6725" spans="1:6" ht="12.75">
      <c r="A6725">
        <v>6976068</v>
      </c>
      <c r="B6725">
        <v>5389629</v>
      </c>
      <c r="C6725" t="s">
        <v>99</v>
      </c>
      <c r="D6725" t="s">
        <v>12</v>
      </c>
      <c r="E6725" s="2" t="str">
        <f>HYPERLINK("https://ibp.a2mac1.com/costing(costing:projects/details/8191/process/6976068)","MANUFACTURING  PROCESS")</f>
        <v>MANUFACTURING  PROCESS</v>
      </c>
      <c r="F6725" t="s">
        <v>7059</v>
      </c>
    </row>
    <row r="6726" spans="1:6" ht="12.75">
      <c r="A6726">
        <v>5320528</v>
      </c>
      <c r="B6726">
        <v>6976068</v>
      </c>
      <c r="C6726" t="s">
        <v>24</v>
      </c>
      <c r="D6726" t="s">
        <v>99</v>
      </c>
      <c r="E6726" s="2" t="str">
        <f>HYPERLINK("https://ibp.a2mac1.com/costing(costing:projects/details/8191/material/5320528)","Standard Structural Steel sheet")</f>
        <v>Standard Structural Steel sheet</v>
      </c>
      <c r="F6726" t="s">
        <v>7061</v>
      </c>
    </row>
    <row r="6727" spans="1:6" ht="12.75">
      <c r="A6727">
        <v>6948702</v>
      </c>
      <c r="B6727">
        <v>6976068</v>
      </c>
      <c r="C6727" t="s">
        <v>189</v>
      </c>
      <c r="D6727" t="s">
        <v>99</v>
      </c>
      <c r="E6727" s="2" t="str">
        <f>HYPERLINK("https://ibp.a2mac1.com/costing(costing:projects/details/8191/equipment/6948702)","Manufacturing Equipment")</f>
        <v>Manufacturing Equipment</v>
      </c>
      <c r="F6727" t="s">
        <v>7061</v>
      </c>
    </row>
    <row r="6728" spans="1:6" ht="12.75">
      <c r="A6728">
        <v>5389630</v>
      </c>
      <c r="B6728">
        <v>5389318</v>
      </c>
      <c r="C6728" t="s">
        <v>12</v>
      </c>
      <c r="D6728" t="s">
        <v>8</v>
      </c>
      <c r="E6728" s="2" t="str">
        <f>HYPERLINK("https://ibp.a2mac1.com/costing(costing:projects/details/8191/part/5389630)","Part 03")</f>
        <v>Part 03</v>
      </c>
      <c r="F6728" t="s">
        <v>7055</v>
      </c>
    </row>
    <row r="6729" spans="1:6" ht="12.75">
      <c r="A6729">
        <v>6976069</v>
      </c>
      <c r="B6729">
        <v>5389630</v>
      </c>
      <c r="C6729" t="s">
        <v>99</v>
      </c>
      <c r="D6729" t="s">
        <v>12</v>
      </c>
      <c r="E6729" s="2" t="str">
        <f>HYPERLINK("https://ibp.a2mac1.com/costing(costing:projects/details/8191/process/6976069)","MANUFACTURING  PROCESS")</f>
        <v>MANUFACTURING  PROCESS</v>
      </c>
      <c r="F6729" t="s">
        <v>7062</v>
      </c>
    </row>
    <row r="6730" spans="1:6" ht="12.75">
      <c r="A6730">
        <v>5320529</v>
      </c>
      <c r="B6730">
        <v>6976069</v>
      </c>
      <c r="C6730" t="s">
        <v>24</v>
      </c>
      <c r="D6730" t="s">
        <v>99</v>
      </c>
      <c r="E6730" s="2" t="str">
        <f>HYPERLINK("https://ibp.a2mac1.com/costing(costing:projects/details/8191/material/5320529)","Standard Structural Steel sheet")</f>
        <v>Standard Structural Steel sheet</v>
      </c>
      <c r="F6730" t="s">
        <v>7063</v>
      </c>
    </row>
    <row r="6731" spans="1:6" ht="12.75">
      <c r="A6731">
        <v>6948703</v>
      </c>
      <c r="B6731">
        <v>6976069</v>
      </c>
      <c r="C6731" t="s">
        <v>189</v>
      </c>
      <c r="D6731" t="s">
        <v>99</v>
      </c>
      <c r="E6731" s="2" t="str">
        <f>HYPERLINK("https://ibp.a2mac1.com/costing(costing:projects/details/8191/equipment/6948703)","Manufacturing Equipment")</f>
        <v>Manufacturing Equipment</v>
      </c>
      <c r="F6731" t="s">
        <v>7063</v>
      </c>
    </row>
    <row r="6732" spans="1:6" ht="12.75">
      <c r="A6732">
        <v>5389631</v>
      </c>
      <c r="B6732">
        <v>5389318</v>
      </c>
      <c r="C6732" t="s">
        <v>12</v>
      </c>
      <c r="D6732" t="s">
        <v>8</v>
      </c>
      <c r="E6732" s="2" t="str">
        <f>HYPERLINK("https://ibp.a2mac1.com/costing(costing:projects/details/8191/part/5389631)"," Part 04")</f>
        <v xml:space="preserve"> Part 04</v>
      </c>
      <c r="F6732" t="s">
        <v>7055</v>
      </c>
    </row>
    <row r="6733" spans="1:6" ht="12.75">
      <c r="A6733">
        <v>6976070</v>
      </c>
      <c r="B6733">
        <v>5389631</v>
      </c>
      <c r="C6733" t="s">
        <v>99</v>
      </c>
      <c r="D6733" t="s">
        <v>12</v>
      </c>
      <c r="E6733" s="2" t="str">
        <f>HYPERLINK("https://ibp.a2mac1.com/costing(costing:projects/details/8191/process/6976070)","MANUFACTURING  PROCESS")</f>
        <v>MANUFACTURING  PROCESS</v>
      </c>
      <c r="F6733" t="s">
        <v>7064</v>
      </c>
    </row>
    <row r="6734" spans="1:6" ht="12.75">
      <c r="A6734">
        <v>5320530</v>
      </c>
      <c r="B6734">
        <v>6976070</v>
      </c>
      <c r="C6734" t="s">
        <v>24</v>
      </c>
      <c r="D6734" t="s">
        <v>99</v>
      </c>
      <c r="E6734" s="2" t="str">
        <f>HYPERLINK("https://ibp.a2mac1.com/costing(costing:projects/details/8191/material/5320530)","Standard Structural Steel sheet")</f>
        <v>Standard Structural Steel sheet</v>
      </c>
      <c r="F6734" t="s">
        <v>7067</v>
      </c>
    </row>
    <row r="6735" spans="1:6" ht="12.75">
      <c r="A6735">
        <v>6948704</v>
      </c>
      <c r="B6735">
        <v>6976070</v>
      </c>
      <c r="C6735" t="s">
        <v>189</v>
      </c>
      <c r="D6735" t="s">
        <v>99</v>
      </c>
      <c r="E6735" s="2" t="str">
        <f>HYPERLINK("https://ibp.a2mac1.com/costing(costing:projects/details/8191/equipment/6948704)","Manufacturing Equipment")</f>
        <v>Manufacturing Equipment</v>
      </c>
      <c r="F6735" t="s">
        <v>7067</v>
      </c>
    </row>
    <row r="6736" spans="1:6" ht="12.75">
      <c r="A6736">
        <v>5389633</v>
      </c>
      <c r="B6736">
        <v>5389318</v>
      </c>
      <c r="C6736" t="s">
        <v>12</v>
      </c>
      <c r="D6736" t="s">
        <v>8</v>
      </c>
      <c r="E6736" s="2" t="str">
        <f>HYPERLINK("https://ibp.a2mac1.com/costing(costing:projects/details/8191/part/5389633)"," Part 05")</f>
        <v xml:space="preserve"> Part 05</v>
      </c>
      <c r="F6736" t="s">
        <v>7055</v>
      </c>
    </row>
    <row r="6737" spans="1:6" ht="12.75">
      <c r="A6737">
        <v>6976071</v>
      </c>
      <c r="B6737">
        <v>5389633</v>
      </c>
      <c r="C6737" t="s">
        <v>99</v>
      </c>
      <c r="D6737" t="s">
        <v>12</v>
      </c>
      <c r="E6737" s="2" t="str">
        <f>HYPERLINK("https://ibp.a2mac1.com/costing(costing:projects/details/8191/process/6976071)","MANUFACTURING  PROCESS")</f>
        <v>MANUFACTURING  PROCESS</v>
      </c>
      <c r="F6737" t="s">
        <v>7068</v>
      </c>
    </row>
    <row r="6738" spans="1:6" ht="12.75">
      <c r="A6738">
        <v>5320531</v>
      </c>
      <c r="B6738">
        <v>6976071</v>
      </c>
      <c r="C6738" t="s">
        <v>24</v>
      </c>
      <c r="D6738" t="s">
        <v>99</v>
      </c>
      <c r="E6738" s="2" t="str">
        <f>HYPERLINK("https://ibp.a2mac1.com/costing(costing:projects/details/8191/material/5320531)","Standard Structural Steel sheet")</f>
        <v>Standard Structural Steel sheet</v>
      </c>
      <c r="F6738" t="s">
        <v>7070</v>
      </c>
    </row>
    <row r="6739" spans="1:6" ht="12.75">
      <c r="A6739">
        <v>6948705</v>
      </c>
      <c r="B6739">
        <v>6976071</v>
      </c>
      <c r="C6739" t="s">
        <v>189</v>
      </c>
      <c r="D6739" t="s">
        <v>99</v>
      </c>
      <c r="E6739" s="2" t="str">
        <f>HYPERLINK("https://ibp.a2mac1.com/costing(costing:projects/details/8191/equipment/6948705)","Manufacturing Equipment")</f>
        <v>Manufacturing Equipment</v>
      </c>
      <c r="F6739" t="s">
        <v>7070</v>
      </c>
    </row>
    <row r="6740" spans="1:6" ht="12.75">
      <c r="A6740">
        <v>5389634</v>
      </c>
      <c r="B6740">
        <v>5389318</v>
      </c>
      <c r="C6740" t="s">
        <v>12</v>
      </c>
      <c r="D6740" t="s">
        <v>8</v>
      </c>
      <c r="E6740" s="2" t="str">
        <f>HYPERLINK("https://ibp.a2mac1.com/costing(costing:projects/details/8191/part/5389634)"," Part 06")</f>
        <v xml:space="preserve"> Part 06</v>
      </c>
      <c r="F6740" t="s">
        <v>7055</v>
      </c>
    </row>
    <row r="6741" spans="1:6" ht="12.75">
      <c r="A6741">
        <v>6976072</v>
      </c>
      <c r="B6741">
        <v>5389634</v>
      </c>
      <c r="C6741" t="s">
        <v>99</v>
      </c>
      <c r="D6741" t="s">
        <v>12</v>
      </c>
      <c r="E6741" s="2" t="str">
        <f>HYPERLINK("https://ibp.a2mac1.com/costing(costing:projects/details/8191/process/6976072)","MANUFACTURING  PROCESS")</f>
        <v>MANUFACTURING  PROCESS</v>
      </c>
      <c r="F6741" t="s">
        <v>7071</v>
      </c>
    </row>
    <row r="6742" spans="1:6" ht="12.75">
      <c r="A6742">
        <v>5320532</v>
      </c>
      <c r="B6742">
        <v>6976072</v>
      </c>
      <c r="C6742" t="s">
        <v>24</v>
      </c>
      <c r="D6742" t="s">
        <v>99</v>
      </c>
      <c r="E6742" s="2" t="str">
        <f>HYPERLINK("https://ibp.a2mac1.com/costing(costing:projects/details/8191/material/5320532)","Standard Structural Steel sheet")</f>
        <v>Standard Structural Steel sheet</v>
      </c>
      <c r="F6742" t="s">
        <v>7073</v>
      </c>
    </row>
    <row r="6743" spans="1:6" ht="12.75">
      <c r="A6743">
        <v>6948706</v>
      </c>
      <c r="B6743">
        <v>6976072</v>
      </c>
      <c r="C6743" t="s">
        <v>189</v>
      </c>
      <c r="D6743" t="s">
        <v>99</v>
      </c>
      <c r="E6743" s="2" t="str">
        <f>HYPERLINK("https://ibp.a2mac1.com/costing(costing:projects/details/8191/equipment/6948706)","Manufacturing Equipment")</f>
        <v>Manufacturing Equipment</v>
      </c>
      <c r="F6743" t="s">
        <v>7073</v>
      </c>
    </row>
    <row r="6744" spans="1:6" ht="12.75">
      <c r="A6744">
        <v>5389635</v>
      </c>
      <c r="B6744">
        <v>5389318</v>
      </c>
      <c r="C6744" t="s">
        <v>12</v>
      </c>
      <c r="D6744" t="s">
        <v>8</v>
      </c>
      <c r="E6744" s="2" t="str">
        <f>HYPERLINK("https://ibp.a2mac1.com/costing(costing:projects/details/8191/part/5389635)"," Part 07")</f>
        <v xml:space="preserve"> Part 07</v>
      </c>
      <c r="F6744" t="s">
        <v>7055</v>
      </c>
    </row>
    <row r="6745" spans="1:6" ht="12.75">
      <c r="A6745">
        <v>6976073</v>
      </c>
      <c r="B6745">
        <v>5389635</v>
      </c>
      <c r="C6745" t="s">
        <v>99</v>
      </c>
      <c r="D6745" t="s">
        <v>12</v>
      </c>
      <c r="E6745" s="2" t="str">
        <f>HYPERLINK("https://ibp.a2mac1.com/costing(costing:projects/details/8191/process/6976073)","MANUFACTURING  PROCESS")</f>
        <v>MANUFACTURING  PROCESS</v>
      </c>
      <c r="F6745" t="s">
        <v>7074</v>
      </c>
    </row>
    <row r="6746" spans="1:6" ht="12.75">
      <c r="A6746">
        <v>5320533</v>
      </c>
      <c r="B6746">
        <v>6976073</v>
      </c>
      <c r="C6746" t="s">
        <v>24</v>
      </c>
      <c r="D6746" t="s">
        <v>99</v>
      </c>
      <c r="E6746" s="2" t="str">
        <f>HYPERLINK("https://ibp.a2mac1.com/costing(costing:projects/details/8191/material/5320533)","Standard Structural Steel sheet")</f>
        <v>Standard Structural Steel sheet</v>
      </c>
      <c r="F6746" t="s">
        <v>7076</v>
      </c>
    </row>
    <row r="6747" spans="1:6" ht="12.75">
      <c r="A6747">
        <v>6948707</v>
      </c>
      <c r="B6747">
        <v>6976073</v>
      </c>
      <c r="C6747" t="s">
        <v>189</v>
      </c>
      <c r="D6747" t="s">
        <v>99</v>
      </c>
      <c r="E6747" s="2" t="str">
        <f>HYPERLINK("https://ibp.a2mac1.com/costing(costing:projects/details/8191/equipment/6948707)","Manufacturing Equipment")</f>
        <v>Manufacturing Equipment</v>
      </c>
      <c r="F6747" t="s">
        <v>7076</v>
      </c>
    </row>
    <row r="6748" spans="1:6" ht="12.75">
      <c r="A6748">
        <v>5389319</v>
      </c>
      <c r="B6748">
        <v>5388963</v>
      </c>
      <c r="C6748" t="s">
        <v>8</v>
      </c>
      <c r="D6748" t="s">
        <v>8</v>
      </c>
      <c r="E6748" s="2" t="str">
        <f>HYPERLINK("https://ibp.a2mac1.com/costing(costing:projects/details/8191/assembly/5389319)","Spacers")</f>
        <v>Spacers</v>
      </c>
      <c r="F6748" t="s">
        <v>7037</v>
      </c>
    </row>
    <row r="6749" spans="1:6" ht="12.75">
      <c r="A6749">
        <v>5389636</v>
      </c>
      <c r="B6749">
        <v>5389319</v>
      </c>
      <c r="C6749" t="s">
        <v>12</v>
      </c>
      <c r="D6749" t="s">
        <v>8</v>
      </c>
      <c r="E6749" s="2" t="str">
        <f>HYPERLINK("https://ibp.a2mac1.com/costing(costing:projects/details/8191/part/5389636)","Part 01 single/main")</f>
        <v>Part 01 single/main</v>
      </c>
      <c r="F6749" t="s">
        <v>7077</v>
      </c>
    </row>
    <row r="6750" spans="1:6" ht="12.75">
      <c r="A6750">
        <v>6976074</v>
      </c>
      <c r="B6750">
        <v>5389636</v>
      </c>
      <c r="C6750" t="s">
        <v>99</v>
      </c>
      <c r="D6750" t="s">
        <v>12</v>
      </c>
      <c r="E6750" s="2" t="str">
        <f>HYPERLINK("https://ibp.a2mac1.com/costing(costing:projects/details/8191/process/6976074)","MANUFACTURING  PROCESS")</f>
        <v>MANUFACTURING  PROCESS</v>
      </c>
      <c r="F6750" t="s">
        <v>7078</v>
      </c>
    </row>
    <row r="6751" spans="1:6" ht="12.75">
      <c r="A6751">
        <v>5320534</v>
      </c>
      <c r="B6751">
        <v>6976074</v>
      </c>
      <c r="C6751" t="s">
        <v>24</v>
      </c>
      <c r="D6751" t="s">
        <v>99</v>
      </c>
      <c r="E6751" s="2" t="str">
        <f>HYPERLINK("https://ibp.a2mac1.com/costing(costing:projects/details/8191/material/5320534)","Standard Structural Steel sheet")</f>
        <v>Standard Structural Steel sheet</v>
      </c>
      <c r="F6751" t="s">
        <v>7079</v>
      </c>
    </row>
    <row r="6752" spans="1:6" ht="12.75">
      <c r="A6752">
        <v>6948708</v>
      </c>
      <c r="B6752">
        <v>6976074</v>
      </c>
      <c r="C6752" t="s">
        <v>189</v>
      </c>
      <c r="D6752" t="s">
        <v>99</v>
      </c>
      <c r="E6752" s="2" t="str">
        <f>HYPERLINK("https://ibp.a2mac1.com/costing(costing:projects/details/8191/equipment/6948708)","Manufacturing Equipment")</f>
        <v>Manufacturing Equipment</v>
      </c>
      <c r="F6752" t="s">
        <v>7079</v>
      </c>
    </row>
    <row r="6753" spans="1:6" ht="12.75">
      <c r="A6753">
        <v>5389637</v>
      </c>
      <c r="B6753">
        <v>5389319</v>
      </c>
      <c r="C6753" t="s">
        <v>12</v>
      </c>
      <c r="D6753" t="s">
        <v>8</v>
      </c>
      <c r="E6753" s="2" t="str">
        <f>HYPERLINK("https://ibp.a2mac1.com/costing(costing:projects/details/8191/part/5389637)","Part 02")</f>
        <v>Part 02</v>
      </c>
      <c r="F6753" t="s">
        <v>7077</v>
      </c>
    </row>
    <row r="6754" spans="1:6" ht="12.75">
      <c r="A6754">
        <v>6976075</v>
      </c>
      <c r="B6754">
        <v>5389637</v>
      </c>
      <c r="C6754" t="s">
        <v>99</v>
      </c>
      <c r="D6754" t="s">
        <v>12</v>
      </c>
      <c r="E6754" s="2" t="str">
        <f>HYPERLINK("https://ibp.a2mac1.com/costing(costing:projects/details/8191/process/6976075)","MANUFACTURING  PROCESS")</f>
        <v>MANUFACTURING  PROCESS</v>
      </c>
      <c r="F6754" t="s">
        <v>7080</v>
      </c>
    </row>
    <row r="6755" spans="1:6" ht="12.75">
      <c r="A6755">
        <v>5320535</v>
      </c>
      <c r="B6755">
        <v>6976075</v>
      </c>
      <c r="C6755" t="s">
        <v>24</v>
      </c>
      <c r="D6755" t="s">
        <v>99</v>
      </c>
      <c r="E6755" s="2" t="str">
        <f>HYPERLINK("https://ibp.a2mac1.com/costing(costing:projects/details/8191/material/5320535)","Standard Structural Steel sheet")</f>
        <v>Standard Structural Steel sheet</v>
      </c>
      <c r="F6755" t="s">
        <v>7082</v>
      </c>
    </row>
    <row r="6756" spans="1:6" ht="12.75">
      <c r="A6756">
        <v>6948709</v>
      </c>
      <c r="B6756">
        <v>6976075</v>
      </c>
      <c r="C6756" t="s">
        <v>189</v>
      </c>
      <c r="D6756" t="s">
        <v>99</v>
      </c>
      <c r="E6756" s="2" t="str">
        <f>HYPERLINK("https://ibp.a2mac1.com/costing(costing:projects/details/8191/equipment/6948709)","Manufacturing Equipment")</f>
        <v>Manufacturing Equipment</v>
      </c>
      <c r="F6756" t="s">
        <v>7082</v>
      </c>
    </row>
    <row r="6757" spans="1:6" ht="12.75">
      <c r="A6757">
        <v>5389320</v>
      </c>
      <c r="B6757">
        <v>5388963</v>
      </c>
      <c r="C6757" t="s">
        <v>8</v>
      </c>
      <c r="D6757" t="s">
        <v>8</v>
      </c>
      <c r="E6757" s="2" t="str">
        <f>HYPERLINK("https://ibp.a2mac1.com/costing(costing:projects/details/8191/assembly/5389320)","Closures")</f>
        <v>Closures</v>
      </c>
      <c r="F6757" t="s">
        <v>7037</v>
      </c>
    </row>
    <row r="6758" spans="1:6" ht="12.75">
      <c r="A6758">
        <v>5389638</v>
      </c>
      <c r="B6758">
        <v>5389320</v>
      </c>
      <c r="C6758" t="s">
        <v>12</v>
      </c>
      <c r="D6758" t="s">
        <v>8</v>
      </c>
      <c r="E6758" s="2" t="str">
        <f>HYPERLINK("https://ibp.a2mac1.com/costing(costing:projects/details/8191/part/5389638)","Part 01 single/main")</f>
        <v>Part 01 single/main</v>
      </c>
      <c r="F6758" t="s">
        <v>7083</v>
      </c>
    </row>
    <row r="6759" spans="1:6" ht="12.75">
      <c r="A6759">
        <v>6976076</v>
      </c>
      <c r="B6759">
        <v>5389638</v>
      </c>
      <c r="C6759" t="s">
        <v>99</v>
      </c>
      <c r="D6759" t="s">
        <v>12</v>
      </c>
      <c r="E6759" s="2" t="str">
        <f>HYPERLINK("https://ibp.a2mac1.com/costing(costing:projects/details/8191/process/6976076)","MANUFACTURING  PROCESS")</f>
        <v>MANUFACTURING  PROCESS</v>
      </c>
      <c r="F6759" t="s">
        <v>7084</v>
      </c>
    </row>
    <row r="6760" spans="1:6" ht="12.75">
      <c r="A6760">
        <v>5320536</v>
      </c>
      <c r="B6760">
        <v>6976076</v>
      </c>
      <c r="C6760" t="s">
        <v>24</v>
      </c>
      <c r="D6760" t="s">
        <v>99</v>
      </c>
      <c r="E6760" s="2" t="str">
        <f>HYPERLINK("https://ibp.a2mac1.com/costing(costing:projects/details/8191/material/5320536)","Standard Structural Steel sheet")</f>
        <v>Standard Structural Steel sheet</v>
      </c>
      <c r="F6760" t="s">
        <v>7086</v>
      </c>
    </row>
    <row r="6761" spans="1:6" ht="12.75">
      <c r="A6761">
        <v>6948710</v>
      </c>
      <c r="B6761">
        <v>6976076</v>
      </c>
      <c r="C6761" t="s">
        <v>189</v>
      </c>
      <c r="D6761" t="s">
        <v>99</v>
      </c>
      <c r="E6761" s="2" t="str">
        <f>HYPERLINK("https://ibp.a2mac1.com/costing(costing:projects/details/8191/equipment/6948710)","Manufacturing Equipment")</f>
        <v>Manufacturing Equipment</v>
      </c>
      <c r="F6761" t="s">
        <v>7086</v>
      </c>
    </row>
    <row r="6762" spans="1:6" ht="12.75">
      <c r="A6762">
        <v>5389639</v>
      </c>
      <c r="B6762">
        <v>5389320</v>
      </c>
      <c r="C6762" t="s">
        <v>12</v>
      </c>
      <c r="D6762" t="s">
        <v>8</v>
      </c>
      <c r="E6762" s="2" t="str">
        <f>HYPERLINK("https://ibp.a2mac1.com/costing(costing:projects/details/8191/part/5389639)"," Part 02")</f>
        <v xml:space="preserve"> Part 02</v>
      </c>
      <c r="F6762" t="s">
        <v>7083</v>
      </c>
    </row>
    <row r="6763" spans="1:6" ht="12.75">
      <c r="A6763">
        <v>6976077</v>
      </c>
      <c r="B6763">
        <v>5389639</v>
      </c>
      <c r="C6763" t="s">
        <v>99</v>
      </c>
      <c r="D6763" t="s">
        <v>12</v>
      </c>
      <c r="E6763" s="2" t="str">
        <f>HYPERLINK("https://ibp.a2mac1.com/costing(costing:projects/details/8191/process/6976077)","MANUFACTURING  PROCESS")</f>
        <v>MANUFACTURING  PROCESS</v>
      </c>
      <c r="F6763" t="s">
        <v>7087</v>
      </c>
    </row>
    <row r="6764" spans="1:6" ht="12.75">
      <c r="A6764">
        <v>5320537</v>
      </c>
      <c r="B6764">
        <v>6976077</v>
      </c>
      <c r="C6764" t="s">
        <v>24</v>
      </c>
      <c r="D6764" t="s">
        <v>99</v>
      </c>
      <c r="E6764" s="2" t="str">
        <f>HYPERLINK("https://ibp.a2mac1.com/costing(costing:projects/details/8191/material/5320537)","Standard Structural Steel sheet")</f>
        <v>Standard Structural Steel sheet</v>
      </c>
      <c r="F6764" t="s">
        <v>7090</v>
      </c>
    </row>
    <row r="6765" spans="1:6" ht="12.75">
      <c r="A6765">
        <v>6948711</v>
      </c>
      <c r="B6765">
        <v>6976077</v>
      </c>
      <c r="C6765" t="s">
        <v>189</v>
      </c>
      <c r="D6765" t="s">
        <v>99</v>
      </c>
      <c r="E6765" s="2" t="str">
        <f>HYPERLINK("https://ibp.a2mac1.com/costing(costing:projects/details/8191/equipment/6948711)","Manufacturing Equipment")</f>
        <v>Manufacturing Equipment</v>
      </c>
      <c r="F6765" t="s">
        <v>7090</v>
      </c>
    </row>
    <row r="6766" spans="1:6" ht="12.75">
      <c r="A6766">
        <v>5389640</v>
      </c>
      <c r="B6766">
        <v>5389320</v>
      </c>
      <c r="C6766" t="s">
        <v>12</v>
      </c>
      <c r="D6766" t="s">
        <v>8</v>
      </c>
      <c r="E6766" s="2" t="str">
        <f>HYPERLINK("https://ibp.a2mac1.com/costing(costing:projects/details/8191/part/5389640)","Part 03")</f>
        <v>Part 03</v>
      </c>
      <c r="F6766" t="s">
        <v>7083</v>
      </c>
    </row>
    <row r="6767" spans="1:6" ht="12.75">
      <c r="A6767">
        <v>6976078</v>
      </c>
      <c r="B6767">
        <v>5389640</v>
      </c>
      <c r="C6767" t="s">
        <v>99</v>
      </c>
      <c r="D6767" t="s">
        <v>12</v>
      </c>
      <c r="E6767" s="2" t="str">
        <f>HYPERLINK("https://ibp.a2mac1.com/costing(costing:projects/details/8191/process/6976078)","MANUFACTURING  PROCESS")</f>
        <v>MANUFACTURING  PROCESS</v>
      </c>
      <c r="F6767" t="s">
        <v>7091</v>
      </c>
    </row>
    <row r="6768" spans="1:6" ht="12.75">
      <c r="A6768">
        <v>5320538</v>
      </c>
      <c r="B6768">
        <v>6976078</v>
      </c>
      <c r="C6768" t="s">
        <v>24</v>
      </c>
      <c r="D6768" t="s">
        <v>99</v>
      </c>
      <c r="E6768" s="2" t="str">
        <f>HYPERLINK("https://ibp.a2mac1.com/costing(costing:projects/details/8191/material/5320538)","Standard Structural Steel sheet")</f>
        <v>Standard Structural Steel sheet</v>
      </c>
      <c r="F6768" t="s">
        <v>7093</v>
      </c>
    </row>
    <row r="6769" spans="1:6" ht="12.75">
      <c r="A6769">
        <v>6948712</v>
      </c>
      <c r="B6769">
        <v>6976078</v>
      </c>
      <c r="C6769" t="s">
        <v>189</v>
      </c>
      <c r="D6769" t="s">
        <v>99</v>
      </c>
      <c r="E6769" s="2" t="str">
        <f>HYPERLINK("https://ibp.a2mac1.com/costing(costing:projects/details/8191/equipment/6948712)","Manufacturing Equipment")</f>
        <v>Manufacturing Equipment</v>
      </c>
      <c r="F6769" t="s">
        <v>7093</v>
      </c>
    </row>
    <row r="6770" spans="1:6" ht="12.75">
      <c r="A6770">
        <v>5389321</v>
      </c>
      <c r="B6770">
        <v>5388963</v>
      </c>
      <c r="C6770" t="s">
        <v>8</v>
      </c>
      <c r="D6770" t="s">
        <v>8</v>
      </c>
      <c r="E6770" s="2" t="str">
        <f>HYPERLINK("https://ibp.a2mac1.com/costing(costing:projects/details/8191/assembly/5389321)","Fixing parts")</f>
        <v>Fixing parts</v>
      </c>
      <c r="F6770" t="s">
        <v>7037</v>
      </c>
    </row>
    <row r="6771" spans="1:6" ht="12.75">
      <c r="A6771">
        <v>5389641</v>
      </c>
      <c r="B6771">
        <v>5389321</v>
      </c>
      <c r="C6771" t="s">
        <v>12</v>
      </c>
      <c r="D6771" t="s">
        <v>8</v>
      </c>
      <c r="E6771" s="2" t="str">
        <f>HYPERLINK("https://ibp.a2mac1.com/costing(costing:projects/details/8191/part/5389641)"," Part 01 single/main")</f>
        <v xml:space="preserve"> Part 01 single/main</v>
      </c>
      <c r="F6771" t="s">
        <v>7094</v>
      </c>
    </row>
    <row r="6772" spans="1:6" ht="12.75">
      <c r="A6772">
        <v>6976079</v>
      </c>
      <c r="B6772">
        <v>5389641</v>
      </c>
      <c r="C6772" t="s">
        <v>99</v>
      </c>
      <c r="D6772" t="s">
        <v>12</v>
      </c>
      <c r="E6772" s="2" t="str">
        <f>HYPERLINK("https://ibp.a2mac1.com/costing(costing:projects/details/8191/process/6976079)","MANUFACTURING  PROCESS")</f>
        <v>MANUFACTURING  PROCESS</v>
      </c>
      <c r="F6772" t="s">
        <v>7095</v>
      </c>
    </row>
    <row r="6773" spans="1:6" ht="12.75">
      <c r="A6773">
        <v>5320539</v>
      </c>
      <c r="B6773">
        <v>6976079</v>
      </c>
      <c r="C6773" t="s">
        <v>24</v>
      </c>
      <c r="D6773" t="s">
        <v>99</v>
      </c>
      <c r="E6773" s="2" t="str">
        <f>HYPERLINK("https://ibp.a2mac1.com/costing(costing:projects/details/8191/material/5320539)","Standard Structural Steel sheet")</f>
        <v>Standard Structural Steel sheet</v>
      </c>
      <c r="F6773" t="s">
        <v>7097</v>
      </c>
    </row>
    <row r="6774" spans="1:6" ht="12.75">
      <c r="A6774">
        <v>6948717</v>
      </c>
      <c r="B6774">
        <v>6976079</v>
      </c>
      <c r="C6774" t="s">
        <v>189</v>
      </c>
      <c r="D6774" t="s">
        <v>99</v>
      </c>
      <c r="E6774" s="2" t="str">
        <f>HYPERLINK("https://ibp.a2mac1.com/costing(costing:projects/details/8191/equipment/6948717)","Manufacturing Equipment")</f>
        <v>Manufacturing Equipment</v>
      </c>
      <c r="F6774" t="s">
        <v>7097</v>
      </c>
    </row>
    <row r="6775" spans="1:6" ht="12.75">
      <c r="A6775">
        <v>5389642</v>
      </c>
      <c r="B6775">
        <v>5389321</v>
      </c>
      <c r="C6775" t="s">
        <v>12</v>
      </c>
      <c r="D6775" t="s">
        <v>8</v>
      </c>
      <c r="E6775" s="2" t="str">
        <f>HYPERLINK("https://ibp.a2mac1.com/costing(costing:projects/details/8191/part/5389642)"," Part 03")</f>
        <v xml:space="preserve"> Part 03</v>
      </c>
      <c r="F6775" t="s">
        <v>7094</v>
      </c>
    </row>
    <row r="6776" spans="1:6" ht="12.75">
      <c r="A6776">
        <v>6976080</v>
      </c>
      <c r="B6776">
        <v>5389642</v>
      </c>
      <c r="C6776" t="s">
        <v>99</v>
      </c>
      <c r="D6776" t="s">
        <v>12</v>
      </c>
      <c r="E6776" s="2" t="str">
        <f>HYPERLINK("https://ibp.a2mac1.com/costing(costing:projects/details/8191/process/6976080)","MANUFACTURING  PROCESS")</f>
        <v>MANUFACTURING  PROCESS</v>
      </c>
      <c r="F6776" t="s">
        <v>7098</v>
      </c>
    </row>
    <row r="6777" spans="1:6" ht="12.75">
      <c r="A6777">
        <v>5320540</v>
      </c>
      <c r="B6777">
        <v>6976080</v>
      </c>
      <c r="C6777" t="s">
        <v>24</v>
      </c>
      <c r="D6777" t="s">
        <v>99</v>
      </c>
      <c r="E6777" s="2" t="str">
        <f>HYPERLINK("https://ibp.a2mac1.com/costing(costing:projects/details/8191/material/5320540)","Standard Structural Steel sheet")</f>
        <v>Standard Structural Steel sheet</v>
      </c>
      <c r="F6777" t="s">
        <v>7100</v>
      </c>
    </row>
    <row r="6778" spans="1:6" ht="12.75">
      <c r="A6778">
        <v>6948718</v>
      </c>
      <c r="B6778">
        <v>6976080</v>
      </c>
      <c r="C6778" t="s">
        <v>189</v>
      </c>
      <c r="D6778" t="s">
        <v>99</v>
      </c>
      <c r="E6778" s="2" t="str">
        <f>HYPERLINK("https://ibp.a2mac1.com/costing(costing:projects/details/8191/equipment/6948718)","Manufacturing Equipment")</f>
        <v>Manufacturing Equipment</v>
      </c>
      <c r="F6778" t="s">
        <v>7100</v>
      </c>
    </row>
    <row r="6779" spans="1:6" ht="12.75">
      <c r="A6779">
        <v>5389643</v>
      </c>
      <c r="B6779">
        <v>5389321</v>
      </c>
      <c r="C6779" t="s">
        <v>12</v>
      </c>
      <c r="D6779" t="s">
        <v>8</v>
      </c>
      <c r="E6779" s="2" t="str">
        <f>HYPERLINK("https://ibp.a2mac1.com/costing(costing:projects/details/8191/part/5389643)"," Part 04")</f>
        <v xml:space="preserve"> Part 04</v>
      </c>
      <c r="F6779" t="s">
        <v>7094</v>
      </c>
    </row>
    <row r="6780" spans="1:6" ht="12.75">
      <c r="A6780">
        <v>6976081</v>
      </c>
      <c r="B6780">
        <v>5389643</v>
      </c>
      <c r="C6780" t="s">
        <v>99</v>
      </c>
      <c r="D6780" t="s">
        <v>12</v>
      </c>
      <c r="E6780" s="2" t="str">
        <f>HYPERLINK("https://ibp.a2mac1.com/costing(costing:projects/details/8191/process/6976081)","MANUFACTURING  PROCESS")</f>
        <v>MANUFACTURING  PROCESS</v>
      </c>
      <c r="F6780" t="s">
        <v>7101</v>
      </c>
    </row>
    <row r="6781" spans="1:6" ht="12.75">
      <c r="A6781">
        <v>5320541</v>
      </c>
      <c r="B6781">
        <v>6976081</v>
      </c>
      <c r="C6781" t="s">
        <v>24</v>
      </c>
      <c r="D6781" t="s">
        <v>99</v>
      </c>
      <c r="E6781" s="2" t="str">
        <f>HYPERLINK("https://ibp.a2mac1.com/costing(costing:projects/details/8191/material/5320541)","Standard Structural Steel sheet")</f>
        <v>Standard Structural Steel sheet</v>
      </c>
      <c r="F6781" t="s">
        <v>7104</v>
      </c>
    </row>
    <row r="6782" spans="1:6" ht="12.75">
      <c r="A6782">
        <v>6948719</v>
      </c>
      <c r="B6782">
        <v>6976081</v>
      </c>
      <c r="C6782" t="s">
        <v>189</v>
      </c>
      <c r="D6782" t="s">
        <v>99</v>
      </c>
      <c r="E6782" s="2" t="str">
        <f>HYPERLINK("https://ibp.a2mac1.com/costing(costing:projects/details/8191/equipment/6948719)","Manufacturing Equipment")</f>
        <v>Manufacturing Equipment</v>
      </c>
      <c r="F6782" t="s">
        <v>7104</v>
      </c>
    </row>
    <row r="6783" spans="1:6" ht="12.75">
      <c r="A6783">
        <v>5389644</v>
      </c>
      <c r="B6783">
        <v>5389321</v>
      </c>
      <c r="C6783" t="s">
        <v>12</v>
      </c>
      <c r="D6783" t="s">
        <v>8</v>
      </c>
      <c r="E6783" s="2" t="str">
        <f>HYPERLINK("https://ibp.a2mac1.com/costing(costing:projects/details/8191/part/5389644)"," Part 05")</f>
        <v xml:space="preserve"> Part 05</v>
      </c>
      <c r="F6783" t="s">
        <v>7094</v>
      </c>
    </row>
    <row r="6784" spans="1:6" ht="12.75">
      <c r="A6784">
        <v>6976082</v>
      </c>
      <c r="B6784">
        <v>5389644</v>
      </c>
      <c r="C6784" t="s">
        <v>99</v>
      </c>
      <c r="D6784" t="s">
        <v>12</v>
      </c>
      <c r="E6784" s="2" t="str">
        <f>HYPERLINK("https://ibp.a2mac1.com/costing(costing:projects/details/8191/process/6976082)","MANUFACTURING  PROCESS")</f>
        <v>MANUFACTURING  PROCESS</v>
      </c>
      <c r="F6784" t="s">
        <v>7105</v>
      </c>
    </row>
    <row r="6785" spans="1:6" ht="12.75">
      <c r="A6785">
        <v>5320542</v>
      </c>
      <c r="B6785">
        <v>6976082</v>
      </c>
      <c r="C6785" t="s">
        <v>24</v>
      </c>
      <c r="D6785" t="s">
        <v>99</v>
      </c>
      <c r="E6785" s="2" t="str">
        <f>HYPERLINK("https://ibp.a2mac1.com/costing(costing:projects/details/8191/material/5320542)","Standard Structural Steel sheet")</f>
        <v>Standard Structural Steel sheet</v>
      </c>
      <c r="F6785" t="s">
        <v>7108</v>
      </c>
    </row>
    <row r="6786" spans="1:6" ht="12.75">
      <c r="A6786">
        <v>6948720</v>
      </c>
      <c r="B6786">
        <v>6976082</v>
      </c>
      <c r="C6786" t="s">
        <v>189</v>
      </c>
      <c r="D6786" t="s">
        <v>99</v>
      </c>
      <c r="E6786" s="2" t="str">
        <f>HYPERLINK("https://ibp.a2mac1.com/costing(costing:projects/details/8191/equipment/6948720)","Manufacturing Equipment")</f>
        <v>Manufacturing Equipment</v>
      </c>
      <c r="F6786" t="s">
        <v>7108</v>
      </c>
    </row>
    <row r="6787" spans="1:6" ht="12.75">
      <c r="A6787">
        <v>5389645</v>
      </c>
      <c r="B6787">
        <v>5389321</v>
      </c>
      <c r="C6787" t="s">
        <v>12</v>
      </c>
      <c r="D6787" t="s">
        <v>8</v>
      </c>
      <c r="E6787" s="2" t="str">
        <f>HYPERLINK("https://ibp.a2mac1.com/costing(costing:projects/details/8191/part/5389645)","Part 06")</f>
        <v>Part 06</v>
      </c>
      <c r="F6787" t="s">
        <v>7094</v>
      </c>
    </row>
    <row r="6788" spans="1:6" ht="12.75">
      <c r="A6788">
        <v>6976083</v>
      </c>
      <c r="B6788">
        <v>5389645</v>
      </c>
      <c r="C6788" t="s">
        <v>99</v>
      </c>
      <c r="D6788" t="s">
        <v>12</v>
      </c>
      <c r="E6788" s="2" t="str">
        <f>HYPERLINK("https://ibp.a2mac1.com/costing(costing:projects/details/8191/process/6976083)","MANUFACTURING  PROCESS")</f>
        <v>MANUFACTURING  PROCESS</v>
      </c>
      <c r="F6788" t="s">
        <v>7109</v>
      </c>
    </row>
    <row r="6789" spans="1:6" ht="12.75">
      <c r="A6789">
        <v>5320543</v>
      </c>
      <c r="B6789">
        <v>6976083</v>
      </c>
      <c r="C6789" t="s">
        <v>24</v>
      </c>
      <c r="D6789" t="s">
        <v>99</v>
      </c>
      <c r="E6789" s="2" t="str">
        <f>HYPERLINK("https://ibp.a2mac1.com/costing(costing:projects/details/8191/material/5320543)","Standard Structural Steel sheet")</f>
        <v>Standard Structural Steel sheet</v>
      </c>
      <c r="F6789" t="s">
        <v>7111</v>
      </c>
    </row>
    <row r="6790" spans="1:6" ht="12.75">
      <c r="A6790">
        <v>6948721</v>
      </c>
      <c r="B6790">
        <v>6976083</v>
      </c>
      <c r="C6790" t="s">
        <v>189</v>
      </c>
      <c r="D6790" t="s">
        <v>99</v>
      </c>
      <c r="E6790" s="2" t="str">
        <f>HYPERLINK("https://ibp.a2mac1.com/costing(costing:projects/details/8191/equipment/6948721)","Manufacturing Equipment")</f>
        <v>Manufacturing Equipment</v>
      </c>
      <c r="F6790" t="s">
        <v>7111</v>
      </c>
    </row>
    <row r="6791" spans="1:6" ht="12.75">
      <c r="A6791">
        <v>5389646</v>
      </c>
      <c r="B6791">
        <v>5389321</v>
      </c>
      <c r="C6791" t="s">
        <v>12</v>
      </c>
      <c r="D6791" t="s">
        <v>8</v>
      </c>
      <c r="E6791" s="2" t="str">
        <f>HYPERLINK("https://ibp.a2mac1.com/costing(costing:projects/details/8191/part/5389646)"," Part 07")</f>
        <v xml:space="preserve"> Part 07</v>
      </c>
      <c r="F6791" t="s">
        <v>7094</v>
      </c>
    </row>
    <row r="6792" spans="1:6" ht="12.75">
      <c r="A6792">
        <v>6976084</v>
      </c>
      <c r="B6792">
        <v>5389646</v>
      </c>
      <c r="C6792" t="s">
        <v>99</v>
      </c>
      <c r="D6792" t="s">
        <v>12</v>
      </c>
      <c r="E6792" s="2" t="str">
        <f>HYPERLINK("https://ibp.a2mac1.com/costing(costing:projects/details/8191/process/6976084)","MANUFACTURING  PROCESS")</f>
        <v>MANUFACTURING  PROCESS</v>
      </c>
      <c r="F6792" t="s">
        <v>7112</v>
      </c>
    </row>
    <row r="6793" spans="1:6" ht="12.75">
      <c r="A6793">
        <v>5320544</v>
      </c>
      <c r="B6793">
        <v>6976084</v>
      </c>
      <c r="C6793" t="s">
        <v>24</v>
      </c>
      <c r="D6793" t="s">
        <v>99</v>
      </c>
      <c r="E6793" s="2" t="str">
        <f>HYPERLINK("https://ibp.a2mac1.com/costing(costing:projects/details/8191/material/5320544)","Standard Structural Steel sheet")</f>
        <v>Standard Structural Steel sheet</v>
      </c>
      <c r="F6793" t="s">
        <v>7113</v>
      </c>
    </row>
    <row r="6794" spans="1:6" ht="12.75">
      <c r="A6794">
        <v>6948722</v>
      </c>
      <c r="B6794">
        <v>6976084</v>
      </c>
      <c r="C6794" t="s">
        <v>189</v>
      </c>
      <c r="D6794" t="s">
        <v>99</v>
      </c>
      <c r="E6794" s="2" t="str">
        <f>HYPERLINK("https://ibp.a2mac1.com/costing(costing:projects/details/8191/equipment/6948722)","Manufacturing Equipment")</f>
        <v>Manufacturing Equipment</v>
      </c>
      <c r="F6794" t="s">
        <v>7113</v>
      </c>
    </row>
    <row r="6795" spans="1:6" ht="12.75">
      <c r="A6795">
        <v>5389647</v>
      </c>
      <c r="B6795">
        <v>5389321</v>
      </c>
      <c r="C6795" t="s">
        <v>12</v>
      </c>
      <c r="D6795" t="s">
        <v>8</v>
      </c>
      <c r="E6795" s="2" t="str">
        <f>HYPERLINK("https://ibp.a2mac1.com/costing(costing:projects/details/8191/part/5389647)","Part 08")</f>
        <v>Part 08</v>
      </c>
      <c r="F6795" t="s">
        <v>7094</v>
      </c>
    </row>
    <row r="6796" spans="1:6" ht="12.75">
      <c r="A6796">
        <v>6976085</v>
      </c>
      <c r="B6796">
        <v>5389647</v>
      </c>
      <c r="C6796" t="s">
        <v>99</v>
      </c>
      <c r="D6796" t="s">
        <v>12</v>
      </c>
      <c r="E6796" s="2" t="str">
        <f>HYPERLINK("https://ibp.a2mac1.com/costing(costing:projects/details/8191/process/6976085)","MANUFACTURING  PROCESS")</f>
        <v>MANUFACTURING  PROCESS</v>
      </c>
      <c r="F6796" t="s">
        <v>7114</v>
      </c>
    </row>
    <row r="6797" spans="1:6" ht="12.75">
      <c r="A6797">
        <v>5320545</v>
      </c>
      <c r="B6797">
        <v>6976085</v>
      </c>
      <c r="C6797" t="s">
        <v>24</v>
      </c>
      <c r="D6797" t="s">
        <v>99</v>
      </c>
      <c r="E6797" s="2" t="str">
        <f>HYPERLINK("https://ibp.a2mac1.com/costing(costing:projects/details/8191/material/5320545)","Standard Structural Steel sheet")</f>
        <v>Standard Structural Steel sheet</v>
      </c>
      <c r="F6797" t="s">
        <v>7115</v>
      </c>
    </row>
    <row r="6798" spans="1:6" ht="12.75">
      <c r="A6798">
        <v>6948723</v>
      </c>
      <c r="B6798">
        <v>6976085</v>
      </c>
      <c r="C6798" t="s">
        <v>189</v>
      </c>
      <c r="D6798" t="s">
        <v>99</v>
      </c>
      <c r="E6798" s="2" t="str">
        <f>HYPERLINK("https://ibp.a2mac1.com/costing(costing:projects/details/8191/equipment/6948723)","Manufacturing Equipment")</f>
        <v>Manufacturing Equipment</v>
      </c>
      <c r="F6798" t="s">
        <v>7115</v>
      </c>
    </row>
    <row r="6799" spans="1:6" ht="12.75">
      <c r="A6799">
        <v>5388964</v>
      </c>
      <c r="B6799">
        <v>5388635</v>
      </c>
      <c r="C6799" t="s">
        <v>8</v>
      </c>
      <c r="D6799" t="s">
        <v>8</v>
      </c>
      <c r="E6799" s="2" t="str">
        <f>HYPERLINK("https://ibp.a2mac1.com/costing(costing:projects/details/8191/assembly/5388964)","Seat floor reinforcements")</f>
        <v>Seat floor reinforcements</v>
      </c>
      <c r="F6799" t="s">
        <v>6958</v>
      </c>
    </row>
    <row r="6800" spans="1:6" ht="12.75">
      <c r="A6800">
        <v>5389322</v>
      </c>
      <c r="B6800">
        <v>5388964</v>
      </c>
      <c r="C6800" t="s">
        <v>8</v>
      </c>
      <c r="D6800" t="s">
        <v>8</v>
      </c>
      <c r="E6800" s="2" t="str">
        <f>HYPERLINK("https://ibp.a2mac1.com/costing(costing:projects/details/8191/assembly/5389322)","Cross member 01 single main front")</f>
        <v>Cross member 01 single main front</v>
      </c>
      <c r="F6800" t="s">
        <v>7116</v>
      </c>
    </row>
    <row r="6801" spans="1:6" ht="12.75">
      <c r="A6801">
        <v>5389648</v>
      </c>
      <c r="B6801">
        <v>5389322</v>
      </c>
      <c r="C6801" t="s">
        <v>8</v>
      </c>
      <c r="D6801" t="s">
        <v>8</v>
      </c>
      <c r="E6801" s="2" t="str">
        <f>HYPERLINK("https://ibp.a2mac1.com/costing(costing:projects/details/8191/assembly/5389648)","Cross member")</f>
        <v>Cross member</v>
      </c>
      <c r="F6801" t="s">
        <v>7117</v>
      </c>
    </row>
    <row r="6802" spans="1:6" ht="12.75">
      <c r="A6802">
        <v>5389751</v>
      </c>
      <c r="B6802">
        <v>5389648</v>
      </c>
      <c r="C6802" t="s">
        <v>12</v>
      </c>
      <c r="D6802" t="s">
        <v>8</v>
      </c>
      <c r="E6802" s="2" t="str">
        <f>HYPERLINK("https://ibp.a2mac1.com/costing(costing:projects/details/8191/part/5389751)"," Part 01 single/main")</f>
        <v xml:space="preserve"> Part 01 single/main</v>
      </c>
      <c r="F6802" t="s">
        <v>7118</v>
      </c>
    </row>
    <row r="6803" spans="1:6" ht="12.75">
      <c r="A6803">
        <v>6976161</v>
      </c>
      <c r="B6803">
        <v>5389751</v>
      </c>
      <c r="C6803" t="s">
        <v>99</v>
      </c>
      <c r="D6803" t="s">
        <v>12</v>
      </c>
      <c r="E6803" s="2" t="str">
        <f>HYPERLINK("https://ibp.a2mac1.com/costing(costing:projects/details/8191/process/6976161)","MANUFACTURING  PROCESS")</f>
        <v>MANUFACTURING  PROCESS</v>
      </c>
      <c r="F6803" t="s">
        <v>7119</v>
      </c>
    </row>
    <row r="6804" spans="1:6" ht="12.75">
      <c r="A6804">
        <v>5320570</v>
      </c>
      <c r="B6804">
        <v>6976161</v>
      </c>
      <c r="C6804" t="s">
        <v>24</v>
      </c>
      <c r="D6804" t="s">
        <v>99</v>
      </c>
      <c r="E6804" s="2" t="str">
        <f>HYPERLINK("https://ibp.a2mac1.com/costing(costing:projects/details/8191/material/5320570)","Standard Structural Steel sheet")</f>
        <v>Standard Structural Steel sheet</v>
      </c>
      <c r="F6804" t="s">
        <v>7122</v>
      </c>
    </row>
    <row r="6805" spans="1:6" ht="12.75">
      <c r="A6805">
        <v>6948755</v>
      </c>
      <c r="B6805">
        <v>6976161</v>
      </c>
      <c r="C6805" t="s">
        <v>189</v>
      </c>
      <c r="D6805" t="s">
        <v>99</v>
      </c>
      <c r="E6805" s="2" t="str">
        <f>HYPERLINK("https://ibp.a2mac1.com/costing(costing:projects/details/8191/equipment/6948755)","Manufacturing Equipment")</f>
        <v>Manufacturing Equipment</v>
      </c>
      <c r="F6805" t="s">
        <v>7122</v>
      </c>
    </row>
    <row r="6806" spans="1:6" ht="12.75">
      <c r="A6806">
        <v>5389649</v>
      </c>
      <c r="B6806">
        <v>5389322</v>
      </c>
      <c r="C6806" t="s">
        <v>8</v>
      </c>
      <c r="D6806" t="s">
        <v>8</v>
      </c>
      <c r="E6806" s="2" t="str">
        <f>HYPERLINK("https://ibp.a2mac1.com/costing(costing:projects/details/8191/assembly/5389649)","Fixing parts")</f>
        <v>Fixing parts</v>
      </c>
      <c r="F6806" t="s">
        <v>7117</v>
      </c>
    </row>
    <row r="6807" spans="1:6" ht="12.75">
      <c r="A6807">
        <v>5389752</v>
      </c>
      <c r="B6807">
        <v>5389649</v>
      </c>
      <c r="C6807" t="s">
        <v>12</v>
      </c>
      <c r="D6807" t="s">
        <v>8</v>
      </c>
      <c r="E6807" s="2" t="str">
        <f>HYPERLINK("https://ibp.a2mac1.com/costing(costing:projects/details/8191/part/5389752)"," Part 01 single/main")</f>
        <v xml:space="preserve"> Part 01 single/main</v>
      </c>
      <c r="F6807" t="s">
        <v>7123</v>
      </c>
    </row>
    <row r="6808" spans="1:6" ht="12.75">
      <c r="A6808">
        <v>6976162</v>
      </c>
      <c r="B6808">
        <v>5389752</v>
      </c>
      <c r="C6808" t="s">
        <v>99</v>
      </c>
      <c r="D6808" t="s">
        <v>12</v>
      </c>
      <c r="E6808" s="2" t="str">
        <f>HYPERLINK("https://ibp.a2mac1.com/costing(costing:projects/details/8191/process/6976162)","MANUFACTURING  PROCESS")</f>
        <v>MANUFACTURING  PROCESS</v>
      </c>
      <c r="F6808" t="s">
        <v>7124</v>
      </c>
    </row>
    <row r="6809" spans="1:6" ht="12.75">
      <c r="A6809">
        <v>5320571</v>
      </c>
      <c r="B6809">
        <v>6976162</v>
      </c>
      <c r="C6809" t="s">
        <v>24</v>
      </c>
      <c r="D6809" t="s">
        <v>99</v>
      </c>
      <c r="E6809" s="2" t="str">
        <f>HYPERLINK("https://ibp.a2mac1.com/costing(costing:projects/details/8191/material/5320571)","Standard Structural Steel sheet")</f>
        <v>Standard Structural Steel sheet</v>
      </c>
      <c r="F6809" t="s">
        <v>7125</v>
      </c>
    </row>
    <row r="6810" spans="1:6" ht="12.75">
      <c r="A6810">
        <v>6948756</v>
      </c>
      <c r="B6810">
        <v>6976162</v>
      </c>
      <c r="C6810" t="s">
        <v>189</v>
      </c>
      <c r="D6810" t="s">
        <v>99</v>
      </c>
      <c r="E6810" s="2" t="str">
        <f>HYPERLINK("https://ibp.a2mac1.com/costing(costing:projects/details/8191/equipment/6948756)","Manufacturing Equipment")</f>
        <v>Manufacturing Equipment</v>
      </c>
      <c r="F6810" t="s">
        <v>7125</v>
      </c>
    </row>
    <row r="6811" spans="1:6" ht="12.75">
      <c r="A6811">
        <v>5389753</v>
      </c>
      <c r="B6811">
        <v>5389649</v>
      </c>
      <c r="C6811" t="s">
        <v>12</v>
      </c>
      <c r="D6811" t="s">
        <v>8</v>
      </c>
      <c r="E6811" s="2" t="str">
        <f>HYPERLINK("https://ibp.a2mac1.com/costing(costing:projects/details/8191/part/5389753)"," Part 02")</f>
        <v xml:space="preserve"> Part 02</v>
      </c>
      <c r="F6811" t="s">
        <v>7123</v>
      </c>
    </row>
    <row r="6812" spans="1:6" ht="12.75">
      <c r="A6812">
        <v>6976163</v>
      </c>
      <c r="B6812">
        <v>5389753</v>
      </c>
      <c r="C6812" t="s">
        <v>99</v>
      </c>
      <c r="D6812" t="s">
        <v>12</v>
      </c>
      <c r="E6812" s="2" t="str">
        <f>HYPERLINK("https://ibp.a2mac1.com/costing(costing:projects/details/8191/process/6976163)","MANUFACTURING  PROCESS")</f>
        <v>MANUFACTURING  PROCESS</v>
      </c>
      <c r="F6812" t="s">
        <v>7126</v>
      </c>
    </row>
    <row r="6813" spans="1:6" ht="12.75">
      <c r="A6813">
        <v>5320572</v>
      </c>
      <c r="B6813">
        <v>6976163</v>
      </c>
      <c r="C6813" t="s">
        <v>24</v>
      </c>
      <c r="D6813" t="s">
        <v>99</v>
      </c>
      <c r="E6813" s="2" t="str">
        <f>HYPERLINK("https://ibp.a2mac1.com/costing(costing:projects/details/8191/material/5320572)","Standard Structural Steel sheet")</f>
        <v>Standard Structural Steel sheet</v>
      </c>
      <c r="F6813" t="s">
        <v>7127</v>
      </c>
    </row>
    <row r="6814" spans="1:6" ht="12.75">
      <c r="A6814">
        <v>6948757</v>
      </c>
      <c r="B6814">
        <v>6976163</v>
      </c>
      <c r="C6814" t="s">
        <v>189</v>
      </c>
      <c r="D6814" t="s">
        <v>99</v>
      </c>
      <c r="E6814" s="2" t="str">
        <f>HYPERLINK("https://ibp.a2mac1.com/costing(costing:projects/details/8191/equipment/6948757)","Manufacturing Equipment")</f>
        <v>Manufacturing Equipment</v>
      </c>
      <c r="F6814" t="s">
        <v>7127</v>
      </c>
    </row>
    <row r="6815" spans="1:6" ht="12.75">
      <c r="A6815">
        <v>5389754</v>
      </c>
      <c r="B6815">
        <v>5389649</v>
      </c>
      <c r="C6815" t="s">
        <v>12</v>
      </c>
      <c r="D6815" t="s">
        <v>8</v>
      </c>
      <c r="E6815" s="2" t="str">
        <f>HYPERLINK("https://ibp.a2mac1.com/costing(costing:projects/details/8191/part/5389754)"," Part 03")</f>
        <v xml:space="preserve"> Part 03</v>
      </c>
      <c r="F6815" t="s">
        <v>7123</v>
      </c>
    </row>
    <row r="6816" spans="1:6" ht="12.75">
      <c r="A6816">
        <v>6976164</v>
      </c>
      <c r="B6816">
        <v>5389754</v>
      </c>
      <c r="C6816" t="s">
        <v>99</v>
      </c>
      <c r="D6816" t="s">
        <v>12</v>
      </c>
      <c r="E6816" s="2" t="str">
        <f>HYPERLINK("https://ibp.a2mac1.com/costing(costing:projects/details/8191/process/6976164)","MANUFACTURING  PROCESS")</f>
        <v>MANUFACTURING  PROCESS</v>
      </c>
      <c r="F6816" t="s">
        <v>7128</v>
      </c>
    </row>
    <row r="6817" spans="1:6" ht="12.75">
      <c r="A6817">
        <v>5320573</v>
      </c>
      <c r="B6817">
        <v>6976164</v>
      </c>
      <c r="C6817" t="s">
        <v>24</v>
      </c>
      <c r="D6817" t="s">
        <v>99</v>
      </c>
      <c r="E6817" s="2" t="str">
        <f>HYPERLINK("https://ibp.a2mac1.com/costing(costing:projects/details/8191/material/5320573)","Standard Structural Steel sheet")</f>
        <v>Standard Structural Steel sheet</v>
      </c>
      <c r="F6817" t="s">
        <v>7129</v>
      </c>
    </row>
    <row r="6818" spans="1:6" ht="12.75">
      <c r="A6818">
        <v>6948758</v>
      </c>
      <c r="B6818">
        <v>6976164</v>
      </c>
      <c r="C6818" t="s">
        <v>189</v>
      </c>
      <c r="D6818" t="s">
        <v>99</v>
      </c>
      <c r="E6818" s="2" t="str">
        <f>HYPERLINK("https://ibp.a2mac1.com/costing(costing:projects/details/8191/equipment/6948758)","Manufacturing Equipment")</f>
        <v>Manufacturing Equipment</v>
      </c>
      <c r="F6818" t="s">
        <v>7129</v>
      </c>
    </row>
    <row r="6819" spans="1:6" ht="12.75">
      <c r="A6819">
        <v>5389755</v>
      </c>
      <c r="B6819">
        <v>5389649</v>
      </c>
      <c r="C6819" t="s">
        <v>12</v>
      </c>
      <c r="D6819" t="s">
        <v>8</v>
      </c>
      <c r="E6819" s="2" t="str">
        <f>HYPERLINK("https://ibp.a2mac1.com/costing(costing:projects/details/8191/part/5389755)","Part 04")</f>
        <v>Part 04</v>
      </c>
      <c r="F6819" t="s">
        <v>7123</v>
      </c>
    </row>
    <row r="6820" spans="1:6" ht="12.75">
      <c r="A6820">
        <v>6976165</v>
      </c>
      <c r="B6820">
        <v>5389755</v>
      </c>
      <c r="C6820" t="s">
        <v>99</v>
      </c>
      <c r="D6820" t="s">
        <v>12</v>
      </c>
      <c r="E6820" s="2" t="str">
        <f>HYPERLINK("https://ibp.a2mac1.com/costing(costing:projects/details/8191/process/6976165)","MANUFACTURING  PROCESS")</f>
        <v>MANUFACTURING  PROCESS</v>
      </c>
      <c r="F6820" t="s">
        <v>7130</v>
      </c>
    </row>
    <row r="6821" spans="1:6" ht="12.75">
      <c r="A6821">
        <v>5320574</v>
      </c>
      <c r="B6821">
        <v>6976165</v>
      </c>
      <c r="C6821" t="s">
        <v>24</v>
      </c>
      <c r="D6821" t="s">
        <v>99</v>
      </c>
      <c r="E6821" s="2" t="str">
        <f>HYPERLINK("https://ibp.a2mac1.com/costing(costing:projects/details/8191/material/5320574)","Standard Structural Steel sheet")</f>
        <v>Standard Structural Steel sheet</v>
      </c>
      <c r="F6821" t="s">
        <v>7131</v>
      </c>
    </row>
    <row r="6822" spans="1:6" ht="12.75">
      <c r="A6822">
        <v>6948759</v>
      </c>
      <c r="B6822">
        <v>6976165</v>
      </c>
      <c r="C6822" t="s">
        <v>189</v>
      </c>
      <c r="D6822" t="s">
        <v>99</v>
      </c>
      <c r="E6822" s="2" t="str">
        <f>HYPERLINK("https://ibp.a2mac1.com/costing(costing:projects/details/8191/equipment/6948759)","Manufacturing Equipment")</f>
        <v>Manufacturing Equipment</v>
      </c>
      <c r="F6822" t="s">
        <v>7131</v>
      </c>
    </row>
    <row r="6823" spans="1:6" ht="12.75">
      <c r="A6823">
        <v>5388965</v>
      </c>
      <c r="B6823">
        <v>5388635</v>
      </c>
      <c r="C6823" t="s">
        <v>8</v>
      </c>
      <c r="D6823" t="s">
        <v>8</v>
      </c>
      <c r="E6823" s="2" t="str">
        <f>HYPERLINK("https://ibp.a2mac1.com/costing(costing:projects/details/8191/assembly/5388965)","Load floor reinforcements")</f>
        <v>Load floor reinforcements</v>
      </c>
      <c r="F6823" t="s">
        <v>6958</v>
      </c>
    </row>
    <row r="6824" spans="1:6" ht="12.75">
      <c r="A6824">
        <v>5389323</v>
      </c>
      <c r="B6824">
        <v>5388965</v>
      </c>
      <c r="C6824" t="s">
        <v>8</v>
      </c>
      <c r="D6824" t="s">
        <v>8</v>
      </c>
      <c r="E6824" s="2" t="str">
        <f>HYPERLINK("https://ibp.a2mac1.com/costing(costing:projects/details/8191/assembly/5389323)","Cross member 01 single main front")</f>
        <v>Cross member 01 single main front</v>
      </c>
      <c r="F6824" t="s">
        <v>7132</v>
      </c>
    </row>
    <row r="6825" spans="1:6" ht="12.75">
      <c r="A6825">
        <v>5389650</v>
      </c>
      <c r="B6825">
        <v>5389323</v>
      </c>
      <c r="C6825" t="s">
        <v>8</v>
      </c>
      <c r="D6825" t="s">
        <v>8</v>
      </c>
      <c r="E6825" s="2" t="str">
        <f>HYPERLINK("https://ibp.a2mac1.com/costing(costing:projects/details/8191/assembly/5389650)","Cross member")</f>
        <v>Cross member</v>
      </c>
      <c r="F6825" t="s">
        <v>7133</v>
      </c>
    </row>
    <row r="6826" spans="1:6" ht="12.75">
      <c r="A6826">
        <v>5389756</v>
      </c>
      <c r="B6826">
        <v>5389650</v>
      </c>
      <c r="C6826" t="s">
        <v>12</v>
      </c>
      <c r="D6826" t="s">
        <v>8</v>
      </c>
      <c r="E6826" s="2" t="str">
        <f>HYPERLINK("https://ibp.a2mac1.com/costing(costing:projects/details/8191/part/5389756)","Part 01 single/main")</f>
        <v>Part 01 single/main</v>
      </c>
      <c r="F6826" t="s">
        <v>7134</v>
      </c>
    </row>
    <row r="6827" spans="1:6" ht="12.75">
      <c r="A6827">
        <v>6976166</v>
      </c>
      <c r="B6827">
        <v>5389756</v>
      </c>
      <c r="C6827" t="s">
        <v>99</v>
      </c>
      <c r="D6827" t="s">
        <v>12</v>
      </c>
      <c r="E6827" s="2" t="str">
        <f>HYPERLINK("https://ibp.a2mac1.com/costing(costing:projects/details/8191/process/6976166)","MANUFACTURING  PROCESS")</f>
        <v>MANUFACTURING  PROCESS</v>
      </c>
      <c r="F6827" t="s">
        <v>7135</v>
      </c>
    </row>
    <row r="6828" spans="1:6" ht="12.75">
      <c r="A6828">
        <v>5320575</v>
      </c>
      <c r="B6828">
        <v>6976166</v>
      </c>
      <c r="C6828" t="s">
        <v>24</v>
      </c>
      <c r="D6828" t="s">
        <v>99</v>
      </c>
      <c r="E6828" s="2" t="str">
        <f>HYPERLINK("https://ibp.a2mac1.com/costing(costing:projects/details/8191/material/5320575)","Standard Structural Steel sheet")</f>
        <v>Standard Structural Steel sheet</v>
      </c>
      <c r="F6828" t="s">
        <v>7138</v>
      </c>
    </row>
    <row r="6829" spans="1:6" ht="12.75">
      <c r="A6829">
        <v>6948760</v>
      </c>
      <c r="B6829">
        <v>6976166</v>
      </c>
      <c r="C6829" t="s">
        <v>189</v>
      </c>
      <c r="D6829" t="s">
        <v>99</v>
      </c>
      <c r="E6829" s="2" t="str">
        <f>HYPERLINK("https://ibp.a2mac1.com/costing(costing:projects/details/8191/equipment/6948760)","Manufacturing Equipment")</f>
        <v>Manufacturing Equipment</v>
      </c>
      <c r="F6829" t="s">
        <v>7138</v>
      </c>
    </row>
    <row r="6830" spans="1:6" ht="12.75">
      <c r="A6830">
        <v>5389651</v>
      </c>
      <c r="B6830">
        <v>5389323</v>
      </c>
      <c r="C6830" t="s">
        <v>8</v>
      </c>
      <c r="D6830" t="s">
        <v>8</v>
      </c>
      <c r="E6830" s="2" t="str">
        <f>HYPERLINK("https://ibp.a2mac1.com/costing(costing:projects/details/8191/assembly/5389651)","Gussets")</f>
        <v>Gussets</v>
      </c>
      <c r="F6830" t="s">
        <v>7133</v>
      </c>
    </row>
    <row r="6831" spans="1:6" ht="12.75">
      <c r="A6831">
        <v>5389757</v>
      </c>
      <c r="B6831">
        <v>5389651</v>
      </c>
      <c r="C6831" t="s">
        <v>12</v>
      </c>
      <c r="D6831" t="s">
        <v>8</v>
      </c>
      <c r="E6831" s="2" t="str">
        <f>HYPERLINK("https://ibp.a2mac1.com/costing(costing:projects/details/8191/part/5389757)","Part 01 single/main")</f>
        <v>Part 01 single/main</v>
      </c>
      <c r="F6831" t="s">
        <v>7139</v>
      </c>
    </row>
    <row r="6832" spans="1:6" ht="12.75">
      <c r="A6832">
        <v>6976167</v>
      </c>
      <c r="B6832">
        <v>5389757</v>
      </c>
      <c r="C6832" t="s">
        <v>99</v>
      </c>
      <c r="D6832" t="s">
        <v>12</v>
      </c>
      <c r="E6832" s="2" t="str">
        <f>HYPERLINK("https://ibp.a2mac1.com/costing(costing:projects/details/8191/process/6976167)","MANUFACTURING  PROCESS")</f>
        <v>MANUFACTURING  PROCESS</v>
      </c>
      <c r="F6832" t="s">
        <v>7140</v>
      </c>
    </row>
    <row r="6833" spans="1:6" ht="12.75">
      <c r="A6833">
        <v>5320576</v>
      </c>
      <c r="B6833">
        <v>6976167</v>
      </c>
      <c r="C6833" t="s">
        <v>24</v>
      </c>
      <c r="D6833" t="s">
        <v>99</v>
      </c>
      <c r="E6833" s="2" t="str">
        <f>HYPERLINK("https://ibp.a2mac1.com/costing(costing:projects/details/8191/material/5320576)","Standard Structural Steel sheet")</f>
        <v>Standard Structural Steel sheet</v>
      </c>
      <c r="F6833" t="s">
        <v>7143</v>
      </c>
    </row>
    <row r="6834" spans="1:6" ht="12.75">
      <c r="A6834">
        <v>6948761</v>
      </c>
      <c r="B6834">
        <v>6976167</v>
      </c>
      <c r="C6834" t="s">
        <v>189</v>
      </c>
      <c r="D6834" t="s">
        <v>99</v>
      </c>
      <c r="E6834" s="2" t="str">
        <f>HYPERLINK("https://ibp.a2mac1.com/costing(costing:projects/details/8191/equipment/6948761)","Manufacturing Equipment")</f>
        <v>Manufacturing Equipment</v>
      </c>
      <c r="F6834" t="s">
        <v>7143</v>
      </c>
    </row>
    <row r="6835" spans="1:6" ht="12.75">
      <c r="A6835">
        <v>5389652</v>
      </c>
      <c r="B6835">
        <v>5389323</v>
      </c>
      <c r="C6835" t="s">
        <v>8</v>
      </c>
      <c r="D6835" t="s">
        <v>8</v>
      </c>
      <c r="E6835" s="2" t="str">
        <f>HYPERLINK("https://ibp.a2mac1.com/costing(costing:projects/details/8191/assembly/5389652)","Spacers")</f>
        <v>Spacers</v>
      </c>
      <c r="F6835" t="s">
        <v>7133</v>
      </c>
    </row>
    <row r="6836" spans="1:6" ht="12.75">
      <c r="A6836">
        <v>5389758</v>
      </c>
      <c r="B6836">
        <v>5389652</v>
      </c>
      <c r="C6836" t="s">
        <v>12</v>
      </c>
      <c r="D6836" t="s">
        <v>8</v>
      </c>
      <c r="E6836" s="2" t="str">
        <f>HYPERLINK("https://ibp.a2mac1.com/costing(costing:projects/details/8191/part/5389758)","Part 01 single/main")</f>
        <v>Part 01 single/main</v>
      </c>
      <c r="F6836" t="s">
        <v>7144</v>
      </c>
    </row>
    <row r="6837" spans="1:6" ht="12.75">
      <c r="A6837">
        <v>6976168</v>
      </c>
      <c r="B6837">
        <v>5389758</v>
      </c>
      <c r="C6837" t="s">
        <v>99</v>
      </c>
      <c r="D6837" t="s">
        <v>12</v>
      </c>
      <c r="E6837" s="2" t="str">
        <f>HYPERLINK("https://ibp.a2mac1.com/costing(costing:projects/details/8191/process/6976168)","MANUFACTURING  PROCESS")</f>
        <v>MANUFACTURING  PROCESS</v>
      </c>
      <c r="F6837" t="s">
        <v>7145</v>
      </c>
    </row>
    <row r="6838" spans="1:6" ht="12.75">
      <c r="A6838">
        <v>5320577</v>
      </c>
      <c r="B6838">
        <v>6976168</v>
      </c>
      <c r="C6838" t="s">
        <v>24</v>
      </c>
      <c r="D6838" t="s">
        <v>99</v>
      </c>
      <c r="E6838" s="2" t="str">
        <f>HYPERLINK("https://ibp.a2mac1.com/costing(costing:projects/details/8191/material/5320577)","Standard Structural Steel sheet")</f>
        <v>Standard Structural Steel sheet</v>
      </c>
      <c r="F6838" t="s">
        <v>7147</v>
      </c>
    </row>
    <row r="6839" spans="1:6" ht="12.75">
      <c r="A6839">
        <v>6948762</v>
      </c>
      <c r="B6839">
        <v>6976168</v>
      </c>
      <c r="C6839" t="s">
        <v>189</v>
      </c>
      <c r="D6839" t="s">
        <v>99</v>
      </c>
      <c r="E6839" s="2" t="str">
        <f>HYPERLINK("https://ibp.a2mac1.com/costing(costing:projects/details/8191/equipment/6948762)","Manufacturing Equipment")</f>
        <v>Manufacturing Equipment</v>
      </c>
      <c r="F6839" t="s">
        <v>7147</v>
      </c>
    </row>
    <row r="6840" spans="1:6" ht="12.75">
      <c r="A6840">
        <v>5389759</v>
      </c>
      <c r="B6840">
        <v>5389652</v>
      </c>
      <c r="C6840" t="s">
        <v>12</v>
      </c>
      <c r="D6840" t="s">
        <v>8</v>
      </c>
      <c r="E6840" s="2" t="str">
        <f>HYPERLINK("https://ibp.a2mac1.com/costing(costing:projects/details/8191/part/5389759)"," Part 02")</f>
        <v xml:space="preserve"> Part 02</v>
      </c>
      <c r="F6840" t="s">
        <v>7144</v>
      </c>
    </row>
    <row r="6841" spans="1:6" ht="12.75">
      <c r="A6841">
        <v>6976169</v>
      </c>
      <c r="B6841">
        <v>5389759</v>
      </c>
      <c r="C6841" t="s">
        <v>99</v>
      </c>
      <c r="D6841" t="s">
        <v>12</v>
      </c>
      <c r="E6841" s="2" t="str">
        <f>HYPERLINK("https://ibp.a2mac1.com/costing(costing:projects/details/8191/process/6976169)","MANUFACTURING  PROCESS")</f>
        <v>MANUFACTURING  PROCESS</v>
      </c>
      <c r="F6841" t="s">
        <v>7148</v>
      </c>
    </row>
    <row r="6842" spans="1:6" ht="12.75">
      <c r="A6842">
        <v>5320578</v>
      </c>
      <c r="B6842">
        <v>6976169</v>
      </c>
      <c r="C6842" t="s">
        <v>24</v>
      </c>
      <c r="D6842" t="s">
        <v>99</v>
      </c>
      <c r="E6842" s="2" t="str">
        <f>HYPERLINK("https://ibp.a2mac1.com/costing(costing:projects/details/8191/material/5320578)","Standard Structural Steel sheet")</f>
        <v>Standard Structural Steel sheet</v>
      </c>
      <c r="F6842" t="s">
        <v>7149</v>
      </c>
    </row>
    <row r="6843" spans="1:6" ht="12.75">
      <c r="A6843">
        <v>6948763</v>
      </c>
      <c r="B6843">
        <v>6976169</v>
      </c>
      <c r="C6843" t="s">
        <v>189</v>
      </c>
      <c r="D6843" t="s">
        <v>99</v>
      </c>
      <c r="E6843" s="2" t="str">
        <f>HYPERLINK("https://ibp.a2mac1.com/costing(costing:projects/details/8191/equipment/6948763)","Manufacturing Equipment")</f>
        <v>Manufacturing Equipment</v>
      </c>
      <c r="F6843" t="s">
        <v>7149</v>
      </c>
    </row>
    <row r="6844" spans="1:6" ht="12.75">
      <c r="A6844">
        <v>5389324</v>
      </c>
      <c r="B6844">
        <v>5388965</v>
      </c>
      <c r="C6844" t="s">
        <v>8</v>
      </c>
      <c r="D6844" t="s">
        <v>8</v>
      </c>
      <c r="E6844" s="2" t="str">
        <f>HYPERLINK("https://ibp.a2mac1.com/costing(costing:projects/details/8191/assembly/5389324)","Cross member 02")</f>
        <v>Cross member 02</v>
      </c>
      <c r="F6844" t="s">
        <v>7132</v>
      </c>
    </row>
    <row r="6845" spans="1:6" ht="12.75">
      <c r="A6845">
        <v>5389653</v>
      </c>
      <c r="B6845">
        <v>5389324</v>
      </c>
      <c r="C6845" t="s">
        <v>8</v>
      </c>
      <c r="D6845" t="s">
        <v>8</v>
      </c>
      <c r="E6845" s="2" t="str">
        <f>HYPERLINK("https://ibp.a2mac1.com/costing(costing:projects/details/8191/assembly/5389653)","Cross member")</f>
        <v>Cross member</v>
      </c>
      <c r="F6845" t="s">
        <v>7150</v>
      </c>
    </row>
    <row r="6846" spans="1:6" ht="12.75">
      <c r="A6846">
        <v>5389760</v>
      </c>
      <c r="B6846">
        <v>5389653</v>
      </c>
      <c r="C6846" t="s">
        <v>12</v>
      </c>
      <c r="D6846" t="s">
        <v>8</v>
      </c>
      <c r="E6846" s="2" t="str">
        <f>HYPERLINK("https://ibp.a2mac1.com/costing(costing:projects/details/8191/part/5389760)","Part 01 single/main")</f>
        <v>Part 01 single/main</v>
      </c>
      <c r="F6846" t="s">
        <v>7151</v>
      </c>
    </row>
    <row r="6847" spans="1:6" ht="12.75">
      <c r="A6847">
        <v>6976170</v>
      </c>
      <c r="B6847">
        <v>5389760</v>
      </c>
      <c r="C6847" t="s">
        <v>99</v>
      </c>
      <c r="D6847" t="s">
        <v>12</v>
      </c>
      <c r="E6847" s="2" t="str">
        <f>HYPERLINK("https://ibp.a2mac1.com/costing(costing:projects/details/8191/process/6976170)","MANUFACTURING  PROCESS")</f>
        <v>MANUFACTURING  PROCESS</v>
      </c>
      <c r="F6847" t="s">
        <v>7152</v>
      </c>
    </row>
    <row r="6848" spans="1:6" ht="12.75">
      <c r="A6848">
        <v>5320579</v>
      </c>
      <c r="B6848">
        <v>6976170</v>
      </c>
      <c r="C6848" t="s">
        <v>24</v>
      </c>
      <c r="D6848" t="s">
        <v>99</v>
      </c>
      <c r="E6848" s="2" t="str">
        <f>HYPERLINK("https://ibp.a2mac1.com/costing(costing:projects/details/8191/material/5320579)","Standard Structural Steel sheet")</f>
        <v>Standard Structural Steel sheet</v>
      </c>
      <c r="F6848" t="s">
        <v>7155</v>
      </c>
    </row>
    <row r="6849" spans="1:6" ht="12.75">
      <c r="A6849">
        <v>6948764</v>
      </c>
      <c r="B6849">
        <v>6976170</v>
      </c>
      <c r="C6849" t="s">
        <v>189</v>
      </c>
      <c r="D6849" t="s">
        <v>99</v>
      </c>
      <c r="E6849" s="2" t="str">
        <f>HYPERLINK("https://ibp.a2mac1.com/costing(costing:projects/details/8191/equipment/6948764)","Manufacturing Equipment")</f>
        <v>Manufacturing Equipment</v>
      </c>
      <c r="F6849" t="s">
        <v>7155</v>
      </c>
    </row>
    <row r="6850" spans="1:6" ht="12.75">
      <c r="A6850">
        <v>5389654</v>
      </c>
      <c r="B6850">
        <v>5389324</v>
      </c>
      <c r="C6850" t="s">
        <v>8</v>
      </c>
      <c r="D6850" t="s">
        <v>8</v>
      </c>
      <c r="E6850" s="2" t="str">
        <f>HYPERLINK("https://ibp.a2mac1.com/costing(costing:projects/details/8191/assembly/5389654)","Gussets")</f>
        <v>Gussets</v>
      </c>
      <c r="F6850" t="s">
        <v>7150</v>
      </c>
    </row>
    <row r="6851" spans="1:6" ht="12.75">
      <c r="A6851">
        <v>5389761</v>
      </c>
      <c r="B6851">
        <v>5389654</v>
      </c>
      <c r="C6851" t="s">
        <v>12</v>
      </c>
      <c r="D6851" t="s">
        <v>8</v>
      </c>
      <c r="E6851" s="2" t="str">
        <f>HYPERLINK("https://ibp.a2mac1.com/costing(costing:projects/details/8191/part/5389761)","Part 01 single/main")</f>
        <v>Part 01 single/main</v>
      </c>
      <c r="F6851" t="s">
        <v>7156</v>
      </c>
    </row>
    <row r="6852" spans="1:6" ht="12.75">
      <c r="A6852">
        <v>6976171</v>
      </c>
      <c r="B6852">
        <v>5389761</v>
      </c>
      <c r="C6852" t="s">
        <v>99</v>
      </c>
      <c r="D6852" t="s">
        <v>12</v>
      </c>
      <c r="E6852" s="2" t="str">
        <f>HYPERLINK("https://ibp.a2mac1.com/costing(costing:projects/details/8191/process/6976171)","MANUFACTURING  PROCESS")</f>
        <v>MANUFACTURING  PROCESS</v>
      </c>
      <c r="F6852" t="s">
        <v>7157</v>
      </c>
    </row>
    <row r="6853" spans="1:6" ht="12.75">
      <c r="A6853">
        <v>5320580</v>
      </c>
      <c r="B6853">
        <v>6976171</v>
      </c>
      <c r="C6853" t="s">
        <v>24</v>
      </c>
      <c r="D6853" t="s">
        <v>99</v>
      </c>
      <c r="E6853" s="2" t="str">
        <f>HYPERLINK("https://ibp.a2mac1.com/costing(costing:projects/details/8191/material/5320580)","Standard Structural Steel sheet")</f>
        <v>Standard Structural Steel sheet</v>
      </c>
      <c r="F6853" t="s">
        <v>7159</v>
      </c>
    </row>
    <row r="6854" spans="1:6" ht="12.75">
      <c r="A6854">
        <v>6948765</v>
      </c>
      <c r="B6854">
        <v>6976171</v>
      </c>
      <c r="C6854" t="s">
        <v>189</v>
      </c>
      <c r="D6854" t="s">
        <v>99</v>
      </c>
      <c r="E6854" s="2" t="str">
        <f>HYPERLINK("https://ibp.a2mac1.com/costing(costing:projects/details/8191/equipment/6948765)","Manufacturing Equipment")</f>
        <v>Manufacturing Equipment</v>
      </c>
      <c r="F6854" t="s">
        <v>7159</v>
      </c>
    </row>
    <row r="6855" spans="1:6" ht="12.75">
      <c r="A6855">
        <v>5389655</v>
      </c>
      <c r="B6855">
        <v>5389324</v>
      </c>
      <c r="C6855" t="s">
        <v>8</v>
      </c>
      <c r="D6855" t="s">
        <v>8</v>
      </c>
      <c r="E6855" s="2" t="str">
        <f>HYPERLINK("https://ibp.a2mac1.com/costing(costing:projects/details/8191/assembly/5389655)","Fixing parts")</f>
        <v>Fixing parts</v>
      </c>
      <c r="F6855" t="s">
        <v>7150</v>
      </c>
    </row>
    <row r="6856" spans="1:6" ht="12.75">
      <c r="A6856">
        <v>5389762</v>
      </c>
      <c r="B6856">
        <v>5389655</v>
      </c>
      <c r="C6856" t="s">
        <v>12</v>
      </c>
      <c r="D6856" t="s">
        <v>8</v>
      </c>
      <c r="E6856" s="2" t="str">
        <f>HYPERLINK("https://ibp.a2mac1.com/costing(costing:projects/details/8191/part/5389762)"," Part 01 single/main")</f>
        <v xml:space="preserve"> Part 01 single/main</v>
      </c>
      <c r="F6856" t="s">
        <v>7160</v>
      </c>
    </row>
    <row r="6857" spans="1:6" ht="12.75">
      <c r="A6857">
        <v>6976172</v>
      </c>
      <c r="B6857">
        <v>5389762</v>
      </c>
      <c r="C6857" t="s">
        <v>99</v>
      </c>
      <c r="D6857" t="s">
        <v>12</v>
      </c>
      <c r="E6857" s="2" t="str">
        <f>HYPERLINK("https://ibp.a2mac1.com/costing(costing:projects/details/8191/process/6976172)","MANUFACTURING  PROCESS")</f>
        <v>MANUFACTURING  PROCESS</v>
      </c>
      <c r="F6857" t="s">
        <v>7161</v>
      </c>
    </row>
    <row r="6858" spans="1:6" ht="12.75">
      <c r="A6858">
        <v>5320581</v>
      </c>
      <c r="B6858">
        <v>6976172</v>
      </c>
      <c r="C6858" t="s">
        <v>24</v>
      </c>
      <c r="D6858" t="s">
        <v>99</v>
      </c>
      <c r="E6858" s="2" t="str">
        <f>HYPERLINK("https://ibp.a2mac1.com/costing(costing:projects/details/8191/material/5320581)","Standard Structural Steel sheet")</f>
        <v>Standard Structural Steel sheet</v>
      </c>
      <c r="F6858" t="s">
        <v>7164</v>
      </c>
    </row>
    <row r="6859" spans="1:6" ht="12.75">
      <c r="A6859">
        <v>6948766</v>
      </c>
      <c r="B6859">
        <v>6976172</v>
      </c>
      <c r="C6859" t="s">
        <v>189</v>
      </c>
      <c r="D6859" t="s">
        <v>99</v>
      </c>
      <c r="E6859" s="2" t="str">
        <f>HYPERLINK("https://ibp.a2mac1.com/costing(costing:projects/details/8191/equipment/6948766)","Manufacturing Equipment")</f>
        <v>Manufacturing Equipment</v>
      </c>
      <c r="F6859" t="s">
        <v>7164</v>
      </c>
    </row>
    <row r="6860" spans="1:6" ht="12.75">
      <c r="A6860">
        <v>5389763</v>
      </c>
      <c r="B6860">
        <v>5389655</v>
      </c>
      <c r="C6860" t="s">
        <v>12</v>
      </c>
      <c r="D6860" t="s">
        <v>8</v>
      </c>
      <c r="E6860" s="2" t="str">
        <f>HYPERLINK("https://ibp.a2mac1.com/costing(costing:projects/details/8191/part/5389763)"," Part 02")</f>
        <v xml:space="preserve"> Part 02</v>
      </c>
      <c r="F6860" t="s">
        <v>7160</v>
      </c>
    </row>
    <row r="6861" spans="1:6" ht="12.75">
      <c r="A6861">
        <v>6976173</v>
      </c>
      <c r="B6861">
        <v>5389763</v>
      </c>
      <c r="C6861" t="s">
        <v>99</v>
      </c>
      <c r="D6861" t="s">
        <v>12</v>
      </c>
      <c r="E6861" s="2" t="str">
        <f>HYPERLINK("https://ibp.a2mac1.com/costing(costing:projects/details/8191/process/6976173)","MANUFACTURING  PROCESS")</f>
        <v>MANUFACTURING  PROCESS</v>
      </c>
      <c r="F6861" t="s">
        <v>7165</v>
      </c>
    </row>
    <row r="6862" spans="1:6" ht="12.75">
      <c r="A6862">
        <v>5320582</v>
      </c>
      <c r="B6862">
        <v>6976173</v>
      </c>
      <c r="C6862" t="s">
        <v>24</v>
      </c>
      <c r="D6862" t="s">
        <v>99</v>
      </c>
      <c r="E6862" s="2" t="str">
        <f>HYPERLINK("https://ibp.a2mac1.com/costing(costing:projects/details/8191/material/5320582)","Standard Structural Steel sheet")</f>
        <v>Standard Structural Steel sheet</v>
      </c>
      <c r="F6862" t="s">
        <v>7167</v>
      </c>
    </row>
    <row r="6863" spans="1:6" ht="12.75">
      <c r="A6863">
        <v>6948767</v>
      </c>
      <c r="B6863">
        <v>6976173</v>
      </c>
      <c r="C6863" t="s">
        <v>189</v>
      </c>
      <c r="D6863" t="s">
        <v>99</v>
      </c>
      <c r="E6863" s="2" t="str">
        <f>HYPERLINK("https://ibp.a2mac1.com/costing(costing:projects/details/8191/equipment/6948767)","Manufacturing Equipment")</f>
        <v>Manufacturing Equipment</v>
      </c>
      <c r="F6863" t="s">
        <v>7167</v>
      </c>
    </row>
    <row r="6864" spans="1:6" ht="12.75">
      <c r="A6864">
        <v>5389764</v>
      </c>
      <c r="B6864">
        <v>5389655</v>
      </c>
      <c r="C6864" t="s">
        <v>12</v>
      </c>
      <c r="D6864" t="s">
        <v>8</v>
      </c>
      <c r="E6864" s="2" t="str">
        <f>HYPERLINK("https://ibp.a2mac1.com/costing(costing:projects/details/8191/part/5389764)"," Part 03")</f>
        <v xml:space="preserve"> Part 03</v>
      </c>
      <c r="F6864" t="s">
        <v>7160</v>
      </c>
    </row>
    <row r="6865" spans="1:6" ht="12.75">
      <c r="A6865">
        <v>6976174</v>
      </c>
      <c r="B6865">
        <v>5389764</v>
      </c>
      <c r="C6865" t="s">
        <v>99</v>
      </c>
      <c r="D6865" t="s">
        <v>12</v>
      </c>
      <c r="E6865" s="2" t="str">
        <f>HYPERLINK("https://ibp.a2mac1.com/costing(costing:projects/details/8191/process/6976174)","MANUFACTURING  PROCESS")</f>
        <v>MANUFACTURING  PROCESS</v>
      </c>
      <c r="F6865" t="s">
        <v>7168</v>
      </c>
    </row>
    <row r="6866" spans="1:6" ht="12.75">
      <c r="A6866">
        <v>5320583</v>
      </c>
      <c r="B6866">
        <v>6976174</v>
      </c>
      <c r="C6866" t="s">
        <v>24</v>
      </c>
      <c r="D6866" t="s">
        <v>99</v>
      </c>
      <c r="E6866" s="2" t="str">
        <f>HYPERLINK("https://ibp.a2mac1.com/costing(costing:projects/details/8191/material/5320583)","Standard Structural Steel sheet")</f>
        <v>Standard Structural Steel sheet</v>
      </c>
      <c r="F6866" t="s">
        <v>7169</v>
      </c>
    </row>
    <row r="6867" spans="1:6" ht="12.75">
      <c r="A6867">
        <v>6948768</v>
      </c>
      <c r="B6867">
        <v>6976174</v>
      </c>
      <c r="C6867" t="s">
        <v>189</v>
      </c>
      <c r="D6867" t="s">
        <v>99</v>
      </c>
      <c r="E6867" s="2" t="str">
        <f>HYPERLINK("https://ibp.a2mac1.com/costing(costing:projects/details/8191/equipment/6948768)","Manufacturing Equipment")</f>
        <v>Manufacturing Equipment</v>
      </c>
      <c r="F6867" t="s">
        <v>7169</v>
      </c>
    </row>
    <row r="6868" spans="1:6" ht="12.75">
      <c r="A6868">
        <v>5389765</v>
      </c>
      <c r="B6868">
        <v>5389655</v>
      </c>
      <c r="C6868" t="s">
        <v>12</v>
      </c>
      <c r="D6868" t="s">
        <v>8</v>
      </c>
      <c r="E6868" s="2" t="str">
        <f>HYPERLINK("https://ibp.a2mac1.com/costing(costing:projects/details/8191/part/5389765)"," Part 04")</f>
        <v xml:space="preserve"> Part 04</v>
      </c>
      <c r="F6868" t="s">
        <v>7160</v>
      </c>
    </row>
    <row r="6869" spans="1:6" ht="12.75">
      <c r="A6869">
        <v>6976175</v>
      </c>
      <c r="B6869">
        <v>5389765</v>
      </c>
      <c r="C6869" t="s">
        <v>99</v>
      </c>
      <c r="D6869" t="s">
        <v>12</v>
      </c>
      <c r="E6869" s="2" t="str">
        <f>HYPERLINK("https://ibp.a2mac1.com/costing(costing:projects/details/8191/process/6976175)","MANUFACTURING  PROCESS")</f>
        <v>MANUFACTURING  PROCESS</v>
      </c>
      <c r="F6869" t="s">
        <v>7170</v>
      </c>
    </row>
    <row r="6870" spans="1:6" ht="12.75">
      <c r="A6870">
        <v>5320584</v>
      </c>
      <c r="B6870">
        <v>6976175</v>
      </c>
      <c r="C6870" t="s">
        <v>24</v>
      </c>
      <c r="D6870" t="s">
        <v>99</v>
      </c>
      <c r="E6870" s="2" t="str">
        <f>HYPERLINK("https://ibp.a2mac1.com/costing(costing:projects/details/8191/material/5320584)","Standard Structural Steel sheet")</f>
        <v>Standard Structural Steel sheet</v>
      </c>
      <c r="F6870" t="s">
        <v>7171</v>
      </c>
    </row>
    <row r="6871" spans="1:6" ht="12.75">
      <c r="A6871">
        <v>6948769</v>
      </c>
      <c r="B6871">
        <v>6976175</v>
      </c>
      <c r="C6871" t="s">
        <v>189</v>
      </c>
      <c r="D6871" t="s">
        <v>99</v>
      </c>
      <c r="E6871" s="2" t="str">
        <f>HYPERLINK("https://ibp.a2mac1.com/costing(costing:projects/details/8191/equipment/6948769)","Manufacturing Equipment")</f>
        <v>Manufacturing Equipment</v>
      </c>
      <c r="F6871" t="s">
        <v>7171</v>
      </c>
    </row>
    <row r="6872" spans="1:6" ht="12.75">
      <c r="A6872">
        <v>5389766</v>
      </c>
      <c r="B6872">
        <v>5389655</v>
      </c>
      <c r="C6872" t="s">
        <v>12</v>
      </c>
      <c r="D6872" t="s">
        <v>8</v>
      </c>
      <c r="E6872" s="2" t="str">
        <f>HYPERLINK("https://ibp.a2mac1.com/costing(costing:projects/details/8191/part/5389766)","Part 05")</f>
        <v>Part 05</v>
      </c>
      <c r="F6872" t="s">
        <v>7160</v>
      </c>
    </row>
    <row r="6873" spans="1:6" ht="12.75">
      <c r="A6873">
        <v>6976176</v>
      </c>
      <c r="B6873">
        <v>5389766</v>
      </c>
      <c r="C6873" t="s">
        <v>99</v>
      </c>
      <c r="D6873" t="s">
        <v>12</v>
      </c>
      <c r="E6873" s="2" t="str">
        <f>HYPERLINK("https://ibp.a2mac1.com/costing(costing:projects/details/8191/process/6976176)","MANUFACTURING  PROCESS")</f>
        <v>MANUFACTURING  PROCESS</v>
      </c>
      <c r="F6873" t="s">
        <v>7172</v>
      </c>
    </row>
    <row r="6874" spans="1:6" ht="12.75">
      <c r="A6874">
        <v>5320585</v>
      </c>
      <c r="B6874">
        <v>6976176</v>
      </c>
      <c r="C6874" t="s">
        <v>24</v>
      </c>
      <c r="D6874" t="s">
        <v>99</v>
      </c>
      <c r="E6874" s="2" t="str">
        <f>HYPERLINK("https://ibp.a2mac1.com/costing(costing:projects/details/8191/material/5320585)","Standard Structural Steel sheet")</f>
        <v>Standard Structural Steel sheet</v>
      </c>
      <c r="F6874" t="s">
        <v>7173</v>
      </c>
    </row>
    <row r="6875" spans="1:6" ht="12.75">
      <c r="A6875">
        <v>6948770</v>
      </c>
      <c r="B6875">
        <v>6976176</v>
      </c>
      <c r="C6875" t="s">
        <v>189</v>
      </c>
      <c r="D6875" t="s">
        <v>99</v>
      </c>
      <c r="E6875" s="2" t="str">
        <f>HYPERLINK("https://ibp.a2mac1.com/costing(costing:projects/details/8191/equipment/6948770)","Manufacturing Equipment")</f>
        <v>Manufacturing Equipment</v>
      </c>
      <c r="F6875" t="s">
        <v>7173</v>
      </c>
    </row>
    <row r="6876" spans="1:6" ht="12.75">
      <c r="A6876">
        <v>5389325</v>
      </c>
      <c r="B6876">
        <v>5388965</v>
      </c>
      <c r="C6876" t="s">
        <v>8</v>
      </c>
      <c r="D6876" t="s">
        <v>8</v>
      </c>
      <c r="E6876" s="2" t="str">
        <f>HYPERLINK("https://ibp.a2mac1.com/costing(costing:projects/details/8191/assembly/5389325)","Cross member 03")</f>
        <v>Cross member 03</v>
      </c>
      <c r="F6876" t="s">
        <v>7132</v>
      </c>
    </row>
    <row r="6877" spans="1:6" ht="12.75">
      <c r="A6877">
        <v>5389656</v>
      </c>
      <c r="B6877">
        <v>5389325</v>
      </c>
      <c r="C6877" t="s">
        <v>8</v>
      </c>
      <c r="D6877" t="s">
        <v>8</v>
      </c>
      <c r="E6877" s="2" t="str">
        <f>HYPERLINK("https://ibp.a2mac1.com/costing(costing:projects/details/8191/assembly/5389656)","Cross member")</f>
        <v>Cross member</v>
      </c>
      <c r="F6877" t="s">
        <v>7174</v>
      </c>
    </row>
    <row r="6878" spans="1:6" ht="12.75">
      <c r="A6878">
        <v>5389767</v>
      </c>
      <c r="B6878">
        <v>5389656</v>
      </c>
      <c r="C6878" t="s">
        <v>12</v>
      </c>
      <c r="D6878" t="s">
        <v>8</v>
      </c>
      <c r="E6878" s="2" t="str">
        <f>HYPERLINK("https://ibp.a2mac1.com/costing(costing:projects/details/8191/part/5389767)"," Part 01 single/main")</f>
        <v xml:space="preserve"> Part 01 single/main</v>
      </c>
      <c r="F6878" t="s">
        <v>7175</v>
      </c>
    </row>
    <row r="6879" spans="1:6" ht="12.75">
      <c r="A6879">
        <v>6976177</v>
      </c>
      <c r="B6879">
        <v>5389767</v>
      </c>
      <c r="C6879" t="s">
        <v>99</v>
      </c>
      <c r="D6879" t="s">
        <v>12</v>
      </c>
      <c r="E6879" s="2" t="str">
        <f>HYPERLINK("https://ibp.a2mac1.com/costing(costing:projects/details/8191/process/6976177)","MANUFACTURING  PROCESS")</f>
        <v>MANUFACTURING  PROCESS</v>
      </c>
      <c r="F6879" t="s">
        <v>7176</v>
      </c>
    </row>
    <row r="6880" spans="1:6" ht="12.75">
      <c r="A6880">
        <v>5320586</v>
      </c>
      <c r="B6880">
        <v>6976177</v>
      </c>
      <c r="C6880" t="s">
        <v>24</v>
      </c>
      <c r="D6880" t="s">
        <v>99</v>
      </c>
      <c r="E6880" s="2" t="str">
        <f>HYPERLINK("https://ibp.a2mac1.com/costing(costing:projects/details/8191/material/5320586)","Standard Structural Steel sheet")</f>
        <v>Standard Structural Steel sheet</v>
      </c>
      <c r="F6880" t="s">
        <v>7179</v>
      </c>
    </row>
    <row r="6881" spans="1:6" ht="12.75">
      <c r="A6881">
        <v>6948771</v>
      </c>
      <c r="B6881">
        <v>6976177</v>
      </c>
      <c r="C6881" t="s">
        <v>189</v>
      </c>
      <c r="D6881" t="s">
        <v>99</v>
      </c>
      <c r="E6881" s="2" t="str">
        <f>HYPERLINK("https://ibp.a2mac1.com/costing(costing:projects/details/8191/equipment/6948771)","Manufacturing Equipment")</f>
        <v>Manufacturing Equipment</v>
      </c>
      <c r="F6881" t="s">
        <v>7179</v>
      </c>
    </row>
    <row r="6882" spans="1:6" ht="12.75">
      <c r="A6882">
        <v>5389657</v>
      </c>
      <c r="B6882">
        <v>5389325</v>
      </c>
      <c r="C6882" t="s">
        <v>8</v>
      </c>
      <c r="D6882" t="s">
        <v>8</v>
      </c>
      <c r="E6882" s="2" t="str">
        <f>HYPERLINK("https://ibp.a2mac1.com/costing(costing:projects/details/8191/assembly/5389657)","Gussets")</f>
        <v>Gussets</v>
      </c>
      <c r="F6882" t="s">
        <v>7174</v>
      </c>
    </row>
    <row r="6883" spans="1:6" ht="12.75">
      <c r="A6883">
        <v>5389768</v>
      </c>
      <c r="B6883">
        <v>5389657</v>
      </c>
      <c r="C6883" t="s">
        <v>12</v>
      </c>
      <c r="D6883" t="s">
        <v>8</v>
      </c>
      <c r="E6883" s="2" t="str">
        <f>HYPERLINK("https://ibp.a2mac1.com/costing(costing:projects/details/8191/part/5389768)"," Part 01 single/main")</f>
        <v xml:space="preserve"> Part 01 single/main</v>
      </c>
      <c r="F6883" t="s">
        <v>7180</v>
      </c>
    </row>
    <row r="6884" spans="1:6" ht="12.75">
      <c r="A6884">
        <v>6976178</v>
      </c>
      <c r="B6884">
        <v>5389768</v>
      </c>
      <c r="C6884" t="s">
        <v>99</v>
      </c>
      <c r="D6884" t="s">
        <v>12</v>
      </c>
      <c r="E6884" s="2" t="str">
        <f>HYPERLINK("https://ibp.a2mac1.com/costing(costing:projects/details/8191/process/6976178)","MANUFACTURING  PROCESS")</f>
        <v>MANUFACTURING  PROCESS</v>
      </c>
      <c r="F6884" t="s">
        <v>7181</v>
      </c>
    </row>
    <row r="6885" spans="1:6" ht="12.75">
      <c r="A6885">
        <v>5320587</v>
      </c>
      <c r="B6885">
        <v>6976178</v>
      </c>
      <c r="C6885" t="s">
        <v>24</v>
      </c>
      <c r="D6885" t="s">
        <v>99</v>
      </c>
      <c r="E6885" s="2" t="str">
        <f>HYPERLINK("https://ibp.a2mac1.com/costing(costing:projects/details/8191/material/5320587)","Standard Structural Steel sheet")</f>
        <v>Standard Structural Steel sheet</v>
      </c>
      <c r="F6885" t="s">
        <v>7182</v>
      </c>
    </row>
    <row r="6886" spans="1:6" ht="12.75">
      <c r="A6886">
        <v>6948772</v>
      </c>
      <c r="B6886">
        <v>6976178</v>
      </c>
      <c r="C6886" t="s">
        <v>189</v>
      </c>
      <c r="D6886" t="s">
        <v>99</v>
      </c>
      <c r="E6886" s="2" t="str">
        <f>HYPERLINK("https://ibp.a2mac1.com/costing(costing:projects/details/8191/equipment/6948772)","Manufacturing Equipment")</f>
        <v>Manufacturing Equipment</v>
      </c>
      <c r="F6886" t="s">
        <v>7182</v>
      </c>
    </row>
    <row r="6887" spans="1:6" ht="12.75">
      <c r="A6887">
        <v>6975274</v>
      </c>
      <c r="B6887">
        <v>5388155</v>
      </c>
      <c r="C6887" t="s">
        <v>99</v>
      </c>
      <c r="D6887" t="s">
        <v>8</v>
      </c>
      <c r="E6887" s="2" t="str">
        <f>HYPERLINK("https://ibp.a2mac1.com/costing(costing:projects/details/8191/process/6975274)","Assembly")</f>
        <v>Assembly</v>
      </c>
      <c r="F6887" t="s">
        <v>6344</v>
      </c>
    </row>
    <row r="6888" spans="1:6" ht="12.75">
      <c r="A6888">
        <v>5319496</v>
      </c>
      <c r="B6888">
        <v>6975274</v>
      </c>
      <c r="C6888" t="s">
        <v>7184</v>
      </c>
      <c r="D6888" t="s">
        <v>99</v>
      </c>
      <c r="E6888" s="2" t="str">
        <f>HYPERLINK("https://ibp.a2mac1.com/costing(costing:projects/details/8191/consumable/5319496)","Fasteners &amp; adhesives")</f>
        <v>Fasteners &amp; adhesives</v>
      </c>
      <c r="F6888" t="s">
        <v>7185</v>
      </c>
    </row>
    <row r="6889" spans="1:6" ht="12.75">
      <c r="A6889">
        <v>6947832</v>
      </c>
      <c r="B6889">
        <v>6975274</v>
      </c>
      <c r="C6889" t="s">
        <v>189</v>
      </c>
      <c r="D6889" t="s">
        <v>99</v>
      </c>
      <c r="E6889" s="2" t="str">
        <f>HYPERLINK("https://ibp.a2mac1.com/costing(costing:projects/details/8191/equipment/6947832)","BIW Shop")</f>
        <v>BIW Shop</v>
      </c>
      <c r="F6889" t="s">
        <v>7185</v>
      </c>
    </row>
    <row r="6890" spans="1:6" ht="12.75">
      <c r="A6890">
        <v>6975275</v>
      </c>
      <c r="B6890">
        <v>5388155</v>
      </c>
      <c r="C6890" t="s">
        <v>99</v>
      </c>
      <c r="D6890" t="s">
        <v>8</v>
      </c>
      <c r="E6890" s="2" t="str">
        <f>HYPERLINK("https://ibp.a2mac1.com/costing(costing:projects/details/8191/process/6975275)","Partial Cost for BIW Painting ")</f>
        <v xml:space="preserve">Partial Cost for BIW Painting </v>
      </c>
      <c r="F6890" t="s">
        <v>6344</v>
      </c>
    </row>
    <row r="6891" spans="1:6" ht="12.75">
      <c r="A6891">
        <v>5388140</v>
      </c>
      <c r="B6891">
        <v>5388128</v>
      </c>
      <c r="C6891" t="s">
        <v>12</v>
      </c>
      <c r="D6891" t="s">
        <v>8</v>
      </c>
      <c r="E6891" s="2" t="str">
        <f>HYPERLINK("https://ibp.a2mac1.com/costing(costing:projects/details/8191/part/5388140)","Trunk Side Bezels")</f>
        <v>Trunk Side Bezels</v>
      </c>
      <c r="F6891" t="s">
        <v>6067</v>
      </c>
    </row>
    <row r="6892" spans="1:6" ht="12.75">
      <c r="A6892">
        <v>6975272</v>
      </c>
      <c r="B6892">
        <v>5388140</v>
      </c>
      <c r="C6892" t="s">
        <v>99</v>
      </c>
      <c r="D6892" t="s">
        <v>12</v>
      </c>
      <c r="E6892" s="2" t="str">
        <f>HYPERLINK("https://ibp.a2mac1.com/costing(costing:projects/details/8191/process/6975272)","Injection molding")</f>
        <v>Injection molding</v>
      </c>
      <c r="F6892" t="s">
        <v>7190</v>
      </c>
    </row>
    <row r="6893" spans="1:6" ht="12.75">
      <c r="A6893">
        <v>5319487</v>
      </c>
      <c r="B6893">
        <v>6975272</v>
      </c>
      <c r="C6893" t="s">
        <v>24</v>
      </c>
      <c r="D6893" t="s">
        <v>99</v>
      </c>
      <c r="E6893" s="2" t="str">
        <f>HYPERLINK("https://ibp.a2mac1.com/costing(costing:projects/details/8191/material/5319487)","ABS")</f>
        <v>ABS</v>
      </c>
      <c r="F6893" t="s">
        <v>7192</v>
      </c>
    </row>
    <row r="6894" spans="1:6" ht="12.75">
      <c r="A6894">
        <v>6947830</v>
      </c>
      <c r="B6894">
        <v>6975272</v>
      </c>
      <c r="C6894" t="s">
        <v>189</v>
      </c>
      <c r="D6894" t="s">
        <v>99</v>
      </c>
      <c r="E6894" s="2" t="str">
        <f>HYPERLINK("https://ibp.a2mac1.com/costing(costing:projects/details/8191/equipment/6947830)","No.03 - Injection Press - 80T - 30kW - 370x370 - Max Volume 260cm3 ")</f>
        <v xml:space="preserve">No.03 - Injection Press - 80T - 30kW - 370x370 - Max Volume 260cm3 </v>
      </c>
      <c r="F6894" t="s">
        <v>7192</v>
      </c>
    </row>
    <row r="6895" spans="1:6" ht="12.75">
      <c r="A6895">
        <v>5388141</v>
      </c>
      <c r="B6895">
        <v>5388128</v>
      </c>
      <c r="C6895" t="s">
        <v>12</v>
      </c>
      <c r="D6895" t="s">
        <v>8</v>
      </c>
      <c r="E6895" s="2" t="str">
        <f>HYPERLINK("https://ibp.a2mac1.com/costing(costing:projects/details/8191/part/5388141)","2nd Trunk Side Bezels")</f>
        <v>2nd Trunk Side Bezels</v>
      </c>
      <c r="F6895" t="s">
        <v>6067</v>
      </c>
    </row>
    <row r="6896" spans="1:6" ht="12.75">
      <c r="A6896">
        <v>6975273</v>
      </c>
      <c r="B6896">
        <v>5388141</v>
      </c>
      <c r="C6896" t="s">
        <v>99</v>
      </c>
      <c r="D6896" t="s">
        <v>12</v>
      </c>
      <c r="E6896" s="2" t="str">
        <f>HYPERLINK("https://ibp.a2mac1.com/costing(costing:projects/details/8191/process/6975273)","Injection molding")</f>
        <v>Injection molding</v>
      </c>
      <c r="F6896" t="s">
        <v>7196</v>
      </c>
    </row>
    <row r="6897" spans="1:6" ht="12.75">
      <c r="A6897">
        <v>5319488</v>
      </c>
      <c r="B6897">
        <v>6975273</v>
      </c>
      <c r="C6897" t="s">
        <v>24</v>
      </c>
      <c r="D6897" t="s">
        <v>99</v>
      </c>
      <c r="E6897" s="2" t="str">
        <f>HYPERLINK("https://ibp.a2mac1.com/costing(costing:projects/details/8191/material/5319488)","ABS")</f>
        <v>ABS</v>
      </c>
      <c r="F6897" t="s">
        <v>7197</v>
      </c>
    </row>
    <row r="6898" spans="1:6" ht="12.75">
      <c r="A6898">
        <v>6947831</v>
      </c>
      <c r="B6898">
        <v>6975273</v>
      </c>
      <c r="C6898" t="s">
        <v>189</v>
      </c>
      <c r="D6898" t="s">
        <v>99</v>
      </c>
      <c r="E6898" s="2" t="str">
        <f>HYPERLINK("https://ibp.a2mac1.com/costing(costing:projects/details/8191/equipment/6947831)","No.03 - Injection Press - 80T - 30kW - 370x370 - Max Volume 260cm3 ")</f>
        <v xml:space="preserve">No.03 - Injection Press - 80T - 30kW - 370x370 - Max Volume 260cm3 </v>
      </c>
      <c r="F6898" t="s">
        <v>7197</v>
      </c>
    </row>
    <row r="6899" spans="1:6" ht="12.75">
      <c r="A6899">
        <v>5388129</v>
      </c>
      <c r="B6899">
        <v>5388126</v>
      </c>
      <c r="C6899" t="s">
        <v>8</v>
      </c>
      <c r="D6899" t="s">
        <v>8</v>
      </c>
      <c r="E6899" s="2" t="str">
        <f>HYPERLINK("https://ibp.a2mac1.com/costing(costing:projects/details/8191/assembly/5388129)","Fenders")</f>
        <v>Fenders</v>
      </c>
      <c r="F6899" t="s">
        <v>4589</v>
      </c>
    </row>
    <row r="6900" spans="1:6" ht="12.75">
      <c r="A6900">
        <v>5388156</v>
      </c>
      <c r="B6900">
        <v>5388129</v>
      </c>
      <c r="C6900" t="s">
        <v>8</v>
      </c>
      <c r="D6900" t="s">
        <v>8</v>
      </c>
      <c r="E6900" s="2" t="str">
        <f>HYPERLINK("https://ibp.a2mac1.com/costing(costing:projects/details/8191/assembly/5388156)","Front Fenders")</f>
        <v>Front Fenders</v>
      </c>
      <c r="F6900" t="s">
        <v>7200</v>
      </c>
    </row>
    <row r="6901" spans="1:6" ht="12.75">
      <c r="A6901">
        <v>5388300</v>
      </c>
      <c r="B6901">
        <v>5388156</v>
      </c>
      <c r="C6901" t="s">
        <v>8</v>
      </c>
      <c r="D6901" t="s">
        <v>8</v>
      </c>
      <c r="E6901" s="2" t="str">
        <f>HYPERLINK("https://ibp.a2mac1.com/costing(costing:projects/details/8191/assembly/5388300)","Fender")</f>
        <v>Fender</v>
      </c>
      <c r="F6901" t="s">
        <v>7201</v>
      </c>
    </row>
    <row r="6902" spans="1:6" ht="12.75">
      <c r="A6902">
        <v>5388636</v>
      </c>
      <c r="B6902">
        <v>5388300</v>
      </c>
      <c r="C6902" t="s">
        <v>8</v>
      </c>
      <c r="D6902" t="s">
        <v>8</v>
      </c>
      <c r="E6902" s="2" t="str">
        <f>HYPERLINK("https://ibp.a2mac1.com/costing(costing:projects/details/8191/assembly/5388636)","Panel")</f>
        <v>Panel</v>
      </c>
      <c r="F6902" t="s">
        <v>7202</v>
      </c>
    </row>
    <row r="6903" spans="1:6" ht="12.75">
      <c r="A6903">
        <v>5388966</v>
      </c>
      <c r="B6903">
        <v>5388636</v>
      </c>
      <c r="C6903" t="s">
        <v>12</v>
      </c>
      <c r="D6903" t="s">
        <v>8</v>
      </c>
      <c r="E6903" s="2" t="str">
        <f>HYPERLINK("https://ibp.a2mac1.com/costing(costing:projects/details/8191/part/5388966)","Bolt-on parts&gt;Bolt-on panels&gt;Fender&gt;Panel&gt;Part 01 single/main/front")</f>
        <v>Bolt-on parts&gt;Bolt-on panels&gt;Fender&gt;Panel&gt;Part 01 single/main/front</v>
      </c>
      <c r="F6903" t="s">
        <v>7203</v>
      </c>
    </row>
    <row r="6904" spans="1:6" ht="12.75">
      <c r="A6904">
        <v>6975752</v>
      </c>
      <c r="B6904">
        <v>5388966</v>
      </c>
      <c r="C6904" t="s">
        <v>99</v>
      </c>
      <c r="D6904" t="s">
        <v>12</v>
      </c>
      <c r="E6904" s="2" t="str">
        <f>HYPERLINK("https://ibp.a2mac1.com/costing(costing:projects/details/8191/process/6975752)","Manufacturing Process")</f>
        <v>Manufacturing Process</v>
      </c>
      <c r="F6904" t="s">
        <v>7204</v>
      </c>
    </row>
    <row r="6905" spans="1:6" ht="12.75">
      <c r="A6905">
        <v>5320155</v>
      </c>
      <c r="B6905">
        <v>6975752</v>
      </c>
      <c r="C6905" t="s">
        <v>24</v>
      </c>
      <c r="D6905" t="s">
        <v>99</v>
      </c>
      <c r="E6905" s="2" t="str">
        <f>HYPERLINK("https://ibp.a2mac1.com/costing(costing:projects/details/8191/material/5320155)","Standard Structural Steel sheet")</f>
        <v>Standard Structural Steel sheet</v>
      </c>
      <c r="F6905" t="s">
        <v>7206</v>
      </c>
    </row>
    <row r="6906" spans="1:6" ht="12.75">
      <c r="A6906">
        <v>6948357</v>
      </c>
      <c r="B6906">
        <v>6975752</v>
      </c>
      <c r="C6906" t="s">
        <v>189</v>
      </c>
      <c r="D6906" t="s">
        <v>99</v>
      </c>
      <c r="E6906" s="2" t="str">
        <f>HYPERLINK("https://ibp.a2mac1.com/costing(costing:projects/details/8191/equipment/6948357)","Equipment (Stamping)")</f>
        <v>Equipment (Stamping)</v>
      </c>
      <c r="F6906" t="s">
        <v>7206</v>
      </c>
    </row>
    <row r="6907" spans="1:6" ht="12.75">
      <c r="A6907">
        <v>5388637</v>
      </c>
      <c r="B6907">
        <v>5388300</v>
      </c>
      <c r="C6907" t="s">
        <v>8</v>
      </c>
      <c r="D6907" t="s">
        <v>8</v>
      </c>
      <c r="E6907" s="2" t="str">
        <f>HYPERLINK("https://ibp.a2mac1.com/costing(costing:projects/details/8191/assembly/5388637)","Brackets")</f>
        <v>Brackets</v>
      </c>
      <c r="F6907" t="s">
        <v>7202</v>
      </c>
    </row>
    <row r="6908" spans="1:6" ht="12.75">
      <c r="A6908">
        <v>5388967</v>
      </c>
      <c r="B6908">
        <v>5388637</v>
      </c>
      <c r="C6908" t="s">
        <v>12</v>
      </c>
      <c r="D6908" t="s">
        <v>8</v>
      </c>
      <c r="E6908" s="2" t="str">
        <f>HYPERLINK("https://ibp.a2mac1.com/costing(costing:projects/details/8191/part/5388967)","Bolt-on parts&gt;Bolt-on panels&gt;Fender&gt;Brackets&gt;Part 01 single/main")</f>
        <v>Bolt-on parts&gt;Bolt-on panels&gt;Fender&gt;Brackets&gt;Part 01 single/main</v>
      </c>
      <c r="F6908" t="s">
        <v>7207</v>
      </c>
    </row>
    <row r="6909" spans="1:6" ht="12.75">
      <c r="A6909">
        <v>6975753</v>
      </c>
      <c r="B6909">
        <v>5388967</v>
      </c>
      <c r="C6909" t="s">
        <v>99</v>
      </c>
      <c r="D6909" t="s">
        <v>12</v>
      </c>
      <c r="E6909" s="2" t="str">
        <f>HYPERLINK("https://ibp.a2mac1.com/costing(costing:projects/details/8191/process/6975753)","Manufacturing Process")</f>
        <v>Manufacturing Process</v>
      </c>
      <c r="F6909" t="s">
        <v>7208</v>
      </c>
    </row>
    <row r="6910" spans="1:6" ht="12.75">
      <c r="A6910">
        <v>5320156</v>
      </c>
      <c r="B6910">
        <v>6975753</v>
      </c>
      <c r="C6910" t="s">
        <v>24</v>
      </c>
      <c r="D6910" t="s">
        <v>99</v>
      </c>
      <c r="E6910" s="2" t="str">
        <f>HYPERLINK("https://ibp.a2mac1.com/costing(costing:projects/details/8191/material/5320156)","Standard Structural Steel sheet")</f>
        <v>Standard Structural Steel sheet</v>
      </c>
      <c r="F6910" t="s">
        <v>7210</v>
      </c>
    </row>
    <row r="6911" spans="1:6" ht="12.75">
      <c r="A6911">
        <v>6948358</v>
      </c>
      <c r="B6911">
        <v>6975753</v>
      </c>
      <c r="C6911" t="s">
        <v>189</v>
      </c>
      <c r="D6911" t="s">
        <v>99</v>
      </c>
      <c r="E6911" s="2" t="str">
        <f>HYPERLINK("https://ibp.a2mac1.com/costing(costing:projects/details/8191/equipment/6948358)","Equipment (Stamping)")</f>
        <v>Equipment (Stamping)</v>
      </c>
      <c r="F6911" t="s">
        <v>7210</v>
      </c>
    </row>
    <row r="6912" spans="1:6" ht="12.75">
      <c r="A6912">
        <v>5388968</v>
      </c>
      <c r="B6912">
        <v>5388637</v>
      </c>
      <c r="C6912" t="s">
        <v>12</v>
      </c>
      <c r="D6912" t="s">
        <v>8</v>
      </c>
      <c r="E6912" s="2" t="str">
        <f>HYPERLINK("https://ibp.a2mac1.com/costing(costing:projects/details/8191/part/5388968)","Bolt-on parts&gt;Bolt-on panels&gt;Fender&gt;Brackets&gt;Part 02")</f>
        <v>Bolt-on parts&gt;Bolt-on panels&gt;Fender&gt;Brackets&gt;Part 02</v>
      </c>
      <c r="F6912" t="s">
        <v>7207</v>
      </c>
    </row>
    <row r="6913" spans="1:6" ht="12.75">
      <c r="A6913">
        <v>6975754</v>
      </c>
      <c r="B6913">
        <v>5388968</v>
      </c>
      <c r="C6913" t="s">
        <v>99</v>
      </c>
      <c r="D6913" t="s">
        <v>12</v>
      </c>
      <c r="E6913" s="2" t="str">
        <f>HYPERLINK("https://ibp.a2mac1.com/costing(costing:projects/details/8191/process/6975754)","Manufacturing Process")</f>
        <v>Manufacturing Process</v>
      </c>
      <c r="F6913" t="s">
        <v>7211</v>
      </c>
    </row>
    <row r="6914" spans="1:6" ht="12.75">
      <c r="A6914">
        <v>5320157</v>
      </c>
      <c r="B6914">
        <v>6975754</v>
      </c>
      <c r="C6914" t="s">
        <v>24</v>
      </c>
      <c r="D6914" t="s">
        <v>99</v>
      </c>
      <c r="E6914" s="2" t="str">
        <f>HYPERLINK("https://ibp.a2mac1.com/costing(costing:projects/details/8191/material/5320157)","Standard Structural Steel sheet")</f>
        <v>Standard Structural Steel sheet</v>
      </c>
      <c r="F6914" t="s">
        <v>7212</v>
      </c>
    </row>
    <row r="6915" spans="1:6" ht="12.75">
      <c r="A6915">
        <v>6948359</v>
      </c>
      <c r="B6915">
        <v>6975754</v>
      </c>
      <c r="C6915" t="s">
        <v>189</v>
      </c>
      <c r="D6915" t="s">
        <v>99</v>
      </c>
      <c r="E6915" s="2" t="str">
        <f>HYPERLINK("https://ibp.a2mac1.com/costing(costing:projects/details/8191/equipment/6948359)","Equipment (Stamping)")</f>
        <v>Equipment (Stamping)</v>
      </c>
      <c r="F6915" t="s">
        <v>7212</v>
      </c>
    </row>
    <row r="6916" spans="1:6" ht="12.75">
      <c r="A6916">
        <v>5388969</v>
      </c>
      <c r="B6916">
        <v>5388637</v>
      </c>
      <c r="C6916" t="s">
        <v>12</v>
      </c>
      <c r="D6916" t="s">
        <v>8</v>
      </c>
      <c r="E6916" s="2" t="str">
        <f>HYPERLINK("https://ibp.a2mac1.com/costing(costing:projects/details/8191/part/5388969)","Bolt-on parts&gt;Bolt-on panels&gt;Fender&gt;Brackets&gt;Part 03")</f>
        <v>Bolt-on parts&gt;Bolt-on panels&gt;Fender&gt;Brackets&gt;Part 03</v>
      </c>
      <c r="F6916" t="s">
        <v>7207</v>
      </c>
    </row>
    <row r="6917" spans="1:6" ht="12.75">
      <c r="A6917">
        <v>6975755</v>
      </c>
      <c r="B6917">
        <v>5388969</v>
      </c>
      <c r="C6917" t="s">
        <v>99</v>
      </c>
      <c r="D6917" t="s">
        <v>12</v>
      </c>
      <c r="E6917" s="2" t="str">
        <f>HYPERLINK("https://ibp.a2mac1.com/costing(costing:projects/details/8191/process/6975755)","Manufacturing Process")</f>
        <v>Manufacturing Process</v>
      </c>
      <c r="F6917" t="s">
        <v>7213</v>
      </c>
    </row>
    <row r="6918" spans="1:6" ht="12.75">
      <c r="A6918">
        <v>5320158</v>
      </c>
      <c r="B6918">
        <v>6975755</v>
      </c>
      <c r="C6918" t="s">
        <v>24</v>
      </c>
      <c r="D6918" t="s">
        <v>99</v>
      </c>
      <c r="E6918" s="2" t="str">
        <f>HYPERLINK("https://ibp.a2mac1.com/costing(costing:projects/details/8191/material/5320158)","Standard Structural Steel sheet")</f>
        <v>Standard Structural Steel sheet</v>
      </c>
      <c r="F6918" t="s">
        <v>7214</v>
      </c>
    </row>
    <row r="6919" spans="1:6" ht="12.75">
      <c r="A6919">
        <v>6948360</v>
      </c>
      <c r="B6919">
        <v>6975755</v>
      </c>
      <c r="C6919" t="s">
        <v>189</v>
      </c>
      <c r="D6919" t="s">
        <v>99</v>
      </c>
      <c r="E6919" s="2" t="str">
        <f>HYPERLINK("https://ibp.a2mac1.com/costing(costing:projects/details/8191/equipment/6948360)","Equipment (Stamping)")</f>
        <v>Equipment (Stamping)</v>
      </c>
      <c r="F6919" t="s">
        <v>7214</v>
      </c>
    </row>
    <row r="6920" spans="1:6" ht="12.75">
      <c r="A6920">
        <v>5388970</v>
      </c>
      <c r="B6920">
        <v>5388637</v>
      </c>
      <c r="C6920" t="s">
        <v>12</v>
      </c>
      <c r="D6920" t="s">
        <v>8</v>
      </c>
      <c r="E6920" s="2" t="str">
        <f>HYPERLINK("https://ibp.a2mac1.com/costing(costing:projects/details/8191/part/5388970)","Bolt-on parts&gt;Bolt-on panels&gt;Fender&gt;Brackets&gt;Part 04")</f>
        <v>Bolt-on parts&gt;Bolt-on panels&gt;Fender&gt;Brackets&gt;Part 04</v>
      </c>
      <c r="F6920" t="s">
        <v>7207</v>
      </c>
    </row>
    <row r="6921" spans="1:6" ht="12.75">
      <c r="A6921">
        <v>6975756</v>
      </c>
      <c r="B6921">
        <v>5388970</v>
      </c>
      <c r="C6921" t="s">
        <v>99</v>
      </c>
      <c r="D6921" t="s">
        <v>12</v>
      </c>
      <c r="E6921" s="2" t="str">
        <f>HYPERLINK("https://ibp.a2mac1.com/costing(costing:projects/details/8191/process/6975756)","Manufacturing Process")</f>
        <v>Manufacturing Process</v>
      </c>
      <c r="F6921" t="s">
        <v>7215</v>
      </c>
    </row>
    <row r="6922" spans="1:6" ht="12.75">
      <c r="A6922">
        <v>5320159</v>
      </c>
      <c r="B6922">
        <v>6975756</v>
      </c>
      <c r="C6922" t="s">
        <v>24</v>
      </c>
      <c r="D6922" t="s">
        <v>99</v>
      </c>
      <c r="E6922" s="2" t="str">
        <f>HYPERLINK("https://ibp.a2mac1.com/costing(costing:projects/details/8191/material/5320159)","Standard Structural Steel sheet")</f>
        <v>Standard Structural Steel sheet</v>
      </c>
      <c r="F6922" t="s">
        <v>7217</v>
      </c>
    </row>
    <row r="6923" spans="1:6" ht="12.75">
      <c r="A6923">
        <v>6948361</v>
      </c>
      <c r="B6923">
        <v>6975756</v>
      </c>
      <c r="C6923" t="s">
        <v>189</v>
      </c>
      <c r="D6923" t="s">
        <v>99</v>
      </c>
      <c r="E6923" s="2" t="str">
        <f>HYPERLINK("https://ibp.a2mac1.com/costing(costing:projects/details/8191/equipment/6948361)","Equipment (Stamping)")</f>
        <v>Equipment (Stamping)</v>
      </c>
      <c r="F6923" t="s">
        <v>7217</v>
      </c>
    </row>
    <row r="6924" spans="1:6" ht="12.75">
      <c r="A6924">
        <v>5388971</v>
      </c>
      <c r="B6924">
        <v>5388637</v>
      </c>
      <c r="C6924" t="s">
        <v>12</v>
      </c>
      <c r="D6924" t="s">
        <v>8</v>
      </c>
      <c r="E6924" s="2" t="str">
        <f>HYPERLINK("https://ibp.a2mac1.com/costing(costing:projects/details/8191/part/5388971)","Bolt-on parts&gt;Bolt-on panels&gt;Fender&gt;Brackets&gt;Part 05")</f>
        <v>Bolt-on parts&gt;Bolt-on panels&gt;Fender&gt;Brackets&gt;Part 05</v>
      </c>
      <c r="F6924" t="s">
        <v>7207</v>
      </c>
    </row>
    <row r="6925" spans="1:6" ht="12.75">
      <c r="A6925">
        <v>6975757</v>
      </c>
      <c r="B6925">
        <v>5388971</v>
      </c>
      <c r="C6925" t="s">
        <v>99</v>
      </c>
      <c r="D6925" t="s">
        <v>12</v>
      </c>
      <c r="E6925" s="2" t="str">
        <f>HYPERLINK("https://ibp.a2mac1.com/costing(costing:projects/details/8191/process/6975757)","Manufacturing Process")</f>
        <v>Manufacturing Process</v>
      </c>
      <c r="F6925" t="s">
        <v>7218</v>
      </c>
    </row>
    <row r="6926" spans="1:6" ht="12.75">
      <c r="A6926">
        <v>5320160</v>
      </c>
      <c r="B6926">
        <v>6975757</v>
      </c>
      <c r="C6926" t="s">
        <v>24</v>
      </c>
      <c r="D6926" t="s">
        <v>99</v>
      </c>
      <c r="E6926" s="2" t="str">
        <f>HYPERLINK("https://ibp.a2mac1.com/costing(costing:projects/details/8191/material/5320160)","Standard Structural Steel sheet")</f>
        <v>Standard Structural Steel sheet</v>
      </c>
      <c r="F6926" t="s">
        <v>7219</v>
      </c>
    </row>
    <row r="6927" spans="1:6" ht="12.75">
      <c r="A6927">
        <v>6948362</v>
      </c>
      <c r="B6927">
        <v>6975757</v>
      </c>
      <c r="C6927" t="s">
        <v>189</v>
      </c>
      <c r="D6927" t="s">
        <v>99</v>
      </c>
      <c r="E6927" s="2" t="str">
        <f>HYPERLINK("https://ibp.a2mac1.com/costing(costing:projects/details/8191/equipment/6948362)","Equipment (Stamping)")</f>
        <v>Equipment (Stamping)</v>
      </c>
      <c r="F6927" t="s">
        <v>7219</v>
      </c>
    </row>
    <row r="6928" spans="1:6" ht="12.75">
      <c r="A6928">
        <v>5388301</v>
      </c>
      <c r="B6928">
        <v>5388156</v>
      </c>
      <c r="C6928" t="s">
        <v>8</v>
      </c>
      <c r="D6928" t="s">
        <v>8</v>
      </c>
      <c r="E6928" s="2" t="str">
        <f>HYPERLINK("https://ibp.a2mac1.com/costing(costing:projects/details/8191/assembly/5388301)","Fastners")</f>
        <v>Fastners</v>
      </c>
      <c r="F6928" t="s">
        <v>7201</v>
      </c>
    </row>
    <row r="6929" spans="1:6" ht="12.75">
      <c r="A6929">
        <v>5319497</v>
      </c>
      <c r="B6929">
        <v>5388301</v>
      </c>
      <c r="C6929" t="s">
        <v>574</v>
      </c>
      <c r="D6929" t="s">
        <v>8</v>
      </c>
      <c r="E6929" s="2" t="str">
        <f>HYPERLINK("https://ibp.a2mac1.com/costing(costing:projects/details/8191/component/5319497)","Screw &gt; Torx socket head cap screw with flange")</f>
        <v>Screw &gt; Torx socket head cap screw with flange</v>
      </c>
      <c r="F6929" t="s">
        <v>7222</v>
      </c>
    </row>
    <row r="6930" spans="1:6" ht="12.75">
      <c r="A6930">
        <v>5319498</v>
      </c>
      <c r="B6930">
        <v>5388301</v>
      </c>
      <c r="C6930" t="s">
        <v>574</v>
      </c>
      <c r="D6930" t="s">
        <v>8</v>
      </c>
      <c r="E6930" s="2" t="str">
        <f>HYPERLINK("https://ibp.a2mac1.com/costing(costing:projects/details/8191/component/5319498)","Screw &gt; Hexagon screw with captive washer")</f>
        <v>Screw &gt; Hexagon screw with captive washer</v>
      </c>
      <c r="F6930" t="s">
        <v>7222</v>
      </c>
    </row>
    <row r="6931" spans="1:6" ht="12.75">
      <c r="A6931">
        <v>5319499</v>
      </c>
      <c r="B6931">
        <v>5388301</v>
      </c>
      <c r="C6931" t="s">
        <v>574</v>
      </c>
      <c r="D6931" t="s">
        <v>8</v>
      </c>
      <c r="E6931" s="2" t="str">
        <f>HYPERLINK("https://ibp.a2mac1.com/costing(costing:projects/details/8191/component/5319499)","Nut &gt; Pinching nut for metal sheet screw")</f>
        <v>Nut &gt; Pinching nut for metal sheet screw</v>
      </c>
      <c r="F6931" t="s">
        <v>7222</v>
      </c>
    </row>
    <row r="6932" spans="1:6" ht="12.75">
      <c r="A6932">
        <v>5319500</v>
      </c>
      <c r="B6932">
        <v>5388301</v>
      </c>
      <c r="C6932" t="s">
        <v>574</v>
      </c>
      <c r="D6932" t="s">
        <v>8</v>
      </c>
      <c r="E6932" s="2" t="str">
        <f>HYPERLINK("https://ibp.a2mac1.com/costing(costing:projects/details/8191/component/5319500)","Screw &gt; Hexagon screw with captive washer")</f>
        <v>Screw &gt; Hexagon screw with captive washer</v>
      </c>
      <c r="F6932" t="s">
        <v>7222</v>
      </c>
    </row>
    <row r="6933" spans="1:6" ht="12.75">
      <c r="A6933">
        <v>5319501</v>
      </c>
      <c r="B6933">
        <v>5388301</v>
      </c>
      <c r="C6933" t="s">
        <v>574</v>
      </c>
      <c r="D6933" t="s">
        <v>8</v>
      </c>
      <c r="E6933" s="2" t="str">
        <f>HYPERLINK("https://ibp.a2mac1.com/costing(costing:projects/details/8191/component/5319501)","Screw &gt; Hexagon screw with captive washer")</f>
        <v>Screw &gt; Hexagon screw with captive washer</v>
      </c>
      <c r="F6933" t="s">
        <v>7222</v>
      </c>
    </row>
    <row r="6934" spans="1:6" ht="12.75">
      <c r="A6934">
        <v>5388294</v>
      </c>
      <c r="B6934">
        <v>5388156</v>
      </c>
      <c r="C6934" t="s">
        <v>12</v>
      </c>
      <c r="D6934" t="s">
        <v>8</v>
      </c>
      <c r="E6934" s="2" t="str">
        <f>HYPERLINK("https://ibp.a2mac1.com/costing(costing:projects/details/8191/part/5388294)","Front Fastener")</f>
        <v>Front Fastener</v>
      </c>
      <c r="F6934" t="s">
        <v>7201</v>
      </c>
    </row>
    <row r="6935" spans="1:6" ht="12.75">
      <c r="A6935">
        <v>6975328</v>
      </c>
      <c r="B6935">
        <v>5388294</v>
      </c>
      <c r="C6935" t="s">
        <v>99</v>
      </c>
      <c r="D6935" t="s">
        <v>12</v>
      </c>
      <c r="E6935" s="2" t="str">
        <f>HYPERLINK("https://ibp.a2mac1.com/costing(costing:projects/details/8191/process/6975328)","Stamping")</f>
        <v>Stamping</v>
      </c>
      <c r="F6935" t="s">
        <v>7223</v>
      </c>
    </row>
    <row r="6936" spans="1:6" ht="12.75">
      <c r="A6936">
        <v>5319677</v>
      </c>
      <c r="B6936">
        <v>6975328</v>
      </c>
      <c r="C6936" t="s">
        <v>24</v>
      </c>
      <c r="D6936" t="s">
        <v>99</v>
      </c>
      <c r="E6936" s="2" t="str">
        <f>HYPERLINK("https://ibp.a2mac1.com/costing(costing:projects/details/8191/material/5319677)","Standard Structural Steel sheet")</f>
        <v>Standard Structural Steel sheet</v>
      </c>
      <c r="F6936" t="s">
        <v>7226</v>
      </c>
    </row>
    <row r="6937" spans="1:6" ht="12.75">
      <c r="A6937">
        <v>6947894</v>
      </c>
      <c r="B6937">
        <v>6975328</v>
      </c>
      <c r="C6937" t="s">
        <v>189</v>
      </c>
      <c r="D6937" t="s">
        <v>99</v>
      </c>
      <c r="E6937" s="2" t="str">
        <f>HYPERLINK("https://ibp.a2mac1.com/costing(costing:projects/details/8191/equipment/6947894)","No.01 - Progressive Press - 250T ")</f>
        <v xml:space="preserve">No.01 - Progressive Press - 250T </v>
      </c>
      <c r="F6937" t="s">
        <v>7226</v>
      </c>
    </row>
    <row r="6938" spans="1:6" ht="12.75">
      <c r="A6938">
        <v>6975329</v>
      </c>
      <c r="B6938">
        <v>5388294</v>
      </c>
      <c r="C6938" t="s">
        <v>99</v>
      </c>
      <c r="D6938" t="s">
        <v>12</v>
      </c>
      <c r="E6938" s="2" t="str">
        <f>HYPERLINK("https://ibp.a2mac1.com/costing(costing:projects/details/8191/process/6975329)","Cleaning")</f>
        <v>Cleaning</v>
      </c>
      <c r="F6938" t="s">
        <v>7223</v>
      </c>
    </row>
    <row r="6939" spans="1:6" ht="12.75">
      <c r="A6939">
        <v>6947895</v>
      </c>
      <c r="B6939">
        <v>6975329</v>
      </c>
      <c r="C6939" t="s">
        <v>189</v>
      </c>
      <c r="D6939" t="s">
        <v>99</v>
      </c>
      <c r="E6939" s="2" t="str">
        <f>HYPERLINK("https://ibp.a2mac1.com/costing(costing:projects/details/8191/equipment/6947895)","No.05 - Cleaning - Batch - 2000x2000x1200 - 500kg/batch - 3000kg/h ")</f>
        <v xml:space="preserve">No.05 - Cleaning - Batch - 2000x2000x1200 - 500kg/batch - 3000kg/h </v>
      </c>
      <c r="F6939" t="s">
        <v>7227</v>
      </c>
    </row>
    <row r="6940" spans="1:6" ht="12.75">
      <c r="A6940">
        <v>6975330</v>
      </c>
      <c r="B6940">
        <v>5388294</v>
      </c>
      <c r="C6940" t="s">
        <v>99</v>
      </c>
      <c r="D6940" t="s">
        <v>12</v>
      </c>
      <c r="E6940" s="2" t="str">
        <f>HYPERLINK("https://ibp.a2mac1.com/costing(costing:projects/details/8191/process/6975330)","Packaging")</f>
        <v>Packaging</v>
      </c>
      <c r="F6940" t="s">
        <v>7223</v>
      </c>
    </row>
    <row r="6941" spans="1:6" ht="12.75">
      <c r="A6941">
        <v>6947896</v>
      </c>
      <c r="B6941">
        <v>6975330</v>
      </c>
      <c r="C6941" t="s">
        <v>189</v>
      </c>
      <c r="D6941" t="s">
        <v>99</v>
      </c>
      <c r="E6941" s="2" t="str">
        <f>HYPERLINK("https://ibp.a2mac1.com/costing(costing:projects/details/8191/equipment/6947896)","Packaging ")</f>
        <v xml:space="preserve">Packaging </v>
      </c>
      <c r="F6941" t="s">
        <v>7228</v>
      </c>
    </row>
    <row r="6942" spans="1:6" ht="12.75">
      <c r="A6942">
        <v>5388295</v>
      </c>
      <c r="B6942">
        <v>5388156</v>
      </c>
      <c r="C6942" t="s">
        <v>12</v>
      </c>
      <c r="D6942" t="s">
        <v>8</v>
      </c>
      <c r="E6942" s="2" t="str">
        <f>HYPERLINK("https://ibp.a2mac1.com/costing(costing:projects/details/8191/part/5388295)","Padding")</f>
        <v>Padding</v>
      </c>
      <c r="F6942" t="s">
        <v>7201</v>
      </c>
    </row>
    <row r="6943" spans="1:6" ht="12.75">
      <c r="A6943">
        <v>5388296</v>
      </c>
      <c r="B6943">
        <v>5388156</v>
      </c>
      <c r="C6943" t="s">
        <v>12</v>
      </c>
      <c r="D6943" t="s">
        <v>8</v>
      </c>
      <c r="E6943" s="2" t="str">
        <f>HYPERLINK("https://ibp.a2mac1.com/costing(costing:projects/details/8191/part/5388296)","Fender Extension")</f>
        <v>Fender Extension</v>
      </c>
      <c r="F6943" t="s">
        <v>7201</v>
      </c>
    </row>
    <row r="6944" spans="1:6" ht="12.75">
      <c r="A6944">
        <v>6975331</v>
      </c>
      <c r="B6944">
        <v>5388296</v>
      </c>
      <c r="C6944" t="s">
        <v>99</v>
      </c>
      <c r="D6944" t="s">
        <v>12</v>
      </c>
      <c r="E6944" s="2" t="str">
        <f>HYPERLINK("https://ibp.a2mac1.com/costing(costing:projects/details/8191/process/6975331)","Injection molding")</f>
        <v>Injection molding</v>
      </c>
      <c r="F6944" t="s">
        <v>7233</v>
      </c>
    </row>
    <row r="6945" spans="1:6" ht="12.75">
      <c r="A6945">
        <v>5319678</v>
      </c>
      <c r="B6945">
        <v>6975331</v>
      </c>
      <c r="C6945" t="s">
        <v>24</v>
      </c>
      <c r="D6945" t="s">
        <v>99</v>
      </c>
      <c r="E6945" s="2" t="str">
        <f>HYPERLINK("https://ibp.a2mac1.com/costing(costing:projects/details/8191/material/5319678)","PP-PE")</f>
        <v>PP-PE</v>
      </c>
      <c r="F6945" t="s">
        <v>7236</v>
      </c>
    </row>
    <row r="6946" spans="1:6" ht="12.75">
      <c r="A6946">
        <v>6947897</v>
      </c>
      <c r="B6946">
        <v>6975331</v>
      </c>
      <c r="C6946" t="s">
        <v>189</v>
      </c>
      <c r="D6946" t="s">
        <v>99</v>
      </c>
      <c r="E6946" s="2" t="str">
        <f>HYPERLINK("https://ibp.a2mac1.com/costing(costing:projects/details/8191/equipment/6947897)","No.12 - Injection Press - 800T - 160kW - 1120x1120 - Max Volume 5374cm3 ")</f>
        <v xml:space="preserve">No.12 - Injection Press - 800T - 160kW - 1120x1120 - Max Volume 5374cm3 </v>
      </c>
      <c r="F6946" t="s">
        <v>7236</v>
      </c>
    </row>
    <row r="6947" spans="1:6" ht="12.75">
      <c r="A6947">
        <v>6975332</v>
      </c>
      <c r="B6947">
        <v>5388296</v>
      </c>
      <c r="C6947" t="s">
        <v>99</v>
      </c>
      <c r="D6947" t="s">
        <v>12</v>
      </c>
      <c r="E6947" s="2" t="str">
        <f>HYPERLINK("https://ibp.a2mac1.com/costing(costing:projects/details/8191/process/6975332)","Handling/Visual Inspection/Packaging")</f>
        <v>Handling/Visual Inspection/Packaging</v>
      </c>
      <c r="F6947" t="s">
        <v>7233</v>
      </c>
    </row>
    <row r="6948" spans="1:6" ht="12.75">
      <c r="A6948">
        <v>6947898</v>
      </c>
      <c r="B6948">
        <v>6975332</v>
      </c>
      <c r="C6948" t="s">
        <v>189</v>
      </c>
      <c r="D6948" t="s">
        <v>99</v>
      </c>
      <c r="E6948" s="2" t="str">
        <f>HYPERLINK("https://ibp.a2mac1.com/costing(costing:projects/details/8191/equipment/6947898)","Packaging")</f>
        <v>Packaging</v>
      </c>
      <c r="F6948" t="s">
        <v>7238</v>
      </c>
    </row>
    <row r="6949" spans="1:6" ht="12.75">
      <c r="A6949">
        <v>5388297</v>
      </c>
      <c r="B6949">
        <v>5388156</v>
      </c>
      <c r="C6949" t="s">
        <v>12</v>
      </c>
      <c r="D6949" t="s">
        <v>8</v>
      </c>
      <c r="E6949" s="2" t="str">
        <f>HYPERLINK("https://ibp.a2mac1.com/costing(costing:projects/details/8191/part/5388297)","Upper Support")</f>
        <v>Upper Support</v>
      </c>
      <c r="F6949" t="s">
        <v>7201</v>
      </c>
    </row>
    <row r="6950" spans="1:6" ht="12.75">
      <c r="A6950">
        <v>6975333</v>
      </c>
      <c r="B6950">
        <v>5388297</v>
      </c>
      <c r="C6950" t="s">
        <v>99</v>
      </c>
      <c r="D6950" t="s">
        <v>12</v>
      </c>
      <c r="E6950" s="2" t="str">
        <f>HYPERLINK("https://ibp.a2mac1.com/costing(costing:projects/details/8191/process/6975333)","Stamping")</f>
        <v>Stamping</v>
      </c>
      <c r="F6950" t="s">
        <v>7240</v>
      </c>
    </row>
    <row r="6951" spans="1:6" ht="12.75">
      <c r="A6951">
        <v>5319679</v>
      </c>
      <c r="B6951">
        <v>6975333</v>
      </c>
      <c r="C6951" t="s">
        <v>24</v>
      </c>
      <c r="D6951" t="s">
        <v>99</v>
      </c>
      <c r="E6951" s="2" t="str">
        <f>HYPERLINK("https://ibp.a2mac1.com/costing(costing:projects/details/8191/material/5319679)","Standard Structural Steel sheet")</f>
        <v>Standard Structural Steel sheet</v>
      </c>
      <c r="F6951" t="s">
        <v>7242</v>
      </c>
    </row>
    <row r="6952" spans="1:6" ht="12.75">
      <c r="A6952">
        <v>6947899</v>
      </c>
      <c r="B6952">
        <v>6975333</v>
      </c>
      <c r="C6952" t="s">
        <v>189</v>
      </c>
      <c r="D6952" t="s">
        <v>99</v>
      </c>
      <c r="E6952" s="2" t="str">
        <f>HYPERLINK("https://ibp.a2mac1.com/costing(costing:projects/details/8191/equipment/6947899)","No.01 - Progressive Press - 250T ")</f>
        <v xml:space="preserve">No.01 - Progressive Press - 250T </v>
      </c>
      <c r="F6952" t="s">
        <v>7242</v>
      </c>
    </row>
    <row r="6953" spans="1:6" ht="12.75">
      <c r="A6953">
        <v>6975334</v>
      </c>
      <c r="B6953">
        <v>5388297</v>
      </c>
      <c r="C6953" t="s">
        <v>99</v>
      </c>
      <c r="D6953" t="s">
        <v>12</v>
      </c>
      <c r="E6953" s="2" t="str">
        <f>HYPERLINK("https://ibp.a2mac1.com/costing(costing:projects/details/8191/process/6975334)","Cleaning")</f>
        <v>Cleaning</v>
      </c>
      <c r="F6953" t="s">
        <v>7240</v>
      </c>
    </row>
    <row r="6954" spans="1:6" ht="12.75">
      <c r="A6954">
        <v>6947900</v>
      </c>
      <c r="B6954">
        <v>6975334</v>
      </c>
      <c r="C6954" t="s">
        <v>189</v>
      </c>
      <c r="D6954" t="s">
        <v>99</v>
      </c>
      <c r="E6954" s="2" t="str">
        <f>HYPERLINK("https://ibp.a2mac1.com/costing(costing:projects/details/8191/equipment/6947900)","No.05 - Cleaning - Batch - 2000x2000x1200 - 500kg/batch - 3000kg/h ")</f>
        <v xml:space="preserve">No.05 - Cleaning - Batch - 2000x2000x1200 - 500kg/batch - 3000kg/h </v>
      </c>
      <c r="F6954" t="s">
        <v>7243</v>
      </c>
    </row>
    <row r="6955" spans="1:6" ht="12.75">
      <c r="A6955">
        <v>6975335</v>
      </c>
      <c r="B6955">
        <v>5388297</v>
      </c>
      <c r="C6955" t="s">
        <v>99</v>
      </c>
      <c r="D6955" t="s">
        <v>12</v>
      </c>
      <c r="E6955" s="2" t="str">
        <f>HYPERLINK("https://ibp.a2mac1.com/costing(costing:projects/details/8191/process/6975335)","Packaging")</f>
        <v>Packaging</v>
      </c>
      <c r="F6955" t="s">
        <v>7240</v>
      </c>
    </row>
    <row r="6956" spans="1:6" ht="12.75">
      <c r="A6956">
        <v>6947901</v>
      </c>
      <c r="B6956">
        <v>6975335</v>
      </c>
      <c r="C6956" t="s">
        <v>189</v>
      </c>
      <c r="D6956" t="s">
        <v>99</v>
      </c>
      <c r="E6956" s="2" t="str">
        <f>HYPERLINK("https://ibp.a2mac1.com/costing(costing:projects/details/8191/equipment/6947901)","Packaging ")</f>
        <v xml:space="preserve">Packaging </v>
      </c>
      <c r="F6956" t="s">
        <v>7244</v>
      </c>
    </row>
    <row r="6957" spans="1:6" ht="12.75">
      <c r="A6957">
        <v>5388298</v>
      </c>
      <c r="B6957">
        <v>5388156</v>
      </c>
      <c r="C6957" t="s">
        <v>12</v>
      </c>
      <c r="D6957" t="s">
        <v>8</v>
      </c>
      <c r="E6957" s="2" t="str">
        <f>HYPERLINK("https://ibp.a2mac1.com/costing(costing:projects/details/8191/part/5388298)","Rear Fastener")</f>
        <v>Rear Fastener</v>
      </c>
      <c r="F6957" t="s">
        <v>7201</v>
      </c>
    </row>
    <row r="6958" spans="1:6" ht="12.75">
      <c r="A6958">
        <v>6975336</v>
      </c>
      <c r="B6958">
        <v>5388298</v>
      </c>
      <c r="C6958" t="s">
        <v>99</v>
      </c>
      <c r="D6958" t="s">
        <v>12</v>
      </c>
      <c r="E6958" s="2" t="str">
        <f>HYPERLINK("https://ibp.a2mac1.com/costing(costing:projects/details/8191/process/6975336)","Stamping")</f>
        <v>Stamping</v>
      </c>
      <c r="F6958" t="s">
        <v>7246</v>
      </c>
    </row>
    <row r="6959" spans="1:6" ht="12.75">
      <c r="A6959">
        <v>5319680</v>
      </c>
      <c r="B6959">
        <v>6975336</v>
      </c>
      <c r="C6959" t="s">
        <v>24</v>
      </c>
      <c r="D6959" t="s">
        <v>99</v>
      </c>
      <c r="E6959" s="2" t="str">
        <f>HYPERLINK("https://ibp.a2mac1.com/costing(costing:projects/details/8191/material/5319680)","Standard Structural Steel sheet")</f>
        <v>Standard Structural Steel sheet</v>
      </c>
      <c r="F6959" t="s">
        <v>7248</v>
      </c>
    </row>
    <row r="6960" spans="1:6" ht="12.75">
      <c r="A6960">
        <v>6947902</v>
      </c>
      <c r="B6960">
        <v>6975336</v>
      </c>
      <c r="C6960" t="s">
        <v>189</v>
      </c>
      <c r="D6960" t="s">
        <v>99</v>
      </c>
      <c r="E6960" s="2" t="str">
        <f>HYPERLINK("https://ibp.a2mac1.com/costing(costing:projects/details/8191/equipment/6947902)","No.01 - Progressive Press - 250T ")</f>
        <v xml:space="preserve">No.01 - Progressive Press - 250T </v>
      </c>
      <c r="F6960" t="s">
        <v>7248</v>
      </c>
    </row>
    <row r="6961" spans="1:6" ht="12.75">
      <c r="A6961">
        <v>6975337</v>
      </c>
      <c r="B6961">
        <v>5388298</v>
      </c>
      <c r="C6961" t="s">
        <v>99</v>
      </c>
      <c r="D6961" t="s">
        <v>12</v>
      </c>
      <c r="E6961" s="2" t="str">
        <f>HYPERLINK("https://ibp.a2mac1.com/costing(costing:projects/details/8191/process/6975337)","Cleaning")</f>
        <v>Cleaning</v>
      </c>
      <c r="F6961" t="s">
        <v>7246</v>
      </c>
    </row>
    <row r="6962" spans="1:6" ht="12.75">
      <c r="A6962">
        <v>6947903</v>
      </c>
      <c r="B6962">
        <v>6975337</v>
      </c>
      <c r="C6962" t="s">
        <v>189</v>
      </c>
      <c r="D6962" t="s">
        <v>99</v>
      </c>
      <c r="E6962" s="2" t="str">
        <f>HYPERLINK("https://ibp.a2mac1.com/costing(costing:projects/details/8191/equipment/6947903)","No.05 - Cleaning - Batch - 2000x2000x1200 - 500kg/batch - 3000kg/h ")</f>
        <v xml:space="preserve">No.05 - Cleaning - Batch - 2000x2000x1200 - 500kg/batch - 3000kg/h </v>
      </c>
      <c r="F6962" t="s">
        <v>7249</v>
      </c>
    </row>
    <row r="6963" spans="1:6" ht="12.75">
      <c r="A6963">
        <v>6975338</v>
      </c>
      <c r="B6963">
        <v>5388298</v>
      </c>
      <c r="C6963" t="s">
        <v>99</v>
      </c>
      <c r="D6963" t="s">
        <v>12</v>
      </c>
      <c r="E6963" s="2" t="str">
        <f>HYPERLINK("https://ibp.a2mac1.com/costing(costing:projects/details/8191/process/6975338)","Packaging")</f>
        <v>Packaging</v>
      </c>
      <c r="F6963" t="s">
        <v>7246</v>
      </c>
    </row>
    <row r="6964" spans="1:6" ht="12.75">
      <c r="A6964">
        <v>6947904</v>
      </c>
      <c r="B6964">
        <v>6975338</v>
      </c>
      <c r="C6964" t="s">
        <v>189</v>
      </c>
      <c r="D6964" t="s">
        <v>99</v>
      </c>
      <c r="E6964" s="2" t="str">
        <f>HYPERLINK("https://ibp.a2mac1.com/costing(costing:projects/details/8191/equipment/6947904)","Packaging ")</f>
        <v xml:space="preserve">Packaging </v>
      </c>
      <c r="F6964" t="s">
        <v>7250</v>
      </c>
    </row>
    <row r="6965" spans="1:6" ht="12.75">
      <c r="A6965">
        <v>5388299</v>
      </c>
      <c r="B6965">
        <v>5388156</v>
      </c>
      <c r="C6965" t="s">
        <v>12</v>
      </c>
      <c r="D6965" t="s">
        <v>8</v>
      </c>
      <c r="E6965" s="2" t="str">
        <f>HYPERLINK("https://ibp.a2mac1.com/costing(costing:projects/details/8191/part/5388299)","Rear Covers")</f>
        <v>Rear Covers</v>
      </c>
      <c r="F6965" t="s">
        <v>7201</v>
      </c>
    </row>
    <row r="6966" spans="1:6" ht="12.75">
      <c r="A6966">
        <v>6975339</v>
      </c>
      <c r="B6966">
        <v>5388299</v>
      </c>
      <c r="C6966" t="s">
        <v>99</v>
      </c>
      <c r="D6966" t="s">
        <v>12</v>
      </c>
      <c r="E6966" s="2" t="str">
        <f>HYPERLINK("https://ibp.a2mac1.com/costing(costing:projects/details/8191/process/6975339)","Injection molding")</f>
        <v>Injection molding</v>
      </c>
      <c r="F6966" t="s">
        <v>7252</v>
      </c>
    </row>
    <row r="6967" spans="1:6" ht="12.75">
      <c r="A6967">
        <v>5319681</v>
      </c>
      <c r="B6967">
        <v>6975339</v>
      </c>
      <c r="C6967" t="s">
        <v>24</v>
      </c>
      <c r="D6967" t="s">
        <v>99</v>
      </c>
      <c r="E6967" s="2" t="str">
        <f>HYPERLINK("https://ibp.a2mac1.com/costing(costing:projects/details/8191/material/5319681)","PP-TD20")</f>
        <v>PP-TD20</v>
      </c>
      <c r="F6967" t="s">
        <v>7255</v>
      </c>
    </row>
    <row r="6968" spans="1:6" ht="12.75">
      <c r="A6968">
        <v>6947905</v>
      </c>
      <c r="B6968">
        <v>6975339</v>
      </c>
      <c r="C6968" t="s">
        <v>189</v>
      </c>
      <c r="D6968" t="s">
        <v>99</v>
      </c>
      <c r="E6968" s="2" t="str">
        <f>HYPERLINK("https://ibp.a2mac1.com/costing(costing:projects/details/8191/equipment/6947905)","No.11 - Injection Press - 630T - 122kW - 1000x1000 - Max Volume 3038cm3 ")</f>
        <v xml:space="preserve">No.11 - Injection Press - 630T - 122kW - 1000x1000 - Max Volume 3038cm3 </v>
      </c>
      <c r="F6968" t="s">
        <v>7255</v>
      </c>
    </row>
    <row r="6969" spans="1:6" ht="12.75">
      <c r="A6969">
        <v>6975340</v>
      </c>
      <c r="B6969">
        <v>5388299</v>
      </c>
      <c r="C6969" t="s">
        <v>99</v>
      </c>
      <c r="D6969" t="s">
        <v>12</v>
      </c>
      <c r="E6969" s="2" t="str">
        <f>HYPERLINK("https://ibp.a2mac1.com/costing(costing:projects/details/8191/process/6975340)","Handling and Packaging")</f>
        <v>Handling and Packaging</v>
      </c>
      <c r="F6969" t="s">
        <v>7252</v>
      </c>
    </row>
    <row r="6970" spans="1:6" ht="12.75">
      <c r="A6970">
        <v>6947906</v>
      </c>
      <c r="B6970">
        <v>6975340</v>
      </c>
      <c r="C6970" t="s">
        <v>189</v>
      </c>
      <c r="D6970" t="s">
        <v>99</v>
      </c>
      <c r="E6970" s="2" t="str">
        <f>HYPERLINK("https://ibp.a2mac1.com/costing(costing:projects/details/8191/equipment/6947906)","Packaging station")</f>
        <v>Packaging station</v>
      </c>
      <c r="F6970" t="s">
        <v>7257</v>
      </c>
    </row>
    <row r="6971" spans="1:6" ht="12.75">
      <c r="A6971">
        <v>5388157</v>
      </c>
      <c r="B6971">
        <v>5388129</v>
      </c>
      <c r="C6971" t="s">
        <v>8</v>
      </c>
      <c r="D6971" t="s">
        <v>8</v>
      </c>
      <c r="E6971" s="2" t="str">
        <f>HYPERLINK("https://ibp.a2mac1.com/costing(costing:projects/details/8191/assembly/5388157)","Rear fenders")</f>
        <v>Rear fenders</v>
      </c>
      <c r="F6971" t="s">
        <v>7200</v>
      </c>
    </row>
    <row r="6972" spans="1:6" ht="12.75">
      <c r="A6972">
        <v>5388303</v>
      </c>
      <c r="B6972">
        <v>5388157</v>
      </c>
      <c r="C6972" t="s">
        <v>8</v>
      </c>
      <c r="D6972" t="s">
        <v>8</v>
      </c>
      <c r="E6972" s="2" t="str">
        <f>HYPERLINK("https://ibp.a2mac1.com/costing(costing:projects/details/8191/assembly/5388303)","Fastners")</f>
        <v>Fastners</v>
      </c>
      <c r="F6972" t="s">
        <v>7260</v>
      </c>
    </row>
    <row r="6973" spans="1:6" ht="12.75">
      <c r="A6973">
        <v>5319502</v>
      </c>
      <c r="B6973">
        <v>5388303</v>
      </c>
      <c r="C6973" t="s">
        <v>574</v>
      </c>
      <c r="D6973" t="s">
        <v>8</v>
      </c>
      <c r="E6973" s="2" t="str">
        <f>HYPERLINK("https://ibp.a2mac1.com/costing(costing:projects/details/8191/component/5319502)","Screw &gt; Torx socket head cap screw with flange")</f>
        <v>Screw &gt; Torx socket head cap screw with flange</v>
      </c>
      <c r="F6973" t="s">
        <v>7261</v>
      </c>
    </row>
    <row r="6974" spans="1:6" ht="12.75">
      <c r="A6974">
        <v>5388302</v>
      </c>
      <c r="B6974">
        <v>5388157</v>
      </c>
      <c r="C6974" t="s">
        <v>12</v>
      </c>
      <c r="D6974" t="s">
        <v>8</v>
      </c>
      <c r="E6974" s="2" t="str">
        <f>HYPERLINK("https://ibp.a2mac1.com/costing(costing:projects/details/8191/part/5388302)","Fender Extensions")</f>
        <v>Fender Extensions</v>
      </c>
      <c r="F6974" t="s">
        <v>7260</v>
      </c>
    </row>
    <row r="6975" spans="1:6" ht="12.75">
      <c r="A6975">
        <v>6975341</v>
      </c>
      <c r="B6975">
        <v>5388302</v>
      </c>
      <c r="C6975" t="s">
        <v>99</v>
      </c>
      <c r="D6975" t="s">
        <v>12</v>
      </c>
      <c r="E6975" s="2" t="str">
        <f>HYPERLINK("https://ibp.a2mac1.com/costing(costing:projects/details/8191/process/6975341)","Injection molding")</f>
        <v>Injection molding</v>
      </c>
      <c r="F6975" t="s">
        <v>7262</v>
      </c>
    </row>
    <row r="6976" spans="1:6" ht="12.75">
      <c r="A6976">
        <v>5319682</v>
      </c>
      <c r="B6976">
        <v>6975341</v>
      </c>
      <c r="C6976" t="s">
        <v>24</v>
      </c>
      <c r="D6976" t="s">
        <v>99</v>
      </c>
      <c r="E6976" s="2" t="str">
        <f>HYPERLINK("https://ibp.a2mac1.com/costing(costing:projects/details/8191/material/5319682)","PP-E/P-TD21")</f>
        <v>PP-E/P-TD21</v>
      </c>
      <c r="F6976" t="s">
        <v>7265</v>
      </c>
    </row>
    <row r="6977" spans="1:6" ht="12.75">
      <c r="A6977">
        <v>6947907</v>
      </c>
      <c r="B6977">
        <v>6975341</v>
      </c>
      <c r="C6977" t="s">
        <v>189</v>
      </c>
      <c r="D6977" t="s">
        <v>99</v>
      </c>
      <c r="E6977" s="2" t="str">
        <f>HYPERLINK("https://ibp.a2mac1.com/costing(costing:projects/details/8191/equipment/6947907)","No.12 - Injection Press - 800T - 160kW - 1120x1120 - Max Volume 5374cm3 ")</f>
        <v xml:space="preserve">No.12 - Injection Press - 800T - 160kW - 1120x1120 - Max Volume 5374cm3 </v>
      </c>
      <c r="F6977" t="s">
        <v>7265</v>
      </c>
    </row>
    <row r="6978" spans="1:6" ht="12.75">
      <c r="A6978">
        <v>6975342</v>
      </c>
      <c r="B6978">
        <v>5388302</v>
      </c>
      <c r="C6978" t="s">
        <v>99</v>
      </c>
      <c r="D6978" t="s">
        <v>12</v>
      </c>
      <c r="E6978" s="2" t="str">
        <f>HYPERLINK("https://ibp.a2mac1.com/costing(costing:projects/details/8191/process/6975342)","Handling/Visual Inspection/Packaging")</f>
        <v>Handling/Visual Inspection/Packaging</v>
      </c>
      <c r="F6978" t="s">
        <v>7262</v>
      </c>
    </row>
    <row r="6979" spans="1:6" ht="12.75">
      <c r="A6979">
        <v>6947908</v>
      </c>
      <c r="B6979">
        <v>6975342</v>
      </c>
      <c r="C6979" t="s">
        <v>189</v>
      </c>
      <c r="D6979" t="s">
        <v>99</v>
      </c>
      <c r="E6979" s="2" t="str">
        <f>HYPERLINK("https://ibp.a2mac1.com/costing(costing:projects/details/8191/equipment/6947908)","Packaging")</f>
        <v>Packaging</v>
      </c>
      <c r="F6979" t="s">
        <v>7266</v>
      </c>
    </row>
    <row r="6980" spans="1:6" ht="12.75">
      <c r="A6980">
        <v>5388130</v>
      </c>
      <c r="B6980">
        <v>5388126</v>
      </c>
      <c r="C6980" t="s">
        <v>8</v>
      </c>
      <c r="D6980" t="s">
        <v>8</v>
      </c>
      <c r="E6980" s="2" t="str">
        <f>HYPERLINK("https://ibp.a2mac1.com/costing(costing:projects/details/8191/assembly/5388130)","Bumpers")</f>
        <v>Bumpers</v>
      </c>
      <c r="F6980" t="s">
        <v>4589</v>
      </c>
    </row>
    <row r="6981" spans="1:6" ht="12.75">
      <c r="A6981">
        <v>5388158</v>
      </c>
      <c r="B6981">
        <v>5388130</v>
      </c>
      <c r="C6981" t="s">
        <v>8</v>
      </c>
      <c r="D6981" t="s">
        <v>8</v>
      </c>
      <c r="E6981" s="2" t="str">
        <f>HYPERLINK("https://ibp.a2mac1.com/costing(costing:projects/details/8191/assembly/5388158)","Front Bumper")</f>
        <v>Front Bumper</v>
      </c>
      <c r="F6981" t="s">
        <v>7270</v>
      </c>
    </row>
    <row r="6982" spans="1:6" ht="12.75">
      <c r="A6982">
        <v>5388304</v>
      </c>
      <c r="B6982">
        <v>5388158</v>
      </c>
      <c r="C6982" t="s">
        <v>8</v>
      </c>
      <c r="D6982" t="s">
        <v>8</v>
      </c>
      <c r="E6982" s="2" t="str">
        <f>HYPERLINK("https://ibp.a2mac1.com/costing(costing:projects/details/8191/assembly/5388304)","Bumper")</f>
        <v>Bumper</v>
      </c>
      <c r="F6982" t="s">
        <v>7271</v>
      </c>
    </row>
    <row r="6983" spans="1:6" ht="12.75">
      <c r="A6983">
        <v>5388644</v>
      </c>
      <c r="B6983">
        <v>5388304</v>
      </c>
      <c r="C6983" t="s">
        <v>8</v>
      </c>
      <c r="D6983" t="s">
        <v>8</v>
      </c>
      <c r="E6983" s="2" t="str">
        <f>HYPERLINK("https://ibp.a2mac1.com/costing(costing:projects/details/8191/assembly/5388644)","Grilles")</f>
        <v>Grilles</v>
      </c>
      <c r="F6983" t="s">
        <v>7272</v>
      </c>
    </row>
    <row r="6984" spans="1:6" ht="12.75">
      <c r="A6984">
        <v>5388972</v>
      </c>
      <c r="B6984">
        <v>5388644</v>
      </c>
      <c r="C6984" t="s">
        <v>12</v>
      </c>
      <c r="D6984" t="s">
        <v>8</v>
      </c>
      <c r="E6984" s="2" t="str">
        <f>HYPERLINK("https://ibp.a2mac1.com/costing(costing:projects/details/8191/part/5388972)","Lower Central")</f>
        <v>Lower Central</v>
      </c>
      <c r="F6984" t="s">
        <v>7273</v>
      </c>
    </row>
    <row r="6985" spans="1:6" ht="12.75">
      <c r="A6985">
        <v>6975758</v>
      </c>
      <c r="B6985">
        <v>5388972</v>
      </c>
      <c r="C6985" t="s">
        <v>99</v>
      </c>
      <c r="D6985" t="s">
        <v>12</v>
      </c>
      <c r="E6985" s="2" t="str">
        <f>HYPERLINK("https://ibp.a2mac1.com/costing(costing:projects/details/8191/process/6975758)","Automated Process")</f>
        <v>Automated Process</v>
      </c>
      <c r="F6985" t="s">
        <v>7274</v>
      </c>
    </row>
    <row r="6986" spans="1:6" ht="12.75">
      <c r="A6986">
        <v>5320161</v>
      </c>
      <c r="B6986">
        <v>6975758</v>
      </c>
      <c r="C6986" t="s">
        <v>24</v>
      </c>
      <c r="D6986" t="s">
        <v>99</v>
      </c>
      <c r="E6986" s="2" t="str">
        <f>HYPERLINK("https://ibp.a2mac1.com/costing(costing:projects/details/8191/material/5320161)","PP-E/P")</f>
        <v>PP-E/P</v>
      </c>
      <c r="F6986" t="s">
        <v>7277</v>
      </c>
    </row>
    <row r="6987" spans="1:6" ht="12.75">
      <c r="A6987">
        <v>6948363</v>
      </c>
      <c r="B6987">
        <v>6975758</v>
      </c>
      <c r="C6987" t="s">
        <v>189</v>
      </c>
      <c r="D6987" t="s">
        <v>99</v>
      </c>
      <c r="E6987" s="2" t="str">
        <f>HYPERLINK("https://ibp.a2mac1.com/costing(costing:projects/details/8191/equipment/6948363)","Equipment (Injection Molding)")</f>
        <v>Equipment (Injection Molding)</v>
      </c>
      <c r="F6987" t="s">
        <v>7277</v>
      </c>
    </row>
    <row r="6988" spans="1:6" ht="12.75">
      <c r="A6988">
        <v>5388645</v>
      </c>
      <c r="B6988">
        <v>5388304</v>
      </c>
      <c r="C6988" t="s">
        <v>8</v>
      </c>
      <c r="D6988" t="s">
        <v>8</v>
      </c>
      <c r="E6988" s="2" t="str">
        <f>HYPERLINK("https://ibp.a2mac1.com/costing(costing:projects/details/8191/assembly/5388645)","Bezel System")</f>
        <v>Bezel System</v>
      </c>
      <c r="F6988" t="s">
        <v>7272</v>
      </c>
    </row>
    <row r="6989" spans="1:6" ht="12.75">
      <c r="A6989">
        <v>5388973</v>
      </c>
      <c r="B6989">
        <v>5388645</v>
      </c>
      <c r="C6989" t="s">
        <v>12</v>
      </c>
      <c r="D6989" t="s">
        <v>8</v>
      </c>
      <c r="E6989" s="2" t="str">
        <f>HYPERLINK("https://ibp.a2mac1.com/costing(costing:projects/details/8191/part/5388973)","Trim Bezel Lower Central")</f>
        <v>Trim Bezel Lower Central</v>
      </c>
      <c r="F6989" t="s">
        <v>7280</v>
      </c>
    </row>
    <row r="6990" spans="1:6" ht="12.75">
      <c r="A6990">
        <v>6975759</v>
      </c>
      <c r="B6990">
        <v>5388973</v>
      </c>
      <c r="C6990" t="s">
        <v>99</v>
      </c>
      <c r="D6990" t="s">
        <v>12</v>
      </c>
      <c r="E6990" s="2" t="str">
        <f>HYPERLINK("https://ibp.a2mac1.com/costing(costing:projects/details/8191/process/6975759)","Automated Process")</f>
        <v>Automated Process</v>
      </c>
      <c r="F6990" t="s">
        <v>7281</v>
      </c>
    </row>
    <row r="6991" spans="1:6" ht="12.75">
      <c r="A6991">
        <v>5320162</v>
      </c>
      <c r="B6991">
        <v>6975759</v>
      </c>
      <c r="C6991" t="s">
        <v>24</v>
      </c>
      <c r="D6991" t="s">
        <v>99</v>
      </c>
      <c r="E6991" s="2" t="str">
        <f>HYPERLINK("https://ibp.a2mac1.com/costing(costing:projects/details/8191/material/5320162)","PP-E/P")</f>
        <v>PP-E/P</v>
      </c>
      <c r="F6991" t="s">
        <v>7284</v>
      </c>
    </row>
    <row r="6992" spans="1:6" ht="12.75">
      <c r="A6992">
        <v>6948364</v>
      </c>
      <c r="B6992">
        <v>6975759</v>
      </c>
      <c r="C6992" t="s">
        <v>189</v>
      </c>
      <c r="D6992" t="s">
        <v>99</v>
      </c>
      <c r="E6992" s="2" t="str">
        <f>HYPERLINK("https://ibp.a2mac1.com/costing(costing:projects/details/8191/equipment/6948364)","Equipment (Injection Molding)")</f>
        <v>Equipment (Injection Molding)</v>
      </c>
      <c r="F6992" t="s">
        <v>7284</v>
      </c>
    </row>
    <row r="6993" spans="1:6" ht="12.75">
      <c r="A6993">
        <v>5388974</v>
      </c>
      <c r="B6993">
        <v>5388645</v>
      </c>
      <c r="C6993" t="s">
        <v>12</v>
      </c>
      <c r="D6993" t="s">
        <v>8</v>
      </c>
      <c r="E6993" s="2" t="str">
        <f>HYPERLINK("https://ibp.a2mac1.com/costing(costing:projects/details/8191/part/5388974)","Trim Bezel Side")</f>
        <v>Trim Bezel Side</v>
      </c>
      <c r="F6993" t="s">
        <v>7280</v>
      </c>
    </row>
    <row r="6994" spans="1:6" ht="12.75">
      <c r="A6994">
        <v>6975760</v>
      </c>
      <c r="B6994">
        <v>5388974</v>
      </c>
      <c r="C6994" t="s">
        <v>99</v>
      </c>
      <c r="D6994" t="s">
        <v>12</v>
      </c>
      <c r="E6994" s="2" t="str">
        <f>HYPERLINK("https://ibp.a2mac1.com/costing(costing:projects/details/8191/process/6975760)","Automated Process")</f>
        <v>Automated Process</v>
      </c>
      <c r="F6994" t="s">
        <v>7286</v>
      </c>
    </row>
    <row r="6995" spans="1:6" ht="12.75">
      <c r="A6995">
        <v>5320163</v>
      </c>
      <c r="B6995">
        <v>6975760</v>
      </c>
      <c r="C6995" t="s">
        <v>24</v>
      </c>
      <c r="D6995" t="s">
        <v>99</v>
      </c>
      <c r="E6995" s="2" t="str">
        <f>HYPERLINK("https://ibp.a2mac1.com/costing(costing:projects/details/8191/material/5320163)","PP")</f>
        <v>PP</v>
      </c>
      <c r="F6995" t="s">
        <v>7287</v>
      </c>
    </row>
    <row r="6996" spans="1:6" ht="12.75">
      <c r="A6996">
        <v>6948365</v>
      </c>
      <c r="B6996">
        <v>6975760</v>
      </c>
      <c r="C6996" t="s">
        <v>189</v>
      </c>
      <c r="D6996" t="s">
        <v>99</v>
      </c>
      <c r="E6996" s="2" t="str">
        <f>HYPERLINK("https://ibp.a2mac1.com/costing(costing:projects/details/8191/equipment/6948365)","Equipment (Injection Molding)")</f>
        <v>Equipment (Injection Molding)</v>
      </c>
      <c r="F6996" t="s">
        <v>7287</v>
      </c>
    </row>
    <row r="6997" spans="1:6" ht="12.75">
      <c r="A6997">
        <v>5388975</v>
      </c>
      <c r="B6997">
        <v>5388645</v>
      </c>
      <c r="C6997" t="s">
        <v>12</v>
      </c>
      <c r="D6997" t="s">
        <v>8</v>
      </c>
      <c r="E6997" s="2" t="str">
        <f>HYPERLINK("https://ibp.a2mac1.com/costing(costing:projects/details/8191/part/5388975)","Trim Logo")</f>
        <v>Trim Logo</v>
      </c>
      <c r="F6997" t="s">
        <v>7280</v>
      </c>
    </row>
    <row r="6998" spans="1:6" ht="12.75">
      <c r="A6998">
        <v>6975761</v>
      </c>
      <c r="B6998">
        <v>5388975</v>
      </c>
      <c r="C6998" t="s">
        <v>99</v>
      </c>
      <c r="D6998" t="s">
        <v>12</v>
      </c>
      <c r="E6998" s="2" t="str">
        <f>HYPERLINK("https://ibp.a2mac1.com/costing(costing:projects/details/8191/process/6975761)","Automated Process")</f>
        <v>Automated Process</v>
      </c>
      <c r="F6998" t="s">
        <v>7289</v>
      </c>
    </row>
    <row r="6999" spans="1:6" ht="12.75">
      <c r="A6999">
        <v>5320164</v>
      </c>
      <c r="B6999">
        <v>6975761</v>
      </c>
      <c r="C6999" t="s">
        <v>24</v>
      </c>
      <c r="D6999" t="s">
        <v>99</v>
      </c>
      <c r="E6999" s="2" t="str">
        <f>HYPERLINK("https://ibp.a2mac1.com/costing(costing:projects/details/8191/material/5320164)","PMMA")</f>
        <v>PMMA</v>
      </c>
      <c r="F6999" t="s">
        <v>7290</v>
      </c>
    </row>
    <row r="7000" spans="1:6" ht="12.75">
      <c r="A7000">
        <v>6948366</v>
      </c>
      <c r="B7000">
        <v>6975761</v>
      </c>
      <c r="C7000" t="s">
        <v>189</v>
      </c>
      <c r="D7000" t="s">
        <v>99</v>
      </c>
      <c r="E7000" s="2" t="str">
        <f>HYPERLINK("https://ibp.a2mac1.com/costing(costing:projects/details/8191/equipment/6948366)","Equipment (Injection Molding)")</f>
        <v>Equipment (Injection Molding)</v>
      </c>
      <c r="F7000" t="s">
        <v>7290</v>
      </c>
    </row>
    <row r="7001" spans="1:6" ht="12.75">
      <c r="A7001">
        <v>5388976</v>
      </c>
      <c r="B7001">
        <v>5388645</v>
      </c>
      <c r="C7001" t="s">
        <v>12</v>
      </c>
      <c r="D7001" t="s">
        <v>8</v>
      </c>
      <c r="E7001" s="2" t="str">
        <f>HYPERLINK("https://ibp.a2mac1.com/costing(costing:projects/details/8191/part/5388976)","Side Bezels Covers")</f>
        <v>Side Bezels Covers</v>
      </c>
      <c r="F7001" t="s">
        <v>7280</v>
      </c>
    </row>
    <row r="7002" spans="1:6" ht="12.75">
      <c r="A7002">
        <v>6975762</v>
      </c>
      <c r="B7002">
        <v>5388976</v>
      </c>
      <c r="C7002" t="s">
        <v>99</v>
      </c>
      <c r="D7002" t="s">
        <v>12</v>
      </c>
      <c r="E7002" s="2" t="str">
        <f>HYPERLINK("https://ibp.a2mac1.com/costing(costing:projects/details/8191/process/6975762)","Automated Process")</f>
        <v>Automated Process</v>
      </c>
      <c r="F7002" t="s">
        <v>7293</v>
      </c>
    </row>
    <row r="7003" spans="1:6" ht="12.75">
      <c r="A7003">
        <v>5320165</v>
      </c>
      <c r="B7003">
        <v>6975762</v>
      </c>
      <c r="C7003" t="s">
        <v>24</v>
      </c>
      <c r="D7003" t="s">
        <v>99</v>
      </c>
      <c r="E7003" s="2" t="str">
        <f>HYPERLINK("https://ibp.a2mac1.com/costing(costing:projects/details/8191/material/5320165)","PP")</f>
        <v>PP</v>
      </c>
      <c r="F7003" t="s">
        <v>7296</v>
      </c>
    </row>
    <row r="7004" spans="1:6" ht="12.75">
      <c r="A7004">
        <v>6948367</v>
      </c>
      <c r="B7004">
        <v>6975762</v>
      </c>
      <c r="C7004" t="s">
        <v>189</v>
      </c>
      <c r="D7004" t="s">
        <v>99</v>
      </c>
      <c r="E7004" s="2" t="str">
        <f>HYPERLINK("https://ibp.a2mac1.com/costing(costing:projects/details/8191/equipment/6948367)","Equipment (Injection Molding)")</f>
        <v>Equipment (Injection Molding)</v>
      </c>
      <c r="F7004" t="s">
        <v>7296</v>
      </c>
    </row>
    <row r="7005" spans="1:6" ht="12.75">
      <c r="A7005">
        <v>5388977</v>
      </c>
      <c r="B7005">
        <v>5388645</v>
      </c>
      <c r="C7005" t="s">
        <v>12</v>
      </c>
      <c r="D7005" t="s">
        <v>8</v>
      </c>
      <c r="E7005" s="2" t="str">
        <f>HYPERLINK("https://ibp.a2mac1.com/costing(costing:projects/details/8191/part/5388977)","2nd Lower Trim")</f>
        <v>2nd Lower Trim</v>
      </c>
      <c r="F7005" t="s">
        <v>7280</v>
      </c>
    </row>
    <row r="7006" spans="1:6" ht="12.75">
      <c r="A7006">
        <v>6975763</v>
      </c>
      <c r="B7006">
        <v>5388977</v>
      </c>
      <c r="C7006" t="s">
        <v>99</v>
      </c>
      <c r="D7006" t="s">
        <v>12</v>
      </c>
      <c r="E7006" s="2" t="str">
        <f>HYPERLINK("https://ibp.a2mac1.com/costing(costing:projects/details/8191/process/6975763)","Automated Process")</f>
        <v>Automated Process</v>
      </c>
      <c r="F7006" t="s">
        <v>7298</v>
      </c>
    </row>
    <row r="7007" spans="1:6" ht="12.75">
      <c r="A7007">
        <v>5320166</v>
      </c>
      <c r="B7007">
        <v>6975763</v>
      </c>
      <c r="C7007" t="s">
        <v>24</v>
      </c>
      <c r="D7007" t="s">
        <v>99</v>
      </c>
      <c r="E7007" s="2" t="str">
        <f>HYPERLINK("https://ibp.a2mac1.com/costing(costing:projects/details/8191/material/5320166)","PP-E/P")</f>
        <v>PP-E/P</v>
      </c>
      <c r="F7007" t="s">
        <v>7301</v>
      </c>
    </row>
    <row r="7008" spans="1:6" ht="12.75">
      <c r="A7008">
        <v>6948368</v>
      </c>
      <c r="B7008">
        <v>6975763</v>
      </c>
      <c r="C7008" t="s">
        <v>189</v>
      </c>
      <c r="D7008" t="s">
        <v>99</v>
      </c>
      <c r="E7008" s="2" t="str">
        <f>HYPERLINK("https://ibp.a2mac1.com/costing(costing:projects/details/8191/equipment/6948368)","DC machine - General")</f>
        <v>DC machine - General</v>
      </c>
      <c r="F7008" t="s">
        <v>7301</v>
      </c>
    </row>
    <row r="7009" spans="1:6" ht="12.75">
      <c r="A7009">
        <v>5388646</v>
      </c>
      <c r="B7009">
        <v>5388304</v>
      </c>
      <c r="C7009" t="s">
        <v>8</v>
      </c>
      <c r="D7009" t="s">
        <v>8</v>
      </c>
      <c r="E7009" s="2" t="str">
        <f>HYPERLINK("https://ibp.a2mac1.com/costing(costing:projects/details/8191/assembly/5388646)","Mounting Bracket")</f>
        <v>Mounting Bracket</v>
      </c>
      <c r="F7009" t="s">
        <v>7272</v>
      </c>
    </row>
    <row r="7010" spans="1:6" ht="12.75">
      <c r="A7010">
        <v>5388978</v>
      </c>
      <c r="B7010">
        <v>5388646</v>
      </c>
      <c r="C7010" t="s">
        <v>12</v>
      </c>
      <c r="D7010" t="s">
        <v>8</v>
      </c>
      <c r="E7010" s="2" t="str">
        <f>HYPERLINK("https://ibp.a2mac1.com/costing(costing:projects/details/8191/part/5388978)","Lateral")</f>
        <v>Lateral</v>
      </c>
      <c r="F7010" t="s">
        <v>7304</v>
      </c>
    </row>
    <row r="7011" spans="1:6" ht="12.75">
      <c r="A7011">
        <v>6975764</v>
      </c>
      <c r="B7011">
        <v>5388978</v>
      </c>
      <c r="C7011" t="s">
        <v>99</v>
      </c>
      <c r="D7011" t="s">
        <v>12</v>
      </c>
      <c r="E7011" s="2" t="str">
        <f>HYPERLINK("https://ibp.a2mac1.com/costing(costing:projects/details/8191/process/6975764)","Automated Process")</f>
        <v>Automated Process</v>
      </c>
      <c r="F7011" t="s">
        <v>7305</v>
      </c>
    </row>
    <row r="7012" spans="1:6" ht="12.75">
      <c r="A7012">
        <v>5320167</v>
      </c>
      <c r="B7012">
        <v>6975764</v>
      </c>
      <c r="C7012" t="s">
        <v>24</v>
      </c>
      <c r="D7012" t="s">
        <v>99</v>
      </c>
      <c r="E7012" s="2" t="str">
        <f>HYPERLINK("https://ibp.a2mac1.com/costing(costing:projects/details/8191/material/5320167)","POM")</f>
        <v>POM</v>
      </c>
      <c r="F7012" t="s">
        <v>7308</v>
      </c>
    </row>
    <row r="7013" spans="1:6" ht="12.75">
      <c r="A7013">
        <v>6948369</v>
      </c>
      <c r="B7013">
        <v>6975764</v>
      </c>
      <c r="C7013" t="s">
        <v>189</v>
      </c>
      <c r="D7013" t="s">
        <v>99</v>
      </c>
      <c r="E7013" s="2" t="str">
        <f>HYPERLINK("https://ibp.a2mac1.com/costing(costing:projects/details/8191/equipment/6948369)","Equipment (Injection Molding)")</f>
        <v>Equipment (Injection Molding)</v>
      </c>
      <c r="F7013" t="s">
        <v>7308</v>
      </c>
    </row>
    <row r="7014" spans="1:6" ht="12.75">
      <c r="A7014">
        <v>5388647</v>
      </c>
      <c r="B7014">
        <v>5388304</v>
      </c>
      <c r="C7014" t="s">
        <v>8</v>
      </c>
      <c r="D7014" t="s">
        <v>8</v>
      </c>
      <c r="E7014" s="2" t="str">
        <f>HYPERLINK("https://ibp.a2mac1.com/costing(costing:projects/details/8191/assembly/5388647)","Air Guide")</f>
        <v>Air Guide</v>
      </c>
      <c r="F7014" t="s">
        <v>7272</v>
      </c>
    </row>
    <row r="7015" spans="1:6" ht="12.75">
      <c r="A7015">
        <v>5388979</v>
      </c>
      <c r="B7015">
        <v>5388647</v>
      </c>
      <c r="C7015" t="s">
        <v>12</v>
      </c>
      <c r="D7015" t="s">
        <v>8</v>
      </c>
      <c r="E7015" s="2" t="str">
        <f>HYPERLINK("https://ibp.a2mac1.com/costing(costing:projects/details/8191/part/5388979)","Left and Right if Similar")</f>
        <v>Left and Right if Similar</v>
      </c>
      <c r="F7015" t="s">
        <v>7311</v>
      </c>
    </row>
    <row r="7016" spans="1:6" ht="12.75">
      <c r="A7016">
        <v>6975765</v>
      </c>
      <c r="B7016">
        <v>5388979</v>
      </c>
      <c r="C7016" t="s">
        <v>99</v>
      </c>
      <c r="D7016" t="s">
        <v>12</v>
      </c>
      <c r="E7016" s="2" t="str">
        <f>HYPERLINK("https://ibp.a2mac1.com/costing(costing:projects/details/8191/process/6975765)","Automated Process")</f>
        <v>Automated Process</v>
      </c>
      <c r="F7016" t="s">
        <v>7312</v>
      </c>
    </row>
    <row r="7017" spans="1:6" ht="12.75">
      <c r="A7017">
        <v>5320168</v>
      </c>
      <c r="B7017">
        <v>6975765</v>
      </c>
      <c r="C7017" t="s">
        <v>24</v>
      </c>
      <c r="D7017" t="s">
        <v>99</v>
      </c>
      <c r="E7017" s="2" t="str">
        <f>HYPERLINK("https://ibp.a2mac1.com/costing(costing:projects/details/8191/material/5320168)","PP")</f>
        <v>PP</v>
      </c>
      <c r="F7017" t="s">
        <v>7315</v>
      </c>
    </row>
    <row r="7018" spans="1:6" ht="12.75">
      <c r="A7018">
        <v>6948370</v>
      </c>
      <c r="B7018">
        <v>6975765</v>
      </c>
      <c r="C7018" t="s">
        <v>189</v>
      </c>
      <c r="D7018" t="s">
        <v>99</v>
      </c>
      <c r="E7018" s="2" t="str">
        <f>HYPERLINK("https://ibp.a2mac1.com/costing(costing:projects/details/8191/equipment/6948370)","Equipment (Injection Molding)")</f>
        <v>Equipment (Injection Molding)</v>
      </c>
      <c r="F7018" t="s">
        <v>7315</v>
      </c>
    </row>
    <row r="7019" spans="1:6" ht="12.75">
      <c r="A7019">
        <v>5388648</v>
      </c>
      <c r="B7019">
        <v>5388304</v>
      </c>
      <c r="C7019" t="s">
        <v>8</v>
      </c>
      <c r="D7019" t="s">
        <v>8</v>
      </c>
      <c r="E7019" s="2" t="str">
        <f>HYPERLINK("https://ibp.a2mac1.com/costing(costing:projects/details/8191/assembly/5388648)","Frame")</f>
        <v>Frame</v>
      </c>
      <c r="F7019" t="s">
        <v>7272</v>
      </c>
    </row>
    <row r="7020" spans="1:6" ht="12.75">
      <c r="A7020">
        <v>5388980</v>
      </c>
      <c r="B7020">
        <v>5388648</v>
      </c>
      <c r="C7020" t="s">
        <v>12</v>
      </c>
      <c r="D7020" t="s">
        <v>8</v>
      </c>
      <c r="E7020" s="2" t="str">
        <f>HYPERLINK("https://ibp.a2mac1.com/costing(costing:projects/details/8191/part/5388980)","Central Stiffener")</f>
        <v>Central Stiffener</v>
      </c>
      <c r="F7020" t="s">
        <v>7318</v>
      </c>
    </row>
    <row r="7021" spans="1:6" ht="12.75">
      <c r="A7021">
        <v>6975766</v>
      </c>
      <c r="B7021">
        <v>5388980</v>
      </c>
      <c r="C7021" t="s">
        <v>99</v>
      </c>
      <c r="D7021" t="s">
        <v>12</v>
      </c>
      <c r="E7021" s="2" t="str">
        <f>HYPERLINK("https://ibp.a2mac1.com/costing(costing:projects/details/8191/process/6975766)","Automated Process")</f>
        <v>Automated Process</v>
      </c>
      <c r="F7021" t="s">
        <v>7319</v>
      </c>
    </row>
    <row r="7022" spans="1:6" ht="12.75">
      <c r="A7022">
        <v>5320169</v>
      </c>
      <c r="B7022">
        <v>6975766</v>
      </c>
      <c r="C7022" t="s">
        <v>24</v>
      </c>
      <c r="D7022" t="s">
        <v>99</v>
      </c>
      <c r="E7022" s="2" t="str">
        <f>HYPERLINK("https://ibp.a2mac1.com/costing(costing:projects/details/8191/material/5320169)","PP")</f>
        <v>PP</v>
      </c>
      <c r="F7022" t="s">
        <v>7322</v>
      </c>
    </row>
    <row r="7023" spans="1:6" ht="12.75">
      <c r="A7023">
        <v>6948371</v>
      </c>
      <c r="B7023">
        <v>6975766</v>
      </c>
      <c r="C7023" t="s">
        <v>189</v>
      </c>
      <c r="D7023" t="s">
        <v>99</v>
      </c>
      <c r="E7023" s="2" t="str">
        <f>HYPERLINK("https://ibp.a2mac1.com/costing(costing:projects/details/8191/equipment/6948371)","Equipment (Injection Molding)")</f>
        <v>Equipment (Injection Molding)</v>
      </c>
      <c r="F7023" t="s">
        <v>7322</v>
      </c>
    </row>
    <row r="7024" spans="1:6" ht="12.75">
      <c r="A7024">
        <v>5319685</v>
      </c>
      <c r="B7024">
        <v>5388648</v>
      </c>
      <c r="C7024" t="s">
        <v>574</v>
      </c>
      <c r="D7024" t="s">
        <v>8</v>
      </c>
      <c r="E7024" s="2" t="str">
        <f>HYPERLINK("https://ibp.a2mac1.com/costing(costing:projects/details/8191/component/5319685)","Screw &gt; Torx socket head cap screw with flange")</f>
        <v>Screw &gt; Torx socket head cap screw with flange</v>
      </c>
      <c r="F7024" t="s">
        <v>7318</v>
      </c>
    </row>
    <row r="7025" spans="1:6" ht="12.75">
      <c r="A7025">
        <v>5388638</v>
      </c>
      <c r="B7025">
        <v>5388304</v>
      </c>
      <c r="C7025" t="s">
        <v>12</v>
      </c>
      <c r="D7025" t="s">
        <v>8</v>
      </c>
      <c r="E7025" s="2" t="str">
        <f>HYPERLINK("https://ibp.a2mac1.com/costing(costing:projects/details/8191/part/5388638)","Bumper")</f>
        <v>Bumper</v>
      </c>
      <c r="F7025" t="s">
        <v>7272</v>
      </c>
    </row>
    <row r="7026" spans="1:6" ht="12.75">
      <c r="A7026">
        <v>6975524</v>
      </c>
      <c r="B7026">
        <v>5388638</v>
      </c>
      <c r="C7026" t="s">
        <v>99</v>
      </c>
      <c r="D7026" t="s">
        <v>12</v>
      </c>
      <c r="E7026" s="2" t="str">
        <f>HYPERLINK("https://ibp.a2mac1.com/costing(costing:projects/details/8191/process/6975524)","Automated Process")</f>
        <v>Automated Process</v>
      </c>
      <c r="F7026" t="s">
        <v>7325</v>
      </c>
    </row>
    <row r="7027" spans="1:6" ht="12.75">
      <c r="A7027">
        <v>5319960</v>
      </c>
      <c r="B7027">
        <v>6975524</v>
      </c>
      <c r="C7027" t="s">
        <v>24</v>
      </c>
      <c r="D7027" t="s">
        <v>99</v>
      </c>
      <c r="E7027" s="2" t="str">
        <f>HYPERLINK("https://ibp.a2mac1.com/costing(costing:projects/details/8191/material/5319960)","PP-PE")</f>
        <v>PP-PE</v>
      </c>
      <c r="F7027" t="s">
        <v>7328</v>
      </c>
    </row>
    <row r="7028" spans="1:6" ht="12.75">
      <c r="A7028">
        <v>6948115</v>
      </c>
      <c r="B7028">
        <v>6975524</v>
      </c>
      <c r="C7028" t="s">
        <v>189</v>
      </c>
      <c r="D7028" t="s">
        <v>99</v>
      </c>
      <c r="E7028" s="2" t="str">
        <f>HYPERLINK("https://ibp.a2mac1.com/costing(costing:projects/details/8191/equipment/6948115)","DC machine - General")</f>
        <v>DC machine - General</v>
      </c>
      <c r="F7028" t="s">
        <v>7328</v>
      </c>
    </row>
    <row r="7029" spans="1:6" ht="12.75">
      <c r="A7029">
        <v>5388639</v>
      </c>
      <c r="B7029">
        <v>5388304</v>
      </c>
      <c r="C7029" t="s">
        <v>12</v>
      </c>
      <c r="D7029" t="s">
        <v>8</v>
      </c>
      <c r="E7029" s="2" t="str">
        <f>HYPERLINK("https://ibp.a2mac1.com/costing(costing:projects/details/8191/part/5388639)","Bumper Reinforcement")</f>
        <v>Bumper Reinforcement</v>
      </c>
      <c r="F7029" t="s">
        <v>7272</v>
      </c>
    </row>
    <row r="7030" spans="1:6" ht="12.75">
      <c r="A7030">
        <v>6975525</v>
      </c>
      <c r="B7030">
        <v>5388639</v>
      </c>
      <c r="C7030" t="s">
        <v>99</v>
      </c>
      <c r="D7030" t="s">
        <v>12</v>
      </c>
      <c r="E7030" s="2" t="str">
        <f>HYPERLINK("https://ibp.a2mac1.com/costing(costing:projects/details/8191/process/6975525)","Automated Process")</f>
        <v>Automated Process</v>
      </c>
      <c r="F7030" t="s">
        <v>7331</v>
      </c>
    </row>
    <row r="7031" spans="1:6" ht="12.75">
      <c r="A7031">
        <v>5319961</v>
      </c>
      <c r="B7031">
        <v>6975525</v>
      </c>
      <c r="C7031" t="s">
        <v>24</v>
      </c>
      <c r="D7031" t="s">
        <v>99</v>
      </c>
      <c r="E7031" s="2" t="str">
        <f>HYPERLINK("https://ibp.a2mac1.com/costing(costing:projects/details/8191/material/5319961)","PP")</f>
        <v>PP</v>
      </c>
      <c r="F7031" t="s">
        <v>7334</v>
      </c>
    </row>
    <row r="7032" spans="1:6" ht="12.75">
      <c r="A7032">
        <v>6948116</v>
      </c>
      <c r="B7032">
        <v>6975525</v>
      </c>
      <c r="C7032" t="s">
        <v>189</v>
      </c>
      <c r="D7032" t="s">
        <v>99</v>
      </c>
      <c r="E7032" s="2" t="str">
        <f>HYPERLINK("https://ibp.a2mac1.com/costing(costing:projects/details/8191/equipment/6948116)","DC machine - General")</f>
        <v>DC machine - General</v>
      </c>
      <c r="F7032" t="s">
        <v>7334</v>
      </c>
    </row>
    <row r="7033" spans="1:6" ht="12.75">
      <c r="A7033">
        <v>5388640</v>
      </c>
      <c r="B7033">
        <v>5388304</v>
      </c>
      <c r="C7033" t="s">
        <v>12</v>
      </c>
      <c r="D7033" t="s">
        <v>8</v>
      </c>
      <c r="E7033" s="2" t="str">
        <f>HYPERLINK("https://ibp.a2mac1.com/costing(costing:projects/details/8191/part/5388640)","Towing Hook Fastener Cover")</f>
        <v>Towing Hook Fastener Cover</v>
      </c>
      <c r="F7033" t="s">
        <v>7272</v>
      </c>
    </row>
    <row r="7034" spans="1:6" ht="12.75">
      <c r="A7034">
        <v>6975526</v>
      </c>
      <c r="B7034">
        <v>5388640</v>
      </c>
      <c r="C7034" t="s">
        <v>99</v>
      </c>
      <c r="D7034" t="s">
        <v>12</v>
      </c>
      <c r="E7034" s="2" t="str">
        <f>HYPERLINK("https://ibp.a2mac1.com/costing(costing:projects/details/8191/process/6975526)","Automated Process")</f>
        <v>Automated Process</v>
      </c>
      <c r="F7034" t="s">
        <v>7336</v>
      </c>
    </row>
    <row r="7035" spans="1:6" ht="12.75">
      <c r="A7035">
        <v>5319962</v>
      </c>
      <c r="B7035">
        <v>6975526</v>
      </c>
      <c r="C7035" t="s">
        <v>24</v>
      </c>
      <c r="D7035" t="s">
        <v>99</v>
      </c>
      <c r="E7035" s="2" t="str">
        <f>HYPERLINK("https://ibp.a2mac1.com/costing(costing:projects/details/8191/material/5319962)","PC-PBT")</f>
        <v>PC-PBT</v>
      </c>
      <c r="F7035" t="s">
        <v>7337</v>
      </c>
    </row>
    <row r="7036" spans="1:6" ht="12.75">
      <c r="A7036">
        <v>6948117</v>
      </c>
      <c r="B7036">
        <v>6975526</v>
      </c>
      <c r="C7036" t="s">
        <v>189</v>
      </c>
      <c r="D7036" t="s">
        <v>99</v>
      </c>
      <c r="E7036" s="2" t="str">
        <f>HYPERLINK("https://ibp.a2mac1.com/costing(costing:projects/details/8191/equipment/6948117)","DC machine - General")</f>
        <v>DC machine - General</v>
      </c>
      <c r="F7036" t="s">
        <v>7337</v>
      </c>
    </row>
    <row r="7037" spans="1:6" ht="12.75">
      <c r="A7037">
        <v>5388641</v>
      </c>
      <c r="B7037">
        <v>5388304</v>
      </c>
      <c r="C7037" t="s">
        <v>12</v>
      </c>
      <c r="D7037" t="s">
        <v>8</v>
      </c>
      <c r="E7037" s="2" t="str">
        <f>HYPERLINK("https://ibp.a2mac1.com/costing(costing:projects/details/8191/part/5388641)","Front Bumper Harness")</f>
        <v>Front Bumper Harness</v>
      </c>
      <c r="F7037" t="s">
        <v>7272</v>
      </c>
    </row>
    <row r="7038" spans="1:6" ht="12.75">
      <c r="A7038">
        <v>6975527</v>
      </c>
      <c r="B7038">
        <v>5388641</v>
      </c>
      <c r="C7038" t="s">
        <v>99</v>
      </c>
      <c r="D7038" t="s">
        <v>12</v>
      </c>
      <c r="E7038" s="2" t="str">
        <f>HYPERLINK("https://ibp.a2mac1.com/costing(costing:projects/details/8191/process/6975527)","Process")</f>
        <v>Process</v>
      </c>
      <c r="F7038" t="s">
        <v>7339</v>
      </c>
    </row>
    <row r="7039" spans="1:6" ht="12.75">
      <c r="A7039">
        <v>6948118</v>
      </c>
      <c r="B7039">
        <v>6975527</v>
      </c>
      <c r="C7039" t="s">
        <v>189</v>
      </c>
      <c r="D7039" t="s">
        <v>99</v>
      </c>
      <c r="E7039" s="2" t="str">
        <f>HYPERLINK("https://ibp.a2mac1.com/costing(costing:projects/details/8191/equipment/6948118)","Dummy Machine (Wireharness production line)")</f>
        <v>Dummy Machine (Wireharness production line)</v>
      </c>
      <c r="F7039" t="s">
        <v>7340</v>
      </c>
    </row>
    <row r="7040" spans="1:6" ht="12.75">
      <c r="A7040">
        <v>5319683</v>
      </c>
      <c r="B7040">
        <v>5388641</v>
      </c>
      <c r="C7040" t="s">
        <v>574</v>
      </c>
      <c r="D7040" t="s">
        <v>12</v>
      </c>
      <c r="E7040" s="2" t="str">
        <f>HYPERLINK("https://ibp.a2mac1.com/costing(costing:projects/details/8191/component/5319683)","Copper")</f>
        <v>Copper</v>
      </c>
      <c r="F7040" t="s">
        <v>7339</v>
      </c>
    </row>
    <row r="7041" spans="1:6" ht="12.75">
      <c r="A7041">
        <v>5319684</v>
      </c>
      <c r="B7041">
        <v>5388641</v>
      </c>
      <c r="C7041" t="s">
        <v>574</v>
      </c>
      <c r="D7041" t="s">
        <v>12</v>
      </c>
      <c r="E7041" s="2" t="str">
        <f>HYPERLINK("https://ibp.a2mac1.com/costing(costing:projects/details/8191/component/5319684)","Material")</f>
        <v>Material</v>
      </c>
      <c r="F7041" t="s">
        <v>7339</v>
      </c>
    </row>
    <row r="7042" spans="1:6" ht="12.75">
      <c r="A7042">
        <v>5388642</v>
      </c>
      <c r="B7042">
        <v>5388304</v>
      </c>
      <c r="C7042" t="s">
        <v>12</v>
      </c>
      <c r="D7042" t="s">
        <v>8</v>
      </c>
      <c r="E7042" s="2" t="str">
        <f>HYPERLINK("https://ibp.a2mac1.com/costing(costing:projects/details/8191/part/5388642)","Emblem")</f>
        <v>Emblem</v>
      </c>
      <c r="F7042" t="s">
        <v>7272</v>
      </c>
    </row>
    <row r="7043" spans="1:6" ht="12.75">
      <c r="A7043">
        <v>6975528</v>
      </c>
      <c r="B7043">
        <v>5388642</v>
      </c>
      <c r="C7043" t="s">
        <v>99</v>
      </c>
      <c r="D7043" t="s">
        <v>12</v>
      </c>
      <c r="E7043" s="2" t="str">
        <f>HYPERLINK("https://ibp.a2mac1.com/costing(costing:projects/details/8191/process/6975528)","Automated Process")</f>
        <v>Automated Process</v>
      </c>
      <c r="F7043" t="s">
        <v>7342</v>
      </c>
    </row>
    <row r="7044" spans="1:6" ht="12.75">
      <c r="A7044">
        <v>5319963</v>
      </c>
      <c r="B7044">
        <v>6975528</v>
      </c>
      <c r="C7044" t="s">
        <v>24</v>
      </c>
      <c r="D7044" t="s">
        <v>99</v>
      </c>
      <c r="E7044" s="2" t="str">
        <f>HYPERLINK("https://ibp.a2mac1.com/costing(costing:projects/details/8191/material/5319963)","PC")</f>
        <v>PC</v>
      </c>
      <c r="F7044" t="s">
        <v>7345</v>
      </c>
    </row>
    <row r="7045" spans="1:6" ht="12.75">
      <c r="A7045">
        <v>6948119</v>
      </c>
      <c r="B7045">
        <v>6975528</v>
      </c>
      <c r="C7045" t="s">
        <v>189</v>
      </c>
      <c r="D7045" t="s">
        <v>99</v>
      </c>
      <c r="E7045" s="2" t="str">
        <f>HYPERLINK("https://ibp.a2mac1.com/costing(costing:projects/details/8191/equipment/6948119)","DC machine - General")</f>
        <v>DC machine - General</v>
      </c>
      <c r="F7045" t="s">
        <v>7345</v>
      </c>
    </row>
    <row r="7046" spans="1:6" ht="12.75">
      <c r="A7046">
        <v>5388643</v>
      </c>
      <c r="B7046">
        <v>5388304</v>
      </c>
      <c r="C7046" t="s">
        <v>12</v>
      </c>
      <c r="D7046" t="s">
        <v>8</v>
      </c>
      <c r="E7046" s="2" t="str">
        <f>HYPERLINK("https://ibp.a2mac1.com/costing(costing:projects/details/8191/part/5388643)","Bumper Hood Seal")</f>
        <v>Bumper Hood Seal</v>
      </c>
      <c r="F7046" t="s">
        <v>7272</v>
      </c>
    </row>
    <row r="7047" spans="1:6" ht="12.75">
      <c r="A7047">
        <v>6975529</v>
      </c>
      <c r="B7047">
        <v>5388643</v>
      </c>
      <c r="C7047" t="s">
        <v>99</v>
      </c>
      <c r="D7047" t="s">
        <v>12</v>
      </c>
      <c r="E7047" s="2" t="str">
        <f>HYPERLINK("https://ibp.a2mac1.com/costing(costing:projects/details/8191/process/6975529)","Automated Process")</f>
        <v>Automated Process</v>
      </c>
      <c r="F7047" t="s">
        <v>7347</v>
      </c>
    </row>
    <row r="7048" spans="1:6" ht="12.75">
      <c r="A7048">
        <v>5319964</v>
      </c>
      <c r="B7048">
        <v>6975529</v>
      </c>
      <c r="C7048" t="s">
        <v>24</v>
      </c>
      <c r="D7048" t="s">
        <v>99</v>
      </c>
      <c r="E7048" s="2" t="str">
        <f>HYPERLINK("https://ibp.a2mac1.com/costing(costing:projects/details/8191/material/5319964)","EPDM")</f>
        <v>EPDM</v>
      </c>
      <c r="F7048" t="s">
        <v>7350</v>
      </c>
    </row>
    <row r="7049" spans="1:6" ht="12.75">
      <c r="A7049">
        <v>6948120</v>
      </c>
      <c r="B7049">
        <v>6975529</v>
      </c>
      <c r="C7049" t="s">
        <v>189</v>
      </c>
      <c r="D7049" t="s">
        <v>99</v>
      </c>
      <c r="E7049" s="2" t="str">
        <f>HYPERLINK("https://ibp.a2mac1.com/costing(costing:projects/details/8191/equipment/6948120)","Equipment (Injection Molding)")</f>
        <v>Equipment (Injection Molding)</v>
      </c>
      <c r="F7049" t="s">
        <v>7350</v>
      </c>
    </row>
    <row r="7050" spans="1:6" ht="12.75">
      <c r="A7050">
        <v>5319503</v>
      </c>
      <c r="B7050">
        <v>5388304</v>
      </c>
      <c r="C7050" t="s">
        <v>574</v>
      </c>
      <c r="D7050" t="s">
        <v>8</v>
      </c>
      <c r="E7050" s="2" t="str">
        <f>HYPERLINK("https://ibp.a2mac1.com/costing(costing:projects/details/8191/component/5319503)","Screw &gt; Torx socket head cap screw with flange")</f>
        <v>Screw &gt; Torx socket head cap screw with flange</v>
      </c>
      <c r="F7050" t="s">
        <v>7272</v>
      </c>
    </row>
    <row r="7051" spans="1:6" ht="12.75">
      <c r="A7051">
        <v>5319504</v>
      </c>
      <c r="B7051">
        <v>5388304</v>
      </c>
      <c r="C7051" t="s">
        <v>574</v>
      </c>
      <c r="D7051" t="s">
        <v>8</v>
      </c>
      <c r="E7051" s="2" t="str">
        <f>HYPERLINK("https://ibp.a2mac1.com/costing(costing:projects/details/8191/component/5319504)","Tube/cluster support &gt; Tube/cluster beribboned support on board side")</f>
        <v>Tube/cluster support &gt; Tube/cluster beribboned support on board side</v>
      </c>
      <c r="F7051" t="s">
        <v>7272</v>
      </c>
    </row>
    <row r="7052" spans="1:6" ht="12.75">
      <c r="A7052">
        <v>5319505</v>
      </c>
      <c r="B7052">
        <v>5388304</v>
      </c>
      <c r="C7052" t="s">
        <v>574</v>
      </c>
      <c r="D7052" t="s">
        <v>8</v>
      </c>
      <c r="E7052" s="2" t="str">
        <f>HYPERLINK("https://ibp.a2mac1.com/costing(costing:projects/details/8191/component/5319505)","Screw &gt; Torx socket head cap screw with flange")</f>
        <v>Screw &gt; Torx socket head cap screw with flange</v>
      </c>
      <c r="F7052" t="s">
        <v>7272</v>
      </c>
    </row>
    <row r="7053" spans="1:6" ht="12.75">
      <c r="A7053">
        <v>5319506</v>
      </c>
      <c r="B7053">
        <v>5388304</v>
      </c>
      <c r="C7053" t="s">
        <v>574</v>
      </c>
      <c r="D7053" t="s">
        <v>8</v>
      </c>
      <c r="E7053" s="2" t="str">
        <f>HYPERLINK("https://ibp.a2mac1.com/costing(costing:projects/details/8191/component/5319506)","Panel holder &gt; Clips in round hole")</f>
        <v>Panel holder &gt; Clips in round hole</v>
      </c>
      <c r="F7053" t="s">
        <v>7272</v>
      </c>
    </row>
    <row r="7054" spans="1:6" ht="12.75">
      <c r="A7054">
        <v>5388305</v>
      </c>
      <c r="B7054">
        <v>5388158</v>
      </c>
      <c r="C7054" t="s">
        <v>8</v>
      </c>
      <c r="D7054" t="s">
        <v>8</v>
      </c>
      <c r="E7054" s="2" t="str">
        <f>HYPERLINK("https://ibp.a2mac1.com/costing(costing:projects/details/8191/assembly/5388305)","Wheel Arch Liner")</f>
        <v>Wheel Arch Liner</v>
      </c>
      <c r="F7054" t="s">
        <v>7271</v>
      </c>
    </row>
    <row r="7055" spans="1:6" ht="12.75">
      <c r="A7055">
        <v>5388649</v>
      </c>
      <c r="B7055">
        <v>5388305</v>
      </c>
      <c r="C7055" t="s">
        <v>8</v>
      </c>
      <c r="D7055" t="s">
        <v>8</v>
      </c>
      <c r="E7055" s="2" t="str">
        <f>HYPERLINK("https://ibp.a2mac1.com/costing(costing:projects/details/8191/assembly/5388649)","Left")</f>
        <v>Left</v>
      </c>
      <c r="F7055" t="s">
        <v>7353</v>
      </c>
    </row>
    <row r="7056" spans="1:6" ht="12.75">
      <c r="A7056">
        <v>5388981</v>
      </c>
      <c r="B7056">
        <v>5388649</v>
      </c>
      <c r="C7056" t="s">
        <v>12</v>
      </c>
      <c r="D7056" t="s">
        <v>8</v>
      </c>
      <c r="E7056" s="2" t="str">
        <f>HYPERLINK("https://ibp.a2mac1.com/costing(costing:projects/details/8191/part/5388981)","Wheel Arch Liner")</f>
        <v>Wheel Arch Liner</v>
      </c>
      <c r="F7056" t="s">
        <v>7354</v>
      </c>
    </row>
    <row r="7057" spans="1:6" ht="12.75">
      <c r="A7057">
        <v>6975767</v>
      </c>
      <c r="B7057">
        <v>5388981</v>
      </c>
      <c r="C7057" t="s">
        <v>99</v>
      </c>
      <c r="D7057" t="s">
        <v>12</v>
      </c>
      <c r="E7057" s="2" t="str">
        <f>HYPERLINK("https://ibp.a2mac1.com/costing(costing:projects/details/8191/process/6975767)","Automated Process")</f>
        <v>Automated Process</v>
      </c>
      <c r="F7057" t="s">
        <v>7355</v>
      </c>
    </row>
    <row r="7058" spans="1:6" ht="12.75">
      <c r="A7058">
        <v>5320170</v>
      </c>
      <c r="B7058">
        <v>6975767</v>
      </c>
      <c r="C7058" t="s">
        <v>24</v>
      </c>
      <c r="D7058" t="s">
        <v>99</v>
      </c>
      <c r="E7058" s="2" t="str">
        <f>HYPERLINK("https://ibp.a2mac1.com/costing(costing:projects/details/8191/material/5320170)","PP-PE")</f>
        <v>PP-PE</v>
      </c>
      <c r="F7058" t="s">
        <v>7358</v>
      </c>
    </row>
    <row r="7059" spans="1:6" ht="12.75">
      <c r="A7059">
        <v>6948372</v>
      </c>
      <c r="B7059">
        <v>6975767</v>
      </c>
      <c r="C7059" t="s">
        <v>189</v>
      </c>
      <c r="D7059" t="s">
        <v>99</v>
      </c>
      <c r="E7059" s="2" t="str">
        <f>HYPERLINK("https://ibp.a2mac1.com/costing(costing:projects/details/8191/equipment/6948372)","Equipment (Injection Molding)")</f>
        <v>Equipment (Injection Molding)</v>
      </c>
      <c r="F7059" t="s">
        <v>7358</v>
      </c>
    </row>
    <row r="7060" spans="1:6" ht="12.75">
      <c r="A7060">
        <v>5319686</v>
      </c>
      <c r="B7060">
        <v>5388649</v>
      </c>
      <c r="C7060" t="s">
        <v>574</v>
      </c>
      <c r="D7060" t="s">
        <v>8</v>
      </c>
      <c r="E7060" s="2" t="str">
        <f>HYPERLINK("https://ibp.a2mac1.com/costing(costing:projects/details/8191/component/5319686)","Other fastener &gt; Insert")</f>
        <v>Other fastener &gt; Insert</v>
      </c>
      <c r="F7060" t="s">
        <v>7354</v>
      </c>
    </row>
    <row r="7061" spans="1:6" ht="12.75">
      <c r="A7061">
        <v>5388650</v>
      </c>
      <c r="B7061">
        <v>5388305</v>
      </c>
      <c r="C7061" t="s">
        <v>8</v>
      </c>
      <c r="D7061" t="s">
        <v>8</v>
      </c>
      <c r="E7061" s="2" t="str">
        <f>HYPERLINK("https://ibp.a2mac1.com/costing(costing:projects/details/8191/assembly/5388650)","Right")</f>
        <v>Right</v>
      </c>
      <c r="F7061" t="s">
        <v>7353</v>
      </c>
    </row>
    <row r="7062" spans="1:6" ht="12.75">
      <c r="A7062">
        <v>5388982</v>
      </c>
      <c r="B7062">
        <v>5388650</v>
      </c>
      <c r="C7062" t="s">
        <v>12</v>
      </c>
      <c r="D7062" t="s">
        <v>8</v>
      </c>
      <c r="E7062" s="2" t="str">
        <f>HYPERLINK("https://ibp.a2mac1.com/costing(costing:projects/details/8191/part/5388982)","Wheel Arch Liner")</f>
        <v>Wheel Arch Liner</v>
      </c>
      <c r="F7062" t="s">
        <v>7362</v>
      </c>
    </row>
    <row r="7063" spans="1:6" ht="12.75">
      <c r="A7063">
        <v>6975768</v>
      </c>
      <c r="B7063">
        <v>5388982</v>
      </c>
      <c r="C7063" t="s">
        <v>99</v>
      </c>
      <c r="D7063" t="s">
        <v>12</v>
      </c>
      <c r="E7063" s="2" t="str">
        <f>HYPERLINK("https://ibp.a2mac1.com/costing(costing:projects/details/8191/process/6975768)","Automated Process")</f>
        <v>Automated Process</v>
      </c>
      <c r="F7063" t="s">
        <v>7363</v>
      </c>
    </row>
    <row r="7064" spans="1:6" ht="12.75">
      <c r="A7064">
        <v>5320171</v>
      </c>
      <c r="B7064">
        <v>6975768</v>
      </c>
      <c r="C7064" t="s">
        <v>24</v>
      </c>
      <c r="D7064" t="s">
        <v>99</v>
      </c>
      <c r="E7064" s="2" t="str">
        <f>HYPERLINK("https://ibp.a2mac1.com/costing(costing:projects/details/8191/material/5320171)","PP-PE")</f>
        <v>PP-PE</v>
      </c>
      <c r="F7064" t="s">
        <v>7364</v>
      </c>
    </row>
    <row r="7065" spans="1:6" ht="12.75">
      <c r="A7065">
        <v>6948373</v>
      </c>
      <c r="B7065">
        <v>6975768</v>
      </c>
      <c r="C7065" t="s">
        <v>189</v>
      </c>
      <c r="D7065" t="s">
        <v>99</v>
      </c>
      <c r="E7065" s="2" t="str">
        <f>HYPERLINK("https://ibp.a2mac1.com/costing(costing:projects/details/8191/equipment/6948373)","Equipment (Injection Molding)")</f>
        <v>Equipment (Injection Molding)</v>
      </c>
      <c r="F7065" t="s">
        <v>7364</v>
      </c>
    </row>
    <row r="7066" spans="1:6" ht="12.75">
      <c r="A7066">
        <v>5319687</v>
      </c>
      <c r="B7066">
        <v>5388650</v>
      </c>
      <c r="C7066" t="s">
        <v>574</v>
      </c>
      <c r="D7066" t="s">
        <v>8</v>
      </c>
      <c r="E7066" s="2" t="str">
        <f>HYPERLINK("https://ibp.a2mac1.com/costing(costing:projects/details/8191/component/5319687)","Panel holder &gt; Multifunction clips")</f>
        <v>Panel holder &gt; Multifunction clips</v>
      </c>
      <c r="F7066" t="s">
        <v>7362</v>
      </c>
    </row>
    <row r="7067" spans="1:6" ht="12.75">
      <c r="A7067">
        <v>5388306</v>
      </c>
      <c r="B7067">
        <v>5388158</v>
      </c>
      <c r="C7067" t="s">
        <v>8</v>
      </c>
      <c r="D7067" t="s">
        <v>8</v>
      </c>
      <c r="E7067" s="2" t="str">
        <f>HYPERLINK("https://ibp.a2mac1.com/costing(costing:projects/details/8191/assembly/5388306)","Energy Absorbers System")</f>
        <v>Energy Absorbers System</v>
      </c>
      <c r="F7067" t="s">
        <v>7271</v>
      </c>
    </row>
    <row r="7068" spans="1:6" ht="12.75">
      <c r="A7068">
        <v>5388651</v>
      </c>
      <c r="B7068">
        <v>5388306</v>
      </c>
      <c r="C7068" t="s">
        <v>12</v>
      </c>
      <c r="D7068" t="s">
        <v>8</v>
      </c>
      <c r="E7068" s="2" t="str">
        <f>HYPERLINK("https://ibp.a2mac1.com/costing(costing:projects/details/8191/part/5388651)","Upper Energy Absorber")</f>
        <v>Upper Energy Absorber</v>
      </c>
      <c r="F7068" t="s">
        <v>7368</v>
      </c>
    </row>
    <row r="7069" spans="1:6" ht="12.75">
      <c r="A7069">
        <v>6975530</v>
      </c>
      <c r="B7069">
        <v>5388651</v>
      </c>
      <c r="C7069" t="s">
        <v>99</v>
      </c>
      <c r="D7069" t="s">
        <v>12</v>
      </c>
      <c r="E7069" s="2" t="str">
        <f>HYPERLINK("https://ibp.a2mac1.com/costing(costing:projects/details/8191/process/6975530)","Press")</f>
        <v>Press</v>
      </c>
      <c r="F7069" t="s">
        <v>7369</v>
      </c>
    </row>
    <row r="7070" spans="1:6" ht="12.75">
      <c r="A7070">
        <v>5319965</v>
      </c>
      <c r="B7070">
        <v>6975530</v>
      </c>
      <c r="C7070" t="s">
        <v>24</v>
      </c>
      <c r="D7070" t="s">
        <v>99</v>
      </c>
      <c r="E7070" s="2" t="str">
        <f>HYPERLINK("https://ibp.a2mac1.com/costing(costing:projects/details/8191/material/5319965)","EPP")</f>
        <v>EPP</v>
      </c>
      <c r="F7070" t="s">
        <v>7372</v>
      </c>
    </row>
    <row r="7071" spans="1:6" ht="12.75">
      <c r="A7071">
        <v>6948121</v>
      </c>
      <c r="B7071">
        <v>6975530</v>
      </c>
      <c r="C7071" t="s">
        <v>189</v>
      </c>
      <c r="D7071" t="s">
        <v>99</v>
      </c>
      <c r="E7071" s="2" t="str">
        <f>HYPERLINK("https://ibp.a2mac1.com/costing(costing:projects/details/8191/equipment/6948121)","EPP-EPS PressNo. 05 - 1800x1300")</f>
        <v>EPP-EPS PressNo. 05 - 1800x1300</v>
      </c>
      <c r="F7071" t="s">
        <v>7372</v>
      </c>
    </row>
    <row r="7072" spans="1:6" ht="12.75">
      <c r="A7072">
        <v>6975531</v>
      </c>
      <c r="B7072">
        <v>5388651</v>
      </c>
      <c r="C7072" t="s">
        <v>99</v>
      </c>
      <c r="D7072" t="s">
        <v>12</v>
      </c>
      <c r="E7072" s="2" t="str">
        <f>HYPERLINK("https://ibp.a2mac1.com/costing(costing:projects/details/8191/process/6975531)","Steam facility")</f>
        <v>Steam facility</v>
      </c>
      <c r="F7072" t="s">
        <v>7369</v>
      </c>
    </row>
    <row r="7073" spans="1:6" ht="12.75">
      <c r="A7073">
        <v>6948122</v>
      </c>
      <c r="B7073">
        <v>6975531</v>
      </c>
      <c r="C7073" t="s">
        <v>189</v>
      </c>
      <c r="D7073" t="s">
        <v>99</v>
      </c>
      <c r="E7073" s="2" t="str">
        <f>HYPERLINK("https://ibp.a2mac1.com/costing(costing:projects/details/8191/equipment/6948122)","EPP-EPS Foaming - Steam Facility")</f>
        <v>EPP-EPS Foaming - Steam Facility</v>
      </c>
      <c r="F7073" t="s">
        <v>7373</v>
      </c>
    </row>
    <row r="7074" spans="1:6" ht="12.75">
      <c r="A7074">
        <v>5388307</v>
      </c>
      <c r="B7074">
        <v>5388158</v>
      </c>
      <c r="C7074" t="s">
        <v>8</v>
      </c>
      <c r="D7074" t="s">
        <v>8</v>
      </c>
      <c r="E7074" s="2" t="str">
        <f>HYPERLINK("https://ibp.a2mac1.com/costing(costing:projects/details/8191/assembly/5388307)","Upper Cross Member System")</f>
        <v>Upper Cross Member System</v>
      </c>
      <c r="F7074" t="s">
        <v>7271</v>
      </c>
    </row>
    <row r="7075" spans="1:6" ht="12.75">
      <c r="A7075">
        <v>5388652</v>
      </c>
      <c r="B7075">
        <v>5388307</v>
      </c>
      <c r="C7075" t="s">
        <v>12</v>
      </c>
      <c r="D7075" t="s">
        <v>8</v>
      </c>
      <c r="E7075" s="2" t="str">
        <f>HYPERLINK("https://ibp.a2mac1.com/costing(costing:projects/details/8191/part/5388652)","Upper Cross Member")</f>
        <v>Upper Cross Member</v>
      </c>
      <c r="F7075" t="s">
        <v>7377</v>
      </c>
    </row>
    <row r="7076" spans="1:6" ht="12.75">
      <c r="A7076">
        <v>6975532</v>
      </c>
      <c r="B7076">
        <v>5388652</v>
      </c>
      <c r="C7076" t="s">
        <v>99</v>
      </c>
      <c r="D7076" t="s">
        <v>12</v>
      </c>
      <c r="E7076" s="2" t="str">
        <f>HYPERLINK("https://ibp.a2mac1.com/costing(costing:projects/details/8191/process/6975532)","Process")</f>
        <v>Process</v>
      </c>
      <c r="F7076" t="s">
        <v>7378</v>
      </c>
    </row>
    <row r="7077" spans="1:6" ht="12.75">
      <c r="A7077">
        <v>5319966</v>
      </c>
      <c r="B7077">
        <v>6975532</v>
      </c>
      <c r="C7077" t="s">
        <v>24</v>
      </c>
      <c r="D7077" t="s">
        <v>99</v>
      </c>
      <c r="E7077" s="2" t="str">
        <f>HYPERLINK("https://ibp.a2mac1.com/costing(costing:projects/details/8191/material/5319966)","Steel sheet (default)")</f>
        <v>Steel sheet (default)</v>
      </c>
      <c r="F7077" t="s">
        <v>7381</v>
      </c>
    </row>
    <row r="7078" spans="1:6" ht="12.75">
      <c r="A7078">
        <v>6948123</v>
      </c>
      <c r="B7078">
        <v>6975532</v>
      </c>
      <c r="C7078" t="s">
        <v>189</v>
      </c>
      <c r="D7078" t="s">
        <v>99</v>
      </c>
      <c r="E7078" s="2" t="str">
        <f>HYPERLINK("https://ibp.a2mac1.com/costing(costing:projects/details/8191/equipment/6948123)","DC machine - General")</f>
        <v>DC machine - General</v>
      </c>
      <c r="F7078" t="s">
        <v>7381</v>
      </c>
    </row>
    <row r="7079" spans="1:6" ht="12.75">
      <c r="A7079">
        <v>5319507</v>
      </c>
      <c r="B7079">
        <v>5388307</v>
      </c>
      <c r="C7079" t="s">
        <v>574</v>
      </c>
      <c r="D7079" t="s">
        <v>8</v>
      </c>
      <c r="E7079" s="2" t="str">
        <f>HYPERLINK("https://ibp.a2mac1.com/costing(costing:projects/details/8191/component/5319507)","Screw &gt; Hexagon screw with flange")</f>
        <v>Screw &gt; Hexagon screw with flange</v>
      </c>
      <c r="F7079" t="s">
        <v>7377</v>
      </c>
    </row>
    <row r="7080" spans="1:6" ht="12.75">
      <c r="A7080">
        <v>5388308</v>
      </c>
      <c r="B7080">
        <v>5388158</v>
      </c>
      <c r="C7080" t="s">
        <v>8</v>
      </c>
      <c r="D7080" t="s">
        <v>8</v>
      </c>
      <c r="E7080" s="2" t="str">
        <f>HYPERLINK("https://ibp.a2mac1.com/costing(costing:projects/details/8191/assembly/5388308)","Support")</f>
        <v>Support</v>
      </c>
      <c r="F7080" t="s">
        <v>7271</v>
      </c>
    </row>
    <row r="7081" spans="1:6" ht="12.75">
      <c r="A7081">
        <v>5388653</v>
      </c>
      <c r="B7081">
        <v>5388308</v>
      </c>
      <c r="C7081" t="s">
        <v>12</v>
      </c>
      <c r="D7081" t="s">
        <v>8</v>
      </c>
      <c r="E7081" s="2" t="str">
        <f>HYPERLINK("https://ibp.a2mac1.com/costing(costing:projects/details/8191/part/5388653)","Fasteners on Fender")</f>
        <v>Fasteners on Fender</v>
      </c>
      <c r="F7081" t="s">
        <v>7384</v>
      </c>
    </row>
    <row r="7082" spans="1:6" ht="12.75">
      <c r="A7082">
        <v>6975533</v>
      </c>
      <c r="B7082">
        <v>5388653</v>
      </c>
      <c r="C7082" t="s">
        <v>99</v>
      </c>
      <c r="D7082" t="s">
        <v>12</v>
      </c>
      <c r="E7082" s="2" t="str">
        <f>HYPERLINK("https://ibp.a2mac1.com/costing(costing:projects/details/8191/process/6975533)","Automated Process")</f>
        <v>Automated Process</v>
      </c>
      <c r="F7082" t="s">
        <v>7385</v>
      </c>
    </row>
    <row r="7083" spans="1:6" ht="12.75">
      <c r="A7083">
        <v>5319967</v>
      </c>
      <c r="B7083">
        <v>6975533</v>
      </c>
      <c r="C7083" t="s">
        <v>24</v>
      </c>
      <c r="D7083" t="s">
        <v>99</v>
      </c>
      <c r="E7083" s="2" t="str">
        <f>HYPERLINK("https://ibp.a2mac1.com/costing(costing:projects/details/8191/material/5319967)","POM")</f>
        <v>POM</v>
      </c>
      <c r="F7083" t="s">
        <v>7386</v>
      </c>
    </row>
    <row r="7084" spans="1:6" ht="12.75">
      <c r="A7084">
        <v>6948124</v>
      </c>
      <c r="B7084">
        <v>6975533</v>
      </c>
      <c r="C7084" t="s">
        <v>189</v>
      </c>
      <c r="D7084" t="s">
        <v>99</v>
      </c>
      <c r="E7084" s="2" t="str">
        <f>HYPERLINK("https://ibp.a2mac1.com/costing(costing:projects/details/8191/equipment/6948124)","Equipment (Injection Molding)")</f>
        <v>Equipment (Injection Molding)</v>
      </c>
      <c r="F7084" t="s">
        <v>7386</v>
      </c>
    </row>
    <row r="7085" spans="1:6" ht="12.75">
      <c r="A7085">
        <v>5388654</v>
      </c>
      <c r="B7085">
        <v>5388308</v>
      </c>
      <c r="C7085" t="s">
        <v>12</v>
      </c>
      <c r="D7085" t="s">
        <v>8</v>
      </c>
      <c r="E7085" s="2" t="str">
        <f>HYPERLINK("https://ibp.a2mac1.com/costing(costing:projects/details/8191/part/5388654)","2nd Fasteners on Fender")</f>
        <v>2nd Fasteners on Fender</v>
      </c>
      <c r="F7085" t="s">
        <v>7384</v>
      </c>
    </row>
    <row r="7086" spans="1:6" ht="12.75">
      <c r="A7086">
        <v>6975534</v>
      </c>
      <c r="B7086">
        <v>5388654</v>
      </c>
      <c r="C7086" t="s">
        <v>99</v>
      </c>
      <c r="D7086" t="s">
        <v>12</v>
      </c>
      <c r="E7086" s="2" t="str">
        <f>HYPERLINK("https://ibp.a2mac1.com/costing(costing:projects/details/8191/process/6975534)","Automated Process")</f>
        <v>Automated Process</v>
      </c>
      <c r="F7086" t="s">
        <v>7388</v>
      </c>
    </row>
    <row r="7087" spans="1:6" ht="12.75">
      <c r="A7087">
        <v>5319968</v>
      </c>
      <c r="B7087">
        <v>6975534</v>
      </c>
      <c r="C7087" t="s">
        <v>24</v>
      </c>
      <c r="D7087" t="s">
        <v>99</v>
      </c>
      <c r="E7087" s="2" t="str">
        <f>HYPERLINK("https://ibp.a2mac1.com/costing(costing:projects/details/8191/material/5319968)","POM")</f>
        <v>POM</v>
      </c>
      <c r="F7087" t="s">
        <v>7389</v>
      </c>
    </row>
    <row r="7088" spans="1:6" ht="12.75">
      <c r="A7088">
        <v>6948125</v>
      </c>
      <c r="B7088">
        <v>6975534</v>
      </c>
      <c r="C7088" t="s">
        <v>189</v>
      </c>
      <c r="D7088" t="s">
        <v>99</v>
      </c>
      <c r="E7088" s="2" t="str">
        <f>HYPERLINK("https://ibp.a2mac1.com/costing(costing:projects/details/8191/equipment/6948125)","Equipment (Injection Molding)")</f>
        <v>Equipment (Injection Molding)</v>
      </c>
      <c r="F7088" t="s">
        <v>7389</v>
      </c>
    </row>
    <row r="7089" spans="1:6" ht="12.75">
      <c r="A7089">
        <v>5319508</v>
      </c>
      <c r="B7089">
        <v>5388308</v>
      </c>
      <c r="C7089" t="s">
        <v>574</v>
      </c>
      <c r="D7089" t="s">
        <v>8</v>
      </c>
      <c r="E7089" s="2" t="str">
        <f>HYPERLINK("https://ibp.a2mac1.com/costing(costing:projects/details/8191/component/5319508)","Nut &gt; Hexagonal nut with collar")</f>
        <v>Nut &gt; Hexagonal nut with collar</v>
      </c>
      <c r="F7089" t="s">
        <v>7384</v>
      </c>
    </row>
    <row r="7090" spans="1:6" ht="12.75">
      <c r="A7090">
        <v>5319509</v>
      </c>
      <c r="B7090">
        <v>5388308</v>
      </c>
      <c r="C7090" t="s">
        <v>574</v>
      </c>
      <c r="D7090" t="s">
        <v>8</v>
      </c>
      <c r="E7090" s="2" t="str">
        <f>HYPERLINK("https://ibp.a2mac1.com/costing(costing:projects/details/8191/component/5319509)","Nut &gt; Hexagonal nut with collar")</f>
        <v>Nut &gt; Hexagonal nut with collar</v>
      </c>
      <c r="F7090" t="s">
        <v>7384</v>
      </c>
    </row>
    <row r="7091" spans="1:6" ht="12.75">
      <c r="A7091">
        <v>5388159</v>
      </c>
      <c r="B7091">
        <v>5388130</v>
      </c>
      <c r="C7091" t="s">
        <v>8</v>
      </c>
      <c r="D7091" t="s">
        <v>8</v>
      </c>
      <c r="E7091" s="2" t="str">
        <f>HYPERLINK("https://ibp.a2mac1.com/costing(costing:projects/details/8191/assembly/5388159)","Rear bumper")</f>
        <v>Rear bumper</v>
      </c>
      <c r="F7091" t="s">
        <v>7270</v>
      </c>
    </row>
    <row r="7092" spans="1:6" ht="12.75">
      <c r="A7092">
        <v>5388310</v>
      </c>
      <c r="B7092">
        <v>5388159</v>
      </c>
      <c r="C7092" t="s">
        <v>8</v>
      </c>
      <c r="D7092" t="s">
        <v>8</v>
      </c>
      <c r="E7092" s="2" t="str">
        <f>HYPERLINK("https://ibp.a2mac1.com/costing(costing:projects/details/8191/assembly/5388310)","Bumper")</f>
        <v>Bumper</v>
      </c>
      <c r="F7092" t="s">
        <v>7393</v>
      </c>
    </row>
    <row r="7093" spans="1:6" ht="12.75">
      <c r="A7093">
        <v>5388661</v>
      </c>
      <c r="B7093">
        <v>5388310</v>
      </c>
      <c r="C7093" t="s">
        <v>8</v>
      </c>
      <c r="D7093" t="s">
        <v>8</v>
      </c>
      <c r="E7093" s="2" t="str">
        <f>HYPERLINK("https://ibp.a2mac1.com/costing(costing:projects/details/8191/assembly/5388661)","Bumper Upper Trim")</f>
        <v>Bumper Upper Trim</v>
      </c>
      <c r="F7093" t="s">
        <v>7394</v>
      </c>
    </row>
    <row r="7094" spans="1:6" ht="12.75">
      <c r="A7094">
        <v>5388983</v>
      </c>
      <c r="B7094">
        <v>5388661</v>
      </c>
      <c r="C7094" t="s">
        <v>12</v>
      </c>
      <c r="D7094" t="s">
        <v>8</v>
      </c>
      <c r="E7094" s="2" t="str">
        <f>HYPERLINK("https://ibp.a2mac1.com/costing(costing:projects/details/8191/part/5388983)","Central Trim Bezel")</f>
        <v>Central Trim Bezel</v>
      </c>
      <c r="F7094" t="s">
        <v>7395</v>
      </c>
    </row>
    <row r="7095" spans="1:6" ht="12.75">
      <c r="A7095">
        <v>6975769</v>
      </c>
      <c r="B7095">
        <v>5388983</v>
      </c>
      <c r="C7095" t="s">
        <v>99</v>
      </c>
      <c r="D7095" t="s">
        <v>12</v>
      </c>
      <c r="E7095" s="2" t="str">
        <f>HYPERLINK("https://ibp.a2mac1.com/costing(costing:projects/details/8191/process/6975769)","Automated Process")</f>
        <v>Automated Process</v>
      </c>
      <c r="F7095" t="s">
        <v>7396</v>
      </c>
    </row>
    <row r="7096" spans="1:6" ht="12.75">
      <c r="A7096">
        <v>5320172</v>
      </c>
      <c r="B7096">
        <v>6975769</v>
      </c>
      <c r="C7096" t="s">
        <v>24</v>
      </c>
      <c r="D7096" t="s">
        <v>99</v>
      </c>
      <c r="E7096" s="2" t="str">
        <f>HYPERLINK("https://ibp.a2mac1.com/costing(costing:projects/details/8191/material/5320172)","PP-E/P")</f>
        <v>PP-E/P</v>
      </c>
      <c r="F7096" t="s">
        <v>7399</v>
      </c>
    </row>
    <row r="7097" spans="1:6" ht="12.75">
      <c r="A7097">
        <v>6948374</v>
      </c>
      <c r="B7097">
        <v>6975769</v>
      </c>
      <c r="C7097" t="s">
        <v>189</v>
      </c>
      <c r="D7097" t="s">
        <v>99</v>
      </c>
      <c r="E7097" s="2" t="str">
        <f>HYPERLINK("https://ibp.a2mac1.com/costing(costing:projects/details/8191/equipment/6948374)","Equipment (Injection Molding)")</f>
        <v>Equipment (Injection Molding)</v>
      </c>
      <c r="F7097" t="s">
        <v>7399</v>
      </c>
    </row>
    <row r="7098" spans="1:6" ht="12.75">
      <c r="A7098">
        <v>5388662</v>
      </c>
      <c r="B7098">
        <v>5388310</v>
      </c>
      <c r="C7098" t="s">
        <v>8</v>
      </c>
      <c r="D7098" t="s">
        <v>8</v>
      </c>
      <c r="E7098" s="2" t="str">
        <f>HYPERLINK("https://ibp.a2mac1.com/costing(costing:projects/details/8191/assembly/5388662)","Bumper Lower Trim")</f>
        <v>Bumper Lower Trim</v>
      </c>
      <c r="F7098" t="s">
        <v>7394</v>
      </c>
    </row>
    <row r="7099" spans="1:6" ht="12.75">
      <c r="A7099">
        <v>5388984</v>
      </c>
      <c r="B7099">
        <v>5388662</v>
      </c>
      <c r="C7099" t="s">
        <v>12</v>
      </c>
      <c r="D7099" t="s">
        <v>8</v>
      </c>
      <c r="E7099" s="2" t="str">
        <f>HYPERLINK("https://ibp.a2mac1.com/costing(costing:projects/details/8191/part/5388984)","Central Single")</f>
        <v>Central Single</v>
      </c>
      <c r="F7099" t="s">
        <v>7402</v>
      </c>
    </row>
    <row r="7100" spans="1:6" ht="12.75">
      <c r="A7100">
        <v>6975770</v>
      </c>
      <c r="B7100">
        <v>5388984</v>
      </c>
      <c r="C7100" t="s">
        <v>99</v>
      </c>
      <c r="D7100" t="s">
        <v>12</v>
      </c>
      <c r="E7100" s="2" t="str">
        <f>HYPERLINK("https://ibp.a2mac1.com/costing(costing:projects/details/8191/process/6975770)","Automated Process")</f>
        <v>Automated Process</v>
      </c>
      <c r="F7100" t="s">
        <v>7403</v>
      </c>
    </row>
    <row r="7101" spans="1:6" ht="12.75">
      <c r="A7101">
        <v>5320173</v>
      </c>
      <c r="B7101">
        <v>6975770</v>
      </c>
      <c r="C7101" t="s">
        <v>24</v>
      </c>
      <c r="D7101" t="s">
        <v>99</v>
      </c>
      <c r="E7101" s="2" t="str">
        <f>HYPERLINK("https://ibp.a2mac1.com/costing(costing:projects/details/8191/material/5320173)","PP-E/P")</f>
        <v>PP-E/P</v>
      </c>
      <c r="F7101" t="s">
        <v>7405</v>
      </c>
    </row>
    <row r="7102" spans="1:6" ht="12.75">
      <c r="A7102">
        <v>6948375</v>
      </c>
      <c r="B7102">
        <v>6975770</v>
      </c>
      <c r="C7102" t="s">
        <v>189</v>
      </c>
      <c r="D7102" t="s">
        <v>99</v>
      </c>
      <c r="E7102" s="2" t="str">
        <f>HYPERLINK("https://ibp.a2mac1.com/costing(costing:projects/details/8191/equipment/6948375)","Equipment (Injection Molding)")</f>
        <v>Equipment (Injection Molding)</v>
      </c>
      <c r="F7102" t="s">
        <v>7405</v>
      </c>
    </row>
    <row r="7103" spans="1:6" ht="12.75">
      <c r="A7103">
        <v>5388655</v>
      </c>
      <c r="B7103">
        <v>5388310</v>
      </c>
      <c r="C7103" t="s">
        <v>12</v>
      </c>
      <c r="D7103" t="s">
        <v>8</v>
      </c>
      <c r="E7103" s="2" t="str">
        <f>HYPERLINK("https://ibp.a2mac1.com/costing(costing:projects/details/8191/part/5388655)","Bumper")</f>
        <v>Bumper</v>
      </c>
      <c r="F7103" t="s">
        <v>7394</v>
      </c>
    </row>
    <row r="7104" spans="1:6" ht="12.75">
      <c r="A7104">
        <v>6975535</v>
      </c>
      <c r="B7104">
        <v>5388655</v>
      </c>
      <c r="C7104" t="s">
        <v>99</v>
      </c>
      <c r="D7104" t="s">
        <v>12</v>
      </c>
      <c r="E7104" s="2" t="str">
        <f>HYPERLINK("https://ibp.a2mac1.com/costing(costing:projects/details/8191/process/6975535)","Injection molding")</f>
        <v>Injection molding</v>
      </c>
      <c r="F7104" t="s">
        <v>7408</v>
      </c>
    </row>
    <row r="7105" spans="1:6" ht="12.75">
      <c r="A7105">
        <v>5319969</v>
      </c>
      <c r="B7105">
        <v>6975535</v>
      </c>
      <c r="C7105" t="s">
        <v>24</v>
      </c>
      <c r="D7105" t="s">
        <v>99</v>
      </c>
      <c r="E7105" s="2" t="str">
        <f>HYPERLINK("https://ibp.a2mac1.com/costing(costing:projects/details/8191/material/5319969)","PP")</f>
        <v>PP</v>
      </c>
      <c r="F7105" t="s">
        <v>7411</v>
      </c>
    </row>
    <row r="7106" spans="1:6" ht="12.75">
      <c r="A7106">
        <v>6948126</v>
      </c>
      <c r="B7106">
        <v>6975535</v>
      </c>
      <c r="C7106" t="s">
        <v>189</v>
      </c>
      <c r="D7106" t="s">
        <v>99</v>
      </c>
      <c r="E7106" s="2" t="str">
        <f>HYPERLINK("https://ibp.a2mac1.com/costing(costing:projects/details/8191/equipment/6948126)","No.17 - Injection Press - 4000T - 230kW - 2300x1800 - Max Volume 40818cm3 ")</f>
        <v xml:space="preserve">No.17 - Injection Press - 4000T - 230kW - 2300x1800 - Max Volume 40818cm3 </v>
      </c>
      <c r="F7106" t="s">
        <v>7411</v>
      </c>
    </row>
    <row r="7107" spans="1:6" ht="12.75">
      <c r="A7107">
        <v>5388656</v>
      </c>
      <c r="B7107">
        <v>5388310</v>
      </c>
      <c r="C7107" t="s">
        <v>12</v>
      </c>
      <c r="D7107" t="s">
        <v>8</v>
      </c>
      <c r="E7107" s="2" t="str">
        <f>HYPERLINK("https://ibp.a2mac1.com/costing(costing:projects/details/8191/part/5388656)","Lateral Left Bumper")</f>
        <v>Lateral Left Bumper</v>
      </c>
      <c r="F7107" t="s">
        <v>7394</v>
      </c>
    </row>
    <row r="7108" spans="1:6" ht="12.75">
      <c r="A7108">
        <v>6975536</v>
      </c>
      <c r="B7108">
        <v>5388656</v>
      </c>
      <c r="C7108" t="s">
        <v>99</v>
      </c>
      <c r="D7108" t="s">
        <v>12</v>
      </c>
      <c r="E7108" s="2" t="str">
        <f>HYPERLINK("https://ibp.a2mac1.com/costing(costing:projects/details/8191/process/6975536)","Automated Process")</f>
        <v>Automated Process</v>
      </c>
      <c r="F7108" t="s">
        <v>7414</v>
      </c>
    </row>
    <row r="7109" spans="1:6" ht="12.75">
      <c r="A7109">
        <v>5319970</v>
      </c>
      <c r="B7109">
        <v>6975536</v>
      </c>
      <c r="C7109" t="s">
        <v>24</v>
      </c>
      <c r="D7109" t="s">
        <v>99</v>
      </c>
      <c r="E7109" s="2" t="str">
        <f>HYPERLINK("https://ibp.a2mac1.com/costing(costing:projects/details/8191/material/5319970)","PP-E/P")</f>
        <v>PP-E/P</v>
      </c>
      <c r="F7109" t="s">
        <v>7417</v>
      </c>
    </row>
    <row r="7110" spans="1:6" ht="12.75">
      <c r="A7110">
        <v>6948127</v>
      </c>
      <c r="B7110">
        <v>6975536</v>
      </c>
      <c r="C7110" t="s">
        <v>189</v>
      </c>
      <c r="D7110" t="s">
        <v>99</v>
      </c>
      <c r="E7110" s="2" t="str">
        <f>HYPERLINK("https://ibp.a2mac1.com/costing(costing:projects/details/8191/equipment/6948127)","DC machine - General")</f>
        <v>DC machine - General</v>
      </c>
      <c r="F7110" t="s">
        <v>7417</v>
      </c>
    </row>
    <row r="7111" spans="1:6" ht="12.75">
      <c r="A7111">
        <v>5388657</v>
      </c>
      <c r="B7111">
        <v>5388310</v>
      </c>
      <c r="C7111" t="s">
        <v>12</v>
      </c>
      <c r="D7111" t="s">
        <v>8</v>
      </c>
      <c r="E7111" s="2" t="str">
        <f>HYPERLINK("https://ibp.a2mac1.com/costing(costing:projects/details/8191/part/5388657)","Lateral Right Bumper")</f>
        <v>Lateral Right Bumper</v>
      </c>
      <c r="F7111" t="s">
        <v>7394</v>
      </c>
    </row>
    <row r="7112" spans="1:6" ht="12.75">
      <c r="A7112">
        <v>6975537</v>
      </c>
      <c r="B7112">
        <v>5388657</v>
      </c>
      <c r="C7112" t="s">
        <v>99</v>
      </c>
      <c r="D7112" t="s">
        <v>12</v>
      </c>
      <c r="E7112" s="2" t="str">
        <f>HYPERLINK("https://ibp.a2mac1.com/costing(costing:projects/details/8191/process/6975537)","Automated Process")</f>
        <v>Automated Process</v>
      </c>
      <c r="F7112" t="s">
        <v>7419</v>
      </c>
    </row>
    <row r="7113" spans="1:6" ht="12.75">
      <c r="A7113">
        <v>5319971</v>
      </c>
      <c r="B7113">
        <v>6975537</v>
      </c>
      <c r="C7113" t="s">
        <v>24</v>
      </c>
      <c r="D7113" t="s">
        <v>99</v>
      </c>
      <c r="E7113" s="2" t="str">
        <f>HYPERLINK("https://ibp.a2mac1.com/costing(costing:projects/details/8191/material/5319971)","PP-E/P")</f>
        <v>PP-E/P</v>
      </c>
      <c r="F7113" t="s">
        <v>7422</v>
      </c>
    </row>
    <row r="7114" spans="1:6" ht="12.75">
      <c r="A7114">
        <v>6948128</v>
      </c>
      <c r="B7114">
        <v>6975537</v>
      </c>
      <c r="C7114" t="s">
        <v>189</v>
      </c>
      <c r="D7114" t="s">
        <v>99</v>
      </c>
      <c r="E7114" s="2" t="str">
        <f>HYPERLINK("https://ibp.a2mac1.com/costing(costing:projects/details/8191/equipment/6948128)","DC machine - General")</f>
        <v>DC machine - General</v>
      </c>
      <c r="F7114" t="s">
        <v>7422</v>
      </c>
    </row>
    <row r="7115" spans="1:6" ht="12.75">
      <c r="A7115">
        <v>5388658</v>
      </c>
      <c r="B7115">
        <v>5388310</v>
      </c>
      <c r="C7115" t="s">
        <v>12</v>
      </c>
      <c r="D7115" t="s">
        <v>8</v>
      </c>
      <c r="E7115" s="2" t="str">
        <f>HYPERLINK("https://ibp.a2mac1.com/costing(costing:projects/details/8191/part/5388658)","Tow Ring Access Trap")</f>
        <v>Tow Ring Access Trap</v>
      </c>
      <c r="F7115" t="s">
        <v>7394</v>
      </c>
    </row>
    <row r="7116" spans="1:6" ht="12.75">
      <c r="A7116">
        <v>6975538</v>
      </c>
      <c r="B7116">
        <v>5388658</v>
      </c>
      <c r="C7116" t="s">
        <v>99</v>
      </c>
      <c r="D7116" t="s">
        <v>12</v>
      </c>
      <c r="E7116" s="2" t="str">
        <f>HYPERLINK("https://ibp.a2mac1.com/costing(costing:projects/details/8191/process/6975538)","Automated Process")</f>
        <v>Automated Process</v>
      </c>
      <c r="F7116" t="s">
        <v>7424</v>
      </c>
    </row>
    <row r="7117" spans="1:6" ht="12.75">
      <c r="A7117">
        <v>5319972</v>
      </c>
      <c r="B7117">
        <v>6975538</v>
      </c>
      <c r="C7117" t="s">
        <v>24</v>
      </c>
      <c r="D7117" t="s">
        <v>99</v>
      </c>
      <c r="E7117" s="2" t="str">
        <f>HYPERLINK("https://ibp.a2mac1.com/costing(costing:projects/details/8191/material/5319972)","PP-E/P")</f>
        <v>PP-E/P</v>
      </c>
      <c r="F7117" t="s">
        <v>7425</v>
      </c>
    </row>
    <row r="7118" spans="1:6" ht="12.75">
      <c r="A7118">
        <v>6948129</v>
      </c>
      <c r="B7118">
        <v>6975538</v>
      </c>
      <c r="C7118" t="s">
        <v>189</v>
      </c>
      <c r="D7118" t="s">
        <v>99</v>
      </c>
      <c r="E7118" s="2" t="str">
        <f>HYPERLINK("https://ibp.a2mac1.com/costing(costing:projects/details/8191/equipment/6948129)","Equipment (Injection Molding)")</f>
        <v>Equipment (Injection Molding)</v>
      </c>
      <c r="F7118" t="s">
        <v>7425</v>
      </c>
    </row>
    <row r="7119" spans="1:6" ht="12.75">
      <c r="A7119">
        <v>5388659</v>
      </c>
      <c r="B7119">
        <v>5388310</v>
      </c>
      <c r="C7119" t="s">
        <v>12</v>
      </c>
      <c r="D7119" t="s">
        <v>8</v>
      </c>
      <c r="E7119" s="2" t="str">
        <f>HYPERLINK("https://ibp.a2mac1.com/costing(costing:projects/details/8191/part/5388659)","2nd Tow Ring Access Trap Part")</f>
        <v>2nd Tow Ring Access Trap Part</v>
      </c>
      <c r="F7119" t="s">
        <v>7394</v>
      </c>
    </row>
    <row r="7120" spans="1:6" ht="12.75">
      <c r="A7120">
        <v>6975539</v>
      </c>
      <c r="B7120">
        <v>5388659</v>
      </c>
      <c r="C7120" t="s">
        <v>99</v>
      </c>
      <c r="D7120" t="s">
        <v>12</v>
      </c>
      <c r="E7120" s="2" t="str">
        <f>HYPERLINK("https://ibp.a2mac1.com/costing(costing:projects/details/8191/process/6975539)","Automated Process")</f>
        <v>Automated Process</v>
      </c>
      <c r="F7120" t="s">
        <v>7427</v>
      </c>
    </row>
    <row r="7121" spans="1:6" ht="12.75">
      <c r="A7121">
        <v>5319973</v>
      </c>
      <c r="B7121">
        <v>6975539</v>
      </c>
      <c r="C7121" t="s">
        <v>24</v>
      </c>
      <c r="D7121" t="s">
        <v>99</v>
      </c>
      <c r="E7121" s="2" t="str">
        <f>HYPERLINK("https://ibp.a2mac1.com/costing(costing:projects/details/8191/material/5319973)","PLASTIC UNKNOWN")</f>
        <v>PLASTIC UNKNOWN</v>
      </c>
      <c r="F7121" t="s">
        <v>7428</v>
      </c>
    </row>
    <row r="7122" spans="1:6" ht="12.75">
      <c r="A7122">
        <v>6948130</v>
      </c>
      <c r="B7122">
        <v>6975539</v>
      </c>
      <c r="C7122" t="s">
        <v>189</v>
      </c>
      <c r="D7122" t="s">
        <v>99</v>
      </c>
      <c r="E7122" s="2" t="str">
        <f>HYPERLINK("https://ibp.a2mac1.com/costing(costing:projects/details/8191/equipment/6948130)","Equipment (Injection Molding)")</f>
        <v>Equipment (Injection Molding)</v>
      </c>
      <c r="F7122" t="s">
        <v>7428</v>
      </c>
    </row>
    <row r="7123" spans="1:6" ht="12.75">
      <c r="A7123">
        <v>5388660</v>
      </c>
      <c r="B7123">
        <v>5388310</v>
      </c>
      <c r="C7123" t="s">
        <v>12</v>
      </c>
      <c r="D7123" t="s">
        <v>8</v>
      </c>
      <c r="E7123" s="2" t="str">
        <f>HYPERLINK("https://ibp.a2mac1.com/costing(costing:projects/details/8191/part/5388660)","Rear Bumper Harness")</f>
        <v>Rear Bumper Harness</v>
      </c>
      <c r="F7123" t="s">
        <v>7394</v>
      </c>
    </row>
    <row r="7124" spans="1:6" ht="12.75">
      <c r="A7124">
        <v>5319510</v>
      </c>
      <c r="B7124">
        <v>5388310</v>
      </c>
      <c r="C7124" t="s">
        <v>574</v>
      </c>
      <c r="D7124" t="s">
        <v>8</v>
      </c>
      <c r="E7124" s="2" t="str">
        <f>HYPERLINK("https://ibp.a2mac1.com/costing(costing:projects/details/8191/component/5319510)","Nut &gt; Clipping nut for soft materials screw")</f>
        <v>Nut &gt; Clipping nut for soft materials screw</v>
      </c>
      <c r="F7124" t="s">
        <v>7394</v>
      </c>
    </row>
    <row r="7125" spans="1:6" ht="12.75">
      <c r="A7125">
        <v>5319511</v>
      </c>
      <c r="B7125">
        <v>5388310</v>
      </c>
      <c r="C7125" t="s">
        <v>574</v>
      </c>
      <c r="D7125" t="s">
        <v>8</v>
      </c>
      <c r="E7125" s="2" t="str">
        <f>HYPERLINK("https://ibp.a2mac1.com/costing(costing:projects/details/8191/component/5319511)","Nut &gt; Clipping nut for soft materials screw")</f>
        <v>Nut &gt; Clipping nut for soft materials screw</v>
      </c>
      <c r="F7125" t="s">
        <v>7394</v>
      </c>
    </row>
    <row r="7126" spans="1:6" ht="12.75">
      <c r="A7126">
        <v>5319512</v>
      </c>
      <c r="B7126">
        <v>5388310</v>
      </c>
      <c r="C7126" t="s">
        <v>574</v>
      </c>
      <c r="D7126" t="s">
        <v>8</v>
      </c>
      <c r="E7126" s="2" t="str">
        <f>HYPERLINK("https://ibp.a2mac1.com/costing(costing:projects/details/8191/component/5319512)","Nut &gt; Clipping nut for soft materials screw")</f>
        <v>Nut &gt; Clipping nut for soft materials screw</v>
      </c>
      <c r="F7126" t="s">
        <v>7394</v>
      </c>
    </row>
    <row r="7127" spans="1:6" ht="12.75">
      <c r="A7127">
        <v>5319513</v>
      </c>
      <c r="B7127">
        <v>5388310</v>
      </c>
      <c r="C7127" t="s">
        <v>574</v>
      </c>
      <c r="D7127" t="s">
        <v>8</v>
      </c>
      <c r="E7127" s="2" t="str">
        <f>HYPERLINK("https://ibp.a2mac1.com/costing(costing:projects/details/8191/component/5319513)","Other fastener &gt; Attachment")</f>
        <v>Other fastener &gt; Attachment</v>
      </c>
      <c r="F7127" t="s">
        <v>7394</v>
      </c>
    </row>
    <row r="7128" spans="1:6" ht="12.75">
      <c r="A7128">
        <v>5388311</v>
      </c>
      <c r="B7128">
        <v>5388159</v>
      </c>
      <c r="C7128" t="s">
        <v>8</v>
      </c>
      <c r="D7128" t="s">
        <v>8</v>
      </c>
      <c r="E7128" s="2" t="str">
        <f>HYPERLINK("https://ibp.a2mac1.com/costing(costing:projects/details/8191/assembly/5388311)","Bumper Bracket on Body")</f>
        <v>Bumper Bracket on Body</v>
      </c>
      <c r="F7128" t="s">
        <v>7393</v>
      </c>
    </row>
    <row r="7129" spans="1:6" ht="12.75">
      <c r="A7129">
        <v>5388663</v>
      </c>
      <c r="B7129">
        <v>5388311</v>
      </c>
      <c r="C7129" t="s">
        <v>12</v>
      </c>
      <c r="D7129" t="s">
        <v>8</v>
      </c>
      <c r="E7129" s="2" t="str">
        <f>HYPERLINK("https://ibp.a2mac1.com/costing(costing:projects/details/8191/part/5388663)","Left Side Fastener")</f>
        <v>Left Side Fastener</v>
      </c>
      <c r="F7129" t="s">
        <v>7432</v>
      </c>
    </row>
    <row r="7130" spans="1:6" ht="12.75">
      <c r="A7130">
        <v>6975540</v>
      </c>
      <c r="B7130">
        <v>5388663</v>
      </c>
      <c r="C7130" t="s">
        <v>99</v>
      </c>
      <c r="D7130" t="s">
        <v>12</v>
      </c>
      <c r="E7130" s="2" t="str">
        <f>HYPERLINK("https://ibp.a2mac1.com/costing(costing:projects/details/8191/process/6975540)","Automated Process")</f>
        <v>Automated Process</v>
      </c>
      <c r="F7130" t="s">
        <v>7433</v>
      </c>
    </row>
    <row r="7131" spans="1:6" ht="12.75">
      <c r="A7131">
        <v>5319974</v>
      </c>
      <c r="B7131">
        <v>6975540</v>
      </c>
      <c r="C7131" t="s">
        <v>24</v>
      </c>
      <c r="D7131" t="s">
        <v>99</v>
      </c>
      <c r="E7131" s="2" t="str">
        <f>HYPERLINK("https://ibp.a2mac1.com/costing(costing:projects/details/8191/material/5319974)","POM")</f>
        <v>POM</v>
      </c>
      <c r="F7131" t="s">
        <v>7435</v>
      </c>
    </row>
    <row r="7132" spans="1:6" ht="12.75">
      <c r="A7132">
        <v>6948131</v>
      </c>
      <c r="B7132">
        <v>6975540</v>
      </c>
      <c r="C7132" t="s">
        <v>189</v>
      </c>
      <c r="D7132" t="s">
        <v>99</v>
      </c>
      <c r="E7132" s="2" t="str">
        <f>HYPERLINK("https://ibp.a2mac1.com/costing(costing:projects/details/8191/equipment/6948131)","Equipment (Injection Molding)")</f>
        <v>Equipment (Injection Molding)</v>
      </c>
      <c r="F7132" t="s">
        <v>7435</v>
      </c>
    </row>
    <row r="7133" spans="1:6" ht="12.75">
      <c r="A7133">
        <v>5388664</v>
      </c>
      <c r="B7133">
        <v>5388311</v>
      </c>
      <c r="C7133" t="s">
        <v>12</v>
      </c>
      <c r="D7133" t="s">
        <v>8</v>
      </c>
      <c r="E7133" s="2" t="str">
        <f>HYPERLINK("https://ibp.a2mac1.com/costing(costing:projects/details/8191/part/5388664)","Right Side Fastener")</f>
        <v>Right Side Fastener</v>
      </c>
      <c r="F7133" t="s">
        <v>7432</v>
      </c>
    </row>
    <row r="7134" spans="1:6" ht="12.75">
      <c r="A7134">
        <v>6975541</v>
      </c>
      <c r="B7134">
        <v>5388664</v>
      </c>
      <c r="C7134" t="s">
        <v>99</v>
      </c>
      <c r="D7134" t="s">
        <v>12</v>
      </c>
      <c r="E7134" s="2" t="str">
        <f>HYPERLINK("https://ibp.a2mac1.com/costing(costing:projects/details/8191/process/6975541)","Automated Process")</f>
        <v>Automated Process</v>
      </c>
      <c r="F7134" t="s">
        <v>7437</v>
      </c>
    </row>
    <row r="7135" spans="1:6" ht="12.75">
      <c r="A7135">
        <v>5319975</v>
      </c>
      <c r="B7135">
        <v>6975541</v>
      </c>
      <c r="C7135" t="s">
        <v>24</v>
      </c>
      <c r="D7135" t="s">
        <v>99</v>
      </c>
      <c r="E7135" s="2" t="str">
        <f>HYPERLINK("https://ibp.a2mac1.com/costing(costing:projects/details/8191/material/5319975)","POM")</f>
        <v>POM</v>
      </c>
      <c r="F7135" t="s">
        <v>7440</v>
      </c>
    </row>
    <row r="7136" spans="1:6" ht="12.75">
      <c r="A7136">
        <v>6948132</v>
      </c>
      <c r="B7136">
        <v>6975541</v>
      </c>
      <c r="C7136" t="s">
        <v>189</v>
      </c>
      <c r="D7136" t="s">
        <v>99</v>
      </c>
      <c r="E7136" s="2" t="str">
        <f>HYPERLINK("https://ibp.a2mac1.com/costing(costing:projects/details/8191/equipment/6948132)","Equipment (Injection Molding)")</f>
        <v>Equipment (Injection Molding)</v>
      </c>
      <c r="F7136" t="s">
        <v>7440</v>
      </c>
    </row>
    <row r="7137" spans="1:6" ht="12.75">
      <c r="A7137">
        <v>5388665</v>
      </c>
      <c r="B7137">
        <v>5388311</v>
      </c>
      <c r="C7137" t="s">
        <v>12</v>
      </c>
      <c r="D7137" t="s">
        <v>8</v>
      </c>
      <c r="E7137" s="2" t="str">
        <f>HYPERLINK("https://ibp.a2mac1.com/costing(costing:projects/details/8191/part/5388665)","Left Mounting Bracket Under Lighting")</f>
        <v>Left Mounting Bracket Under Lighting</v>
      </c>
      <c r="F7137" t="s">
        <v>7432</v>
      </c>
    </row>
    <row r="7138" spans="1:6" ht="12.75">
      <c r="A7138">
        <v>6975542</v>
      </c>
      <c r="B7138">
        <v>5388665</v>
      </c>
      <c r="C7138" t="s">
        <v>99</v>
      </c>
      <c r="D7138" t="s">
        <v>12</v>
      </c>
      <c r="E7138" s="2" t="str">
        <f>HYPERLINK("https://ibp.a2mac1.com/costing(costing:projects/details/8191/process/6975542)","Automated Process")</f>
        <v>Automated Process</v>
      </c>
      <c r="F7138" t="s">
        <v>7442</v>
      </c>
    </row>
    <row r="7139" spans="1:6" ht="12.75">
      <c r="A7139">
        <v>5319976</v>
      </c>
      <c r="B7139">
        <v>6975542</v>
      </c>
      <c r="C7139" t="s">
        <v>24</v>
      </c>
      <c r="D7139" t="s">
        <v>99</v>
      </c>
      <c r="E7139" s="2" t="str">
        <f>HYPERLINK("https://ibp.a2mac1.com/costing(costing:projects/details/8191/material/5319976)","POM")</f>
        <v>POM</v>
      </c>
      <c r="F7139" t="s">
        <v>7445</v>
      </c>
    </row>
    <row r="7140" spans="1:6" ht="12.75">
      <c r="A7140">
        <v>6948140</v>
      </c>
      <c r="B7140">
        <v>6975542</v>
      </c>
      <c r="C7140" t="s">
        <v>189</v>
      </c>
      <c r="D7140" t="s">
        <v>99</v>
      </c>
      <c r="E7140" s="2" t="str">
        <f>HYPERLINK("https://ibp.a2mac1.com/costing(costing:projects/details/8191/equipment/6948140)","Equipment (Injection Molding)")</f>
        <v>Equipment (Injection Molding)</v>
      </c>
      <c r="F7140" t="s">
        <v>7445</v>
      </c>
    </row>
    <row r="7141" spans="1:6" ht="12.75">
      <c r="A7141">
        <v>5388666</v>
      </c>
      <c r="B7141">
        <v>5388311</v>
      </c>
      <c r="C7141" t="s">
        <v>12</v>
      </c>
      <c r="D7141" t="s">
        <v>8</v>
      </c>
      <c r="E7141" s="2" t="str">
        <f>HYPERLINK("https://ibp.a2mac1.com/costing(costing:projects/details/8191/part/5388666)","Right Mounting Bracket Under Lighting")</f>
        <v>Right Mounting Bracket Under Lighting</v>
      </c>
      <c r="F7141" t="s">
        <v>7432</v>
      </c>
    </row>
    <row r="7142" spans="1:6" ht="12.75">
      <c r="A7142">
        <v>6975543</v>
      </c>
      <c r="B7142">
        <v>5388666</v>
      </c>
      <c r="C7142" t="s">
        <v>99</v>
      </c>
      <c r="D7142" t="s">
        <v>12</v>
      </c>
      <c r="E7142" s="2" t="str">
        <f>HYPERLINK("https://ibp.a2mac1.com/costing(costing:projects/details/8191/process/6975543)","Automated Process")</f>
        <v>Automated Process</v>
      </c>
      <c r="F7142" t="s">
        <v>7447</v>
      </c>
    </row>
    <row r="7143" spans="1:6" ht="12.75">
      <c r="A7143">
        <v>5319977</v>
      </c>
      <c r="B7143">
        <v>6975543</v>
      </c>
      <c r="C7143" t="s">
        <v>24</v>
      </c>
      <c r="D7143" t="s">
        <v>99</v>
      </c>
      <c r="E7143" s="2" t="str">
        <f>HYPERLINK("https://ibp.a2mac1.com/costing(costing:projects/details/8191/material/5319977)","POM")</f>
        <v>POM</v>
      </c>
      <c r="F7143" t="s">
        <v>7449</v>
      </c>
    </row>
    <row r="7144" spans="1:6" ht="12.75">
      <c r="A7144">
        <v>6948141</v>
      </c>
      <c r="B7144">
        <v>6975543</v>
      </c>
      <c r="C7144" t="s">
        <v>189</v>
      </c>
      <c r="D7144" t="s">
        <v>99</v>
      </c>
      <c r="E7144" s="2" t="str">
        <f>HYPERLINK("https://ibp.a2mac1.com/costing(costing:projects/details/8191/equipment/6948141)","Equipment (Injection Molding)")</f>
        <v>Equipment (Injection Molding)</v>
      </c>
      <c r="F7144" t="s">
        <v>7449</v>
      </c>
    </row>
    <row r="7145" spans="1:6" ht="12.75">
      <c r="A7145">
        <v>5319514</v>
      </c>
      <c r="B7145">
        <v>5388311</v>
      </c>
      <c r="C7145" t="s">
        <v>574</v>
      </c>
      <c r="D7145" t="s">
        <v>8</v>
      </c>
      <c r="E7145" s="2" t="str">
        <f>HYPERLINK("https://ibp.a2mac1.com/costing(costing:projects/details/8191/component/5319514)","Screw &gt; Torx socket head cap screw with flange")</f>
        <v>Screw &gt; Torx socket head cap screw with flange</v>
      </c>
      <c r="F7145" t="s">
        <v>7432</v>
      </c>
    </row>
    <row r="7146" spans="1:6" ht="12.75">
      <c r="A7146">
        <v>5319515</v>
      </c>
      <c r="B7146">
        <v>5388311</v>
      </c>
      <c r="C7146" t="s">
        <v>574</v>
      </c>
      <c r="D7146" t="s">
        <v>8</v>
      </c>
      <c r="E7146" s="2" t="str">
        <f>HYPERLINK("https://ibp.a2mac1.com/costing(costing:projects/details/8191/component/5319515)","Screw &gt; Torx socket head cap screw with flange")</f>
        <v>Screw &gt; Torx socket head cap screw with flange</v>
      </c>
      <c r="F7146" t="s">
        <v>7432</v>
      </c>
    </row>
    <row r="7147" spans="1:6" ht="12.75">
      <c r="A7147">
        <v>5319516</v>
      </c>
      <c r="B7147">
        <v>5388311</v>
      </c>
      <c r="C7147" t="s">
        <v>574</v>
      </c>
      <c r="D7147" t="s">
        <v>8</v>
      </c>
      <c r="E7147" s="2" t="str">
        <f>HYPERLINK("https://ibp.a2mac1.com/costing(costing:projects/details/8191/component/5319516)","Screw &gt; Torx socket head cap screw with flange")</f>
        <v>Screw &gt; Torx socket head cap screw with flange</v>
      </c>
      <c r="F7147" t="s">
        <v>7432</v>
      </c>
    </row>
    <row r="7148" spans="1:6" ht="12.75">
      <c r="A7148">
        <v>5319517</v>
      </c>
      <c r="B7148">
        <v>5388311</v>
      </c>
      <c r="C7148" t="s">
        <v>574</v>
      </c>
      <c r="D7148" t="s">
        <v>8</v>
      </c>
      <c r="E7148" s="2" t="str">
        <f>HYPERLINK("https://ibp.a2mac1.com/costing(costing:projects/details/8191/component/5319517)","Screw &gt; Torx socket head cap screw with flange")</f>
        <v>Screw &gt; Torx socket head cap screw with flange</v>
      </c>
      <c r="F7148" t="s">
        <v>7432</v>
      </c>
    </row>
    <row r="7149" spans="1:6" ht="12.75">
      <c r="A7149">
        <v>5388312</v>
      </c>
      <c r="B7149">
        <v>5388159</v>
      </c>
      <c r="C7149" t="s">
        <v>8</v>
      </c>
      <c r="D7149" t="s">
        <v>8</v>
      </c>
      <c r="E7149" s="2" t="str">
        <f>HYPERLINK("https://ibp.a2mac1.com/costing(costing:projects/details/8191/assembly/5388312)","Wheel Arch Liner")</f>
        <v>Wheel Arch Liner</v>
      </c>
      <c r="F7149" t="s">
        <v>7393</v>
      </c>
    </row>
    <row r="7150" spans="1:6" ht="12.75">
      <c r="A7150">
        <v>5388668</v>
      </c>
      <c r="B7150">
        <v>5388312</v>
      </c>
      <c r="C7150" t="s">
        <v>8</v>
      </c>
      <c r="D7150" t="s">
        <v>8</v>
      </c>
      <c r="E7150" s="2" t="str">
        <f>HYPERLINK("https://ibp.a2mac1.com/costing(costing:projects/details/8191/assembly/5388668)","Left Side")</f>
        <v>Left Side</v>
      </c>
      <c r="F7150" t="s">
        <v>7452</v>
      </c>
    </row>
    <row r="7151" spans="1:6" ht="12.75">
      <c r="A7151">
        <v>5388985</v>
      </c>
      <c r="B7151">
        <v>5388668</v>
      </c>
      <c r="C7151" t="s">
        <v>12</v>
      </c>
      <c r="D7151" t="s">
        <v>8</v>
      </c>
      <c r="E7151" s="2" t="str">
        <f>HYPERLINK("https://ibp.a2mac1.com/costing(costing:projects/details/8191/part/5388985)","Wheel Arch Liner")</f>
        <v>Wheel Arch Liner</v>
      </c>
      <c r="F7151" t="s">
        <v>7453</v>
      </c>
    </row>
    <row r="7152" spans="1:6" ht="12.75">
      <c r="A7152">
        <v>6975771</v>
      </c>
      <c r="B7152">
        <v>5388985</v>
      </c>
      <c r="C7152" t="s">
        <v>99</v>
      </c>
      <c r="D7152" t="s">
        <v>12</v>
      </c>
      <c r="E7152" s="2" t="str">
        <f>HYPERLINK("https://ibp.a2mac1.com/costing(costing:projects/details/8191/process/6975771)","Automated Process")</f>
        <v>Automated Process</v>
      </c>
      <c r="F7152" t="s">
        <v>7454</v>
      </c>
    </row>
    <row r="7153" spans="1:6" ht="12.75">
      <c r="A7153">
        <v>5320174</v>
      </c>
      <c r="B7153">
        <v>6975771</v>
      </c>
      <c r="C7153" t="s">
        <v>24</v>
      </c>
      <c r="D7153" t="s">
        <v>99</v>
      </c>
      <c r="E7153" s="2" t="str">
        <f>HYPERLINK("https://ibp.a2mac1.com/costing(costing:projects/details/8191/material/5320174)","Material")</f>
        <v>Material</v>
      </c>
      <c r="F7153" t="s">
        <v>7455</v>
      </c>
    </row>
    <row r="7154" spans="1:6" ht="12.75">
      <c r="A7154">
        <v>6948376</v>
      </c>
      <c r="B7154">
        <v>6975771</v>
      </c>
      <c r="C7154" t="s">
        <v>189</v>
      </c>
      <c r="D7154" t="s">
        <v>99</v>
      </c>
      <c r="E7154" s="2" t="str">
        <f>HYPERLINK("https://ibp.a2mac1.com/costing(costing:projects/details/8191/equipment/6948376)","DC machine - General")</f>
        <v>DC machine - General</v>
      </c>
      <c r="F7154" t="s">
        <v>7455</v>
      </c>
    </row>
    <row r="7155" spans="1:6" ht="12.75">
      <c r="A7155">
        <v>5319689</v>
      </c>
      <c r="B7155">
        <v>5388668</v>
      </c>
      <c r="C7155" t="s">
        <v>574</v>
      </c>
      <c r="D7155" t="s">
        <v>8</v>
      </c>
      <c r="E7155" s="2" t="str">
        <f>HYPERLINK("https://ibp.a2mac1.com/costing(costing:projects/details/8191/component/5319689)","Nut &gt; Clipping nut for metal sheet screw")</f>
        <v>Nut &gt; Clipping nut for metal sheet screw</v>
      </c>
      <c r="F7155" t="s">
        <v>7453</v>
      </c>
    </row>
    <row r="7156" spans="1:6" ht="12.75">
      <c r="A7156">
        <v>5388669</v>
      </c>
      <c r="B7156">
        <v>5388312</v>
      </c>
      <c r="C7156" t="s">
        <v>8</v>
      </c>
      <c r="D7156" t="s">
        <v>8</v>
      </c>
      <c r="E7156" s="2" t="str">
        <f>HYPERLINK("https://ibp.a2mac1.com/costing(costing:projects/details/8191/assembly/5388669)","Right Side")</f>
        <v>Right Side</v>
      </c>
      <c r="F7156" t="s">
        <v>7452</v>
      </c>
    </row>
    <row r="7157" spans="1:6" ht="12.75">
      <c r="A7157">
        <v>5388986</v>
      </c>
      <c r="B7157">
        <v>5388669</v>
      </c>
      <c r="C7157" t="s">
        <v>12</v>
      </c>
      <c r="D7157" t="s">
        <v>8</v>
      </c>
      <c r="E7157" s="2" t="str">
        <f>HYPERLINK("https://ibp.a2mac1.com/costing(costing:projects/details/8191/part/5388986)","Wheel Arch Liner")</f>
        <v>Wheel Arch Liner</v>
      </c>
      <c r="F7157" t="s">
        <v>7459</v>
      </c>
    </row>
    <row r="7158" spans="1:6" ht="12.75">
      <c r="A7158">
        <v>6975772</v>
      </c>
      <c r="B7158">
        <v>5388986</v>
      </c>
      <c r="C7158" t="s">
        <v>99</v>
      </c>
      <c r="D7158" t="s">
        <v>12</v>
      </c>
      <c r="E7158" s="2" t="str">
        <f>HYPERLINK("https://ibp.a2mac1.com/costing(costing:projects/details/8191/process/6975772)","Automated Process")</f>
        <v>Automated Process</v>
      </c>
      <c r="F7158" t="s">
        <v>7460</v>
      </c>
    </row>
    <row r="7159" spans="1:6" ht="12.75">
      <c r="A7159">
        <v>5320175</v>
      </c>
      <c r="B7159">
        <v>6975772</v>
      </c>
      <c r="C7159" t="s">
        <v>24</v>
      </c>
      <c r="D7159" t="s">
        <v>99</v>
      </c>
      <c r="E7159" s="2" t="str">
        <f>HYPERLINK("https://ibp.a2mac1.com/costing(costing:projects/details/8191/material/5320175)","Material")</f>
        <v>Material</v>
      </c>
      <c r="F7159" t="s">
        <v>7461</v>
      </c>
    </row>
    <row r="7160" spans="1:6" ht="12.75">
      <c r="A7160">
        <v>6948377</v>
      </c>
      <c r="B7160">
        <v>6975772</v>
      </c>
      <c r="C7160" t="s">
        <v>189</v>
      </c>
      <c r="D7160" t="s">
        <v>99</v>
      </c>
      <c r="E7160" s="2" t="str">
        <f>HYPERLINK("https://ibp.a2mac1.com/costing(costing:projects/details/8191/equipment/6948377)","DC machine - General")</f>
        <v>DC machine - General</v>
      </c>
      <c r="F7160" t="s">
        <v>7461</v>
      </c>
    </row>
    <row r="7161" spans="1:6" ht="12.75">
      <c r="A7161">
        <v>5319690</v>
      </c>
      <c r="B7161">
        <v>5388669</v>
      </c>
      <c r="C7161" t="s">
        <v>574</v>
      </c>
      <c r="D7161" t="s">
        <v>8</v>
      </c>
      <c r="E7161" s="2" t="str">
        <f>HYPERLINK("https://ibp.a2mac1.com/costing(costing:projects/details/8191/component/5319690)","Screw &gt; Torx socket head cap screw with flange")</f>
        <v>Screw &gt; Torx socket head cap screw with flange</v>
      </c>
      <c r="F7161" t="s">
        <v>7459</v>
      </c>
    </row>
    <row r="7162" spans="1:6" ht="12.75">
      <c r="A7162">
        <v>5388667</v>
      </c>
      <c r="B7162">
        <v>5388312</v>
      </c>
      <c r="C7162" t="s">
        <v>12</v>
      </c>
      <c r="D7162" t="s">
        <v>8</v>
      </c>
      <c r="E7162" s="2" t="str">
        <f>HYPERLINK("https://ibp.a2mac1.com/costing(costing:projects/details/8191/part/5388667)","Air Guide")</f>
        <v>Air Guide</v>
      </c>
      <c r="F7162" t="s">
        <v>7452</v>
      </c>
    </row>
    <row r="7163" spans="1:6" ht="12.75">
      <c r="A7163">
        <v>6975544</v>
      </c>
      <c r="B7163">
        <v>5388667</v>
      </c>
      <c r="C7163" t="s">
        <v>99</v>
      </c>
      <c r="D7163" t="s">
        <v>12</v>
      </c>
      <c r="E7163" s="2" t="str">
        <f>HYPERLINK("https://ibp.a2mac1.com/costing(costing:projects/details/8191/process/6975544)","Automated Process")</f>
        <v>Automated Process</v>
      </c>
      <c r="F7163" t="s">
        <v>7464</v>
      </c>
    </row>
    <row r="7164" spans="1:6" ht="12.75">
      <c r="A7164">
        <v>5319978</v>
      </c>
      <c r="B7164">
        <v>6975544</v>
      </c>
      <c r="C7164" t="s">
        <v>24</v>
      </c>
      <c r="D7164" t="s">
        <v>99</v>
      </c>
      <c r="E7164" s="2" t="str">
        <f>HYPERLINK("https://ibp.a2mac1.com/costing(costing:projects/details/8191/material/5319978)","PP-EPDM")</f>
        <v>PP-EPDM</v>
      </c>
      <c r="F7164" t="s">
        <v>7467</v>
      </c>
    </row>
    <row r="7165" spans="1:6" ht="12.75">
      <c r="A7165">
        <v>6948142</v>
      </c>
      <c r="B7165">
        <v>6975544</v>
      </c>
      <c r="C7165" t="s">
        <v>189</v>
      </c>
      <c r="D7165" t="s">
        <v>99</v>
      </c>
      <c r="E7165" s="2" t="str">
        <f>HYPERLINK("https://ibp.a2mac1.com/costing(costing:projects/details/8191/equipment/6948142)","Equipment (Injection Molding)")</f>
        <v>Equipment (Injection Molding)</v>
      </c>
      <c r="F7165" t="s">
        <v>7467</v>
      </c>
    </row>
    <row r="7166" spans="1:6" ht="12.75">
      <c r="A7166">
        <v>5319518</v>
      </c>
      <c r="B7166">
        <v>5388312</v>
      </c>
      <c r="C7166" t="s">
        <v>574</v>
      </c>
      <c r="D7166" t="s">
        <v>8</v>
      </c>
      <c r="E7166" s="2" t="str">
        <f>HYPERLINK("https://ibp.a2mac1.com/costing(costing:projects/details/8191/component/5319518)","Nut &gt; Clipping nut for soft materials screw")</f>
        <v>Nut &gt; Clipping nut for soft materials screw</v>
      </c>
      <c r="F7166" t="s">
        <v>7452</v>
      </c>
    </row>
    <row r="7167" spans="1:6" ht="12.75">
      <c r="A7167">
        <v>5388309</v>
      </c>
      <c r="B7167">
        <v>5388159</v>
      </c>
      <c r="C7167" t="s">
        <v>12</v>
      </c>
      <c r="D7167" t="s">
        <v>8</v>
      </c>
      <c r="E7167" s="2" t="str">
        <f>HYPERLINK("https://ibp.a2mac1.com/costing(costing:projects/details/8191/part/5388309)","Rear Cross Member")</f>
        <v>Rear Cross Member</v>
      </c>
      <c r="F7167" t="s">
        <v>7393</v>
      </c>
    </row>
    <row r="7168" spans="1:6" ht="12.75">
      <c r="A7168">
        <v>6975343</v>
      </c>
      <c r="B7168">
        <v>5388309</v>
      </c>
      <c r="C7168" t="s">
        <v>99</v>
      </c>
      <c r="D7168" t="s">
        <v>12</v>
      </c>
      <c r="E7168" s="2" t="str">
        <f>HYPERLINK("https://ibp.a2mac1.com/costing(costing:projects/details/8191/process/6975343)","Process")</f>
        <v>Process</v>
      </c>
      <c r="F7168" t="s">
        <v>7470</v>
      </c>
    </row>
    <row r="7169" spans="1:6" ht="12.75">
      <c r="A7169">
        <v>5319688</v>
      </c>
      <c r="B7169">
        <v>6975343</v>
      </c>
      <c r="C7169" t="s">
        <v>24</v>
      </c>
      <c r="D7169" t="s">
        <v>99</v>
      </c>
      <c r="E7169" s="2" t="str">
        <f>HYPERLINK("https://ibp.a2mac1.com/costing(costing:projects/details/8191/material/5319688)","Steel sheet (default)")</f>
        <v>Steel sheet (default)</v>
      </c>
      <c r="F7169" t="s">
        <v>7473</v>
      </c>
    </row>
    <row r="7170" spans="1:6" ht="12.75">
      <c r="A7170">
        <v>6947909</v>
      </c>
      <c r="B7170">
        <v>6975343</v>
      </c>
      <c r="C7170" t="s">
        <v>189</v>
      </c>
      <c r="D7170" t="s">
        <v>99</v>
      </c>
      <c r="E7170" s="2" t="str">
        <f>HYPERLINK("https://ibp.a2mac1.com/costing(costing:projects/details/8191/equipment/6947909)","DC machine - General")</f>
        <v>DC machine - General</v>
      </c>
      <c r="F7170" t="s">
        <v>7473</v>
      </c>
    </row>
    <row r="7171" spans="1:6" ht="12.75">
      <c r="A7171">
        <v>5319445</v>
      </c>
      <c r="B7171">
        <v>5388159</v>
      </c>
      <c r="C7171" t="s">
        <v>574</v>
      </c>
      <c r="D7171" t="s">
        <v>8</v>
      </c>
      <c r="E7171" s="2" t="str">
        <f>HYPERLINK("https://ibp.a2mac1.com/costing(costing:projects/details/8191/component/5319445)","Screw &gt; Hexagon screw with flange and captive washer")</f>
        <v>Screw &gt; Hexagon screw with flange and captive washer</v>
      </c>
      <c r="F7171" t="s">
        <v>7393</v>
      </c>
    </row>
    <row r="7172" spans="1:6" ht="12.75">
      <c r="A7172">
        <v>5388131</v>
      </c>
      <c r="B7172">
        <v>5388126</v>
      </c>
      <c r="C7172" t="s">
        <v>8</v>
      </c>
      <c r="D7172" t="s">
        <v>8</v>
      </c>
      <c r="E7172" s="2" t="str">
        <f>HYPERLINK("https://ibp.a2mac1.com/costing(costing:projects/details/8191/assembly/5388131)","Exterior Lighting")</f>
        <v>Exterior Lighting</v>
      </c>
      <c r="F7172" t="s">
        <v>4589</v>
      </c>
    </row>
    <row r="7173" spans="1:6" ht="12.75">
      <c r="A7173">
        <v>5388162</v>
      </c>
      <c r="B7173">
        <v>5388131</v>
      </c>
      <c r="C7173" t="s">
        <v>8</v>
      </c>
      <c r="D7173" t="s">
        <v>8</v>
      </c>
      <c r="E7173" s="2" t="str">
        <f>HYPERLINK("https://ibp.a2mac1.com/costing(costing:projects/details/8191/assembly/5388162)","Headlamp System")</f>
        <v>Headlamp System</v>
      </c>
      <c r="F7173" t="s">
        <v>7478</v>
      </c>
    </row>
    <row r="7174" spans="1:6" ht="12.75">
      <c r="A7174">
        <v>5388313</v>
      </c>
      <c r="B7174">
        <v>5388162</v>
      </c>
      <c r="C7174" t="s">
        <v>8</v>
      </c>
      <c r="D7174" t="s">
        <v>8</v>
      </c>
      <c r="E7174" s="2" t="str">
        <f>HYPERLINK("https://ibp.a2mac1.com/costing(costing:projects/details/8191/assembly/5388313)","Headlamp")</f>
        <v>Headlamp</v>
      </c>
      <c r="F7174" t="s">
        <v>7479</v>
      </c>
    </row>
    <row r="7175" spans="1:6" ht="12.75">
      <c r="A7175">
        <v>6975344</v>
      </c>
      <c r="B7175">
        <v>5388313</v>
      </c>
      <c r="C7175" t="s">
        <v>99</v>
      </c>
      <c r="D7175" t="s">
        <v>8</v>
      </c>
      <c r="E7175" s="2" t="str">
        <f>HYPERLINK("https://ibp.a2mac1.com/costing(costing:projects/details/8191/process/6975344)","Process")</f>
        <v>Process</v>
      </c>
      <c r="F7175" t="s">
        <v>7480</v>
      </c>
    </row>
    <row r="7176" spans="1:6" ht="12.75">
      <c r="A7176">
        <v>6947910</v>
      </c>
      <c r="B7176">
        <v>6975344</v>
      </c>
      <c r="C7176" t="s">
        <v>189</v>
      </c>
      <c r="D7176" t="s">
        <v>99</v>
      </c>
      <c r="E7176" s="2" t="str">
        <f>HYPERLINK("https://ibp.a2mac1.com/costing(costing:projects/details/8191/equipment/6947910)","Dummy Machine (PCBA+Final Assembly Line)")</f>
        <v>Dummy Machine (PCBA+Final Assembly Line)</v>
      </c>
      <c r="F7176" t="s">
        <v>7481</v>
      </c>
    </row>
    <row r="7177" spans="1:6" ht="12.75">
      <c r="A7177">
        <v>5319519</v>
      </c>
      <c r="B7177">
        <v>5388313</v>
      </c>
      <c r="C7177" t="s">
        <v>574</v>
      </c>
      <c r="D7177" t="s">
        <v>8</v>
      </c>
      <c r="E7177" s="2" t="str">
        <f>HYPERLINK("https://ibp.a2mac1.com/costing(costing:projects/details/8191/component/5319519)","Mechanics")</f>
        <v>Mechanics</v>
      </c>
      <c r="F7177" t="s">
        <v>7480</v>
      </c>
    </row>
    <row r="7178" spans="1:6" ht="12.75">
      <c r="A7178">
        <v>5319520</v>
      </c>
      <c r="B7178">
        <v>5388313</v>
      </c>
      <c r="C7178" t="s">
        <v>574</v>
      </c>
      <c r="D7178" t="s">
        <v>8</v>
      </c>
      <c r="E7178" s="2" t="str">
        <f>HYPERLINK("https://ibp.a2mac1.com/costing(costing:projects/details/8191/component/5319520)","Electronics")</f>
        <v>Electronics</v>
      </c>
      <c r="F7178" t="s">
        <v>7480</v>
      </c>
    </row>
    <row r="7179" spans="1:6" ht="12.75">
      <c r="A7179">
        <v>5388315</v>
      </c>
      <c r="B7179">
        <v>5388162</v>
      </c>
      <c r="C7179" t="s">
        <v>8</v>
      </c>
      <c r="D7179" t="s">
        <v>8</v>
      </c>
      <c r="E7179" s="2" t="str">
        <f>HYPERLINK("https://ibp.a2mac1.com/costing(costing:projects/details/8191/assembly/5388315)","Headlight Support")</f>
        <v>Headlight Support</v>
      </c>
      <c r="F7179" t="s">
        <v>7479</v>
      </c>
    </row>
    <row r="7180" spans="1:6" ht="12.75">
      <c r="A7180">
        <v>5388670</v>
      </c>
      <c r="B7180">
        <v>5388315</v>
      </c>
      <c r="C7180" t="s">
        <v>12</v>
      </c>
      <c r="D7180" t="s">
        <v>8</v>
      </c>
      <c r="E7180" s="2" t="str">
        <f>HYPERLINK("https://ibp.a2mac1.com/costing(costing:projects/details/8191/part/5388670)","Left and Right if Similar")</f>
        <v>Left and Right if Similar</v>
      </c>
      <c r="F7180" t="s">
        <v>7485</v>
      </c>
    </row>
    <row r="7181" spans="1:6" ht="12.75">
      <c r="A7181">
        <v>6975545</v>
      </c>
      <c r="B7181">
        <v>5388670</v>
      </c>
      <c r="C7181" t="s">
        <v>99</v>
      </c>
      <c r="D7181" t="s">
        <v>12</v>
      </c>
      <c r="E7181" s="2" t="str">
        <f>HYPERLINK("https://ibp.a2mac1.com/costing(costing:projects/details/8191/process/6975545)","Automated Process")</f>
        <v>Automated Process</v>
      </c>
      <c r="F7181" t="s">
        <v>7486</v>
      </c>
    </row>
    <row r="7182" spans="1:6" ht="12.75">
      <c r="A7182">
        <v>5319979</v>
      </c>
      <c r="B7182">
        <v>6975545</v>
      </c>
      <c r="C7182" t="s">
        <v>24</v>
      </c>
      <c r="D7182" t="s">
        <v>99</v>
      </c>
      <c r="E7182" s="2" t="str">
        <f>HYPERLINK("https://ibp.a2mac1.com/costing(costing:projects/details/8191/material/5319979)","PA66")</f>
        <v>PA66</v>
      </c>
      <c r="F7182" t="s">
        <v>7487</v>
      </c>
    </row>
    <row r="7183" spans="1:6" ht="12.75">
      <c r="A7183">
        <v>6948143</v>
      </c>
      <c r="B7183">
        <v>6975545</v>
      </c>
      <c r="C7183" t="s">
        <v>189</v>
      </c>
      <c r="D7183" t="s">
        <v>99</v>
      </c>
      <c r="E7183" s="2" t="str">
        <f>HYPERLINK("https://ibp.a2mac1.com/costing(costing:projects/details/8191/equipment/6948143)","Equipment (Injection Molding)")</f>
        <v>Equipment (Injection Molding)</v>
      </c>
      <c r="F7183" t="s">
        <v>7487</v>
      </c>
    </row>
    <row r="7184" spans="1:6" ht="12.75">
      <c r="A7184">
        <v>5388316</v>
      </c>
      <c r="B7184">
        <v>5388162</v>
      </c>
      <c r="C7184" t="s">
        <v>8</v>
      </c>
      <c r="D7184" t="s">
        <v>8</v>
      </c>
      <c r="E7184" s="2" t="str">
        <f>HYPERLINK("https://ibp.a2mac1.com/costing(costing:projects/details/8191/assembly/5388316)","Headlamp ECU")</f>
        <v>Headlamp ECU</v>
      </c>
      <c r="F7184" t="s">
        <v>7479</v>
      </c>
    </row>
    <row r="7185" spans="1:6" ht="12.75">
      <c r="A7185">
        <v>5388671</v>
      </c>
      <c r="B7185">
        <v>5388316</v>
      </c>
      <c r="C7185" t="s">
        <v>12</v>
      </c>
      <c r="D7185" t="s">
        <v>8</v>
      </c>
      <c r="E7185" s="2" t="str">
        <f>HYPERLINK("https://ibp.a2mac1.com/costing(costing:projects/details/8191/part/5388671)","Headlight ECU")</f>
        <v>Headlight ECU</v>
      </c>
      <c r="F7185" t="s">
        <v>7489</v>
      </c>
    </row>
    <row r="7186" spans="1:6" ht="12.75">
      <c r="A7186">
        <v>6975551</v>
      </c>
      <c r="B7186">
        <v>5388671</v>
      </c>
      <c r="C7186" t="s">
        <v>99</v>
      </c>
      <c r="D7186" t="s">
        <v>12</v>
      </c>
      <c r="E7186" s="2" t="str">
        <f>HYPERLINK("https://ibp.a2mac1.com/costing(costing:projects/details/8191/process/6975551)","Process")</f>
        <v>Process</v>
      </c>
      <c r="F7186" t="s">
        <v>7490</v>
      </c>
    </row>
    <row r="7187" spans="1:6" ht="12.75">
      <c r="A7187">
        <v>6948144</v>
      </c>
      <c r="B7187">
        <v>6975551</v>
      </c>
      <c r="C7187" t="s">
        <v>189</v>
      </c>
      <c r="D7187" t="s">
        <v>99</v>
      </c>
      <c r="E7187" s="2" t="str">
        <f>HYPERLINK("https://ibp.a2mac1.com/costing(costing:projects/details/8191/equipment/6948144)","Dummy Machine (PCBA+Final Assembly Line)")</f>
        <v>Dummy Machine (PCBA+Final Assembly Line)</v>
      </c>
      <c r="F7187" t="s">
        <v>7491</v>
      </c>
    </row>
    <row r="7188" spans="1:6" ht="12.75">
      <c r="A7188">
        <v>5319691</v>
      </c>
      <c r="B7188">
        <v>5388671</v>
      </c>
      <c r="C7188" t="s">
        <v>574</v>
      </c>
      <c r="D7188" t="s">
        <v>12</v>
      </c>
      <c r="E7188" s="2" t="str">
        <f>HYPERLINK("https://ibp.a2mac1.com/costing(costing:projects/details/8191/component/5319691)","Mechanics")</f>
        <v>Mechanics</v>
      </c>
      <c r="F7188" t="s">
        <v>7490</v>
      </c>
    </row>
    <row r="7189" spans="1:6" ht="12.75">
      <c r="A7189">
        <v>5319692</v>
      </c>
      <c r="B7189">
        <v>5388671</v>
      </c>
      <c r="C7189" t="s">
        <v>574</v>
      </c>
      <c r="D7189" t="s">
        <v>12</v>
      </c>
      <c r="E7189" s="2" t="str">
        <f>HYPERLINK("https://ibp.a2mac1.com/costing(costing:projects/details/8191/component/5319692)","Electronics")</f>
        <v>Electronics</v>
      </c>
      <c r="F7189" t="s">
        <v>7490</v>
      </c>
    </row>
    <row r="7190" spans="1:6" ht="12.75">
      <c r="A7190">
        <v>5388314</v>
      </c>
      <c r="B7190">
        <v>5388162</v>
      </c>
      <c r="C7190" t="s">
        <v>12</v>
      </c>
      <c r="D7190" t="s">
        <v>8</v>
      </c>
      <c r="E7190" s="2" t="str">
        <f>HYPERLINK("https://ibp.a2mac1.com/costing(costing:projects/details/8191/part/5388314)","Seals on Headlight")</f>
        <v>Seals on Headlight</v>
      </c>
      <c r="F7190" t="s">
        <v>7479</v>
      </c>
    </row>
    <row r="7191" spans="1:6" ht="12.75">
      <c r="A7191">
        <v>5319446</v>
      </c>
      <c r="B7191">
        <v>5388162</v>
      </c>
      <c r="C7191" t="s">
        <v>574</v>
      </c>
      <c r="D7191" t="s">
        <v>8</v>
      </c>
      <c r="E7191" s="2" t="str">
        <f>HYPERLINK("https://ibp.a2mac1.com/costing(costing:projects/details/8191/component/5319446)","Other fastener &gt; Insert")</f>
        <v>Other fastener &gt; Insert</v>
      </c>
      <c r="F7191" t="s">
        <v>7479</v>
      </c>
    </row>
    <row r="7192" spans="1:6" ht="12.75">
      <c r="A7192">
        <v>5388163</v>
      </c>
      <c r="B7192">
        <v>5388131</v>
      </c>
      <c r="C7192" t="s">
        <v>8</v>
      </c>
      <c r="D7192" t="s">
        <v>8</v>
      </c>
      <c r="E7192" s="2" t="str">
        <f>HYPERLINK("https://ibp.a2mac1.com/costing(costing:projects/details/8191/assembly/5388163)","Rear Lamp System")</f>
        <v>Rear Lamp System</v>
      </c>
      <c r="F7192" t="s">
        <v>7478</v>
      </c>
    </row>
    <row r="7193" spans="1:6" ht="12.75">
      <c r="A7193">
        <v>5388317</v>
      </c>
      <c r="B7193">
        <v>5388163</v>
      </c>
      <c r="C7193" t="s">
        <v>12</v>
      </c>
      <c r="D7193" t="s">
        <v>8</v>
      </c>
      <c r="E7193" s="2" t="str">
        <f>HYPERLINK("https://ibp.a2mac1.com/costing(costing:projects/details/8191/part/5388317)","Rear Lamp on Body")</f>
        <v>Rear Lamp on Body</v>
      </c>
      <c r="F7193" t="s">
        <v>7498</v>
      </c>
    </row>
    <row r="7194" spans="1:6" ht="12.75">
      <c r="A7194">
        <v>6975345</v>
      </c>
      <c r="B7194">
        <v>5388317</v>
      </c>
      <c r="C7194" t="s">
        <v>99</v>
      </c>
      <c r="D7194" t="s">
        <v>12</v>
      </c>
      <c r="E7194" s="2" t="str">
        <f>HYPERLINK("https://ibp.a2mac1.com/costing(costing:projects/details/8191/process/6975345)","Process")</f>
        <v>Process</v>
      </c>
      <c r="F7194" t="s">
        <v>7499</v>
      </c>
    </row>
    <row r="7195" spans="1:6" ht="12.75">
      <c r="A7195">
        <v>6947911</v>
      </c>
      <c r="B7195">
        <v>6975345</v>
      </c>
      <c r="C7195" t="s">
        <v>189</v>
      </c>
      <c r="D7195" t="s">
        <v>99</v>
      </c>
      <c r="E7195" s="2" t="str">
        <f>HYPERLINK("https://ibp.a2mac1.com/costing(costing:projects/details/8191/equipment/6947911)","Dummy Machine (PCBA+Final Assembly Line)")</f>
        <v>Dummy Machine (PCBA+Final Assembly Line)</v>
      </c>
      <c r="F7195" t="s">
        <v>7500</v>
      </c>
    </row>
    <row r="7196" spans="1:6" ht="12.75">
      <c r="A7196">
        <v>5319521</v>
      </c>
      <c r="B7196">
        <v>5388317</v>
      </c>
      <c r="C7196" t="s">
        <v>574</v>
      </c>
      <c r="D7196" t="s">
        <v>12</v>
      </c>
      <c r="E7196" s="2" t="str">
        <f>HYPERLINK("https://ibp.a2mac1.com/costing(costing:projects/details/8191/component/5319521)","Electronics")</f>
        <v>Electronics</v>
      </c>
      <c r="F7196" t="s">
        <v>7499</v>
      </c>
    </row>
    <row r="7197" spans="1:6" ht="12.75">
      <c r="A7197">
        <v>5319522</v>
      </c>
      <c r="B7197">
        <v>5388317</v>
      </c>
      <c r="C7197" t="s">
        <v>574</v>
      </c>
      <c r="D7197" t="s">
        <v>12</v>
      </c>
      <c r="E7197" s="2" t="str">
        <f>HYPERLINK("https://ibp.a2mac1.com/costing(costing:projects/details/8191/component/5319522)","Mechanics")</f>
        <v>Mechanics</v>
      </c>
      <c r="F7197" t="s">
        <v>7499</v>
      </c>
    </row>
    <row r="7198" spans="1:6" ht="12.75">
      <c r="A7198">
        <v>5388318</v>
      </c>
      <c r="B7198">
        <v>5388163</v>
      </c>
      <c r="C7198" t="s">
        <v>12</v>
      </c>
      <c r="D7198" t="s">
        <v>8</v>
      </c>
      <c r="E7198" s="2" t="str">
        <f>HYPERLINK("https://ibp.a2mac1.com/costing(costing:projects/details/8191/part/5388318)","Rear Lamp on Trunk Lid   Tailgate Left")</f>
        <v>Rear Lamp on Trunk Lid   Tailgate Left</v>
      </c>
      <c r="F7198" t="s">
        <v>7498</v>
      </c>
    </row>
    <row r="7199" spans="1:6" ht="12.75">
      <c r="A7199">
        <v>6975346</v>
      </c>
      <c r="B7199">
        <v>5388318</v>
      </c>
      <c r="C7199" t="s">
        <v>99</v>
      </c>
      <c r="D7199" t="s">
        <v>12</v>
      </c>
      <c r="E7199" s="2" t="str">
        <f>HYPERLINK("https://ibp.a2mac1.com/costing(costing:projects/details/8191/process/6975346)","Process")</f>
        <v>Process</v>
      </c>
      <c r="F7199" t="s">
        <v>7503</v>
      </c>
    </row>
    <row r="7200" spans="1:6" ht="12.75">
      <c r="A7200">
        <v>6947913</v>
      </c>
      <c r="B7200">
        <v>6975346</v>
      </c>
      <c r="C7200" t="s">
        <v>189</v>
      </c>
      <c r="D7200" t="s">
        <v>99</v>
      </c>
      <c r="E7200" s="2" t="str">
        <f>HYPERLINK("https://ibp.a2mac1.com/costing(costing:projects/details/8191/equipment/6947913)","Dummy Machine (PCBA+Final Assembly Line)")</f>
        <v>Dummy Machine (PCBA+Final Assembly Line)</v>
      </c>
      <c r="F7200" t="s">
        <v>7504</v>
      </c>
    </row>
    <row r="7201" spans="1:6" ht="12.75">
      <c r="A7201">
        <v>5319523</v>
      </c>
      <c r="B7201">
        <v>5388318</v>
      </c>
      <c r="C7201" t="s">
        <v>574</v>
      </c>
      <c r="D7201" t="s">
        <v>12</v>
      </c>
      <c r="E7201" s="2" t="str">
        <f>HYPERLINK("https://ibp.a2mac1.com/costing(costing:projects/details/8191/component/5319523)","Electronics")</f>
        <v>Electronics</v>
      </c>
      <c r="F7201" t="s">
        <v>7503</v>
      </c>
    </row>
    <row r="7202" spans="1:6" ht="12.75">
      <c r="A7202">
        <v>5319524</v>
      </c>
      <c r="B7202">
        <v>5388318</v>
      </c>
      <c r="C7202" t="s">
        <v>574</v>
      </c>
      <c r="D7202" t="s">
        <v>12</v>
      </c>
      <c r="E7202" s="2" t="str">
        <f>HYPERLINK("https://ibp.a2mac1.com/costing(costing:projects/details/8191/component/5319524)","Mechanics")</f>
        <v>Mechanics</v>
      </c>
      <c r="F7202" t="s">
        <v>7503</v>
      </c>
    </row>
    <row r="7203" spans="1:6" ht="12.75">
      <c r="A7203">
        <v>5319447</v>
      </c>
      <c r="B7203">
        <v>5388163</v>
      </c>
      <c r="C7203" t="s">
        <v>574</v>
      </c>
      <c r="D7203" t="s">
        <v>8</v>
      </c>
      <c r="E7203" s="2" t="str">
        <f>HYPERLINK("https://ibp.a2mac1.com/costing(costing:projects/details/8191/component/5319447)","Screw &gt; Torx socket head cap screw with flange")</f>
        <v>Screw &gt; Torx socket head cap screw with flange</v>
      </c>
      <c r="F7203" t="s">
        <v>7498</v>
      </c>
    </row>
    <row r="7204" spans="1:6" ht="12.75">
      <c r="A7204">
        <v>5319448</v>
      </c>
      <c r="B7204">
        <v>5388163</v>
      </c>
      <c r="C7204" t="s">
        <v>574</v>
      </c>
      <c r="D7204" t="s">
        <v>8</v>
      </c>
      <c r="E7204" s="2" t="str">
        <f>HYPERLINK("https://ibp.a2mac1.com/costing(costing:projects/details/8191/component/5319448)","Stud &gt; T head screwed dowel")</f>
        <v>Stud &gt; T head screwed dowel</v>
      </c>
      <c r="F7204" t="s">
        <v>7498</v>
      </c>
    </row>
    <row r="7205" spans="1:6" ht="12.75">
      <c r="A7205">
        <v>5388164</v>
      </c>
      <c r="B7205">
        <v>5388131</v>
      </c>
      <c r="C7205" t="s">
        <v>8</v>
      </c>
      <c r="D7205" t="s">
        <v>8</v>
      </c>
      <c r="E7205" s="2" t="str">
        <f>HYPERLINK("https://ibp.a2mac1.com/costing(costing:projects/details/8191/assembly/5388164)","Third Stop Lamp System")</f>
        <v>Third Stop Lamp System</v>
      </c>
      <c r="F7205" t="s">
        <v>7478</v>
      </c>
    </row>
    <row r="7206" spans="1:6" ht="12.75">
      <c r="A7206">
        <v>5388319</v>
      </c>
      <c r="B7206">
        <v>5388164</v>
      </c>
      <c r="C7206" t="s">
        <v>12</v>
      </c>
      <c r="D7206" t="s">
        <v>8</v>
      </c>
      <c r="E7206" s="2" t="str">
        <f>HYPERLINK("https://ibp.a2mac1.com/costing(costing:projects/details/8191/part/5388319)","Third Stop Lamp")</f>
        <v>Third Stop Lamp</v>
      </c>
      <c r="F7206" t="s">
        <v>7508</v>
      </c>
    </row>
    <row r="7207" spans="1:6" ht="12.75">
      <c r="A7207">
        <v>6975347</v>
      </c>
      <c r="B7207">
        <v>5388319</v>
      </c>
      <c r="C7207" t="s">
        <v>99</v>
      </c>
      <c r="D7207" t="s">
        <v>12</v>
      </c>
      <c r="E7207" s="2" t="str">
        <f>HYPERLINK("https://ibp.a2mac1.com/costing(costing:projects/details/8191/process/6975347)","Process")</f>
        <v>Process</v>
      </c>
      <c r="F7207" t="s">
        <v>7509</v>
      </c>
    </row>
    <row r="7208" spans="1:6" ht="12.75">
      <c r="A7208">
        <v>6947914</v>
      </c>
      <c r="B7208">
        <v>6975347</v>
      </c>
      <c r="C7208" t="s">
        <v>189</v>
      </c>
      <c r="D7208" t="s">
        <v>99</v>
      </c>
      <c r="E7208" s="2" t="str">
        <f>HYPERLINK("https://ibp.a2mac1.com/costing(costing:projects/details/8191/equipment/6947914)","Dummy Machine (PCBA+Final Assembly Line)")</f>
        <v>Dummy Machine (PCBA+Final Assembly Line)</v>
      </c>
      <c r="F7208" t="s">
        <v>7510</v>
      </c>
    </row>
    <row r="7209" spans="1:6" ht="12.75">
      <c r="A7209">
        <v>5319525</v>
      </c>
      <c r="B7209">
        <v>5388319</v>
      </c>
      <c r="C7209" t="s">
        <v>574</v>
      </c>
      <c r="D7209" t="s">
        <v>12</v>
      </c>
      <c r="E7209" s="2" t="str">
        <f>HYPERLINK("https://ibp.a2mac1.com/costing(costing:projects/details/8191/component/5319525)","Electronics")</f>
        <v>Electronics</v>
      </c>
      <c r="F7209" t="s">
        <v>7509</v>
      </c>
    </row>
    <row r="7210" spans="1:6" ht="12.75">
      <c r="A7210">
        <v>5319526</v>
      </c>
      <c r="B7210">
        <v>5388319</v>
      </c>
      <c r="C7210" t="s">
        <v>574</v>
      </c>
      <c r="D7210" t="s">
        <v>12</v>
      </c>
      <c r="E7210" s="2" t="str">
        <f>HYPERLINK("https://ibp.a2mac1.com/costing(costing:projects/details/8191/component/5319526)","Mechanics")</f>
        <v>Mechanics</v>
      </c>
      <c r="F7210" t="s">
        <v>7509</v>
      </c>
    </row>
    <row r="7211" spans="1:6" ht="12.75">
      <c r="A7211">
        <v>5388320</v>
      </c>
      <c r="B7211">
        <v>5388164</v>
      </c>
      <c r="C7211" t="s">
        <v>12</v>
      </c>
      <c r="D7211" t="s">
        <v>8</v>
      </c>
      <c r="E7211" s="2" t="str">
        <f>HYPERLINK("https://ibp.a2mac1.com/costing(costing:projects/details/8191/part/5388320)","Wiring Harness")</f>
        <v>Wiring Harness</v>
      </c>
      <c r="F7211" t="s">
        <v>7508</v>
      </c>
    </row>
    <row r="7212" spans="1:6" ht="12.75">
      <c r="A7212">
        <v>5319449</v>
      </c>
      <c r="B7212">
        <v>5388164</v>
      </c>
      <c r="C7212" t="s">
        <v>574</v>
      </c>
      <c r="D7212" t="s">
        <v>8</v>
      </c>
      <c r="E7212" s="2" t="str">
        <f>HYPERLINK("https://ibp.a2mac1.com/costing(costing:projects/details/8191/component/5319449)","Panel holder &gt; Clips in rectangular hole")</f>
        <v>Panel holder &gt; Clips in rectangular hole</v>
      </c>
      <c r="F7212" t="s">
        <v>7508</v>
      </c>
    </row>
    <row r="7213" spans="1:6" ht="12.75">
      <c r="A7213">
        <v>5388165</v>
      </c>
      <c r="B7213">
        <v>5388131</v>
      </c>
      <c r="C7213" t="s">
        <v>8</v>
      </c>
      <c r="D7213" t="s">
        <v>8</v>
      </c>
      <c r="E7213" s="2" t="str">
        <f>HYPERLINK("https://ibp.a2mac1.com/costing(costing:projects/details/8191/assembly/5388165)","License Plate Light System")</f>
        <v>License Plate Light System</v>
      </c>
      <c r="F7213" t="s">
        <v>7478</v>
      </c>
    </row>
    <row r="7214" spans="1:6" ht="12.75">
      <c r="A7214">
        <v>5388321</v>
      </c>
      <c r="B7214">
        <v>5388165</v>
      </c>
      <c r="C7214" t="s">
        <v>12</v>
      </c>
      <c r="D7214" t="s">
        <v>8</v>
      </c>
      <c r="E7214" s="2" t="str">
        <f>HYPERLINK("https://ibp.a2mac1.com/costing(costing:projects/details/8191/part/5388321)","License Plate Light")</f>
        <v>License Plate Light</v>
      </c>
      <c r="F7214" t="s">
        <v>7516</v>
      </c>
    </row>
    <row r="7215" spans="1:6" ht="12.75">
      <c r="A7215">
        <v>5388166</v>
      </c>
      <c r="B7215">
        <v>5388131</v>
      </c>
      <c r="C7215" t="s">
        <v>8</v>
      </c>
      <c r="D7215" t="s">
        <v>8</v>
      </c>
      <c r="E7215" s="2" t="str">
        <f>HYPERLINK("https://ibp.a2mac1.com/costing(costing:projects/details/8191/assembly/5388166)","Daytime Running Lamp System")</f>
        <v>Daytime Running Lamp System</v>
      </c>
      <c r="F7215" t="s">
        <v>7478</v>
      </c>
    </row>
    <row r="7216" spans="1:6" ht="12.75">
      <c r="A7216">
        <v>5388322</v>
      </c>
      <c r="B7216">
        <v>5388166</v>
      </c>
      <c r="C7216" t="s">
        <v>12</v>
      </c>
      <c r="D7216" t="s">
        <v>8</v>
      </c>
      <c r="E7216" s="2" t="str">
        <f>HYPERLINK("https://ibp.a2mac1.com/costing(costing:projects/details/8191/part/5388322)","Daytime Running Lamp")</f>
        <v>Daytime Running Lamp</v>
      </c>
      <c r="F7216" t="s">
        <v>7520</v>
      </c>
    </row>
    <row r="7217" spans="1:6" ht="12.75">
      <c r="A7217">
        <v>6975348</v>
      </c>
      <c r="B7217">
        <v>5388322</v>
      </c>
      <c r="C7217" t="s">
        <v>99</v>
      </c>
      <c r="D7217" t="s">
        <v>12</v>
      </c>
      <c r="E7217" s="2" t="str">
        <f>HYPERLINK("https://ibp.a2mac1.com/costing(costing:projects/details/8191/process/6975348)","Process")</f>
        <v>Process</v>
      </c>
      <c r="F7217" t="s">
        <v>7521</v>
      </c>
    </row>
    <row r="7218" spans="1:6" ht="12.75">
      <c r="A7218">
        <v>6947915</v>
      </c>
      <c r="B7218">
        <v>6975348</v>
      </c>
      <c r="C7218" t="s">
        <v>189</v>
      </c>
      <c r="D7218" t="s">
        <v>99</v>
      </c>
      <c r="E7218" s="2" t="str">
        <f>HYPERLINK("https://ibp.a2mac1.com/costing(costing:projects/details/8191/equipment/6947915)","Dummy Machine (PCBA+Final Assembly Line)")</f>
        <v>Dummy Machine (PCBA+Final Assembly Line)</v>
      </c>
      <c r="F7218" t="s">
        <v>7522</v>
      </c>
    </row>
    <row r="7219" spans="1:6" ht="12.75">
      <c r="A7219">
        <v>5319527</v>
      </c>
      <c r="B7219">
        <v>5388322</v>
      </c>
      <c r="C7219" t="s">
        <v>574</v>
      </c>
      <c r="D7219" t="s">
        <v>12</v>
      </c>
      <c r="E7219" s="2" t="str">
        <f>HYPERLINK("https://ibp.a2mac1.com/costing(costing:projects/details/8191/component/5319527)","Electronics")</f>
        <v>Electronics</v>
      </c>
      <c r="F7219" t="s">
        <v>7521</v>
      </c>
    </row>
    <row r="7220" spans="1:6" ht="12.75">
      <c r="A7220">
        <v>5319528</v>
      </c>
      <c r="B7220">
        <v>5388322</v>
      </c>
      <c r="C7220" t="s">
        <v>574</v>
      </c>
      <c r="D7220" t="s">
        <v>12</v>
      </c>
      <c r="E7220" s="2" t="str">
        <f>HYPERLINK("https://ibp.a2mac1.com/costing(costing:projects/details/8191/component/5319528)","Mechanics")</f>
        <v>Mechanics</v>
      </c>
      <c r="F7220" t="s">
        <v>7521</v>
      </c>
    </row>
    <row r="7221" spans="1:6" ht="12.75">
      <c r="A7221">
        <v>5388167</v>
      </c>
      <c r="B7221">
        <v>5388131</v>
      </c>
      <c r="C7221" t="s">
        <v>8</v>
      </c>
      <c r="D7221" t="s">
        <v>8</v>
      </c>
      <c r="E7221" s="2" t="str">
        <f>HYPERLINK("https://ibp.a2mac1.com/costing(costing:projects/details/8191/assembly/5388167)","Dynamic Adjustment Bar")</f>
        <v>Dynamic Adjustment Bar</v>
      </c>
      <c r="F7221" t="s">
        <v>7478</v>
      </c>
    </row>
    <row r="7222" spans="1:6" ht="12.75">
      <c r="A7222">
        <v>5388323</v>
      </c>
      <c r="B7222">
        <v>5388167</v>
      </c>
      <c r="C7222" t="s">
        <v>8</v>
      </c>
      <c r="D7222" t="s">
        <v>8</v>
      </c>
      <c r="E7222" s="2" t="str">
        <f>HYPERLINK("https://ibp.a2mac1.com/costing(costing:projects/details/8191/assembly/5388323)","Dynamic Adjustment on Front Axle")</f>
        <v>Dynamic Adjustment on Front Axle</v>
      </c>
      <c r="F7222" t="s">
        <v>7525</v>
      </c>
    </row>
    <row r="7223" spans="1:6" ht="12.75">
      <c r="A7223">
        <v>5388672</v>
      </c>
      <c r="B7223">
        <v>5388323</v>
      </c>
      <c r="C7223" t="s">
        <v>12</v>
      </c>
      <c r="D7223" t="s">
        <v>8</v>
      </c>
      <c r="E7223" s="2" t="str">
        <f>HYPERLINK("https://ibp.a2mac1.com/costing(costing:projects/details/8191/part/5388672)","Ride height sensor")</f>
        <v>Ride height sensor</v>
      </c>
      <c r="F7223" t="s">
        <v>7526</v>
      </c>
    </row>
    <row r="7224" spans="1:6" ht="12.75">
      <c r="A7224">
        <v>5388673</v>
      </c>
      <c r="B7224">
        <v>5388323</v>
      </c>
      <c r="C7224" t="s">
        <v>12</v>
      </c>
      <c r="D7224" t="s">
        <v>8</v>
      </c>
      <c r="E7224" s="2" t="str">
        <f>HYPERLINK("https://ibp.a2mac1.com/costing(costing:projects/details/8191/part/5388673)","Front Link Rod")</f>
        <v>Front Link Rod</v>
      </c>
      <c r="F7224" t="s">
        <v>7526</v>
      </c>
    </row>
    <row r="7225" spans="1:6" ht="12.75">
      <c r="A7225">
        <v>5388674</v>
      </c>
      <c r="B7225">
        <v>5388323</v>
      </c>
      <c r="C7225" t="s">
        <v>12</v>
      </c>
      <c r="D7225" t="s">
        <v>8</v>
      </c>
      <c r="E7225" s="2" t="str">
        <f>HYPERLINK("https://ibp.a2mac1.com/costing(costing:projects/details/8191/part/5388674)","Support on Body K-Frame")</f>
        <v>Support on Body K-Frame</v>
      </c>
      <c r="F7225" t="s">
        <v>7526</v>
      </c>
    </row>
    <row r="7226" spans="1:6" ht="12.75">
      <c r="A7226">
        <v>5388675</v>
      </c>
      <c r="B7226">
        <v>5388323</v>
      </c>
      <c r="C7226" t="s">
        <v>12</v>
      </c>
      <c r="D7226" t="s">
        <v>8</v>
      </c>
      <c r="E7226" s="2" t="str">
        <f>HYPERLINK("https://ibp.a2mac1.com/costing(costing:projects/details/8191/part/5388675)","Support on Arm")</f>
        <v>Support on Arm</v>
      </c>
      <c r="F7226" t="s">
        <v>7526</v>
      </c>
    </row>
    <row r="7227" spans="1:6" ht="12.75">
      <c r="A7227">
        <v>5319529</v>
      </c>
      <c r="B7227">
        <v>5388323</v>
      </c>
      <c r="C7227" t="s">
        <v>574</v>
      </c>
      <c r="D7227" t="s">
        <v>8</v>
      </c>
      <c r="E7227" s="2" t="str">
        <f>HYPERLINK("https://ibp.a2mac1.com/costing(costing:projects/details/8191/component/5319529)","Screw &gt; Torx socket head cap screw")</f>
        <v>Screw &gt; Torx socket head cap screw</v>
      </c>
      <c r="F7227" t="s">
        <v>7526</v>
      </c>
    </row>
    <row r="7228" spans="1:6" ht="12.75">
      <c r="A7228">
        <v>5319530</v>
      </c>
      <c r="B7228">
        <v>5388323</v>
      </c>
      <c r="C7228" t="s">
        <v>574</v>
      </c>
      <c r="D7228" t="s">
        <v>8</v>
      </c>
      <c r="E7228" s="2" t="str">
        <f>HYPERLINK("https://ibp.a2mac1.com/costing(costing:projects/details/8191/component/5319530)","Nut &gt; Hexagonal nut with collar")</f>
        <v>Nut &gt; Hexagonal nut with collar</v>
      </c>
      <c r="F7228" t="s">
        <v>7526</v>
      </c>
    </row>
    <row r="7229" spans="1:6" ht="12.75">
      <c r="A7229">
        <v>5319531</v>
      </c>
      <c r="B7229">
        <v>5388323</v>
      </c>
      <c r="C7229" t="s">
        <v>574</v>
      </c>
      <c r="D7229" t="s">
        <v>8</v>
      </c>
      <c r="E7229" s="2" t="str">
        <f>HYPERLINK("https://ibp.a2mac1.com/costing(costing:projects/details/8191/component/5319531)","Nut &gt; Hexagonal nut with collar")</f>
        <v>Nut &gt; Hexagonal nut with collar</v>
      </c>
      <c r="F7229" t="s">
        <v>7526</v>
      </c>
    </row>
    <row r="7230" spans="1:6" ht="12.75">
      <c r="A7230">
        <v>5388324</v>
      </c>
      <c r="B7230">
        <v>5388167</v>
      </c>
      <c r="C7230" t="s">
        <v>8</v>
      </c>
      <c r="D7230" t="s">
        <v>8</v>
      </c>
      <c r="E7230" s="2" t="str">
        <f>HYPERLINK("https://ibp.a2mac1.com/costing(costing:projects/details/8191/assembly/5388324)","Dynamic Adjustment on Rear Axle")</f>
        <v>Dynamic Adjustment on Rear Axle</v>
      </c>
      <c r="F7230" t="s">
        <v>7525</v>
      </c>
    </row>
    <row r="7231" spans="1:6" ht="12.75">
      <c r="A7231">
        <v>5388676</v>
      </c>
      <c r="B7231">
        <v>5388324</v>
      </c>
      <c r="C7231" t="s">
        <v>12</v>
      </c>
      <c r="D7231" t="s">
        <v>8</v>
      </c>
      <c r="E7231" s="2" t="str">
        <f>HYPERLINK("https://ibp.a2mac1.com/costing(costing:projects/details/8191/part/5388676)","Ride height sensor")</f>
        <v>Ride height sensor</v>
      </c>
      <c r="F7231" t="s">
        <v>7533</v>
      </c>
    </row>
    <row r="7232" spans="1:6" ht="12.75">
      <c r="A7232">
        <v>5388677</v>
      </c>
      <c r="B7232">
        <v>5388324</v>
      </c>
      <c r="C7232" t="s">
        <v>12</v>
      </c>
      <c r="D7232" t="s">
        <v>8</v>
      </c>
      <c r="E7232" s="2" t="str">
        <f>HYPERLINK("https://ibp.a2mac1.com/costing(costing:projects/details/8191/part/5388677)","Rear Link Rod")</f>
        <v>Rear Link Rod</v>
      </c>
      <c r="F7232" t="s">
        <v>7533</v>
      </c>
    </row>
    <row r="7233" spans="1:6" ht="12.75">
      <c r="A7233">
        <v>5388678</v>
      </c>
      <c r="B7233">
        <v>5388324</v>
      </c>
      <c r="C7233" t="s">
        <v>12</v>
      </c>
      <c r="D7233" t="s">
        <v>8</v>
      </c>
      <c r="E7233" s="2" t="str">
        <f>HYPERLINK("https://ibp.a2mac1.com/costing(costing:projects/details/8191/part/5388678)","Support on Body K-Frame")</f>
        <v>Support on Body K-Frame</v>
      </c>
      <c r="F7233" t="s">
        <v>7533</v>
      </c>
    </row>
    <row r="7234" spans="1:6" ht="12.75">
      <c r="A7234">
        <v>5388679</v>
      </c>
      <c r="B7234">
        <v>5388324</v>
      </c>
      <c r="C7234" t="s">
        <v>12</v>
      </c>
      <c r="D7234" t="s">
        <v>8</v>
      </c>
      <c r="E7234" s="2" t="str">
        <f>HYPERLINK("https://ibp.a2mac1.com/costing(costing:projects/details/8191/part/5388679)","Support on Arm")</f>
        <v>Support on Arm</v>
      </c>
      <c r="F7234" t="s">
        <v>7533</v>
      </c>
    </row>
    <row r="7235" spans="1:6" ht="12.75">
      <c r="A7235">
        <v>5319532</v>
      </c>
      <c r="B7235">
        <v>5388324</v>
      </c>
      <c r="C7235" t="s">
        <v>574</v>
      </c>
      <c r="D7235" t="s">
        <v>8</v>
      </c>
      <c r="E7235" s="2" t="str">
        <f>HYPERLINK("https://ibp.a2mac1.com/costing(costing:projects/details/8191/component/5319532)","Screw &gt; Torx socket head cap screw")</f>
        <v>Screw &gt; Torx socket head cap screw</v>
      </c>
      <c r="F7235" t="s">
        <v>7533</v>
      </c>
    </row>
    <row r="7236" spans="1:6" ht="12.75">
      <c r="A7236">
        <v>5319533</v>
      </c>
      <c r="B7236">
        <v>5388324</v>
      </c>
      <c r="C7236" t="s">
        <v>574</v>
      </c>
      <c r="D7236" t="s">
        <v>8</v>
      </c>
      <c r="E7236" s="2" t="str">
        <f>HYPERLINK("https://ibp.a2mac1.com/costing(costing:projects/details/8191/component/5319533)","Screw &gt; Torx socket head cap screw with flange")</f>
        <v>Screw &gt; Torx socket head cap screw with flange</v>
      </c>
      <c r="F7236" t="s">
        <v>7533</v>
      </c>
    </row>
    <row r="7237" spans="1:6" ht="12.75">
      <c r="A7237">
        <v>5388160</v>
      </c>
      <c r="B7237">
        <v>5388131</v>
      </c>
      <c r="C7237" t="s">
        <v>12</v>
      </c>
      <c r="D7237" t="s">
        <v>8</v>
      </c>
      <c r="E7237" s="2" t="str">
        <f>HYPERLINK("https://ibp.a2mac1.com/costing(costing:projects/details/8191/part/5388160)","Front Reflector")</f>
        <v>Front Reflector</v>
      </c>
      <c r="F7237" t="s">
        <v>7478</v>
      </c>
    </row>
    <row r="7238" spans="1:6" ht="12.75">
      <c r="A7238">
        <v>5388161</v>
      </c>
      <c r="B7238">
        <v>5388131</v>
      </c>
      <c r="C7238" t="s">
        <v>12</v>
      </c>
      <c r="D7238" t="s">
        <v>8</v>
      </c>
      <c r="E7238" s="2" t="str">
        <f>HYPERLINK("https://ibp.a2mac1.com/costing(costing:projects/details/8191/part/5388161)","Rear Reflector")</f>
        <v>Rear Reflector</v>
      </c>
      <c r="F7238" t="s">
        <v>7478</v>
      </c>
    </row>
    <row r="7239" spans="1:6" ht="12.75">
      <c r="A7239">
        <v>5388132</v>
      </c>
      <c r="B7239">
        <v>5388126</v>
      </c>
      <c r="C7239" t="s">
        <v>8</v>
      </c>
      <c r="D7239" t="s">
        <v>8</v>
      </c>
      <c r="E7239" s="2" t="str">
        <f>HYPERLINK("https://ibp.a2mac1.com/costing(costing:projects/details/8191/assembly/5388132)","Windshield Wiper")</f>
        <v>Windshield Wiper</v>
      </c>
      <c r="F7239" t="s">
        <v>4589</v>
      </c>
    </row>
    <row r="7240" spans="1:6" ht="12.75">
      <c r="A7240">
        <v>5388168</v>
      </c>
      <c r="B7240">
        <v>5388132</v>
      </c>
      <c r="C7240" t="s">
        <v>8</v>
      </c>
      <c r="D7240" t="s">
        <v>8</v>
      </c>
      <c r="E7240" s="2" t="str">
        <f>HYPERLINK("https://ibp.a2mac1.com/costing(costing:projects/details/8191/assembly/5388168)","Front")</f>
        <v>Front</v>
      </c>
      <c r="F7240" t="s">
        <v>7546</v>
      </c>
    </row>
    <row r="7241" spans="1:6" ht="12.75">
      <c r="A7241">
        <v>5388329</v>
      </c>
      <c r="B7241">
        <v>5388168</v>
      </c>
      <c r="C7241" t="s">
        <v>8</v>
      </c>
      <c r="D7241" t="s">
        <v>8</v>
      </c>
      <c r="E7241" s="2" t="str">
        <f>HYPERLINK("https://ibp.a2mac1.com/costing(costing:projects/details/8191/assembly/5388329)","Wiper Blades")</f>
        <v>Wiper Blades</v>
      </c>
      <c r="F7241" t="s">
        <v>7547</v>
      </c>
    </row>
    <row r="7242" spans="1:6" ht="12.75">
      <c r="A7242">
        <v>5388680</v>
      </c>
      <c r="B7242">
        <v>5388329</v>
      </c>
      <c r="C7242" t="s">
        <v>12</v>
      </c>
      <c r="D7242" t="s">
        <v>8</v>
      </c>
      <c r="E7242" s="2" t="str">
        <f>HYPERLINK("https://ibp.a2mac1.com/costing(costing:projects/details/8191/part/5388680)","Driver Side")</f>
        <v>Driver Side</v>
      </c>
      <c r="F7242" t="s">
        <v>7548</v>
      </c>
    </row>
    <row r="7243" spans="1:6" ht="12.75">
      <c r="A7243">
        <v>5388681</v>
      </c>
      <c r="B7243">
        <v>5388329</v>
      </c>
      <c r="C7243" t="s">
        <v>12</v>
      </c>
      <c r="D7243" t="s">
        <v>8</v>
      </c>
      <c r="E7243" s="2" t="str">
        <f>HYPERLINK("https://ibp.a2mac1.com/costing(costing:projects/details/8191/part/5388681)","Passenger Side")</f>
        <v>Passenger Side</v>
      </c>
      <c r="F7243" t="s">
        <v>7548</v>
      </c>
    </row>
    <row r="7244" spans="1:6" ht="12.75">
      <c r="A7244">
        <v>5388330</v>
      </c>
      <c r="B7244">
        <v>5388168</v>
      </c>
      <c r="C7244" t="s">
        <v>8</v>
      </c>
      <c r="D7244" t="s">
        <v>8</v>
      </c>
      <c r="E7244" s="2" t="str">
        <f>HYPERLINK("https://ibp.a2mac1.com/costing(costing:projects/details/8191/assembly/5388330)","Wiper Arm")</f>
        <v>Wiper Arm</v>
      </c>
      <c r="F7244" t="s">
        <v>7547</v>
      </c>
    </row>
    <row r="7245" spans="1:6" ht="12.75">
      <c r="A7245">
        <v>5388684</v>
      </c>
      <c r="B7245">
        <v>5388330</v>
      </c>
      <c r="C7245" t="s">
        <v>8</v>
      </c>
      <c r="D7245" t="s">
        <v>8</v>
      </c>
      <c r="E7245" s="2" t="str">
        <f>HYPERLINK("https://ibp.a2mac1.com/costing(costing:projects/details/8191/assembly/5388684)","Fastners")</f>
        <v>Fastners</v>
      </c>
      <c r="F7245" t="s">
        <v>7554</v>
      </c>
    </row>
    <row r="7246" spans="1:6" ht="12.75">
      <c r="A7246">
        <v>5319695</v>
      </c>
      <c r="B7246">
        <v>5388684</v>
      </c>
      <c r="C7246" t="s">
        <v>574</v>
      </c>
      <c r="D7246" t="s">
        <v>8</v>
      </c>
      <c r="E7246" s="2" t="str">
        <f>HYPERLINK("https://ibp.a2mac1.com/costing(costing:projects/details/8191/component/5319695)","Nut &gt; Hexagonal nut with collar")</f>
        <v>Nut &gt; Hexagonal nut with collar</v>
      </c>
      <c r="F7246" t="s">
        <v>7555</v>
      </c>
    </row>
    <row r="7247" spans="1:6" ht="12.75">
      <c r="A7247">
        <v>5319696</v>
      </c>
      <c r="B7247">
        <v>5388684</v>
      </c>
      <c r="C7247" t="s">
        <v>574</v>
      </c>
      <c r="D7247" t="s">
        <v>8</v>
      </c>
      <c r="E7247" s="2" t="str">
        <f>HYPERLINK("https://ibp.a2mac1.com/costing(costing:projects/details/8191/component/5319696)","Nut &gt; Hexagonal nut with collar")</f>
        <v>Nut &gt; Hexagonal nut with collar</v>
      </c>
      <c r="F7247" t="s">
        <v>7555</v>
      </c>
    </row>
    <row r="7248" spans="1:6" ht="12.75">
      <c r="A7248">
        <v>5388682</v>
      </c>
      <c r="B7248">
        <v>5388330</v>
      </c>
      <c r="C7248" t="s">
        <v>12</v>
      </c>
      <c r="D7248" t="s">
        <v>8</v>
      </c>
      <c r="E7248" s="2" t="str">
        <f>HYPERLINK("https://ibp.a2mac1.com/costing(costing:projects/details/8191/part/5388682)","Driver Side")</f>
        <v>Driver Side</v>
      </c>
      <c r="F7248" t="s">
        <v>7554</v>
      </c>
    </row>
    <row r="7249" spans="1:6" ht="12.75">
      <c r="A7249">
        <v>6975552</v>
      </c>
      <c r="B7249">
        <v>5388682</v>
      </c>
      <c r="C7249" t="s">
        <v>99</v>
      </c>
      <c r="D7249" t="s">
        <v>12</v>
      </c>
      <c r="E7249" s="2" t="str">
        <f>HYPERLINK("https://ibp.a2mac1.com/costing(costing:projects/details/8191/process/6975552)","Stamping")</f>
        <v>Stamping</v>
      </c>
      <c r="F7249" t="s">
        <v>7556</v>
      </c>
    </row>
    <row r="7250" spans="1:6" ht="12.75">
      <c r="A7250">
        <v>5319980</v>
      </c>
      <c r="B7250">
        <v>6975552</v>
      </c>
      <c r="C7250" t="s">
        <v>24</v>
      </c>
      <c r="D7250" t="s">
        <v>99</v>
      </c>
      <c r="E7250" s="2" t="str">
        <f>HYPERLINK("https://ibp.a2mac1.com/costing(costing:projects/details/8191/material/5319980)","Aluminum sheet (default, e.g. EN AW1050A)")</f>
        <v>Aluminum sheet (default, e.g. EN AW1050A)</v>
      </c>
      <c r="F7250" t="s">
        <v>7559</v>
      </c>
    </row>
    <row r="7251" spans="1:6" ht="12.75">
      <c r="A7251">
        <v>6948145</v>
      </c>
      <c r="B7251">
        <v>6975552</v>
      </c>
      <c r="C7251" t="s">
        <v>189</v>
      </c>
      <c r="D7251" t="s">
        <v>99</v>
      </c>
      <c r="E7251" s="2" t="str">
        <f>HYPERLINK("https://ibp.a2mac1.com/costing(costing:projects/details/8191/equipment/6948145)","Equipment (Stamping)")</f>
        <v>Equipment (Stamping)</v>
      </c>
      <c r="F7251" t="s">
        <v>7559</v>
      </c>
    </row>
    <row r="7252" spans="1:6" ht="12.75">
      <c r="A7252">
        <v>5388683</v>
      </c>
      <c r="B7252">
        <v>5388330</v>
      </c>
      <c r="C7252" t="s">
        <v>12</v>
      </c>
      <c r="D7252" t="s">
        <v>8</v>
      </c>
      <c r="E7252" s="2" t="str">
        <f>HYPERLINK("https://ibp.a2mac1.com/costing(costing:projects/details/8191/part/5388683)","Passenger Side")</f>
        <v>Passenger Side</v>
      </c>
      <c r="F7252" t="s">
        <v>7554</v>
      </c>
    </row>
    <row r="7253" spans="1:6" ht="12.75">
      <c r="A7253">
        <v>6975553</v>
      </c>
      <c r="B7253">
        <v>5388683</v>
      </c>
      <c r="C7253" t="s">
        <v>99</v>
      </c>
      <c r="D7253" t="s">
        <v>12</v>
      </c>
      <c r="E7253" s="2" t="str">
        <f>HYPERLINK("https://ibp.a2mac1.com/costing(costing:projects/details/8191/process/6975553)","Stamping")</f>
        <v>Stamping</v>
      </c>
      <c r="F7253" t="s">
        <v>7562</v>
      </c>
    </row>
    <row r="7254" spans="1:6" ht="12.75">
      <c r="A7254">
        <v>5319981</v>
      </c>
      <c r="B7254">
        <v>6975553</v>
      </c>
      <c r="C7254" t="s">
        <v>24</v>
      </c>
      <c r="D7254" t="s">
        <v>99</v>
      </c>
      <c r="E7254" s="2" t="str">
        <f>HYPERLINK("https://ibp.a2mac1.com/costing(costing:projects/details/8191/material/5319981)","Aluminum sheet (default, e.g. EN AW1050A)")</f>
        <v>Aluminum sheet (default, e.g. EN AW1050A)</v>
      </c>
      <c r="F7254" t="s">
        <v>7565</v>
      </c>
    </row>
    <row r="7255" spans="1:6" ht="12.75">
      <c r="A7255">
        <v>6948146</v>
      </c>
      <c r="B7255">
        <v>6975553</v>
      </c>
      <c r="C7255" t="s">
        <v>189</v>
      </c>
      <c r="D7255" t="s">
        <v>99</v>
      </c>
      <c r="E7255" s="2" t="str">
        <f>HYPERLINK("https://ibp.a2mac1.com/costing(costing:projects/details/8191/equipment/6948146)","Equipment (Stamping)")</f>
        <v>Equipment (Stamping)</v>
      </c>
      <c r="F7255" t="s">
        <v>7565</v>
      </c>
    </row>
    <row r="7256" spans="1:6" ht="12.75">
      <c r="A7256">
        <v>5388331</v>
      </c>
      <c r="B7256">
        <v>5388168</v>
      </c>
      <c r="C7256" t="s">
        <v>8</v>
      </c>
      <c r="D7256" t="s">
        <v>8</v>
      </c>
      <c r="E7256" s="2" t="str">
        <f>HYPERLINK("https://ibp.a2mac1.com/costing(costing:projects/details/8191/assembly/5388331)","Fastners")</f>
        <v>Fastners</v>
      </c>
      <c r="F7256" t="s">
        <v>7547</v>
      </c>
    </row>
    <row r="7257" spans="1:6" ht="12.75">
      <c r="A7257">
        <v>5319536</v>
      </c>
      <c r="B7257">
        <v>5388331</v>
      </c>
      <c r="C7257" t="s">
        <v>574</v>
      </c>
      <c r="D7257" t="s">
        <v>8</v>
      </c>
      <c r="E7257" s="2" t="str">
        <f>HYPERLINK("https://ibp.a2mac1.com/costing(costing:projects/details/8191/component/5319536)","Nut &gt; Hexagonal nut with collar")</f>
        <v>Nut &gt; Hexagonal nut with collar</v>
      </c>
      <c r="F7257" t="s">
        <v>7568</v>
      </c>
    </row>
    <row r="7258" spans="1:6" ht="12.75">
      <c r="A7258">
        <v>5319537</v>
      </c>
      <c r="B7258">
        <v>5388331</v>
      </c>
      <c r="C7258" t="s">
        <v>574</v>
      </c>
      <c r="D7258" t="s">
        <v>8</v>
      </c>
      <c r="E7258" s="2" t="str">
        <f>HYPERLINK("https://ibp.a2mac1.com/costing(costing:projects/details/8191/component/5319537)","Screw &gt; Hexagon screw with captive washer")</f>
        <v>Screw &gt; Hexagon screw with captive washer</v>
      </c>
      <c r="F7258" t="s">
        <v>7568</v>
      </c>
    </row>
    <row r="7259" spans="1:6" ht="12.75">
      <c r="A7259">
        <v>5319538</v>
      </c>
      <c r="B7259">
        <v>5388331</v>
      </c>
      <c r="C7259" t="s">
        <v>574</v>
      </c>
      <c r="D7259" t="s">
        <v>8</v>
      </c>
      <c r="E7259" s="2" t="str">
        <f>HYPERLINK("https://ibp.a2mac1.com/costing(costing:projects/details/8191/component/5319538)","Screw &gt; Hexagon screw with flange")</f>
        <v>Screw &gt; Hexagon screw with flange</v>
      </c>
      <c r="F7259" t="s">
        <v>7568</v>
      </c>
    </row>
    <row r="7260" spans="1:6" ht="12.75">
      <c r="A7260">
        <v>5319539</v>
      </c>
      <c r="B7260">
        <v>5388331</v>
      </c>
      <c r="C7260" t="s">
        <v>574</v>
      </c>
      <c r="D7260" t="s">
        <v>8</v>
      </c>
      <c r="E7260" s="2" t="str">
        <f>HYPERLINK("https://ibp.a2mac1.com/costing(costing:projects/details/8191/component/5319539)","Screw &gt; Hexagon screw with captive washer")</f>
        <v>Screw &gt; Hexagon screw with captive washer</v>
      </c>
      <c r="F7260" t="s">
        <v>7568</v>
      </c>
    </row>
    <row r="7261" spans="1:6" ht="12.75">
      <c r="A7261">
        <v>5388325</v>
      </c>
      <c r="B7261">
        <v>5388168</v>
      </c>
      <c r="C7261" t="s">
        <v>12</v>
      </c>
      <c r="D7261" t="s">
        <v>8</v>
      </c>
      <c r="E7261" s="2" t="str">
        <f>HYPERLINK("https://ibp.a2mac1.com/costing(costing:projects/details/8191/part/5388325)","Wiper Motor")</f>
        <v>Wiper Motor</v>
      </c>
      <c r="F7261" t="s">
        <v>7547</v>
      </c>
    </row>
    <row r="7262" spans="1:6" ht="12.75">
      <c r="A7262">
        <v>6975349</v>
      </c>
      <c r="B7262">
        <v>5388325</v>
      </c>
      <c r="C7262" t="s">
        <v>99</v>
      </c>
      <c r="D7262" t="s">
        <v>12</v>
      </c>
      <c r="E7262" s="2" t="str">
        <f>HYPERLINK("https://ibp.a2mac1.com/costing(costing:projects/details/8191/process/6975349)","Process")</f>
        <v>Process</v>
      </c>
      <c r="F7262" t="s">
        <v>7569</v>
      </c>
    </row>
    <row r="7263" spans="1:6" ht="12.75">
      <c r="A7263">
        <v>6947916</v>
      </c>
      <c r="B7263">
        <v>6975349</v>
      </c>
      <c r="C7263" t="s">
        <v>189</v>
      </c>
      <c r="D7263" t="s">
        <v>99</v>
      </c>
      <c r="E7263" s="2" t="str">
        <f>HYPERLINK("https://ibp.a2mac1.com/costing(costing:projects/details/8191/equipment/6947916)","Dummy Machine (PCBA+Final Assembly Line)")</f>
        <v>Dummy Machine (PCBA+Final Assembly Line)</v>
      </c>
      <c r="F7263" t="s">
        <v>7570</v>
      </c>
    </row>
    <row r="7264" spans="1:6" ht="12.75">
      <c r="A7264">
        <v>5319534</v>
      </c>
      <c r="B7264">
        <v>5388325</v>
      </c>
      <c r="C7264" t="s">
        <v>574</v>
      </c>
      <c r="D7264" t="s">
        <v>12</v>
      </c>
      <c r="E7264" s="2" t="str">
        <f>HYPERLINK("https://ibp.a2mac1.com/costing(costing:projects/details/8191/component/5319534)","Electronics")</f>
        <v>Electronics</v>
      </c>
      <c r="F7264" t="s">
        <v>7569</v>
      </c>
    </row>
    <row r="7265" spans="1:6" ht="12.75">
      <c r="A7265">
        <v>5319535</v>
      </c>
      <c r="B7265">
        <v>5388325</v>
      </c>
      <c r="C7265" t="s">
        <v>574</v>
      </c>
      <c r="D7265" t="s">
        <v>12</v>
      </c>
      <c r="E7265" s="2" t="str">
        <f>HYPERLINK("https://ibp.a2mac1.com/costing(costing:projects/details/8191/component/5319535)","Mechanics")</f>
        <v>Mechanics</v>
      </c>
      <c r="F7265" t="s">
        <v>7569</v>
      </c>
    </row>
    <row r="7266" spans="1:6" ht="12.75">
      <c r="A7266">
        <v>5388326</v>
      </c>
      <c r="B7266">
        <v>5388168</v>
      </c>
      <c r="C7266" t="s">
        <v>12</v>
      </c>
      <c r="D7266" t="s">
        <v>8</v>
      </c>
      <c r="E7266" s="2" t="str">
        <f>HYPERLINK("https://ibp.a2mac1.com/costing(costing:projects/details/8191/part/5388326)","Wiper Linkage")</f>
        <v>Wiper Linkage</v>
      </c>
      <c r="F7266" t="s">
        <v>7547</v>
      </c>
    </row>
    <row r="7267" spans="1:6" ht="12.75">
      <c r="A7267">
        <v>5388327</v>
      </c>
      <c r="B7267">
        <v>5388168</v>
      </c>
      <c r="C7267" t="s">
        <v>12</v>
      </c>
      <c r="D7267" t="s">
        <v>8</v>
      </c>
      <c r="E7267" s="2" t="str">
        <f>HYPERLINK("https://ibp.a2mac1.com/costing(costing:projects/details/8191/part/5388327)","Wiper Linkage Support")</f>
        <v>Wiper Linkage Support</v>
      </c>
      <c r="F7267" t="s">
        <v>7547</v>
      </c>
    </row>
    <row r="7268" spans="1:6" ht="12.75">
      <c r="A7268">
        <v>6975350</v>
      </c>
      <c r="B7268">
        <v>5388327</v>
      </c>
      <c r="C7268" t="s">
        <v>99</v>
      </c>
      <c r="D7268" t="s">
        <v>12</v>
      </c>
      <c r="E7268" s="2" t="str">
        <f>HYPERLINK("https://ibp.a2mac1.com/costing(costing:projects/details/8191/process/6975350)","Stamping")</f>
        <v>Stamping</v>
      </c>
      <c r="F7268" t="s">
        <v>7574</v>
      </c>
    </row>
    <row r="7269" spans="1:6" ht="12.75">
      <c r="A7269">
        <v>5319693</v>
      </c>
      <c r="B7269">
        <v>6975350</v>
      </c>
      <c r="C7269" t="s">
        <v>24</v>
      </c>
      <c r="D7269" t="s">
        <v>99</v>
      </c>
      <c r="E7269" s="2" t="str">
        <f>HYPERLINK("https://ibp.a2mac1.com/costing(costing:projects/details/8191/material/5319693)","Steel sheet (default)")</f>
        <v>Steel sheet (default)</v>
      </c>
      <c r="F7269" t="s">
        <v>7577</v>
      </c>
    </row>
    <row r="7270" spans="1:6" ht="12.75">
      <c r="A7270">
        <v>6947917</v>
      </c>
      <c r="B7270">
        <v>6975350</v>
      </c>
      <c r="C7270" t="s">
        <v>189</v>
      </c>
      <c r="D7270" t="s">
        <v>99</v>
      </c>
      <c r="E7270" s="2" t="str">
        <f>HYPERLINK("https://ibp.a2mac1.com/costing(costing:projects/details/8191/equipment/6947917)","Equipment (Stamping)")</f>
        <v>Equipment (Stamping)</v>
      </c>
      <c r="F7270" t="s">
        <v>7577</v>
      </c>
    </row>
    <row r="7271" spans="1:6" ht="12.75">
      <c r="A7271">
        <v>5388328</v>
      </c>
      <c r="B7271">
        <v>5388168</v>
      </c>
      <c r="C7271" t="s">
        <v>12</v>
      </c>
      <c r="D7271" t="s">
        <v>8</v>
      </c>
      <c r="E7271" s="2" t="str">
        <f>HYPERLINK("https://ibp.a2mac1.com/costing(costing:projects/details/8191/part/5388328)","Wiper Motor Support")</f>
        <v>Wiper Motor Support</v>
      </c>
      <c r="F7271" t="s">
        <v>7547</v>
      </c>
    </row>
    <row r="7272" spans="1:6" ht="12.75">
      <c r="A7272">
        <v>6975351</v>
      </c>
      <c r="B7272">
        <v>5388328</v>
      </c>
      <c r="C7272" t="s">
        <v>99</v>
      </c>
      <c r="D7272" t="s">
        <v>12</v>
      </c>
      <c r="E7272" s="2" t="str">
        <f>HYPERLINK("https://ibp.a2mac1.com/costing(costing:projects/details/8191/process/6975351)","Stamping")</f>
        <v>Stamping</v>
      </c>
      <c r="F7272" t="s">
        <v>7579</v>
      </c>
    </row>
    <row r="7273" spans="1:6" ht="12.75">
      <c r="A7273">
        <v>5319694</v>
      </c>
      <c r="B7273">
        <v>6975351</v>
      </c>
      <c r="C7273" t="s">
        <v>24</v>
      </c>
      <c r="D7273" t="s">
        <v>99</v>
      </c>
      <c r="E7273" s="2" t="str">
        <f>HYPERLINK("https://ibp.a2mac1.com/costing(costing:projects/details/8191/material/5319694)","Steel ")</f>
        <v xml:space="preserve">Steel </v>
      </c>
      <c r="F7273" t="s">
        <v>7582</v>
      </c>
    </row>
    <row r="7274" spans="1:6" ht="12.75">
      <c r="A7274">
        <v>6947918</v>
      </c>
      <c r="B7274">
        <v>6975351</v>
      </c>
      <c r="C7274" t="s">
        <v>189</v>
      </c>
      <c r="D7274" t="s">
        <v>99</v>
      </c>
      <c r="E7274" s="2" t="str">
        <f>HYPERLINK("https://ibp.a2mac1.com/costing(costing:projects/details/8191/equipment/6947918)","Equipment (Stamping)")</f>
        <v>Equipment (Stamping)</v>
      </c>
      <c r="F7274" t="s">
        <v>7582</v>
      </c>
    </row>
    <row r="7275" spans="1:6" ht="12.75">
      <c r="A7275">
        <v>5388169</v>
      </c>
      <c r="B7275">
        <v>5388132</v>
      </c>
      <c r="C7275" t="s">
        <v>8</v>
      </c>
      <c r="D7275" t="s">
        <v>8</v>
      </c>
      <c r="E7275" s="2" t="str">
        <f>HYPERLINK("https://ibp.a2mac1.com/costing(costing:projects/details/8191/assembly/5388169)","Rear")</f>
        <v>Rear</v>
      </c>
      <c r="F7275" t="s">
        <v>7546</v>
      </c>
    </row>
    <row r="7276" spans="1:6" ht="12.75">
      <c r="A7276">
        <v>5388334</v>
      </c>
      <c r="B7276">
        <v>5388169</v>
      </c>
      <c r="C7276" t="s">
        <v>8</v>
      </c>
      <c r="D7276" t="s">
        <v>8</v>
      </c>
      <c r="E7276" s="2" t="str">
        <f>HYPERLINK("https://ibp.a2mac1.com/costing(costing:projects/details/8191/assembly/5388334)","Wiper System")</f>
        <v>Wiper System</v>
      </c>
      <c r="F7276" t="s">
        <v>7585</v>
      </c>
    </row>
    <row r="7277" spans="1:6" ht="12.75">
      <c r="A7277">
        <v>5388688</v>
      </c>
      <c r="B7277">
        <v>5388334</v>
      </c>
      <c r="C7277" t="s">
        <v>8</v>
      </c>
      <c r="D7277" t="s">
        <v>8</v>
      </c>
      <c r="E7277" s="2" t="str">
        <f>HYPERLINK("https://ibp.a2mac1.com/costing(costing:projects/details/8191/assembly/5388688)","Fastners")</f>
        <v>Fastners</v>
      </c>
      <c r="F7277" t="s">
        <v>7586</v>
      </c>
    </row>
    <row r="7278" spans="1:6" ht="12.75">
      <c r="A7278">
        <v>5319698</v>
      </c>
      <c r="B7278">
        <v>5388688</v>
      </c>
      <c r="C7278" t="s">
        <v>574</v>
      </c>
      <c r="D7278" t="s">
        <v>8</v>
      </c>
      <c r="E7278" s="2" t="str">
        <f>HYPERLINK("https://ibp.a2mac1.com/costing(costing:projects/details/8191/component/5319698)","Nut &gt; Hexagonal nut with collar")</f>
        <v>Nut &gt; Hexagonal nut with collar</v>
      </c>
      <c r="F7278" t="s">
        <v>7587</v>
      </c>
    </row>
    <row r="7279" spans="1:6" ht="12.75">
      <c r="A7279">
        <v>5388685</v>
      </c>
      <c r="B7279">
        <v>5388334</v>
      </c>
      <c r="C7279" t="s">
        <v>12</v>
      </c>
      <c r="D7279" t="s">
        <v>8</v>
      </c>
      <c r="E7279" s="2" t="str">
        <f>HYPERLINK("https://ibp.a2mac1.com/costing(costing:projects/details/8191/part/5388685)","Wiper Blade")</f>
        <v>Wiper Blade</v>
      </c>
      <c r="F7279" t="s">
        <v>7586</v>
      </c>
    </row>
    <row r="7280" spans="1:6" ht="12.75">
      <c r="A7280">
        <v>6975554</v>
      </c>
      <c r="B7280">
        <v>5388685</v>
      </c>
      <c r="C7280" t="s">
        <v>99</v>
      </c>
      <c r="D7280" t="s">
        <v>12</v>
      </c>
      <c r="E7280" s="2" t="str">
        <f>HYPERLINK("https://ibp.a2mac1.com/costing(costing:projects/details/8191/process/6975554)","Seal Extrusion")</f>
        <v>Seal Extrusion</v>
      </c>
      <c r="F7280" t="s">
        <v>7588</v>
      </c>
    </row>
    <row r="7281" spans="1:6" ht="12.75">
      <c r="A7281">
        <v>5319982</v>
      </c>
      <c r="B7281">
        <v>6975554</v>
      </c>
      <c r="C7281" t="s">
        <v>24</v>
      </c>
      <c r="D7281" t="s">
        <v>99</v>
      </c>
      <c r="E7281" s="2" t="str">
        <f>HYPERLINK("https://ibp.a2mac1.com/costing(costing:projects/details/8191/material/5319982)","EPDM")</f>
        <v>EPDM</v>
      </c>
      <c r="F7281" t="s">
        <v>7589</v>
      </c>
    </row>
    <row r="7282" spans="1:6" ht="12.75">
      <c r="A7282">
        <v>5319983</v>
      </c>
      <c r="B7282">
        <v>6975554</v>
      </c>
      <c r="C7282" t="s">
        <v>24</v>
      </c>
      <c r="D7282" t="s">
        <v>99</v>
      </c>
      <c r="E7282" s="2" t="str">
        <f>HYPERLINK("https://ibp.a2mac1.com/costing(costing:projects/details/8191/material/5319983)","High Carbon Spring Steel Wire")</f>
        <v>High Carbon Spring Steel Wire</v>
      </c>
      <c r="F7282" t="s">
        <v>7589</v>
      </c>
    </row>
    <row r="7283" spans="1:6" ht="12.75">
      <c r="A7283">
        <v>6948147</v>
      </c>
      <c r="B7283">
        <v>6975554</v>
      </c>
      <c r="C7283" t="s">
        <v>189</v>
      </c>
      <c r="D7283" t="s">
        <v>99</v>
      </c>
      <c r="E7283" s="2" t="str">
        <f>HYPERLINK("https://ibp.a2mac1.com/costing(costing:projects/details/8191/equipment/6948147)","Rubber Extrusion machine")</f>
        <v>Rubber Extrusion machine</v>
      </c>
      <c r="F7283" t="s">
        <v>7589</v>
      </c>
    </row>
    <row r="7284" spans="1:6" ht="12.75">
      <c r="A7284">
        <v>5388686</v>
      </c>
      <c r="B7284">
        <v>5388334</v>
      </c>
      <c r="C7284" t="s">
        <v>12</v>
      </c>
      <c r="D7284" t="s">
        <v>8</v>
      </c>
      <c r="E7284" s="2" t="str">
        <f>HYPERLINK("https://ibp.a2mac1.com/costing(costing:projects/details/8191/part/5388686)","Wiper Arm")</f>
        <v>Wiper Arm</v>
      </c>
      <c r="F7284" t="s">
        <v>7586</v>
      </c>
    </row>
    <row r="7285" spans="1:6" ht="12.75">
      <c r="A7285">
        <v>6975555</v>
      </c>
      <c r="B7285">
        <v>5388686</v>
      </c>
      <c r="C7285" t="s">
        <v>99</v>
      </c>
      <c r="D7285" t="s">
        <v>12</v>
      </c>
      <c r="E7285" s="2" t="str">
        <f>HYPERLINK("https://ibp.a2mac1.com/costing(costing:projects/details/8191/process/6975555)","Injection molding")</f>
        <v>Injection molding</v>
      </c>
      <c r="F7285" t="s">
        <v>7592</v>
      </c>
    </row>
    <row r="7286" spans="1:6" ht="12.75">
      <c r="A7286">
        <v>5319984</v>
      </c>
      <c r="B7286">
        <v>6975555</v>
      </c>
      <c r="C7286" t="s">
        <v>24</v>
      </c>
      <c r="D7286" t="s">
        <v>99</v>
      </c>
      <c r="E7286" s="2" t="str">
        <f>HYPERLINK("https://ibp.a2mac1.com/costing(costing:projects/details/8191/material/5319984)","PA66-GF30")</f>
        <v>PA66-GF30</v>
      </c>
      <c r="F7286" t="s">
        <v>7594</v>
      </c>
    </row>
    <row r="7287" spans="1:6" ht="12.75">
      <c r="A7287">
        <v>6948148</v>
      </c>
      <c r="B7287">
        <v>6975555</v>
      </c>
      <c r="C7287" t="s">
        <v>189</v>
      </c>
      <c r="D7287" t="s">
        <v>99</v>
      </c>
      <c r="E7287" s="2" t="str">
        <f>HYPERLINK("https://ibp.a2mac1.com/costing(costing:projects/details/8191/equipment/6948148)","No.02 - Injection Press - 60T - 25kW - 320x320 - Max Volume 164cm3 ")</f>
        <v xml:space="preserve">No.02 - Injection Press - 60T - 25kW - 320x320 - Max Volume 164cm3 </v>
      </c>
      <c r="F7287" t="s">
        <v>7594</v>
      </c>
    </row>
    <row r="7288" spans="1:6" ht="12.75">
      <c r="A7288">
        <v>6975556</v>
      </c>
      <c r="B7288">
        <v>5388686</v>
      </c>
      <c r="C7288" t="s">
        <v>99</v>
      </c>
      <c r="D7288" t="s">
        <v>12</v>
      </c>
      <c r="E7288" s="2" t="str">
        <f>HYPERLINK("https://ibp.a2mac1.com/costing(costing:projects/details/8191/process/6975556)","Handling/Visual Inspection/Packaging")</f>
        <v>Handling/Visual Inspection/Packaging</v>
      </c>
      <c r="F7288" t="s">
        <v>7592</v>
      </c>
    </row>
    <row r="7289" spans="1:6" ht="12.75">
      <c r="A7289">
        <v>6948149</v>
      </c>
      <c r="B7289">
        <v>6975556</v>
      </c>
      <c r="C7289" t="s">
        <v>189</v>
      </c>
      <c r="D7289" t="s">
        <v>99</v>
      </c>
      <c r="E7289" s="2" t="str">
        <f>HYPERLINK("https://ibp.a2mac1.com/costing(costing:projects/details/8191/equipment/6948149)","Packaging")</f>
        <v>Packaging</v>
      </c>
      <c r="F7289" t="s">
        <v>7596</v>
      </c>
    </row>
    <row r="7290" spans="1:6" ht="12.75">
      <c r="A7290">
        <v>5388687</v>
      </c>
      <c r="B7290">
        <v>5388334</v>
      </c>
      <c r="C7290" t="s">
        <v>12</v>
      </c>
      <c r="D7290" t="s">
        <v>8</v>
      </c>
      <c r="E7290" s="2" t="str">
        <f>HYPERLINK("https://ibp.a2mac1.com/costing(costing:projects/details/8191/part/5388687)","Wiper Arm Cover")</f>
        <v>Wiper Arm Cover</v>
      </c>
      <c r="F7290" t="s">
        <v>7586</v>
      </c>
    </row>
    <row r="7291" spans="1:6" ht="12.75">
      <c r="A7291">
        <v>6975557</v>
      </c>
      <c r="B7291">
        <v>5388687</v>
      </c>
      <c r="C7291" t="s">
        <v>99</v>
      </c>
      <c r="D7291" t="s">
        <v>12</v>
      </c>
      <c r="E7291" s="2" t="str">
        <f>HYPERLINK("https://ibp.a2mac1.com/costing(costing:projects/details/8191/process/6975557)","Injection molding")</f>
        <v>Injection molding</v>
      </c>
      <c r="F7291" t="s">
        <v>7598</v>
      </c>
    </row>
    <row r="7292" spans="1:6" ht="12.75">
      <c r="A7292">
        <v>5319985</v>
      </c>
      <c r="B7292">
        <v>6975557</v>
      </c>
      <c r="C7292" t="s">
        <v>24</v>
      </c>
      <c r="D7292" t="s">
        <v>99</v>
      </c>
      <c r="E7292" s="2" t="str">
        <f>HYPERLINK("https://ibp.a2mac1.com/costing(costing:projects/details/8191/material/5319985)","PA66-GF30")</f>
        <v>PA66-GF30</v>
      </c>
      <c r="F7292" t="s">
        <v>7600</v>
      </c>
    </row>
    <row r="7293" spans="1:6" ht="12.75">
      <c r="A7293">
        <v>6948150</v>
      </c>
      <c r="B7293">
        <v>6975557</v>
      </c>
      <c r="C7293" t="s">
        <v>189</v>
      </c>
      <c r="D7293" t="s">
        <v>99</v>
      </c>
      <c r="E7293" s="2" t="str">
        <f>HYPERLINK("https://ibp.a2mac1.com/costing(costing:projects/details/8191/equipment/6948150)","No.01 - Injection Press - 40T - 18kW - 270x270 - Max Volume 128cm3 ")</f>
        <v xml:space="preserve">No.01 - Injection Press - 40T - 18kW - 270x270 - Max Volume 128cm3 </v>
      </c>
      <c r="F7293" t="s">
        <v>7600</v>
      </c>
    </row>
    <row r="7294" spans="1:6" ht="12.75">
      <c r="A7294">
        <v>6975558</v>
      </c>
      <c r="B7294">
        <v>5388687</v>
      </c>
      <c r="C7294" t="s">
        <v>99</v>
      </c>
      <c r="D7294" t="s">
        <v>12</v>
      </c>
      <c r="E7294" s="2" t="str">
        <f>HYPERLINK("https://ibp.a2mac1.com/costing(costing:projects/details/8191/process/6975558)","Handling/Visual Inspection/Packaging")</f>
        <v>Handling/Visual Inspection/Packaging</v>
      </c>
      <c r="F7294" t="s">
        <v>7598</v>
      </c>
    </row>
    <row r="7295" spans="1:6" ht="12.75">
      <c r="A7295">
        <v>6948151</v>
      </c>
      <c r="B7295">
        <v>6975558</v>
      </c>
      <c r="C7295" t="s">
        <v>189</v>
      </c>
      <c r="D7295" t="s">
        <v>99</v>
      </c>
      <c r="E7295" s="2" t="str">
        <f>HYPERLINK("https://ibp.a2mac1.com/costing(costing:projects/details/8191/equipment/6948151)","Packaging")</f>
        <v>Packaging</v>
      </c>
      <c r="F7295" t="s">
        <v>7602</v>
      </c>
    </row>
    <row r="7296" spans="1:6" ht="12.75">
      <c r="A7296">
        <v>5388335</v>
      </c>
      <c r="B7296">
        <v>5388169</v>
      </c>
      <c r="C7296" t="s">
        <v>8</v>
      </c>
      <c r="D7296" t="s">
        <v>8</v>
      </c>
      <c r="E7296" s="2" t="str">
        <f>HYPERLINK("https://ibp.a2mac1.com/costing(costing:projects/details/8191/assembly/5388335)","Window Washer System")</f>
        <v>Window Washer System</v>
      </c>
      <c r="F7296" t="s">
        <v>7585</v>
      </c>
    </row>
    <row r="7297" spans="1:6" ht="12.75">
      <c r="A7297">
        <v>5388689</v>
      </c>
      <c r="B7297">
        <v>5388335</v>
      </c>
      <c r="C7297" t="s">
        <v>12</v>
      </c>
      <c r="D7297" t="s">
        <v>8</v>
      </c>
      <c r="E7297" s="2" t="str">
        <f>HYPERLINK("https://ibp.a2mac1.com/costing(costing:projects/details/8191/part/5388689)","Rear Washer Jet")</f>
        <v>Rear Washer Jet</v>
      </c>
      <c r="F7297" t="s">
        <v>7605</v>
      </c>
    </row>
    <row r="7298" spans="1:6" ht="12.75">
      <c r="A7298">
        <v>6975559</v>
      </c>
      <c r="B7298">
        <v>5388689</v>
      </c>
      <c r="C7298" t="s">
        <v>99</v>
      </c>
      <c r="D7298" t="s">
        <v>12</v>
      </c>
      <c r="E7298" s="2" t="str">
        <f>HYPERLINK("https://ibp.a2mac1.com/costing(costing:projects/details/8191/process/6975559)","Overmolding")</f>
        <v>Overmolding</v>
      </c>
      <c r="F7298" t="s">
        <v>7606</v>
      </c>
    </row>
    <row r="7299" spans="1:6" ht="12.75">
      <c r="A7299">
        <v>5319986</v>
      </c>
      <c r="B7299">
        <v>6975559</v>
      </c>
      <c r="C7299" t="s">
        <v>24</v>
      </c>
      <c r="D7299" t="s">
        <v>99</v>
      </c>
      <c r="E7299" s="2" t="str">
        <f>HYPERLINK("https://ibp.a2mac1.com/costing(costing:projects/details/8191/material/5319986)","Aluminum sheet (default, e.g. EN AW1050A)")</f>
        <v>Aluminum sheet (default, e.g. EN AW1050A)</v>
      </c>
      <c r="F7299" t="s">
        <v>7607</v>
      </c>
    </row>
    <row r="7300" spans="1:6" ht="12.75">
      <c r="A7300">
        <v>5319987</v>
      </c>
      <c r="B7300">
        <v>6975559</v>
      </c>
      <c r="C7300" t="s">
        <v>24</v>
      </c>
      <c r="D7300" t="s">
        <v>99</v>
      </c>
      <c r="E7300" s="2" t="str">
        <f>HYPERLINK("https://ibp.a2mac1.com/costing(costing:projects/details/8191/material/5319987)","PC")</f>
        <v>PC</v>
      </c>
      <c r="F7300" t="s">
        <v>7607</v>
      </c>
    </row>
    <row r="7301" spans="1:6" ht="12.75">
      <c r="A7301">
        <v>6948152</v>
      </c>
      <c r="B7301">
        <v>6975559</v>
      </c>
      <c r="C7301" t="s">
        <v>189</v>
      </c>
      <c r="D7301" t="s">
        <v>99</v>
      </c>
      <c r="E7301" s="2" t="str">
        <f>HYPERLINK("https://ibp.a2mac1.com/costing(costing:projects/details/8191/equipment/6948152)","Equipment (Injection Molding)")</f>
        <v>Equipment (Injection Molding)</v>
      </c>
      <c r="F7301" t="s">
        <v>7607</v>
      </c>
    </row>
    <row r="7302" spans="1:6" ht="12.75">
      <c r="A7302">
        <v>5388336</v>
      </c>
      <c r="B7302">
        <v>5388169</v>
      </c>
      <c r="C7302" t="s">
        <v>8</v>
      </c>
      <c r="D7302" t="s">
        <v>8</v>
      </c>
      <c r="E7302" s="2" t="str">
        <f>HYPERLINK("https://ibp.a2mac1.com/costing(costing:projects/details/8191/assembly/5388336)","Fastners")</f>
        <v>Fastners</v>
      </c>
      <c r="F7302" t="s">
        <v>7585</v>
      </c>
    </row>
    <row r="7303" spans="1:6" ht="12.75">
      <c r="A7303">
        <v>5319542</v>
      </c>
      <c r="B7303">
        <v>5388336</v>
      </c>
      <c r="C7303" t="s">
        <v>574</v>
      </c>
      <c r="D7303" t="s">
        <v>8</v>
      </c>
      <c r="E7303" s="2" t="str">
        <f>HYPERLINK("https://ibp.a2mac1.com/costing(costing:projects/details/8191/component/5319542)","Panel holder &gt; Clips in round hole")</f>
        <v>Panel holder &gt; Clips in round hole</v>
      </c>
      <c r="F7303" t="s">
        <v>7613</v>
      </c>
    </row>
    <row r="7304" spans="1:6" ht="12.75">
      <c r="A7304">
        <v>5388332</v>
      </c>
      <c r="B7304">
        <v>5388169</v>
      </c>
      <c r="C7304" t="s">
        <v>12</v>
      </c>
      <c r="D7304" t="s">
        <v>8</v>
      </c>
      <c r="E7304" s="2" t="str">
        <f>HYPERLINK("https://ibp.a2mac1.com/costing(costing:projects/details/8191/part/5388332)","Wiper Motor")</f>
        <v>Wiper Motor</v>
      </c>
      <c r="F7304" t="s">
        <v>7585</v>
      </c>
    </row>
    <row r="7305" spans="1:6" ht="12.75">
      <c r="A7305">
        <v>6975352</v>
      </c>
      <c r="B7305">
        <v>5388332</v>
      </c>
      <c r="C7305" t="s">
        <v>99</v>
      </c>
      <c r="D7305" t="s">
        <v>12</v>
      </c>
      <c r="E7305" s="2" t="str">
        <f>HYPERLINK("https://ibp.a2mac1.com/costing(costing:projects/details/8191/process/6975352)","Process")</f>
        <v>Process</v>
      </c>
      <c r="F7305" t="s">
        <v>7614</v>
      </c>
    </row>
    <row r="7306" spans="1:6" ht="12.75">
      <c r="A7306">
        <v>6947919</v>
      </c>
      <c r="B7306">
        <v>6975352</v>
      </c>
      <c r="C7306" t="s">
        <v>189</v>
      </c>
      <c r="D7306" t="s">
        <v>99</v>
      </c>
      <c r="E7306" s="2" t="str">
        <f>HYPERLINK("https://ibp.a2mac1.com/costing(costing:projects/details/8191/equipment/6947919)","Dummy Machine (PCBA+Final Assembly Line)")</f>
        <v>Dummy Machine (PCBA+Final Assembly Line)</v>
      </c>
      <c r="F7306" t="s">
        <v>7615</v>
      </c>
    </row>
    <row r="7307" spans="1:6" ht="12.75">
      <c r="A7307">
        <v>5319540</v>
      </c>
      <c r="B7307">
        <v>5388332</v>
      </c>
      <c r="C7307" t="s">
        <v>574</v>
      </c>
      <c r="D7307" t="s">
        <v>12</v>
      </c>
      <c r="E7307" s="2" t="str">
        <f>HYPERLINK("https://ibp.a2mac1.com/costing(costing:projects/details/8191/component/5319540)","Electronics")</f>
        <v>Electronics</v>
      </c>
      <c r="F7307" t="s">
        <v>7614</v>
      </c>
    </row>
    <row r="7308" spans="1:6" ht="12.75">
      <c r="A7308">
        <v>5319541</v>
      </c>
      <c r="B7308">
        <v>5388332</v>
      </c>
      <c r="C7308" t="s">
        <v>574</v>
      </c>
      <c r="D7308" t="s">
        <v>12</v>
      </c>
      <c r="E7308" s="2" t="str">
        <f>HYPERLINK("https://ibp.a2mac1.com/costing(costing:projects/details/8191/component/5319541)","Mechanics")</f>
        <v>Mechanics</v>
      </c>
      <c r="F7308" t="s">
        <v>7614</v>
      </c>
    </row>
    <row r="7309" spans="1:6" ht="12.75">
      <c r="A7309">
        <v>5388333</v>
      </c>
      <c r="B7309">
        <v>5388169</v>
      </c>
      <c r="C7309" t="s">
        <v>12</v>
      </c>
      <c r="D7309" t="s">
        <v>8</v>
      </c>
      <c r="E7309" s="2" t="str">
        <f>HYPERLINK("https://ibp.a2mac1.com/costing(costing:projects/details/8191/part/5388333)","Mechanism Cover")</f>
        <v>Mechanism Cover</v>
      </c>
      <c r="F7309" t="s">
        <v>7585</v>
      </c>
    </row>
    <row r="7310" spans="1:6" ht="12.75">
      <c r="A7310">
        <v>6975353</v>
      </c>
      <c r="B7310">
        <v>5388333</v>
      </c>
      <c r="C7310" t="s">
        <v>99</v>
      </c>
      <c r="D7310" t="s">
        <v>12</v>
      </c>
      <c r="E7310" s="2" t="str">
        <f>HYPERLINK("https://ibp.a2mac1.com/costing(costing:projects/details/8191/process/6975353)","Injection molding")</f>
        <v>Injection molding</v>
      </c>
      <c r="F7310" t="s">
        <v>7618</v>
      </c>
    </row>
    <row r="7311" spans="1:6" ht="12.75">
      <c r="A7311">
        <v>5319697</v>
      </c>
      <c r="B7311">
        <v>6975353</v>
      </c>
      <c r="C7311" t="s">
        <v>24</v>
      </c>
      <c r="D7311" t="s">
        <v>99</v>
      </c>
      <c r="E7311" s="2" t="str">
        <f>HYPERLINK("https://ibp.a2mac1.com/costing(costing:projects/details/8191/material/5319697)","EPDM")</f>
        <v>EPDM</v>
      </c>
      <c r="F7311" t="s">
        <v>7619</v>
      </c>
    </row>
    <row r="7312" spans="1:6" ht="12.75">
      <c r="A7312">
        <v>6947920</v>
      </c>
      <c r="B7312">
        <v>6975353</v>
      </c>
      <c r="C7312" t="s">
        <v>189</v>
      </c>
      <c r="D7312" t="s">
        <v>99</v>
      </c>
      <c r="E7312" s="2" t="str">
        <f>HYPERLINK("https://ibp.a2mac1.com/costing(costing:projects/details/8191/equipment/6947920)","Equipment (Injection Molding)")</f>
        <v>Equipment (Injection Molding)</v>
      </c>
      <c r="F7312" t="s">
        <v>7619</v>
      </c>
    </row>
    <row r="7313" spans="1:6" ht="12.75">
      <c r="A7313">
        <v>5388170</v>
      </c>
      <c r="B7313">
        <v>5388132</v>
      </c>
      <c r="C7313" t="s">
        <v>8</v>
      </c>
      <c r="D7313" t="s">
        <v>8</v>
      </c>
      <c r="E7313" s="2" t="str">
        <f>HYPERLINK("https://ibp.a2mac1.com/costing(costing:projects/details/8191/assembly/5388170)","Washer")</f>
        <v>Washer</v>
      </c>
      <c r="F7313" t="s">
        <v>7546</v>
      </c>
    </row>
    <row r="7314" spans="1:6" ht="12.75">
      <c r="A7314">
        <v>5388337</v>
      </c>
      <c r="B7314">
        <v>5388170</v>
      </c>
      <c r="C7314" t="s">
        <v>12</v>
      </c>
      <c r="D7314" t="s">
        <v>8</v>
      </c>
      <c r="E7314" s="2" t="str">
        <f>HYPERLINK("https://ibp.a2mac1.com/costing(costing:projects/details/8191/part/5388337)","Tank")</f>
        <v>Tank</v>
      </c>
      <c r="F7314" t="s">
        <v>7622</v>
      </c>
    </row>
    <row r="7315" spans="1:6" ht="12.75">
      <c r="A7315">
        <v>6975354</v>
      </c>
      <c r="B7315">
        <v>5388337</v>
      </c>
      <c r="C7315" t="s">
        <v>99</v>
      </c>
      <c r="D7315" t="s">
        <v>12</v>
      </c>
      <c r="E7315" s="2" t="str">
        <f>HYPERLINK("https://ibp.a2mac1.com/costing(costing:projects/details/8191/process/6975354)","Automated Process")</f>
        <v>Automated Process</v>
      </c>
      <c r="F7315" t="s">
        <v>7623</v>
      </c>
    </row>
    <row r="7316" spans="1:6" ht="12.75">
      <c r="A7316">
        <v>5319699</v>
      </c>
      <c r="B7316">
        <v>6975354</v>
      </c>
      <c r="C7316" t="s">
        <v>24</v>
      </c>
      <c r="D7316" t="s">
        <v>99</v>
      </c>
      <c r="E7316" s="2" t="str">
        <f>HYPERLINK("https://ibp.a2mac1.com/costing(costing:projects/details/8191/material/5319699)","PP-PE")</f>
        <v>PP-PE</v>
      </c>
      <c r="F7316" t="s">
        <v>7626</v>
      </c>
    </row>
    <row r="7317" spans="1:6" ht="12.75">
      <c r="A7317">
        <v>6947921</v>
      </c>
      <c r="B7317">
        <v>6975354</v>
      </c>
      <c r="C7317" t="s">
        <v>189</v>
      </c>
      <c r="D7317" t="s">
        <v>99</v>
      </c>
      <c r="E7317" s="2" t="str">
        <f>HYPERLINK("https://ibp.a2mac1.com/costing(costing:projects/details/8191/equipment/6947921)","Equipment (Injection Molding)")</f>
        <v>Equipment (Injection Molding)</v>
      </c>
      <c r="F7317" t="s">
        <v>7626</v>
      </c>
    </row>
    <row r="7318" spans="1:6" ht="12.75">
      <c r="A7318">
        <v>5388338</v>
      </c>
      <c r="B7318">
        <v>5388170</v>
      </c>
      <c r="C7318" t="s">
        <v>12</v>
      </c>
      <c r="D7318" t="s">
        <v>8</v>
      </c>
      <c r="E7318" s="2" t="str">
        <f>HYPERLINK("https://ibp.a2mac1.com/costing(costing:projects/details/8191/part/5388338)","Filler Pipe")</f>
        <v>Filler Pipe</v>
      </c>
      <c r="F7318" t="s">
        <v>7622</v>
      </c>
    </row>
    <row r="7319" spans="1:6" ht="12.75">
      <c r="A7319">
        <v>6975355</v>
      </c>
      <c r="B7319">
        <v>5388338</v>
      </c>
      <c r="C7319" t="s">
        <v>99</v>
      </c>
      <c r="D7319" t="s">
        <v>12</v>
      </c>
      <c r="E7319" s="2" t="str">
        <f>HYPERLINK("https://ibp.a2mac1.com/costing(costing:projects/details/8191/process/6975355)","Automated Process")</f>
        <v>Automated Process</v>
      </c>
      <c r="F7319" t="s">
        <v>7629</v>
      </c>
    </row>
    <row r="7320" spans="1:6" ht="12.75">
      <c r="A7320">
        <v>5319700</v>
      </c>
      <c r="B7320">
        <v>6975355</v>
      </c>
      <c r="C7320" t="s">
        <v>24</v>
      </c>
      <c r="D7320" t="s">
        <v>99</v>
      </c>
      <c r="E7320" s="2" t="str">
        <f>HYPERLINK("https://ibp.a2mac1.com/costing(costing:projects/details/8191/material/5319700)","PP-PE")</f>
        <v>PP-PE</v>
      </c>
      <c r="F7320" t="s">
        <v>7630</v>
      </c>
    </row>
    <row r="7321" spans="1:6" ht="12.75">
      <c r="A7321">
        <v>6947922</v>
      </c>
      <c r="B7321">
        <v>6975355</v>
      </c>
      <c r="C7321" t="s">
        <v>189</v>
      </c>
      <c r="D7321" t="s">
        <v>99</v>
      </c>
      <c r="E7321" s="2" t="str">
        <f>HYPERLINK("https://ibp.a2mac1.com/costing(costing:projects/details/8191/equipment/6947922)","Equipment (Injection Molding)")</f>
        <v>Equipment (Injection Molding)</v>
      </c>
      <c r="F7321" t="s">
        <v>7630</v>
      </c>
    </row>
    <row r="7322" spans="1:6" ht="12.75">
      <c r="A7322">
        <v>5388339</v>
      </c>
      <c r="B7322">
        <v>5388170</v>
      </c>
      <c r="C7322" t="s">
        <v>12</v>
      </c>
      <c r="D7322" t="s">
        <v>8</v>
      </c>
      <c r="E7322" s="2" t="str">
        <f>HYPERLINK("https://ibp.a2mac1.com/costing(costing:projects/details/8191/part/5388339)","Filling Tank")</f>
        <v>Filling Tank</v>
      </c>
      <c r="F7322" t="s">
        <v>7622</v>
      </c>
    </row>
    <row r="7323" spans="1:6" ht="12.75">
      <c r="A7323">
        <v>6975356</v>
      </c>
      <c r="B7323">
        <v>5388339</v>
      </c>
      <c r="C7323" t="s">
        <v>99</v>
      </c>
      <c r="D7323" t="s">
        <v>12</v>
      </c>
      <c r="E7323" s="2" t="str">
        <f>HYPERLINK("https://ibp.a2mac1.com/costing(costing:projects/details/8191/process/6975356)","Automated Process")</f>
        <v>Automated Process</v>
      </c>
      <c r="F7323" t="s">
        <v>7632</v>
      </c>
    </row>
    <row r="7324" spans="1:6" ht="12.75">
      <c r="A7324">
        <v>5319701</v>
      </c>
      <c r="B7324">
        <v>6975356</v>
      </c>
      <c r="C7324" t="s">
        <v>24</v>
      </c>
      <c r="D7324" t="s">
        <v>99</v>
      </c>
      <c r="E7324" s="2" t="str">
        <f>HYPERLINK("https://ibp.a2mac1.com/costing(costing:projects/details/8191/material/5319701)","PP-PE")</f>
        <v>PP-PE</v>
      </c>
      <c r="F7324" t="s">
        <v>7634</v>
      </c>
    </row>
    <row r="7325" spans="1:6" ht="12.75">
      <c r="A7325">
        <v>6947923</v>
      </c>
      <c r="B7325">
        <v>6975356</v>
      </c>
      <c r="C7325" t="s">
        <v>189</v>
      </c>
      <c r="D7325" t="s">
        <v>99</v>
      </c>
      <c r="E7325" s="2" t="str">
        <f>HYPERLINK("https://ibp.a2mac1.com/costing(costing:projects/details/8191/equipment/6947923)","Equipment (Injection Molding)")</f>
        <v>Equipment (Injection Molding)</v>
      </c>
      <c r="F7325" t="s">
        <v>7634</v>
      </c>
    </row>
    <row r="7326" spans="1:6" ht="12.75">
      <c r="A7326">
        <v>5388340</v>
      </c>
      <c r="B7326">
        <v>5388170</v>
      </c>
      <c r="C7326" t="s">
        <v>12</v>
      </c>
      <c r="D7326" t="s">
        <v>8</v>
      </c>
      <c r="E7326" s="2" t="str">
        <f>HYPERLINK("https://ibp.a2mac1.com/costing(costing:projects/details/8191/part/5388340)","Tank Fill Neck Filter")</f>
        <v>Tank Fill Neck Filter</v>
      </c>
      <c r="F7326" t="s">
        <v>7622</v>
      </c>
    </row>
    <row r="7327" spans="1:6" ht="12.75">
      <c r="A7327">
        <v>6975357</v>
      </c>
      <c r="B7327">
        <v>5388340</v>
      </c>
      <c r="C7327" t="s">
        <v>99</v>
      </c>
      <c r="D7327" t="s">
        <v>12</v>
      </c>
      <c r="E7327" s="2" t="str">
        <f>HYPERLINK("https://ibp.a2mac1.com/costing(costing:projects/details/8191/process/6975357)","Automated Process")</f>
        <v>Automated Process</v>
      </c>
      <c r="F7327" t="s">
        <v>7636</v>
      </c>
    </row>
    <row r="7328" spans="1:6" ht="12.75">
      <c r="A7328">
        <v>5319702</v>
      </c>
      <c r="B7328">
        <v>6975357</v>
      </c>
      <c r="C7328" t="s">
        <v>24</v>
      </c>
      <c r="D7328" t="s">
        <v>99</v>
      </c>
      <c r="E7328" s="2" t="str">
        <f>HYPERLINK("https://ibp.a2mac1.com/costing(costing:projects/details/8191/material/5319702)","PP")</f>
        <v>PP</v>
      </c>
      <c r="F7328" t="s">
        <v>7638</v>
      </c>
    </row>
    <row r="7329" spans="1:6" ht="12.75">
      <c r="A7329">
        <v>6947924</v>
      </c>
      <c r="B7329">
        <v>6975357</v>
      </c>
      <c r="C7329" t="s">
        <v>189</v>
      </c>
      <c r="D7329" t="s">
        <v>99</v>
      </c>
      <c r="E7329" s="2" t="str">
        <f>HYPERLINK("https://ibp.a2mac1.com/costing(costing:projects/details/8191/equipment/6947924)","Equipment (Injection Molding)")</f>
        <v>Equipment (Injection Molding)</v>
      </c>
      <c r="F7329" t="s">
        <v>7638</v>
      </c>
    </row>
    <row r="7330" spans="1:6" ht="12.75">
      <c r="A7330">
        <v>5388341</v>
      </c>
      <c r="B7330">
        <v>5388170</v>
      </c>
      <c r="C7330" t="s">
        <v>12</v>
      </c>
      <c r="D7330" t="s">
        <v>8</v>
      </c>
      <c r="E7330" s="2" t="str">
        <f>HYPERLINK("https://ibp.a2mac1.com/costing(costing:projects/details/8191/part/5388341)","Windshield Washer Pump")</f>
        <v>Windshield Washer Pump</v>
      </c>
      <c r="F7330" t="s">
        <v>7622</v>
      </c>
    </row>
    <row r="7331" spans="1:6" ht="12.75">
      <c r="A7331">
        <v>6975358</v>
      </c>
      <c r="B7331">
        <v>5388341</v>
      </c>
      <c r="C7331" t="s">
        <v>99</v>
      </c>
      <c r="D7331" t="s">
        <v>12</v>
      </c>
      <c r="E7331" s="2" t="str">
        <f>HYPERLINK("https://ibp.a2mac1.com/costing(costing:projects/details/8191/process/6975358)","Automated Process")</f>
        <v>Automated Process</v>
      </c>
      <c r="F7331" t="s">
        <v>7640</v>
      </c>
    </row>
    <row r="7332" spans="1:6" ht="12.75">
      <c r="A7332">
        <v>5319703</v>
      </c>
      <c r="B7332">
        <v>6975358</v>
      </c>
      <c r="C7332" t="s">
        <v>24</v>
      </c>
      <c r="D7332" t="s">
        <v>99</v>
      </c>
      <c r="E7332" s="2" t="str">
        <f>HYPERLINK("https://ibp.a2mac1.com/costing(costing:projects/details/8191/material/5319703)","POM")</f>
        <v>POM</v>
      </c>
      <c r="F7332" t="s">
        <v>7643</v>
      </c>
    </row>
    <row r="7333" spans="1:6" ht="12.75">
      <c r="A7333">
        <v>5319704</v>
      </c>
      <c r="B7333">
        <v>6975358</v>
      </c>
      <c r="C7333" t="s">
        <v>24</v>
      </c>
      <c r="D7333" t="s">
        <v>99</v>
      </c>
      <c r="E7333" s="2" t="str">
        <f>HYPERLINK("https://ibp.a2mac1.com/costing(costing:projects/details/8191/material/5319704)","PA")</f>
        <v>PA</v>
      </c>
      <c r="F7333" t="s">
        <v>7643</v>
      </c>
    </row>
    <row r="7334" spans="1:6" ht="12.75">
      <c r="A7334">
        <v>6947925</v>
      </c>
      <c r="B7334">
        <v>6975358</v>
      </c>
      <c r="C7334" t="s">
        <v>189</v>
      </c>
      <c r="D7334" t="s">
        <v>99</v>
      </c>
      <c r="E7334" s="2" t="str">
        <f>HYPERLINK("https://ibp.a2mac1.com/costing(costing:projects/details/8191/equipment/6947925)","Equipment (Injection Molding)")</f>
        <v>Equipment (Injection Molding)</v>
      </c>
      <c r="F7334" t="s">
        <v>7643</v>
      </c>
    </row>
    <row r="7335" spans="1:6" ht="12.75">
      <c r="A7335">
        <v>6947926</v>
      </c>
      <c r="B7335">
        <v>6975358</v>
      </c>
      <c r="C7335" t="s">
        <v>189</v>
      </c>
      <c r="D7335" t="s">
        <v>99</v>
      </c>
      <c r="E7335" s="2" t="str">
        <f>HYPERLINK("https://ibp.a2mac1.com/costing(costing:projects/details/8191/equipment/6947926)","Equipment (Injection Molding)")</f>
        <v>Equipment (Injection Molding)</v>
      </c>
      <c r="F7335" t="s">
        <v>7643</v>
      </c>
    </row>
    <row r="7336" spans="1:6" ht="12.75">
      <c r="A7336">
        <v>6947927</v>
      </c>
      <c r="B7336">
        <v>6975358</v>
      </c>
      <c r="C7336" t="s">
        <v>189</v>
      </c>
      <c r="D7336" t="s">
        <v>99</v>
      </c>
      <c r="E7336" s="2" t="str">
        <f>HYPERLINK("https://ibp.a2mac1.com/costing(costing:projects/details/8191/equipment/6947927)","Equipment (Standard Process)")</f>
        <v>Equipment (Standard Process)</v>
      </c>
      <c r="F7336" t="s">
        <v>7643</v>
      </c>
    </row>
    <row r="7337" spans="1:6" ht="12.75">
      <c r="A7337">
        <v>5388342</v>
      </c>
      <c r="B7337">
        <v>5388170</v>
      </c>
      <c r="C7337" t="s">
        <v>12</v>
      </c>
      <c r="D7337" t="s">
        <v>8</v>
      </c>
      <c r="E7337" s="2" t="str">
        <f>HYPERLINK("https://ibp.a2mac1.com/costing(costing:projects/details/8191/part/5388342)","Windshield Washer Jets")</f>
        <v>Windshield Washer Jets</v>
      </c>
      <c r="F7337" t="s">
        <v>7622</v>
      </c>
    </row>
    <row r="7338" spans="1:6" ht="12.75">
      <c r="A7338">
        <v>6975359</v>
      </c>
      <c r="B7338">
        <v>5388342</v>
      </c>
      <c r="C7338" t="s">
        <v>99</v>
      </c>
      <c r="D7338" t="s">
        <v>12</v>
      </c>
      <c r="E7338" s="2" t="str">
        <f>HYPERLINK("https://ibp.a2mac1.com/costing(costing:projects/details/8191/process/6975359)","Automated Process")</f>
        <v>Automated Process</v>
      </c>
      <c r="F7338" t="s">
        <v>7647</v>
      </c>
    </row>
    <row r="7339" spans="1:6" ht="12.75">
      <c r="A7339">
        <v>5319705</v>
      </c>
      <c r="B7339">
        <v>6975359</v>
      </c>
      <c r="C7339" t="s">
        <v>24</v>
      </c>
      <c r="D7339" t="s">
        <v>99</v>
      </c>
      <c r="E7339" s="2" t="str">
        <f>HYPERLINK("https://ibp.a2mac1.com/costing(costing:projects/details/8191/material/5319705)","PBT")</f>
        <v>PBT</v>
      </c>
      <c r="F7339" t="s">
        <v>7648</v>
      </c>
    </row>
    <row r="7340" spans="1:6" ht="12.75">
      <c r="A7340">
        <v>6947928</v>
      </c>
      <c r="B7340">
        <v>6975359</v>
      </c>
      <c r="C7340" t="s">
        <v>189</v>
      </c>
      <c r="D7340" t="s">
        <v>99</v>
      </c>
      <c r="E7340" s="2" t="str">
        <f>HYPERLINK("https://ibp.a2mac1.com/costing(costing:projects/details/8191/equipment/6947928)","Equipment (Injection Molding)")</f>
        <v>Equipment (Injection Molding)</v>
      </c>
      <c r="F7340" t="s">
        <v>7648</v>
      </c>
    </row>
    <row r="7341" spans="1:6" ht="12.75">
      <c r="A7341">
        <v>6947929</v>
      </c>
      <c r="B7341">
        <v>6975359</v>
      </c>
      <c r="C7341" t="s">
        <v>189</v>
      </c>
      <c r="D7341" t="s">
        <v>99</v>
      </c>
      <c r="E7341" s="2" t="str">
        <f>HYPERLINK("https://ibp.a2mac1.com/costing(costing:projects/details/8191/equipment/6947929)","Equipment (Standard Process)")</f>
        <v>Equipment (Standard Process)</v>
      </c>
      <c r="F7341" t="s">
        <v>7648</v>
      </c>
    </row>
    <row r="7342" spans="1:6" ht="12.75">
      <c r="A7342">
        <v>5388343</v>
      </c>
      <c r="B7342">
        <v>5388170</v>
      </c>
      <c r="C7342" t="s">
        <v>12</v>
      </c>
      <c r="D7342" t="s">
        <v>8</v>
      </c>
      <c r="E7342" s="2" t="str">
        <f>HYPERLINK("https://ibp.a2mac1.com/costing(costing:projects/details/8191/part/5388343)","Tank Cap")</f>
        <v>Tank Cap</v>
      </c>
      <c r="F7342" t="s">
        <v>7622</v>
      </c>
    </row>
    <row r="7343" spans="1:6" ht="12.75">
      <c r="A7343">
        <v>6975360</v>
      </c>
      <c r="B7343">
        <v>5388343</v>
      </c>
      <c r="C7343" t="s">
        <v>99</v>
      </c>
      <c r="D7343" t="s">
        <v>12</v>
      </c>
      <c r="E7343" s="2" t="str">
        <f>HYPERLINK("https://ibp.a2mac1.com/costing(costing:projects/details/8191/process/6975360)","Automated Process")</f>
        <v>Automated Process</v>
      </c>
      <c r="F7343" t="s">
        <v>7650</v>
      </c>
    </row>
    <row r="7344" spans="1:6" ht="12.75">
      <c r="A7344">
        <v>5319706</v>
      </c>
      <c r="B7344">
        <v>6975360</v>
      </c>
      <c r="C7344" t="s">
        <v>24</v>
      </c>
      <c r="D7344" t="s">
        <v>99</v>
      </c>
      <c r="E7344" s="2" t="str">
        <f>HYPERLINK("https://ibp.a2mac1.com/costing(costing:projects/details/8191/material/5319706)","PP-PE")</f>
        <v>PP-PE</v>
      </c>
      <c r="F7344" t="s">
        <v>7651</v>
      </c>
    </row>
    <row r="7345" spans="1:6" ht="12.75">
      <c r="A7345">
        <v>6947930</v>
      </c>
      <c r="B7345">
        <v>6975360</v>
      </c>
      <c r="C7345" t="s">
        <v>189</v>
      </c>
      <c r="D7345" t="s">
        <v>99</v>
      </c>
      <c r="E7345" s="2" t="str">
        <f>HYPERLINK("https://ibp.a2mac1.com/costing(costing:projects/details/8191/equipment/6947930)","Equipment (Injection Molding)")</f>
        <v>Equipment (Injection Molding)</v>
      </c>
      <c r="F7345" t="s">
        <v>7651</v>
      </c>
    </row>
    <row r="7346" spans="1:6" ht="12.75">
      <c r="A7346">
        <v>5388344</v>
      </c>
      <c r="B7346">
        <v>5388170</v>
      </c>
      <c r="C7346" t="s">
        <v>12</v>
      </c>
      <c r="D7346" t="s">
        <v>8</v>
      </c>
      <c r="E7346" s="2" t="str">
        <f>HYPERLINK("https://ibp.a2mac1.com/costing(costing:projects/details/8191/part/5388344)","Windscreen Washer Jets Trim")</f>
        <v>Windscreen Washer Jets Trim</v>
      </c>
      <c r="F7346" t="s">
        <v>7622</v>
      </c>
    </row>
    <row r="7347" spans="1:6" ht="12.75">
      <c r="A7347">
        <v>6975361</v>
      </c>
      <c r="B7347">
        <v>5388344</v>
      </c>
      <c r="C7347" t="s">
        <v>99</v>
      </c>
      <c r="D7347" t="s">
        <v>12</v>
      </c>
      <c r="E7347" s="2" t="str">
        <f>HYPERLINK("https://ibp.a2mac1.com/costing(costing:projects/details/8191/process/6975361)","Automated Process")</f>
        <v>Automated Process</v>
      </c>
      <c r="F7347" t="s">
        <v>7653</v>
      </c>
    </row>
    <row r="7348" spans="1:6" ht="12.75">
      <c r="A7348">
        <v>5319707</v>
      </c>
      <c r="B7348">
        <v>6975361</v>
      </c>
      <c r="C7348" t="s">
        <v>24</v>
      </c>
      <c r="D7348" t="s">
        <v>99</v>
      </c>
      <c r="E7348" s="2" t="str">
        <f>HYPERLINK("https://ibp.a2mac1.com/costing(costing:projects/details/8191/material/5319707)","POM")</f>
        <v>POM</v>
      </c>
      <c r="F7348" t="s">
        <v>7654</v>
      </c>
    </row>
    <row r="7349" spans="1:6" ht="12.75">
      <c r="A7349">
        <v>6947931</v>
      </c>
      <c r="B7349">
        <v>6975361</v>
      </c>
      <c r="C7349" t="s">
        <v>189</v>
      </c>
      <c r="D7349" t="s">
        <v>99</v>
      </c>
      <c r="E7349" s="2" t="str">
        <f>HYPERLINK("https://ibp.a2mac1.com/costing(costing:projects/details/8191/equipment/6947931)","Equipment (Injection Molding)")</f>
        <v>Equipment (Injection Molding)</v>
      </c>
      <c r="F7349" t="s">
        <v>7654</v>
      </c>
    </row>
    <row r="7350" spans="1:6" ht="12.75">
      <c r="A7350">
        <v>5319450</v>
      </c>
      <c r="B7350">
        <v>5388170</v>
      </c>
      <c r="C7350" t="s">
        <v>574</v>
      </c>
      <c r="D7350" t="s">
        <v>8</v>
      </c>
      <c r="E7350" s="2" t="str">
        <f>HYPERLINK("https://ibp.a2mac1.com/costing(costing:projects/details/8191/component/5319450)","Screw &gt; Hexagon screw with flange")</f>
        <v>Screw &gt; Hexagon screw with flange</v>
      </c>
      <c r="F7350" t="s">
        <v>7622</v>
      </c>
    </row>
    <row r="7351" spans="1:6" ht="12.75">
      <c r="A7351">
        <v>5319451</v>
      </c>
      <c r="B7351">
        <v>5388170</v>
      </c>
      <c r="C7351" t="s">
        <v>574</v>
      </c>
      <c r="D7351" t="s">
        <v>8</v>
      </c>
      <c r="E7351" s="2" t="str">
        <f>HYPERLINK("https://ibp.a2mac1.com/costing(costing:projects/details/8191/component/5319451)","Spacer/Axle &gt; Flange")</f>
        <v>Spacer/Axle &gt; Flange</v>
      </c>
      <c r="F7351" t="s">
        <v>7622</v>
      </c>
    </row>
    <row r="7352" spans="1:6" ht="12.75">
      <c r="A7352">
        <v>5319452</v>
      </c>
      <c r="B7352">
        <v>5388170</v>
      </c>
      <c r="C7352" t="s">
        <v>574</v>
      </c>
      <c r="D7352" t="s">
        <v>8</v>
      </c>
      <c r="E7352" s="2" t="str">
        <f>HYPERLINK("https://ibp.a2mac1.com/costing(costing:projects/details/8191/component/5319452)","Screw &gt; Torx socket head cap screw")</f>
        <v>Screw &gt; Torx socket head cap screw</v>
      </c>
      <c r="F7352" t="s">
        <v>7622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3bb3b44-0558-45d3-9db9-a8576c86a86d}">
  <dimension ref="A1:BF1900"/>
  <sheetViews>
    <sheetView workbookViewId="0" topLeftCell="A1"/>
  </sheetViews>
  <sheetFormatPr defaultRowHeight="12.75"/>
  <cols>
    <col min="1" max="1" width="6.57142857142857" customWidth="1"/>
    <col min="2" max="2" width="3.14285714285714" customWidth="1"/>
    <col min="3" max="3" width="18.8571428571429" customWidth="1"/>
    <col min="4" max="4" width="11.4285714285714" customWidth="1"/>
    <col min="5" max="5" width="16.4285714285714" customWidth="1"/>
    <col min="6" max="6" width="19.4285714285714" customWidth="1"/>
    <col min="7" max="7" width="20.2857142857143" customWidth="1"/>
    <col min="8" max="8" width="16.8571428571429" customWidth="1"/>
    <col min="9" max="10" width="10.4285714285714" customWidth="1"/>
    <col min="11" max="11" width="20.8571428571429" customWidth="1"/>
    <col min="12" max="12" width="21.7142857142857" customWidth="1"/>
    <col min="13" max="13" width="23" customWidth="1"/>
    <col min="14" max="14" width="21.1428571428571" customWidth="1"/>
    <col min="15" max="16" width="9.28571428571429" customWidth="1"/>
    <col min="17" max="18" width="10.5714285714286" customWidth="1"/>
    <col min="19" max="20" width="10.4285714285714" customWidth="1"/>
    <col min="21" max="22" width="9" customWidth="1"/>
    <col min="23" max="24" width="8.57142857142857" customWidth="1"/>
    <col min="25" max="25" width="13" customWidth="1"/>
    <col min="26" max="26" width="21.7142857142857" customWidth="1"/>
    <col min="27" max="27" width="25.5714285714286" customWidth="1"/>
    <col min="28" max="28" width="24.7142857142857" customWidth="1"/>
    <col min="29" max="29" width="24" customWidth="1"/>
    <col min="30" max="30" width="27" customWidth="1"/>
    <col min="31" max="31" width="12.7142857142857" customWidth="1"/>
    <col min="32" max="32" width="11.7142857142857" customWidth="1"/>
    <col min="33" max="33" width="12.2857142857143" customWidth="1"/>
    <col min="34" max="34" width="15.2857142857143" customWidth="1"/>
    <col min="35" max="35" width="11.5714285714286" customWidth="1"/>
    <col min="36" max="36" width="13.2857142857143" customWidth="1"/>
    <col min="37" max="37" width="17.5714285714286" customWidth="1"/>
    <col min="38" max="38" width="22.5714285714286" customWidth="1"/>
    <col min="39" max="39" width="31.8571428571429" customWidth="1"/>
    <col min="40" max="40" width="23.2857142857143" customWidth="1"/>
    <col min="41" max="41" width="17" customWidth="1"/>
    <col min="42" max="42" width="20.4285714285714" customWidth="1"/>
    <col min="43" max="43" width="20.7142857142857" customWidth="1"/>
    <col min="44" max="44" width="13.4285714285714" customWidth="1"/>
    <col min="45" max="45" width="8.28571428571429" customWidth="1"/>
    <col min="46" max="46" width="9.14285714285714" customWidth="1"/>
    <col min="47" max="47" width="19.5714285714286" customWidth="1"/>
    <col min="48" max="48" width="14.8571428571429" customWidth="1"/>
    <col min="49" max="49" width="15" customWidth="1"/>
    <col min="50" max="50" width="12" customWidth="1"/>
    <col min="51" max="52" width="12.4285714285714" customWidth="1"/>
    <col min="53" max="54" width="12.8571428571429" customWidth="1"/>
    <col min="55" max="55" width="12.5714285714286" customWidth="1"/>
    <col min="56" max="56" width="17" customWidth="1"/>
    <col min="57" max="57" width="31.1428571428571" customWidth="1"/>
    <col min="58" max="58" width="14.2857142857143" customWidth="1"/>
  </cols>
  <sheetData>
    <row r="1" spans="1:58" ht="12.75">
      <c r="A1" s="1" t="s">
        <v>16</v>
      </c>
      <c r="B1" s="1"/>
      <c r="C1" s="1"/>
      <c r="D1" s="1"/>
      <c r="E1" s="1" t="s">
        <v>17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38</v>
      </c>
      <c r="AA1" s="1"/>
      <c r="AB1" s="1"/>
      <c r="AC1" s="1"/>
      <c r="AD1" s="1"/>
      <c r="AE1" s="1" t="s">
        <v>44</v>
      </c>
      <c r="AF1" s="1"/>
      <c r="AG1" s="1"/>
      <c r="AH1" s="1"/>
      <c r="AI1" s="1"/>
      <c r="AJ1" s="1" t="s">
        <v>50</v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66</v>
      </c>
      <c r="AZ1" s="1"/>
      <c r="BA1" s="1"/>
      <c r="BB1" s="1"/>
      <c r="BC1" s="1"/>
      <c r="BD1" s="1"/>
      <c r="BE1" s="1"/>
      <c r="BF1" s="1"/>
    </row>
    <row r="2" spans="1:58" ht="12.75">
      <c r="A2" s="3"/>
      <c r="B2" s="3"/>
      <c r="C2" s="3"/>
      <c r="D2" s="3"/>
      <c r="E2" s="3" t="s">
        <v>24</v>
      </c>
      <c r="F2" s="3"/>
      <c r="G2" s="3"/>
      <c r="H2" s="3"/>
      <c r="I2" s="3"/>
      <c r="J2" s="3"/>
      <c r="K2" s="3"/>
      <c r="L2" s="3" t="s">
        <v>27</v>
      </c>
      <c r="M2" s="3"/>
      <c r="N2" s="3" t="s">
        <v>28</v>
      </c>
      <c r="O2" s="3" t="s">
        <v>35</v>
      </c>
      <c r="P2" s="3"/>
      <c r="Q2" s="3"/>
      <c r="R2" s="3"/>
      <c r="S2" s="3"/>
      <c r="T2" s="3"/>
      <c r="U2" s="3"/>
      <c r="V2" s="3"/>
      <c r="W2" s="3"/>
      <c r="X2" s="3"/>
      <c r="Y2" s="3" t="s">
        <v>36</v>
      </c>
      <c r="Z2" s="3" t="s">
        <v>24</v>
      </c>
      <c r="AA2" s="3"/>
      <c r="AB2" s="3"/>
      <c r="AC2" s="3" t="s">
        <v>27</v>
      </c>
      <c r="AD2" s="3" t="s">
        <v>36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2.75">
      <c r="A3" s="4" t="s">
        <v>4</v>
      </c>
      <c r="B3" s="4" t="s">
        <v>14</v>
      </c>
      <c r="C3" s="4" t="s">
        <v>15</v>
      </c>
      <c r="D3" s="4" t="s">
        <v>16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/>
      <c r="K3" s="4" t="s">
        <v>23</v>
      </c>
      <c r="L3" s="4" t="s">
        <v>25</v>
      </c>
      <c r="M3" s="4" t="s">
        <v>26</v>
      </c>
      <c r="N3" s="4" t="s">
        <v>29</v>
      </c>
      <c r="O3" s="4" t="s">
        <v>30</v>
      </c>
      <c r="P3" s="4"/>
      <c r="Q3" s="4" t="s">
        <v>31</v>
      </c>
      <c r="R3" s="4"/>
      <c r="S3" s="4" t="s">
        <v>32</v>
      </c>
      <c r="T3" s="4"/>
      <c r="U3" s="4" t="s">
        <v>33</v>
      </c>
      <c r="V3" s="4"/>
      <c r="W3" s="4" t="s">
        <v>34</v>
      </c>
      <c r="X3" s="4"/>
      <c r="Y3" s="4" t="s">
        <v>37</v>
      </c>
      <c r="Z3" s="4" t="s">
        <v>39</v>
      </c>
      <c r="AA3" s="4" t="s">
        <v>40</v>
      </c>
      <c r="AB3" s="4" t="s">
        <v>41</v>
      </c>
      <c r="AC3" s="4" t="s">
        <v>42</v>
      </c>
      <c r="AD3" s="4" t="s">
        <v>43</v>
      </c>
      <c r="AE3" s="4" t="s">
        <v>45</v>
      </c>
      <c r="AF3" s="4" t="s">
        <v>46</v>
      </c>
      <c r="AG3" s="4" t="s">
        <v>47</v>
      </c>
      <c r="AH3" s="4" t="s">
        <v>48</v>
      </c>
      <c r="AI3" s="4" t="s">
        <v>49</v>
      </c>
      <c r="AJ3" s="4" t="s">
        <v>51</v>
      </c>
      <c r="AK3" s="4" t="s">
        <v>52</v>
      </c>
      <c r="AL3" s="4" t="s">
        <v>53</v>
      </c>
      <c r="AM3" s="4" t="s">
        <v>54</v>
      </c>
      <c r="AN3" s="4" t="s">
        <v>55</v>
      </c>
      <c r="AO3" s="4" t="s">
        <v>56</v>
      </c>
      <c r="AP3" s="4" t="s">
        <v>57</v>
      </c>
      <c r="AQ3" s="4" t="s">
        <v>58</v>
      </c>
      <c r="AR3" s="4" t="s">
        <v>59</v>
      </c>
      <c r="AS3" s="4" t="s">
        <v>60</v>
      </c>
      <c r="AT3" s="4" t="s">
        <v>61</v>
      </c>
      <c r="AU3" s="4" t="s">
        <v>62</v>
      </c>
      <c r="AV3" s="4" t="s">
        <v>63</v>
      </c>
      <c r="AW3" s="4" t="s">
        <v>64</v>
      </c>
      <c r="AX3" s="4" t="s">
        <v>65</v>
      </c>
      <c r="AY3" s="4" t="s">
        <v>67</v>
      </c>
      <c r="AZ3" s="4"/>
      <c r="BA3" s="4" t="s">
        <v>68</v>
      </c>
      <c r="BB3" s="4"/>
      <c r="BC3" s="4" t="s">
        <v>69</v>
      </c>
      <c r="BD3" s="4" t="s">
        <v>70</v>
      </c>
      <c r="BE3" s="4" t="s">
        <v>71</v>
      </c>
      <c r="BF3" s="4" t="s">
        <v>72</v>
      </c>
    </row>
    <row r="4" spans="1:58" ht="12.75">
      <c r="A4" s="2" t="str">
        <f>HYPERLINK("https://ibp.a2mac1.com/costing(costing:projects/details/8191/part/5380827)"," Upper Left and Right if Similar/or Single")</f>
        <v xml:space="preserve"> Upper Left and Right if Similar/or Single</v>
      </c>
      <c r="B4">
        <v>5380827</v>
      </c>
      <c r="C4">
        <v>5380825</v>
      </c>
      <c r="D4" t="s">
        <v>73</v>
      </c>
      <c r="E4">
        <v>0.14</v>
      </c>
      <c r="F4">
        <v>0</v>
      </c>
      <c r="G4">
        <v>0</v>
      </c>
      <c r="H4">
        <v>0</v>
      </c>
      <c r="I4" t="s">
        <v>74</v>
      </c>
      <c r="J4">
        <v>0</v>
      </c>
      <c r="K4">
        <v>0.14</v>
      </c>
      <c r="L4">
        <v>0</v>
      </c>
      <c r="M4">
        <v>0</v>
      </c>
      <c r="N4">
        <v>0.14</v>
      </c>
      <c r="O4" t="s">
        <v>74</v>
      </c>
      <c r="P4">
        <v>0</v>
      </c>
      <c r="Q4" t="s">
        <v>74</v>
      </c>
      <c r="R4">
        <v>0</v>
      </c>
      <c r="S4" t="s">
        <v>74</v>
      </c>
      <c r="T4">
        <v>0</v>
      </c>
      <c r="U4" t="s">
        <v>74</v>
      </c>
      <c r="V4">
        <v>0</v>
      </c>
      <c r="W4" t="s">
        <v>74</v>
      </c>
      <c r="X4">
        <v>0</v>
      </c>
      <c r="Y4">
        <v>0.14</v>
      </c>
      <c r="Z4">
        <v>0</v>
      </c>
      <c r="AA4">
        <v>0</v>
      </c>
      <c r="AB4">
        <v>0</v>
      </c>
      <c r="AC4">
        <v>0</v>
      </c>
      <c r="AD4">
        <v>0</v>
      </c>
      <c r="AE4">
        <v>40</v>
      </c>
      <c r="AF4">
        <v>25</v>
      </c>
      <c r="AG4">
        <v>33</v>
      </c>
      <c r="AH4">
        <v>0</v>
      </c>
      <c r="AI4">
        <v>0.0115</v>
      </c>
      <c r="AK4" t="s">
        <v>75</v>
      </c>
      <c r="AM4">
        <v>400000</v>
      </c>
      <c r="AN4" t="s">
        <v>76</v>
      </c>
      <c r="AO4">
        <v>2</v>
      </c>
      <c r="AP4">
        <v>0</v>
      </c>
      <c r="AQ4">
        <v>33333.333333333336</v>
      </c>
      <c r="AR4" t="s">
        <v>77</v>
      </c>
      <c r="AS4" t="s">
        <v>78</v>
      </c>
      <c r="AX4" t="s">
        <v>79</v>
      </c>
      <c r="AY4" t="s">
        <v>74</v>
      </c>
      <c r="AZ4">
        <v>0</v>
      </c>
      <c r="BA4" t="s">
        <v>74</v>
      </c>
      <c r="BB4">
        <v>0</v>
      </c>
      <c r="BD4">
        <v>0.07</v>
      </c>
      <c r="BE4">
        <v>0</v>
      </c>
    </row>
    <row r="5" spans="1:58" ht="12.75">
      <c r="A5" s="2" t="str">
        <f>HYPERLINK("https://ibp.a2mac1.com/costing(costing:projects/details/8191/part/5380828)"," Left and Right if Similar")</f>
        <v xml:space="preserve"> Left and Right if Similar</v>
      </c>
      <c r="B5">
        <v>5380828</v>
      </c>
      <c r="C5">
        <v>5380825</v>
      </c>
      <c r="D5" t="s">
        <v>80</v>
      </c>
      <c r="E5">
        <v>0.65200000000000002</v>
      </c>
      <c r="F5">
        <v>0</v>
      </c>
      <c r="G5">
        <v>0</v>
      </c>
      <c r="H5">
        <v>0</v>
      </c>
      <c r="I5" t="s">
        <v>74</v>
      </c>
      <c r="J5">
        <v>0</v>
      </c>
      <c r="K5">
        <v>0.65200000000000002</v>
      </c>
      <c r="L5">
        <v>0</v>
      </c>
      <c r="M5">
        <v>0</v>
      </c>
      <c r="N5">
        <v>0.65200000000000002</v>
      </c>
      <c r="O5" t="s">
        <v>74</v>
      </c>
      <c r="P5">
        <v>0</v>
      </c>
      <c r="Q5" t="s">
        <v>74</v>
      </c>
      <c r="R5">
        <v>0</v>
      </c>
      <c r="S5" t="s">
        <v>74</v>
      </c>
      <c r="T5">
        <v>0</v>
      </c>
      <c r="U5" t="s">
        <v>74</v>
      </c>
      <c r="V5">
        <v>0</v>
      </c>
      <c r="W5" t="s">
        <v>74</v>
      </c>
      <c r="X5">
        <v>0</v>
      </c>
      <c r="Y5">
        <v>0.65200000000000002</v>
      </c>
      <c r="Z5">
        <v>0</v>
      </c>
      <c r="AA5">
        <v>0</v>
      </c>
      <c r="AB5">
        <v>0</v>
      </c>
      <c r="AC5">
        <v>0</v>
      </c>
      <c r="AD5">
        <v>0</v>
      </c>
      <c r="AE5">
        <v>177</v>
      </c>
      <c r="AF5">
        <v>313</v>
      </c>
      <c r="AG5">
        <v>70</v>
      </c>
      <c r="AH5">
        <v>0</v>
      </c>
      <c r="AI5">
        <v>0.32900000000000001</v>
      </c>
      <c r="AK5" t="s">
        <v>75</v>
      </c>
      <c r="AM5">
        <v>400000</v>
      </c>
      <c r="AN5" t="s">
        <v>76</v>
      </c>
      <c r="AO5">
        <v>2</v>
      </c>
      <c r="AP5">
        <v>0</v>
      </c>
      <c r="AQ5">
        <v>33333.333333333336</v>
      </c>
      <c r="AR5" t="s">
        <v>81</v>
      </c>
      <c r="AS5" t="s">
        <v>78</v>
      </c>
      <c r="AX5" t="s">
        <v>79</v>
      </c>
      <c r="AY5" t="s">
        <v>74</v>
      </c>
      <c r="AZ5">
        <v>0</v>
      </c>
      <c r="BA5" t="s">
        <v>74</v>
      </c>
      <c r="BB5">
        <v>0</v>
      </c>
      <c r="BD5">
        <v>0.32600000000000001</v>
      </c>
      <c r="BE5">
        <v>0</v>
      </c>
    </row>
    <row r="6" spans="1:58" ht="12.75">
      <c r="A6" s="2" t="str">
        <f>HYPERLINK("https://ibp.a2mac1.com/costing(costing:projects/details/8191/part/5380831)","Main Sound Insulation")</f>
        <v>Main Sound Insulation</v>
      </c>
      <c r="B6">
        <v>5380831</v>
      </c>
      <c r="C6">
        <v>5380829</v>
      </c>
      <c r="D6" t="s">
        <v>199</v>
      </c>
      <c r="E6">
        <v>1.8307419709090909</v>
      </c>
      <c r="F6">
        <v>0</v>
      </c>
      <c r="G6">
        <v>0</v>
      </c>
      <c r="H6">
        <v>0.0093194712000000002</v>
      </c>
      <c r="I6" t="s">
        <v>137</v>
      </c>
      <c r="J6">
        <v>0.064462745454545459</v>
      </c>
      <c r="K6">
        <v>1.9045241875636363</v>
      </c>
      <c r="L6">
        <v>0.037929543313487621</v>
      </c>
      <c r="M6">
        <v>0.22757725988092573</v>
      </c>
      <c r="N6">
        <v>2.1321014474445623</v>
      </c>
      <c r="O6" t="s">
        <v>138</v>
      </c>
      <c r="P6">
        <v>0.11427145125381818</v>
      </c>
      <c r="Q6" t="s">
        <v>138</v>
      </c>
      <c r="R6">
        <v>0.013654635592855544</v>
      </c>
      <c r="S6" t="s">
        <v>139</v>
      </c>
      <c r="T6">
        <v>0.25585217369334745</v>
      </c>
      <c r="U6" t="s">
        <v>90</v>
      </c>
      <c r="V6">
        <v>0</v>
      </c>
      <c r="W6" t="s">
        <v>90</v>
      </c>
      <c r="X6">
        <v>0</v>
      </c>
      <c r="Y6">
        <v>2.5158797079845834</v>
      </c>
      <c r="Z6">
        <v>0</v>
      </c>
      <c r="AA6">
        <v>0</v>
      </c>
      <c r="AB6">
        <v>0</v>
      </c>
      <c r="AC6">
        <v>0</v>
      </c>
      <c r="AD6">
        <v>0</v>
      </c>
      <c r="AE6">
        <v>403</v>
      </c>
      <c r="AF6">
        <v>201</v>
      </c>
      <c r="AG6">
        <v>311</v>
      </c>
      <c r="AH6">
        <v>0</v>
      </c>
      <c r="AI6">
        <v>0.48</v>
      </c>
      <c r="AK6" t="s">
        <v>75</v>
      </c>
      <c r="AM6">
        <v>200000</v>
      </c>
      <c r="AN6" t="s">
        <v>76</v>
      </c>
      <c r="AO6">
        <v>1</v>
      </c>
      <c r="AP6">
        <v>0</v>
      </c>
      <c r="AQ6">
        <v>16666.666666666668</v>
      </c>
      <c r="AR6" t="s">
        <v>200</v>
      </c>
      <c r="AS6" t="s">
        <v>78</v>
      </c>
      <c r="AX6" t="s">
        <v>79</v>
      </c>
      <c r="AY6" t="s">
        <v>137</v>
      </c>
      <c r="AZ6">
        <v>0</v>
      </c>
      <c r="BA6" t="s">
        <v>137</v>
      </c>
      <c r="BB6">
        <v>0</v>
      </c>
      <c r="BE6">
        <v>0</v>
      </c>
    </row>
    <row r="7" spans="1:58" ht="12.75">
      <c r="A7" s="2" t="str">
        <f>HYPERLINK("https://ibp.a2mac1.com/costing(costing:projects/details/8191/part/5380832)","Insulation")</f>
        <v>Insulation</v>
      </c>
      <c r="B7">
        <v>5380832</v>
      </c>
      <c r="C7">
        <v>5380830</v>
      </c>
      <c r="D7" t="s">
        <v>204</v>
      </c>
      <c r="E7">
        <v>0.62475000000000003</v>
      </c>
      <c r="F7">
        <v>0</v>
      </c>
      <c r="G7">
        <v>0</v>
      </c>
      <c r="H7">
        <v>0</v>
      </c>
      <c r="I7" t="s">
        <v>74</v>
      </c>
      <c r="J7">
        <v>0</v>
      </c>
      <c r="K7">
        <v>0.62475000000000003</v>
      </c>
      <c r="L7">
        <v>0</v>
      </c>
      <c r="M7">
        <v>0</v>
      </c>
      <c r="N7">
        <v>0.62475000000000003</v>
      </c>
      <c r="O7" t="s">
        <v>74</v>
      </c>
      <c r="P7">
        <v>0</v>
      </c>
      <c r="Q7" t="s">
        <v>74</v>
      </c>
      <c r="R7">
        <v>0</v>
      </c>
      <c r="S7" t="s">
        <v>74</v>
      </c>
      <c r="T7">
        <v>0</v>
      </c>
      <c r="U7" t="s">
        <v>74</v>
      </c>
      <c r="V7">
        <v>0</v>
      </c>
      <c r="W7" t="s">
        <v>74</v>
      </c>
      <c r="X7">
        <v>0</v>
      </c>
      <c r="Y7">
        <v>0.62475000000000003</v>
      </c>
      <c r="Z7">
        <v>0</v>
      </c>
      <c r="AA7">
        <v>0</v>
      </c>
      <c r="AB7">
        <v>0</v>
      </c>
      <c r="AC7">
        <v>0</v>
      </c>
      <c r="AD7">
        <v>0</v>
      </c>
      <c r="AE7">
        <v>253</v>
      </c>
      <c r="AF7">
        <v>236</v>
      </c>
      <c r="AG7">
        <v>34</v>
      </c>
      <c r="AH7">
        <v>0</v>
      </c>
      <c r="AI7">
        <v>0.16700000000000001</v>
      </c>
      <c r="AK7" t="s">
        <v>75</v>
      </c>
      <c r="AM7">
        <v>200000</v>
      </c>
      <c r="AN7" t="s">
        <v>76</v>
      </c>
      <c r="AO7">
        <v>1</v>
      </c>
      <c r="AP7">
        <v>0</v>
      </c>
      <c r="AQ7">
        <v>16666.666666666668</v>
      </c>
      <c r="AR7" t="s">
        <v>205</v>
      </c>
      <c r="AS7" t="s">
        <v>78</v>
      </c>
      <c r="AX7" t="s">
        <v>79</v>
      </c>
      <c r="AY7" t="s">
        <v>74</v>
      </c>
      <c r="AZ7">
        <v>0</v>
      </c>
      <c r="BA7" t="s">
        <v>74</v>
      </c>
      <c r="BB7">
        <v>0</v>
      </c>
      <c r="BD7">
        <v>0.62475000000000003</v>
      </c>
      <c r="BE7">
        <v>0</v>
      </c>
    </row>
    <row r="8" spans="1:58" ht="12.75">
      <c r="A8" s="2" t="str">
        <f>HYPERLINK("https://ibp.a2mac1.com/costing(costing:projects/details/8191/part/5380836)","Pedals Support")</f>
        <v>Pedals Support</v>
      </c>
      <c r="B8">
        <v>5380836</v>
      </c>
      <c r="C8">
        <v>5380834</v>
      </c>
      <c r="E8">
        <v>3.02</v>
      </c>
      <c r="F8">
        <v>0</v>
      </c>
      <c r="G8">
        <v>0</v>
      </c>
      <c r="H8">
        <v>0</v>
      </c>
      <c r="I8" t="s">
        <v>74</v>
      </c>
      <c r="J8">
        <v>0</v>
      </c>
      <c r="K8">
        <v>3.02</v>
      </c>
      <c r="L8">
        <v>0</v>
      </c>
      <c r="M8">
        <v>0</v>
      </c>
      <c r="N8">
        <v>3.02</v>
      </c>
      <c r="O8" t="s">
        <v>74</v>
      </c>
      <c r="P8">
        <v>0</v>
      </c>
      <c r="Q8" t="s">
        <v>74</v>
      </c>
      <c r="R8">
        <v>0</v>
      </c>
      <c r="S8" t="s">
        <v>74</v>
      </c>
      <c r="T8">
        <v>0</v>
      </c>
      <c r="U8" t="s">
        <v>74</v>
      </c>
      <c r="V8">
        <v>0</v>
      </c>
      <c r="W8" t="s">
        <v>74</v>
      </c>
      <c r="X8">
        <v>0</v>
      </c>
      <c r="Y8">
        <v>3.02</v>
      </c>
      <c r="Z8">
        <v>0</v>
      </c>
      <c r="AA8">
        <v>0</v>
      </c>
      <c r="AB8">
        <v>0</v>
      </c>
      <c r="AC8">
        <v>0</v>
      </c>
      <c r="AD8">
        <v>0</v>
      </c>
      <c r="AE8">
        <v>202</v>
      </c>
      <c r="AF8">
        <v>182</v>
      </c>
      <c r="AG8">
        <v>390</v>
      </c>
      <c r="AH8">
        <v>0</v>
      </c>
      <c r="AI8">
        <v>0.63800000000000001</v>
      </c>
      <c r="AK8" t="s">
        <v>75</v>
      </c>
      <c r="AM8">
        <v>200000</v>
      </c>
      <c r="AN8" t="s">
        <v>76</v>
      </c>
      <c r="AO8">
        <v>1</v>
      </c>
      <c r="AP8">
        <v>0</v>
      </c>
      <c r="AQ8">
        <v>16666.666666666668</v>
      </c>
      <c r="AR8" t="s">
        <v>212</v>
      </c>
      <c r="AS8" t="s">
        <v>78</v>
      </c>
      <c r="AX8" t="s">
        <v>79</v>
      </c>
      <c r="AY8" t="s">
        <v>74</v>
      </c>
      <c r="AZ8">
        <v>0</v>
      </c>
      <c r="BA8" t="s">
        <v>74</v>
      </c>
      <c r="BB8">
        <v>0</v>
      </c>
      <c r="BD8">
        <v>3.02</v>
      </c>
      <c r="BE8">
        <v>0</v>
      </c>
    </row>
    <row r="9" spans="1:58" ht="12.75">
      <c r="A9" s="2" t="str">
        <f>HYPERLINK("https://ibp.a2mac1.com/costing(costing:projects/details/8191/part/5380837)","Brake Pedal")</f>
        <v>Brake Pedal</v>
      </c>
      <c r="B9">
        <v>5380837</v>
      </c>
      <c r="C9">
        <v>5380834</v>
      </c>
      <c r="E9">
        <v>2.01</v>
      </c>
      <c r="F9">
        <v>0</v>
      </c>
      <c r="G9">
        <v>0</v>
      </c>
      <c r="H9">
        <v>0</v>
      </c>
      <c r="I9" t="s">
        <v>74</v>
      </c>
      <c r="J9">
        <v>0</v>
      </c>
      <c r="K9">
        <v>2.01</v>
      </c>
      <c r="L9">
        <v>0</v>
      </c>
      <c r="M9">
        <v>0</v>
      </c>
      <c r="N9">
        <v>2.01</v>
      </c>
      <c r="O9" t="s">
        <v>74</v>
      </c>
      <c r="P9">
        <v>0</v>
      </c>
      <c r="Q9" t="s">
        <v>74</v>
      </c>
      <c r="R9">
        <v>0</v>
      </c>
      <c r="S9" t="s">
        <v>74</v>
      </c>
      <c r="T9">
        <v>0</v>
      </c>
      <c r="U9" t="s">
        <v>74</v>
      </c>
      <c r="V9">
        <v>0</v>
      </c>
      <c r="W9" t="s">
        <v>74</v>
      </c>
      <c r="X9">
        <v>0</v>
      </c>
      <c r="Y9">
        <v>2.01</v>
      </c>
      <c r="Z9">
        <v>0</v>
      </c>
      <c r="AA9">
        <v>0</v>
      </c>
      <c r="AB9">
        <v>0</v>
      </c>
      <c r="AC9">
        <v>0</v>
      </c>
      <c r="AD9">
        <v>0</v>
      </c>
      <c r="AE9">
        <v>113</v>
      </c>
      <c r="AF9">
        <v>154</v>
      </c>
      <c r="AG9">
        <v>292</v>
      </c>
      <c r="AH9">
        <v>0</v>
      </c>
      <c r="AI9">
        <v>0.93100000000000005</v>
      </c>
      <c r="AK9" t="s">
        <v>213</v>
      </c>
      <c r="AM9">
        <v>200000</v>
      </c>
      <c r="AN9" t="s">
        <v>76</v>
      </c>
      <c r="AO9">
        <v>1</v>
      </c>
      <c r="AP9">
        <v>0</v>
      </c>
      <c r="AQ9">
        <v>16666.666666666668</v>
      </c>
      <c r="AR9" t="s">
        <v>214</v>
      </c>
      <c r="AS9" t="s">
        <v>78</v>
      </c>
      <c r="AX9" t="s">
        <v>79</v>
      </c>
      <c r="AY9" t="s">
        <v>74</v>
      </c>
      <c r="AZ9">
        <v>0</v>
      </c>
      <c r="BA9" t="s">
        <v>74</v>
      </c>
      <c r="BB9">
        <v>0</v>
      </c>
      <c r="BD9">
        <v>2.01</v>
      </c>
      <c r="BE9">
        <v>0</v>
      </c>
    </row>
    <row r="10" spans="1:58" ht="12.75">
      <c r="A10" s="2" t="str">
        <f>HYPERLINK("https://ibp.a2mac1.com/costing(costing:projects/details/8191/part/5380838)","Commodities - Other")</f>
        <v>Commodities - Other</v>
      </c>
      <c r="B10">
        <v>5380838</v>
      </c>
      <c r="C10">
        <v>5380834</v>
      </c>
      <c r="D10" t="s">
        <v>215</v>
      </c>
      <c r="E10">
        <v>0</v>
      </c>
      <c r="F10">
        <v>0</v>
      </c>
      <c r="G10">
        <v>0</v>
      </c>
      <c r="H10">
        <v>0</v>
      </c>
      <c r="I10" t="s">
        <v>137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90</v>
      </c>
      <c r="P10">
        <v>0</v>
      </c>
      <c r="Q10" t="s">
        <v>90</v>
      </c>
      <c r="R10">
        <v>0</v>
      </c>
      <c r="S10" t="s">
        <v>90</v>
      </c>
      <c r="T10">
        <v>0</v>
      </c>
      <c r="U10" t="s">
        <v>216</v>
      </c>
      <c r="V10">
        <v>0</v>
      </c>
      <c r="W10" t="s">
        <v>217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 t="s">
        <v>218</v>
      </c>
      <c r="AM10">
        <v>200000</v>
      </c>
      <c r="AN10" t="s">
        <v>92</v>
      </c>
      <c r="AO10">
        <v>1</v>
      </c>
      <c r="AP10">
        <v>0</v>
      </c>
      <c r="AQ10">
        <v>16666.666666666668</v>
      </c>
      <c r="AR10" t="s">
        <v>9</v>
      </c>
      <c r="AS10" t="s">
        <v>78</v>
      </c>
      <c r="AX10" t="s">
        <v>79</v>
      </c>
      <c r="AY10" t="s">
        <v>137</v>
      </c>
      <c r="AZ10">
        <v>0</v>
      </c>
      <c r="BA10" t="s">
        <v>137</v>
      </c>
      <c r="BB10">
        <v>0</v>
      </c>
      <c r="BE10">
        <v>0</v>
      </c>
    </row>
    <row r="11" spans="1:58" ht="12.75">
      <c r="A11" s="2" t="str">
        <f>HYPERLINK("https://ibp.a2mac1.com/costing(costing:projects/details/8191/part/5380839)","Accelerator Pedal")</f>
        <v>Accelerator Pedal</v>
      </c>
      <c r="B11">
        <v>5380839</v>
      </c>
      <c r="C11">
        <v>5380835</v>
      </c>
      <c r="E11">
        <v>6.19</v>
      </c>
      <c r="F11">
        <v>0</v>
      </c>
      <c r="G11">
        <v>0</v>
      </c>
      <c r="H11">
        <v>0</v>
      </c>
      <c r="I11" t="s">
        <v>74</v>
      </c>
      <c r="J11">
        <v>0</v>
      </c>
      <c r="K11">
        <v>6.19</v>
      </c>
      <c r="L11">
        <v>0</v>
      </c>
      <c r="M11">
        <v>0</v>
      </c>
      <c r="N11">
        <v>6.19</v>
      </c>
      <c r="O11" t="s">
        <v>74</v>
      </c>
      <c r="P11">
        <v>0</v>
      </c>
      <c r="Q11" t="s">
        <v>74</v>
      </c>
      <c r="R11">
        <v>0</v>
      </c>
      <c r="S11" t="s">
        <v>74</v>
      </c>
      <c r="T11">
        <v>0</v>
      </c>
      <c r="U11" t="s">
        <v>74</v>
      </c>
      <c r="V11">
        <v>0</v>
      </c>
      <c r="W11" t="s">
        <v>74</v>
      </c>
      <c r="X11">
        <v>0</v>
      </c>
      <c r="Y11">
        <v>6.19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265</v>
      </c>
      <c r="AF11">
        <v>60</v>
      </c>
      <c r="AG11">
        <v>143</v>
      </c>
      <c r="AH11">
        <v>0</v>
      </c>
      <c r="AI11">
        <v>0.254</v>
      </c>
      <c r="AK11" t="s">
        <v>213</v>
      </c>
      <c r="AM11">
        <v>200000</v>
      </c>
      <c r="AN11" t="s">
        <v>76</v>
      </c>
      <c r="AO11">
        <v>1</v>
      </c>
      <c r="AP11">
        <v>0</v>
      </c>
      <c r="AQ11">
        <v>16666.666666666668</v>
      </c>
      <c r="AR11" t="s">
        <v>222</v>
      </c>
      <c r="AS11" t="s">
        <v>78</v>
      </c>
      <c r="AX11" t="s">
        <v>79</v>
      </c>
      <c r="AY11" t="s">
        <v>74</v>
      </c>
      <c r="AZ11">
        <v>0</v>
      </c>
      <c r="BA11" t="s">
        <v>74</v>
      </c>
      <c r="BB11">
        <v>0</v>
      </c>
      <c r="BD11">
        <v>6.19</v>
      </c>
      <c r="BE11">
        <v>0</v>
      </c>
    </row>
    <row r="12" spans="1:58" ht="12.75">
      <c r="A12" s="2" t="str">
        <f>HYPERLINK("https://ibp.a2mac1.com/costing(costing:projects/details/8191/part/5380858)"," Condenser - Valve Line")</f>
        <v xml:space="preserve"> Condenser - Valve Line</v>
      </c>
      <c r="B12">
        <v>5380858</v>
      </c>
      <c r="C12">
        <v>5380851</v>
      </c>
      <c r="D12" t="s">
        <v>229</v>
      </c>
      <c r="E12">
        <v>3.50</v>
      </c>
      <c r="F12">
        <v>0</v>
      </c>
      <c r="G12">
        <v>0</v>
      </c>
      <c r="H12">
        <v>0</v>
      </c>
      <c r="I12" t="s">
        <v>74</v>
      </c>
      <c r="J12">
        <v>0</v>
      </c>
      <c r="K12">
        <v>3.50</v>
      </c>
      <c r="L12">
        <v>0</v>
      </c>
      <c r="M12">
        <v>0</v>
      </c>
      <c r="N12">
        <v>3.50</v>
      </c>
      <c r="O12" t="s">
        <v>74</v>
      </c>
      <c r="P12">
        <v>0</v>
      </c>
      <c r="Q12" t="s">
        <v>74</v>
      </c>
      <c r="R12">
        <v>0</v>
      </c>
      <c r="S12" t="s">
        <v>74</v>
      </c>
      <c r="T12">
        <v>0</v>
      </c>
      <c r="U12" t="s">
        <v>74</v>
      </c>
      <c r="V12">
        <v>0</v>
      </c>
      <c r="W12" t="s">
        <v>74</v>
      </c>
      <c r="X12">
        <v>0</v>
      </c>
      <c r="Y12">
        <v>3.50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976</v>
      </c>
      <c r="AI12">
        <v>0.17699999999999999</v>
      </c>
      <c r="AK12" t="s">
        <v>213</v>
      </c>
      <c r="AM12">
        <v>200000</v>
      </c>
      <c r="AN12" t="s">
        <v>76</v>
      </c>
      <c r="AO12">
        <v>1</v>
      </c>
      <c r="AP12">
        <v>0</v>
      </c>
      <c r="AQ12">
        <v>16666.666666666668</v>
      </c>
      <c r="AR12" t="s">
        <v>230</v>
      </c>
      <c r="AS12" t="s">
        <v>78</v>
      </c>
      <c r="AX12" t="s">
        <v>79</v>
      </c>
      <c r="AY12" t="s">
        <v>74</v>
      </c>
      <c r="AZ12">
        <v>0</v>
      </c>
      <c r="BA12" t="s">
        <v>74</v>
      </c>
      <c r="BB12">
        <v>0</v>
      </c>
      <c r="BD12">
        <v>3.50</v>
      </c>
      <c r="BE12">
        <v>0</v>
      </c>
    </row>
    <row r="13" spans="1:58" ht="12.75">
      <c r="A13" s="2" t="str">
        <f>HYPERLINK("https://ibp.a2mac1.com/costing(costing:projects/details/8191/part/5380859)"," Valve - Evaporator Line")</f>
        <v xml:space="preserve"> Valve - Evaporator Line</v>
      </c>
      <c r="B13">
        <v>5380859</v>
      </c>
      <c r="C13">
        <v>5380851</v>
      </c>
      <c r="D13" t="s">
        <v>231</v>
      </c>
      <c r="E13">
        <v>1.80</v>
      </c>
      <c r="F13">
        <v>0</v>
      </c>
      <c r="G13">
        <v>0</v>
      </c>
      <c r="H13">
        <v>0</v>
      </c>
      <c r="I13" t="s">
        <v>74</v>
      </c>
      <c r="J13">
        <v>0</v>
      </c>
      <c r="K13">
        <v>1.80</v>
      </c>
      <c r="L13">
        <v>0</v>
      </c>
      <c r="M13">
        <v>0</v>
      </c>
      <c r="N13">
        <v>1.80</v>
      </c>
      <c r="O13" t="s">
        <v>74</v>
      </c>
      <c r="P13">
        <v>0</v>
      </c>
      <c r="Q13" t="s">
        <v>74</v>
      </c>
      <c r="R13">
        <v>0</v>
      </c>
      <c r="S13" t="s">
        <v>74</v>
      </c>
      <c r="T13">
        <v>0</v>
      </c>
      <c r="U13" t="s">
        <v>74</v>
      </c>
      <c r="V13">
        <v>0</v>
      </c>
      <c r="W13" t="s">
        <v>74</v>
      </c>
      <c r="X13">
        <v>0</v>
      </c>
      <c r="Y13">
        <v>1.80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296</v>
      </c>
      <c r="AI13">
        <v>0.053999999999999999</v>
      </c>
      <c r="AK13" t="s">
        <v>213</v>
      </c>
      <c r="AM13">
        <v>200000</v>
      </c>
      <c r="AN13" t="s">
        <v>76</v>
      </c>
      <c r="AO13">
        <v>1</v>
      </c>
      <c r="AP13">
        <v>0</v>
      </c>
      <c r="AQ13">
        <v>16666.666666666668</v>
      </c>
      <c r="AR13" t="s">
        <v>232</v>
      </c>
      <c r="AS13" t="s">
        <v>78</v>
      </c>
      <c r="AX13" t="s">
        <v>79</v>
      </c>
      <c r="AY13" t="s">
        <v>74</v>
      </c>
      <c r="AZ13">
        <v>0</v>
      </c>
      <c r="BA13" t="s">
        <v>74</v>
      </c>
      <c r="BB13">
        <v>0</v>
      </c>
      <c r="BD13">
        <v>1.80</v>
      </c>
      <c r="BE13">
        <v>0</v>
      </c>
    </row>
    <row r="14" spans="1:58" ht="12.75">
      <c r="A14" s="2" t="str">
        <f>HYPERLINK("https://ibp.a2mac1.com/costing(costing:projects/details/8191/part/5380860)"," Valve Coupling Line")</f>
        <v xml:space="preserve"> Valve Coupling Line</v>
      </c>
      <c r="B14">
        <v>5380860</v>
      </c>
      <c r="C14">
        <v>5380851</v>
      </c>
      <c r="D14" t="s">
        <v>233</v>
      </c>
      <c r="E14">
        <v>1.70</v>
      </c>
      <c r="F14">
        <v>0</v>
      </c>
      <c r="G14">
        <v>0</v>
      </c>
      <c r="H14">
        <v>0</v>
      </c>
      <c r="I14" t="s">
        <v>74</v>
      </c>
      <c r="J14">
        <v>0</v>
      </c>
      <c r="K14">
        <v>1.70</v>
      </c>
      <c r="L14">
        <v>0</v>
      </c>
      <c r="M14">
        <v>0</v>
      </c>
      <c r="N14">
        <v>1.70</v>
      </c>
      <c r="O14" t="s">
        <v>74</v>
      </c>
      <c r="P14">
        <v>0</v>
      </c>
      <c r="Q14" t="s">
        <v>74</v>
      </c>
      <c r="R14">
        <v>0</v>
      </c>
      <c r="S14" t="s">
        <v>74</v>
      </c>
      <c r="T14">
        <v>0</v>
      </c>
      <c r="U14" t="s">
        <v>74</v>
      </c>
      <c r="V14">
        <v>0</v>
      </c>
      <c r="W14" t="s">
        <v>74</v>
      </c>
      <c r="X14">
        <v>0</v>
      </c>
      <c r="Y14">
        <v>1.70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338</v>
      </c>
      <c r="AI14">
        <v>0.041000000000000002</v>
      </c>
      <c r="AK14" t="s">
        <v>213</v>
      </c>
      <c r="AM14">
        <v>200000</v>
      </c>
      <c r="AN14" t="s">
        <v>76</v>
      </c>
      <c r="AO14">
        <v>1</v>
      </c>
      <c r="AP14">
        <v>0</v>
      </c>
      <c r="AQ14">
        <v>16666.666666666668</v>
      </c>
      <c r="AR14" t="s">
        <v>234</v>
      </c>
      <c r="AS14" t="s">
        <v>78</v>
      </c>
      <c r="AX14" t="s">
        <v>79</v>
      </c>
      <c r="AY14" t="s">
        <v>74</v>
      </c>
      <c r="AZ14">
        <v>0</v>
      </c>
      <c r="BA14" t="s">
        <v>74</v>
      </c>
      <c r="BB14">
        <v>0</v>
      </c>
      <c r="BD14">
        <v>1.70</v>
      </c>
      <c r="BE14">
        <v>0</v>
      </c>
    </row>
    <row r="15" spans="1:58" ht="12.75">
      <c r="A15" s="2" t="str">
        <f>HYPERLINK("https://ibp.a2mac1.com/costing(costing:projects/details/8191/part/5380861)"," Evaporator - Compressor Line")</f>
        <v xml:space="preserve"> Evaporator - Compressor Line</v>
      </c>
      <c r="B15">
        <v>5380861</v>
      </c>
      <c r="C15">
        <v>5380852</v>
      </c>
      <c r="D15" t="s">
        <v>238</v>
      </c>
      <c r="E15">
        <v>6.30</v>
      </c>
      <c r="F15">
        <v>0</v>
      </c>
      <c r="G15">
        <v>0</v>
      </c>
      <c r="H15">
        <v>0</v>
      </c>
      <c r="I15" t="s">
        <v>74</v>
      </c>
      <c r="J15">
        <v>0</v>
      </c>
      <c r="K15">
        <v>6.30</v>
      </c>
      <c r="L15">
        <v>0</v>
      </c>
      <c r="M15">
        <v>0</v>
      </c>
      <c r="N15">
        <v>6.30</v>
      </c>
      <c r="O15" t="s">
        <v>74</v>
      </c>
      <c r="P15">
        <v>0</v>
      </c>
      <c r="Q15" t="s">
        <v>74</v>
      </c>
      <c r="R15">
        <v>0</v>
      </c>
      <c r="S15" t="s">
        <v>74</v>
      </c>
      <c r="T15">
        <v>0</v>
      </c>
      <c r="U15" t="s">
        <v>74</v>
      </c>
      <c r="V15">
        <v>0</v>
      </c>
      <c r="W15" t="s">
        <v>74</v>
      </c>
      <c r="X15">
        <v>0</v>
      </c>
      <c r="Y15">
        <v>6.30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1486</v>
      </c>
      <c r="AI15">
        <v>0.54300000000000004</v>
      </c>
      <c r="AK15" t="s">
        <v>213</v>
      </c>
      <c r="AM15">
        <v>200000</v>
      </c>
      <c r="AN15" t="s">
        <v>76</v>
      </c>
      <c r="AO15">
        <v>1</v>
      </c>
      <c r="AP15">
        <v>0</v>
      </c>
      <c r="AQ15">
        <v>16666.666666666668</v>
      </c>
      <c r="AR15" t="s">
        <v>239</v>
      </c>
      <c r="AS15" t="s">
        <v>78</v>
      </c>
      <c r="AX15" t="s">
        <v>79</v>
      </c>
      <c r="AY15" t="s">
        <v>74</v>
      </c>
      <c r="AZ15">
        <v>0</v>
      </c>
      <c r="BA15" t="s">
        <v>74</v>
      </c>
      <c r="BB15">
        <v>0</v>
      </c>
      <c r="BD15">
        <v>6.30</v>
      </c>
      <c r="BE15">
        <v>0</v>
      </c>
    </row>
    <row r="16" spans="1:58" ht="12.75">
      <c r="A16" s="2" t="str">
        <f>HYPERLINK("https://ibp.a2mac1.com/costing(costing:projects/details/8191/part/5380862)"," Compressor - Receiver Line")</f>
        <v xml:space="preserve"> Compressor - Receiver Line</v>
      </c>
      <c r="B16">
        <v>5380862</v>
      </c>
      <c r="C16">
        <v>5380852</v>
      </c>
      <c r="D16" t="s">
        <v>240</v>
      </c>
      <c r="E16">
        <v>2.50</v>
      </c>
      <c r="F16">
        <v>0</v>
      </c>
      <c r="G16">
        <v>0</v>
      </c>
      <c r="H16">
        <v>0</v>
      </c>
      <c r="I16" t="s">
        <v>74</v>
      </c>
      <c r="J16">
        <v>0</v>
      </c>
      <c r="K16">
        <v>2.50</v>
      </c>
      <c r="L16">
        <v>0</v>
      </c>
      <c r="M16">
        <v>0</v>
      </c>
      <c r="N16">
        <v>2.50</v>
      </c>
      <c r="O16" t="s">
        <v>74</v>
      </c>
      <c r="P16">
        <v>0</v>
      </c>
      <c r="Q16" t="s">
        <v>74</v>
      </c>
      <c r="R16">
        <v>0</v>
      </c>
      <c r="S16" t="s">
        <v>74</v>
      </c>
      <c r="T16">
        <v>0</v>
      </c>
      <c r="U16" t="s">
        <v>74</v>
      </c>
      <c r="V16">
        <v>0</v>
      </c>
      <c r="W16" t="s">
        <v>74</v>
      </c>
      <c r="X16">
        <v>0</v>
      </c>
      <c r="Y16">
        <v>2.50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558</v>
      </c>
      <c r="AI16">
        <v>0.145</v>
      </c>
      <c r="AK16" t="s">
        <v>213</v>
      </c>
      <c r="AM16">
        <v>200000</v>
      </c>
      <c r="AN16" t="s">
        <v>76</v>
      </c>
      <c r="AO16">
        <v>1</v>
      </c>
      <c r="AP16">
        <v>0</v>
      </c>
      <c r="AQ16">
        <v>16666.666666666668</v>
      </c>
      <c r="AR16" t="s">
        <v>241</v>
      </c>
      <c r="AS16" t="s">
        <v>78</v>
      </c>
      <c r="AX16" t="s">
        <v>79</v>
      </c>
      <c r="AY16" t="s">
        <v>74</v>
      </c>
      <c r="AZ16">
        <v>0</v>
      </c>
      <c r="BA16" t="s">
        <v>74</v>
      </c>
      <c r="BB16">
        <v>0</v>
      </c>
      <c r="BD16">
        <v>2.50</v>
      </c>
      <c r="BE16">
        <v>0</v>
      </c>
    </row>
    <row r="17" spans="1:58" ht="12.75">
      <c r="A17" s="2" t="str">
        <f>HYPERLINK("https://ibp.a2mac1.com/costing(costing:projects/details/8191/part/5380863)"," Compressor - Exchanger Line")</f>
        <v xml:space="preserve"> Compressor - Exchanger Line</v>
      </c>
      <c r="B17">
        <v>5380863</v>
      </c>
      <c r="C17">
        <v>5380852</v>
      </c>
      <c r="D17" t="s">
        <v>242</v>
      </c>
      <c r="E17">
        <v>2.40</v>
      </c>
      <c r="F17">
        <v>0</v>
      </c>
      <c r="G17">
        <v>0</v>
      </c>
      <c r="H17">
        <v>0</v>
      </c>
      <c r="I17" t="s">
        <v>74</v>
      </c>
      <c r="J17">
        <v>0</v>
      </c>
      <c r="K17">
        <v>2.40</v>
      </c>
      <c r="L17">
        <v>0</v>
      </c>
      <c r="M17">
        <v>0</v>
      </c>
      <c r="N17">
        <v>2.40</v>
      </c>
      <c r="O17" t="s">
        <v>74</v>
      </c>
      <c r="P17">
        <v>0</v>
      </c>
      <c r="Q17" t="s">
        <v>74</v>
      </c>
      <c r="R17">
        <v>0</v>
      </c>
      <c r="S17" t="s">
        <v>74</v>
      </c>
      <c r="T17">
        <v>0</v>
      </c>
      <c r="U17" t="s">
        <v>74</v>
      </c>
      <c r="V17">
        <v>0</v>
      </c>
      <c r="W17" t="s">
        <v>74</v>
      </c>
      <c r="X17">
        <v>0</v>
      </c>
      <c r="Y17">
        <v>2.40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290</v>
      </c>
      <c r="AI17">
        <v>0.13</v>
      </c>
      <c r="AK17" t="s">
        <v>213</v>
      </c>
      <c r="AM17">
        <v>200000</v>
      </c>
      <c r="AN17" t="s">
        <v>76</v>
      </c>
      <c r="AO17">
        <v>1</v>
      </c>
      <c r="AP17">
        <v>0</v>
      </c>
      <c r="AQ17">
        <v>16666.666666666668</v>
      </c>
      <c r="AR17" t="s">
        <v>243</v>
      </c>
      <c r="AS17" t="s">
        <v>78</v>
      </c>
      <c r="AX17" t="s">
        <v>79</v>
      </c>
      <c r="AY17" t="s">
        <v>74</v>
      </c>
      <c r="AZ17">
        <v>0</v>
      </c>
      <c r="BA17" t="s">
        <v>74</v>
      </c>
      <c r="BB17">
        <v>0</v>
      </c>
      <c r="BD17">
        <v>2.40</v>
      </c>
      <c r="BE17">
        <v>0</v>
      </c>
    </row>
    <row r="18" spans="1:58" ht="12.75">
      <c r="A18" s="2" t="str">
        <f>HYPERLINK("https://ibp.a2mac1.com/costing(costing:projects/details/8191/part/5380853)"," Valve Actuator 1")</f>
        <v xml:space="preserve"> Valve Actuator 1</v>
      </c>
      <c r="B18">
        <v>5380853</v>
      </c>
      <c r="C18">
        <v>5380849</v>
      </c>
      <c r="D18" t="s">
        <v>249</v>
      </c>
      <c r="E18">
        <v>2.50</v>
      </c>
      <c r="F18">
        <v>0</v>
      </c>
      <c r="G18">
        <v>0</v>
      </c>
      <c r="H18">
        <v>0</v>
      </c>
      <c r="I18" t="s">
        <v>74</v>
      </c>
      <c r="J18">
        <v>0</v>
      </c>
      <c r="K18">
        <v>2.50</v>
      </c>
      <c r="L18">
        <v>0</v>
      </c>
      <c r="M18">
        <v>0</v>
      </c>
      <c r="N18">
        <v>2.50</v>
      </c>
      <c r="O18" t="s">
        <v>74</v>
      </c>
      <c r="P18">
        <v>0</v>
      </c>
      <c r="Q18" t="s">
        <v>74</v>
      </c>
      <c r="R18">
        <v>0</v>
      </c>
      <c r="S18" t="s">
        <v>74</v>
      </c>
      <c r="T18">
        <v>0</v>
      </c>
      <c r="U18" t="s">
        <v>74</v>
      </c>
      <c r="V18">
        <v>0</v>
      </c>
      <c r="W18" t="s">
        <v>74</v>
      </c>
      <c r="X18">
        <v>0</v>
      </c>
      <c r="Y18">
        <v>2.50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26</v>
      </c>
      <c r="AF18">
        <v>53</v>
      </c>
      <c r="AG18">
        <v>23</v>
      </c>
      <c r="AH18">
        <v>0</v>
      </c>
      <c r="AI18">
        <v>0.032000000000000001</v>
      </c>
      <c r="AK18" t="s">
        <v>213</v>
      </c>
      <c r="AM18">
        <v>200000</v>
      </c>
      <c r="AN18" t="s">
        <v>76</v>
      </c>
      <c r="AO18">
        <v>1</v>
      </c>
      <c r="AP18">
        <v>0</v>
      </c>
      <c r="AQ18">
        <v>16666.666666666668</v>
      </c>
      <c r="AR18" t="s">
        <v>250</v>
      </c>
      <c r="AS18" t="s">
        <v>78</v>
      </c>
      <c r="AX18" t="s">
        <v>79</v>
      </c>
      <c r="AY18" t="s">
        <v>74</v>
      </c>
      <c r="AZ18">
        <v>0</v>
      </c>
      <c r="BA18" t="s">
        <v>74</v>
      </c>
      <c r="BB18">
        <v>0</v>
      </c>
      <c r="BD18">
        <v>2.50</v>
      </c>
      <c r="BE18">
        <v>0</v>
      </c>
    </row>
    <row r="19" spans="1:58" ht="12.75">
      <c r="A19" s="2" t="str">
        <f>HYPERLINK("https://ibp.a2mac1.com/costing(costing:projects/details/8191/part/5380854)"," Valve Actuator Support")</f>
        <v xml:space="preserve"> Valve Actuator Support</v>
      </c>
      <c r="B19">
        <v>5380854</v>
      </c>
      <c r="C19">
        <v>5380849</v>
      </c>
      <c r="D19" t="s">
        <v>251</v>
      </c>
      <c r="E19">
        <v>0.08</v>
      </c>
      <c r="F19">
        <v>0</v>
      </c>
      <c r="G19">
        <v>0</v>
      </c>
      <c r="H19">
        <v>0</v>
      </c>
      <c r="I19" t="s">
        <v>74</v>
      </c>
      <c r="J19">
        <v>0</v>
      </c>
      <c r="K19">
        <v>0.08</v>
      </c>
      <c r="L19">
        <v>0</v>
      </c>
      <c r="M19">
        <v>0</v>
      </c>
      <c r="N19">
        <v>0.08</v>
      </c>
      <c r="O19" t="s">
        <v>74</v>
      </c>
      <c r="P19">
        <v>0</v>
      </c>
      <c r="Q19" t="s">
        <v>74</v>
      </c>
      <c r="R19">
        <v>0</v>
      </c>
      <c r="S19" t="s">
        <v>74</v>
      </c>
      <c r="T19">
        <v>0</v>
      </c>
      <c r="U19" t="s">
        <v>74</v>
      </c>
      <c r="V19">
        <v>0</v>
      </c>
      <c r="W19" t="s">
        <v>74</v>
      </c>
      <c r="X19">
        <v>0</v>
      </c>
      <c r="Y19">
        <v>0.08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38</v>
      </c>
      <c r="AF19">
        <v>19</v>
      </c>
      <c r="AG19">
        <v>28</v>
      </c>
      <c r="AH19">
        <v>0</v>
      </c>
      <c r="AI19">
        <v>0.012999999999999999</v>
      </c>
      <c r="AK19" t="s">
        <v>75</v>
      </c>
      <c r="AM19">
        <v>200000</v>
      </c>
      <c r="AN19" t="s">
        <v>76</v>
      </c>
      <c r="AO19">
        <v>1</v>
      </c>
      <c r="AP19">
        <v>0</v>
      </c>
      <c r="AQ19">
        <v>16666.666666666668</v>
      </c>
      <c r="AR19" t="s">
        <v>252</v>
      </c>
      <c r="AS19" t="s">
        <v>78</v>
      </c>
      <c r="AX19" t="s">
        <v>79</v>
      </c>
      <c r="AY19" t="s">
        <v>74</v>
      </c>
      <c r="AZ19">
        <v>0</v>
      </c>
      <c r="BA19" t="s">
        <v>74</v>
      </c>
      <c r="BB19">
        <v>0</v>
      </c>
      <c r="BD19">
        <v>0.08</v>
      </c>
      <c r="BE19">
        <v>0</v>
      </c>
    </row>
    <row r="20" spans="1:58" ht="12.75">
      <c r="A20" s="2" t="str">
        <f>HYPERLINK("https://ibp.a2mac1.com/costing(costing:projects/details/8191/part/5380855)"," Valve 1")</f>
        <v xml:space="preserve"> Valve 1</v>
      </c>
      <c r="B20">
        <v>5380855</v>
      </c>
      <c r="C20">
        <v>5380849</v>
      </c>
      <c r="D20" t="s">
        <v>253</v>
      </c>
      <c r="E20">
        <v>3.20</v>
      </c>
      <c r="F20">
        <v>0</v>
      </c>
      <c r="G20">
        <v>0</v>
      </c>
      <c r="H20">
        <v>0</v>
      </c>
      <c r="I20" t="s">
        <v>74</v>
      </c>
      <c r="J20">
        <v>0</v>
      </c>
      <c r="K20">
        <v>3.20</v>
      </c>
      <c r="L20">
        <v>0</v>
      </c>
      <c r="M20">
        <v>0</v>
      </c>
      <c r="N20">
        <v>3.20</v>
      </c>
      <c r="O20" t="s">
        <v>74</v>
      </c>
      <c r="P20">
        <v>0</v>
      </c>
      <c r="Q20" t="s">
        <v>74</v>
      </c>
      <c r="R20">
        <v>0</v>
      </c>
      <c r="S20" t="s">
        <v>74</v>
      </c>
      <c r="T20">
        <v>0</v>
      </c>
      <c r="U20" t="s">
        <v>74</v>
      </c>
      <c r="V20">
        <v>0</v>
      </c>
      <c r="W20" t="s">
        <v>74</v>
      </c>
      <c r="X20">
        <v>0</v>
      </c>
      <c r="Y20">
        <v>3.20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62</v>
      </c>
      <c r="AF20">
        <v>45</v>
      </c>
      <c r="AG20">
        <v>19</v>
      </c>
      <c r="AH20">
        <v>0</v>
      </c>
      <c r="AI20">
        <v>0.048000000000000001</v>
      </c>
      <c r="AK20" t="s">
        <v>213</v>
      </c>
      <c r="AM20">
        <v>200000</v>
      </c>
      <c r="AN20" t="s">
        <v>76</v>
      </c>
      <c r="AO20">
        <v>1</v>
      </c>
      <c r="AP20">
        <v>0</v>
      </c>
      <c r="AQ20">
        <v>16666.666666666668</v>
      </c>
      <c r="AR20" t="s">
        <v>254</v>
      </c>
      <c r="AS20" t="s">
        <v>78</v>
      </c>
      <c r="AX20" t="s">
        <v>79</v>
      </c>
      <c r="AY20" t="s">
        <v>74</v>
      </c>
      <c r="AZ20">
        <v>0</v>
      </c>
      <c r="BA20" t="s">
        <v>74</v>
      </c>
      <c r="BB20">
        <v>0</v>
      </c>
      <c r="BD20">
        <v>3.20</v>
      </c>
      <c r="BE20">
        <v>0</v>
      </c>
    </row>
    <row r="21" spans="1:58" ht="12.75">
      <c r="A21" s="2" t="str">
        <f>HYPERLINK("https://ibp.a2mac1.com/costing(costing:projects/details/8191/part/5380856)"," Valve 1")</f>
        <v xml:space="preserve"> Valve 1</v>
      </c>
      <c r="B21">
        <v>5380856</v>
      </c>
      <c r="C21">
        <v>5380850</v>
      </c>
      <c r="D21" t="s">
        <v>257</v>
      </c>
      <c r="E21">
        <v>4.30</v>
      </c>
      <c r="F21">
        <v>0</v>
      </c>
      <c r="G21">
        <v>0</v>
      </c>
      <c r="H21">
        <v>0</v>
      </c>
      <c r="I21" t="s">
        <v>74</v>
      </c>
      <c r="J21">
        <v>0</v>
      </c>
      <c r="K21">
        <v>4.30</v>
      </c>
      <c r="L21">
        <v>0</v>
      </c>
      <c r="M21">
        <v>0</v>
      </c>
      <c r="N21">
        <v>4.30</v>
      </c>
      <c r="O21" t="s">
        <v>74</v>
      </c>
      <c r="P21">
        <v>0</v>
      </c>
      <c r="Q21" t="s">
        <v>74</v>
      </c>
      <c r="R21">
        <v>0</v>
      </c>
      <c r="S21" t="s">
        <v>74</v>
      </c>
      <c r="T21">
        <v>0</v>
      </c>
      <c r="U21" t="s">
        <v>74</v>
      </c>
      <c r="V21">
        <v>0</v>
      </c>
      <c r="W21" t="s">
        <v>74</v>
      </c>
      <c r="X21">
        <v>0</v>
      </c>
      <c r="Y21">
        <v>4.30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57</v>
      </c>
      <c r="AF21">
        <v>44</v>
      </c>
      <c r="AG21">
        <v>48</v>
      </c>
      <c r="AH21">
        <v>0</v>
      </c>
      <c r="AI21">
        <v>0.18</v>
      </c>
      <c r="AK21" t="s">
        <v>213</v>
      </c>
      <c r="AM21">
        <v>200000</v>
      </c>
      <c r="AN21" t="s">
        <v>76</v>
      </c>
      <c r="AO21">
        <v>1</v>
      </c>
      <c r="AP21">
        <v>0</v>
      </c>
      <c r="AQ21">
        <v>16666.666666666668</v>
      </c>
      <c r="AR21" t="s">
        <v>258</v>
      </c>
      <c r="AS21" t="s">
        <v>78</v>
      </c>
      <c r="AX21" t="s">
        <v>79</v>
      </c>
      <c r="AY21" t="s">
        <v>74</v>
      </c>
      <c r="AZ21">
        <v>0</v>
      </c>
      <c r="BA21" t="s">
        <v>74</v>
      </c>
      <c r="BB21">
        <v>0</v>
      </c>
      <c r="BD21">
        <v>4.30</v>
      </c>
      <c r="BE21">
        <v>0</v>
      </c>
    </row>
    <row r="22" spans="1:58" ht="12.75">
      <c r="A22" s="2" t="str">
        <f>HYPERLINK("https://ibp.a2mac1.com/costing(costing:projects/details/8191/part/5380857)"," Actuator 1")</f>
        <v xml:space="preserve"> Actuator 1</v>
      </c>
      <c r="B22">
        <v>5380857</v>
      </c>
      <c r="C22">
        <v>5380850</v>
      </c>
      <c r="D22" t="s">
        <v>259</v>
      </c>
      <c r="E22">
        <v>3.30</v>
      </c>
      <c r="F22">
        <v>0</v>
      </c>
      <c r="G22">
        <v>0</v>
      </c>
      <c r="H22">
        <v>0</v>
      </c>
      <c r="I22" t="s">
        <v>74</v>
      </c>
      <c r="J22">
        <v>0</v>
      </c>
      <c r="K22">
        <v>3.30</v>
      </c>
      <c r="L22">
        <v>0</v>
      </c>
      <c r="M22">
        <v>0</v>
      </c>
      <c r="N22">
        <v>3.30</v>
      </c>
      <c r="O22" t="s">
        <v>74</v>
      </c>
      <c r="P22">
        <v>0</v>
      </c>
      <c r="Q22" t="s">
        <v>74</v>
      </c>
      <c r="R22">
        <v>0</v>
      </c>
      <c r="S22" t="s">
        <v>74</v>
      </c>
      <c r="T22">
        <v>0</v>
      </c>
      <c r="U22" t="s">
        <v>74</v>
      </c>
      <c r="V22">
        <v>0</v>
      </c>
      <c r="W22" t="s">
        <v>74</v>
      </c>
      <c r="X22">
        <v>0</v>
      </c>
      <c r="Y22">
        <v>3.30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39</v>
      </c>
      <c r="AF22">
        <v>95</v>
      </c>
      <c r="AG22">
        <v>29</v>
      </c>
      <c r="AH22">
        <v>0</v>
      </c>
      <c r="AI22">
        <v>0.070999999999999994</v>
      </c>
      <c r="AK22" t="s">
        <v>213</v>
      </c>
      <c r="AM22">
        <v>200000</v>
      </c>
      <c r="AN22" t="s">
        <v>76</v>
      </c>
      <c r="AO22">
        <v>1</v>
      </c>
      <c r="AP22">
        <v>0</v>
      </c>
      <c r="AQ22">
        <v>16666.666666666668</v>
      </c>
      <c r="AR22" t="s">
        <v>260</v>
      </c>
      <c r="AS22" t="s">
        <v>78</v>
      </c>
      <c r="AX22" t="s">
        <v>79</v>
      </c>
      <c r="AY22" t="s">
        <v>74</v>
      </c>
      <c r="AZ22">
        <v>0</v>
      </c>
      <c r="BA22" t="s">
        <v>74</v>
      </c>
      <c r="BB22">
        <v>0</v>
      </c>
      <c r="BD22">
        <v>3.30</v>
      </c>
      <c r="BE22">
        <v>0</v>
      </c>
    </row>
    <row r="23" spans="1:58" ht="12.75">
      <c r="A23" s="2" t="str">
        <f>HYPERLINK("https://ibp.a2mac1.com/costing(costing:projects/details/8191/part/5380841)"," Pressure Sensor")</f>
        <v xml:space="preserve"> Pressure Sensor</v>
      </c>
      <c r="B23">
        <v>5380841</v>
      </c>
      <c r="C23">
        <v>5380840</v>
      </c>
      <c r="D23" t="s">
        <v>263</v>
      </c>
      <c r="E23">
        <v>6</v>
      </c>
      <c r="F23">
        <v>0</v>
      </c>
      <c r="G23">
        <v>0</v>
      </c>
      <c r="H23">
        <v>0</v>
      </c>
      <c r="I23" t="s">
        <v>74</v>
      </c>
      <c r="J23">
        <v>0</v>
      </c>
      <c r="K23">
        <v>6</v>
      </c>
      <c r="L23">
        <v>0</v>
      </c>
      <c r="M23">
        <v>0</v>
      </c>
      <c r="N23">
        <v>6</v>
      </c>
      <c r="O23" t="s">
        <v>74</v>
      </c>
      <c r="P23">
        <v>0</v>
      </c>
      <c r="Q23" t="s">
        <v>74</v>
      </c>
      <c r="R23">
        <v>0</v>
      </c>
      <c r="S23" t="s">
        <v>74</v>
      </c>
      <c r="T23">
        <v>0</v>
      </c>
      <c r="U23" t="s">
        <v>74</v>
      </c>
      <c r="V23">
        <v>0</v>
      </c>
      <c r="W23" t="s">
        <v>74</v>
      </c>
      <c r="X23">
        <v>0</v>
      </c>
      <c r="Y23">
        <v>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26</v>
      </c>
      <c r="AF23">
        <v>54</v>
      </c>
      <c r="AG23">
        <v>24</v>
      </c>
      <c r="AH23">
        <v>0</v>
      </c>
      <c r="AI23">
        <v>0.019</v>
      </c>
      <c r="AK23" t="s">
        <v>213</v>
      </c>
      <c r="AM23">
        <v>200000</v>
      </c>
      <c r="AN23" t="s">
        <v>76</v>
      </c>
      <c r="AO23">
        <v>1</v>
      </c>
      <c r="AP23">
        <v>0</v>
      </c>
      <c r="AQ23">
        <v>16666.666666666668</v>
      </c>
      <c r="AR23" t="s">
        <v>264</v>
      </c>
      <c r="AS23" t="s">
        <v>78</v>
      </c>
      <c r="AX23" t="s">
        <v>79</v>
      </c>
      <c r="AY23" t="s">
        <v>74</v>
      </c>
      <c r="AZ23">
        <v>0</v>
      </c>
      <c r="BA23" t="s">
        <v>74</v>
      </c>
      <c r="BB23">
        <v>0</v>
      </c>
      <c r="BD23">
        <v>6</v>
      </c>
      <c r="BE23">
        <v>0</v>
      </c>
    </row>
    <row r="24" spans="1:58" ht="12.75">
      <c r="A24" s="2" t="str">
        <f>HYPERLINK("https://ibp.a2mac1.com/costing(costing:projects/details/8191/part/5380842)"," Low Pressure Sensor")</f>
        <v xml:space="preserve"> Low Pressure Sensor</v>
      </c>
      <c r="B24">
        <v>5380842</v>
      </c>
      <c r="C24">
        <v>5380840</v>
      </c>
      <c r="D24" t="s">
        <v>265</v>
      </c>
      <c r="E24">
        <v>6</v>
      </c>
      <c r="F24">
        <v>0</v>
      </c>
      <c r="G24">
        <v>0</v>
      </c>
      <c r="H24">
        <v>0</v>
      </c>
      <c r="I24" t="s">
        <v>74</v>
      </c>
      <c r="J24">
        <v>0</v>
      </c>
      <c r="K24">
        <v>6</v>
      </c>
      <c r="L24">
        <v>0</v>
      </c>
      <c r="M24">
        <v>0</v>
      </c>
      <c r="N24">
        <v>6</v>
      </c>
      <c r="O24" t="s">
        <v>74</v>
      </c>
      <c r="P24">
        <v>0</v>
      </c>
      <c r="Q24" t="s">
        <v>74</v>
      </c>
      <c r="R24">
        <v>0</v>
      </c>
      <c r="S24" t="s">
        <v>74</v>
      </c>
      <c r="T24">
        <v>0</v>
      </c>
      <c r="U24" t="s">
        <v>74</v>
      </c>
      <c r="V24">
        <v>0</v>
      </c>
      <c r="W24" t="s">
        <v>74</v>
      </c>
      <c r="X24">
        <v>0</v>
      </c>
      <c r="Y24">
        <v>6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26</v>
      </c>
      <c r="AF24">
        <v>48</v>
      </c>
      <c r="AG24">
        <v>24</v>
      </c>
      <c r="AH24">
        <v>0</v>
      </c>
      <c r="AI24">
        <v>0.016</v>
      </c>
      <c r="AK24" t="s">
        <v>213</v>
      </c>
      <c r="AM24">
        <v>200000</v>
      </c>
      <c r="AN24" t="s">
        <v>76</v>
      </c>
      <c r="AO24">
        <v>1</v>
      </c>
      <c r="AP24">
        <v>0</v>
      </c>
      <c r="AQ24">
        <v>16666.666666666668</v>
      </c>
      <c r="AR24" t="s">
        <v>266</v>
      </c>
      <c r="AS24" t="s">
        <v>78</v>
      </c>
      <c r="AX24" t="s">
        <v>79</v>
      </c>
      <c r="AY24" t="s">
        <v>74</v>
      </c>
      <c r="AZ24">
        <v>0</v>
      </c>
      <c r="BA24" t="s">
        <v>74</v>
      </c>
      <c r="BB24">
        <v>0</v>
      </c>
      <c r="BD24">
        <v>6</v>
      </c>
      <c r="BE24">
        <v>0</v>
      </c>
    </row>
    <row r="25" spans="1:58" ht="12.75">
      <c r="A25" s="2" t="str">
        <f>HYPERLINK("https://ibp.a2mac1.com/costing(costing:projects/details/8191/part/5380843)"," Compressor")</f>
        <v xml:space="preserve"> Compressor</v>
      </c>
      <c r="B25">
        <v>5380843</v>
      </c>
      <c r="C25">
        <v>5380840</v>
      </c>
      <c r="D25" t="s">
        <v>267</v>
      </c>
      <c r="E25">
        <v>138</v>
      </c>
      <c r="F25">
        <v>0</v>
      </c>
      <c r="G25">
        <v>0</v>
      </c>
      <c r="H25">
        <v>0</v>
      </c>
      <c r="I25" t="s">
        <v>74</v>
      </c>
      <c r="J25">
        <v>0</v>
      </c>
      <c r="K25">
        <v>138</v>
      </c>
      <c r="L25">
        <v>0</v>
      </c>
      <c r="M25">
        <v>0</v>
      </c>
      <c r="N25">
        <v>138</v>
      </c>
      <c r="O25" t="s">
        <v>74</v>
      </c>
      <c r="P25">
        <v>0</v>
      </c>
      <c r="Q25" t="s">
        <v>74</v>
      </c>
      <c r="R25">
        <v>0</v>
      </c>
      <c r="S25" t="s">
        <v>74</v>
      </c>
      <c r="T25">
        <v>0</v>
      </c>
      <c r="U25" t="s">
        <v>74</v>
      </c>
      <c r="V25">
        <v>0</v>
      </c>
      <c r="W25" t="s">
        <v>74</v>
      </c>
      <c r="X25">
        <v>0</v>
      </c>
      <c r="Y25">
        <v>138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231</v>
      </c>
      <c r="AF25">
        <v>184</v>
      </c>
      <c r="AG25">
        <v>156</v>
      </c>
      <c r="AH25">
        <v>0</v>
      </c>
      <c r="AI25">
        <v>6.1929999999999996</v>
      </c>
      <c r="AK25" t="s">
        <v>213</v>
      </c>
      <c r="AM25">
        <v>200000</v>
      </c>
      <c r="AN25" t="s">
        <v>76</v>
      </c>
      <c r="AO25">
        <v>1</v>
      </c>
      <c r="AP25">
        <v>0</v>
      </c>
      <c r="AQ25">
        <v>16666.666666666668</v>
      </c>
      <c r="AR25" t="s">
        <v>268</v>
      </c>
      <c r="AS25" t="s">
        <v>78</v>
      </c>
      <c r="AX25" t="s">
        <v>79</v>
      </c>
      <c r="AY25" t="s">
        <v>74</v>
      </c>
      <c r="AZ25">
        <v>0</v>
      </c>
      <c r="BA25" t="s">
        <v>74</v>
      </c>
      <c r="BB25">
        <v>0</v>
      </c>
      <c r="BD25">
        <v>138</v>
      </c>
      <c r="BE25">
        <v>0</v>
      </c>
    </row>
    <row r="26" spans="1:58" ht="12.75">
      <c r="A26" s="2" t="str">
        <f>HYPERLINK("https://ibp.a2mac1.com/costing(costing:projects/details/8191/part/5380844)"," Compressor Support")</f>
        <v xml:space="preserve"> Compressor Support</v>
      </c>
      <c r="B26">
        <v>5380844</v>
      </c>
      <c r="C26">
        <v>5380840</v>
      </c>
      <c r="D26" t="s">
        <v>269</v>
      </c>
      <c r="E26">
        <v>0.049000000000000002</v>
      </c>
      <c r="F26">
        <v>0</v>
      </c>
      <c r="G26">
        <v>0</v>
      </c>
      <c r="H26">
        <v>0</v>
      </c>
      <c r="I26" t="s">
        <v>74</v>
      </c>
      <c r="J26">
        <v>0</v>
      </c>
      <c r="K26">
        <v>0.049000000000000002</v>
      </c>
      <c r="L26">
        <v>0</v>
      </c>
      <c r="M26">
        <v>0</v>
      </c>
      <c r="N26">
        <v>0.049000000000000002</v>
      </c>
      <c r="O26" t="s">
        <v>74</v>
      </c>
      <c r="P26">
        <v>0</v>
      </c>
      <c r="Q26" t="s">
        <v>74</v>
      </c>
      <c r="R26">
        <v>0</v>
      </c>
      <c r="S26" t="s">
        <v>74</v>
      </c>
      <c r="T26">
        <v>0</v>
      </c>
      <c r="U26" t="s">
        <v>74</v>
      </c>
      <c r="V26">
        <v>0</v>
      </c>
      <c r="W26" t="s">
        <v>74</v>
      </c>
      <c r="X26">
        <v>0</v>
      </c>
      <c r="Y26">
        <v>0.049000000000000002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280</v>
      </c>
      <c r="AF26">
        <v>33</v>
      </c>
      <c r="AG26">
        <v>181</v>
      </c>
      <c r="AH26">
        <v>0</v>
      </c>
      <c r="AI26">
        <v>0.20799999999999999</v>
      </c>
      <c r="AK26" t="s">
        <v>75</v>
      </c>
      <c r="AM26">
        <v>200000</v>
      </c>
      <c r="AN26" t="s">
        <v>76</v>
      </c>
      <c r="AO26">
        <v>1</v>
      </c>
      <c r="AP26">
        <v>0</v>
      </c>
      <c r="AQ26">
        <v>16666.666666666668</v>
      </c>
      <c r="AR26" t="s">
        <v>270</v>
      </c>
      <c r="AS26" t="s">
        <v>78</v>
      </c>
      <c r="AX26" t="s">
        <v>79</v>
      </c>
      <c r="AY26" t="s">
        <v>74</v>
      </c>
      <c r="AZ26">
        <v>0</v>
      </c>
      <c r="BA26" t="s">
        <v>74</v>
      </c>
      <c r="BB26">
        <v>0</v>
      </c>
      <c r="BD26">
        <v>0.049000000000000002</v>
      </c>
      <c r="BE26">
        <v>0</v>
      </c>
    </row>
    <row r="27" spans="1:58" ht="12.75">
      <c r="A27" s="2" t="str">
        <f>HYPERLINK("https://ibp.a2mac1.com/costing(costing:projects/details/8191/part/5380845)"," Compressor Support 2")</f>
        <v xml:space="preserve"> Compressor Support 2</v>
      </c>
      <c r="B27">
        <v>5380845</v>
      </c>
      <c r="C27">
        <v>5380840</v>
      </c>
      <c r="D27" t="s">
        <v>271</v>
      </c>
      <c r="E27">
        <v>0.05</v>
      </c>
      <c r="F27">
        <v>0</v>
      </c>
      <c r="G27">
        <v>0</v>
      </c>
      <c r="H27">
        <v>0</v>
      </c>
      <c r="I27" t="s">
        <v>74</v>
      </c>
      <c r="J27">
        <v>0</v>
      </c>
      <c r="K27">
        <v>0.05</v>
      </c>
      <c r="L27">
        <v>0</v>
      </c>
      <c r="M27">
        <v>0</v>
      </c>
      <c r="N27">
        <v>0.05</v>
      </c>
      <c r="O27" t="s">
        <v>74</v>
      </c>
      <c r="P27">
        <v>0</v>
      </c>
      <c r="Q27" t="s">
        <v>74</v>
      </c>
      <c r="R27">
        <v>0</v>
      </c>
      <c r="S27" t="s">
        <v>74</v>
      </c>
      <c r="T27">
        <v>0</v>
      </c>
      <c r="U27" t="s">
        <v>74</v>
      </c>
      <c r="V27">
        <v>0</v>
      </c>
      <c r="W27" t="s">
        <v>74</v>
      </c>
      <c r="X27">
        <v>0</v>
      </c>
      <c r="Y27">
        <v>0.05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250</v>
      </c>
      <c r="AF27">
        <v>56</v>
      </c>
      <c r="AG27">
        <v>174</v>
      </c>
      <c r="AH27">
        <v>0</v>
      </c>
      <c r="AI27">
        <v>0.21199999999999999</v>
      </c>
      <c r="AK27" t="s">
        <v>75</v>
      </c>
      <c r="AM27">
        <v>200000</v>
      </c>
      <c r="AN27" t="s">
        <v>76</v>
      </c>
      <c r="AO27">
        <v>1</v>
      </c>
      <c r="AP27">
        <v>0</v>
      </c>
      <c r="AQ27">
        <v>16666.666666666668</v>
      </c>
      <c r="AR27" t="s">
        <v>272</v>
      </c>
      <c r="AS27" t="s">
        <v>78</v>
      </c>
      <c r="AX27" t="s">
        <v>79</v>
      </c>
      <c r="AY27" t="s">
        <v>74</v>
      </c>
      <c r="AZ27">
        <v>0</v>
      </c>
      <c r="BA27" t="s">
        <v>74</v>
      </c>
      <c r="BB27">
        <v>0</v>
      </c>
      <c r="BD27">
        <v>0.05</v>
      </c>
      <c r="BE27">
        <v>0</v>
      </c>
    </row>
    <row r="28" spans="1:58" ht="12.75">
      <c r="A28" s="2" t="str">
        <f>HYPERLINK("https://ibp.a2mac1.com/costing(costing:projects/details/8191/part/5380846)"," Condenser")</f>
        <v xml:space="preserve"> Condenser</v>
      </c>
      <c r="B28">
        <v>5380846</v>
      </c>
      <c r="C28">
        <v>5380840</v>
      </c>
      <c r="D28" t="s">
        <v>277</v>
      </c>
      <c r="E28">
        <v>9.4951453874444436</v>
      </c>
      <c r="F28">
        <v>0</v>
      </c>
      <c r="G28">
        <v>0</v>
      </c>
      <c r="H28">
        <v>0.049531376969555556</v>
      </c>
      <c r="I28" t="s">
        <v>137</v>
      </c>
      <c r="J28">
        <v>0.34260833872222224</v>
      </c>
      <c r="K28">
        <v>9.8872851031362217</v>
      </c>
      <c r="L28">
        <v>2.4629994830931672</v>
      </c>
      <c r="M28">
        <v>8.6204981908260851</v>
      </c>
      <c r="N28">
        <v>18.507783293962305</v>
      </c>
      <c r="O28" t="s">
        <v>138</v>
      </c>
      <c r="P28">
        <v>0.59323710618817338</v>
      </c>
      <c r="Q28" t="s">
        <v>138</v>
      </c>
      <c r="R28">
        <v>0.5172298914495651</v>
      </c>
      <c r="S28" t="s">
        <v>139</v>
      </c>
      <c r="T28">
        <v>2.2209339952754767</v>
      </c>
      <c r="U28" t="s">
        <v>90</v>
      </c>
      <c r="V28">
        <v>0</v>
      </c>
      <c r="W28" t="s">
        <v>90</v>
      </c>
      <c r="X28">
        <v>0</v>
      </c>
      <c r="Y28">
        <v>21.839184286875522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703</v>
      </c>
      <c r="AF28">
        <v>497</v>
      </c>
      <c r="AG28">
        <v>59</v>
      </c>
      <c r="AH28">
        <v>0</v>
      </c>
      <c r="AI28">
        <v>2.173</v>
      </c>
      <c r="AK28" t="s">
        <v>213</v>
      </c>
      <c r="AM28">
        <v>200000</v>
      </c>
      <c r="AN28" t="s">
        <v>76</v>
      </c>
      <c r="AO28">
        <v>1</v>
      </c>
      <c r="AP28">
        <v>0</v>
      </c>
      <c r="AQ28">
        <v>16666.666666666668</v>
      </c>
      <c r="AR28" t="s">
        <v>278</v>
      </c>
      <c r="AS28" t="s">
        <v>78</v>
      </c>
      <c r="AX28" t="s">
        <v>79</v>
      </c>
      <c r="AY28" t="s">
        <v>137</v>
      </c>
      <c r="AZ28">
        <v>0</v>
      </c>
      <c r="BA28" t="s">
        <v>137</v>
      </c>
      <c r="BB28">
        <v>0</v>
      </c>
      <c r="BE28">
        <v>0</v>
      </c>
    </row>
    <row r="29" spans="1:58" ht="12.75">
      <c r="A29" s="2" t="str">
        <f>HYPERLINK("https://ibp.a2mac1.com/costing(costing:projects/details/8191/part/5380847)"," Condenser Protection")</f>
        <v xml:space="preserve"> Condenser Protection</v>
      </c>
      <c r="B29">
        <v>5380847</v>
      </c>
      <c r="C29">
        <v>5380840</v>
      </c>
      <c r="D29" t="s">
        <v>283</v>
      </c>
      <c r="E29">
        <v>1.0687514250000001</v>
      </c>
      <c r="F29">
        <v>0</v>
      </c>
      <c r="G29">
        <v>0</v>
      </c>
      <c r="H29">
        <v>0.0054214357999999999</v>
      </c>
      <c r="I29" t="s">
        <v>137</v>
      </c>
      <c r="J29">
        <v>0.03750005</v>
      </c>
      <c r="K29">
        <v>1.1116729108000001</v>
      </c>
      <c r="L29">
        <v>0.03524321653334362</v>
      </c>
      <c r="M29">
        <v>0.21145929920006173</v>
      </c>
      <c r="N29">
        <v>1.3231322100000618</v>
      </c>
      <c r="O29" t="s">
        <v>138</v>
      </c>
      <c r="P29">
        <v>0.066700374647999994</v>
      </c>
      <c r="Q29" t="s">
        <v>138</v>
      </c>
      <c r="R29">
        <v>0.012687557952003704</v>
      </c>
      <c r="S29" t="s">
        <v>139</v>
      </c>
      <c r="T29">
        <v>0.15877586520000742</v>
      </c>
      <c r="U29" t="s">
        <v>90</v>
      </c>
      <c r="V29">
        <v>0</v>
      </c>
      <c r="W29" t="s">
        <v>90</v>
      </c>
      <c r="X29">
        <v>0</v>
      </c>
      <c r="Y29">
        <v>1.5612960078000728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672</v>
      </c>
      <c r="AF29">
        <v>530</v>
      </c>
      <c r="AG29">
        <v>100</v>
      </c>
      <c r="AH29">
        <v>0</v>
      </c>
      <c r="AI29">
        <v>0.475</v>
      </c>
      <c r="AK29" t="s">
        <v>75</v>
      </c>
      <c r="AM29">
        <v>200000</v>
      </c>
      <c r="AN29" t="s">
        <v>76</v>
      </c>
      <c r="AO29">
        <v>1</v>
      </c>
      <c r="AP29">
        <v>0</v>
      </c>
      <c r="AQ29">
        <v>16666.666666666668</v>
      </c>
      <c r="AR29" t="s">
        <v>284</v>
      </c>
      <c r="AS29" t="s">
        <v>78</v>
      </c>
      <c r="AX29" t="s">
        <v>79</v>
      </c>
      <c r="AY29" t="s">
        <v>137</v>
      </c>
      <c r="AZ29">
        <v>0</v>
      </c>
      <c r="BA29" t="s">
        <v>137</v>
      </c>
      <c r="BB29">
        <v>0</v>
      </c>
      <c r="BE29">
        <v>0</v>
      </c>
    </row>
    <row r="30" spans="1:58" ht="12.75">
      <c r="A30" s="2" t="str">
        <f>HYPERLINK("https://ibp.a2mac1.com/costing(costing:projects/details/8191/part/5380919)","Tank")</f>
        <v>Tank</v>
      </c>
      <c r="B30">
        <v>5380919</v>
      </c>
      <c r="C30">
        <v>5380892</v>
      </c>
      <c r="E30">
        <v>1.01</v>
      </c>
      <c r="F30">
        <v>0</v>
      </c>
      <c r="G30">
        <v>0</v>
      </c>
      <c r="H30">
        <v>0</v>
      </c>
      <c r="I30" t="s">
        <v>74</v>
      </c>
      <c r="J30">
        <v>0</v>
      </c>
      <c r="K30">
        <v>1.01</v>
      </c>
      <c r="L30">
        <v>0</v>
      </c>
      <c r="M30">
        <v>0</v>
      </c>
      <c r="N30">
        <v>1.01</v>
      </c>
      <c r="O30" t="s">
        <v>74</v>
      </c>
      <c r="P30">
        <v>0</v>
      </c>
      <c r="Q30" t="s">
        <v>74</v>
      </c>
      <c r="R30">
        <v>0</v>
      </c>
      <c r="S30" t="s">
        <v>74</v>
      </c>
      <c r="T30">
        <v>0</v>
      </c>
      <c r="U30" t="s">
        <v>74</v>
      </c>
      <c r="V30">
        <v>0</v>
      </c>
      <c r="W30" t="s">
        <v>74</v>
      </c>
      <c r="X30">
        <v>0</v>
      </c>
      <c r="Y30">
        <v>1.01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198</v>
      </c>
      <c r="AF30">
        <v>66</v>
      </c>
      <c r="AG30">
        <v>126</v>
      </c>
      <c r="AH30">
        <v>0</v>
      </c>
      <c r="AI30">
        <v>0.154</v>
      </c>
      <c r="AK30" t="s">
        <v>213</v>
      </c>
      <c r="AM30">
        <v>200000</v>
      </c>
      <c r="AN30" t="s">
        <v>76</v>
      </c>
      <c r="AO30">
        <v>1</v>
      </c>
      <c r="AP30">
        <v>0</v>
      </c>
      <c r="AQ30">
        <v>16666.666666666668</v>
      </c>
      <c r="AR30" t="s">
        <v>290</v>
      </c>
      <c r="AS30" t="s">
        <v>78</v>
      </c>
      <c r="AX30" t="s">
        <v>79</v>
      </c>
      <c r="AY30" t="s">
        <v>74</v>
      </c>
      <c r="AZ30">
        <v>0</v>
      </c>
      <c r="BA30" t="s">
        <v>74</v>
      </c>
      <c r="BB30">
        <v>0</v>
      </c>
      <c r="BD30">
        <v>1.01</v>
      </c>
      <c r="BE30">
        <v>0</v>
      </c>
    </row>
    <row r="31" spans="1:58" ht="12.75">
      <c r="A31" s="2" t="str">
        <f>HYPERLINK("https://ibp.a2mac1.com/costing(costing:projects/details/8191/part/5380920)","Tank filter")</f>
        <v>Tank filter</v>
      </c>
      <c r="B31">
        <v>5380920</v>
      </c>
      <c r="C31">
        <v>5380892</v>
      </c>
      <c r="E31">
        <v>0.04</v>
      </c>
      <c r="F31">
        <v>0</v>
      </c>
      <c r="G31">
        <v>0</v>
      </c>
      <c r="H31">
        <v>0</v>
      </c>
      <c r="I31" t="s">
        <v>74</v>
      </c>
      <c r="J31">
        <v>0</v>
      </c>
      <c r="K31">
        <v>0.04</v>
      </c>
      <c r="L31">
        <v>0</v>
      </c>
      <c r="M31">
        <v>0</v>
      </c>
      <c r="N31">
        <v>0.04</v>
      </c>
      <c r="O31" t="s">
        <v>74</v>
      </c>
      <c r="P31">
        <v>0</v>
      </c>
      <c r="Q31" t="s">
        <v>74</v>
      </c>
      <c r="R31">
        <v>0</v>
      </c>
      <c r="S31" t="s">
        <v>74</v>
      </c>
      <c r="T31">
        <v>0</v>
      </c>
      <c r="U31" t="s">
        <v>74</v>
      </c>
      <c r="V31">
        <v>0</v>
      </c>
      <c r="W31" t="s">
        <v>74</v>
      </c>
      <c r="X31">
        <v>0</v>
      </c>
      <c r="Y31">
        <v>0.04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34</v>
      </c>
      <c r="AF31">
        <v>34</v>
      </c>
      <c r="AG31">
        <v>55</v>
      </c>
      <c r="AH31">
        <v>0</v>
      </c>
      <c r="AI31">
        <v>0.0040000000000000001</v>
      </c>
      <c r="AK31" t="s">
        <v>75</v>
      </c>
      <c r="AM31">
        <v>200000</v>
      </c>
      <c r="AN31" t="s">
        <v>76</v>
      </c>
      <c r="AO31">
        <v>1</v>
      </c>
      <c r="AP31">
        <v>0</v>
      </c>
      <c r="AQ31">
        <v>16666.666666666668</v>
      </c>
      <c r="AR31" t="s">
        <v>291</v>
      </c>
      <c r="AS31" t="s">
        <v>78</v>
      </c>
      <c r="AX31" t="s">
        <v>79</v>
      </c>
      <c r="AY31" t="s">
        <v>74</v>
      </c>
      <c r="AZ31">
        <v>0</v>
      </c>
      <c r="BA31" t="s">
        <v>74</v>
      </c>
      <c r="BB31">
        <v>0</v>
      </c>
      <c r="BD31">
        <v>0.04</v>
      </c>
      <c r="BE31">
        <v>0</v>
      </c>
    </row>
    <row r="32" spans="1:58" ht="12.75">
      <c r="A32" s="2" t="str">
        <f>HYPERLINK("https://ibp.a2mac1.com/costing(costing:projects/details/8191/part/5380921)","Cap")</f>
        <v>Cap</v>
      </c>
      <c r="B32">
        <v>5380921</v>
      </c>
      <c r="C32">
        <v>5380892</v>
      </c>
      <c r="E32">
        <v>0.15</v>
      </c>
      <c r="F32">
        <v>0</v>
      </c>
      <c r="G32">
        <v>0</v>
      </c>
      <c r="H32">
        <v>0</v>
      </c>
      <c r="I32" t="s">
        <v>74</v>
      </c>
      <c r="J32">
        <v>0</v>
      </c>
      <c r="K32">
        <v>0.15</v>
      </c>
      <c r="L32">
        <v>0</v>
      </c>
      <c r="M32">
        <v>0</v>
      </c>
      <c r="N32">
        <v>0.15</v>
      </c>
      <c r="O32" t="s">
        <v>74</v>
      </c>
      <c r="P32">
        <v>0</v>
      </c>
      <c r="Q32" t="s">
        <v>74</v>
      </c>
      <c r="R32">
        <v>0</v>
      </c>
      <c r="S32" t="s">
        <v>74</v>
      </c>
      <c r="T32">
        <v>0</v>
      </c>
      <c r="U32" t="s">
        <v>74</v>
      </c>
      <c r="V32">
        <v>0</v>
      </c>
      <c r="W32" t="s">
        <v>74</v>
      </c>
      <c r="X32">
        <v>0</v>
      </c>
      <c r="Y32">
        <v>0.15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15</v>
      </c>
      <c r="AF32">
        <v>53</v>
      </c>
      <c r="AG32">
        <v>53</v>
      </c>
      <c r="AH32">
        <v>0</v>
      </c>
      <c r="AI32">
        <v>0.012999999999999999</v>
      </c>
      <c r="AK32" t="s">
        <v>75</v>
      </c>
      <c r="AM32">
        <v>200000</v>
      </c>
      <c r="AN32" t="s">
        <v>76</v>
      </c>
      <c r="AO32">
        <v>1</v>
      </c>
      <c r="AP32">
        <v>0</v>
      </c>
      <c r="AQ32">
        <v>16666.666666666668</v>
      </c>
      <c r="AR32" t="s">
        <v>292</v>
      </c>
      <c r="AS32" t="s">
        <v>78</v>
      </c>
      <c r="AX32" t="s">
        <v>79</v>
      </c>
      <c r="AY32" t="s">
        <v>74</v>
      </c>
      <c r="AZ32">
        <v>0</v>
      </c>
      <c r="BA32" t="s">
        <v>74</v>
      </c>
      <c r="BB32">
        <v>0</v>
      </c>
      <c r="BD32">
        <v>0.15</v>
      </c>
      <c r="BE32">
        <v>0</v>
      </c>
    </row>
    <row r="33" spans="1:58" ht="12.75">
      <c r="A33" s="2" t="str">
        <f>HYPERLINK("https://ibp.a2mac1.com/costing(costing:projects/details/8191/part/5380922)","Electric Brake Booster")</f>
        <v>Electric Brake Booster</v>
      </c>
      <c r="B33">
        <v>5380922</v>
      </c>
      <c r="C33">
        <v>5380893</v>
      </c>
      <c r="E33">
        <v>66.22</v>
      </c>
      <c r="F33">
        <v>0</v>
      </c>
      <c r="G33">
        <v>0</v>
      </c>
      <c r="H33">
        <v>0.0013244000000000001</v>
      </c>
      <c r="I33" t="s">
        <v>137</v>
      </c>
      <c r="J33">
        <v>2.3176999999999999</v>
      </c>
      <c r="K33">
        <v>68.539024400000002</v>
      </c>
      <c r="L33">
        <v>2.2496724045900343</v>
      </c>
      <c r="M33">
        <v>7.8738534160651197</v>
      </c>
      <c r="N33">
        <v>76.412877816065119</v>
      </c>
      <c r="O33" t="s">
        <v>138</v>
      </c>
      <c r="P33">
        <v>4.112341464</v>
      </c>
      <c r="Q33" t="s">
        <v>138</v>
      </c>
      <c r="R33">
        <v>0.47243120496390717</v>
      </c>
      <c r="S33" t="s">
        <v>139</v>
      </c>
      <c r="T33">
        <v>9.1695453379278149</v>
      </c>
      <c r="U33" t="s">
        <v>90</v>
      </c>
      <c r="V33">
        <v>0</v>
      </c>
      <c r="W33" t="s">
        <v>90</v>
      </c>
      <c r="X33">
        <v>0</v>
      </c>
      <c r="Y33">
        <v>90.167195822956842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381</v>
      </c>
      <c r="AF33">
        <v>203</v>
      </c>
      <c r="AG33">
        <v>215</v>
      </c>
      <c r="AH33">
        <v>0</v>
      </c>
      <c r="AI33">
        <v>4.415</v>
      </c>
      <c r="AK33" t="s">
        <v>213</v>
      </c>
      <c r="AM33">
        <v>200000</v>
      </c>
      <c r="AN33" t="s">
        <v>76</v>
      </c>
      <c r="AO33">
        <v>1</v>
      </c>
      <c r="AP33">
        <v>0</v>
      </c>
      <c r="AQ33">
        <v>16666.666666666668</v>
      </c>
      <c r="AR33" t="s">
        <v>299</v>
      </c>
      <c r="AS33" t="s">
        <v>78</v>
      </c>
      <c r="AX33" t="s">
        <v>79</v>
      </c>
      <c r="AY33" t="s">
        <v>137</v>
      </c>
      <c r="AZ33">
        <v>0</v>
      </c>
      <c r="BA33" t="s">
        <v>137</v>
      </c>
      <c r="BB33">
        <v>0</v>
      </c>
      <c r="BE33">
        <v>0</v>
      </c>
    </row>
    <row r="34" spans="1:58" ht="12.75">
      <c r="A34" s="2" t="str">
        <f>HYPERLINK("https://ibp.a2mac1.com/costing(costing:projects/details/8191/part/5380890)","Master Cylinder")</f>
        <v>Master Cylinder</v>
      </c>
      <c r="B34">
        <v>5380890</v>
      </c>
      <c r="C34">
        <v>5380885</v>
      </c>
      <c r="E34">
        <v>6.29</v>
      </c>
      <c r="F34">
        <v>0</v>
      </c>
      <c r="G34">
        <v>0</v>
      </c>
      <c r="H34">
        <v>0</v>
      </c>
      <c r="I34" t="s">
        <v>74</v>
      </c>
      <c r="J34">
        <v>0</v>
      </c>
      <c r="K34">
        <v>6.29</v>
      </c>
      <c r="L34">
        <v>0</v>
      </c>
      <c r="M34">
        <v>0</v>
      </c>
      <c r="N34">
        <v>6.29</v>
      </c>
      <c r="O34" t="s">
        <v>74</v>
      </c>
      <c r="P34">
        <v>0</v>
      </c>
      <c r="Q34" t="s">
        <v>74</v>
      </c>
      <c r="R34">
        <v>0</v>
      </c>
      <c r="S34" t="s">
        <v>74</v>
      </c>
      <c r="T34">
        <v>0</v>
      </c>
      <c r="U34" t="s">
        <v>74</v>
      </c>
      <c r="V34">
        <v>0</v>
      </c>
      <c r="W34" t="s">
        <v>74</v>
      </c>
      <c r="X34">
        <v>0</v>
      </c>
      <c r="Y34">
        <v>6.29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173</v>
      </c>
      <c r="AF34">
        <v>94</v>
      </c>
      <c r="AG34">
        <v>68</v>
      </c>
      <c r="AH34">
        <v>0</v>
      </c>
      <c r="AI34">
        <v>0.41099999999999998</v>
      </c>
      <c r="AK34" t="s">
        <v>213</v>
      </c>
      <c r="AM34">
        <v>200000</v>
      </c>
      <c r="AN34" t="s">
        <v>76</v>
      </c>
      <c r="AO34">
        <v>1</v>
      </c>
      <c r="AP34">
        <v>0</v>
      </c>
      <c r="AQ34">
        <v>16666.666666666668</v>
      </c>
      <c r="AR34" t="s">
        <v>301</v>
      </c>
      <c r="AS34" t="s">
        <v>78</v>
      </c>
      <c r="AX34" t="s">
        <v>79</v>
      </c>
      <c r="AY34" t="s">
        <v>74</v>
      </c>
      <c r="AZ34">
        <v>0</v>
      </c>
      <c r="BA34" t="s">
        <v>74</v>
      </c>
      <c r="BB34">
        <v>0</v>
      </c>
      <c r="BD34">
        <v>6.29</v>
      </c>
      <c r="BE34">
        <v>0</v>
      </c>
    </row>
    <row r="35" spans="1:58" ht="12.75">
      <c r="A35" s="2" t="str">
        <f>HYPERLINK("https://ibp.a2mac1.com/costing(costing:projects/details/8191/part/5380891)","Fluid Level Sensor")</f>
        <v>Fluid Level Sensor</v>
      </c>
      <c r="B35">
        <v>5380891</v>
      </c>
      <c r="C35">
        <v>5380885</v>
      </c>
      <c r="E35">
        <v>1.69</v>
      </c>
      <c r="F35">
        <v>0</v>
      </c>
      <c r="G35">
        <v>0</v>
      </c>
      <c r="H35">
        <v>0</v>
      </c>
      <c r="I35" t="s">
        <v>74</v>
      </c>
      <c r="J35">
        <v>0</v>
      </c>
      <c r="K35">
        <v>1.69</v>
      </c>
      <c r="L35">
        <v>0</v>
      </c>
      <c r="M35">
        <v>0</v>
      </c>
      <c r="N35">
        <v>1.69</v>
      </c>
      <c r="O35" t="s">
        <v>74</v>
      </c>
      <c r="P35">
        <v>0</v>
      </c>
      <c r="Q35" t="s">
        <v>74</v>
      </c>
      <c r="R35">
        <v>0</v>
      </c>
      <c r="S35" t="s">
        <v>74</v>
      </c>
      <c r="T35">
        <v>0</v>
      </c>
      <c r="U35" t="s">
        <v>74</v>
      </c>
      <c r="V35">
        <v>0</v>
      </c>
      <c r="W35" t="s">
        <v>74</v>
      </c>
      <c r="X35">
        <v>0</v>
      </c>
      <c r="Y35">
        <v>1.69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36</v>
      </c>
      <c r="AF35">
        <v>18</v>
      </c>
      <c r="AG35">
        <v>73</v>
      </c>
      <c r="AH35">
        <v>0</v>
      </c>
      <c r="AI35">
        <v>0.0080000000000000002</v>
      </c>
      <c r="AK35" t="s">
        <v>213</v>
      </c>
      <c r="AM35">
        <v>200000</v>
      </c>
      <c r="AN35" t="s">
        <v>76</v>
      </c>
      <c r="AO35">
        <v>1</v>
      </c>
      <c r="AP35">
        <v>0</v>
      </c>
      <c r="AQ35">
        <v>16666.666666666668</v>
      </c>
      <c r="AR35" t="s">
        <v>302</v>
      </c>
      <c r="AS35" t="s">
        <v>78</v>
      </c>
      <c r="AX35" t="s">
        <v>79</v>
      </c>
      <c r="AY35" t="s">
        <v>74</v>
      </c>
      <c r="AZ35">
        <v>0</v>
      </c>
      <c r="BA35" t="s">
        <v>74</v>
      </c>
      <c r="BB35">
        <v>0</v>
      </c>
      <c r="BD35">
        <v>1.69</v>
      </c>
      <c r="BE35">
        <v>0</v>
      </c>
    </row>
    <row r="36" spans="1:58" ht="12.75">
      <c r="A36" s="2" t="str">
        <f>HYPERLINK("https://ibp.a2mac1.com/costing(costing:projects/details/8191/part/5380894)","ABS Pump")</f>
        <v>ABS Pump</v>
      </c>
      <c r="B36">
        <v>5380894</v>
      </c>
      <c r="C36">
        <v>5380886</v>
      </c>
      <c r="E36">
        <v>53.935</v>
      </c>
      <c r="F36">
        <v>0</v>
      </c>
      <c r="G36">
        <v>0</v>
      </c>
      <c r="H36">
        <v>0.0010786999999999999</v>
      </c>
      <c r="I36" t="s">
        <v>137</v>
      </c>
      <c r="J36">
        <v>1.8877250000000001</v>
      </c>
      <c r="K36">
        <v>55.823803699999999</v>
      </c>
      <c r="L36">
        <v>3.4094425428727959</v>
      </c>
      <c r="M36">
        <v>11.933048900054786</v>
      </c>
      <c r="N36">
        <v>67.756852600054785</v>
      </c>
      <c r="O36" t="s">
        <v>138</v>
      </c>
      <c r="P36">
        <v>3.3494282219999998</v>
      </c>
      <c r="Q36" t="s">
        <v>138</v>
      </c>
      <c r="R36">
        <v>0.71598293400328716</v>
      </c>
      <c r="S36" t="s">
        <v>139</v>
      </c>
      <c r="T36">
        <v>8.1308223120065737</v>
      </c>
      <c r="U36" t="s">
        <v>90</v>
      </c>
      <c r="V36">
        <v>0</v>
      </c>
      <c r="W36" t="s">
        <v>90</v>
      </c>
      <c r="X36">
        <v>0</v>
      </c>
      <c r="Y36">
        <v>79.95308606806465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116</v>
      </c>
      <c r="AF36">
        <v>132</v>
      </c>
      <c r="AG36">
        <v>115</v>
      </c>
      <c r="AH36">
        <v>0</v>
      </c>
      <c r="AI36">
        <v>1.972</v>
      </c>
      <c r="AK36" t="s">
        <v>213</v>
      </c>
      <c r="AM36">
        <v>200000</v>
      </c>
      <c r="AN36" t="s">
        <v>76</v>
      </c>
      <c r="AO36">
        <v>1</v>
      </c>
      <c r="AP36">
        <v>0</v>
      </c>
      <c r="AQ36">
        <v>16666.666666666668</v>
      </c>
      <c r="AR36" t="s">
        <v>307</v>
      </c>
      <c r="AS36" t="s">
        <v>78</v>
      </c>
      <c r="AX36" t="s">
        <v>79</v>
      </c>
      <c r="AY36" t="s">
        <v>137</v>
      </c>
      <c r="AZ36">
        <v>0</v>
      </c>
      <c r="BA36" t="s">
        <v>137</v>
      </c>
      <c r="BB36">
        <v>0</v>
      </c>
      <c r="BE36">
        <v>0</v>
      </c>
    </row>
    <row r="37" spans="1:58" ht="12.75">
      <c r="A37" s="2" t="str">
        <f>HYPERLINK("https://ibp.a2mac1.com/costing(costing:projects/details/8191/part/5380895)","Fasteners Support")</f>
        <v>Fasteners Support</v>
      </c>
      <c r="B37">
        <v>5380895</v>
      </c>
      <c r="C37">
        <v>5380886</v>
      </c>
      <c r="E37">
        <v>0.38</v>
      </c>
      <c r="F37">
        <v>0</v>
      </c>
      <c r="G37">
        <v>0</v>
      </c>
      <c r="H37">
        <v>0</v>
      </c>
      <c r="I37" t="s">
        <v>74</v>
      </c>
      <c r="J37">
        <v>0</v>
      </c>
      <c r="K37">
        <v>0.38</v>
      </c>
      <c r="L37">
        <v>0</v>
      </c>
      <c r="M37">
        <v>0</v>
      </c>
      <c r="N37">
        <v>0.38</v>
      </c>
      <c r="O37" t="s">
        <v>74</v>
      </c>
      <c r="P37">
        <v>0</v>
      </c>
      <c r="Q37" t="s">
        <v>74</v>
      </c>
      <c r="R37">
        <v>0</v>
      </c>
      <c r="S37" t="s">
        <v>74</v>
      </c>
      <c r="T37">
        <v>0</v>
      </c>
      <c r="U37" t="s">
        <v>74</v>
      </c>
      <c r="V37">
        <v>0</v>
      </c>
      <c r="W37" t="s">
        <v>74</v>
      </c>
      <c r="X37">
        <v>0</v>
      </c>
      <c r="Y37">
        <v>0.38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125</v>
      </c>
      <c r="AF37">
        <v>134</v>
      </c>
      <c r="AG37">
        <v>32</v>
      </c>
      <c r="AH37">
        <v>0</v>
      </c>
      <c r="AI37">
        <v>0.067000000000000004</v>
      </c>
      <c r="AK37" t="s">
        <v>75</v>
      </c>
      <c r="AM37">
        <v>200000</v>
      </c>
      <c r="AN37" t="s">
        <v>76</v>
      </c>
      <c r="AO37">
        <v>1</v>
      </c>
      <c r="AP37">
        <v>0</v>
      </c>
      <c r="AQ37">
        <v>16666.666666666668</v>
      </c>
      <c r="AR37" t="s">
        <v>308</v>
      </c>
      <c r="AS37" t="s">
        <v>78</v>
      </c>
      <c r="AX37" t="s">
        <v>79</v>
      </c>
      <c r="AY37" t="s">
        <v>74</v>
      </c>
      <c r="AZ37">
        <v>0</v>
      </c>
      <c r="BA37" t="s">
        <v>74</v>
      </c>
      <c r="BB37">
        <v>0</v>
      </c>
      <c r="BD37">
        <v>0.38</v>
      </c>
      <c r="BE37">
        <v>0</v>
      </c>
    </row>
    <row r="38" spans="1:58" ht="12.75">
      <c r="A38" s="2" t="str">
        <f>HYPERLINK("https://ibp.a2mac1.com/costing(costing:projects/details/8191/part/5380896)","Support Fastener on Body")</f>
        <v>Support Fastener on Body</v>
      </c>
      <c r="B38">
        <v>5380896</v>
      </c>
      <c r="C38">
        <v>5380886</v>
      </c>
      <c r="E38">
        <v>0.66</v>
      </c>
      <c r="F38">
        <v>0</v>
      </c>
      <c r="G38">
        <v>0</v>
      </c>
      <c r="H38">
        <v>0</v>
      </c>
      <c r="I38" t="s">
        <v>74</v>
      </c>
      <c r="J38">
        <v>0</v>
      </c>
      <c r="K38">
        <v>0.66</v>
      </c>
      <c r="L38">
        <v>0</v>
      </c>
      <c r="M38">
        <v>0</v>
      </c>
      <c r="N38">
        <v>0.66</v>
      </c>
      <c r="O38" t="s">
        <v>74</v>
      </c>
      <c r="P38">
        <v>0</v>
      </c>
      <c r="Q38" t="s">
        <v>74</v>
      </c>
      <c r="R38">
        <v>0</v>
      </c>
      <c r="S38" t="s">
        <v>74</v>
      </c>
      <c r="T38">
        <v>0</v>
      </c>
      <c r="U38" t="s">
        <v>74</v>
      </c>
      <c r="V38">
        <v>0</v>
      </c>
      <c r="W38" t="s">
        <v>74</v>
      </c>
      <c r="X38">
        <v>0</v>
      </c>
      <c r="Y38">
        <v>0.66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157</v>
      </c>
      <c r="AF38">
        <v>160</v>
      </c>
      <c r="AG38">
        <v>147</v>
      </c>
      <c r="AH38">
        <v>0</v>
      </c>
      <c r="AI38">
        <v>0.14099999999999999</v>
      </c>
      <c r="AK38" t="s">
        <v>75</v>
      </c>
      <c r="AM38">
        <v>200000</v>
      </c>
      <c r="AN38" t="s">
        <v>76</v>
      </c>
      <c r="AO38">
        <v>1</v>
      </c>
      <c r="AP38">
        <v>0</v>
      </c>
      <c r="AQ38">
        <v>16666.666666666668</v>
      </c>
      <c r="AR38" t="s">
        <v>309</v>
      </c>
      <c r="AS38" t="s">
        <v>78</v>
      </c>
      <c r="AX38" t="s">
        <v>79</v>
      </c>
      <c r="AY38" t="s">
        <v>74</v>
      </c>
      <c r="AZ38">
        <v>0</v>
      </c>
      <c r="BA38" t="s">
        <v>74</v>
      </c>
      <c r="BB38">
        <v>0</v>
      </c>
      <c r="BD38">
        <v>0.66</v>
      </c>
      <c r="BE38">
        <v>0</v>
      </c>
    </row>
    <row r="39" spans="1:58" ht="12.75">
      <c r="A39" s="2" t="str">
        <f>HYPERLINK("https://ibp.a2mac1.com/costing(costing:projects/details/8191/part/5380897)","Front Left Wheel Pipe")</f>
        <v>Front Left Wheel Pipe</v>
      </c>
      <c r="B39">
        <v>5380897</v>
      </c>
      <c r="C39">
        <v>5380887</v>
      </c>
      <c r="E39">
        <v>2.46</v>
      </c>
      <c r="F39">
        <v>0</v>
      </c>
      <c r="G39">
        <v>0</v>
      </c>
      <c r="H39">
        <v>0</v>
      </c>
      <c r="I39" t="s">
        <v>74</v>
      </c>
      <c r="J39">
        <v>0</v>
      </c>
      <c r="K39">
        <v>2.46</v>
      </c>
      <c r="L39">
        <v>0</v>
      </c>
      <c r="M39">
        <v>0</v>
      </c>
      <c r="N39">
        <v>2.46</v>
      </c>
      <c r="O39" t="s">
        <v>74</v>
      </c>
      <c r="P39">
        <v>0</v>
      </c>
      <c r="Q39" t="s">
        <v>74</v>
      </c>
      <c r="R39">
        <v>0</v>
      </c>
      <c r="S39" t="s">
        <v>74</v>
      </c>
      <c r="T39">
        <v>0</v>
      </c>
      <c r="U39" t="s">
        <v>74</v>
      </c>
      <c r="V39">
        <v>0</v>
      </c>
      <c r="W39" t="s">
        <v>74</v>
      </c>
      <c r="X39">
        <v>0</v>
      </c>
      <c r="Y39">
        <v>2.46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0.13800000000000001</v>
      </c>
      <c r="AK39" t="s">
        <v>75</v>
      </c>
      <c r="AM39">
        <v>200000</v>
      </c>
      <c r="AN39" t="s">
        <v>76</v>
      </c>
      <c r="AO39">
        <v>1</v>
      </c>
      <c r="AP39">
        <v>0</v>
      </c>
      <c r="AQ39">
        <v>16666.666666666668</v>
      </c>
      <c r="AR39" t="s">
        <v>312</v>
      </c>
      <c r="AS39" t="s">
        <v>78</v>
      </c>
      <c r="AX39" t="s">
        <v>79</v>
      </c>
      <c r="AY39" t="s">
        <v>74</v>
      </c>
      <c r="AZ39">
        <v>0</v>
      </c>
      <c r="BA39" t="s">
        <v>74</v>
      </c>
      <c r="BB39">
        <v>0</v>
      </c>
      <c r="BD39">
        <v>2.46</v>
      </c>
      <c r="BE39">
        <v>0</v>
      </c>
    </row>
    <row r="40" spans="1:58" ht="12.75">
      <c r="A40" s="2" t="str">
        <f>HYPERLINK("https://ibp.a2mac1.com/costing(costing:projects/details/8191/part/5380898)","Front Right Wheel Pipe")</f>
        <v>Front Right Wheel Pipe</v>
      </c>
      <c r="B40">
        <v>5380898</v>
      </c>
      <c r="C40">
        <v>5380887</v>
      </c>
      <c r="E40">
        <v>2.10</v>
      </c>
      <c r="F40">
        <v>0</v>
      </c>
      <c r="G40">
        <v>0</v>
      </c>
      <c r="H40">
        <v>0</v>
      </c>
      <c r="I40" t="s">
        <v>74</v>
      </c>
      <c r="J40">
        <v>0</v>
      </c>
      <c r="K40">
        <v>2.10</v>
      </c>
      <c r="L40">
        <v>0</v>
      </c>
      <c r="M40">
        <v>0</v>
      </c>
      <c r="N40">
        <v>2.10</v>
      </c>
      <c r="O40" t="s">
        <v>74</v>
      </c>
      <c r="P40">
        <v>0</v>
      </c>
      <c r="Q40" t="s">
        <v>74</v>
      </c>
      <c r="R40">
        <v>0</v>
      </c>
      <c r="S40" t="s">
        <v>74</v>
      </c>
      <c r="T40">
        <v>0</v>
      </c>
      <c r="U40" t="s">
        <v>74</v>
      </c>
      <c r="V40">
        <v>0</v>
      </c>
      <c r="W40" t="s">
        <v>74</v>
      </c>
      <c r="X40">
        <v>0</v>
      </c>
      <c r="Y40">
        <v>2.10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0.066000000000000003</v>
      </c>
      <c r="AK40" t="s">
        <v>75</v>
      </c>
      <c r="AM40">
        <v>200000</v>
      </c>
      <c r="AN40" t="s">
        <v>76</v>
      </c>
      <c r="AO40">
        <v>1</v>
      </c>
      <c r="AP40">
        <v>0</v>
      </c>
      <c r="AQ40">
        <v>16666.666666666668</v>
      </c>
      <c r="AR40" t="s">
        <v>313</v>
      </c>
      <c r="AS40" t="s">
        <v>78</v>
      </c>
      <c r="AX40" t="s">
        <v>79</v>
      </c>
      <c r="AY40" t="s">
        <v>74</v>
      </c>
      <c r="AZ40">
        <v>0</v>
      </c>
      <c r="BA40" t="s">
        <v>74</v>
      </c>
      <c r="BB40">
        <v>0</v>
      </c>
      <c r="BD40">
        <v>2.10</v>
      </c>
      <c r="BE40">
        <v>0</v>
      </c>
    </row>
    <row r="41" spans="1:58" ht="12.75">
      <c r="A41" s="2" t="str">
        <f>HYPERLINK("https://ibp.a2mac1.com/costing(costing:projects/details/8191/part/5380899)","Rear left wheel pipe")</f>
        <v>Rear left wheel pipe</v>
      </c>
      <c r="B41">
        <v>5380899</v>
      </c>
      <c r="C41">
        <v>5380887</v>
      </c>
      <c r="E41">
        <v>2.40</v>
      </c>
      <c r="F41">
        <v>0</v>
      </c>
      <c r="G41">
        <v>0</v>
      </c>
      <c r="H41">
        <v>0</v>
      </c>
      <c r="I41" t="s">
        <v>74</v>
      </c>
      <c r="J41">
        <v>0</v>
      </c>
      <c r="K41">
        <v>2.40</v>
      </c>
      <c r="L41">
        <v>0</v>
      </c>
      <c r="M41">
        <v>0</v>
      </c>
      <c r="N41">
        <v>2.40</v>
      </c>
      <c r="O41" t="s">
        <v>74</v>
      </c>
      <c r="P41">
        <v>0</v>
      </c>
      <c r="Q41" t="s">
        <v>74</v>
      </c>
      <c r="R41">
        <v>0</v>
      </c>
      <c r="S41" t="s">
        <v>74</v>
      </c>
      <c r="T41">
        <v>0</v>
      </c>
      <c r="U41" t="s">
        <v>74</v>
      </c>
      <c r="V41">
        <v>0</v>
      </c>
      <c r="W41" t="s">
        <v>74</v>
      </c>
      <c r="X41">
        <v>0</v>
      </c>
      <c r="Y41">
        <v>2.40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0.123</v>
      </c>
      <c r="AK41" t="s">
        <v>75</v>
      </c>
      <c r="AM41">
        <v>200000</v>
      </c>
      <c r="AN41" t="s">
        <v>76</v>
      </c>
      <c r="AO41">
        <v>1</v>
      </c>
      <c r="AP41">
        <v>0</v>
      </c>
      <c r="AQ41">
        <v>16666.666666666668</v>
      </c>
      <c r="AR41" t="s">
        <v>314</v>
      </c>
      <c r="AS41" t="s">
        <v>78</v>
      </c>
      <c r="AX41" t="s">
        <v>79</v>
      </c>
      <c r="AY41" t="s">
        <v>74</v>
      </c>
      <c r="AZ41">
        <v>0</v>
      </c>
      <c r="BA41" t="s">
        <v>74</v>
      </c>
      <c r="BB41">
        <v>0</v>
      </c>
      <c r="BD41">
        <v>2.40</v>
      </c>
      <c r="BE41">
        <v>0</v>
      </c>
    </row>
    <row r="42" spans="1:58" ht="12.75">
      <c r="A42" s="2" t="str">
        <f>HYPERLINK("https://ibp.a2mac1.com/costing(costing:projects/details/8191/part/5380900)","Rear Right Wheel Pipe")</f>
        <v>Rear Right Wheel Pipe</v>
      </c>
      <c r="B42">
        <v>5380900</v>
      </c>
      <c r="C42">
        <v>5380887</v>
      </c>
      <c r="E42">
        <v>2.20</v>
      </c>
      <c r="F42">
        <v>0</v>
      </c>
      <c r="G42">
        <v>0</v>
      </c>
      <c r="H42">
        <v>0</v>
      </c>
      <c r="I42" t="s">
        <v>74</v>
      </c>
      <c r="J42">
        <v>0</v>
      </c>
      <c r="K42">
        <v>2.20</v>
      </c>
      <c r="L42">
        <v>0</v>
      </c>
      <c r="M42">
        <v>0</v>
      </c>
      <c r="N42">
        <v>2.20</v>
      </c>
      <c r="O42" t="s">
        <v>74</v>
      </c>
      <c r="P42">
        <v>0</v>
      </c>
      <c r="Q42" t="s">
        <v>74</v>
      </c>
      <c r="R42">
        <v>0</v>
      </c>
      <c r="S42" t="s">
        <v>74</v>
      </c>
      <c r="T42">
        <v>0</v>
      </c>
      <c r="U42" t="s">
        <v>74</v>
      </c>
      <c r="V42">
        <v>0</v>
      </c>
      <c r="W42" t="s">
        <v>74</v>
      </c>
      <c r="X42">
        <v>0</v>
      </c>
      <c r="Y42">
        <v>2.20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0.085</v>
      </c>
      <c r="AK42" t="s">
        <v>75</v>
      </c>
      <c r="AM42">
        <v>200000</v>
      </c>
      <c r="AN42" t="s">
        <v>76</v>
      </c>
      <c r="AO42">
        <v>1</v>
      </c>
      <c r="AP42">
        <v>0</v>
      </c>
      <c r="AQ42">
        <v>16666.666666666668</v>
      </c>
      <c r="AR42" t="s">
        <v>315</v>
      </c>
      <c r="AS42" t="s">
        <v>78</v>
      </c>
      <c r="AX42" t="s">
        <v>79</v>
      </c>
      <c r="AY42" t="s">
        <v>74</v>
      </c>
      <c r="AZ42">
        <v>0</v>
      </c>
      <c r="BA42" t="s">
        <v>74</v>
      </c>
      <c r="BB42">
        <v>0</v>
      </c>
      <c r="BD42">
        <v>2.20</v>
      </c>
      <c r="BE42">
        <v>0</v>
      </c>
    </row>
    <row r="43" spans="1:58" ht="12.75">
      <c r="A43" s="2" t="str">
        <f>HYPERLINK("https://ibp.a2mac1.com/costing(costing:projects/details/8191/part/5380901)","Master Cylinder - ABS Unit Pipe 1")</f>
        <v>Master Cylinder - ABS Unit Pipe 1</v>
      </c>
      <c r="B43">
        <v>5380901</v>
      </c>
      <c r="C43">
        <v>5380887</v>
      </c>
      <c r="E43">
        <v>2.43</v>
      </c>
      <c r="F43">
        <v>0</v>
      </c>
      <c r="G43">
        <v>0</v>
      </c>
      <c r="H43">
        <v>0</v>
      </c>
      <c r="I43" t="s">
        <v>74</v>
      </c>
      <c r="J43">
        <v>0</v>
      </c>
      <c r="K43">
        <v>2.43</v>
      </c>
      <c r="L43">
        <v>0</v>
      </c>
      <c r="M43">
        <v>0</v>
      </c>
      <c r="N43">
        <v>2.43</v>
      </c>
      <c r="O43" t="s">
        <v>74</v>
      </c>
      <c r="P43">
        <v>0</v>
      </c>
      <c r="Q43" t="s">
        <v>74</v>
      </c>
      <c r="R43">
        <v>0</v>
      </c>
      <c r="S43" t="s">
        <v>74</v>
      </c>
      <c r="T43">
        <v>0</v>
      </c>
      <c r="U43" t="s">
        <v>74</v>
      </c>
      <c r="V43">
        <v>0</v>
      </c>
      <c r="W43" t="s">
        <v>74</v>
      </c>
      <c r="X43">
        <v>0</v>
      </c>
      <c r="Y43">
        <v>2.43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0.13100000000000001</v>
      </c>
      <c r="AK43" t="s">
        <v>75</v>
      </c>
      <c r="AM43">
        <v>200000</v>
      </c>
      <c r="AN43" t="s">
        <v>76</v>
      </c>
      <c r="AO43">
        <v>1</v>
      </c>
      <c r="AP43">
        <v>0</v>
      </c>
      <c r="AQ43">
        <v>16666.666666666668</v>
      </c>
      <c r="AR43" t="s">
        <v>316</v>
      </c>
      <c r="AS43" t="s">
        <v>78</v>
      </c>
      <c r="AX43" t="s">
        <v>79</v>
      </c>
      <c r="AY43" t="s">
        <v>74</v>
      </c>
      <c r="AZ43">
        <v>0</v>
      </c>
      <c r="BA43" t="s">
        <v>74</v>
      </c>
      <c r="BB43">
        <v>0</v>
      </c>
      <c r="BD43">
        <v>2.43</v>
      </c>
      <c r="BE43">
        <v>0</v>
      </c>
    </row>
    <row r="44" spans="1:58" ht="12.75">
      <c r="A44" s="2" t="str">
        <f>HYPERLINK("https://ibp.a2mac1.com/costing(costing:projects/details/8191/part/5380902)","Master Cylinder - ABS Unit Pipe 2")</f>
        <v>Master Cylinder - ABS Unit Pipe 2</v>
      </c>
      <c r="B44">
        <v>5380902</v>
      </c>
      <c r="C44">
        <v>5380887</v>
      </c>
      <c r="E44">
        <v>2.49</v>
      </c>
      <c r="F44">
        <v>0</v>
      </c>
      <c r="G44">
        <v>0</v>
      </c>
      <c r="H44">
        <v>0</v>
      </c>
      <c r="I44" t="s">
        <v>74</v>
      </c>
      <c r="J44">
        <v>0</v>
      </c>
      <c r="K44">
        <v>2.49</v>
      </c>
      <c r="L44">
        <v>0</v>
      </c>
      <c r="M44">
        <v>0</v>
      </c>
      <c r="N44">
        <v>2.49</v>
      </c>
      <c r="O44" t="s">
        <v>74</v>
      </c>
      <c r="P44">
        <v>0</v>
      </c>
      <c r="Q44" t="s">
        <v>74</v>
      </c>
      <c r="R44">
        <v>0</v>
      </c>
      <c r="S44" t="s">
        <v>74</v>
      </c>
      <c r="T44">
        <v>0</v>
      </c>
      <c r="U44" t="s">
        <v>74</v>
      </c>
      <c r="V44">
        <v>0</v>
      </c>
      <c r="W44" t="s">
        <v>74</v>
      </c>
      <c r="X44">
        <v>0</v>
      </c>
      <c r="Y44">
        <v>2.49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0.14199999999999999</v>
      </c>
      <c r="AK44" t="s">
        <v>75</v>
      </c>
      <c r="AM44">
        <v>200000</v>
      </c>
      <c r="AN44" t="s">
        <v>76</v>
      </c>
      <c r="AO44">
        <v>1</v>
      </c>
      <c r="AP44">
        <v>0</v>
      </c>
      <c r="AQ44">
        <v>16666.666666666668</v>
      </c>
      <c r="AR44" t="s">
        <v>317</v>
      </c>
      <c r="AS44" t="s">
        <v>78</v>
      </c>
      <c r="AX44" t="s">
        <v>79</v>
      </c>
      <c r="AY44" t="s">
        <v>74</v>
      </c>
      <c r="AZ44">
        <v>0</v>
      </c>
      <c r="BA44" t="s">
        <v>74</v>
      </c>
      <c r="BB44">
        <v>0</v>
      </c>
      <c r="BD44">
        <v>2.49</v>
      </c>
      <c r="BE44">
        <v>0</v>
      </c>
    </row>
    <row r="45" spans="1:58" ht="12.75">
      <c r="A45" s="2" t="str">
        <f>HYPERLINK("https://ibp.a2mac1.com/costing(costing:projects/details/8191/part/5380903)","Rear Right Wheel Connection - ABS Pump Pipe")</f>
        <v>Rear Right Wheel Connection - ABS Pump Pipe</v>
      </c>
      <c r="B45">
        <v>5380903</v>
      </c>
      <c r="C45">
        <v>5380887</v>
      </c>
      <c r="E45">
        <v>2.13</v>
      </c>
      <c r="F45">
        <v>0</v>
      </c>
      <c r="G45">
        <v>0</v>
      </c>
      <c r="H45">
        <v>0</v>
      </c>
      <c r="I45" t="s">
        <v>74</v>
      </c>
      <c r="J45">
        <v>0</v>
      </c>
      <c r="K45">
        <v>2.13</v>
      </c>
      <c r="L45">
        <v>0</v>
      </c>
      <c r="M45">
        <v>0</v>
      </c>
      <c r="N45">
        <v>2.13</v>
      </c>
      <c r="O45" t="s">
        <v>74</v>
      </c>
      <c r="P45">
        <v>0</v>
      </c>
      <c r="Q45" t="s">
        <v>74</v>
      </c>
      <c r="R45">
        <v>0</v>
      </c>
      <c r="S45" t="s">
        <v>74</v>
      </c>
      <c r="T45">
        <v>0</v>
      </c>
      <c r="U45" t="s">
        <v>74</v>
      </c>
      <c r="V45">
        <v>0</v>
      </c>
      <c r="W45" t="s">
        <v>74</v>
      </c>
      <c r="X45">
        <v>0</v>
      </c>
      <c r="Y45">
        <v>2.13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0.071999999999999995</v>
      </c>
      <c r="AK45" t="s">
        <v>75</v>
      </c>
      <c r="AM45">
        <v>200000</v>
      </c>
      <c r="AN45" t="s">
        <v>76</v>
      </c>
      <c r="AO45">
        <v>1</v>
      </c>
      <c r="AP45">
        <v>0</v>
      </c>
      <c r="AQ45">
        <v>16666.666666666668</v>
      </c>
      <c r="AR45" t="s">
        <v>318</v>
      </c>
      <c r="AS45" t="s">
        <v>78</v>
      </c>
      <c r="AX45" t="s">
        <v>79</v>
      </c>
      <c r="AY45" t="s">
        <v>74</v>
      </c>
      <c r="AZ45">
        <v>0</v>
      </c>
      <c r="BA45" t="s">
        <v>74</v>
      </c>
      <c r="BB45">
        <v>0</v>
      </c>
      <c r="BD45">
        <v>2.13</v>
      </c>
      <c r="BE45">
        <v>0</v>
      </c>
    </row>
    <row r="46" spans="1:58" ht="12.75">
      <c r="A46" s="2" t="str">
        <f>HYPERLINK("https://ibp.a2mac1.com/costing(costing:projects/details/8191/part/5380904)","Rear Left Wheel Connection - ABS Pump Pipe")</f>
        <v>Rear Left Wheel Connection - ABS Pump Pipe</v>
      </c>
      <c r="B46">
        <v>5380904</v>
      </c>
      <c r="C46">
        <v>5380887</v>
      </c>
      <c r="E46">
        <v>2.13</v>
      </c>
      <c r="F46">
        <v>0</v>
      </c>
      <c r="G46">
        <v>0</v>
      </c>
      <c r="H46">
        <v>0</v>
      </c>
      <c r="I46" t="s">
        <v>74</v>
      </c>
      <c r="J46">
        <v>0</v>
      </c>
      <c r="K46">
        <v>2.13</v>
      </c>
      <c r="L46">
        <v>0</v>
      </c>
      <c r="M46">
        <v>0</v>
      </c>
      <c r="N46">
        <v>2.13</v>
      </c>
      <c r="O46" t="s">
        <v>74</v>
      </c>
      <c r="P46">
        <v>0</v>
      </c>
      <c r="Q46" t="s">
        <v>74</v>
      </c>
      <c r="R46">
        <v>0</v>
      </c>
      <c r="S46" t="s">
        <v>74</v>
      </c>
      <c r="T46">
        <v>0</v>
      </c>
      <c r="U46" t="s">
        <v>74</v>
      </c>
      <c r="V46">
        <v>0</v>
      </c>
      <c r="W46" t="s">
        <v>74</v>
      </c>
      <c r="X46">
        <v>0</v>
      </c>
      <c r="Y46">
        <v>2.13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0.073999999999999996</v>
      </c>
      <c r="AK46" t="s">
        <v>75</v>
      </c>
      <c r="AM46">
        <v>200000</v>
      </c>
      <c r="AN46" t="s">
        <v>76</v>
      </c>
      <c r="AO46">
        <v>1</v>
      </c>
      <c r="AP46">
        <v>0</v>
      </c>
      <c r="AQ46">
        <v>16666.666666666668</v>
      </c>
      <c r="AR46" t="s">
        <v>319</v>
      </c>
      <c r="AS46" t="s">
        <v>78</v>
      </c>
      <c r="AX46" t="s">
        <v>79</v>
      </c>
      <c r="AY46" t="s">
        <v>74</v>
      </c>
      <c r="AZ46">
        <v>0</v>
      </c>
      <c r="BA46" t="s">
        <v>74</v>
      </c>
      <c r="BB46">
        <v>0</v>
      </c>
      <c r="BD46">
        <v>2.13</v>
      </c>
      <c r="BE46">
        <v>0</v>
      </c>
    </row>
    <row r="47" spans="1:58" ht="12.75">
      <c r="A47" s="2" t="str">
        <f>HYPERLINK("https://ibp.a2mac1.com/costing(costing:projects/details/8191/part/5380905)","Rear Left Wheel Connection 1 - Connection 2")</f>
        <v>Rear Left Wheel Connection 1 - Connection 2</v>
      </c>
      <c r="B47">
        <v>5380905</v>
      </c>
      <c r="C47">
        <v>5380887</v>
      </c>
      <c r="E47">
        <v>2.76</v>
      </c>
      <c r="F47">
        <v>0</v>
      </c>
      <c r="G47">
        <v>0</v>
      </c>
      <c r="H47">
        <v>0</v>
      </c>
      <c r="I47" t="s">
        <v>74</v>
      </c>
      <c r="J47">
        <v>0</v>
      </c>
      <c r="K47">
        <v>2.76</v>
      </c>
      <c r="L47">
        <v>0</v>
      </c>
      <c r="M47">
        <v>0</v>
      </c>
      <c r="N47">
        <v>2.76</v>
      </c>
      <c r="O47" t="s">
        <v>74</v>
      </c>
      <c r="P47">
        <v>0</v>
      </c>
      <c r="Q47" t="s">
        <v>74</v>
      </c>
      <c r="R47">
        <v>0</v>
      </c>
      <c r="S47" t="s">
        <v>74</v>
      </c>
      <c r="T47">
        <v>0</v>
      </c>
      <c r="U47" t="s">
        <v>74</v>
      </c>
      <c r="V47">
        <v>0</v>
      </c>
      <c r="W47" t="s">
        <v>74</v>
      </c>
      <c r="X47">
        <v>0</v>
      </c>
      <c r="Y47">
        <v>2.76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0.21199999999999999</v>
      </c>
      <c r="AK47" t="s">
        <v>75</v>
      </c>
      <c r="AM47">
        <v>200000</v>
      </c>
      <c r="AN47" t="s">
        <v>76</v>
      </c>
      <c r="AO47">
        <v>1</v>
      </c>
      <c r="AP47">
        <v>0</v>
      </c>
      <c r="AQ47">
        <v>16666.666666666668</v>
      </c>
      <c r="AR47" t="s">
        <v>320</v>
      </c>
      <c r="AS47" t="s">
        <v>78</v>
      </c>
      <c r="AX47" t="s">
        <v>79</v>
      </c>
      <c r="AY47" t="s">
        <v>74</v>
      </c>
      <c r="AZ47">
        <v>0</v>
      </c>
      <c r="BA47" t="s">
        <v>74</v>
      </c>
      <c r="BB47">
        <v>0</v>
      </c>
      <c r="BD47">
        <v>2.76</v>
      </c>
      <c r="BE47">
        <v>0</v>
      </c>
    </row>
    <row r="48" spans="1:58" ht="12.75">
      <c r="A48" s="2" t="str">
        <f>HYPERLINK("https://ibp.a2mac1.com/costing(costing:projects/details/8191/part/5380906)","Rear Right Wheel Connection 1 - Connection 2")</f>
        <v>Rear Right Wheel Connection 1 - Connection 2</v>
      </c>
      <c r="B48">
        <v>5380906</v>
      </c>
      <c r="C48">
        <v>5380887</v>
      </c>
      <c r="E48">
        <v>2.76</v>
      </c>
      <c r="F48">
        <v>0</v>
      </c>
      <c r="G48">
        <v>0</v>
      </c>
      <c r="H48">
        <v>0</v>
      </c>
      <c r="I48" t="s">
        <v>74</v>
      </c>
      <c r="J48">
        <v>0</v>
      </c>
      <c r="K48">
        <v>2.76</v>
      </c>
      <c r="L48">
        <v>0</v>
      </c>
      <c r="M48">
        <v>0</v>
      </c>
      <c r="N48">
        <v>2.76</v>
      </c>
      <c r="O48" t="s">
        <v>74</v>
      </c>
      <c r="P48">
        <v>0</v>
      </c>
      <c r="Q48" t="s">
        <v>74</v>
      </c>
      <c r="R48">
        <v>0</v>
      </c>
      <c r="S48" t="s">
        <v>74</v>
      </c>
      <c r="T48">
        <v>0</v>
      </c>
      <c r="U48" t="s">
        <v>74</v>
      </c>
      <c r="V48">
        <v>0</v>
      </c>
      <c r="W48" t="s">
        <v>74</v>
      </c>
      <c r="X48">
        <v>0</v>
      </c>
      <c r="Y48">
        <v>2.76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0.216</v>
      </c>
      <c r="AK48" t="s">
        <v>75</v>
      </c>
      <c r="AM48">
        <v>200000</v>
      </c>
      <c r="AN48" t="s">
        <v>76</v>
      </c>
      <c r="AO48">
        <v>1</v>
      </c>
      <c r="AP48">
        <v>0</v>
      </c>
      <c r="AQ48">
        <v>16666.666666666668</v>
      </c>
      <c r="AR48" t="s">
        <v>321</v>
      </c>
      <c r="AS48" t="s">
        <v>78</v>
      </c>
      <c r="AX48" t="s">
        <v>79</v>
      </c>
      <c r="AY48" t="s">
        <v>74</v>
      </c>
      <c r="AZ48">
        <v>0</v>
      </c>
      <c r="BA48" t="s">
        <v>74</v>
      </c>
      <c r="BB48">
        <v>0</v>
      </c>
      <c r="BD48">
        <v>2.76</v>
      </c>
      <c r="BE48">
        <v>0</v>
      </c>
    </row>
    <row r="49" spans="1:58" ht="12.75">
      <c r="A49" s="2" t="str">
        <f>HYPERLINK("https://ibp.a2mac1.com/costing(costing:projects/details/8191/part/5380952)","Interior")</f>
        <v>Interior</v>
      </c>
      <c r="B49">
        <v>5380952</v>
      </c>
      <c r="C49">
        <v>5380925</v>
      </c>
      <c r="E49">
        <v>7.80</v>
      </c>
      <c r="F49">
        <v>0</v>
      </c>
      <c r="G49">
        <v>0</v>
      </c>
      <c r="H49">
        <v>0</v>
      </c>
      <c r="I49" t="s">
        <v>74</v>
      </c>
      <c r="J49">
        <v>0</v>
      </c>
      <c r="K49">
        <v>7.80</v>
      </c>
      <c r="L49">
        <v>0</v>
      </c>
      <c r="M49">
        <v>0</v>
      </c>
      <c r="N49">
        <v>7.80</v>
      </c>
      <c r="O49" t="s">
        <v>74</v>
      </c>
      <c r="P49">
        <v>0</v>
      </c>
      <c r="Q49" t="s">
        <v>74</v>
      </c>
      <c r="R49">
        <v>0</v>
      </c>
      <c r="S49" t="s">
        <v>74</v>
      </c>
      <c r="T49">
        <v>0</v>
      </c>
      <c r="U49" t="s">
        <v>74</v>
      </c>
      <c r="V49">
        <v>0</v>
      </c>
      <c r="W49" t="s">
        <v>74</v>
      </c>
      <c r="X49">
        <v>0</v>
      </c>
      <c r="Y49">
        <v>7.80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33</v>
      </c>
      <c r="AF49">
        <v>230</v>
      </c>
      <c r="AG49">
        <v>79</v>
      </c>
      <c r="AH49">
        <v>0</v>
      </c>
      <c r="AI49">
        <v>0.874</v>
      </c>
      <c r="AK49" t="s">
        <v>213</v>
      </c>
      <c r="AM49">
        <v>200000</v>
      </c>
      <c r="AN49" t="s">
        <v>76</v>
      </c>
      <c r="AO49">
        <v>1</v>
      </c>
      <c r="AP49">
        <v>0</v>
      </c>
      <c r="AQ49">
        <v>16666.666666666668</v>
      </c>
      <c r="AR49" t="s">
        <v>326</v>
      </c>
      <c r="AS49" t="s">
        <v>78</v>
      </c>
      <c r="AX49" t="s">
        <v>79</v>
      </c>
      <c r="AY49" t="s">
        <v>74</v>
      </c>
      <c r="AZ49">
        <v>0</v>
      </c>
      <c r="BA49" t="s">
        <v>74</v>
      </c>
      <c r="BB49">
        <v>0</v>
      </c>
      <c r="BD49">
        <v>7.80</v>
      </c>
      <c r="BE49">
        <v>0</v>
      </c>
    </row>
    <row r="50" spans="1:58" ht="12.75">
      <c r="A50" s="2" t="str">
        <f>HYPERLINK("https://ibp.a2mac1.com/costing(costing:projects/details/8191/part/5380953)","Exterior")</f>
        <v>Exterior</v>
      </c>
      <c r="B50">
        <v>5380953</v>
      </c>
      <c r="C50">
        <v>5380925</v>
      </c>
      <c r="E50">
        <v>7.76</v>
      </c>
      <c r="F50">
        <v>0</v>
      </c>
      <c r="G50">
        <v>0</v>
      </c>
      <c r="H50">
        <v>0</v>
      </c>
      <c r="I50" t="s">
        <v>74</v>
      </c>
      <c r="J50">
        <v>0</v>
      </c>
      <c r="K50">
        <v>7.76</v>
      </c>
      <c r="L50">
        <v>0</v>
      </c>
      <c r="M50">
        <v>0</v>
      </c>
      <c r="N50">
        <v>7.76</v>
      </c>
      <c r="O50" t="s">
        <v>74</v>
      </c>
      <c r="P50">
        <v>0</v>
      </c>
      <c r="Q50" t="s">
        <v>74</v>
      </c>
      <c r="R50">
        <v>0</v>
      </c>
      <c r="S50" t="s">
        <v>74</v>
      </c>
      <c r="T50">
        <v>0</v>
      </c>
      <c r="U50" t="s">
        <v>74</v>
      </c>
      <c r="V50">
        <v>0</v>
      </c>
      <c r="W50" t="s">
        <v>74</v>
      </c>
      <c r="X50">
        <v>0</v>
      </c>
      <c r="Y50">
        <v>7.76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33</v>
      </c>
      <c r="AF50">
        <v>230</v>
      </c>
      <c r="AG50">
        <v>79</v>
      </c>
      <c r="AH50">
        <v>0</v>
      </c>
      <c r="AI50">
        <v>0.86650000000000005</v>
      </c>
      <c r="AK50" t="s">
        <v>213</v>
      </c>
      <c r="AM50">
        <v>200000</v>
      </c>
      <c r="AN50" t="s">
        <v>76</v>
      </c>
      <c r="AO50">
        <v>1</v>
      </c>
      <c r="AP50">
        <v>0</v>
      </c>
      <c r="AQ50">
        <v>16666.666666666668</v>
      </c>
      <c r="AR50" t="s">
        <v>327</v>
      </c>
      <c r="AS50" t="s">
        <v>78</v>
      </c>
      <c r="AX50" t="s">
        <v>79</v>
      </c>
      <c r="AY50" t="s">
        <v>74</v>
      </c>
      <c r="AZ50">
        <v>0</v>
      </c>
      <c r="BA50" t="s">
        <v>74</v>
      </c>
      <c r="BB50">
        <v>0</v>
      </c>
      <c r="BD50">
        <v>7.76</v>
      </c>
      <c r="BE50">
        <v>0</v>
      </c>
    </row>
    <row r="51" spans="1:58" ht="12.75">
      <c r="A51" s="2" t="str">
        <f>HYPERLINK("https://ibp.a2mac1.com/costing(costing:projects/details/8191/part/5380923)","Caliper Body")</f>
        <v>Caliper Body</v>
      </c>
      <c r="B51">
        <v>5380923</v>
      </c>
      <c r="C51">
        <v>5380911</v>
      </c>
      <c r="E51">
        <v>6.18</v>
      </c>
      <c r="F51">
        <v>0</v>
      </c>
      <c r="G51">
        <v>0</v>
      </c>
      <c r="H51">
        <v>0.0001236</v>
      </c>
      <c r="I51" t="s">
        <v>137</v>
      </c>
      <c r="J51">
        <v>0.21629999999999999</v>
      </c>
      <c r="K51">
        <v>6.3964236000000003</v>
      </c>
      <c r="L51">
        <v>0.75581843102322921</v>
      </c>
      <c r="M51">
        <v>4.5349105861393753</v>
      </c>
      <c r="N51">
        <v>10.931334186139376</v>
      </c>
      <c r="O51" t="s">
        <v>138</v>
      </c>
      <c r="P51">
        <v>0.38378541599999999</v>
      </c>
      <c r="Q51" t="s">
        <v>138</v>
      </c>
      <c r="R51">
        <v>0.27209463516836252</v>
      </c>
      <c r="S51" t="s">
        <v>139</v>
      </c>
      <c r="T51">
        <v>1.3117601023367251</v>
      </c>
      <c r="U51" t="s">
        <v>90</v>
      </c>
      <c r="V51">
        <v>0</v>
      </c>
      <c r="W51" t="s">
        <v>90</v>
      </c>
      <c r="X51">
        <v>0</v>
      </c>
      <c r="Y51">
        <v>12.898974339644463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101</v>
      </c>
      <c r="AF51">
        <v>178</v>
      </c>
      <c r="AG51">
        <v>246</v>
      </c>
      <c r="AH51">
        <v>0</v>
      </c>
      <c r="AI51">
        <v>6.5170000000000003</v>
      </c>
      <c r="AK51" t="s">
        <v>75</v>
      </c>
      <c r="AM51">
        <v>200000</v>
      </c>
      <c r="AN51" t="s">
        <v>76</v>
      </c>
      <c r="AO51">
        <v>1</v>
      </c>
      <c r="AP51">
        <v>0</v>
      </c>
      <c r="AQ51">
        <v>16666.666666666668</v>
      </c>
      <c r="AR51" t="s">
        <v>331</v>
      </c>
      <c r="AS51" t="s">
        <v>78</v>
      </c>
      <c r="AX51" t="s">
        <v>79</v>
      </c>
      <c r="AY51" t="s">
        <v>137</v>
      </c>
      <c r="AZ51">
        <v>0</v>
      </c>
      <c r="BA51" t="s">
        <v>137</v>
      </c>
      <c r="BB51">
        <v>0</v>
      </c>
      <c r="BE51">
        <v>0</v>
      </c>
    </row>
    <row r="52" spans="1:58" ht="12.75">
      <c r="A52" s="2" t="str">
        <f>HYPERLINK("https://ibp.a2mac1.com/costing(costing:projects/details/8191/part/5380924)","Caliper Frame")</f>
        <v>Caliper Frame</v>
      </c>
      <c r="B52">
        <v>5380924</v>
      </c>
      <c r="C52">
        <v>5380911</v>
      </c>
      <c r="E52">
        <v>2.17</v>
      </c>
      <c r="F52">
        <v>0</v>
      </c>
      <c r="G52">
        <v>0</v>
      </c>
      <c r="H52">
        <v>4.3399999999999998E-05</v>
      </c>
      <c r="I52" t="s">
        <v>137</v>
      </c>
      <c r="J52">
        <v>0.075950000000000004</v>
      </c>
      <c r="K52">
        <v>2.2459934000000001</v>
      </c>
      <c r="L52">
        <v>0.3252976978728101</v>
      </c>
      <c r="M52">
        <v>1.9517861872368605</v>
      </c>
      <c r="N52">
        <v>4.1977795872368606</v>
      </c>
      <c r="O52" t="s">
        <v>138</v>
      </c>
      <c r="P52">
        <v>0.13475960400000001</v>
      </c>
      <c r="Q52" t="s">
        <v>138</v>
      </c>
      <c r="R52">
        <v>0.11710717123421163</v>
      </c>
      <c r="S52" t="s">
        <v>139</v>
      </c>
      <c r="T52">
        <v>0.50373355046842327</v>
      </c>
      <c r="U52" t="s">
        <v>90</v>
      </c>
      <c r="V52">
        <v>0</v>
      </c>
      <c r="W52" t="s">
        <v>90</v>
      </c>
      <c r="X52">
        <v>0</v>
      </c>
      <c r="Y52">
        <v>4.9533799129394955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112</v>
      </c>
      <c r="AF52">
        <v>118</v>
      </c>
      <c r="AG52">
        <v>243</v>
      </c>
      <c r="AH52">
        <v>0</v>
      </c>
      <c r="AI52">
        <v>2.1480000000000001</v>
      </c>
      <c r="AK52" t="s">
        <v>75</v>
      </c>
      <c r="AM52">
        <v>200000</v>
      </c>
      <c r="AN52" t="s">
        <v>76</v>
      </c>
      <c r="AO52">
        <v>1</v>
      </c>
      <c r="AP52">
        <v>0</v>
      </c>
      <c r="AQ52">
        <v>16666.666666666668</v>
      </c>
      <c r="AR52" t="s">
        <v>334</v>
      </c>
      <c r="AS52" t="s">
        <v>78</v>
      </c>
      <c r="AX52" t="s">
        <v>79</v>
      </c>
      <c r="AY52" t="s">
        <v>137</v>
      </c>
      <c r="AZ52">
        <v>0</v>
      </c>
      <c r="BA52" t="s">
        <v>137</v>
      </c>
      <c r="BB52">
        <v>0</v>
      </c>
      <c r="BE52">
        <v>0</v>
      </c>
    </row>
    <row r="53" spans="1:58" ht="12.75">
      <c r="A53" s="2" t="str">
        <f>HYPERLINK("https://ibp.a2mac1.com/costing(costing:projects/details/8191/part/5380926)","On Axle")</f>
        <v>On Axle</v>
      </c>
      <c r="B53">
        <v>5380926</v>
      </c>
      <c r="C53">
        <v>5380912</v>
      </c>
      <c r="E53">
        <v>0.37</v>
      </c>
      <c r="F53">
        <v>0</v>
      </c>
      <c r="G53">
        <v>0</v>
      </c>
      <c r="H53">
        <v>0</v>
      </c>
      <c r="I53" t="s">
        <v>74</v>
      </c>
      <c r="J53">
        <v>0</v>
      </c>
      <c r="K53">
        <v>0.37</v>
      </c>
      <c r="L53">
        <v>0</v>
      </c>
      <c r="M53">
        <v>0</v>
      </c>
      <c r="N53">
        <v>0.37</v>
      </c>
      <c r="O53" t="s">
        <v>74</v>
      </c>
      <c r="P53">
        <v>0</v>
      </c>
      <c r="Q53" t="s">
        <v>74</v>
      </c>
      <c r="R53">
        <v>0</v>
      </c>
      <c r="S53" t="s">
        <v>74</v>
      </c>
      <c r="T53">
        <v>0</v>
      </c>
      <c r="U53" t="s">
        <v>74</v>
      </c>
      <c r="V53">
        <v>0</v>
      </c>
      <c r="W53" t="s">
        <v>74</v>
      </c>
      <c r="X53">
        <v>0</v>
      </c>
      <c r="Y53">
        <v>0.37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60</v>
      </c>
      <c r="AF53">
        <v>61</v>
      </c>
      <c r="AG53">
        <v>103</v>
      </c>
      <c r="AH53">
        <v>0</v>
      </c>
      <c r="AI53">
        <v>0.08</v>
      </c>
      <c r="AK53" t="s">
        <v>75</v>
      </c>
      <c r="AM53">
        <v>200000</v>
      </c>
      <c r="AN53" t="s">
        <v>76</v>
      </c>
      <c r="AO53">
        <v>1</v>
      </c>
      <c r="AP53">
        <v>0</v>
      </c>
      <c r="AQ53">
        <v>16666.666666666668</v>
      </c>
      <c r="AR53" t="s">
        <v>337</v>
      </c>
      <c r="AS53" t="s">
        <v>78</v>
      </c>
      <c r="AX53" t="s">
        <v>79</v>
      </c>
      <c r="AY53" t="s">
        <v>74</v>
      </c>
      <c r="AZ53">
        <v>0</v>
      </c>
      <c r="BA53" t="s">
        <v>74</v>
      </c>
      <c r="BB53">
        <v>0</v>
      </c>
      <c r="BD53">
        <v>0.37</v>
      </c>
      <c r="BE53">
        <v>0</v>
      </c>
    </row>
    <row r="54" spans="1:58" ht="12.75">
      <c r="A54" s="2" t="str">
        <f>HYPERLINK("https://ibp.a2mac1.com/costing(costing:projects/details/8191/part/5380927)","2nd On Axle")</f>
        <v>2nd On Axle</v>
      </c>
      <c r="B54">
        <v>5380927</v>
      </c>
      <c r="C54">
        <v>5380912</v>
      </c>
      <c r="E54">
        <v>0.36</v>
      </c>
      <c r="F54">
        <v>0</v>
      </c>
      <c r="G54">
        <v>0</v>
      </c>
      <c r="H54">
        <v>0</v>
      </c>
      <c r="I54" t="s">
        <v>74</v>
      </c>
      <c r="J54">
        <v>0</v>
      </c>
      <c r="K54">
        <v>0.36</v>
      </c>
      <c r="L54">
        <v>0</v>
      </c>
      <c r="M54">
        <v>0</v>
      </c>
      <c r="N54">
        <v>0.36</v>
      </c>
      <c r="O54" t="s">
        <v>74</v>
      </c>
      <c r="P54">
        <v>0</v>
      </c>
      <c r="Q54" t="s">
        <v>74</v>
      </c>
      <c r="R54">
        <v>0</v>
      </c>
      <c r="S54" t="s">
        <v>74</v>
      </c>
      <c r="T54">
        <v>0</v>
      </c>
      <c r="U54" t="s">
        <v>74</v>
      </c>
      <c r="V54">
        <v>0</v>
      </c>
      <c r="W54" t="s">
        <v>74</v>
      </c>
      <c r="X54">
        <v>0</v>
      </c>
      <c r="Y54">
        <v>0.36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75</v>
      </c>
      <c r="AF54">
        <v>110</v>
      </c>
      <c r="AG54">
        <v>82</v>
      </c>
      <c r="AH54">
        <v>0</v>
      </c>
      <c r="AI54">
        <v>0.095</v>
      </c>
      <c r="AK54" t="s">
        <v>75</v>
      </c>
      <c r="AM54">
        <v>200000</v>
      </c>
      <c r="AN54" t="s">
        <v>76</v>
      </c>
      <c r="AO54">
        <v>1</v>
      </c>
      <c r="AP54">
        <v>0</v>
      </c>
      <c r="AQ54">
        <v>16666.666666666668</v>
      </c>
      <c r="AR54" t="s">
        <v>338</v>
      </c>
      <c r="AS54" t="s">
        <v>78</v>
      </c>
      <c r="AX54" t="s">
        <v>79</v>
      </c>
      <c r="AY54" t="s">
        <v>74</v>
      </c>
      <c r="AZ54">
        <v>0</v>
      </c>
      <c r="BA54" t="s">
        <v>74</v>
      </c>
      <c r="BB54">
        <v>0</v>
      </c>
      <c r="BD54">
        <v>0.36</v>
      </c>
      <c r="BE54">
        <v>0</v>
      </c>
    </row>
    <row r="55" spans="1:58" ht="12.75">
      <c r="A55" s="2" t="str">
        <f>HYPERLINK("https://ibp.a2mac1.com/costing(costing:projects/details/8191/part/5380954)","Interior")</f>
        <v>Interior</v>
      </c>
      <c r="B55">
        <v>5380954</v>
      </c>
      <c r="C55">
        <v>5380930</v>
      </c>
      <c r="E55">
        <v>7.80</v>
      </c>
      <c r="F55">
        <v>0</v>
      </c>
      <c r="G55">
        <v>0</v>
      </c>
      <c r="H55">
        <v>0</v>
      </c>
      <c r="I55" t="s">
        <v>74</v>
      </c>
      <c r="J55">
        <v>0</v>
      </c>
      <c r="K55">
        <v>7.80</v>
      </c>
      <c r="L55">
        <v>0</v>
      </c>
      <c r="M55">
        <v>0</v>
      </c>
      <c r="N55">
        <v>7.80</v>
      </c>
      <c r="O55" t="s">
        <v>74</v>
      </c>
      <c r="P55">
        <v>0</v>
      </c>
      <c r="Q55" t="s">
        <v>74</v>
      </c>
      <c r="R55">
        <v>0</v>
      </c>
      <c r="S55" t="s">
        <v>74</v>
      </c>
      <c r="T55">
        <v>0</v>
      </c>
      <c r="U55" t="s">
        <v>74</v>
      </c>
      <c r="V55">
        <v>0</v>
      </c>
      <c r="W55" t="s">
        <v>74</v>
      </c>
      <c r="X55">
        <v>0</v>
      </c>
      <c r="Y55">
        <v>7.80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33</v>
      </c>
      <c r="AF55">
        <v>230</v>
      </c>
      <c r="AG55">
        <v>79</v>
      </c>
      <c r="AH55">
        <v>0</v>
      </c>
      <c r="AI55">
        <v>0.874</v>
      </c>
      <c r="AK55" t="s">
        <v>218</v>
      </c>
      <c r="AM55">
        <v>200000</v>
      </c>
      <c r="AN55" t="s">
        <v>92</v>
      </c>
      <c r="AO55">
        <v>1</v>
      </c>
      <c r="AP55">
        <v>0</v>
      </c>
      <c r="AQ55">
        <v>16666.666666666668</v>
      </c>
      <c r="AR55" t="s">
        <v>9</v>
      </c>
      <c r="AS55" t="s">
        <v>78</v>
      </c>
      <c r="AX55" t="s">
        <v>79</v>
      </c>
      <c r="AY55" t="s">
        <v>74</v>
      </c>
      <c r="AZ55">
        <v>0</v>
      </c>
      <c r="BA55" t="s">
        <v>74</v>
      </c>
      <c r="BB55">
        <v>0</v>
      </c>
      <c r="BD55">
        <v>7.80</v>
      </c>
      <c r="BE55">
        <v>0</v>
      </c>
    </row>
    <row r="56" spans="1:58" ht="12.75">
      <c r="A56" s="2" t="str">
        <f>HYPERLINK("https://ibp.a2mac1.com/costing(costing:projects/details/8191/part/5380955)","Exterior")</f>
        <v>Exterior</v>
      </c>
      <c r="B56">
        <v>5380955</v>
      </c>
      <c r="C56">
        <v>5380930</v>
      </c>
      <c r="E56">
        <v>7.76</v>
      </c>
      <c r="F56">
        <v>0</v>
      </c>
      <c r="G56">
        <v>0</v>
      </c>
      <c r="H56">
        <v>0</v>
      </c>
      <c r="I56" t="s">
        <v>74</v>
      </c>
      <c r="J56">
        <v>0</v>
      </c>
      <c r="K56">
        <v>7.76</v>
      </c>
      <c r="L56">
        <v>0</v>
      </c>
      <c r="M56">
        <v>0</v>
      </c>
      <c r="N56">
        <v>7.76</v>
      </c>
      <c r="O56" t="s">
        <v>74</v>
      </c>
      <c r="P56">
        <v>0</v>
      </c>
      <c r="Q56" t="s">
        <v>74</v>
      </c>
      <c r="R56">
        <v>0</v>
      </c>
      <c r="S56" t="s">
        <v>74</v>
      </c>
      <c r="T56">
        <v>0</v>
      </c>
      <c r="U56" t="s">
        <v>74</v>
      </c>
      <c r="V56">
        <v>0</v>
      </c>
      <c r="W56" t="s">
        <v>74</v>
      </c>
      <c r="X56">
        <v>0</v>
      </c>
      <c r="Y56">
        <v>7.76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33</v>
      </c>
      <c r="AF56">
        <v>230</v>
      </c>
      <c r="AG56">
        <v>79</v>
      </c>
      <c r="AH56">
        <v>0</v>
      </c>
      <c r="AI56">
        <v>0.86650000000000005</v>
      </c>
      <c r="AK56" t="s">
        <v>218</v>
      </c>
      <c r="AM56">
        <v>200000</v>
      </c>
      <c r="AN56" t="s">
        <v>92</v>
      </c>
      <c r="AO56">
        <v>1</v>
      </c>
      <c r="AP56">
        <v>0</v>
      </c>
      <c r="AQ56">
        <v>16666.666666666668</v>
      </c>
      <c r="AR56" t="s">
        <v>9</v>
      </c>
      <c r="AS56" t="s">
        <v>78</v>
      </c>
      <c r="AX56" t="s">
        <v>79</v>
      </c>
      <c r="AY56" t="s">
        <v>74</v>
      </c>
      <c r="AZ56">
        <v>0</v>
      </c>
      <c r="BA56" t="s">
        <v>74</v>
      </c>
      <c r="BB56">
        <v>0</v>
      </c>
      <c r="BD56">
        <v>7.76</v>
      </c>
      <c r="BE56">
        <v>0</v>
      </c>
    </row>
    <row r="57" spans="1:58" ht="12.75">
      <c r="A57" s="2" t="str">
        <f>HYPERLINK("https://ibp.a2mac1.com/costing(costing:projects/details/8191/part/5380928)","Caliper Body")</f>
        <v>Caliper Body</v>
      </c>
      <c r="B57">
        <v>5380928</v>
      </c>
      <c r="C57">
        <v>5380913</v>
      </c>
      <c r="E57">
        <v>6.18</v>
      </c>
      <c r="F57">
        <v>0</v>
      </c>
      <c r="G57">
        <v>0</v>
      </c>
      <c r="H57">
        <v>0.0001236</v>
      </c>
      <c r="I57" t="s">
        <v>137</v>
      </c>
      <c r="J57">
        <v>0.21629999999999999</v>
      </c>
      <c r="K57">
        <v>6.3964236000000003</v>
      </c>
      <c r="L57">
        <v>0.75581843102322921</v>
      </c>
      <c r="M57">
        <v>4.5349105861393753</v>
      </c>
      <c r="N57">
        <v>10.931334186139376</v>
      </c>
      <c r="O57" t="s">
        <v>90</v>
      </c>
      <c r="P57">
        <v>0</v>
      </c>
      <c r="Q57" t="s">
        <v>90</v>
      </c>
      <c r="R57">
        <v>0</v>
      </c>
      <c r="S57" t="s">
        <v>90</v>
      </c>
      <c r="T57">
        <v>0</v>
      </c>
      <c r="U57" t="s">
        <v>216</v>
      </c>
      <c r="V57">
        <v>0.054656670930696878</v>
      </c>
      <c r="W57" t="s">
        <v>217</v>
      </c>
      <c r="X57">
        <v>0.21862668372278751</v>
      </c>
      <c r="Y57">
        <v>11.20461754079286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101</v>
      </c>
      <c r="AF57">
        <v>178</v>
      </c>
      <c r="AG57">
        <v>246</v>
      </c>
      <c r="AH57">
        <v>0</v>
      </c>
      <c r="AI57">
        <v>6.5170000000000003</v>
      </c>
      <c r="AK57" t="s">
        <v>218</v>
      </c>
      <c r="AM57">
        <v>200000</v>
      </c>
      <c r="AN57" t="s">
        <v>92</v>
      </c>
      <c r="AO57">
        <v>1</v>
      </c>
      <c r="AP57">
        <v>0</v>
      </c>
      <c r="AQ57">
        <v>16666.666666666668</v>
      </c>
      <c r="AR57" t="s">
        <v>9</v>
      </c>
      <c r="AS57" t="s">
        <v>78</v>
      </c>
      <c r="AX57" t="s">
        <v>79</v>
      </c>
      <c r="AY57" t="s">
        <v>137</v>
      </c>
      <c r="AZ57">
        <v>0</v>
      </c>
      <c r="BA57" t="s">
        <v>137</v>
      </c>
      <c r="BB57">
        <v>0</v>
      </c>
      <c r="BE57">
        <v>0</v>
      </c>
    </row>
    <row r="58" spans="1:58" ht="12.75">
      <c r="A58" s="2" t="str">
        <f>HYPERLINK("https://ibp.a2mac1.com/costing(costing:projects/details/8191/part/5380929)","Caliper Frame")</f>
        <v>Caliper Frame</v>
      </c>
      <c r="B58">
        <v>5380929</v>
      </c>
      <c r="C58">
        <v>5380913</v>
      </c>
      <c r="E58">
        <v>2.17</v>
      </c>
      <c r="F58">
        <v>0</v>
      </c>
      <c r="G58">
        <v>0</v>
      </c>
      <c r="H58">
        <v>4.3399999999999998E-05</v>
      </c>
      <c r="I58" t="s">
        <v>137</v>
      </c>
      <c r="J58">
        <v>0.075950000000000004</v>
      </c>
      <c r="K58">
        <v>2.2459934000000001</v>
      </c>
      <c r="L58">
        <v>0.3252976978728101</v>
      </c>
      <c r="M58">
        <v>1.9517861872368605</v>
      </c>
      <c r="N58">
        <v>4.1977795872368606</v>
      </c>
      <c r="O58" t="s">
        <v>90</v>
      </c>
      <c r="P58">
        <v>0</v>
      </c>
      <c r="Q58" t="s">
        <v>90</v>
      </c>
      <c r="R58">
        <v>0</v>
      </c>
      <c r="S58" t="s">
        <v>90</v>
      </c>
      <c r="T58">
        <v>0</v>
      </c>
      <c r="U58" t="s">
        <v>216</v>
      </c>
      <c r="V58">
        <v>0.020988897936184303</v>
      </c>
      <c r="W58" t="s">
        <v>217</v>
      </c>
      <c r="X58">
        <v>0.083955591744737212</v>
      </c>
      <c r="Y58">
        <v>4.3027240769177819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112</v>
      </c>
      <c r="AF58">
        <v>118</v>
      </c>
      <c r="AG58">
        <v>243</v>
      </c>
      <c r="AH58">
        <v>0</v>
      </c>
      <c r="AI58">
        <v>2.1480000000000001</v>
      </c>
      <c r="AK58" t="s">
        <v>218</v>
      </c>
      <c r="AM58">
        <v>200000</v>
      </c>
      <c r="AN58" t="s">
        <v>92</v>
      </c>
      <c r="AO58">
        <v>1</v>
      </c>
      <c r="AP58">
        <v>0</v>
      </c>
      <c r="AQ58">
        <v>16666.666666666668</v>
      </c>
      <c r="AR58" t="s">
        <v>9</v>
      </c>
      <c r="AS58" t="s">
        <v>78</v>
      </c>
      <c r="AX58" t="s">
        <v>79</v>
      </c>
      <c r="AY58" t="s">
        <v>137</v>
      </c>
      <c r="AZ58">
        <v>0</v>
      </c>
      <c r="BA58" t="s">
        <v>137</v>
      </c>
      <c r="BB58">
        <v>0</v>
      </c>
      <c r="BE58">
        <v>0</v>
      </c>
    </row>
    <row r="59" spans="1:58" ht="12.75">
      <c r="A59" s="2" t="str">
        <f>HYPERLINK("https://ibp.a2mac1.com/costing(costing:projects/details/8191/part/5380907)","Disc")</f>
        <v>Disc</v>
      </c>
      <c r="B59">
        <v>5380907</v>
      </c>
      <c r="C59">
        <v>5380888</v>
      </c>
      <c r="E59">
        <v>19.56</v>
      </c>
      <c r="F59">
        <v>0</v>
      </c>
      <c r="G59">
        <v>0</v>
      </c>
      <c r="H59">
        <v>0.00039120000000000002</v>
      </c>
      <c r="I59" t="s">
        <v>137</v>
      </c>
      <c r="J59">
        <v>0.68459999999999999</v>
      </c>
      <c r="K59">
        <v>20.244991200000001</v>
      </c>
      <c r="L59">
        <v>4.2194520939637359</v>
      </c>
      <c r="M59">
        <v>25.316712563782414</v>
      </c>
      <c r="N59">
        <v>45.561703763782411</v>
      </c>
      <c r="O59" t="s">
        <v>138</v>
      </c>
      <c r="P59">
        <v>1.2146994719999999</v>
      </c>
      <c r="Q59" t="s">
        <v>138</v>
      </c>
      <c r="R59">
        <v>1.5190027538269448</v>
      </c>
      <c r="S59" t="s">
        <v>139</v>
      </c>
      <c r="T59">
        <v>5.4674044516538896</v>
      </c>
      <c r="U59" t="s">
        <v>90</v>
      </c>
      <c r="V59">
        <v>0</v>
      </c>
      <c r="W59" t="s">
        <v>90</v>
      </c>
      <c r="X59">
        <v>0</v>
      </c>
      <c r="Y59">
        <v>53.762810441263248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51</v>
      </c>
      <c r="AF59">
        <v>357</v>
      </c>
      <c r="AG59">
        <v>357</v>
      </c>
      <c r="AH59">
        <v>0</v>
      </c>
      <c r="AI59">
        <v>11.8255</v>
      </c>
      <c r="AK59" t="s">
        <v>75</v>
      </c>
      <c r="AM59">
        <v>400000</v>
      </c>
      <c r="AN59" t="s">
        <v>76</v>
      </c>
      <c r="AO59">
        <v>2</v>
      </c>
      <c r="AP59">
        <v>0</v>
      </c>
      <c r="AQ59">
        <v>33333.333333333336</v>
      </c>
      <c r="AR59" t="s">
        <v>350</v>
      </c>
      <c r="AS59" t="s">
        <v>78</v>
      </c>
      <c r="AX59" t="s">
        <v>79</v>
      </c>
      <c r="AY59" t="s">
        <v>137</v>
      </c>
      <c r="AZ59">
        <v>0</v>
      </c>
      <c r="BA59" t="s">
        <v>137</v>
      </c>
      <c r="BB59">
        <v>0</v>
      </c>
      <c r="BE59">
        <v>0</v>
      </c>
    </row>
    <row r="60" spans="1:58" ht="12.75">
      <c r="A60" s="2" t="str">
        <f>HYPERLINK("https://ibp.a2mac1.com/costing(costing:projects/details/8191/part/5380908)","Backing Plate")</f>
        <v>Backing Plate</v>
      </c>
      <c r="B60">
        <v>5380908</v>
      </c>
      <c r="C60">
        <v>5380888</v>
      </c>
      <c r="E60">
        <v>2.60</v>
      </c>
      <c r="F60">
        <v>0</v>
      </c>
      <c r="G60">
        <v>0</v>
      </c>
      <c r="H60">
        <v>0</v>
      </c>
      <c r="I60" t="s">
        <v>74</v>
      </c>
      <c r="J60">
        <v>0</v>
      </c>
      <c r="K60">
        <v>2.60</v>
      </c>
      <c r="L60">
        <v>0</v>
      </c>
      <c r="M60">
        <v>0</v>
      </c>
      <c r="N60">
        <v>2.60</v>
      </c>
      <c r="O60" t="s">
        <v>74</v>
      </c>
      <c r="P60">
        <v>0</v>
      </c>
      <c r="Q60" t="s">
        <v>74</v>
      </c>
      <c r="R60">
        <v>0</v>
      </c>
      <c r="S60" t="s">
        <v>74</v>
      </c>
      <c r="T60">
        <v>0</v>
      </c>
      <c r="U60" t="s">
        <v>74</v>
      </c>
      <c r="V60">
        <v>0</v>
      </c>
      <c r="W60" t="s">
        <v>74</v>
      </c>
      <c r="X60">
        <v>0</v>
      </c>
      <c r="Y60">
        <v>2.60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14</v>
      </c>
      <c r="AF60">
        <v>280</v>
      </c>
      <c r="AG60">
        <v>362</v>
      </c>
      <c r="AH60">
        <v>0</v>
      </c>
      <c r="AI60">
        <v>0.17599999999999999</v>
      </c>
      <c r="AK60" t="s">
        <v>91</v>
      </c>
      <c r="AM60">
        <v>400000</v>
      </c>
      <c r="AN60" t="s">
        <v>92</v>
      </c>
      <c r="AO60">
        <v>2</v>
      </c>
      <c r="AP60">
        <v>0</v>
      </c>
      <c r="AQ60">
        <v>33333.333333333336</v>
      </c>
      <c r="AR60" t="s">
        <v>351</v>
      </c>
      <c r="AS60" t="s">
        <v>78</v>
      </c>
      <c r="AX60" t="s">
        <v>79</v>
      </c>
      <c r="AY60" t="s">
        <v>74</v>
      </c>
      <c r="AZ60">
        <v>0</v>
      </c>
      <c r="BA60" t="s">
        <v>74</v>
      </c>
      <c r="BB60">
        <v>0</v>
      </c>
      <c r="BD60">
        <v>1.30</v>
      </c>
      <c r="BE60">
        <v>0</v>
      </c>
    </row>
    <row r="61" spans="1:58" ht="12.75">
      <c r="A61" s="2" t="str">
        <f>HYPERLINK("https://ibp.a2mac1.com/costing(costing:projects/details/8191/part/5380909)","Hose")</f>
        <v>Hose</v>
      </c>
      <c r="B61">
        <v>5380909</v>
      </c>
      <c r="C61">
        <v>5380888</v>
      </c>
      <c r="E61">
        <v>6.48</v>
      </c>
      <c r="F61">
        <v>0</v>
      </c>
      <c r="G61">
        <v>0</v>
      </c>
      <c r="H61">
        <v>0</v>
      </c>
      <c r="I61" t="s">
        <v>74</v>
      </c>
      <c r="J61">
        <v>0</v>
      </c>
      <c r="K61">
        <v>6.48</v>
      </c>
      <c r="L61">
        <v>0</v>
      </c>
      <c r="M61">
        <v>0</v>
      </c>
      <c r="N61">
        <v>6.48</v>
      </c>
      <c r="O61" t="s">
        <v>74</v>
      </c>
      <c r="P61">
        <v>0</v>
      </c>
      <c r="Q61" t="s">
        <v>74</v>
      </c>
      <c r="R61">
        <v>0</v>
      </c>
      <c r="S61" t="s">
        <v>74</v>
      </c>
      <c r="T61">
        <v>0</v>
      </c>
      <c r="U61" t="s">
        <v>74</v>
      </c>
      <c r="V61">
        <v>0</v>
      </c>
      <c r="W61" t="s">
        <v>74</v>
      </c>
      <c r="X61">
        <v>0</v>
      </c>
      <c r="Y61">
        <v>6.48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0.13200000000000001</v>
      </c>
      <c r="AK61" t="s">
        <v>75</v>
      </c>
      <c r="AM61">
        <v>400000</v>
      </c>
      <c r="AN61" t="s">
        <v>76</v>
      </c>
      <c r="AO61">
        <v>2</v>
      </c>
      <c r="AP61">
        <v>0</v>
      </c>
      <c r="AQ61">
        <v>33333.333333333336</v>
      </c>
      <c r="AR61" t="s">
        <v>352</v>
      </c>
      <c r="AS61" t="s">
        <v>78</v>
      </c>
      <c r="AX61" t="s">
        <v>79</v>
      </c>
      <c r="AY61" t="s">
        <v>74</v>
      </c>
      <c r="AZ61">
        <v>0</v>
      </c>
      <c r="BA61" t="s">
        <v>74</v>
      </c>
      <c r="BB61">
        <v>0</v>
      </c>
      <c r="BD61">
        <v>3.24</v>
      </c>
      <c r="BE61">
        <v>0</v>
      </c>
    </row>
    <row r="62" spans="1:58" ht="12.75">
      <c r="A62" s="2" t="str">
        <f>HYPERLINK("https://ibp.a2mac1.com/costing(costing:projects/details/8191/part/5380910)","ABS Sensor")</f>
        <v>ABS Sensor</v>
      </c>
      <c r="B62">
        <v>5380910</v>
      </c>
      <c r="C62">
        <v>5380888</v>
      </c>
      <c r="E62">
        <v>5.60</v>
      </c>
      <c r="F62">
        <v>0</v>
      </c>
      <c r="G62">
        <v>0</v>
      </c>
      <c r="H62">
        <v>0</v>
      </c>
      <c r="I62" t="s">
        <v>74</v>
      </c>
      <c r="J62">
        <v>0</v>
      </c>
      <c r="K62">
        <v>5.60</v>
      </c>
      <c r="L62">
        <v>0</v>
      </c>
      <c r="M62">
        <v>0</v>
      </c>
      <c r="N62">
        <v>5.60</v>
      </c>
      <c r="O62" t="s">
        <v>74</v>
      </c>
      <c r="P62">
        <v>0</v>
      </c>
      <c r="Q62" t="s">
        <v>74</v>
      </c>
      <c r="R62">
        <v>0</v>
      </c>
      <c r="S62" t="s">
        <v>74</v>
      </c>
      <c r="T62">
        <v>0</v>
      </c>
      <c r="U62" t="s">
        <v>74</v>
      </c>
      <c r="V62">
        <v>0</v>
      </c>
      <c r="W62" t="s">
        <v>74</v>
      </c>
      <c r="X62">
        <v>0</v>
      </c>
      <c r="Y62">
        <v>5.60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16</v>
      </c>
      <c r="AF62">
        <v>34</v>
      </c>
      <c r="AG62">
        <v>66</v>
      </c>
      <c r="AH62">
        <v>0</v>
      </c>
      <c r="AI62">
        <v>0.01</v>
      </c>
      <c r="AK62" t="s">
        <v>213</v>
      </c>
      <c r="AM62">
        <v>400000</v>
      </c>
      <c r="AN62" t="s">
        <v>76</v>
      </c>
      <c r="AO62">
        <v>2</v>
      </c>
      <c r="AP62">
        <v>0</v>
      </c>
      <c r="AQ62">
        <v>33333.333333333336</v>
      </c>
      <c r="AR62" t="s">
        <v>353</v>
      </c>
      <c r="AS62" t="s">
        <v>78</v>
      </c>
      <c r="AX62" t="s">
        <v>79</v>
      </c>
      <c r="AY62" t="s">
        <v>74</v>
      </c>
      <c r="AZ62">
        <v>0</v>
      </c>
      <c r="BA62" t="s">
        <v>74</v>
      </c>
      <c r="BB62">
        <v>0</v>
      </c>
      <c r="BD62">
        <v>2.80</v>
      </c>
      <c r="BE62">
        <v>0</v>
      </c>
    </row>
    <row r="63" spans="1:58" ht="12.75">
      <c r="A63" s="2" t="str">
        <f>HYPERLINK("https://ibp.a2mac1.com/costing(costing:projects/details/8191/part/5380956)","Shoes")</f>
        <v>Shoes</v>
      </c>
      <c r="B63">
        <v>5380956</v>
      </c>
      <c r="C63">
        <v>5380935</v>
      </c>
      <c r="E63">
        <v>4.47</v>
      </c>
      <c r="F63">
        <v>0</v>
      </c>
      <c r="G63">
        <v>0</v>
      </c>
      <c r="H63">
        <v>8.9400000000000005E-05</v>
      </c>
      <c r="I63" t="s">
        <v>137</v>
      </c>
      <c r="J63">
        <v>0.15645000000000001</v>
      </c>
      <c r="K63">
        <v>4.6265394000000004</v>
      </c>
      <c r="L63">
        <v>0.3339785284554494</v>
      </c>
      <c r="M63">
        <v>2.0038711707326962</v>
      </c>
      <c r="N63">
        <v>6.6304105707326961</v>
      </c>
      <c r="O63" t="s">
        <v>138</v>
      </c>
      <c r="P63">
        <v>0.27759236399999998</v>
      </c>
      <c r="Q63" t="s">
        <v>138</v>
      </c>
      <c r="R63">
        <v>0.12023227024396178</v>
      </c>
      <c r="S63" t="s">
        <v>139</v>
      </c>
      <c r="T63">
        <v>0.79564926848792361</v>
      </c>
      <c r="U63" t="s">
        <v>90</v>
      </c>
      <c r="V63">
        <v>0</v>
      </c>
      <c r="W63" t="s">
        <v>90</v>
      </c>
      <c r="X63">
        <v>0</v>
      </c>
      <c r="Y63">
        <v>7.8238844734645818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63</v>
      </c>
      <c r="AF63">
        <v>273</v>
      </c>
      <c r="AG63">
        <v>253</v>
      </c>
      <c r="AH63">
        <v>0</v>
      </c>
      <c r="AI63">
        <v>2.0830000000000002</v>
      </c>
      <c r="AK63" t="s">
        <v>75</v>
      </c>
      <c r="AM63">
        <v>400000</v>
      </c>
      <c r="AN63" t="s">
        <v>76</v>
      </c>
      <c r="AO63">
        <v>1</v>
      </c>
      <c r="AP63">
        <v>0</v>
      </c>
      <c r="AQ63">
        <v>33333.333333333336</v>
      </c>
      <c r="AR63" t="s">
        <v>360</v>
      </c>
      <c r="AS63" t="s">
        <v>78</v>
      </c>
      <c r="AX63" t="s">
        <v>79</v>
      </c>
      <c r="AY63" t="s">
        <v>137</v>
      </c>
      <c r="AZ63">
        <v>0</v>
      </c>
      <c r="BA63" t="s">
        <v>137</v>
      </c>
      <c r="BB63">
        <v>0</v>
      </c>
      <c r="BE63">
        <v>0</v>
      </c>
    </row>
    <row r="64" spans="1:58" ht="12.75">
      <c r="A64" s="2" t="str">
        <f>HYPERLINK("https://ibp.a2mac1.com/costing(costing:projects/details/8191/part/5380957)","Wheel Cylinder")</f>
        <v>Wheel Cylinder</v>
      </c>
      <c r="B64">
        <v>5380957</v>
      </c>
      <c r="C64">
        <v>5380935</v>
      </c>
      <c r="E64">
        <v>1.73</v>
      </c>
      <c r="F64">
        <v>0</v>
      </c>
      <c r="G64">
        <v>0</v>
      </c>
      <c r="H64">
        <v>0</v>
      </c>
      <c r="I64" t="s">
        <v>74</v>
      </c>
      <c r="J64">
        <v>0</v>
      </c>
      <c r="K64">
        <v>1.73</v>
      </c>
      <c r="L64">
        <v>0</v>
      </c>
      <c r="M64">
        <v>0</v>
      </c>
      <c r="N64">
        <v>1.73</v>
      </c>
      <c r="O64" t="s">
        <v>74</v>
      </c>
      <c r="P64">
        <v>0</v>
      </c>
      <c r="Q64" t="s">
        <v>74</v>
      </c>
      <c r="R64">
        <v>0</v>
      </c>
      <c r="S64" t="s">
        <v>74</v>
      </c>
      <c r="T64">
        <v>0</v>
      </c>
      <c r="U64" t="s">
        <v>74</v>
      </c>
      <c r="V64">
        <v>0</v>
      </c>
      <c r="W64" t="s">
        <v>74</v>
      </c>
      <c r="X64">
        <v>0</v>
      </c>
      <c r="Y64">
        <v>1.73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52</v>
      </c>
      <c r="AF64">
        <v>71</v>
      </c>
      <c r="AG64">
        <v>36</v>
      </c>
      <c r="AH64">
        <v>0</v>
      </c>
      <c r="AI64">
        <v>0.14149999999999999</v>
      </c>
      <c r="AK64" t="s">
        <v>75</v>
      </c>
      <c r="AM64">
        <v>400000</v>
      </c>
      <c r="AN64" t="s">
        <v>76</v>
      </c>
      <c r="AO64">
        <v>1</v>
      </c>
      <c r="AP64">
        <v>0</v>
      </c>
      <c r="AQ64">
        <v>33333.333333333336</v>
      </c>
      <c r="AR64" t="s">
        <v>361</v>
      </c>
      <c r="AS64" t="s">
        <v>78</v>
      </c>
      <c r="AX64" t="s">
        <v>79</v>
      </c>
      <c r="AY64" t="s">
        <v>74</v>
      </c>
      <c r="AZ64">
        <v>0</v>
      </c>
      <c r="BA64" t="s">
        <v>74</v>
      </c>
      <c r="BB64">
        <v>0</v>
      </c>
      <c r="BD64">
        <v>1.73</v>
      </c>
      <c r="BE64">
        <v>0</v>
      </c>
    </row>
    <row r="65" spans="1:58" ht="12.75">
      <c r="A65" s="2" t="str">
        <f>HYPERLINK("https://ibp.a2mac1.com/costing(costing:projects/details/8191/part/5380931)","Drum")</f>
        <v>Drum</v>
      </c>
      <c r="B65">
        <v>5380931</v>
      </c>
      <c r="C65">
        <v>5380917</v>
      </c>
      <c r="E65">
        <v>15.82</v>
      </c>
      <c r="F65">
        <v>0</v>
      </c>
      <c r="G65">
        <v>0</v>
      </c>
      <c r="H65">
        <v>0.00031639999999999999</v>
      </c>
      <c r="I65" t="s">
        <v>137</v>
      </c>
      <c r="J65">
        <v>0.55369999999999997</v>
      </c>
      <c r="K65">
        <v>16.374016399999999</v>
      </c>
      <c r="L65">
        <v>1.5465707980342032</v>
      </c>
      <c r="M65">
        <v>9.279424788205219</v>
      </c>
      <c r="N65">
        <v>25.653441188205218</v>
      </c>
      <c r="O65" t="s">
        <v>138</v>
      </c>
      <c r="P65">
        <v>0.98244098400000002</v>
      </c>
      <c r="Q65" t="s">
        <v>138</v>
      </c>
      <c r="R65">
        <v>0.55676548729231312</v>
      </c>
      <c r="S65" t="s">
        <v>139</v>
      </c>
      <c r="T65">
        <v>3.0784129425846265</v>
      </c>
      <c r="U65" t="s">
        <v>90</v>
      </c>
      <c r="V65">
        <v>0</v>
      </c>
      <c r="W65" t="s">
        <v>90</v>
      </c>
      <c r="X65">
        <v>0</v>
      </c>
      <c r="Y65">
        <v>30.271060602082159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63</v>
      </c>
      <c r="AF65">
        <v>335</v>
      </c>
      <c r="AG65">
        <v>335</v>
      </c>
      <c r="AH65">
        <v>0</v>
      </c>
      <c r="AI65">
        <v>10.358499999999999</v>
      </c>
      <c r="AK65" t="s">
        <v>75</v>
      </c>
      <c r="AM65">
        <v>400000</v>
      </c>
      <c r="AN65" t="s">
        <v>76</v>
      </c>
      <c r="AO65">
        <v>2</v>
      </c>
      <c r="AP65">
        <v>0</v>
      </c>
      <c r="AQ65">
        <v>33333.333333333336</v>
      </c>
      <c r="AR65" t="s">
        <v>364</v>
      </c>
      <c r="AS65" t="s">
        <v>78</v>
      </c>
      <c r="AX65" t="s">
        <v>79</v>
      </c>
      <c r="AY65" t="s">
        <v>137</v>
      </c>
      <c r="AZ65">
        <v>0</v>
      </c>
      <c r="BA65" t="s">
        <v>137</v>
      </c>
      <c r="BB65">
        <v>0</v>
      </c>
      <c r="BE65">
        <v>0</v>
      </c>
    </row>
    <row r="66" spans="1:58" ht="12.75">
      <c r="A66" s="2" t="str">
        <f>HYPERLINK("https://ibp.a2mac1.com/costing(costing:projects/details/8191/part/5380932)","Backing Plate")</f>
        <v>Backing Plate</v>
      </c>
      <c r="B66">
        <v>5380932</v>
      </c>
      <c r="C66">
        <v>5380917</v>
      </c>
      <c r="E66">
        <v>6.92</v>
      </c>
      <c r="F66">
        <v>0</v>
      </c>
      <c r="G66">
        <v>0</v>
      </c>
      <c r="H66">
        <v>0</v>
      </c>
      <c r="I66" t="s">
        <v>74</v>
      </c>
      <c r="J66">
        <v>0</v>
      </c>
      <c r="K66">
        <v>6.92</v>
      </c>
      <c r="L66">
        <v>0</v>
      </c>
      <c r="M66">
        <v>0</v>
      </c>
      <c r="N66">
        <v>6.92</v>
      </c>
      <c r="O66" t="s">
        <v>74</v>
      </c>
      <c r="P66">
        <v>0</v>
      </c>
      <c r="Q66" t="s">
        <v>74</v>
      </c>
      <c r="R66">
        <v>0</v>
      </c>
      <c r="S66" t="s">
        <v>74</v>
      </c>
      <c r="T66">
        <v>0</v>
      </c>
      <c r="U66" t="s">
        <v>74</v>
      </c>
      <c r="V66">
        <v>0</v>
      </c>
      <c r="W66" t="s">
        <v>74</v>
      </c>
      <c r="X66">
        <v>0</v>
      </c>
      <c r="Y66">
        <v>6.92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53</v>
      </c>
      <c r="AF66">
        <v>332</v>
      </c>
      <c r="AG66">
        <v>332</v>
      </c>
      <c r="AH66">
        <v>0</v>
      </c>
      <c r="AI66">
        <v>1.4245000000000001</v>
      </c>
      <c r="AK66" t="s">
        <v>75</v>
      </c>
      <c r="AM66">
        <v>400000</v>
      </c>
      <c r="AN66" t="s">
        <v>76</v>
      </c>
      <c r="AO66">
        <v>2</v>
      </c>
      <c r="AP66">
        <v>0</v>
      </c>
      <c r="AQ66">
        <v>33333.333333333336</v>
      </c>
      <c r="AR66" t="s">
        <v>365</v>
      </c>
      <c r="AS66" t="s">
        <v>78</v>
      </c>
      <c r="AX66" t="s">
        <v>79</v>
      </c>
      <c r="AY66" t="s">
        <v>74</v>
      </c>
      <c r="AZ66">
        <v>0</v>
      </c>
      <c r="BA66" t="s">
        <v>74</v>
      </c>
      <c r="BB66">
        <v>0</v>
      </c>
      <c r="BD66">
        <v>3.46</v>
      </c>
      <c r="BE66">
        <v>0</v>
      </c>
    </row>
    <row r="67" spans="1:58" ht="12.75">
      <c r="A67" s="2" t="str">
        <f>HYPERLINK("https://ibp.a2mac1.com/costing(costing:projects/details/8191/part/5380933)","Actuator for park brake")</f>
        <v>Actuator for park brake</v>
      </c>
      <c r="B67">
        <v>5380933</v>
      </c>
      <c r="C67">
        <v>5380917</v>
      </c>
      <c r="E67">
        <v>14.629619999999999</v>
      </c>
      <c r="F67">
        <v>0</v>
      </c>
      <c r="G67">
        <v>0</v>
      </c>
      <c r="H67">
        <v>0</v>
      </c>
      <c r="I67" t="s">
        <v>74</v>
      </c>
      <c r="J67">
        <v>0</v>
      </c>
      <c r="K67">
        <v>14.629619999999999</v>
      </c>
      <c r="L67">
        <v>0</v>
      </c>
      <c r="M67">
        <v>0</v>
      </c>
      <c r="N67">
        <v>14.629619999999999</v>
      </c>
      <c r="O67" t="s">
        <v>74</v>
      </c>
      <c r="P67">
        <v>0</v>
      </c>
      <c r="Q67" t="s">
        <v>74</v>
      </c>
      <c r="R67">
        <v>0</v>
      </c>
      <c r="S67" t="s">
        <v>74</v>
      </c>
      <c r="T67">
        <v>0</v>
      </c>
      <c r="U67" t="s">
        <v>74</v>
      </c>
      <c r="V67">
        <v>0</v>
      </c>
      <c r="W67" t="s">
        <v>74</v>
      </c>
      <c r="X67">
        <v>0</v>
      </c>
      <c r="Y67">
        <v>14.629619999999999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86</v>
      </c>
      <c r="AF67">
        <v>75</v>
      </c>
      <c r="AG67">
        <v>142</v>
      </c>
      <c r="AH67">
        <v>0</v>
      </c>
      <c r="AI67">
        <v>0.53800000000000003</v>
      </c>
      <c r="AK67" t="s">
        <v>213</v>
      </c>
      <c r="AM67">
        <v>400000</v>
      </c>
      <c r="AN67" t="s">
        <v>76</v>
      </c>
      <c r="AO67">
        <v>2</v>
      </c>
      <c r="AP67">
        <v>0</v>
      </c>
      <c r="AQ67">
        <v>33333.333333333336</v>
      </c>
      <c r="AR67" t="s">
        <v>366</v>
      </c>
      <c r="AS67" t="s">
        <v>78</v>
      </c>
      <c r="AX67" t="s">
        <v>79</v>
      </c>
      <c r="AY67" t="s">
        <v>74</v>
      </c>
      <c r="AZ67">
        <v>0</v>
      </c>
      <c r="BA67" t="s">
        <v>74</v>
      </c>
      <c r="BB67">
        <v>0</v>
      </c>
      <c r="BD67">
        <v>7.3148099999999996</v>
      </c>
      <c r="BE67">
        <v>0</v>
      </c>
    </row>
    <row r="68" spans="1:58" ht="12.75">
      <c r="A68" s="2" t="str">
        <f>HYPERLINK("https://ibp.a2mac1.com/costing(costing:projects/details/8191/part/5380934)","Actuator for park brake support")</f>
        <v>Actuator for park brake support</v>
      </c>
      <c r="B68">
        <v>5380934</v>
      </c>
      <c r="C68">
        <v>5380917</v>
      </c>
      <c r="E68">
        <v>1.08</v>
      </c>
      <c r="F68">
        <v>0</v>
      </c>
      <c r="G68">
        <v>0</v>
      </c>
      <c r="H68">
        <v>0</v>
      </c>
      <c r="I68" t="s">
        <v>74</v>
      </c>
      <c r="J68">
        <v>0</v>
      </c>
      <c r="K68">
        <v>1.08</v>
      </c>
      <c r="L68">
        <v>0</v>
      </c>
      <c r="M68">
        <v>0</v>
      </c>
      <c r="N68">
        <v>1.08</v>
      </c>
      <c r="O68" t="s">
        <v>74</v>
      </c>
      <c r="P68">
        <v>0</v>
      </c>
      <c r="Q68" t="s">
        <v>74</v>
      </c>
      <c r="R68">
        <v>0</v>
      </c>
      <c r="S68" t="s">
        <v>74</v>
      </c>
      <c r="T68">
        <v>0</v>
      </c>
      <c r="U68" t="s">
        <v>74</v>
      </c>
      <c r="V68">
        <v>0</v>
      </c>
      <c r="W68" t="s">
        <v>74</v>
      </c>
      <c r="X68">
        <v>0</v>
      </c>
      <c r="Y68">
        <v>1.08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64</v>
      </c>
      <c r="AF68">
        <v>149</v>
      </c>
      <c r="AG68">
        <v>46</v>
      </c>
      <c r="AH68">
        <v>0</v>
      </c>
      <c r="AI68">
        <v>0.0775</v>
      </c>
      <c r="AK68" t="s">
        <v>213</v>
      </c>
      <c r="AM68">
        <v>400000</v>
      </c>
      <c r="AN68" t="s">
        <v>76</v>
      </c>
      <c r="AO68">
        <v>2</v>
      </c>
      <c r="AP68">
        <v>0</v>
      </c>
      <c r="AQ68">
        <v>33333.333333333336</v>
      </c>
      <c r="AR68" t="s">
        <v>367</v>
      </c>
      <c r="AS68" t="s">
        <v>78</v>
      </c>
      <c r="AX68" t="s">
        <v>79</v>
      </c>
      <c r="AY68" t="s">
        <v>74</v>
      </c>
      <c r="AZ68">
        <v>0</v>
      </c>
      <c r="BA68" t="s">
        <v>74</v>
      </c>
      <c r="BB68">
        <v>0</v>
      </c>
      <c r="BD68">
        <v>0.54</v>
      </c>
      <c r="BE68">
        <v>0</v>
      </c>
    </row>
    <row r="69" spans="1:58" ht="12.75">
      <c r="A69" s="2" t="str">
        <f>HYPERLINK("https://ibp.a2mac1.com/costing(costing:projects/details/8191/part/5380936)","ABS Wiring Support on Axle")</f>
        <v>ABS Wiring Support on Axle</v>
      </c>
      <c r="B69">
        <v>5380936</v>
      </c>
      <c r="C69">
        <v>5380918</v>
      </c>
      <c r="E69">
        <v>0.27</v>
      </c>
      <c r="F69">
        <v>0</v>
      </c>
      <c r="G69">
        <v>0</v>
      </c>
      <c r="H69">
        <v>0</v>
      </c>
      <c r="I69" t="s">
        <v>74</v>
      </c>
      <c r="J69">
        <v>0</v>
      </c>
      <c r="K69">
        <v>0.27</v>
      </c>
      <c r="L69">
        <v>0</v>
      </c>
      <c r="M69">
        <v>0</v>
      </c>
      <c r="N69">
        <v>0.27</v>
      </c>
      <c r="O69" t="s">
        <v>74</v>
      </c>
      <c r="P69">
        <v>0</v>
      </c>
      <c r="Q69" t="s">
        <v>74</v>
      </c>
      <c r="R69">
        <v>0</v>
      </c>
      <c r="S69" t="s">
        <v>74</v>
      </c>
      <c r="T69">
        <v>0</v>
      </c>
      <c r="U69" t="s">
        <v>74</v>
      </c>
      <c r="V69">
        <v>0</v>
      </c>
      <c r="W69" t="s">
        <v>74</v>
      </c>
      <c r="X69">
        <v>0</v>
      </c>
      <c r="Y69">
        <v>0.27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30</v>
      </c>
      <c r="AF69">
        <v>51</v>
      </c>
      <c r="AG69">
        <v>62</v>
      </c>
      <c r="AH69">
        <v>0</v>
      </c>
      <c r="AI69">
        <v>0.039</v>
      </c>
      <c r="AK69" t="s">
        <v>75</v>
      </c>
      <c r="AM69">
        <v>400000</v>
      </c>
      <c r="AN69" t="s">
        <v>76</v>
      </c>
      <c r="AO69">
        <v>2</v>
      </c>
      <c r="AP69">
        <v>0</v>
      </c>
      <c r="AQ69">
        <v>33333.333333333336</v>
      </c>
      <c r="AR69" t="s">
        <v>370</v>
      </c>
      <c r="AS69" t="s">
        <v>78</v>
      </c>
      <c r="AX69" t="s">
        <v>79</v>
      </c>
      <c r="AY69" t="s">
        <v>74</v>
      </c>
      <c r="AZ69">
        <v>0</v>
      </c>
      <c r="BA69" t="s">
        <v>74</v>
      </c>
      <c r="BB69">
        <v>0</v>
      </c>
      <c r="BD69">
        <v>0.135</v>
      </c>
      <c r="BE69">
        <v>0</v>
      </c>
    </row>
    <row r="70" spans="1:58" ht="12.75">
      <c r="A70" s="2" t="str">
        <f>HYPERLINK("https://ibp.a2mac1.com/costing(costing:projects/details/8191/part/5380937)","2nd ABS Wiring Support on Axle")</f>
        <v>2nd ABS Wiring Support on Axle</v>
      </c>
      <c r="B70">
        <v>5380937</v>
      </c>
      <c r="C70">
        <v>5380918</v>
      </c>
      <c r="E70">
        <v>0.60172000000000003</v>
      </c>
      <c r="F70">
        <v>0</v>
      </c>
      <c r="G70">
        <v>0</v>
      </c>
      <c r="H70">
        <v>0</v>
      </c>
      <c r="I70" t="s">
        <v>74</v>
      </c>
      <c r="J70">
        <v>0</v>
      </c>
      <c r="K70">
        <v>0.60172000000000003</v>
      </c>
      <c r="L70">
        <v>0</v>
      </c>
      <c r="M70">
        <v>0</v>
      </c>
      <c r="N70">
        <v>0.60172000000000003</v>
      </c>
      <c r="O70" t="s">
        <v>74</v>
      </c>
      <c r="P70">
        <v>0</v>
      </c>
      <c r="Q70" t="s">
        <v>74</v>
      </c>
      <c r="R70">
        <v>0</v>
      </c>
      <c r="S70" t="s">
        <v>74</v>
      </c>
      <c r="T70">
        <v>0</v>
      </c>
      <c r="U70" t="s">
        <v>74</v>
      </c>
      <c r="V70">
        <v>0</v>
      </c>
      <c r="W70" t="s">
        <v>74</v>
      </c>
      <c r="X70">
        <v>0</v>
      </c>
      <c r="Y70">
        <v>0.60172000000000003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56</v>
      </c>
      <c r="AF70">
        <v>117</v>
      </c>
      <c r="AG70">
        <v>60</v>
      </c>
      <c r="AH70">
        <v>0</v>
      </c>
      <c r="AI70">
        <v>0.089499999999999996</v>
      </c>
      <c r="AK70" t="s">
        <v>75</v>
      </c>
      <c r="AM70">
        <v>400000</v>
      </c>
      <c r="AN70" t="s">
        <v>76</v>
      </c>
      <c r="AO70">
        <v>2</v>
      </c>
      <c r="AP70">
        <v>0</v>
      </c>
      <c r="AQ70">
        <v>33333.333333333336</v>
      </c>
      <c r="AR70" t="s">
        <v>371</v>
      </c>
      <c r="AS70" t="s">
        <v>78</v>
      </c>
      <c r="AX70" t="s">
        <v>79</v>
      </c>
      <c r="AY70" t="s">
        <v>74</v>
      </c>
      <c r="AZ70">
        <v>0</v>
      </c>
      <c r="BA70" t="s">
        <v>74</v>
      </c>
      <c r="BB70">
        <v>0</v>
      </c>
      <c r="BD70">
        <v>0.30086000000000002</v>
      </c>
      <c r="BE70">
        <v>0</v>
      </c>
    </row>
    <row r="71" spans="1:58" ht="12.75">
      <c r="A71" s="2" t="str">
        <f>HYPERLINK("https://ibp.a2mac1.com/costing(costing:projects/details/8191/part/5380914)","Abs Sensor")</f>
        <v>Abs Sensor</v>
      </c>
      <c r="B71">
        <v>5380914</v>
      </c>
      <c r="C71">
        <v>5380889</v>
      </c>
      <c r="E71">
        <v>5.60</v>
      </c>
      <c r="F71">
        <v>0</v>
      </c>
      <c r="G71">
        <v>0</v>
      </c>
      <c r="H71">
        <v>0</v>
      </c>
      <c r="I71" t="s">
        <v>74</v>
      </c>
      <c r="J71">
        <v>0</v>
      </c>
      <c r="K71">
        <v>5.60</v>
      </c>
      <c r="L71">
        <v>0</v>
      </c>
      <c r="M71">
        <v>0</v>
      </c>
      <c r="N71">
        <v>5.60</v>
      </c>
      <c r="O71" t="s">
        <v>74</v>
      </c>
      <c r="P71">
        <v>0</v>
      </c>
      <c r="Q71" t="s">
        <v>74</v>
      </c>
      <c r="R71">
        <v>0</v>
      </c>
      <c r="S71" t="s">
        <v>74</v>
      </c>
      <c r="T71">
        <v>0</v>
      </c>
      <c r="U71" t="s">
        <v>74</v>
      </c>
      <c r="V71">
        <v>0</v>
      </c>
      <c r="W71" t="s">
        <v>74</v>
      </c>
      <c r="X71">
        <v>0</v>
      </c>
      <c r="Y71">
        <v>5.60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25</v>
      </c>
      <c r="AF71">
        <v>35</v>
      </c>
      <c r="AG71">
        <v>66</v>
      </c>
      <c r="AH71">
        <v>0</v>
      </c>
      <c r="AI71">
        <v>0.01</v>
      </c>
      <c r="AK71" t="s">
        <v>213</v>
      </c>
      <c r="AM71">
        <v>400000</v>
      </c>
      <c r="AN71" t="s">
        <v>76</v>
      </c>
      <c r="AO71">
        <v>2</v>
      </c>
      <c r="AP71">
        <v>0</v>
      </c>
      <c r="AQ71">
        <v>33333.333333333336</v>
      </c>
      <c r="AR71" t="s">
        <v>373</v>
      </c>
      <c r="AS71" t="s">
        <v>78</v>
      </c>
      <c r="AX71" t="s">
        <v>79</v>
      </c>
      <c r="AY71" t="s">
        <v>74</v>
      </c>
      <c r="AZ71">
        <v>0</v>
      </c>
      <c r="BA71" t="s">
        <v>74</v>
      </c>
      <c r="BB71">
        <v>0</v>
      </c>
      <c r="BD71">
        <v>2.80</v>
      </c>
      <c r="BE71">
        <v>0</v>
      </c>
    </row>
    <row r="72" spans="1:58" ht="12.75">
      <c r="A72" s="2" t="str">
        <f>HYPERLINK("https://ibp.a2mac1.com/costing(costing:projects/details/8191/part/5380915)","Left Hoses")</f>
        <v>Left Hoses</v>
      </c>
      <c r="B72">
        <v>5380915</v>
      </c>
      <c r="C72">
        <v>5380889</v>
      </c>
      <c r="E72">
        <v>3.74</v>
      </c>
      <c r="F72">
        <v>0</v>
      </c>
      <c r="G72">
        <v>0</v>
      </c>
      <c r="H72">
        <v>0</v>
      </c>
      <c r="I72" t="s">
        <v>74</v>
      </c>
      <c r="J72">
        <v>0</v>
      </c>
      <c r="K72">
        <v>3.74</v>
      </c>
      <c r="L72">
        <v>0</v>
      </c>
      <c r="M72">
        <v>0</v>
      </c>
      <c r="N72">
        <v>3.74</v>
      </c>
      <c r="O72" t="s">
        <v>74</v>
      </c>
      <c r="P72">
        <v>0</v>
      </c>
      <c r="Q72" t="s">
        <v>74</v>
      </c>
      <c r="R72">
        <v>0</v>
      </c>
      <c r="S72" t="s">
        <v>74</v>
      </c>
      <c r="T72">
        <v>0</v>
      </c>
      <c r="U72" t="s">
        <v>74</v>
      </c>
      <c r="V72">
        <v>0</v>
      </c>
      <c r="W72" t="s">
        <v>74</v>
      </c>
      <c r="X72">
        <v>0</v>
      </c>
      <c r="Y72">
        <v>3.74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0.11</v>
      </c>
      <c r="AK72" t="s">
        <v>75</v>
      </c>
      <c r="AM72">
        <v>400000</v>
      </c>
      <c r="AN72" t="s">
        <v>76</v>
      </c>
      <c r="AO72">
        <v>2</v>
      </c>
      <c r="AP72">
        <v>0</v>
      </c>
      <c r="AQ72">
        <v>33333.333333333336</v>
      </c>
      <c r="AR72" t="s">
        <v>374</v>
      </c>
      <c r="AS72" t="s">
        <v>78</v>
      </c>
      <c r="AX72" t="s">
        <v>79</v>
      </c>
      <c r="AY72" t="s">
        <v>74</v>
      </c>
      <c r="AZ72">
        <v>0</v>
      </c>
      <c r="BA72" t="s">
        <v>74</v>
      </c>
      <c r="BB72">
        <v>0</v>
      </c>
      <c r="BD72">
        <v>1.87</v>
      </c>
      <c r="BE72">
        <v>0</v>
      </c>
    </row>
    <row r="73" spans="1:58" ht="12.75">
      <c r="A73" s="2" t="str">
        <f>HYPERLINK("https://ibp.a2mac1.com/costing(costing:projects/details/8191/part/5380916)","Hose Support")</f>
        <v>Hose Support</v>
      </c>
      <c r="B73">
        <v>5380916</v>
      </c>
      <c r="C73">
        <v>5380889</v>
      </c>
      <c r="E73">
        <v>0.16</v>
      </c>
      <c r="F73">
        <v>0</v>
      </c>
      <c r="G73">
        <v>0</v>
      </c>
      <c r="H73">
        <v>0</v>
      </c>
      <c r="I73" t="s">
        <v>74</v>
      </c>
      <c r="J73">
        <v>0</v>
      </c>
      <c r="K73">
        <v>0.16</v>
      </c>
      <c r="L73">
        <v>0</v>
      </c>
      <c r="M73">
        <v>0</v>
      </c>
      <c r="N73">
        <v>0.16</v>
      </c>
      <c r="O73" t="s">
        <v>74</v>
      </c>
      <c r="P73">
        <v>0</v>
      </c>
      <c r="Q73" t="s">
        <v>74</v>
      </c>
      <c r="R73">
        <v>0</v>
      </c>
      <c r="S73" t="s">
        <v>74</v>
      </c>
      <c r="T73">
        <v>0</v>
      </c>
      <c r="U73" t="s">
        <v>74</v>
      </c>
      <c r="V73">
        <v>0</v>
      </c>
      <c r="W73" t="s">
        <v>74</v>
      </c>
      <c r="X73">
        <v>0</v>
      </c>
      <c r="Y73">
        <v>0.16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42</v>
      </c>
      <c r="AF73">
        <v>76</v>
      </c>
      <c r="AG73">
        <v>37</v>
      </c>
      <c r="AH73">
        <v>0</v>
      </c>
      <c r="AI73">
        <v>0.049000000000000002</v>
      </c>
      <c r="AK73" t="s">
        <v>75</v>
      </c>
      <c r="AM73">
        <v>200000</v>
      </c>
      <c r="AN73" t="s">
        <v>76</v>
      </c>
      <c r="AO73">
        <v>1</v>
      </c>
      <c r="AP73">
        <v>0</v>
      </c>
      <c r="AQ73">
        <v>16666.666666666668</v>
      </c>
      <c r="AR73" t="s">
        <v>375</v>
      </c>
      <c r="AS73" t="s">
        <v>78</v>
      </c>
      <c r="AX73" t="s">
        <v>79</v>
      </c>
      <c r="AY73" t="s">
        <v>74</v>
      </c>
      <c r="AZ73">
        <v>0</v>
      </c>
      <c r="BA73" t="s">
        <v>74</v>
      </c>
      <c r="BB73">
        <v>0</v>
      </c>
      <c r="BD73">
        <v>0.16</v>
      </c>
      <c r="BE73">
        <v>0</v>
      </c>
    </row>
    <row r="74" spans="1:58" ht="12.75">
      <c r="A74" s="2" t="str">
        <f>HYPERLINK("https://ibp.a2mac1.com/costing(costing:projects/details/8191/part/5381059)","Shock Absorber")</f>
        <v>Shock Absorber</v>
      </c>
      <c r="B74">
        <v>5381059</v>
      </c>
      <c r="C74">
        <v>5381004</v>
      </c>
      <c r="E74">
        <v>9.5370399999999993</v>
      </c>
      <c r="F74">
        <v>0</v>
      </c>
      <c r="G74">
        <v>0</v>
      </c>
      <c r="H74">
        <v>0.00019074080000000001</v>
      </c>
      <c r="I74" t="s">
        <v>137</v>
      </c>
      <c r="J74">
        <v>0.33379639999999999</v>
      </c>
      <c r="K74">
        <v>9.8710271408000008</v>
      </c>
      <c r="L74">
        <v>4.1315907198514052</v>
      </c>
      <c r="M74">
        <v>14.460567519479918</v>
      </c>
      <c r="N74">
        <v>24.331594660279919</v>
      </c>
      <c r="O74" t="s">
        <v>138</v>
      </c>
      <c r="P74">
        <v>0.59226162844800001</v>
      </c>
      <c r="Q74" t="s">
        <v>138</v>
      </c>
      <c r="R74">
        <v>0.86763405116879511</v>
      </c>
      <c r="S74" t="s">
        <v>139</v>
      </c>
      <c r="T74">
        <v>2.91979135923359</v>
      </c>
      <c r="U74" t="s">
        <v>90</v>
      </c>
      <c r="V74">
        <v>0</v>
      </c>
      <c r="W74" t="s">
        <v>90</v>
      </c>
      <c r="X74">
        <v>0</v>
      </c>
      <c r="Y74">
        <v>28.711281699130303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164</v>
      </c>
      <c r="AF74">
        <v>168</v>
      </c>
      <c r="AG74">
        <v>618</v>
      </c>
      <c r="AH74">
        <v>0</v>
      </c>
      <c r="AI74">
        <v>4.1719999999999997</v>
      </c>
      <c r="AK74" t="s">
        <v>213</v>
      </c>
      <c r="AM74">
        <v>400000</v>
      </c>
      <c r="AN74" t="s">
        <v>76</v>
      </c>
      <c r="AO74">
        <v>1</v>
      </c>
      <c r="AP74">
        <v>0</v>
      </c>
      <c r="AQ74">
        <v>33333.333333333336</v>
      </c>
      <c r="AR74" t="s">
        <v>384</v>
      </c>
      <c r="AS74" t="s">
        <v>78</v>
      </c>
      <c r="AX74" t="s">
        <v>79</v>
      </c>
      <c r="AY74" t="s">
        <v>137</v>
      </c>
      <c r="AZ74">
        <v>0</v>
      </c>
      <c r="BA74" t="s">
        <v>137</v>
      </c>
      <c r="BB74">
        <v>0</v>
      </c>
      <c r="BE74">
        <v>0</v>
      </c>
    </row>
    <row r="75" spans="1:58" ht="12.75">
      <c r="A75" s="2" t="str">
        <f>HYPERLINK("https://ibp.a2mac1.com/costing(costing:projects/details/8191/part/5381060)","Coil Spring")</f>
        <v>Coil Spring</v>
      </c>
      <c r="B75">
        <v>5381060</v>
      </c>
      <c r="C75">
        <v>5381004</v>
      </c>
      <c r="E75">
        <v>7.72</v>
      </c>
      <c r="F75">
        <v>0</v>
      </c>
      <c r="G75">
        <v>0</v>
      </c>
      <c r="H75">
        <v>0</v>
      </c>
      <c r="I75" t="s">
        <v>74</v>
      </c>
      <c r="J75">
        <v>0</v>
      </c>
      <c r="K75">
        <v>7.72</v>
      </c>
      <c r="L75">
        <v>0</v>
      </c>
      <c r="M75">
        <v>0</v>
      </c>
      <c r="N75">
        <v>7.72</v>
      </c>
      <c r="O75" t="s">
        <v>74</v>
      </c>
      <c r="P75">
        <v>0</v>
      </c>
      <c r="Q75" t="s">
        <v>74</v>
      </c>
      <c r="R75">
        <v>0</v>
      </c>
      <c r="S75" t="s">
        <v>74</v>
      </c>
      <c r="T75">
        <v>0</v>
      </c>
      <c r="U75" t="s">
        <v>74</v>
      </c>
      <c r="V75">
        <v>0</v>
      </c>
      <c r="W75" t="s">
        <v>74</v>
      </c>
      <c r="X75">
        <v>0</v>
      </c>
      <c r="Y75">
        <v>7.72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165</v>
      </c>
      <c r="AF75">
        <v>165</v>
      </c>
      <c r="AG75">
        <v>341</v>
      </c>
      <c r="AH75">
        <v>0</v>
      </c>
      <c r="AI75">
        <v>2.484</v>
      </c>
      <c r="AK75" t="s">
        <v>75</v>
      </c>
      <c r="AM75">
        <v>400000</v>
      </c>
      <c r="AN75" t="s">
        <v>76</v>
      </c>
      <c r="AO75">
        <v>1</v>
      </c>
      <c r="AP75">
        <v>0</v>
      </c>
      <c r="AQ75">
        <v>33333.333333333336</v>
      </c>
      <c r="AR75" t="s">
        <v>385</v>
      </c>
      <c r="AS75" t="s">
        <v>78</v>
      </c>
      <c r="AX75" t="s">
        <v>79</v>
      </c>
      <c r="AY75" t="s">
        <v>74</v>
      </c>
      <c r="AZ75">
        <v>0</v>
      </c>
      <c r="BA75" t="s">
        <v>74</v>
      </c>
      <c r="BB75">
        <v>0</v>
      </c>
      <c r="BD75">
        <v>7.72</v>
      </c>
      <c r="BE75">
        <v>0</v>
      </c>
    </row>
    <row r="76" spans="1:58" ht="12.75">
      <c r="A76" s="2" t="str">
        <f>HYPERLINK("https://ibp.a2mac1.com/costing(costing:projects/details/8191/part/5381061)","Tower cover")</f>
        <v>Tower cover</v>
      </c>
      <c r="B76">
        <v>5381061</v>
      </c>
      <c r="C76">
        <v>5381004</v>
      </c>
      <c r="E76">
        <v>0.06</v>
      </c>
      <c r="F76">
        <v>0</v>
      </c>
      <c r="G76">
        <v>0</v>
      </c>
      <c r="H76">
        <v>0</v>
      </c>
      <c r="I76" t="s">
        <v>74</v>
      </c>
      <c r="J76">
        <v>0</v>
      </c>
      <c r="K76">
        <v>0.06</v>
      </c>
      <c r="L76">
        <v>0</v>
      </c>
      <c r="M76">
        <v>0</v>
      </c>
      <c r="N76">
        <v>0.06</v>
      </c>
      <c r="O76" t="s">
        <v>74</v>
      </c>
      <c r="P76">
        <v>0</v>
      </c>
      <c r="Q76" t="s">
        <v>74</v>
      </c>
      <c r="R76">
        <v>0</v>
      </c>
      <c r="S76" t="s">
        <v>74</v>
      </c>
      <c r="T76">
        <v>0</v>
      </c>
      <c r="U76" t="s">
        <v>74</v>
      </c>
      <c r="V76">
        <v>0</v>
      </c>
      <c r="W76" t="s">
        <v>74</v>
      </c>
      <c r="X76">
        <v>0</v>
      </c>
      <c r="Y76">
        <v>0.06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10</v>
      </c>
      <c r="AF76">
        <v>45</v>
      </c>
      <c r="AG76">
        <v>45</v>
      </c>
      <c r="AH76">
        <v>0</v>
      </c>
      <c r="AI76">
        <v>0.0015</v>
      </c>
      <c r="AK76" t="s">
        <v>75</v>
      </c>
      <c r="AM76">
        <v>800000</v>
      </c>
      <c r="AN76" t="s">
        <v>76</v>
      </c>
      <c r="AO76">
        <v>2</v>
      </c>
      <c r="AP76">
        <v>0</v>
      </c>
      <c r="AQ76">
        <v>66666.666666666672</v>
      </c>
      <c r="AR76" t="s">
        <v>386</v>
      </c>
      <c r="AS76" t="s">
        <v>78</v>
      </c>
      <c r="AX76" t="s">
        <v>79</v>
      </c>
      <c r="AY76" t="s">
        <v>74</v>
      </c>
      <c r="AZ76">
        <v>0</v>
      </c>
      <c r="BA76" t="s">
        <v>74</v>
      </c>
      <c r="BB76">
        <v>0</v>
      </c>
      <c r="BD76">
        <v>0.03</v>
      </c>
      <c r="BE76">
        <v>0</v>
      </c>
    </row>
    <row r="77" spans="1:58" ht="12.75">
      <c r="A77" s="2" t="str">
        <f>HYPERLINK("https://ibp.a2mac1.com/costing(costing:projects/details/8191/part/5381062)","Strut mount housing")</f>
        <v>Strut mount housing</v>
      </c>
      <c r="B77">
        <v>5381062</v>
      </c>
      <c r="C77">
        <v>5381004</v>
      </c>
      <c r="E77">
        <v>3.32</v>
      </c>
      <c r="F77">
        <v>0</v>
      </c>
      <c r="G77">
        <v>0</v>
      </c>
      <c r="H77">
        <v>0</v>
      </c>
      <c r="I77" t="s">
        <v>74</v>
      </c>
      <c r="J77">
        <v>0</v>
      </c>
      <c r="K77">
        <v>3.32</v>
      </c>
      <c r="L77">
        <v>0</v>
      </c>
      <c r="M77">
        <v>0</v>
      </c>
      <c r="N77">
        <v>3.32</v>
      </c>
      <c r="O77" t="s">
        <v>74</v>
      </c>
      <c r="P77">
        <v>0</v>
      </c>
      <c r="Q77" t="s">
        <v>74</v>
      </c>
      <c r="R77">
        <v>0</v>
      </c>
      <c r="S77" t="s">
        <v>74</v>
      </c>
      <c r="T77">
        <v>0</v>
      </c>
      <c r="U77" t="s">
        <v>74</v>
      </c>
      <c r="V77">
        <v>0</v>
      </c>
      <c r="W77" t="s">
        <v>74</v>
      </c>
      <c r="X77">
        <v>0</v>
      </c>
      <c r="Y77">
        <v>3.32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154</v>
      </c>
      <c r="AF77">
        <v>181</v>
      </c>
      <c r="AG77">
        <v>52</v>
      </c>
      <c r="AH77">
        <v>0</v>
      </c>
      <c r="AI77">
        <v>0.83299999999999996</v>
      </c>
      <c r="AK77" t="s">
        <v>75</v>
      </c>
      <c r="AM77">
        <v>400000</v>
      </c>
      <c r="AN77" t="s">
        <v>76</v>
      </c>
      <c r="AO77">
        <v>1</v>
      </c>
      <c r="AP77">
        <v>0</v>
      </c>
      <c r="AQ77">
        <v>33333.333333333336</v>
      </c>
      <c r="AR77" t="s">
        <v>387</v>
      </c>
      <c r="AS77" t="s">
        <v>78</v>
      </c>
      <c r="AX77" t="s">
        <v>79</v>
      </c>
      <c r="AY77" t="s">
        <v>74</v>
      </c>
      <c r="AZ77">
        <v>0</v>
      </c>
      <c r="BA77" t="s">
        <v>74</v>
      </c>
      <c r="BB77">
        <v>0</v>
      </c>
      <c r="BD77">
        <v>3.32</v>
      </c>
      <c r="BE77">
        <v>0</v>
      </c>
    </row>
    <row r="78" spans="1:58" ht="12.75">
      <c r="A78" s="2" t="str">
        <f>HYPERLINK("https://ibp.a2mac1.com/costing(costing:projects/details/8191/part/5381063)","Axial bearing")</f>
        <v>Axial bearing</v>
      </c>
      <c r="B78">
        <v>5381063</v>
      </c>
      <c r="C78">
        <v>5381004</v>
      </c>
      <c r="E78">
        <v>3.4537</v>
      </c>
      <c r="F78">
        <v>0</v>
      </c>
      <c r="G78">
        <v>0</v>
      </c>
      <c r="H78">
        <v>0</v>
      </c>
      <c r="I78" t="s">
        <v>74</v>
      </c>
      <c r="J78">
        <v>0</v>
      </c>
      <c r="K78">
        <v>3.4537</v>
      </c>
      <c r="L78">
        <v>0</v>
      </c>
      <c r="M78">
        <v>0</v>
      </c>
      <c r="N78">
        <v>3.4537</v>
      </c>
      <c r="O78" t="s">
        <v>74</v>
      </c>
      <c r="P78">
        <v>0</v>
      </c>
      <c r="Q78" t="s">
        <v>74</v>
      </c>
      <c r="R78">
        <v>0</v>
      </c>
      <c r="S78" t="s">
        <v>74</v>
      </c>
      <c r="T78">
        <v>0</v>
      </c>
      <c r="U78" t="s">
        <v>74</v>
      </c>
      <c r="V78">
        <v>0</v>
      </c>
      <c r="W78" t="s">
        <v>74</v>
      </c>
      <c r="X78">
        <v>0</v>
      </c>
      <c r="Y78">
        <v>3.4537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127</v>
      </c>
      <c r="AF78">
        <v>127</v>
      </c>
      <c r="AG78">
        <v>37</v>
      </c>
      <c r="AH78">
        <v>0</v>
      </c>
      <c r="AI78">
        <v>0.308</v>
      </c>
      <c r="AK78" t="s">
        <v>75</v>
      </c>
      <c r="AM78">
        <v>400000</v>
      </c>
      <c r="AN78" t="s">
        <v>76</v>
      </c>
      <c r="AO78">
        <v>1</v>
      </c>
      <c r="AP78">
        <v>0</v>
      </c>
      <c r="AQ78">
        <v>33333.333333333336</v>
      </c>
      <c r="AR78" t="s">
        <v>388</v>
      </c>
      <c r="AS78" t="s">
        <v>78</v>
      </c>
      <c r="AX78" t="s">
        <v>79</v>
      </c>
      <c r="AY78" t="s">
        <v>74</v>
      </c>
      <c r="AZ78">
        <v>0</v>
      </c>
      <c r="BA78" t="s">
        <v>74</v>
      </c>
      <c r="BB78">
        <v>0</v>
      </c>
      <c r="BD78">
        <v>3.4537</v>
      </c>
      <c r="BE78">
        <v>0</v>
      </c>
    </row>
    <row r="79" spans="1:58" ht="12.75">
      <c r="A79" s="2" t="str">
        <f>HYPERLINK("https://ibp.a2mac1.com/costing(costing:projects/details/8191/part/5381064)","Strut stopper")</f>
        <v>Strut stopper</v>
      </c>
      <c r="B79">
        <v>5381064</v>
      </c>
      <c r="C79">
        <v>5381004</v>
      </c>
      <c r="E79">
        <v>0.57</v>
      </c>
      <c r="F79">
        <v>0</v>
      </c>
      <c r="G79">
        <v>0</v>
      </c>
      <c r="H79">
        <v>0</v>
      </c>
      <c r="I79" t="s">
        <v>74</v>
      </c>
      <c r="J79">
        <v>0</v>
      </c>
      <c r="K79">
        <v>0.57</v>
      </c>
      <c r="L79">
        <v>0</v>
      </c>
      <c r="M79">
        <v>0</v>
      </c>
      <c r="N79">
        <v>0.57</v>
      </c>
      <c r="O79" t="s">
        <v>74</v>
      </c>
      <c r="P79">
        <v>0</v>
      </c>
      <c r="Q79" t="s">
        <v>74</v>
      </c>
      <c r="R79">
        <v>0</v>
      </c>
      <c r="S79" t="s">
        <v>74</v>
      </c>
      <c r="T79">
        <v>0</v>
      </c>
      <c r="U79" t="s">
        <v>74</v>
      </c>
      <c r="V79">
        <v>0</v>
      </c>
      <c r="W79" t="s">
        <v>74</v>
      </c>
      <c r="X79">
        <v>0</v>
      </c>
      <c r="Y79">
        <v>0.57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60</v>
      </c>
      <c r="AF79">
        <v>60</v>
      </c>
      <c r="AG79">
        <v>91</v>
      </c>
      <c r="AH79">
        <v>0</v>
      </c>
      <c r="AI79">
        <v>0.049000000000000002</v>
      </c>
      <c r="AK79" t="s">
        <v>75</v>
      </c>
      <c r="AM79">
        <v>400000</v>
      </c>
      <c r="AN79" t="s">
        <v>76</v>
      </c>
      <c r="AO79">
        <v>1</v>
      </c>
      <c r="AP79">
        <v>0</v>
      </c>
      <c r="AQ79">
        <v>33333.333333333336</v>
      </c>
      <c r="AR79" t="s">
        <v>389</v>
      </c>
      <c r="AS79" t="s">
        <v>78</v>
      </c>
      <c r="AX79" t="s">
        <v>79</v>
      </c>
      <c r="AY79" t="s">
        <v>74</v>
      </c>
      <c r="AZ79">
        <v>0</v>
      </c>
      <c r="BA79" t="s">
        <v>74</v>
      </c>
      <c r="BB79">
        <v>0</v>
      </c>
      <c r="BD79">
        <v>0.57</v>
      </c>
      <c r="BE79">
        <v>0</v>
      </c>
    </row>
    <row r="80" spans="1:58" ht="12.75">
      <c r="A80" s="2" t="str">
        <f>HYPERLINK("https://ibp.a2mac1.com/costing(costing:projects/details/8191/part/5381065)","Dust cover bellows")</f>
        <v>Dust cover bellows</v>
      </c>
      <c r="B80">
        <v>5381065</v>
      </c>
      <c r="C80">
        <v>5381004</v>
      </c>
      <c r="E80">
        <v>1.04</v>
      </c>
      <c r="F80">
        <v>0</v>
      </c>
      <c r="G80">
        <v>0</v>
      </c>
      <c r="H80">
        <v>0</v>
      </c>
      <c r="I80" t="s">
        <v>74</v>
      </c>
      <c r="J80">
        <v>0</v>
      </c>
      <c r="K80">
        <v>1.04</v>
      </c>
      <c r="L80">
        <v>0</v>
      </c>
      <c r="M80">
        <v>0</v>
      </c>
      <c r="N80">
        <v>1.04</v>
      </c>
      <c r="O80" t="s">
        <v>74</v>
      </c>
      <c r="P80">
        <v>0</v>
      </c>
      <c r="Q80" t="s">
        <v>74</v>
      </c>
      <c r="R80">
        <v>0</v>
      </c>
      <c r="S80" t="s">
        <v>74</v>
      </c>
      <c r="T80">
        <v>0</v>
      </c>
      <c r="U80" t="s">
        <v>74</v>
      </c>
      <c r="V80">
        <v>0</v>
      </c>
      <c r="W80" t="s">
        <v>74</v>
      </c>
      <c r="X80">
        <v>0</v>
      </c>
      <c r="Y80">
        <v>1.04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83</v>
      </c>
      <c r="AF80">
        <v>83</v>
      </c>
      <c r="AG80">
        <v>175</v>
      </c>
      <c r="AH80">
        <v>0</v>
      </c>
      <c r="AI80">
        <v>0.075999999999999998</v>
      </c>
      <c r="AK80" t="s">
        <v>75</v>
      </c>
      <c r="AM80">
        <v>400000</v>
      </c>
      <c r="AN80" t="s">
        <v>76</v>
      </c>
      <c r="AO80">
        <v>1</v>
      </c>
      <c r="AP80">
        <v>0</v>
      </c>
      <c r="AQ80">
        <v>33333.333333333336</v>
      </c>
      <c r="AR80" t="s">
        <v>390</v>
      </c>
      <c r="AS80" t="s">
        <v>78</v>
      </c>
      <c r="AX80" t="s">
        <v>79</v>
      </c>
      <c r="AY80" t="s">
        <v>74</v>
      </c>
      <c r="AZ80">
        <v>0</v>
      </c>
      <c r="BA80" t="s">
        <v>74</v>
      </c>
      <c r="BB80">
        <v>0</v>
      </c>
      <c r="BD80">
        <v>1.04</v>
      </c>
      <c r="BE80">
        <v>0</v>
      </c>
    </row>
    <row r="81" spans="1:58" ht="12.75">
      <c r="A81" s="2" t="str">
        <f>HYPERLINK("https://ibp.a2mac1.com/costing(costing:projects/details/8191/part/5381066)","Dust cover cap")</f>
        <v>Dust cover cap</v>
      </c>
      <c r="B81">
        <v>5381066</v>
      </c>
      <c r="C81">
        <v>5381004</v>
      </c>
      <c r="E81">
        <v>0.35</v>
      </c>
      <c r="F81">
        <v>0</v>
      </c>
      <c r="G81">
        <v>0</v>
      </c>
      <c r="H81">
        <v>0</v>
      </c>
      <c r="I81" t="s">
        <v>74</v>
      </c>
      <c r="J81">
        <v>0</v>
      </c>
      <c r="K81">
        <v>0.35</v>
      </c>
      <c r="L81">
        <v>0</v>
      </c>
      <c r="M81">
        <v>0</v>
      </c>
      <c r="N81">
        <v>0.35</v>
      </c>
      <c r="O81" t="s">
        <v>74</v>
      </c>
      <c r="P81">
        <v>0</v>
      </c>
      <c r="Q81" t="s">
        <v>74</v>
      </c>
      <c r="R81">
        <v>0</v>
      </c>
      <c r="S81" t="s">
        <v>74</v>
      </c>
      <c r="T81">
        <v>0</v>
      </c>
      <c r="U81" t="s">
        <v>74</v>
      </c>
      <c r="V81">
        <v>0</v>
      </c>
      <c r="W81" t="s">
        <v>74</v>
      </c>
      <c r="X81">
        <v>0</v>
      </c>
      <c r="Y81">
        <v>0.35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75</v>
      </c>
      <c r="AF81">
        <v>75</v>
      </c>
      <c r="AG81">
        <v>70</v>
      </c>
      <c r="AH81">
        <v>0</v>
      </c>
      <c r="AI81">
        <v>0.045</v>
      </c>
      <c r="AK81" t="s">
        <v>75</v>
      </c>
      <c r="AM81">
        <v>400000</v>
      </c>
      <c r="AN81" t="s">
        <v>76</v>
      </c>
      <c r="AO81">
        <v>1</v>
      </c>
      <c r="AP81">
        <v>0</v>
      </c>
      <c r="AQ81">
        <v>33333.333333333336</v>
      </c>
      <c r="AR81" t="s">
        <v>391</v>
      </c>
      <c r="AS81" t="s">
        <v>78</v>
      </c>
      <c r="AX81" t="s">
        <v>79</v>
      </c>
      <c r="AY81" t="s">
        <v>74</v>
      </c>
      <c r="AZ81">
        <v>0</v>
      </c>
      <c r="BA81" t="s">
        <v>74</v>
      </c>
      <c r="BB81">
        <v>0</v>
      </c>
      <c r="BD81">
        <v>0.35</v>
      </c>
      <c r="BE81">
        <v>0</v>
      </c>
    </row>
    <row r="82" spans="1:58" ht="12.75">
      <c r="A82" s="2" t="str">
        <f>HYPERLINK("https://ibp.a2mac1.com/costing(costing:projects/details/8191/part/5381067)","Coil Spring Insulator Lower")</f>
        <v>Coil Spring Insulator Lower</v>
      </c>
      <c r="B82">
        <v>5381067</v>
      </c>
      <c r="C82">
        <v>5381004</v>
      </c>
      <c r="E82">
        <v>0.62</v>
      </c>
      <c r="F82">
        <v>0</v>
      </c>
      <c r="G82">
        <v>0</v>
      </c>
      <c r="H82">
        <v>0</v>
      </c>
      <c r="I82" t="s">
        <v>74</v>
      </c>
      <c r="J82">
        <v>0</v>
      </c>
      <c r="K82">
        <v>0.62</v>
      </c>
      <c r="L82">
        <v>0</v>
      </c>
      <c r="M82">
        <v>0</v>
      </c>
      <c r="N82">
        <v>0.62</v>
      </c>
      <c r="O82" t="s">
        <v>74</v>
      </c>
      <c r="P82">
        <v>0</v>
      </c>
      <c r="Q82" t="s">
        <v>74</v>
      </c>
      <c r="R82">
        <v>0</v>
      </c>
      <c r="S82" t="s">
        <v>74</v>
      </c>
      <c r="T82">
        <v>0</v>
      </c>
      <c r="U82" t="s">
        <v>74</v>
      </c>
      <c r="V82">
        <v>0</v>
      </c>
      <c r="W82" t="s">
        <v>74</v>
      </c>
      <c r="X82">
        <v>0</v>
      </c>
      <c r="Y82">
        <v>0.62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137</v>
      </c>
      <c r="AF82">
        <v>111</v>
      </c>
      <c r="AG82">
        <v>51</v>
      </c>
      <c r="AH82">
        <v>0</v>
      </c>
      <c r="AI82">
        <v>0.085</v>
      </c>
      <c r="AK82" t="s">
        <v>75</v>
      </c>
      <c r="AM82">
        <v>400000</v>
      </c>
      <c r="AN82" t="s">
        <v>76</v>
      </c>
      <c r="AO82">
        <v>1</v>
      </c>
      <c r="AP82">
        <v>0</v>
      </c>
      <c r="AQ82">
        <v>33333.333333333336</v>
      </c>
      <c r="AR82" t="s">
        <v>392</v>
      </c>
      <c r="AS82" t="s">
        <v>78</v>
      </c>
      <c r="AX82" t="s">
        <v>79</v>
      </c>
      <c r="AY82" t="s">
        <v>74</v>
      </c>
      <c r="AZ82">
        <v>0</v>
      </c>
      <c r="BA82" t="s">
        <v>74</v>
      </c>
      <c r="BB82">
        <v>0</v>
      </c>
      <c r="BD82">
        <v>0.62</v>
      </c>
      <c r="BE82">
        <v>0</v>
      </c>
    </row>
    <row r="83" spans="1:58" ht="12.75">
      <c r="A83" s="2" t="str">
        <f>HYPERLINK("https://ibp.a2mac1.com/costing(costing:projects/details/8191/part/5381068)","Coil Spring Insulator Upper/Tower Interface")</f>
        <v>Coil Spring Insulator Upper/Tower Interface</v>
      </c>
      <c r="B83">
        <v>5381068</v>
      </c>
      <c r="C83">
        <v>5381004</v>
      </c>
      <c r="E83">
        <v>0.11</v>
      </c>
      <c r="F83">
        <v>0</v>
      </c>
      <c r="G83">
        <v>0</v>
      </c>
      <c r="H83">
        <v>0</v>
      </c>
      <c r="I83" t="s">
        <v>74</v>
      </c>
      <c r="J83">
        <v>0</v>
      </c>
      <c r="K83">
        <v>0.11</v>
      </c>
      <c r="L83">
        <v>0</v>
      </c>
      <c r="M83">
        <v>0</v>
      </c>
      <c r="N83">
        <v>0.11</v>
      </c>
      <c r="O83" t="s">
        <v>74</v>
      </c>
      <c r="P83">
        <v>0</v>
      </c>
      <c r="Q83" t="s">
        <v>74</v>
      </c>
      <c r="R83">
        <v>0</v>
      </c>
      <c r="S83" t="s">
        <v>74</v>
      </c>
      <c r="T83">
        <v>0</v>
      </c>
      <c r="U83" t="s">
        <v>74</v>
      </c>
      <c r="V83">
        <v>0</v>
      </c>
      <c r="W83" t="s">
        <v>74</v>
      </c>
      <c r="X83">
        <v>0</v>
      </c>
      <c r="Y83">
        <v>0.11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113</v>
      </c>
      <c r="AF83">
        <v>106</v>
      </c>
      <c r="AG83">
        <v>3</v>
      </c>
      <c r="AH83">
        <v>0</v>
      </c>
      <c r="AI83">
        <v>0.017000000000000001</v>
      </c>
      <c r="AK83" t="s">
        <v>75</v>
      </c>
      <c r="AM83">
        <v>400000</v>
      </c>
      <c r="AN83" t="s">
        <v>76</v>
      </c>
      <c r="AO83">
        <v>1</v>
      </c>
      <c r="AP83">
        <v>0</v>
      </c>
      <c r="AQ83">
        <v>33333.333333333336</v>
      </c>
      <c r="AR83" t="s">
        <v>393</v>
      </c>
      <c r="AS83" t="s">
        <v>78</v>
      </c>
      <c r="AX83" t="s">
        <v>79</v>
      </c>
      <c r="AY83" t="s">
        <v>74</v>
      </c>
      <c r="AZ83">
        <v>0</v>
      </c>
      <c r="BA83" t="s">
        <v>74</v>
      </c>
      <c r="BB83">
        <v>0</v>
      </c>
      <c r="BD83">
        <v>0.11</v>
      </c>
      <c r="BE83">
        <v>0</v>
      </c>
    </row>
    <row r="84" spans="1:58" ht="12.75">
      <c r="A84" s="2" t="str">
        <f>HYPERLINK("https://ibp.a2mac1.com/costing(costing:projects/details/8191/part/5381069)","Strut Stopper Support")</f>
        <v>Strut Stopper Support</v>
      </c>
      <c r="B84">
        <v>5381069</v>
      </c>
      <c r="C84">
        <v>5381004</v>
      </c>
      <c r="E84">
        <v>0.77</v>
      </c>
      <c r="F84">
        <v>0</v>
      </c>
      <c r="G84">
        <v>0</v>
      </c>
      <c r="H84">
        <v>0</v>
      </c>
      <c r="I84" t="s">
        <v>74</v>
      </c>
      <c r="J84">
        <v>0</v>
      </c>
      <c r="K84">
        <v>0.77</v>
      </c>
      <c r="L84">
        <v>0</v>
      </c>
      <c r="M84">
        <v>0</v>
      </c>
      <c r="N84">
        <v>0.77</v>
      </c>
      <c r="O84" t="s">
        <v>74</v>
      </c>
      <c r="P84">
        <v>0</v>
      </c>
      <c r="Q84" t="s">
        <v>74</v>
      </c>
      <c r="R84">
        <v>0</v>
      </c>
      <c r="S84" t="s">
        <v>74</v>
      </c>
      <c r="T84">
        <v>0</v>
      </c>
      <c r="U84" t="s">
        <v>74</v>
      </c>
      <c r="V84">
        <v>0</v>
      </c>
      <c r="W84" t="s">
        <v>74</v>
      </c>
      <c r="X84">
        <v>0</v>
      </c>
      <c r="Y84">
        <v>0.77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56</v>
      </c>
      <c r="AF84">
        <v>56</v>
      </c>
      <c r="AG84">
        <v>12</v>
      </c>
      <c r="AH84">
        <v>0</v>
      </c>
      <c r="AI84">
        <v>0.035</v>
      </c>
      <c r="AK84" t="s">
        <v>75</v>
      </c>
      <c r="AM84">
        <v>400000</v>
      </c>
      <c r="AN84" t="s">
        <v>76</v>
      </c>
      <c r="AO84">
        <v>1</v>
      </c>
      <c r="AP84">
        <v>0</v>
      </c>
      <c r="AQ84">
        <v>33333.333333333336</v>
      </c>
      <c r="AR84" t="s">
        <v>394</v>
      </c>
      <c r="AS84" t="s">
        <v>78</v>
      </c>
      <c r="AX84" t="s">
        <v>79</v>
      </c>
      <c r="AY84" t="s">
        <v>74</v>
      </c>
      <c r="AZ84">
        <v>0</v>
      </c>
      <c r="BA84" t="s">
        <v>74</v>
      </c>
      <c r="BB84">
        <v>0</v>
      </c>
      <c r="BD84">
        <v>0.77</v>
      </c>
      <c r="BE84">
        <v>0</v>
      </c>
    </row>
    <row r="85" spans="1:58" ht="12.75">
      <c r="A85" s="2" t="str">
        <f>HYPERLINK("https://ibp.a2mac1.com/costing(costing:projects/details/8191/part/5381070)","Shock Absorber")</f>
        <v>Shock Absorber</v>
      </c>
      <c r="B85">
        <v>5381070</v>
      </c>
      <c r="C85">
        <v>5381005</v>
      </c>
      <c r="E85">
        <v>5.60</v>
      </c>
      <c r="F85">
        <v>0</v>
      </c>
      <c r="G85">
        <v>0</v>
      </c>
      <c r="H85">
        <v>0.000112</v>
      </c>
      <c r="I85" t="s">
        <v>137</v>
      </c>
      <c r="J85">
        <v>0.19600000000000001</v>
      </c>
      <c r="K85">
        <v>5.7961119999999999</v>
      </c>
      <c r="L85">
        <v>3.5868502003549563</v>
      </c>
      <c r="M85">
        <v>12.553975701242347</v>
      </c>
      <c r="N85">
        <v>18.350087701242348</v>
      </c>
      <c r="O85" t="s">
        <v>138</v>
      </c>
      <c r="P85">
        <v>0.34776671999999997</v>
      </c>
      <c r="Q85" t="s">
        <v>138</v>
      </c>
      <c r="R85">
        <v>0.75323854207454088</v>
      </c>
      <c r="S85" t="s">
        <v>139</v>
      </c>
      <c r="T85">
        <v>2.2020105241490815</v>
      </c>
      <c r="U85" t="s">
        <v>90</v>
      </c>
      <c r="V85">
        <v>0</v>
      </c>
      <c r="W85" t="s">
        <v>90</v>
      </c>
      <c r="X85">
        <v>0</v>
      </c>
      <c r="Y85">
        <v>21.65310348746597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59</v>
      </c>
      <c r="AF85">
        <v>52</v>
      </c>
      <c r="AG85">
        <v>599</v>
      </c>
      <c r="AH85">
        <v>0</v>
      </c>
      <c r="AI85">
        <v>2.306</v>
      </c>
      <c r="AK85" t="s">
        <v>213</v>
      </c>
      <c r="AM85">
        <v>400000</v>
      </c>
      <c r="AN85" t="s">
        <v>76</v>
      </c>
      <c r="AO85">
        <v>1</v>
      </c>
      <c r="AP85">
        <v>0</v>
      </c>
      <c r="AQ85">
        <v>33333.333333333336</v>
      </c>
      <c r="AR85" t="s">
        <v>400</v>
      </c>
      <c r="AS85" t="s">
        <v>78</v>
      </c>
      <c r="AX85" t="s">
        <v>79</v>
      </c>
      <c r="AY85" t="s">
        <v>137</v>
      </c>
      <c r="AZ85">
        <v>0</v>
      </c>
      <c r="BA85" t="s">
        <v>137</v>
      </c>
      <c r="BB85">
        <v>0</v>
      </c>
      <c r="BE85">
        <v>0</v>
      </c>
    </row>
    <row r="86" spans="1:58" ht="12.75">
      <c r="A86" s="2" t="str">
        <f>HYPERLINK("https://ibp.a2mac1.com/costing(costing:projects/details/8191/part/5381071)","Dust Cover Shock Absorber")</f>
        <v>Dust Cover Shock Absorber</v>
      </c>
      <c r="B86">
        <v>5381071</v>
      </c>
      <c r="C86">
        <v>5381005</v>
      </c>
      <c r="E86">
        <v>0.08</v>
      </c>
      <c r="F86">
        <v>0</v>
      </c>
      <c r="G86">
        <v>0</v>
      </c>
      <c r="H86">
        <v>0</v>
      </c>
      <c r="I86" t="s">
        <v>74</v>
      </c>
      <c r="J86">
        <v>0</v>
      </c>
      <c r="K86">
        <v>0.08</v>
      </c>
      <c r="L86">
        <v>0</v>
      </c>
      <c r="M86">
        <v>0</v>
      </c>
      <c r="N86">
        <v>0.08</v>
      </c>
      <c r="O86" t="s">
        <v>74</v>
      </c>
      <c r="P86">
        <v>0</v>
      </c>
      <c r="Q86" t="s">
        <v>74</v>
      </c>
      <c r="R86">
        <v>0</v>
      </c>
      <c r="S86" t="s">
        <v>74</v>
      </c>
      <c r="T86">
        <v>0</v>
      </c>
      <c r="U86" t="s">
        <v>74</v>
      </c>
      <c r="V86">
        <v>0</v>
      </c>
      <c r="W86" t="s">
        <v>74</v>
      </c>
      <c r="X86">
        <v>0</v>
      </c>
      <c r="Y86">
        <v>0.08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76</v>
      </c>
      <c r="AF86">
        <v>76</v>
      </c>
      <c r="AG86">
        <v>200</v>
      </c>
      <c r="AH86">
        <v>0</v>
      </c>
      <c r="AI86">
        <v>0.032000000000000001</v>
      </c>
      <c r="AK86" t="s">
        <v>75</v>
      </c>
      <c r="AM86">
        <v>400000</v>
      </c>
      <c r="AN86" t="s">
        <v>76</v>
      </c>
      <c r="AO86">
        <v>1</v>
      </c>
      <c r="AP86">
        <v>0</v>
      </c>
      <c r="AQ86">
        <v>33333.333333333336</v>
      </c>
      <c r="AR86" t="s">
        <v>401</v>
      </c>
      <c r="AS86" t="s">
        <v>78</v>
      </c>
      <c r="AX86" t="s">
        <v>79</v>
      </c>
      <c r="AY86" t="s">
        <v>74</v>
      </c>
      <c r="AZ86">
        <v>0</v>
      </c>
      <c r="BA86" t="s">
        <v>74</v>
      </c>
      <c r="BB86">
        <v>0</v>
      </c>
      <c r="BD86">
        <v>0.08</v>
      </c>
      <c r="BE86">
        <v>0</v>
      </c>
    </row>
    <row r="87" spans="1:58" ht="12.75">
      <c r="A87" s="2" t="str">
        <f>HYPERLINK("https://ibp.a2mac1.com/costing(costing:projects/details/8191/part/5381072)","Dust Cover")</f>
        <v>Dust Cover</v>
      </c>
      <c r="B87">
        <v>5381072</v>
      </c>
      <c r="C87">
        <v>5381005</v>
      </c>
      <c r="E87">
        <v>0.26</v>
      </c>
      <c r="F87">
        <v>0</v>
      </c>
      <c r="G87">
        <v>0</v>
      </c>
      <c r="H87">
        <v>0</v>
      </c>
      <c r="I87" t="s">
        <v>74</v>
      </c>
      <c r="J87">
        <v>0</v>
      </c>
      <c r="K87">
        <v>0.26</v>
      </c>
      <c r="L87">
        <v>0</v>
      </c>
      <c r="M87">
        <v>0</v>
      </c>
      <c r="N87">
        <v>0.26</v>
      </c>
      <c r="O87" t="s">
        <v>74</v>
      </c>
      <c r="P87">
        <v>0</v>
      </c>
      <c r="Q87" t="s">
        <v>74</v>
      </c>
      <c r="R87">
        <v>0</v>
      </c>
      <c r="S87" t="s">
        <v>74</v>
      </c>
      <c r="T87">
        <v>0</v>
      </c>
      <c r="U87" t="s">
        <v>74</v>
      </c>
      <c r="V87">
        <v>0</v>
      </c>
      <c r="W87" t="s">
        <v>74</v>
      </c>
      <c r="X87">
        <v>0</v>
      </c>
      <c r="Y87">
        <v>0.26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60</v>
      </c>
      <c r="AF87">
        <v>60</v>
      </c>
      <c r="AG87">
        <v>112</v>
      </c>
      <c r="AH87">
        <v>0</v>
      </c>
      <c r="AI87">
        <v>0.043999999999999997</v>
      </c>
      <c r="AK87" t="s">
        <v>75</v>
      </c>
      <c r="AM87">
        <v>400000</v>
      </c>
      <c r="AN87" t="s">
        <v>76</v>
      </c>
      <c r="AO87">
        <v>1</v>
      </c>
      <c r="AP87">
        <v>0</v>
      </c>
      <c r="AQ87">
        <v>33333.333333333336</v>
      </c>
      <c r="AR87" t="s">
        <v>402</v>
      </c>
      <c r="AS87" t="s">
        <v>78</v>
      </c>
      <c r="AX87" t="s">
        <v>79</v>
      </c>
      <c r="AY87" t="s">
        <v>74</v>
      </c>
      <c r="AZ87">
        <v>0</v>
      </c>
      <c r="BA87" t="s">
        <v>74</v>
      </c>
      <c r="BB87">
        <v>0</v>
      </c>
      <c r="BD87">
        <v>0.26</v>
      </c>
      <c r="BE87">
        <v>0</v>
      </c>
    </row>
    <row r="88" spans="1:58" ht="12.75">
      <c r="A88" s="2" t="str">
        <f>HYPERLINK("https://ibp.a2mac1.com/costing(costing:projects/details/8191/part/5381073)","Strut Stopper")</f>
        <v>Strut Stopper</v>
      </c>
      <c r="B88">
        <v>5381073</v>
      </c>
      <c r="C88">
        <v>5381005</v>
      </c>
      <c r="E88">
        <v>0.75</v>
      </c>
      <c r="F88">
        <v>0</v>
      </c>
      <c r="G88">
        <v>0</v>
      </c>
      <c r="H88">
        <v>0</v>
      </c>
      <c r="I88" t="s">
        <v>74</v>
      </c>
      <c r="J88">
        <v>0</v>
      </c>
      <c r="K88">
        <v>0.75</v>
      </c>
      <c r="L88">
        <v>0</v>
      </c>
      <c r="M88">
        <v>0</v>
      </c>
      <c r="N88">
        <v>0.75</v>
      </c>
      <c r="O88" t="s">
        <v>74</v>
      </c>
      <c r="P88">
        <v>0</v>
      </c>
      <c r="Q88" t="s">
        <v>74</v>
      </c>
      <c r="R88">
        <v>0</v>
      </c>
      <c r="S88" t="s">
        <v>74</v>
      </c>
      <c r="T88">
        <v>0</v>
      </c>
      <c r="U88" t="s">
        <v>74</v>
      </c>
      <c r="V88">
        <v>0</v>
      </c>
      <c r="W88" t="s">
        <v>74</v>
      </c>
      <c r="X88">
        <v>0</v>
      </c>
      <c r="Y88">
        <v>0.75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67</v>
      </c>
      <c r="AF88">
        <v>67</v>
      </c>
      <c r="AG88">
        <v>112</v>
      </c>
      <c r="AH88">
        <v>0</v>
      </c>
      <c r="AI88">
        <v>0.114</v>
      </c>
      <c r="AK88" t="s">
        <v>75</v>
      </c>
      <c r="AM88">
        <v>400000</v>
      </c>
      <c r="AN88" t="s">
        <v>76</v>
      </c>
      <c r="AO88">
        <v>1</v>
      </c>
      <c r="AP88">
        <v>0</v>
      </c>
      <c r="AQ88">
        <v>33333.333333333336</v>
      </c>
      <c r="AR88" t="s">
        <v>403</v>
      </c>
      <c r="AS88" t="s">
        <v>78</v>
      </c>
      <c r="AX88" t="s">
        <v>79</v>
      </c>
      <c r="AY88" t="s">
        <v>74</v>
      </c>
      <c r="AZ88">
        <v>0</v>
      </c>
      <c r="BA88" t="s">
        <v>74</v>
      </c>
      <c r="BB88">
        <v>0</v>
      </c>
      <c r="BD88">
        <v>0.75</v>
      </c>
      <c r="BE88">
        <v>0</v>
      </c>
    </row>
    <row r="89" spans="1:58" ht="12.75">
      <c r="A89" s="2" t="str">
        <f>HYPERLINK("https://ibp.a2mac1.com/costing(costing:projects/details/8191/part/5381074)","Stopper Protection")</f>
        <v>Stopper Protection</v>
      </c>
      <c r="B89">
        <v>5381074</v>
      </c>
      <c r="C89">
        <v>5381005</v>
      </c>
      <c r="E89">
        <v>0.48</v>
      </c>
      <c r="F89">
        <v>0</v>
      </c>
      <c r="G89">
        <v>0</v>
      </c>
      <c r="H89">
        <v>0</v>
      </c>
      <c r="I89" t="s">
        <v>74</v>
      </c>
      <c r="J89">
        <v>0</v>
      </c>
      <c r="K89">
        <v>0.48</v>
      </c>
      <c r="L89">
        <v>0</v>
      </c>
      <c r="M89">
        <v>0</v>
      </c>
      <c r="N89">
        <v>0.48</v>
      </c>
      <c r="O89" t="s">
        <v>74</v>
      </c>
      <c r="P89">
        <v>0</v>
      </c>
      <c r="Q89" t="s">
        <v>74</v>
      </c>
      <c r="R89">
        <v>0</v>
      </c>
      <c r="S89" t="s">
        <v>74</v>
      </c>
      <c r="T89">
        <v>0</v>
      </c>
      <c r="U89" t="s">
        <v>74</v>
      </c>
      <c r="V89">
        <v>0</v>
      </c>
      <c r="W89" t="s">
        <v>74</v>
      </c>
      <c r="X89">
        <v>0</v>
      </c>
      <c r="Y89">
        <v>0.48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61</v>
      </c>
      <c r="AF89">
        <v>61</v>
      </c>
      <c r="AG89">
        <v>18</v>
      </c>
      <c r="AH89">
        <v>0</v>
      </c>
      <c r="AI89">
        <v>0.050999999999999997</v>
      </c>
      <c r="AK89" t="s">
        <v>75</v>
      </c>
      <c r="AM89">
        <v>400000</v>
      </c>
      <c r="AN89" t="s">
        <v>76</v>
      </c>
      <c r="AO89">
        <v>1</v>
      </c>
      <c r="AP89">
        <v>0</v>
      </c>
      <c r="AQ89">
        <v>33333.333333333336</v>
      </c>
      <c r="AR89" t="s">
        <v>404</v>
      </c>
      <c r="AS89" t="s">
        <v>78</v>
      </c>
      <c r="AX89" t="s">
        <v>79</v>
      </c>
      <c r="AY89" t="s">
        <v>74</v>
      </c>
      <c r="AZ89">
        <v>0</v>
      </c>
      <c r="BA89" t="s">
        <v>74</v>
      </c>
      <c r="BB89">
        <v>0</v>
      </c>
      <c r="BD89">
        <v>0.48</v>
      </c>
      <c r="BE89">
        <v>0</v>
      </c>
    </row>
    <row r="90" spans="1:58" ht="12.75">
      <c r="A90" s="2" t="str">
        <f>HYPERLINK("https://ibp.a2mac1.com/costing(costing:projects/details/8191/part/5381075)","Upper Fastener")</f>
        <v>Upper Fastener</v>
      </c>
      <c r="B90">
        <v>5381075</v>
      </c>
      <c r="C90">
        <v>5381005</v>
      </c>
      <c r="E90">
        <v>4.02</v>
      </c>
      <c r="F90">
        <v>0</v>
      </c>
      <c r="G90">
        <v>0</v>
      </c>
      <c r="H90">
        <v>0</v>
      </c>
      <c r="I90" t="s">
        <v>74</v>
      </c>
      <c r="J90">
        <v>0</v>
      </c>
      <c r="K90">
        <v>4.02</v>
      </c>
      <c r="L90">
        <v>0</v>
      </c>
      <c r="M90">
        <v>0</v>
      </c>
      <c r="N90">
        <v>4.02</v>
      </c>
      <c r="O90" t="s">
        <v>74</v>
      </c>
      <c r="P90">
        <v>0</v>
      </c>
      <c r="Q90" t="s">
        <v>74</v>
      </c>
      <c r="R90">
        <v>0</v>
      </c>
      <c r="S90" t="s">
        <v>74</v>
      </c>
      <c r="T90">
        <v>0</v>
      </c>
      <c r="U90" t="s">
        <v>74</v>
      </c>
      <c r="V90">
        <v>0</v>
      </c>
      <c r="W90" t="s">
        <v>74</v>
      </c>
      <c r="X90">
        <v>0</v>
      </c>
      <c r="Y90">
        <v>4.02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79</v>
      </c>
      <c r="AF90">
        <v>152</v>
      </c>
      <c r="AG90">
        <v>68</v>
      </c>
      <c r="AH90">
        <v>0</v>
      </c>
      <c r="AI90">
        <v>0.55700000000000005</v>
      </c>
      <c r="AK90" t="s">
        <v>75</v>
      </c>
      <c r="AM90">
        <v>400000</v>
      </c>
      <c r="AN90" t="s">
        <v>76</v>
      </c>
      <c r="AO90">
        <v>1</v>
      </c>
      <c r="AP90">
        <v>0</v>
      </c>
      <c r="AQ90">
        <v>33333.333333333336</v>
      </c>
      <c r="AR90" t="s">
        <v>405</v>
      </c>
      <c r="AS90" t="s">
        <v>78</v>
      </c>
      <c r="AX90" t="s">
        <v>79</v>
      </c>
      <c r="AY90" t="s">
        <v>74</v>
      </c>
      <c r="AZ90">
        <v>0</v>
      </c>
      <c r="BA90" t="s">
        <v>74</v>
      </c>
      <c r="BB90">
        <v>0</v>
      </c>
      <c r="BD90">
        <v>4.02</v>
      </c>
      <c r="BE90">
        <v>0</v>
      </c>
    </row>
    <row r="91" spans="1:58" ht="12.75">
      <c r="A91" s="2" t="str">
        <f>HYPERLINK("https://ibp.a2mac1.com/costing(costing:projects/details/8191/part/5381076)","Tower Cover")</f>
        <v>Tower Cover</v>
      </c>
      <c r="B91">
        <v>5381076</v>
      </c>
      <c r="C91">
        <v>5381005</v>
      </c>
      <c r="E91">
        <v>0.03</v>
      </c>
      <c r="F91">
        <v>0</v>
      </c>
      <c r="G91">
        <v>0</v>
      </c>
      <c r="H91">
        <v>0</v>
      </c>
      <c r="I91" t="s">
        <v>74</v>
      </c>
      <c r="J91">
        <v>0</v>
      </c>
      <c r="K91">
        <v>0.03</v>
      </c>
      <c r="L91">
        <v>0</v>
      </c>
      <c r="M91">
        <v>0</v>
      </c>
      <c r="N91">
        <v>0.03</v>
      </c>
      <c r="O91" t="s">
        <v>74</v>
      </c>
      <c r="P91">
        <v>0</v>
      </c>
      <c r="Q91" t="s">
        <v>74</v>
      </c>
      <c r="R91">
        <v>0</v>
      </c>
      <c r="S91" t="s">
        <v>74</v>
      </c>
      <c r="T91">
        <v>0</v>
      </c>
      <c r="U91" t="s">
        <v>74</v>
      </c>
      <c r="V91">
        <v>0</v>
      </c>
      <c r="W91" t="s">
        <v>74</v>
      </c>
      <c r="X91">
        <v>0</v>
      </c>
      <c r="Y91">
        <v>0.03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62</v>
      </c>
      <c r="AF91">
        <v>62</v>
      </c>
      <c r="AG91">
        <v>30</v>
      </c>
      <c r="AH91">
        <v>0</v>
      </c>
      <c r="AI91">
        <v>0.0080000000000000002</v>
      </c>
      <c r="AK91" t="s">
        <v>75</v>
      </c>
      <c r="AM91">
        <v>400000</v>
      </c>
      <c r="AN91" t="s">
        <v>76</v>
      </c>
      <c r="AO91">
        <v>1</v>
      </c>
      <c r="AP91">
        <v>0</v>
      </c>
      <c r="AQ91">
        <v>33333.333333333336</v>
      </c>
      <c r="AR91" t="s">
        <v>406</v>
      </c>
      <c r="AS91" t="s">
        <v>78</v>
      </c>
      <c r="AX91" t="s">
        <v>79</v>
      </c>
      <c r="AY91" t="s">
        <v>74</v>
      </c>
      <c r="AZ91">
        <v>0</v>
      </c>
      <c r="BA91" t="s">
        <v>74</v>
      </c>
      <c r="BB91">
        <v>0</v>
      </c>
      <c r="BD91">
        <v>0.03</v>
      </c>
      <c r="BE91">
        <v>0</v>
      </c>
    </row>
    <row r="92" spans="1:58" ht="12.75">
      <c r="A92" s="2" t="str">
        <f>HYPERLINK("https://ibp.a2mac1.com/costing(costing:projects/details/8191/part/5381001)","Coil Spring")</f>
        <v>Coil Spring</v>
      </c>
      <c r="B92">
        <v>5381001</v>
      </c>
      <c r="C92">
        <v>5380998</v>
      </c>
      <c r="E92">
        <v>15.44</v>
      </c>
      <c r="F92">
        <v>0</v>
      </c>
      <c r="G92">
        <v>0</v>
      </c>
      <c r="H92">
        <v>0</v>
      </c>
      <c r="I92" t="s">
        <v>74</v>
      </c>
      <c r="J92">
        <v>0</v>
      </c>
      <c r="K92">
        <v>15.44</v>
      </c>
      <c r="L92">
        <v>0</v>
      </c>
      <c r="M92">
        <v>0</v>
      </c>
      <c r="N92">
        <v>15.44</v>
      </c>
      <c r="O92" t="s">
        <v>74</v>
      </c>
      <c r="P92">
        <v>0</v>
      </c>
      <c r="Q92" t="s">
        <v>74</v>
      </c>
      <c r="R92">
        <v>0</v>
      </c>
      <c r="S92" t="s">
        <v>74</v>
      </c>
      <c r="T92">
        <v>0</v>
      </c>
      <c r="U92" t="s">
        <v>74</v>
      </c>
      <c r="V92">
        <v>0</v>
      </c>
      <c r="W92" t="s">
        <v>74</v>
      </c>
      <c r="X92">
        <v>0</v>
      </c>
      <c r="Y92">
        <v>15.44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130</v>
      </c>
      <c r="AF92">
        <v>130</v>
      </c>
      <c r="AG92">
        <v>305</v>
      </c>
      <c r="AH92">
        <v>0</v>
      </c>
      <c r="AI92">
        <v>3.54</v>
      </c>
      <c r="AK92" t="s">
        <v>218</v>
      </c>
      <c r="AM92">
        <v>400000</v>
      </c>
      <c r="AN92" t="s">
        <v>92</v>
      </c>
      <c r="AO92">
        <v>2</v>
      </c>
      <c r="AP92">
        <v>0</v>
      </c>
      <c r="AQ92">
        <v>33333.333333333336</v>
      </c>
      <c r="AR92" t="s">
        <v>9</v>
      </c>
      <c r="AS92" t="s">
        <v>78</v>
      </c>
      <c r="AX92" t="s">
        <v>79</v>
      </c>
      <c r="AY92" t="s">
        <v>74</v>
      </c>
      <c r="AZ92">
        <v>0</v>
      </c>
      <c r="BA92" t="s">
        <v>74</v>
      </c>
      <c r="BB92">
        <v>0</v>
      </c>
      <c r="BD92">
        <v>7.72</v>
      </c>
      <c r="BE92">
        <v>0</v>
      </c>
    </row>
    <row r="93" spans="1:58" ht="12.75">
      <c r="A93" s="2" t="str">
        <f>HYPERLINK("https://ibp.a2mac1.com/costing(costing:projects/details/8191/part/5381002)","Upper Coil Spring Tower")</f>
        <v>Upper Coil Spring Tower</v>
      </c>
      <c r="B93">
        <v>5381002</v>
      </c>
      <c r="C93">
        <v>5380998</v>
      </c>
      <c r="E93">
        <v>1.32</v>
      </c>
      <c r="F93">
        <v>0</v>
      </c>
      <c r="G93">
        <v>0</v>
      </c>
      <c r="H93">
        <v>0</v>
      </c>
      <c r="I93" t="s">
        <v>74</v>
      </c>
      <c r="J93">
        <v>0</v>
      </c>
      <c r="K93">
        <v>1.32</v>
      </c>
      <c r="L93">
        <v>0</v>
      </c>
      <c r="M93">
        <v>0</v>
      </c>
      <c r="N93">
        <v>1.32</v>
      </c>
      <c r="O93" t="s">
        <v>74</v>
      </c>
      <c r="P93">
        <v>0</v>
      </c>
      <c r="Q93" t="s">
        <v>74</v>
      </c>
      <c r="R93">
        <v>0</v>
      </c>
      <c r="S93" t="s">
        <v>74</v>
      </c>
      <c r="T93">
        <v>0</v>
      </c>
      <c r="U93" t="s">
        <v>74</v>
      </c>
      <c r="V93">
        <v>0</v>
      </c>
      <c r="W93" t="s">
        <v>74</v>
      </c>
      <c r="X93">
        <v>0</v>
      </c>
      <c r="Y93">
        <v>1.32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107</v>
      </c>
      <c r="AF93">
        <v>107</v>
      </c>
      <c r="AG93">
        <v>25</v>
      </c>
      <c r="AH93">
        <v>0</v>
      </c>
      <c r="AI93">
        <v>0.123</v>
      </c>
      <c r="AK93" t="s">
        <v>218</v>
      </c>
      <c r="AM93">
        <v>400000</v>
      </c>
      <c r="AN93" t="s">
        <v>92</v>
      </c>
      <c r="AO93">
        <v>2</v>
      </c>
      <c r="AP93">
        <v>0</v>
      </c>
      <c r="AQ93">
        <v>33333.333333333336</v>
      </c>
      <c r="AR93" t="s">
        <v>9</v>
      </c>
      <c r="AS93" t="s">
        <v>78</v>
      </c>
      <c r="AX93" t="s">
        <v>79</v>
      </c>
      <c r="AY93" t="s">
        <v>74</v>
      </c>
      <c r="AZ93">
        <v>0</v>
      </c>
      <c r="BA93" t="s">
        <v>74</v>
      </c>
      <c r="BB93">
        <v>0</v>
      </c>
      <c r="BD93">
        <v>0.66</v>
      </c>
      <c r="BE93">
        <v>0</v>
      </c>
    </row>
    <row r="94" spans="1:58" ht="12.75">
      <c r="A94" s="2" t="str">
        <f>HYPERLINK("https://ibp.a2mac1.com/costing(costing:projects/details/8191/part/5381003)","Lower Coil Spring Tower")</f>
        <v>Lower Coil Spring Tower</v>
      </c>
      <c r="B94">
        <v>5381003</v>
      </c>
      <c r="C94">
        <v>5380998</v>
      </c>
      <c r="E94">
        <v>0.54</v>
      </c>
      <c r="F94">
        <v>0</v>
      </c>
      <c r="G94">
        <v>0</v>
      </c>
      <c r="H94">
        <v>0</v>
      </c>
      <c r="I94" t="s">
        <v>74</v>
      </c>
      <c r="J94">
        <v>0</v>
      </c>
      <c r="K94">
        <v>0.54</v>
      </c>
      <c r="L94">
        <v>0</v>
      </c>
      <c r="M94">
        <v>0</v>
      </c>
      <c r="N94">
        <v>0.54</v>
      </c>
      <c r="O94" t="s">
        <v>74</v>
      </c>
      <c r="P94">
        <v>0</v>
      </c>
      <c r="Q94" t="s">
        <v>74</v>
      </c>
      <c r="R94">
        <v>0</v>
      </c>
      <c r="S94" t="s">
        <v>74</v>
      </c>
      <c r="T94">
        <v>0</v>
      </c>
      <c r="U94" t="s">
        <v>74</v>
      </c>
      <c r="V94">
        <v>0</v>
      </c>
      <c r="W94" t="s">
        <v>74</v>
      </c>
      <c r="X94">
        <v>0</v>
      </c>
      <c r="Y94">
        <v>0.54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101</v>
      </c>
      <c r="AF94">
        <v>116</v>
      </c>
      <c r="AG94">
        <v>37</v>
      </c>
      <c r="AH94">
        <v>0</v>
      </c>
      <c r="AI94">
        <v>0.058000000000000003</v>
      </c>
      <c r="AK94" t="s">
        <v>218</v>
      </c>
      <c r="AM94">
        <v>400000</v>
      </c>
      <c r="AN94" t="s">
        <v>92</v>
      </c>
      <c r="AO94">
        <v>2</v>
      </c>
      <c r="AP94">
        <v>0</v>
      </c>
      <c r="AQ94">
        <v>33333.333333333336</v>
      </c>
      <c r="AR94" t="s">
        <v>9</v>
      </c>
      <c r="AS94" t="s">
        <v>78</v>
      </c>
      <c r="AX94" t="s">
        <v>79</v>
      </c>
      <c r="AY94" t="s">
        <v>74</v>
      </c>
      <c r="AZ94">
        <v>0</v>
      </c>
      <c r="BA94" t="s">
        <v>74</v>
      </c>
      <c r="BB94">
        <v>0</v>
      </c>
      <c r="BD94">
        <v>0.27</v>
      </c>
      <c r="BE94">
        <v>0</v>
      </c>
    </row>
    <row r="95" spans="1:58" ht="12.75">
      <c r="A95" s="2" t="str">
        <f>HYPERLINK("https://ibp.a2mac1.com/costing(costing:projects/details/8191/part/5381094)","Rear Reinforcement")</f>
        <v>Rear Reinforcement</v>
      </c>
      <c r="B95">
        <v>5381094</v>
      </c>
      <c r="C95">
        <v>5381079</v>
      </c>
      <c r="E95">
        <v>3.64</v>
      </c>
      <c r="F95">
        <v>0</v>
      </c>
      <c r="G95">
        <v>0</v>
      </c>
      <c r="H95">
        <v>0</v>
      </c>
      <c r="I95" t="s">
        <v>74</v>
      </c>
      <c r="J95">
        <v>0</v>
      </c>
      <c r="K95">
        <v>3.64</v>
      </c>
      <c r="L95">
        <v>0</v>
      </c>
      <c r="M95">
        <v>0</v>
      </c>
      <c r="N95">
        <v>3.64</v>
      </c>
      <c r="O95" t="s">
        <v>74</v>
      </c>
      <c r="P95">
        <v>0</v>
      </c>
      <c r="Q95" t="s">
        <v>74</v>
      </c>
      <c r="R95">
        <v>0</v>
      </c>
      <c r="S95" t="s">
        <v>74</v>
      </c>
      <c r="T95">
        <v>0</v>
      </c>
      <c r="U95" t="s">
        <v>74</v>
      </c>
      <c r="V95">
        <v>0</v>
      </c>
      <c r="W95" t="s">
        <v>74</v>
      </c>
      <c r="X95">
        <v>0</v>
      </c>
      <c r="Y95">
        <v>3.64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162</v>
      </c>
      <c r="AF95">
        <v>178</v>
      </c>
      <c r="AG95">
        <v>25</v>
      </c>
      <c r="AH95">
        <v>0</v>
      </c>
      <c r="AI95">
        <v>0.46600000000000003</v>
      </c>
      <c r="AK95" t="s">
        <v>75</v>
      </c>
      <c r="AM95">
        <v>400000</v>
      </c>
      <c r="AN95" t="s">
        <v>76</v>
      </c>
      <c r="AO95">
        <v>2</v>
      </c>
      <c r="AP95">
        <v>0</v>
      </c>
      <c r="AQ95">
        <v>33333.333333333336</v>
      </c>
      <c r="AR95" t="s">
        <v>413</v>
      </c>
      <c r="AS95" t="s">
        <v>78</v>
      </c>
      <c r="AX95" t="s">
        <v>79</v>
      </c>
      <c r="AY95" t="s">
        <v>74</v>
      </c>
      <c r="AZ95">
        <v>0</v>
      </c>
      <c r="BA95" t="s">
        <v>74</v>
      </c>
      <c r="BB95">
        <v>0</v>
      </c>
      <c r="BD95">
        <v>1.82</v>
      </c>
      <c r="BE95">
        <v>0</v>
      </c>
    </row>
    <row r="96" spans="1:58" ht="12.75">
      <c r="A96" s="2" t="str">
        <f>HYPERLINK("https://ibp.a2mac1.com/costing(costing:projects/details/8191/part/5381095)","Front Reinforcement")</f>
        <v>Front Reinforcement</v>
      </c>
      <c r="B96">
        <v>5381095</v>
      </c>
      <c r="C96">
        <v>5381079</v>
      </c>
      <c r="E96">
        <v>11.49</v>
      </c>
      <c r="F96">
        <v>0</v>
      </c>
      <c r="G96">
        <v>0</v>
      </c>
      <c r="H96">
        <v>0</v>
      </c>
      <c r="I96" t="s">
        <v>74</v>
      </c>
      <c r="J96">
        <v>0</v>
      </c>
      <c r="K96">
        <v>11.49</v>
      </c>
      <c r="L96">
        <v>0</v>
      </c>
      <c r="M96">
        <v>0</v>
      </c>
      <c r="N96">
        <v>11.49</v>
      </c>
      <c r="O96" t="s">
        <v>74</v>
      </c>
      <c r="P96">
        <v>0</v>
      </c>
      <c r="Q96" t="s">
        <v>74</v>
      </c>
      <c r="R96">
        <v>0</v>
      </c>
      <c r="S96" t="s">
        <v>74</v>
      </c>
      <c r="T96">
        <v>0</v>
      </c>
      <c r="U96" t="s">
        <v>74</v>
      </c>
      <c r="V96">
        <v>0</v>
      </c>
      <c r="W96" t="s">
        <v>74</v>
      </c>
      <c r="X96">
        <v>0</v>
      </c>
      <c r="Y96">
        <v>11.49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175</v>
      </c>
      <c r="AF96">
        <v>656</v>
      </c>
      <c r="AG96">
        <v>65</v>
      </c>
      <c r="AH96">
        <v>0</v>
      </c>
      <c r="AI96">
        <v>3.0840000000000001</v>
      </c>
      <c r="AK96" t="s">
        <v>75</v>
      </c>
      <c r="AM96">
        <v>200000</v>
      </c>
      <c r="AN96" t="s">
        <v>76</v>
      </c>
      <c r="AO96">
        <v>1</v>
      </c>
      <c r="AP96">
        <v>0</v>
      </c>
      <c r="AQ96">
        <v>16666.666666666668</v>
      </c>
      <c r="AR96" t="s">
        <v>414</v>
      </c>
      <c r="AS96" t="s">
        <v>78</v>
      </c>
      <c r="AX96" t="s">
        <v>79</v>
      </c>
      <c r="AY96" t="s">
        <v>74</v>
      </c>
      <c r="AZ96">
        <v>0</v>
      </c>
      <c r="BA96" t="s">
        <v>74</v>
      </c>
      <c r="BB96">
        <v>0</v>
      </c>
      <c r="BD96">
        <v>11.49</v>
      </c>
      <c r="BE96">
        <v>0</v>
      </c>
    </row>
    <row r="97" spans="1:58" ht="12.75">
      <c r="A97" s="2" t="str">
        <f>HYPERLINK("https://ibp.a2mac1.com/costing(costing:projects/details/8191/part/5381096)","Left Lower Triangle")</f>
        <v>Left Lower Triangle</v>
      </c>
      <c r="B97">
        <v>5381096</v>
      </c>
      <c r="C97">
        <v>5381080</v>
      </c>
      <c r="E97">
        <v>25.64</v>
      </c>
      <c r="F97">
        <v>0</v>
      </c>
      <c r="G97">
        <v>0</v>
      </c>
      <c r="H97">
        <v>0.0005128</v>
      </c>
      <c r="I97" t="s">
        <v>137</v>
      </c>
      <c r="J97">
        <v>0.89739999999999998</v>
      </c>
      <c r="K97">
        <v>26.537912800000001</v>
      </c>
      <c r="L97">
        <v>1.1250468159522045</v>
      </c>
      <c r="M97">
        <v>3.9376638558327159</v>
      </c>
      <c r="N97">
        <v>30.475576655832715</v>
      </c>
      <c r="O97" t="s">
        <v>138</v>
      </c>
      <c r="P97">
        <v>1.592274768</v>
      </c>
      <c r="Q97" t="s">
        <v>138</v>
      </c>
      <c r="R97">
        <v>0.23625983134996295</v>
      </c>
      <c r="S97" t="s">
        <v>139</v>
      </c>
      <c r="T97">
        <v>3.6570691986999257</v>
      </c>
      <c r="U97" t="s">
        <v>90</v>
      </c>
      <c r="V97">
        <v>0</v>
      </c>
      <c r="W97" t="s">
        <v>90</v>
      </c>
      <c r="X97">
        <v>0</v>
      </c>
      <c r="Y97">
        <v>35.961180453882605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402</v>
      </c>
      <c r="AF97">
        <v>417</v>
      </c>
      <c r="AG97">
        <v>50</v>
      </c>
      <c r="AH97">
        <v>0</v>
      </c>
      <c r="AI97">
        <v>3.505</v>
      </c>
      <c r="AK97" t="s">
        <v>213</v>
      </c>
      <c r="AM97">
        <v>400000</v>
      </c>
      <c r="AN97" t="s">
        <v>76</v>
      </c>
      <c r="AO97">
        <v>2</v>
      </c>
      <c r="AP97">
        <v>0</v>
      </c>
      <c r="AQ97">
        <v>33333.333333333336</v>
      </c>
      <c r="AR97" t="s">
        <v>419</v>
      </c>
      <c r="AS97" t="s">
        <v>78</v>
      </c>
      <c r="AX97" t="s">
        <v>79</v>
      </c>
      <c r="AY97" t="s">
        <v>137</v>
      </c>
      <c r="AZ97">
        <v>0</v>
      </c>
      <c r="BA97" t="s">
        <v>137</v>
      </c>
      <c r="BB97">
        <v>0</v>
      </c>
      <c r="BE97">
        <v>0</v>
      </c>
    </row>
    <row r="98" spans="1:58" ht="12.75">
      <c r="A98" s="2" t="str">
        <f>HYPERLINK("https://ibp.a2mac1.com/costing(costing:projects/details/8191/part/5381097)","Stabilizer Bar, Rubber Mounts and Brackets")</f>
        <v>Stabilizer Bar, Rubber Mounts and Brackets</v>
      </c>
      <c r="B98">
        <v>5381097</v>
      </c>
      <c r="C98">
        <v>5381081</v>
      </c>
      <c r="E98">
        <v>11.34</v>
      </c>
      <c r="F98">
        <v>0</v>
      </c>
      <c r="G98">
        <v>0</v>
      </c>
      <c r="H98">
        <v>0.00022680000000000001</v>
      </c>
      <c r="I98" t="s">
        <v>137</v>
      </c>
      <c r="J98">
        <v>0.39689999999999998</v>
      </c>
      <c r="K98">
        <v>11.7371268</v>
      </c>
      <c r="L98">
        <v>0.80874586914781499</v>
      </c>
      <c r="M98">
        <v>2.8306105420173524</v>
      </c>
      <c r="N98">
        <v>14.567737342017352</v>
      </c>
      <c r="O98" t="s">
        <v>138</v>
      </c>
      <c r="P98">
        <v>0.70422760799999995</v>
      </c>
      <c r="Q98" t="s">
        <v>138</v>
      </c>
      <c r="R98">
        <v>0.16983663252104114</v>
      </c>
      <c r="S98" t="s">
        <v>139</v>
      </c>
      <c r="T98">
        <v>1.7481284810420823</v>
      </c>
      <c r="U98" t="s">
        <v>90</v>
      </c>
      <c r="V98">
        <v>0</v>
      </c>
      <c r="W98" t="s">
        <v>90</v>
      </c>
      <c r="X98">
        <v>0</v>
      </c>
      <c r="Y98">
        <v>17.189930063580476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260</v>
      </c>
      <c r="AF98">
        <v>1065</v>
      </c>
      <c r="AG98">
        <v>114</v>
      </c>
      <c r="AH98">
        <v>0</v>
      </c>
      <c r="AI98">
        <v>4.0819999999999999</v>
      </c>
      <c r="AK98" t="s">
        <v>213</v>
      </c>
      <c r="AM98">
        <v>200000</v>
      </c>
      <c r="AN98" t="s">
        <v>76</v>
      </c>
      <c r="AO98">
        <v>1</v>
      </c>
      <c r="AP98">
        <v>0</v>
      </c>
      <c r="AQ98">
        <v>16666.666666666668</v>
      </c>
      <c r="AR98" t="s">
        <v>424</v>
      </c>
      <c r="AS98" t="s">
        <v>78</v>
      </c>
      <c r="AX98" t="s">
        <v>79</v>
      </c>
      <c r="AY98" t="s">
        <v>137</v>
      </c>
      <c r="AZ98">
        <v>0</v>
      </c>
      <c r="BA98" t="s">
        <v>137</v>
      </c>
      <c r="BB98">
        <v>0</v>
      </c>
      <c r="BE98">
        <v>0</v>
      </c>
    </row>
    <row r="99" spans="1:58" ht="12.75">
      <c r="A99" s="2" t="str">
        <f>HYPERLINK("https://ibp.a2mac1.com/costing(costing:projects/details/8191/part/5381098)","Stabilizer Link")</f>
        <v>Stabilizer Link</v>
      </c>
      <c r="B99">
        <v>5381098</v>
      </c>
      <c r="C99">
        <v>5381081</v>
      </c>
      <c r="E99">
        <v>10.20</v>
      </c>
      <c r="F99">
        <v>0</v>
      </c>
      <c r="G99">
        <v>0</v>
      </c>
      <c r="H99">
        <v>0</v>
      </c>
      <c r="I99" t="s">
        <v>74</v>
      </c>
      <c r="J99">
        <v>0</v>
      </c>
      <c r="K99">
        <v>10.20</v>
      </c>
      <c r="L99">
        <v>0</v>
      </c>
      <c r="M99">
        <v>0</v>
      </c>
      <c r="N99">
        <v>10.20</v>
      </c>
      <c r="O99" t="s">
        <v>74</v>
      </c>
      <c r="P99">
        <v>0</v>
      </c>
      <c r="Q99" t="s">
        <v>74</v>
      </c>
      <c r="R99">
        <v>0</v>
      </c>
      <c r="S99" t="s">
        <v>74</v>
      </c>
      <c r="T99">
        <v>0</v>
      </c>
      <c r="U99" t="s">
        <v>74</v>
      </c>
      <c r="V99">
        <v>0</v>
      </c>
      <c r="W99" t="s">
        <v>74</v>
      </c>
      <c r="X99">
        <v>0</v>
      </c>
      <c r="Y99">
        <v>10.20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49</v>
      </c>
      <c r="AF99">
        <v>84</v>
      </c>
      <c r="AG99">
        <v>345</v>
      </c>
      <c r="AH99">
        <v>0</v>
      </c>
      <c r="AI99">
        <v>0.38450000000000001</v>
      </c>
      <c r="AK99" t="s">
        <v>91</v>
      </c>
      <c r="AM99">
        <v>400000</v>
      </c>
      <c r="AN99" t="s">
        <v>92</v>
      </c>
      <c r="AO99">
        <v>2</v>
      </c>
      <c r="AP99">
        <v>0</v>
      </c>
      <c r="AQ99">
        <v>33333.333333333336</v>
      </c>
      <c r="AR99" t="s">
        <v>425</v>
      </c>
      <c r="AS99" t="s">
        <v>78</v>
      </c>
      <c r="AX99" t="s">
        <v>79</v>
      </c>
      <c r="AY99" t="s">
        <v>74</v>
      </c>
      <c r="AZ99">
        <v>0</v>
      </c>
      <c r="BA99" t="s">
        <v>74</v>
      </c>
      <c r="BB99">
        <v>0</v>
      </c>
      <c r="BD99">
        <v>5.10</v>
      </c>
      <c r="BE99">
        <v>0</v>
      </c>
    </row>
    <row r="100" spans="1:58" ht="12.75">
      <c r="A100" s="2" t="str">
        <f>HYPERLINK("https://ibp.a2mac1.com/costing(costing:projects/details/8191/part/5381099)","Steering Knuckle")</f>
        <v>Steering Knuckle</v>
      </c>
      <c r="B100">
        <v>5381099</v>
      </c>
      <c r="C100">
        <v>5381082</v>
      </c>
      <c r="E100">
        <v>23.036000000000001</v>
      </c>
      <c r="F100">
        <v>0</v>
      </c>
      <c r="G100">
        <v>0</v>
      </c>
      <c r="H100">
        <v>0.00046072000000000002</v>
      </c>
      <c r="I100" t="s">
        <v>90</v>
      </c>
      <c r="J100">
        <v>0</v>
      </c>
      <c r="K100">
        <v>23.036460720000001</v>
      </c>
      <c r="L100">
        <v>0</v>
      </c>
      <c r="M100">
        <v>20.218646728695372</v>
      </c>
      <c r="N100">
        <v>43.255107448695377</v>
      </c>
      <c r="O100" t="s">
        <v>90</v>
      </c>
      <c r="P100">
        <v>0</v>
      </c>
      <c r="Q100" t="s">
        <v>90</v>
      </c>
      <c r="R100">
        <v>0</v>
      </c>
      <c r="S100" t="s">
        <v>90</v>
      </c>
      <c r="T100">
        <v>0</v>
      </c>
      <c r="U100" t="s">
        <v>90</v>
      </c>
      <c r="V100">
        <v>0</v>
      </c>
      <c r="W100" t="s">
        <v>90</v>
      </c>
      <c r="X100">
        <v>0</v>
      </c>
      <c r="Y100">
        <v>43.255107448695377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192</v>
      </c>
      <c r="AF100">
        <v>274</v>
      </c>
      <c r="AG100">
        <v>252</v>
      </c>
      <c r="AH100">
        <v>0</v>
      </c>
      <c r="AI100">
        <v>3.0935000000000001</v>
      </c>
      <c r="AK100" t="s">
        <v>91</v>
      </c>
      <c r="AM100">
        <v>400000</v>
      </c>
      <c r="AN100" t="s">
        <v>92</v>
      </c>
      <c r="AO100">
        <v>2</v>
      </c>
      <c r="AP100">
        <v>0</v>
      </c>
      <c r="AQ100">
        <v>33333.333333333336</v>
      </c>
      <c r="AR100" t="s">
        <v>430</v>
      </c>
      <c r="AS100" t="s">
        <v>78</v>
      </c>
      <c r="AX100" t="s">
        <v>79</v>
      </c>
      <c r="AY100" t="s">
        <v>90</v>
      </c>
      <c r="AZ100">
        <v>0</v>
      </c>
      <c r="BA100" t="s">
        <v>90</v>
      </c>
      <c r="BB100">
        <v>0</v>
      </c>
      <c r="BE100">
        <v>0</v>
      </c>
    </row>
    <row r="101" spans="1:58" ht="12.75">
      <c r="A101" s="2" t="str">
        <f>HYPERLINK("https://ibp.a2mac1.com/costing(costing:projects/details/8191/part/5381100)","Hub and Bearing")</f>
        <v>Hub and Bearing</v>
      </c>
      <c r="B101">
        <v>5381100</v>
      </c>
      <c r="C101">
        <v>5381082</v>
      </c>
      <c r="E101">
        <v>16.28</v>
      </c>
      <c r="F101">
        <v>0</v>
      </c>
      <c r="G101">
        <v>0</v>
      </c>
      <c r="H101">
        <v>0.0003256</v>
      </c>
      <c r="I101" t="s">
        <v>137</v>
      </c>
      <c r="J101">
        <v>0.56979999999999997</v>
      </c>
      <c r="K101">
        <v>16.850125599999998</v>
      </c>
      <c r="L101">
        <v>5.7679184149126259</v>
      </c>
      <c r="M101">
        <v>20.187714452194189</v>
      </c>
      <c r="N101">
        <v>37.037840052194191</v>
      </c>
      <c r="O101" t="s">
        <v>138</v>
      </c>
      <c r="P101">
        <v>1.0110075359999999</v>
      </c>
      <c r="Q101" t="s">
        <v>138</v>
      </c>
      <c r="R101">
        <v>1.2112628671316514</v>
      </c>
      <c r="S101" t="s">
        <v>139</v>
      </c>
      <c r="T101">
        <v>4.4445408062633032</v>
      </c>
      <c r="U101" t="s">
        <v>90</v>
      </c>
      <c r="V101">
        <v>0</v>
      </c>
      <c r="W101" t="s">
        <v>90</v>
      </c>
      <c r="X101">
        <v>0</v>
      </c>
      <c r="Y101">
        <v>43.704651261589142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85</v>
      </c>
      <c r="AF101">
        <v>136</v>
      </c>
      <c r="AG101">
        <v>136</v>
      </c>
      <c r="AH101">
        <v>0</v>
      </c>
      <c r="AI101">
        <v>3.3675</v>
      </c>
      <c r="AK101" t="s">
        <v>213</v>
      </c>
      <c r="AM101">
        <v>400000</v>
      </c>
      <c r="AN101" t="s">
        <v>76</v>
      </c>
      <c r="AO101">
        <v>2</v>
      </c>
      <c r="AP101">
        <v>0</v>
      </c>
      <c r="AQ101">
        <v>33333.333333333336</v>
      </c>
      <c r="AR101" t="s">
        <v>433</v>
      </c>
      <c r="AS101" t="s">
        <v>78</v>
      </c>
      <c r="AX101" t="s">
        <v>79</v>
      </c>
      <c r="AY101" t="s">
        <v>137</v>
      </c>
      <c r="AZ101">
        <v>0</v>
      </c>
      <c r="BA101" t="s">
        <v>137</v>
      </c>
      <c r="BB101">
        <v>0</v>
      </c>
      <c r="BE101">
        <v>0</v>
      </c>
    </row>
    <row r="102" spans="1:58" ht="12.75">
      <c r="A102" s="2" t="str">
        <f>HYPERLINK("https://ibp.a2mac1.com/costing(costing:projects/details/8191/part/5381101)","K-Frame Parts")</f>
        <v>K-Frame Parts</v>
      </c>
      <c r="B102">
        <v>5381101</v>
      </c>
      <c r="C102">
        <v>5381083</v>
      </c>
      <c r="E102">
        <v>36.16</v>
      </c>
      <c r="F102">
        <v>0</v>
      </c>
      <c r="G102">
        <v>0</v>
      </c>
      <c r="H102">
        <v>0.00072320000000000001</v>
      </c>
      <c r="I102" t="s">
        <v>137</v>
      </c>
      <c r="J102">
        <v>1.2656000000000001</v>
      </c>
      <c r="K102">
        <v>37.426323199999999</v>
      </c>
      <c r="L102">
        <v>2.2601434512587666</v>
      </c>
      <c r="M102">
        <v>13.560860707552601</v>
      </c>
      <c r="N102">
        <v>50.987183907552598</v>
      </c>
      <c r="O102" t="s">
        <v>138</v>
      </c>
      <c r="P102">
        <v>2.2455793919999998</v>
      </c>
      <c r="Q102" t="s">
        <v>138</v>
      </c>
      <c r="R102">
        <v>0.81365164245315602</v>
      </c>
      <c r="S102" t="s">
        <v>139</v>
      </c>
      <c r="T102">
        <v>6.1184620689063118</v>
      </c>
      <c r="U102" t="s">
        <v>216</v>
      </c>
      <c r="V102">
        <v>0.25493591953776301</v>
      </c>
      <c r="W102" t="s">
        <v>217</v>
      </c>
      <c r="X102">
        <v>1.019743678151052</v>
      </c>
      <c r="Y102">
        <v>61.439556608600881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K102" t="s">
        <v>218</v>
      </c>
      <c r="AM102">
        <v>200000</v>
      </c>
      <c r="AN102" t="s">
        <v>76</v>
      </c>
      <c r="AO102">
        <v>1</v>
      </c>
      <c r="AP102">
        <v>0</v>
      </c>
      <c r="AQ102">
        <v>16666.666666666668</v>
      </c>
      <c r="AR102" t="s">
        <v>9</v>
      </c>
      <c r="AS102" t="s">
        <v>78</v>
      </c>
      <c r="AX102" t="s">
        <v>79</v>
      </c>
      <c r="AY102" t="s">
        <v>137</v>
      </c>
      <c r="AZ102">
        <v>0</v>
      </c>
      <c r="BA102" t="s">
        <v>137</v>
      </c>
      <c r="BB102">
        <v>0</v>
      </c>
      <c r="BE102">
        <v>0</v>
      </c>
    </row>
    <row r="103" spans="1:58" ht="12.75">
      <c r="A103" s="2" t="str">
        <f>HYPERLINK("https://ibp.a2mac1.com/costing(costing:projects/details/8191/part/5381077)","Lower Swivel Joint")</f>
        <v>Lower Swivel Joint</v>
      </c>
      <c r="B103">
        <v>5381077</v>
      </c>
      <c r="C103">
        <v>5381006</v>
      </c>
      <c r="E103">
        <v>10.56</v>
      </c>
      <c r="F103">
        <v>0</v>
      </c>
      <c r="G103">
        <v>0</v>
      </c>
      <c r="H103">
        <v>0</v>
      </c>
      <c r="I103" t="s">
        <v>74</v>
      </c>
      <c r="J103">
        <v>0</v>
      </c>
      <c r="K103">
        <v>10.56</v>
      </c>
      <c r="L103">
        <v>0</v>
      </c>
      <c r="M103">
        <v>0</v>
      </c>
      <c r="N103">
        <v>10.56</v>
      </c>
      <c r="O103" t="s">
        <v>74</v>
      </c>
      <c r="P103">
        <v>0</v>
      </c>
      <c r="Q103" t="s">
        <v>74</v>
      </c>
      <c r="R103">
        <v>0</v>
      </c>
      <c r="S103" t="s">
        <v>74</v>
      </c>
      <c r="T103">
        <v>0</v>
      </c>
      <c r="U103" t="s">
        <v>74</v>
      </c>
      <c r="V103">
        <v>0</v>
      </c>
      <c r="W103" t="s">
        <v>74</v>
      </c>
      <c r="X103">
        <v>0</v>
      </c>
      <c r="Y103">
        <v>10.56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93</v>
      </c>
      <c r="AF103">
        <v>99</v>
      </c>
      <c r="AG103">
        <v>115</v>
      </c>
      <c r="AH103">
        <v>0</v>
      </c>
      <c r="AI103">
        <v>0.55049999999999999</v>
      </c>
      <c r="AK103" t="s">
        <v>213</v>
      </c>
      <c r="AM103">
        <v>400000</v>
      </c>
      <c r="AN103" t="s">
        <v>76</v>
      </c>
      <c r="AO103">
        <v>2</v>
      </c>
      <c r="AP103">
        <v>0</v>
      </c>
      <c r="AQ103">
        <v>33333.333333333336</v>
      </c>
      <c r="AR103" t="s">
        <v>440</v>
      </c>
      <c r="AS103" t="s">
        <v>78</v>
      </c>
      <c r="AX103" t="s">
        <v>79</v>
      </c>
      <c r="AY103" t="s">
        <v>74</v>
      </c>
      <c r="AZ103">
        <v>0</v>
      </c>
      <c r="BA103" t="s">
        <v>74</v>
      </c>
      <c r="BB103">
        <v>0</v>
      </c>
      <c r="BD103">
        <v>5.28</v>
      </c>
      <c r="BE103">
        <v>0</v>
      </c>
    </row>
    <row r="104" spans="1:58" ht="12.75">
      <c r="A104" s="2" t="str">
        <f>HYPERLINK("https://ibp.a2mac1.com/costing(costing:projects/details/8191/part/5381078)","Suspension Rod Protection")</f>
        <v>Suspension Rod Protection</v>
      </c>
      <c r="B104">
        <v>5381078</v>
      </c>
      <c r="C104">
        <v>5381006</v>
      </c>
      <c r="E104">
        <v>1.24</v>
      </c>
      <c r="F104">
        <v>0</v>
      </c>
      <c r="G104">
        <v>0</v>
      </c>
      <c r="H104">
        <v>0</v>
      </c>
      <c r="I104" t="s">
        <v>74</v>
      </c>
      <c r="J104">
        <v>0</v>
      </c>
      <c r="K104">
        <v>1.24</v>
      </c>
      <c r="L104">
        <v>0</v>
      </c>
      <c r="M104">
        <v>0</v>
      </c>
      <c r="N104">
        <v>1.24</v>
      </c>
      <c r="O104" t="s">
        <v>74</v>
      </c>
      <c r="P104">
        <v>0</v>
      </c>
      <c r="Q104" t="s">
        <v>74</v>
      </c>
      <c r="R104">
        <v>0</v>
      </c>
      <c r="S104" t="s">
        <v>74</v>
      </c>
      <c r="T104">
        <v>0</v>
      </c>
      <c r="U104" t="s">
        <v>74</v>
      </c>
      <c r="V104">
        <v>0</v>
      </c>
      <c r="W104" t="s">
        <v>74</v>
      </c>
      <c r="X104">
        <v>0</v>
      </c>
      <c r="Y104">
        <v>1.24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250</v>
      </c>
      <c r="AF104">
        <v>295</v>
      </c>
      <c r="AG104">
        <v>32</v>
      </c>
      <c r="AH104">
        <v>0</v>
      </c>
      <c r="AI104">
        <v>0.11849999999999999</v>
      </c>
      <c r="AK104" t="s">
        <v>75</v>
      </c>
      <c r="AM104">
        <v>400000</v>
      </c>
      <c r="AN104" t="s">
        <v>76</v>
      </c>
      <c r="AO104">
        <v>2</v>
      </c>
      <c r="AP104">
        <v>0</v>
      </c>
      <c r="AQ104">
        <v>33333.333333333336</v>
      </c>
      <c r="AR104" t="s">
        <v>441</v>
      </c>
      <c r="AS104" t="s">
        <v>78</v>
      </c>
      <c r="AX104" t="s">
        <v>79</v>
      </c>
      <c r="AY104" t="s">
        <v>74</v>
      </c>
      <c r="AZ104">
        <v>0</v>
      </c>
      <c r="BA104" t="s">
        <v>74</v>
      </c>
      <c r="BB104">
        <v>0</v>
      </c>
      <c r="BD104">
        <v>0.62</v>
      </c>
      <c r="BE104">
        <v>0</v>
      </c>
    </row>
    <row r="105" spans="1:58" ht="12.75">
      <c r="A105" s="2" t="str">
        <f>HYPERLINK("https://ibp.a2mac1.com/costing(costing:projects/details/8191/part/5381102)","Upper Transversal Arm")</f>
        <v>Upper Transversal Arm</v>
      </c>
      <c r="B105">
        <v>5381102</v>
      </c>
      <c r="C105">
        <v>5381085</v>
      </c>
      <c r="E105">
        <v>10.135999999999999</v>
      </c>
      <c r="F105">
        <v>0</v>
      </c>
      <c r="G105">
        <v>0</v>
      </c>
      <c r="H105">
        <v>0.00020272000000000001</v>
      </c>
      <c r="I105" t="s">
        <v>137</v>
      </c>
      <c r="J105">
        <v>0.35476000000000002</v>
      </c>
      <c r="K105">
        <v>10.490962720000001</v>
      </c>
      <c r="L105">
        <v>1.6873596102711192</v>
      </c>
      <c r="M105">
        <v>5.905758635948918</v>
      </c>
      <c r="N105">
        <v>16.396721355948916</v>
      </c>
      <c r="O105" t="s">
        <v>138</v>
      </c>
      <c r="P105">
        <v>0.62945776320000002</v>
      </c>
      <c r="Q105" t="s">
        <v>138</v>
      </c>
      <c r="R105">
        <v>0.35434551815693505</v>
      </c>
      <c r="S105" t="s">
        <v>139</v>
      </c>
      <c r="T105">
        <v>1.9676065627138701</v>
      </c>
      <c r="U105" t="s">
        <v>90</v>
      </c>
      <c r="V105">
        <v>0</v>
      </c>
      <c r="W105" t="s">
        <v>90</v>
      </c>
      <c r="X105">
        <v>0</v>
      </c>
      <c r="Y105">
        <v>19.348131200019722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61</v>
      </c>
      <c r="AF105">
        <v>346</v>
      </c>
      <c r="AG105">
        <v>146</v>
      </c>
      <c r="AH105">
        <v>0</v>
      </c>
      <c r="AI105">
        <v>1.1890000000000001</v>
      </c>
      <c r="AK105" t="s">
        <v>213</v>
      </c>
      <c r="AM105">
        <v>400000</v>
      </c>
      <c r="AN105" t="s">
        <v>76</v>
      </c>
      <c r="AO105">
        <v>2</v>
      </c>
      <c r="AP105">
        <v>0</v>
      </c>
      <c r="AQ105">
        <v>33333.333333333336</v>
      </c>
      <c r="AR105" t="s">
        <v>447</v>
      </c>
      <c r="AS105" t="s">
        <v>78</v>
      </c>
      <c r="AX105" t="s">
        <v>79</v>
      </c>
      <c r="AY105" t="s">
        <v>137</v>
      </c>
      <c r="AZ105">
        <v>0</v>
      </c>
      <c r="BA105" t="s">
        <v>137</v>
      </c>
      <c r="BB105">
        <v>0</v>
      </c>
      <c r="BE105">
        <v>0</v>
      </c>
    </row>
    <row r="106" spans="1:58" ht="12.75">
      <c r="A106" s="2" t="str">
        <f>HYPERLINK("https://ibp.a2mac1.com/costing(costing:projects/details/8191/part/5381103)","Upper Transversal Arm Secondary")</f>
        <v>Upper Transversal Arm Secondary</v>
      </c>
      <c r="B106">
        <v>5381103</v>
      </c>
      <c r="C106">
        <v>5381085</v>
      </c>
      <c r="E106">
        <v>18.434000000000001</v>
      </c>
      <c r="F106">
        <v>0</v>
      </c>
      <c r="G106">
        <v>0</v>
      </c>
      <c r="H106">
        <v>0.00036867999999999997</v>
      </c>
      <c r="I106" t="s">
        <v>137</v>
      </c>
      <c r="J106">
        <v>0.64519000000000004</v>
      </c>
      <c r="K106">
        <v>19.079558680000002</v>
      </c>
      <c r="L106">
        <v>2.0388051067204409</v>
      </c>
      <c r="M106">
        <v>7.1358178735215443</v>
      </c>
      <c r="N106">
        <v>26.215376553521544</v>
      </c>
      <c r="O106" t="s">
        <v>138</v>
      </c>
      <c r="P106">
        <v>1.1447735208000001</v>
      </c>
      <c r="Q106" t="s">
        <v>138</v>
      </c>
      <c r="R106">
        <v>0.42814907241129263</v>
      </c>
      <c r="S106" t="s">
        <v>139</v>
      </c>
      <c r="T106">
        <v>3.1458451864225854</v>
      </c>
      <c r="U106" t="s">
        <v>90</v>
      </c>
      <c r="V106">
        <v>0</v>
      </c>
      <c r="W106" t="s">
        <v>90</v>
      </c>
      <c r="X106">
        <v>0</v>
      </c>
      <c r="Y106">
        <v>30.934144333155423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50</v>
      </c>
      <c r="AF106">
        <v>463</v>
      </c>
      <c r="AG106">
        <v>155</v>
      </c>
      <c r="AH106">
        <v>0</v>
      </c>
      <c r="AI106">
        <v>1.7195</v>
      </c>
      <c r="AK106" t="s">
        <v>213</v>
      </c>
      <c r="AM106">
        <v>400000</v>
      </c>
      <c r="AN106" t="s">
        <v>76</v>
      </c>
      <c r="AO106">
        <v>2</v>
      </c>
      <c r="AP106">
        <v>0</v>
      </c>
      <c r="AQ106">
        <v>33333.333333333336</v>
      </c>
      <c r="AR106" t="s">
        <v>450</v>
      </c>
      <c r="AS106" t="s">
        <v>78</v>
      </c>
      <c r="AX106" t="s">
        <v>79</v>
      </c>
      <c r="AY106" t="s">
        <v>137</v>
      </c>
      <c r="AZ106">
        <v>0</v>
      </c>
      <c r="BA106" t="s">
        <v>137</v>
      </c>
      <c r="BB106">
        <v>0</v>
      </c>
      <c r="BE106">
        <v>0</v>
      </c>
    </row>
    <row r="107" spans="1:58" ht="12.75">
      <c r="A107" s="2" t="str">
        <f>HYPERLINK("https://ibp.a2mac1.com/costing(costing:projects/details/8191/part/5381104)","Lower Transversal Arm")</f>
        <v>Lower Transversal Arm</v>
      </c>
      <c r="B107">
        <v>5381104</v>
      </c>
      <c r="C107">
        <v>5381085</v>
      </c>
      <c r="E107">
        <v>9.24</v>
      </c>
      <c r="F107">
        <v>0</v>
      </c>
      <c r="G107">
        <v>0</v>
      </c>
      <c r="H107">
        <v>0</v>
      </c>
      <c r="I107" t="s">
        <v>74</v>
      </c>
      <c r="J107">
        <v>0</v>
      </c>
      <c r="K107">
        <v>9.24</v>
      </c>
      <c r="L107">
        <v>0</v>
      </c>
      <c r="M107">
        <v>0</v>
      </c>
      <c r="N107">
        <v>9.24</v>
      </c>
      <c r="O107" t="s">
        <v>74</v>
      </c>
      <c r="P107">
        <v>0</v>
      </c>
      <c r="Q107" t="s">
        <v>74</v>
      </c>
      <c r="R107">
        <v>0</v>
      </c>
      <c r="S107" t="s">
        <v>74</v>
      </c>
      <c r="T107">
        <v>0</v>
      </c>
      <c r="U107" t="s">
        <v>74</v>
      </c>
      <c r="V107">
        <v>0</v>
      </c>
      <c r="W107" t="s">
        <v>74</v>
      </c>
      <c r="X107">
        <v>0</v>
      </c>
      <c r="Y107">
        <v>9.24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51</v>
      </c>
      <c r="AF107">
        <v>360</v>
      </c>
      <c r="AG107">
        <v>65</v>
      </c>
      <c r="AH107">
        <v>0</v>
      </c>
      <c r="AI107">
        <v>0.71</v>
      </c>
      <c r="AK107" t="s">
        <v>213</v>
      </c>
      <c r="AM107">
        <v>400000</v>
      </c>
      <c r="AN107" t="s">
        <v>76</v>
      </c>
      <c r="AO107">
        <v>2</v>
      </c>
      <c r="AP107">
        <v>0</v>
      </c>
      <c r="AQ107">
        <v>33333.333333333336</v>
      </c>
      <c r="AR107" t="s">
        <v>451</v>
      </c>
      <c r="AS107" t="s">
        <v>78</v>
      </c>
      <c r="AX107" t="s">
        <v>79</v>
      </c>
      <c r="AY107" t="s">
        <v>74</v>
      </c>
      <c r="AZ107">
        <v>0</v>
      </c>
      <c r="BA107" t="s">
        <v>74</v>
      </c>
      <c r="BB107">
        <v>0</v>
      </c>
      <c r="BD107">
        <v>4.62</v>
      </c>
      <c r="BE107">
        <v>0</v>
      </c>
    </row>
    <row r="108" spans="1:58" ht="12.75">
      <c r="A108" s="2" t="str">
        <f>HYPERLINK("https://ibp.a2mac1.com/costing(costing:projects/details/8191/part/5381105)","Lower Transversal Arm Secondary")</f>
        <v>Lower Transversal Arm Secondary</v>
      </c>
      <c r="B108">
        <v>5381105</v>
      </c>
      <c r="C108">
        <v>5381085</v>
      </c>
      <c r="E108">
        <v>16.82</v>
      </c>
      <c r="F108">
        <v>0</v>
      </c>
      <c r="G108">
        <v>0</v>
      </c>
      <c r="H108">
        <v>0</v>
      </c>
      <c r="I108" t="s">
        <v>74</v>
      </c>
      <c r="J108">
        <v>0</v>
      </c>
      <c r="K108">
        <v>16.82</v>
      </c>
      <c r="L108">
        <v>0</v>
      </c>
      <c r="M108">
        <v>0</v>
      </c>
      <c r="N108">
        <v>16.82</v>
      </c>
      <c r="O108" t="s">
        <v>74</v>
      </c>
      <c r="P108">
        <v>0</v>
      </c>
      <c r="Q108" t="s">
        <v>74</v>
      </c>
      <c r="R108">
        <v>0</v>
      </c>
      <c r="S108" t="s">
        <v>74</v>
      </c>
      <c r="T108">
        <v>0</v>
      </c>
      <c r="U108" t="s">
        <v>74</v>
      </c>
      <c r="V108">
        <v>0</v>
      </c>
      <c r="W108" t="s">
        <v>74</v>
      </c>
      <c r="X108">
        <v>0</v>
      </c>
      <c r="Y108">
        <v>16.82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119</v>
      </c>
      <c r="AF108">
        <v>469</v>
      </c>
      <c r="AG108">
        <v>100</v>
      </c>
      <c r="AH108">
        <v>0</v>
      </c>
      <c r="AI108">
        <v>1.8905000000000001</v>
      </c>
      <c r="AK108" t="s">
        <v>213</v>
      </c>
      <c r="AM108">
        <v>400000</v>
      </c>
      <c r="AN108" t="s">
        <v>76</v>
      </c>
      <c r="AO108">
        <v>2</v>
      </c>
      <c r="AP108">
        <v>0</v>
      </c>
      <c r="AQ108">
        <v>33333.333333333336</v>
      </c>
      <c r="AR108" t="s">
        <v>452</v>
      </c>
      <c r="AS108" t="s">
        <v>78</v>
      </c>
      <c r="AX108" t="s">
        <v>79</v>
      </c>
      <c r="AY108" t="s">
        <v>74</v>
      </c>
      <c r="AZ108">
        <v>0</v>
      </c>
      <c r="BA108" t="s">
        <v>74</v>
      </c>
      <c r="BB108">
        <v>0</v>
      </c>
      <c r="BD108">
        <v>8.41</v>
      </c>
      <c r="BE108">
        <v>0</v>
      </c>
    </row>
    <row r="109" spans="1:58" ht="12.75">
      <c r="A109" s="2" t="str">
        <f>HYPERLINK("https://ibp.a2mac1.com/costing(costing:projects/details/8191/part/5381106)","Rear Control Arm")</f>
        <v>Rear Control Arm</v>
      </c>
      <c r="B109">
        <v>5381106</v>
      </c>
      <c r="C109">
        <v>5381085</v>
      </c>
      <c r="E109">
        <v>12.28</v>
      </c>
      <c r="F109">
        <v>0</v>
      </c>
      <c r="G109">
        <v>0</v>
      </c>
      <c r="H109">
        <v>0</v>
      </c>
      <c r="I109" t="s">
        <v>74</v>
      </c>
      <c r="J109">
        <v>0</v>
      </c>
      <c r="K109">
        <v>12.28</v>
      </c>
      <c r="L109">
        <v>0</v>
      </c>
      <c r="M109">
        <v>0</v>
      </c>
      <c r="N109">
        <v>12.28</v>
      </c>
      <c r="O109" t="s">
        <v>74</v>
      </c>
      <c r="P109">
        <v>0</v>
      </c>
      <c r="Q109" t="s">
        <v>74</v>
      </c>
      <c r="R109">
        <v>0</v>
      </c>
      <c r="S109" t="s">
        <v>74</v>
      </c>
      <c r="T109">
        <v>0</v>
      </c>
      <c r="U109" t="s">
        <v>74</v>
      </c>
      <c r="V109">
        <v>0</v>
      </c>
      <c r="W109" t="s">
        <v>74</v>
      </c>
      <c r="X109">
        <v>0</v>
      </c>
      <c r="Y109">
        <v>12.28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60</v>
      </c>
      <c r="AF109">
        <v>330</v>
      </c>
      <c r="AG109">
        <v>68</v>
      </c>
      <c r="AH109">
        <v>0</v>
      </c>
      <c r="AI109">
        <v>0.67300000000000004</v>
      </c>
      <c r="AK109" t="s">
        <v>213</v>
      </c>
      <c r="AM109">
        <v>400000</v>
      </c>
      <c r="AN109" t="s">
        <v>76</v>
      </c>
      <c r="AO109">
        <v>2</v>
      </c>
      <c r="AP109">
        <v>0</v>
      </c>
      <c r="AQ109">
        <v>33333.333333333336</v>
      </c>
      <c r="AR109" t="s">
        <v>453</v>
      </c>
      <c r="AS109" t="s">
        <v>78</v>
      </c>
      <c r="AX109" t="s">
        <v>79</v>
      </c>
      <c r="AY109" t="s">
        <v>74</v>
      </c>
      <c r="AZ109">
        <v>0</v>
      </c>
      <c r="BA109" t="s">
        <v>74</v>
      </c>
      <c r="BB109">
        <v>0</v>
      </c>
      <c r="BD109">
        <v>6.14</v>
      </c>
      <c r="BE109">
        <v>0</v>
      </c>
    </row>
    <row r="110" spans="1:58" ht="12.75">
      <c r="A110" s="2" t="str">
        <f>HYPERLINK("https://ibp.a2mac1.com/costing(costing:projects/details/8191/part/5381107)","Stabilizer Bar")</f>
        <v>Stabilizer Bar</v>
      </c>
      <c r="B110">
        <v>5381107</v>
      </c>
      <c r="C110">
        <v>5381086</v>
      </c>
      <c r="E110">
        <v>4.85</v>
      </c>
      <c r="F110">
        <v>0</v>
      </c>
      <c r="G110">
        <v>0</v>
      </c>
      <c r="H110">
        <v>9.7E-05</v>
      </c>
      <c r="I110" t="s">
        <v>137</v>
      </c>
      <c r="J110">
        <v>0.16975000000000001</v>
      </c>
      <c r="K110">
        <v>5.0198470000000004</v>
      </c>
      <c r="L110">
        <v>1.4764923124015263</v>
      </c>
      <c r="M110">
        <v>5.1677230934053417</v>
      </c>
      <c r="N110">
        <v>10.187570093405341</v>
      </c>
      <c r="O110" t="s">
        <v>138</v>
      </c>
      <c r="P110">
        <v>0.30119082000000003</v>
      </c>
      <c r="Q110" t="s">
        <v>138</v>
      </c>
      <c r="R110">
        <v>0.31006338560432051</v>
      </c>
      <c r="S110" t="s">
        <v>139</v>
      </c>
      <c r="T110">
        <v>1.2225084112086411</v>
      </c>
      <c r="U110" t="s">
        <v>90</v>
      </c>
      <c r="V110">
        <v>0</v>
      </c>
      <c r="W110" t="s">
        <v>90</v>
      </c>
      <c r="X110">
        <v>0</v>
      </c>
      <c r="Y110">
        <v>12.021332710218303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247</v>
      </c>
      <c r="AF110">
        <v>1120</v>
      </c>
      <c r="AG110">
        <v>51</v>
      </c>
      <c r="AH110">
        <v>0</v>
      </c>
      <c r="AI110">
        <v>2.2759999999999998</v>
      </c>
      <c r="AK110" t="s">
        <v>213</v>
      </c>
      <c r="AM110">
        <v>200000</v>
      </c>
      <c r="AN110" t="s">
        <v>76</v>
      </c>
      <c r="AO110">
        <v>1</v>
      </c>
      <c r="AP110">
        <v>0</v>
      </c>
      <c r="AQ110">
        <v>16666.666666666668</v>
      </c>
      <c r="AR110" t="s">
        <v>458</v>
      </c>
      <c r="AS110" t="s">
        <v>78</v>
      </c>
      <c r="AX110" t="s">
        <v>79</v>
      </c>
      <c r="AY110" t="s">
        <v>137</v>
      </c>
      <c r="AZ110">
        <v>0</v>
      </c>
      <c r="BA110" t="s">
        <v>137</v>
      </c>
      <c r="BB110">
        <v>0</v>
      </c>
      <c r="BE110">
        <v>0</v>
      </c>
    </row>
    <row r="111" spans="1:58" ht="12.75">
      <c r="A111" s="2" t="str">
        <f>HYPERLINK("https://ibp.a2mac1.com/costing(costing:projects/details/8191/part/5381108)","Support")</f>
        <v>Support</v>
      </c>
      <c r="B111">
        <v>5381108</v>
      </c>
      <c r="C111">
        <v>5381086</v>
      </c>
      <c r="E111">
        <v>1.12</v>
      </c>
      <c r="F111">
        <v>0</v>
      </c>
      <c r="G111">
        <v>0</v>
      </c>
      <c r="H111">
        <v>0</v>
      </c>
      <c r="I111" t="s">
        <v>74</v>
      </c>
      <c r="J111">
        <v>0</v>
      </c>
      <c r="K111">
        <v>1.12</v>
      </c>
      <c r="L111">
        <v>0</v>
      </c>
      <c r="M111">
        <v>0</v>
      </c>
      <c r="N111">
        <v>1.12</v>
      </c>
      <c r="O111" t="s">
        <v>74</v>
      </c>
      <c r="P111">
        <v>0</v>
      </c>
      <c r="Q111" t="s">
        <v>74</v>
      </c>
      <c r="R111">
        <v>0</v>
      </c>
      <c r="S111" t="s">
        <v>74</v>
      </c>
      <c r="T111">
        <v>0</v>
      </c>
      <c r="U111" t="s">
        <v>74</v>
      </c>
      <c r="V111">
        <v>0</v>
      </c>
      <c r="W111" t="s">
        <v>74</v>
      </c>
      <c r="X111">
        <v>0</v>
      </c>
      <c r="Y111">
        <v>1.12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105</v>
      </c>
      <c r="AF111">
        <v>38</v>
      </c>
      <c r="AG111">
        <v>56</v>
      </c>
      <c r="AH111">
        <v>0</v>
      </c>
      <c r="AI111">
        <v>0.1845</v>
      </c>
      <c r="AK111" t="s">
        <v>75</v>
      </c>
      <c r="AM111">
        <v>400000</v>
      </c>
      <c r="AN111" t="s">
        <v>76</v>
      </c>
      <c r="AO111">
        <v>2</v>
      </c>
      <c r="AP111">
        <v>0</v>
      </c>
      <c r="AQ111">
        <v>33333.333333333336</v>
      </c>
      <c r="AR111" t="s">
        <v>459</v>
      </c>
      <c r="AS111" t="s">
        <v>78</v>
      </c>
      <c r="AX111" t="s">
        <v>79</v>
      </c>
      <c r="AY111" t="s">
        <v>74</v>
      </c>
      <c r="AZ111">
        <v>0</v>
      </c>
      <c r="BA111" t="s">
        <v>74</v>
      </c>
      <c r="BB111">
        <v>0</v>
      </c>
      <c r="BD111">
        <v>0.56</v>
      </c>
      <c r="BE111">
        <v>0</v>
      </c>
    </row>
    <row r="112" spans="1:58" ht="12.75">
      <c r="A112" s="2" t="str">
        <f>HYPERLINK("https://ibp.a2mac1.com/costing(costing:projects/details/8191/part/5381109)","Stabilizer Link")</f>
        <v>Stabilizer Link</v>
      </c>
      <c r="B112">
        <v>5381109</v>
      </c>
      <c r="C112">
        <v>5381086</v>
      </c>
      <c r="E112">
        <v>6.96</v>
      </c>
      <c r="F112">
        <v>0</v>
      </c>
      <c r="G112">
        <v>0</v>
      </c>
      <c r="H112">
        <v>0</v>
      </c>
      <c r="I112" t="s">
        <v>74</v>
      </c>
      <c r="J112">
        <v>0</v>
      </c>
      <c r="K112">
        <v>6.96</v>
      </c>
      <c r="L112">
        <v>0</v>
      </c>
      <c r="M112">
        <v>0</v>
      </c>
      <c r="N112">
        <v>6.96</v>
      </c>
      <c r="O112" t="s">
        <v>74</v>
      </c>
      <c r="P112">
        <v>0</v>
      </c>
      <c r="Q112" t="s">
        <v>74</v>
      </c>
      <c r="R112">
        <v>0</v>
      </c>
      <c r="S112" t="s">
        <v>74</v>
      </c>
      <c r="T112">
        <v>0</v>
      </c>
      <c r="U112" t="s">
        <v>74</v>
      </c>
      <c r="V112">
        <v>0</v>
      </c>
      <c r="W112" t="s">
        <v>74</v>
      </c>
      <c r="X112">
        <v>0</v>
      </c>
      <c r="Y112">
        <v>6.96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61</v>
      </c>
      <c r="AF112">
        <v>72</v>
      </c>
      <c r="AG112">
        <v>219</v>
      </c>
      <c r="AH112">
        <v>0</v>
      </c>
      <c r="AI112">
        <v>0.2475</v>
      </c>
      <c r="AK112" t="s">
        <v>213</v>
      </c>
      <c r="AM112">
        <v>400000</v>
      </c>
      <c r="AN112" t="s">
        <v>76</v>
      </c>
      <c r="AO112">
        <v>2</v>
      </c>
      <c r="AP112">
        <v>0</v>
      </c>
      <c r="AQ112">
        <v>33333.333333333336</v>
      </c>
      <c r="AR112" t="s">
        <v>460</v>
      </c>
      <c r="AS112" t="s">
        <v>78</v>
      </c>
      <c r="AX112" t="s">
        <v>79</v>
      </c>
      <c r="AY112" t="s">
        <v>74</v>
      </c>
      <c r="AZ112">
        <v>0</v>
      </c>
      <c r="BA112" t="s">
        <v>74</v>
      </c>
      <c r="BB112">
        <v>0</v>
      </c>
      <c r="BD112">
        <v>3.48</v>
      </c>
      <c r="BE112">
        <v>0</v>
      </c>
    </row>
    <row r="113" spans="1:58" ht="12.75">
      <c r="A113" s="2" t="str">
        <f>HYPERLINK("https://ibp.a2mac1.com/costing(costing:projects/details/8191/part/5381110)","Left and Right if Similar")</f>
        <v>Left and Right if Similar</v>
      </c>
      <c r="B113">
        <v>5381110</v>
      </c>
      <c r="C113">
        <v>5381087</v>
      </c>
      <c r="E113">
        <v>0.50</v>
      </c>
      <c r="F113">
        <v>0</v>
      </c>
      <c r="G113">
        <v>0</v>
      </c>
      <c r="H113">
        <v>0</v>
      </c>
      <c r="I113" t="s">
        <v>74</v>
      </c>
      <c r="J113">
        <v>0</v>
      </c>
      <c r="K113">
        <v>0.50</v>
      </c>
      <c r="L113">
        <v>0</v>
      </c>
      <c r="M113">
        <v>0</v>
      </c>
      <c r="N113">
        <v>0.50</v>
      </c>
      <c r="O113" t="s">
        <v>74</v>
      </c>
      <c r="P113">
        <v>0</v>
      </c>
      <c r="Q113" t="s">
        <v>74</v>
      </c>
      <c r="R113">
        <v>0</v>
      </c>
      <c r="S113" t="s">
        <v>74</v>
      </c>
      <c r="T113">
        <v>0</v>
      </c>
      <c r="U113" t="s">
        <v>74</v>
      </c>
      <c r="V113">
        <v>0</v>
      </c>
      <c r="W113" t="s">
        <v>74</v>
      </c>
      <c r="X113">
        <v>0</v>
      </c>
      <c r="Y113">
        <v>0.50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144</v>
      </c>
      <c r="AF113">
        <v>165</v>
      </c>
      <c r="AG113">
        <v>57</v>
      </c>
      <c r="AH113">
        <v>0</v>
      </c>
      <c r="AI113">
        <v>0.0725</v>
      </c>
      <c r="AK113" t="s">
        <v>75</v>
      </c>
      <c r="AM113">
        <v>400000</v>
      </c>
      <c r="AN113" t="s">
        <v>76</v>
      </c>
      <c r="AO113">
        <v>2</v>
      </c>
      <c r="AP113">
        <v>0</v>
      </c>
      <c r="AQ113">
        <v>33333.333333333336</v>
      </c>
      <c r="AR113" t="s">
        <v>463</v>
      </c>
      <c r="AS113" t="s">
        <v>78</v>
      </c>
      <c r="AX113" t="s">
        <v>79</v>
      </c>
      <c r="AY113" t="s">
        <v>74</v>
      </c>
      <c r="AZ113">
        <v>0</v>
      </c>
      <c r="BA113" t="s">
        <v>74</v>
      </c>
      <c r="BB113">
        <v>0</v>
      </c>
      <c r="BD113">
        <v>0.25</v>
      </c>
      <c r="BE113">
        <v>0</v>
      </c>
    </row>
    <row r="114" spans="1:58" ht="12.75">
      <c r="A114" s="2" t="str">
        <f>HYPERLINK("https://ibp.a2mac1.com/costing(costing:projects/details/8191/part/5381111)","Rear Axle Parts")</f>
        <v>Rear Axle Parts</v>
      </c>
      <c r="B114">
        <v>5381111</v>
      </c>
      <c r="C114">
        <v>5381088</v>
      </c>
      <c r="E114">
        <v>88.26</v>
      </c>
      <c r="F114">
        <v>0</v>
      </c>
      <c r="G114">
        <v>0</v>
      </c>
      <c r="H114">
        <v>0.0017652</v>
      </c>
      <c r="I114" t="s">
        <v>137</v>
      </c>
      <c r="J114">
        <v>3.0891000000000002</v>
      </c>
      <c r="K114">
        <v>91.350865200000001</v>
      </c>
      <c r="L114">
        <v>12.829866756972118</v>
      </c>
      <c r="M114">
        <v>76.979200541832711</v>
      </c>
      <c r="N114">
        <v>168.33006574183273</v>
      </c>
      <c r="O114" t="s">
        <v>90</v>
      </c>
      <c r="P114">
        <v>0</v>
      </c>
      <c r="Q114" t="s">
        <v>90</v>
      </c>
      <c r="R114">
        <v>0</v>
      </c>
      <c r="S114" t="s">
        <v>90</v>
      </c>
      <c r="T114">
        <v>0</v>
      </c>
      <c r="U114" t="s">
        <v>216</v>
      </c>
      <c r="V114">
        <v>0.84165032870916356</v>
      </c>
      <c r="W114" t="s">
        <v>217</v>
      </c>
      <c r="X114">
        <v>3.3666013148366543</v>
      </c>
      <c r="Y114">
        <v>172.53831738537852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K114" t="s">
        <v>218</v>
      </c>
      <c r="AM114">
        <v>200000</v>
      </c>
      <c r="AN114" t="s">
        <v>92</v>
      </c>
      <c r="AO114">
        <v>1</v>
      </c>
      <c r="AP114">
        <v>0</v>
      </c>
      <c r="AQ114">
        <v>16666.666666666668</v>
      </c>
      <c r="AR114" t="s">
        <v>9</v>
      </c>
      <c r="AS114" t="s">
        <v>78</v>
      </c>
      <c r="AX114" t="s">
        <v>79</v>
      </c>
      <c r="AY114" t="s">
        <v>137</v>
      </c>
      <c r="AZ114">
        <v>0</v>
      </c>
      <c r="BA114" t="s">
        <v>137</v>
      </c>
      <c r="BB114">
        <v>0</v>
      </c>
      <c r="BE114">
        <v>0</v>
      </c>
    </row>
    <row r="115" spans="1:58" ht="12.75">
      <c r="A115" s="2" t="str">
        <f>HYPERLINK("https://ibp.a2mac1.com/costing(costing:projects/details/8191/part/5381084)","Bearing Hub")</f>
        <v>Bearing Hub</v>
      </c>
      <c r="B115">
        <v>5381084</v>
      </c>
      <c r="C115">
        <v>5381007</v>
      </c>
      <c r="E115">
        <v>16.46</v>
      </c>
      <c r="F115">
        <v>0</v>
      </c>
      <c r="G115">
        <v>0</v>
      </c>
      <c r="H115">
        <v>0.00032919999999999998</v>
      </c>
      <c r="I115" t="s">
        <v>137</v>
      </c>
      <c r="J115">
        <v>0.57609999999999995</v>
      </c>
      <c r="K115">
        <v>17.036429200000001</v>
      </c>
      <c r="L115">
        <v>5.8382075142024901</v>
      </c>
      <c r="M115">
        <v>20.433726299708717</v>
      </c>
      <c r="N115">
        <v>37.470155499708717</v>
      </c>
      <c r="O115" t="s">
        <v>138</v>
      </c>
      <c r="P115">
        <v>1.0221857519999999</v>
      </c>
      <c r="Q115" t="s">
        <v>138</v>
      </c>
      <c r="R115">
        <v>1.226023577982523</v>
      </c>
      <c r="S115" t="s">
        <v>139</v>
      </c>
      <c r="T115">
        <v>4.4964186599650455</v>
      </c>
      <c r="U115" t="s">
        <v>90</v>
      </c>
      <c r="V115">
        <v>0</v>
      </c>
      <c r="W115" t="s">
        <v>90</v>
      </c>
      <c r="X115">
        <v>0</v>
      </c>
      <c r="Y115">
        <v>44.214783489656284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84</v>
      </c>
      <c r="AF115">
        <v>136</v>
      </c>
      <c r="AG115">
        <v>136</v>
      </c>
      <c r="AH115">
        <v>0</v>
      </c>
      <c r="AI115">
        <v>3.3685</v>
      </c>
      <c r="AK115" t="s">
        <v>213</v>
      </c>
      <c r="AM115">
        <v>400000</v>
      </c>
      <c r="AN115" t="s">
        <v>76</v>
      </c>
      <c r="AO115">
        <v>2</v>
      </c>
      <c r="AP115">
        <v>0</v>
      </c>
      <c r="AQ115">
        <v>33333.333333333336</v>
      </c>
      <c r="AR115" t="s">
        <v>472</v>
      </c>
      <c r="AS115" t="s">
        <v>78</v>
      </c>
      <c r="AX115" t="s">
        <v>79</v>
      </c>
      <c r="AY115" t="s">
        <v>137</v>
      </c>
      <c r="AZ115">
        <v>0</v>
      </c>
      <c r="BA115" t="s">
        <v>137</v>
      </c>
      <c r="BB115">
        <v>0</v>
      </c>
      <c r="BE115">
        <v>0</v>
      </c>
    </row>
    <row r="116" spans="1:58" ht="12.75">
      <c r="A116" s="2" t="str">
        <f>HYPERLINK("https://ibp.a2mac1.com/costing(costing:projects/details/8191/part/5381089)","Knuckle Right")</f>
        <v>Knuckle Right</v>
      </c>
      <c r="B116">
        <v>5381089</v>
      </c>
      <c r="C116">
        <v>5381007</v>
      </c>
      <c r="E116">
        <v>19.71</v>
      </c>
      <c r="F116">
        <v>0</v>
      </c>
      <c r="G116">
        <v>0</v>
      </c>
      <c r="H116">
        <v>0.00039419999999999999</v>
      </c>
      <c r="I116" t="s">
        <v>137</v>
      </c>
      <c r="J116">
        <v>0.68984999999999996</v>
      </c>
      <c r="K116">
        <v>20.400244199999999</v>
      </c>
      <c r="L116">
        <v>0.55373727056486921</v>
      </c>
      <c r="M116">
        <v>3.3224236233892155</v>
      </c>
      <c r="N116">
        <v>23.722667823389216</v>
      </c>
      <c r="O116" t="s">
        <v>138</v>
      </c>
      <c r="P116">
        <v>1.2240146519999999</v>
      </c>
      <c r="Q116" t="s">
        <v>138</v>
      </c>
      <c r="R116">
        <v>0.19934541740335293</v>
      </c>
      <c r="S116" t="s">
        <v>139</v>
      </c>
      <c r="T116">
        <v>2.846720138806706</v>
      </c>
      <c r="U116" t="s">
        <v>216</v>
      </c>
      <c r="V116">
        <v>0.11861333911694608</v>
      </c>
      <c r="W116" t="s">
        <v>217</v>
      </c>
      <c r="X116">
        <v>0.4744533564677843</v>
      </c>
      <c r="Y116">
        <v>28.585814727184005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164</v>
      </c>
      <c r="AF116">
        <v>230</v>
      </c>
      <c r="AG116">
        <v>329</v>
      </c>
      <c r="AH116">
        <v>0</v>
      </c>
      <c r="AI116">
        <v>3.5385</v>
      </c>
      <c r="AK116" t="s">
        <v>218</v>
      </c>
      <c r="AM116">
        <v>200000</v>
      </c>
      <c r="AN116" t="s">
        <v>76</v>
      </c>
      <c r="AO116">
        <v>1</v>
      </c>
      <c r="AP116">
        <v>0</v>
      </c>
      <c r="AQ116">
        <v>16666.666666666668</v>
      </c>
      <c r="AR116" t="s">
        <v>9</v>
      </c>
      <c r="AS116" t="s">
        <v>78</v>
      </c>
      <c r="AX116" t="s">
        <v>79</v>
      </c>
      <c r="AY116" t="s">
        <v>137</v>
      </c>
      <c r="AZ116">
        <v>0</v>
      </c>
      <c r="BA116" t="s">
        <v>137</v>
      </c>
      <c r="BB116">
        <v>0</v>
      </c>
      <c r="BE116">
        <v>0</v>
      </c>
    </row>
    <row r="117" spans="1:58" ht="12.75">
      <c r="A117" s="2" t="str">
        <f>HYPERLINK("https://ibp.a2mac1.com/costing(costing:projects/details/8191/part/5381090)","Knuckle Right ")</f>
        <v xml:space="preserve">Knuckle Right </v>
      </c>
      <c r="B117">
        <v>5381090</v>
      </c>
      <c r="C117">
        <v>5381007</v>
      </c>
      <c r="E117">
        <v>19.71</v>
      </c>
      <c r="F117">
        <v>0</v>
      </c>
      <c r="G117">
        <v>0</v>
      </c>
      <c r="H117">
        <v>0.00039419999999999999</v>
      </c>
      <c r="I117" t="s">
        <v>137</v>
      </c>
      <c r="J117">
        <v>0.68984999999999996</v>
      </c>
      <c r="K117">
        <v>20.400244199999999</v>
      </c>
      <c r="L117">
        <v>0.55373727056486921</v>
      </c>
      <c r="M117">
        <v>3.3224236233892155</v>
      </c>
      <c r="N117">
        <v>23.722667823389216</v>
      </c>
      <c r="O117" t="s">
        <v>138</v>
      </c>
      <c r="P117">
        <v>1.2240146519999999</v>
      </c>
      <c r="Q117" t="s">
        <v>138</v>
      </c>
      <c r="R117">
        <v>0.19934541740335293</v>
      </c>
      <c r="S117" t="s">
        <v>139</v>
      </c>
      <c r="T117">
        <v>2.846720138806706</v>
      </c>
      <c r="U117" t="s">
        <v>216</v>
      </c>
      <c r="V117">
        <v>0.11861333911694608</v>
      </c>
      <c r="W117" t="s">
        <v>217</v>
      </c>
      <c r="X117">
        <v>0.4744533564677843</v>
      </c>
      <c r="Y117">
        <v>28.585814727184005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164</v>
      </c>
      <c r="AF117">
        <v>230</v>
      </c>
      <c r="AG117">
        <v>329</v>
      </c>
      <c r="AH117">
        <v>0</v>
      </c>
      <c r="AI117">
        <v>3.5385</v>
      </c>
      <c r="AK117" t="s">
        <v>218</v>
      </c>
      <c r="AM117">
        <v>200000</v>
      </c>
      <c r="AN117" t="s">
        <v>76</v>
      </c>
      <c r="AO117">
        <v>1</v>
      </c>
      <c r="AP117">
        <v>0</v>
      </c>
      <c r="AQ117">
        <v>16666.666666666668</v>
      </c>
      <c r="AR117" t="s">
        <v>9</v>
      </c>
      <c r="AS117" t="s">
        <v>78</v>
      </c>
      <c r="AX117" t="s">
        <v>79</v>
      </c>
      <c r="AY117" t="s">
        <v>137</v>
      </c>
      <c r="AZ117">
        <v>0</v>
      </c>
      <c r="BA117" t="s">
        <v>137</v>
      </c>
      <c r="BB117">
        <v>0</v>
      </c>
      <c r="BE117">
        <v>0</v>
      </c>
    </row>
    <row r="118" spans="1:58" ht="12.75">
      <c r="A118" s="2" t="str">
        <f>HYPERLINK("https://ibp.a2mac1.com/costing(costing:projects/details/8191/part/5381091)","Rim")</f>
        <v>Rim</v>
      </c>
      <c r="B118">
        <v>5381091</v>
      </c>
      <c r="C118">
        <v>5381009</v>
      </c>
      <c r="E118">
        <v>66.38</v>
      </c>
      <c r="F118">
        <v>0</v>
      </c>
      <c r="G118">
        <v>0</v>
      </c>
      <c r="H118">
        <v>0.00033189999999999999</v>
      </c>
      <c r="I118" t="s">
        <v>137</v>
      </c>
      <c r="J118">
        <v>2.3233000000000001</v>
      </c>
      <c r="K118">
        <v>68.703631900000005</v>
      </c>
      <c r="L118">
        <v>2.1970279316970305</v>
      </c>
      <c r="M118">
        <v>13.182167590182182</v>
      </c>
      <c r="N118">
        <v>81.88579949018218</v>
      </c>
      <c r="O118" t="s">
        <v>138</v>
      </c>
      <c r="P118">
        <v>4.1222179140000001</v>
      </c>
      <c r="Q118" t="s">
        <v>138</v>
      </c>
      <c r="R118">
        <v>0.79093005541093098</v>
      </c>
      <c r="S118" t="s">
        <v>139</v>
      </c>
      <c r="T118">
        <v>9.8262959388218611</v>
      </c>
      <c r="U118" t="s">
        <v>90</v>
      </c>
      <c r="V118">
        <v>0</v>
      </c>
      <c r="W118" t="s">
        <v>90</v>
      </c>
      <c r="X118">
        <v>0</v>
      </c>
      <c r="Y118">
        <v>96.62524339841498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229</v>
      </c>
      <c r="AF118">
        <v>550</v>
      </c>
      <c r="AG118">
        <v>550</v>
      </c>
      <c r="AH118">
        <v>0</v>
      </c>
      <c r="AI118">
        <v>17.050999999999998</v>
      </c>
      <c r="AK118" t="s">
        <v>75</v>
      </c>
      <c r="AM118">
        <v>800000</v>
      </c>
      <c r="AN118" t="s">
        <v>76</v>
      </c>
      <c r="AO118">
        <v>1</v>
      </c>
      <c r="AP118">
        <v>0</v>
      </c>
      <c r="AQ118">
        <v>66666.666666666672</v>
      </c>
      <c r="AR118" t="s">
        <v>483</v>
      </c>
      <c r="AS118" t="s">
        <v>78</v>
      </c>
      <c r="AX118" t="s">
        <v>79</v>
      </c>
      <c r="AY118" t="s">
        <v>137</v>
      </c>
      <c r="AZ118">
        <v>0</v>
      </c>
      <c r="BA118" t="s">
        <v>137</v>
      </c>
      <c r="BB118">
        <v>0</v>
      </c>
      <c r="BE118">
        <v>0</v>
      </c>
    </row>
    <row r="119" spans="1:58" ht="12.75">
      <c r="A119" s="2" t="str">
        <f>HYPERLINK("https://ibp.a2mac1.com/costing(costing:projects/details/8191/part/5381092)","Tires")</f>
        <v>Tires</v>
      </c>
      <c r="B119">
        <v>5381092</v>
      </c>
      <c r="C119">
        <v>5381009</v>
      </c>
      <c r="E119">
        <v>64.867000000000004</v>
      </c>
      <c r="F119">
        <v>0</v>
      </c>
      <c r="G119">
        <v>0</v>
      </c>
      <c r="H119">
        <v>0</v>
      </c>
      <c r="I119" t="s">
        <v>74</v>
      </c>
      <c r="J119">
        <v>0</v>
      </c>
      <c r="K119">
        <v>64.867000000000004</v>
      </c>
      <c r="L119">
        <v>0</v>
      </c>
      <c r="M119">
        <v>0</v>
      </c>
      <c r="N119">
        <v>64.867000000000004</v>
      </c>
      <c r="O119" t="s">
        <v>74</v>
      </c>
      <c r="P119">
        <v>0</v>
      </c>
      <c r="Q119" t="s">
        <v>74</v>
      </c>
      <c r="R119">
        <v>0</v>
      </c>
      <c r="S119" t="s">
        <v>74</v>
      </c>
      <c r="T119">
        <v>0</v>
      </c>
      <c r="U119" t="s">
        <v>74</v>
      </c>
      <c r="V119">
        <v>0</v>
      </c>
      <c r="W119" t="s">
        <v>74</v>
      </c>
      <c r="X119">
        <v>0</v>
      </c>
      <c r="Y119">
        <v>64.867000000000004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244</v>
      </c>
      <c r="AF119">
        <v>746</v>
      </c>
      <c r="AG119">
        <v>746</v>
      </c>
      <c r="AH119">
        <v>0</v>
      </c>
      <c r="AI119">
        <v>11.877000000000001</v>
      </c>
      <c r="AK119" t="s">
        <v>75</v>
      </c>
      <c r="AM119">
        <v>800000</v>
      </c>
      <c r="AN119" t="s">
        <v>76</v>
      </c>
      <c r="AO119">
        <v>1</v>
      </c>
      <c r="AP119">
        <v>0</v>
      </c>
      <c r="AQ119">
        <v>66666.666666666672</v>
      </c>
      <c r="AR119" t="s">
        <v>484</v>
      </c>
      <c r="AS119" t="s">
        <v>78</v>
      </c>
      <c r="AX119" t="s">
        <v>79</v>
      </c>
      <c r="AY119" t="s">
        <v>74</v>
      </c>
      <c r="AZ119">
        <v>0</v>
      </c>
      <c r="BA119" t="s">
        <v>74</v>
      </c>
      <c r="BB119">
        <v>0</v>
      </c>
      <c r="BD119">
        <v>64.867000000000004</v>
      </c>
      <c r="BE119">
        <v>0</v>
      </c>
    </row>
    <row r="120" spans="1:58" ht="12.75">
      <c r="A120" s="2" t="str">
        <f>HYPERLINK("https://ibp.a2mac1.com/costing(costing:projects/details/8191/part/5381093)","Valve")</f>
        <v>Valve</v>
      </c>
      <c r="B120">
        <v>5381093</v>
      </c>
      <c r="C120">
        <v>5381009</v>
      </c>
      <c r="E120">
        <v>0.23</v>
      </c>
      <c r="F120">
        <v>0</v>
      </c>
      <c r="G120">
        <v>0</v>
      </c>
      <c r="H120">
        <v>0</v>
      </c>
      <c r="I120" t="s">
        <v>74</v>
      </c>
      <c r="J120">
        <v>0</v>
      </c>
      <c r="K120">
        <v>0.23</v>
      </c>
      <c r="L120">
        <v>0</v>
      </c>
      <c r="M120">
        <v>0</v>
      </c>
      <c r="N120">
        <v>0.23</v>
      </c>
      <c r="O120" t="s">
        <v>74</v>
      </c>
      <c r="P120">
        <v>0</v>
      </c>
      <c r="Q120" t="s">
        <v>74</v>
      </c>
      <c r="R120">
        <v>0</v>
      </c>
      <c r="S120" t="s">
        <v>74</v>
      </c>
      <c r="T120">
        <v>0</v>
      </c>
      <c r="U120" t="s">
        <v>74</v>
      </c>
      <c r="V120">
        <v>0</v>
      </c>
      <c r="W120" t="s">
        <v>74</v>
      </c>
      <c r="X120">
        <v>0</v>
      </c>
      <c r="Y120">
        <v>0.23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20</v>
      </c>
      <c r="AF120">
        <v>20</v>
      </c>
      <c r="AG120">
        <v>44</v>
      </c>
      <c r="AH120">
        <v>0</v>
      </c>
      <c r="AI120">
        <v>0.01</v>
      </c>
      <c r="AK120" t="s">
        <v>213</v>
      </c>
      <c r="AM120">
        <v>800000</v>
      </c>
      <c r="AN120" t="s">
        <v>76</v>
      </c>
      <c r="AO120">
        <v>1</v>
      </c>
      <c r="AP120">
        <v>0</v>
      </c>
      <c r="AQ120">
        <v>66666.666666666672</v>
      </c>
      <c r="AR120" t="s">
        <v>485</v>
      </c>
      <c r="AS120" t="s">
        <v>78</v>
      </c>
      <c r="AX120" t="s">
        <v>79</v>
      </c>
      <c r="AY120" t="s">
        <v>74</v>
      </c>
      <c r="AZ120">
        <v>0</v>
      </c>
      <c r="BA120" t="s">
        <v>74</v>
      </c>
      <c r="BB120">
        <v>0</v>
      </c>
      <c r="BD120">
        <v>0.23</v>
      </c>
      <c r="BE120">
        <v>0</v>
      </c>
    </row>
    <row r="121" spans="1:58" ht="12.75">
      <c r="A121" s="2" t="str">
        <f>HYPERLINK("https://ibp.a2mac1.com/costing(costing:projects/details/8191/part/5381008)","Hub Cover")</f>
        <v>Hub Cover</v>
      </c>
      <c r="B121">
        <v>5381008</v>
      </c>
      <c r="C121">
        <v>5381000</v>
      </c>
      <c r="E121">
        <v>3.36</v>
      </c>
      <c r="F121">
        <v>0</v>
      </c>
      <c r="G121">
        <v>0</v>
      </c>
      <c r="H121">
        <v>0</v>
      </c>
      <c r="I121" t="s">
        <v>74</v>
      </c>
      <c r="J121">
        <v>0</v>
      </c>
      <c r="K121">
        <v>3.36</v>
      </c>
      <c r="L121">
        <v>0</v>
      </c>
      <c r="M121">
        <v>0</v>
      </c>
      <c r="N121">
        <v>3.36</v>
      </c>
      <c r="O121" t="s">
        <v>74</v>
      </c>
      <c r="P121">
        <v>0</v>
      </c>
      <c r="Q121" t="s">
        <v>74</v>
      </c>
      <c r="R121">
        <v>0</v>
      </c>
      <c r="S121" t="s">
        <v>74</v>
      </c>
      <c r="T121">
        <v>0</v>
      </c>
      <c r="U121" t="s">
        <v>74</v>
      </c>
      <c r="V121">
        <v>0</v>
      </c>
      <c r="W121" t="s">
        <v>74</v>
      </c>
      <c r="X121">
        <v>0</v>
      </c>
      <c r="Y121">
        <v>3.36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15</v>
      </c>
      <c r="AF121">
        <v>60</v>
      </c>
      <c r="AG121">
        <v>60</v>
      </c>
      <c r="AH121">
        <v>0</v>
      </c>
      <c r="AI121">
        <v>0.0155</v>
      </c>
      <c r="AK121" t="s">
        <v>75</v>
      </c>
      <c r="AM121">
        <v>800000</v>
      </c>
      <c r="AN121" t="s">
        <v>76</v>
      </c>
      <c r="AO121">
        <v>4</v>
      </c>
      <c r="AP121">
        <v>0</v>
      </c>
      <c r="AQ121">
        <v>66666.666666666672</v>
      </c>
      <c r="AR121" t="s">
        <v>487</v>
      </c>
      <c r="AS121" t="s">
        <v>78</v>
      </c>
      <c r="AX121" t="s">
        <v>79</v>
      </c>
      <c r="AY121" t="s">
        <v>74</v>
      </c>
      <c r="AZ121">
        <v>0</v>
      </c>
      <c r="BA121" t="s">
        <v>74</v>
      </c>
      <c r="BB121">
        <v>0</v>
      </c>
      <c r="BD121">
        <v>0.84</v>
      </c>
      <c r="BE121">
        <v>0</v>
      </c>
    </row>
    <row r="122" spans="1:58" ht="12.75">
      <c r="A122" s="2" t="str">
        <f>HYPERLINK("https://ibp.a2mac1.com/costing(costing:projects/details/8191/part/5381529)","Cover")</f>
        <v>Cover</v>
      </c>
      <c r="B122">
        <v>5381529</v>
      </c>
      <c r="C122">
        <v>5381298</v>
      </c>
      <c r="E122">
        <v>0.34972024180964351</v>
      </c>
      <c r="F122">
        <v>0</v>
      </c>
      <c r="G122">
        <v>0</v>
      </c>
      <c r="H122">
        <v>0.0071482955266872839</v>
      </c>
      <c r="I122" t="s">
        <v>137</v>
      </c>
      <c r="J122">
        <v>0.012252220540355286</v>
      </c>
      <c r="K122">
        <v>0.36912075787668608</v>
      </c>
      <c r="L122">
        <v>0.01107852139341906</v>
      </c>
      <c r="M122">
        <v>0.066471128360514359</v>
      </c>
      <c r="N122">
        <v>0.43559188623720041</v>
      </c>
      <c r="O122" t="s">
        <v>138</v>
      </c>
      <c r="P122">
        <v>0.022147245472601162</v>
      </c>
      <c r="Q122" t="s">
        <v>138</v>
      </c>
      <c r="R122">
        <v>0.0039882677016308621</v>
      </c>
      <c r="S122" t="s">
        <v>139</v>
      </c>
      <c r="T122">
        <v>0.052271026348464047</v>
      </c>
      <c r="U122" t="s">
        <v>90</v>
      </c>
      <c r="V122">
        <v>0</v>
      </c>
      <c r="W122" t="s">
        <v>90</v>
      </c>
      <c r="X122">
        <v>0</v>
      </c>
      <c r="Y122">
        <v>0.51399842575989652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290</v>
      </c>
      <c r="AF122">
        <v>171</v>
      </c>
      <c r="AG122">
        <v>126</v>
      </c>
      <c r="AH122">
        <v>0</v>
      </c>
      <c r="AI122">
        <v>0.255</v>
      </c>
      <c r="AK122" t="s">
        <v>501</v>
      </c>
      <c r="AM122">
        <v>200000</v>
      </c>
      <c r="AN122" t="s">
        <v>76</v>
      </c>
      <c r="AO122">
        <v>1</v>
      </c>
      <c r="AP122">
        <v>0</v>
      </c>
      <c r="AQ122">
        <v>16666.666666666668</v>
      </c>
      <c r="AR122" t="s">
        <v>502</v>
      </c>
      <c r="AS122" t="s">
        <v>78</v>
      </c>
      <c r="AX122" t="s">
        <v>79</v>
      </c>
      <c r="AY122" t="s">
        <v>137</v>
      </c>
      <c r="AZ122">
        <v>0</v>
      </c>
      <c r="BA122" t="s">
        <v>137</v>
      </c>
      <c r="BB122">
        <v>0</v>
      </c>
      <c r="BE122">
        <v>0</v>
      </c>
    </row>
    <row r="123" spans="1:58" ht="12.75">
      <c r="A123" s="2" t="str">
        <f>HYPERLINK("https://ibp.a2mac1.com/costing(costing:projects/details/8191/part/5381530)","Shock Absorbers")</f>
        <v>Shock Absorbers</v>
      </c>
      <c r="B123">
        <v>5381530</v>
      </c>
      <c r="C123">
        <v>5381298</v>
      </c>
      <c r="E123">
        <v>0.32044429666666668</v>
      </c>
      <c r="F123">
        <v>0</v>
      </c>
      <c r="G123">
        <v>0</v>
      </c>
      <c r="H123">
        <v>0.00034579699312280702</v>
      </c>
      <c r="I123" t="s">
        <v>137</v>
      </c>
      <c r="J123">
        <v>0.011637398807017543</v>
      </c>
      <c r="K123">
        <v>0.33242749246680703</v>
      </c>
      <c r="L123">
        <v>0.047835466079395685</v>
      </c>
      <c r="M123">
        <v>0.28701279647637412</v>
      </c>
      <c r="N123">
        <v>0.61944028894318115</v>
      </c>
      <c r="O123" t="s">
        <v>138</v>
      </c>
      <c r="P123">
        <v>0.019945649548008423</v>
      </c>
      <c r="Q123" t="s">
        <v>138</v>
      </c>
      <c r="R123">
        <v>0.017220767788582447</v>
      </c>
      <c r="S123" t="s">
        <v>139</v>
      </c>
      <c r="T123">
        <v>0.074332834673181733</v>
      </c>
      <c r="U123" t="s">
        <v>90</v>
      </c>
      <c r="V123">
        <v>0</v>
      </c>
      <c r="W123" t="s">
        <v>90</v>
      </c>
      <c r="X123">
        <v>0</v>
      </c>
      <c r="Y123">
        <v>0.73093954095295377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276</v>
      </c>
      <c r="AF123">
        <v>159</v>
      </c>
      <c r="AG123">
        <v>83</v>
      </c>
      <c r="AH123">
        <v>0</v>
      </c>
      <c r="AI123">
        <v>0.27</v>
      </c>
      <c r="AK123" t="s">
        <v>501</v>
      </c>
      <c r="AM123">
        <v>200000</v>
      </c>
      <c r="AN123" t="s">
        <v>76</v>
      </c>
      <c r="AO123">
        <v>1</v>
      </c>
      <c r="AP123">
        <v>0</v>
      </c>
      <c r="AQ123">
        <v>16666.666666666668</v>
      </c>
      <c r="AR123" t="s">
        <v>514</v>
      </c>
      <c r="AS123" t="s">
        <v>78</v>
      </c>
      <c r="AX123" t="s">
        <v>79</v>
      </c>
      <c r="AY123" t="s">
        <v>137</v>
      </c>
      <c r="AZ123">
        <v>0</v>
      </c>
      <c r="BA123" t="s">
        <v>137</v>
      </c>
      <c r="BB123">
        <v>0</v>
      </c>
      <c r="BE123">
        <v>0</v>
      </c>
    </row>
    <row r="124" spans="1:58" ht="12.75">
      <c r="A124" s="2" t="str">
        <f>HYPERLINK("https://ibp.a2mac1.com/costing(costing:projects/details/8191/part/5381295)","Steering Switch Covers Upper")</f>
        <v>Steering Switch Covers Upper</v>
      </c>
      <c r="B124">
        <v>5381295</v>
      </c>
      <c r="C124">
        <v>5381266</v>
      </c>
      <c r="E124">
        <v>0.056304731286717966</v>
      </c>
      <c r="F124">
        <v>0</v>
      </c>
      <c r="G124">
        <v>0</v>
      </c>
      <c r="H124">
        <v>5.8614386082301774E-05</v>
      </c>
      <c r="I124" t="s">
        <v>137</v>
      </c>
      <c r="J124">
        <v>0.0019725995316159251</v>
      </c>
      <c r="K124">
        <v>0.058335945204416192</v>
      </c>
      <c r="L124">
        <v>0.0060964184467974993</v>
      </c>
      <c r="M124">
        <v>0.036578510680784999</v>
      </c>
      <c r="N124">
        <v>0.094914455885201185</v>
      </c>
      <c r="O124" t="s">
        <v>138</v>
      </c>
      <c r="P124">
        <v>0.0035001567122649718</v>
      </c>
      <c r="Q124" t="s">
        <v>138</v>
      </c>
      <c r="R124">
        <v>0.0021947106408471001</v>
      </c>
      <c r="S124" t="s">
        <v>139</v>
      </c>
      <c r="T124">
        <v>0.011389734706224144</v>
      </c>
      <c r="U124" t="s">
        <v>90</v>
      </c>
      <c r="V124">
        <v>0</v>
      </c>
      <c r="W124" t="s">
        <v>90</v>
      </c>
      <c r="X124">
        <v>0</v>
      </c>
      <c r="Y124">
        <v>0.11199905794453741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70</v>
      </c>
      <c r="AF124">
        <v>170</v>
      </c>
      <c r="AG124">
        <v>60</v>
      </c>
      <c r="AH124">
        <v>0</v>
      </c>
      <c r="AI124">
        <v>0.041000000000000002</v>
      </c>
      <c r="AK124" t="s">
        <v>501</v>
      </c>
      <c r="AM124">
        <v>200000</v>
      </c>
      <c r="AN124" t="s">
        <v>76</v>
      </c>
      <c r="AO124">
        <v>1</v>
      </c>
      <c r="AP124">
        <v>0</v>
      </c>
      <c r="AQ124">
        <v>16666.666666666668</v>
      </c>
      <c r="AR124" t="s">
        <v>521</v>
      </c>
      <c r="AS124" t="s">
        <v>78</v>
      </c>
      <c r="AX124" t="s">
        <v>79</v>
      </c>
      <c r="AY124" t="s">
        <v>137</v>
      </c>
      <c r="AZ124">
        <v>0</v>
      </c>
      <c r="BA124" t="s">
        <v>137</v>
      </c>
      <c r="BB124">
        <v>0</v>
      </c>
      <c r="BE124">
        <v>0</v>
      </c>
    </row>
    <row r="125" spans="1:58" ht="12.75">
      <c r="A125" s="2" t="str">
        <f>HYPERLINK("https://ibp.a2mac1.com/costing(costing:projects/details/8191/part/5381296)","Shroud Front")</f>
        <v>Shroud Front</v>
      </c>
      <c r="B125">
        <v>5381296</v>
      </c>
      <c r="C125">
        <v>5381266</v>
      </c>
      <c r="E125">
        <v>0.18604542463763066</v>
      </c>
      <c r="F125">
        <v>0</v>
      </c>
      <c r="G125">
        <v>0</v>
      </c>
      <c r="H125">
        <v>0.00019349460452961672</v>
      </c>
      <c r="I125" t="s">
        <v>137</v>
      </c>
      <c r="J125">
        <v>0.0065118376524390242</v>
      </c>
      <c r="K125">
        <v>0.19275075689459931</v>
      </c>
      <c r="L125">
        <v>0.0051535029581763758</v>
      </c>
      <c r="M125">
        <v>0.030921017749058258</v>
      </c>
      <c r="N125">
        <v>0.22367177464365756</v>
      </c>
      <c r="O125" t="s">
        <v>138</v>
      </c>
      <c r="P125">
        <v>0.011565045413675958</v>
      </c>
      <c r="Q125" t="s">
        <v>138</v>
      </c>
      <c r="R125">
        <v>0.0018552610649434954</v>
      </c>
      <c r="S125" t="s">
        <v>139</v>
      </c>
      <c r="T125">
        <v>0.026840612957238906</v>
      </c>
      <c r="U125" t="s">
        <v>90</v>
      </c>
      <c r="V125">
        <v>0</v>
      </c>
      <c r="W125" t="s">
        <v>90</v>
      </c>
      <c r="X125">
        <v>0</v>
      </c>
      <c r="Y125">
        <v>0.26393269407951592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55</v>
      </c>
      <c r="AF125">
        <v>125</v>
      </c>
      <c r="AG125">
        <v>225</v>
      </c>
      <c r="AH125">
        <v>0</v>
      </c>
      <c r="AI125">
        <v>0.014</v>
      </c>
      <c r="AK125" t="s">
        <v>501</v>
      </c>
      <c r="AM125">
        <v>200000</v>
      </c>
      <c r="AN125" t="s">
        <v>76</v>
      </c>
      <c r="AO125">
        <v>1</v>
      </c>
      <c r="AP125">
        <v>0</v>
      </c>
      <c r="AQ125">
        <v>16666.666666666668</v>
      </c>
      <c r="AR125" t="s">
        <v>530</v>
      </c>
      <c r="AS125" t="s">
        <v>78</v>
      </c>
      <c r="AX125" t="s">
        <v>79</v>
      </c>
      <c r="AY125" t="s">
        <v>137</v>
      </c>
      <c r="AZ125">
        <v>0</v>
      </c>
      <c r="BA125" t="s">
        <v>137</v>
      </c>
      <c r="BB125">
        <v>0</v>
      </c>
      <c r="BE125">
        <v>0</v>
      </c>
    </row>
    <row r="126" spans="1:58" ht="12.75">
      <c r="A126" s="2" t="str">
        <f>HYPERLINK("https://ibp.a2mac1.com/costing(costing:projects/details/8191/part/5381297)","2nd Steering Switch Covers Upper")</f>
        <v>2nd Steering Switch Covers Upper</v>
      </c>
      <c r="B126">
        <v>5381297</v>
      </c>
      <c r="C126">
        <v>5381266</v>
      </c>
      <c r="E126">
        <v>0.059774589854654059</v>
      </c>
      <c r="F126">
        <v>0</v>
      </c>
      <c r="G126">
        <v>0</v>
      </c>
      <c r="H126">
        <v>6.2226580388252862E-05</v>
      </c>
      <c r="I126" t="s">
        <v>137</v>
      </c>
      <c r="J126">
        <v>0.0020941637630662023</v>
      </c>
      <c r="K126">
        <v>0.061930980198108512</v>
      </c>
      <c r="L126">
        <v>0.00860498198269119</v>
      </c>
      <c r="M126">
        <v>0.05162989189614714</v>
      </c>
      <c r="N126">
        <v>0.11356087209425565</v>
      </c>
      <c r="O126" t="s">
        <v>138</v>
      </c>
      <c r="P126">
        <v>0.0037158588118865105</v>
      </c>
      <c r="Q126" t="s">
        <v>138</v>
      </c>
      <c r="R126">
        <v>0.0030977935137688284</v>
      </c>
      <c r="S126" t="s">
        <v>139</v>
      </c>
      <c r="T126">
        <v>0.013627304651310679</v>
      </c>
      <c r="U126" t="s">
        <v>90</v>
      </c>
      <c r="V126">
        <v>0</v>
      </c>
      <c r="W126" t="s">
        <v>90</v>
      </c>
      <c r="X126">
        <v>0</v>
      </c>
      <c r="Y126">
        <v>0.13400182907122166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190</v>
      </c>
      <c r="AF126">
        <v>175</v>
      </c>
      <c r="AG126">
        <v>70</v>
      </c>
      <c r="AH126">
        <v>0</v>
      </c>
      <c r="AI126">
        <v>0.058000000000000003</v>
      </c>
      <c r="AK126" t="s">
        <v>501</v>
      </c>
      <c r="AM126">
        <v>200000</v>
      </c>
      <c r="AN126" t="s">
        <v>76</v>
      </c>
      <c r="AO126">
        <v>1</v>
      </c>
      <c r="AP126">
        <v>0</v>
      </c>
      <c r="AQ126">
        <v>16666.666666666668</v>
      </c>
      <c r="AR126" t="s">
        <v>536</v>
      </c>
      <c r="AS126" t="s">
        <v>78</v>
      </c>
      <c r="AX126" t="s">
        <v>79</v>
      </c>
      <c r="AY126" t="s">
        <v>137</v>
      </c>
      <c r="AZ126">
        <v>0</v>
      </c>
      <c r="BA126" t="s">
        <v>137</v>
      </c>
      <c r="BB126">
        <v>0</v>
      </c>
      <c r="BE126">
        <v>0</v>
      </c>
    </row>
    <row r="127" spans="1:58" ht="12.75">
      <c r="A127" s="2" t="str">
        <f>HYPERLINK("https://ibp.a2mac1.com/costing(costing:projects/details/8191/part/5381265)","Bezel")</f>
        <v>Bezel</v>
      </c>
      <c r="B127">
        <v>5381265</v>
      </c>
      <c r="C127">
        <v>5381250</v>
      </c>
      <c r="E127">
        <v>0.018693517084203054</v>
      </c>
      <c r="F127">
        <v>0</v>
      </c>
      <c r="G127">
        <v>0</v>
      </c>
      <c r="H127">
        <v>0.00038209622599939618</v>
      </c>
      <c r="I127" t="s">
        <v>137</v>
      </c>
      <c r="J127">
        <v>0.00065491517678642832</v>
      </c>
      <c r="K127">
        <v>0.019730528486988877</v>
      </c>
      <c r="L127">
        <v>0.0080576333388965252</v>
      </c>
      <c r="M127">
        <v>0.048345800033379148</v>
      </c>
      <c r="N127">
        <v>0.068076328520368032</v>
      </c>
      <c r="O127" t="s">
        <v>138</v>
      </c>
      <c r="P127">
        <v>0.0011838317092193328</v>
      </c>
      <c r="Q127" t="s">
        <v>138</v>
      </c>
      <c r="R127">
        <v>0.002900748002002749</v>
      </c>
      <c r="S127" t="s">
        <v>139</v>
      </c>
      <c r="T127">
        <v>0.0081691594224441635</v>
      </c>
      <c r="U127" t="s">
        <v>90</v>
      </c>
      <c r="V127">
        <v>0</v>
      </c>
      <c r="W127" t="s">
        <v>90</v>
      </c>
      <c r="X127">
        <v>0</v>
      </c>
      <c r="Y127">
        <v>0.080330067654034276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77</v>
      </c>
      <c r="AF127">
        <v>170</v>
      </c>
      <c r="AG127">
        <v>54</v>
      </c>
      <c r="AH127">
        <v>0</v>
      </c>
      <c r="AI127">
        <v>0.0080000000000000002</v>
      </c>
      <c r="AK127" t="s">
        <v>501</v>
      </c>
      <c r="AM127">
        <v>200000</v>
      </c>
      <c r="AN127" t="s">
        <v>76</v>
      </c>
      <c r="AO127">
        <v>1</v>
      </c>
      <c r="AP127">
        <v>0</v>
      </c>
      <c r="AQ127">
        <v>16666.666666666668</v>
      </c>
      <c r="AR127" t="s">
        <v>543</v>
      </c>
      <c r="AS127" t="s">
        <v>78</v>
      </c>
      <c r="AX127" t="s">
        <v>79</v>
      </c>
      <c r="AY127" t="s">
        <v>137</v>
      </c>
      <c r="AZ127">
        <v>0</v>
      </c>
      <c r="BA127" t="s">
        <v>137</v>
      </c>
      <c r="BB127">
        <v>0</v>
      </c>
      <c r="BE127">
        <v>0</v>
      </c>
    </row>
    <row r="128" spans="1:58" ht="12.75">
      <c r="A128" s="2" t="str">
        <f>HYPERLINK("https://ibp.a2mac1.com/costing(costing:projects/details/8191/part/5381267)","Steering Column Parts incl Lock")</f>
        <v>Steering Column Parts incl Lock</v>
      </c>
      <c r="B128">
        <v>5381267</v>
      </c>
      <c r="C128">
        <v>5381251</v>
      </c>
      <c r="E128">
        <v>10.23</v>
      </c>
      <c r="F128">
        <v>0</v>
      </c>
      <c r="G128">
        <v>0</v>
      </c>
      <c r="H128">
        <v>0.00020460000000000001</v>
      </c>
      <c r="I128" t="s">
        <v>137</v>
      </c>
      <c r="J128">
        <v>0.35804999999999998</v>
      </c>
      <c r="K128">
        <v>10.588254600000001</v>
      </c>
      <c r="L128">
        <v>3.5165611010650921</v>
      </c>
      <c r="M128">
        <v>21.099366606390554</v>
      </c>
      <c r="N128">
        <v>31.687621206390553</v>
      </c>
      <c r="O128" t="s">
        <v>90</v>
      </c>
      <c r="P128">
        <v>0</v>
      </c>
      <c r="Q128" t="s">
        <v>90</v>
      </c>
      <c r="R128">
        <v>0</v>
      </c>
      <c r="S128" t="s">
        <v>90</v>
      </c>
      <c r="T128">
        <v>0</v>
      </c>
      <c r="U128" t="s">
        <v>216</v>
      </c>
      <c r="V128">
        <v>0.15843810603195277</v>
      </c>
      <c r="W128" t="s">
        <v>217</v>
      </c>
      <c r="X128">
        <v>0.63375242412781108</v>
      </c>
      <c r="Y128">
        <v>32.479811736550317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K128" t="s">
        <v>218</v>
      </c>
      <c r="AM128">
        <v>200000</v>
      </c>
      <c r="AN128" t="s">
        <v>92</v>
      </c>
      <c r="AO128">
        <v>1</v>
      </c>
      <c r="AP128">
        <v>0</v>
      </c>
      <c r="AQ128">
        <v>16666.666666666668</v>
      </c>
      <c r="AR128" t="s">
        <v>9</v>
      </c>
      <c r="AS128" t="s">
        <v>78</v>
      </c>
      <c r="AX128" t="s">
        <v>79</v>
      </c>
      <c r="AY128" t="s">
        <v>137</v>
      </c>
      <c r="AZ128">
        <v>0</v>
      </c>
      <c r="BA128" t="s">
        <v>137</v>
      </c>
      <c r="BB128">
        <v>0</v>
      </c>
      <c r="BE128">
        <v>0</v>
      </c>
    </row>
    <row r="129" spans="1:58" ht="12.75">
      <c r="A129" s="2" t="str">
        <f>HYPERLINK("https://ibp.a2mac1.com/costing(costing:projects/details/8191/part/5381268)","Column Coupling")</f>
        <v>Column Coupling</v>
      </c>
      <c r="B129">
        <v>5381268</v>
      </c>
      <c r="C129">
        <v>5381254</v>
      </c>
      <c r="E129">
        <v>5.30</v>
      </c>
      <c r="F129">
        <v>0</v>
      </c>
      <c r="G129">
        <v>0</v>
      </c>
      <c r="H129">
        <v>0</v>
      </c>
      <c r="I129" t="s">
        <v>74</v>
      </c>
      <c r="J129">
        <v>0</v>
      </c>
      <c r="K129">
        <v>5.30</v>
      </c>
      <c r="L129">
        <v>0</v>
      </c>
      <c r="M129">
        <v>0</v>
      </c>
      <c r="N129">
        <v>5.30</v>
      </c>
      <c r="O129" t="s">
        <v>74</v>
      </c>
      <c r="P129">
        <v>0</v>
      </c>
      <c r="Q129" t="s">
        <v>74</v>
      </c>
      <c r="R129">
        <v>0</v>
      </c>
      <c r="S129" t="s">
        <v>74</v>
      </c>
      <c r="T129">
        <v>0</v>
      </c>
      <c r="U129" t="s">
        <v>74</v>
      </c>
      <c r="V129">
        <v>0</v>
      </c>
      <c r="W129" t="s">
        <v>74</v>
      </c>
      <c r="X129">
        <v>0</v>
      </c>
      <c r="Y129">
        <v>5.30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96</v>
      </c>
      <c r="AF129">
        <v>43</v>
      </c>
      <c r="AG129">
        <v>43</v>
      </c>
      <c r="AH129">
        <v>0</v>
      </c>
      <c r="AI129">
        <v>0.40699999999999997</v>
      </c>
      <c r="AK129" t="s">
        <v>213</v>
      </c>
      <c r="AM129">
        <v>200000</v>
      </c>
      <c r="AN129" t="s">
        <v>76</v>
      </c>
      <c r="AO129">
        <v>1</v>
      </c>
      <c r="AP129">
        <v>0</v>
      </c>
      <c r="AQ129">
        <v>16666.666666666668</v>
      </c>
      <c r="AR129" t="s">
        <v>551</v>
      </c>
      <c r="AS129" t="s">
        <v>78</v>
      </c>
      <c r="AX129" t="s">
        <v>79</v>
      </c>
      <c r="AY129" t="s">
        <v>74</v>
      </c>
      <c r="AZ129">
        <v>0</v>
      </c>
      <c r="BA129" t="s">
        <v>74</v>
      </c>
      <c r="BB129">
        <v>0</v>
      </c>
      <c r="BD129">
        <v>5.30</v>
      </c>
      <c r="BE129">
        <v>0</v>
      </c>
    </row>
    <row r="130" spans="1:58" ht="12.75">
      <c r="A130" s="2" t="str">
        <f>HYPERLINK("https://ibp.a2mac1.com/costing(costing:projects/details/8191/part/5381269)","Extension")</f>
        <v>Extension</v>
      </c>
      <c r="B130">
        <v>5381269</v>
      </c>
      <c r="C130">
        <v>5381254</v>
      </c>
      <c r="E130">
        <v>3.77</v>
      </c>
      <c r="F130">
        <v>0</v>
      </c>
      <c r="G130">
        <v>0</v>
      </c>
      <c r="H130">
        <v>7.5400000000000003E-05</v>
      </c>
      <c r="I130" t="s">
        <v>137</v>
      </c>
      <c r="J130">
        <v>0.13195000000000001</v>
      </c>
      <c r="K130">
        <v>3.9020253999999999</v>
      </c>
      <c r="L130">
        <v>1.6873596102711192</v>
      </c>
      <c r="M130">
        <v>5.905758635948918</v>
      </c>
      <c r="N130">
        <v>9.8077840359489183</v>
      </c>
      <c r="O130" t="s">
        <v>138</v>
      </c>
      <c r="P130">
        <v>0.234121524</v>
      </c>
      <c r="Q130" t="s">
        <v>138</v>
      </c>
      <c r="R130">
        <v>0.35434551815693505</v>
      </c>
      <c r="S130" t="s">
        <v>139</v>
      </c>
      <c r="T130">
        <v>1.17693408431387</v>
      </c>
      <c r="U130" t="s">
        <v>90</v>
      </c>
      <c r="V130">
        <v>0</v>
      </c>
      <c r="W130" t="s">
        <v>90</v>
      </c>
      <c r="X130">
        <v>0</v>
      </c>
      <c r="Y130">
        <v>11.573185162419723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365</v>
      </c>
      <c r="AF130">
        <v>50</v>
      </c>
      <c r="AG130">
        <v>50</v>
      </c>
      <c r="AH130">
        <v>0</v>
      </c>
      <c r="AI130">
        <v>0.92800000000000005</v>
      </c>
      <c r="AK130" t="s">
        <v>213</v>
      </c>
      <c r="AM130">
        <v>200000</v>
      </c>
      <c r="AN130" t="s">
        <v>76</v>
      </c>
      <c r="AO130">
        <v>1</v>
      </c>
      <c r="AP130">
        <v>0</v>
      </c>
      <c r="AQ130">
        <v>16666.666666666668</v>
      </c>
      <c r="AR130" t="s">
        <v>554</v>
      </c>
      <c r="AS130" t="s">
        <v>78</v>
      </c>
      <c r="AX130" t="s">
        <v>79</v>
      </c>
      <c r="AY130" t="s">
        <v>137</v>
      </c>
      <c r="AZ130">
        <v>0</v>
      </c>
      <c r="BA130" t="s">
        <v>137</v>
      </c>
      <c r="BB130">
        <v>0</v>
      </c>
      <c r="BE130">
        <v>0</v>
      </c>
    </row>
    <row r="131" spans="1:58" ht="12.75">
      <c r="A131" s="2" t="str">
        <f>HYPERLINK("https://ibp.a2mac1.com/costing(costing:projects/details/8191/part/5381248)","Seal Dash Panel Inner/Single")</f>
        <v>Seal Dash Panel Inner/Single</v>
      </c>
      <c r="B131">
        <v>5381248</v>
      </c>
      <c r="C131">
        <v>5381171</v>
      </c>
      <c r="E131">
        <v>2.9537</v>
      </c>
      <c r="F131">
        <v>0</v>
      </c>
      <c r="G131">
        <v>0</v>
      </c>
      <c r="H131">
        <v>0</v>
      </c>
      <c r="I131" t="s">
        <v>74</v>
      </c>
      <c r="J131">
        <v>0</v>
      </c>
      <c r="K131">
        <v>2.9537</v>
      </c>
      <c r="L131">
        <v>0</v>
      </c>
      <c r="M131">
        <v>0</v>
      </c>
      <c r="N131">
        <v>2.9537</v>
      </c>
      <c r="O131" t="s">
        <v>74</v>
      </c>
      <c r="P131">
        <v>0</v>
      </c>
      <c r="Q131" t="s">
        <v>74</v>
      </c>
      <c r="R131">
        <v>0</v>
      </c>
      <c r="S131" t="s">
        <v>74</v>
      </c>
      <c r="T131">
        <v>0</v>
      </c>
      <c r="U131" t="s">
        <v>74</v>
      </c>
      <c r="V131">
        <v>0</v>
      </c>
      <c r="W131" t="s">
        <v>74</v>
      </c>
      <c r="X131">
        <v>0</v>
      </c>
      <c r="Y131">
        <v>2.9537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110</v>
      </c>
      <c r="AF131">
        <v>90</v>
      </c>
      <c r="AG131">
        <v>140</v>
      </c>
      <c r="AH131">
        <v>0</v>
      </c>
      <c r="AI131">
        <v>0.19800000000000001</v>
      </c>
      <c r="AK131" t="s">
        <v>75</v>
      </c>
      <c r="AM131">
        <v>200000</v>
      </c>
      <c r="AN131" t="s">
        <v>76</v>
      </c>
      <c r="AO131">
        <v>1</v>
      </c>
      <c r="AP131">
        <v>0</v>
      </c>
      <c r="AQ131">
        <v>16666.666666666668</v>
      </c>
      <c r="AR131" t="s">
        <v>556</v>
      </c>
      <c r="AS131" t="s">
        <v>78</v>
      </c>
      <c r="AX131" t="s">
        <v>79</v>
      </c>
      <c r="AY131" t="s">
        <v>74</v>
      </c>
      <c r="AZ131">
        <v>0</v>
      </c>
      <c r="BA131" t="s">
        <v>74</v>
      </c>
      <c r="BB131">
        <v>0</v>
      </c>
      <c r="BD131">
        <v>2.9537</v>
      </c>
      <c r="BE131">
        <v>0</v>
      </c>
    </row>
    <row r="132" spans="1:58" ht="12.75">
      <c r="A132" s="2" t="str">
        <f>HYPERLINK("https://ibp.a2mac1.com/costing(costing:projects/details/8191/part/5381249)","Wiring Harness Guide")</f>
        <v>Wiring Harness Guide</v>
      </c>
      <c r="B132">
        <v>5381249</v>
      </c>
      <c r="C132">
        <v>5381171</v>
      </c>
      <c r="E132">
        <v>0.23069000000000001</v>
      </c>
      <c r="F132">
        <v>0</v>
      </c>
      <c r="G132">
        <v>0</v>
      </c>
      <c r="H132">
        <v>0</v>
      </c>
      <c r="I132" t="s">
        <v>74</v>
      </c>
      <c r="J132">
        <v>0</v>
      </c>
      <c r="K132">
        <v>0.23069000000000001</v>
      </c>
      <c r="L132">
        <v>0</v>
      </c>
      <c r="M132">
        <v>0</v>
      </c>
      <c r="N132">
        <v>0.23069000000000001</v>
      </c>
      <c r="O132" t="s">
        <v>74</v>
      </c>
      <c r="P132">
        <v>0</v>
      </c>
      <c r="Q132" t="s">
        <v>74</v>
      </c>
      <c r="R132">
        <v>0</v>
      </c>
      <c r="S132" t="s">
        <v>74</v>
      </c>
      <c r="T132">
        <v>0</v>
      </c>
      <c r="U132" t="s">
        <v>74</v>
      </c>
      <c r="V132">
        <v>0</v>
      </c>
      <c r="W132" t="s">
        <v>74</v>
      </c>
      <c r="X132">
        <v>0</v>
      </c>
      <c r="Y132">
        <v>0.23069000000000001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32</v>
      </c>
      <c r="AF132">
        <v>118</v>
      </c>
      <c r="AG132">
        <v>78</v>
      </c>
      <c r="AH132">
        <v>0</v>
      </c>
      <c r="AI132">
        <v>0.027</v>
      </c>
      <c r="AK132" t="s">
        <v>75</v>
      </c>
      <c r="AM132">
        <v>200000</v>
      </c>
      <c r="AN132" t="s">
        <v>76</v>
      </c>
      <c r="AO132">
        <v>1</v>
      </c>
      <c r="AP132">
        <v>0</v>
      </c>
      <c r="AQ132">
        <v>16666.666666666668</v>
      </c>
      <c r="AR132" t="s">
        <v>557</v>
      </c>
      <c r="AS132" t="s">
        <v>78</v>
      </c>
      <c r="AX132" t="s">
        <v>79</v>
      </c>
      <c r="AY132" t="s">
        <v>74</v>
      </c>
      <c r="AZ132">
        <v>0</v>
      </c>
      <c r="BA132" t="s">
        <v>74</v>
      </c>
      <c r="BB132">
        <v>0</v>
      </c>
      <c r="BD132">
        <v>0.23069000000000001</v>
      </c>
      <c r="BE132">
        <v>0</v>
      </c>
    </row>
    <row r="133" spans="1:58" ht="12.75">
      <c r="A133" s="2" t="str">
        <f>HYPERLINK("https://ibp.a2mac1.com/costing(costing:projects/details/8191/part/5381252)","Turning Switch")</f>
        <v>Turning Switch</v>
      </c>
      <c r="B133">
        <v>5381252</v>
      </c>
      <c r="C133">
        <v>5381171</v>
      </c>
      <c r="E133">
        <v>0</v>
      </c>
      <c r="F133">
        <v>15.021019800190796</v>
      </c>
      <c r="G133">
        <v>0</v>
      </c>
      <c r="H133">
        <v>0</v>
      </c>
      <c r="I133" t="s">
        <v>137</v>
      </c>
      <c r="J133">
        <v>0</v>
      </c>
      <c r="K133">
        <v>15.546755493197475</v>
      </c>
      <c r="L133">
        <v>0.74189455442050234</v>
      </c>
      <c r="M133">
        <v>2.5966309404717585</v>
      </c>
      <c r="N133">
        <v>18.143386433669232</v>
      </c>
      <c r="O133" t="s">
        <v>138</v>
      </c>
      <c r="P133">
        <v>0.93280532959184848</v>
      </c>
      <c r="Q133" t="s">
        <v>138</v>
      </c>
      <c r="R133">
        <v>0.15579785642830549</v>
      </c>
      <c r="S133" t="s">
        <v>139</v>
      </c>
      <c r="T133">
        <v>2.1772063720403079</v>
      </c>
      <c r="U133" t="s">
        <v>90</v>
      </c>
      <c r="V133">
        <v>0</v>
      </c>
      <c r="W133" t="s">
        <v>90</v>
      </c>
      <c r="X133">
        <v>0</v>
      </c>
      <c r="Y133">
        <v>21.409195991729696</v>
      </c>
      <c r="Z133">
        <v>0</v>
      </c>
      <c r="AA133">
        <v>0</v>
      </c>
      <c r="AB133">
        <v>0</v>
      </c>
      <c r="AC133">
        <v>0</v>
      </c>
      <c r="AD133">
        <v>0</v>
      </c>
      <c r="AK133" t="s">
        <v>576</v>
      </c>
      <c r="AL133" t="s">
        <v>577</v>
      </c>
      <c r="AM133">
        <v>200000</v>
      </c>
      <c r="AN133" t="s">
        <v>76</v>
      </c>
      <c r="AO133">
        <v>1</v>
      </c>
      <c r="AP133">
        <v>0</v>
      </c>
      <c r="AQ133">
        <v>16666.666666666668</v>
      </c>
      <c r="AR133" t="s">
        <v>578</v>
      </c>
      <c r="AS133" t="s">
        <v>78</v>
      </c>
      <c r="AW133">
        <v>0</v>
      </c>
      <c r="AX133" t="s">
        <v>79</v>
      </c>
      <c r="AY133" t="s">
        <v>137</v>
      </c>
      <c r="AZ133">
        <v>0.52573569300667788</v>
      </c>
      <c r="BA133" t="s">
        <v>137</v>
      </c>
      <c r="BB133">
        <v>0</v>
      </c>
      <c r="BE133">
        <v>0</v>
      </c>
    </row>
    <row r="134" spans="1:58" ht="12.75">
      <c r="A134" s="2" t="str">
        <f>HYPERLINK("https://ibp.a2mac1.com/costing(costing:projects/details/8191/part/5381253)","Steering Adjuster Cover Support")</f>
        <v>Steering Adjuster Cover Support</v>
      </c>
      <c r="B134">
        <v>5381253</v>
      </c>
      <c r="C134">
        <v>5381171</v>
      </c>
      <c r="E134">
        <v>0.05841724088813454</v>
      </c>
      <c r="F134">
        <v>0</v>
      </c>
      <c r="G134">
        <v>0</v>
      </c>
      <c r="H134">
        <v>6.0813552130168342E-05</v>
      </c>
      <c r="I134" t="s">
        <v>137</v>
      </c>
      <c r="J134">
        <v>0.0020466099274575886</v>
      </c>
      <c r="K134">
        <v>0.060524664367722296</v>
      </c>
      <c r="L134">
        <v>0.0046806761954951088</v>
      </c>
      <c r="M134">
        <v>0.028084057172970654</v>
      </c>
      <c r="N134">
        <v>0.08860872154069295</v>
      </c>
      <c r="O134" t="s">
        <v>138</v>
      </c>
      <c r="P134">
        <v>0.0036314798620633378</v>
      </c>
      <c r="Q134" t="s">
        <v>138</v>
      </c>
      <c r="R134">
        <v>0.0016850434303782391</v>
      </c>
      <c r="S134" t="s">
        <v>139</v>
      </c>
      <c r="T134">
        <v>0.010633046584883154</v>
      </c>
      <c r="U134" t="s">
        <v>90</v>
      </c>
      <c r="V134">
        <v>0</v>
      </c>
      <c r="W134" t="s">
        <v>90</v>
      </c>
      <c r="X134">
        <v>0</v>
      </c>
      <c r="Y134">
        <v>0.10455829141801769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K134" t="s">
        <v>501</v>
      </c>
      <c r="AM134">
        <v>200000</v>
      </c>
      <c r="AN134" t="s">
        <v>76</v>
      </c>
      <c r="AO134">
        <v>1</v>
      </c>
      <c r="AP134">
        <v>0</v>
      </c>
      <c r="AQ134">
        <v>16666.666666666668</v>
      </c>
      <c r="AR134" t="s">
        <v>584</v>
      </c>
      <c r="AS134" t="s">
        <v>78</v>
      </c>
      <c r="AV134">
        <v>0</v>
      </c>
      <c r="AW134">
        <v>0</v>
      </c>
      <c r="AX134" t="s">
        <v>79</v>
      </c>
      <c r="AY134" t="s">
        <v>137</v>
      </c>
      <c r="AZ134">
        <v>0</v>
      </c>
      <c r="BA134" t="s">
        <v>137</v>
      </c>
      <c r="BB134">
        <v>0</v>
      </c>
      <c r="BE134">
        <v>0</v>
      </c>
    </row>
    <row r="135" spans="1:58" ht="12.75">
      <c r="A135" s="2" t="str">
        <f>HYPERLINK("https://ibp.a2mac1.com/costing(costing:projects/details/8191/part/5381255)","Steering Bar")</f>
        <v>Steering Bar</v>
      </c>
      <c r="B135">
        <v>5381255</v>
      </c>
      <c r="C135">
        <v>5381172</v>
      </c>
      <c r="E135">
        <v>46.30</v>
      </c>
      <c r="F135">
        <v>0</v>
      </c>
      <c r="G135">
        <v>0</v>
      </c>
      <c r="H135">
        <v>0.00092599999999999996</v>
      </c>
      <c r="I135" t="s">
        <v>90</v>
      </c>
      <c r="J135">
        <v>0</v>
      </c>
      <c r="K135">
        <v>46.300925999999997</v>
      </c>
      <c r="L135">
        <v>0</v>
      </c>
      <c r="M135">
        <v>49.212900185764418</v>
      </c>
      <c r="N135">
        <v>95.513826185764415</v>
      </c>
      <c r="O135" t="s">
        <v>90</v>
      </c>
      <c r="P135">
        <v>0</v>
      </c>
      <c r="Q135" t="s">
        <v>90</v>
      </c>
      <c r="R135">
        <v>0</v>
      </c>
      <c r="S135" t="s">
        <v>90</v>
      </c>
      <c r="T135">
        <v>0</v>
      </c>
      <c r="U135" t="s">
        <v>90</v>
      </c>
      <c r="V135">
        <v>0</v>
      </c>
      <c r="W135" t="s">
        <v>90</v>
      </c>
      <c r="X135">
        <v>0</v>
      </c>
      <c r="Y135">
        <v>95.513826185764415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202</v>
      </c>
      <c r="AF135">
        <v>1364</v>
      </c>
      <c r="AG135">
        <v>320</v>
      </c>
      <c r="AH135">
        <v>0</v>
      </c>
      <c r="AI135">
        <v>7.9729999999999999</v>
      </c>
      <c r="AK135" t="s">
        <v>91</v>
      </c>
      <c r="AM135">
        <v>200000</v>
      </c>
      <c r="AN135" t="s">
        <v>92</v>
      </c>
      <c r="AO135">
        <v>1</v>
      </c>
      <c r="AP135">
        <v>0</v>
      </c>
      <c r="AQ135">
        <v>16666.666666666668</v>
      </c>
      <c r="AR135" t="s">
        <v>589</v>
      </c>
      <c r="AS135" t="s">
        <v>78</v>
      </c>
      <c r="AX135" t="s">
        <v>79</v>
      </c>
      <c r="AY135" t="s">
        <v>90</v>
      </c>
      <c r="AZ135">
        <v>0</v>
      </c>
      <c r="BA135" t="s">
        <v>90</v>
      </c>
      <c r="BB135">
        <v>0</v>
      </c>
      <c r="BE135">
        <v>0</v>
      </c>
    </row>
    <row r="136" spans="1:58" ht="12.75">
      <c r="A136" s="2" t="str">
        <f>HYPERLINK("https://ibp.a2mac1.com/costing(costing:projects/details/8191/part/5381256)","Tie Rod End")</f>
        <v>Tie Rod End</v>
      </c>
      <c r="B136">
        <v>5381256</v>
      </c>
      <c r="C136">
        <v>5381172</v>
      </c>
      <c r="E136">
        <v>9.30</v>
      </c>
      <c r="F136">
        <v>0</v>
      </c>
      <c r="G136">
        <v>0</v>
      </c>
      <c r="H136">
        <v>0</v>
      </c>
      <c r="I136" t="s">
        <v>74</v>
      </c>
      <c r="J136">
        <v>0</v>
      </c>
      <c r="K136">
        <v>9.30</v>
      </c>
      <c r="L136">
        <v>0</v>
      </c>
      <c r="M136">
        <v>0</v>
      </c>
      <c r="N136">
        <v>9.30</v>
      </c>
      <c r="O136" t="s">
        <v>74</v>
      </c>
      <c r="P136">
        <v>0</v>
      </c>
      <c r="Q136" t="s">
        <v>74</v>
      </c>
      <c r="R136">
        <v>0</v>
      </c>
      <c r="S136" t="s">
        <v>74</v>
      </c>
      <c r="T136">
        <v>0</v>
      </c>
      <c r="U136" t="s">
        <v>74</v>
      </c>
      <c r="V136">
        <v>0</v>
      </c>
      <c r="W136" t="s">
        <v>74</v>
      </c>
      <c r="X136">
        <v>0</v>
      </c>
      <c r="Y136">
        <v>9.30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41</v>
      </c>
      <c r="AF136">
        <v>120</v>
      </c>
      <c r="AG136">
        <v>83</v>
      </c>
      <c r="AH136">
        <v>0</v>
      </c>
      <c r="AI136">
        <v>0.46700000000000003</v>
      </c>
      <c r="AK136" t="s">
        <v>91</v>
      </c>
      <c r="AM136">
        <v>400000</v>
      </c>
      <c r="AN136" t="s">
        <v>92</v>
      </c>
      <c r="AO136">
        <v>2</v>
      </c>
      <c r="AP136">
        <v>0</v>
      </c>
      <c r="AQ136">
        <v>33333.333333333336</v>
      </c>
      <c r="AR136" t="s">
        <v>590</v>
      </c>
      <c r="AS136" t="s">
        <v>78</v>
      </c>
      <c r="AX136" t="s">
        <v>79</v>
      </c>
      <c r="AY136" t="s">
        <v>74</v>
      </c>
      <c r="AZ136">
        <v>0</v>
      </c>
      <c r="BA136" t="s">
        <v>74</v>
      </c>
      <c r="BB136">
        <v>0</v>
      </c>
      <c r="BD136">
        <v>4.65</v>
      </c>
      <c r="BE136">
        <v>0</v>
      </c>
    </row>
    <row r="137" spans="1:58" ht="12.75">
      <c r="A137" s="2" t="str">
        <f>HYPERLINK("https://ibp.a2mac1.com/costing(costing:projects/details/8191/part/5381257)","Electric Motor")</f>
        <v>Electric Motor</v>
      </c>
      <c r="B137">
        <v>5381257</v>
      </c>
      <c r="C137">
        <v>5381172</v>
      </c>
      <c r="E137">
        <v>42.90</v>
      </c>
      <c r="F137">
        <v>0</v>
      </c>
      <c r="G137">
        <v>0</v>
      </c>
      <c r="H137">
        <v>0.00085800000000000004</v>
      </c>
      <c r="I137" t="s">
        <v>137</v>
      </c>
      <c r="J137">
        <v>1.5015000000000001</v>
      </c>
      <c r="K137">
        <v>44.402358</v>
      </c>
      <c r="L137">
        <v>0.63866407478184783</v>
      </c>
      <c r="M137">
        <v>3.8319844486910868</v>
      </c>
      <c r="N137">
        <v>48.234342448691088</v>
      </c>
      <c r="O137" t="s">
        <v>138</v>
      </c>
      <c r="P137">
        <v>2.6641414800000001</v>
      </c>
      <c r="Q137" t="s">
        <v>138</v>
      </c>
      <c r="R137">
        <v>0.22991906692146521</v>
      </c>
      <c r="S137" t="s">
        <v>139</v>
      </c>
      <c r="T137">
        <v>5.7881210938429302</v>
      </c>
      <c r="U137" t="s">
        <v>216</v>
      </c>
      <c r="V137">
        <v>0.24117171224345543</v>
      </c>
      <c r="W137" t="s">
        <v>217</v>
      </c>
      <c r="X137">
        <v>0.96468684897382173</v>
      </c>
      <c r="Y137">
        <v>58.122382650672762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126</v>
      </c>
      <c r="AF137">
        <v>212</v>
      </c>
      <c r="AG137">
        <v>92</v>
      </c>
      <c r="AH137">
        <v>0</v>
      </c>
      <c r="AI137">
        <v>2.6110000000000002</v>
      </c>
      <c r="AK137" t="s">
        <v>218</v>
      </c>
      <c r="AM137">
        <v>200000</v>
      </c>
      <c r="AN137" t="s">
        <v>76</v>
      </c>
      <c r="AO137">
        <v>1</v>
      </c>
      <c r="AP137">
        <v>0</v>
      </c>
      <c r="AQ137">
        <v>16666.666666666668</v>
      </c>
      <c r="AR137" t="s">
        <v>9</v>
      </c>
      <c r="AS137" t="s">
        <v>78</v>
      </c>
      <c r="AX137" t="s">
        <v>79</v>
      </c>
      <c r="AY137" t="s">
        <v>137</v>
      </c>
      <c r="AZ137">
        <v>0</v>
      </c>
      <c r="BA137" t="s">
        <v>137</v>
      </c>
      <c r="BB137">
        <v>0</v>
      </c>
      <c r="BE137">
        <v>0</v>
      </c>
    </row>
    <row r="138" spans="1:58" ht="12.75">
      <c r="A138" s="2" t="str">
        <f>HYPERLINK("https://ibp.a2mac1.com/costing(costing:projects/details/8191/part/5381270)","Horn Control")</f>
        <v>Horn Control</v>
      </c>
      <c r="B138">
        <v>5381270</v>
      </c>
      <c r="C138">
        <v>5381258</v>
      </c>
      <c r="D138" t="s">
        <v>603</v>
      </c>
      <c r="E138">
        <v>2.14</v>
      </c>
      <c r="F138">
        <v>0</v>
      </c>
      <c r="G138">
        <v>0</v>
      </c>
      <c r="H138">
        <v>0</v>
      </c>
      <c r="I138" t="s">
        <v>74</v>
      </c>
      <c r="J138">
        <v>0</v>
      </c>
      <c r="K138">
        <v>2.14</v>
      </c>
      <c r="L138">
        <v>0</v>
      </c>
      <c r="M138">
        <v>0</v>
      </c>
      <c r="N138">
        <v>2.14</v>
      </c>
      <c r="O138" t="s">
        <v>74</v>
      </c>
      <c r="P138">
        <v>0</v>
      </c>
      <c r="Q138" t="s">
        <v>74</v>
      </c>
      <c r="R138">
        <v>0</v>
      </c>
      <c r="S138" t="s">
        <v>74</v>
      </c>
      <c r="T138">
        <v>0</v>
      </c>
      <c r="U138" t="s">
        <v>74</v>
      </c>
      <c r="V138">
        <v>0</v>
      </c>
      <c r="W138" t="s">
        <v>74</v>
      </c>
      <c r="X138">
        <v>0</v>
      </c>
      <c r="Y138">
        <v>2.14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134</v>
      </c>
      <c r="AF138">
        <v>110</v>
      </c>
      <c r="AG138">
        <v>29</v>
      </c>
      <c r="AH138">
        <v>0</v>
      </c>
      <c r="AI138">
        <v>0.13</v>
      </c>
      <c r="AK138" t="s">
        <v>223</v>
      </c>
      <c r="AM138">
        <v>200000</v>
      </c>
      <c r="AN138" t="s">
        <v>92</v>
      </c>
      <c r="AO138">
        <v>1</v>
      </c>
      <c r="AP138">
        <v>0</v>
      </c>
      <c r="AQ138">
        <v>16666.666666666668</v>
      </c>
      <c r="AR138" t="s">
        <v>604</v>
      </c>
      <c r="AS138" t="s">
        <v>78</v>
      </c>
      <c r="AX138" t="s">
        <v>79</v>
      </c>
      <c r="AY138" t="s">
        <v>74</v>
      </c>
      <c r="AZ138">
        <v>0</v>
      </c>
      <c r="BA138" t="s">
        <v>74</v>
      </c>
      <c r="BB138">
        <v>0</v>
      </c>
      <c r="BD138">
        <v>2.14</v>
      </c>
      <c r="BE138">
        <v>0</v>
      </c>
    </row>
    <row r="139" spans="1:58" ht="12.75">
      <c r="A139" s="2" t="str">
        <f>HYPERLINK("https://ibp.a2mac1.com/costing(costing:projects/details/8191/part/5381273)","Front")</f>
        <v>Front</v>
      </c>
      <c r="B139">
        <v>5381273</v>
      </c>
      <c r="C139">
        <v>5381260</v>
      </c>
      <c r="D139" t="s">
        <v>616</v>
      </c>
      <c r="E139">
        <v>1.1470938912099444</v>
      </c>
      <c r="F139">
        <v>0.025</v>
      </c>
      <c r="G139">
        <v>0</v>
      </c>
      <c r="H139">
        <v>0.035552965861646399</v>
      </c>
      <c r="I139" t="s">
        <v>137</v>
      </c>
      <c r="J139">
        <v>0.040166359107734799</v>
      </c>
      <c r="K139">
        <v>1.2486882161793258</v>
      </c>
      <c r="L139">
        <v>0.13304987026204124</v>
      </c>
      <c r="M139">
        <v>0.79829922157224742</v>
      </c>
      <c r="N139">
        <v>2.0469874377515733</v>
      </c>
      <c r="O139" t="s">
        <v>138</v>
      </c>
      <c r="P139">
        <v>0.074921292970759543</v>
      </c>
      <c r="Q139" t="s">
        <v>138</v>
      </c>
      <c r="R139">
        <v>0.047897953294334848</v>
      </c>
      <c r="S139" t="s">
        <v>139</v>
      </c>
      <c r="T139">
        <v>0.24563849253018877</v>
      </c>
      <c r="U139" t="s">
        <v>90</v>
      </c>
      <c r="V139">
        <v>0</v>
      </c>
      <c r="W139" t="s">
        <v>90</v>
      </c>
      <c r="X139">
        <v>0</v>
      </c>
      <c r="Y139">
        <v>2.4154451765468563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306</v>
      </c>
      <c r="AF139">
        <v>214</v>
      </c>
      <c r="AG139">
        <v>72</v>
      </c>
      <c r="AH139">
        <v>0</v>
      </c>
      <c r="AI139">
        <v>0.060999999999999999</v>
      </c>
      <c r="AK139" t="s">
        <v>501</v>
      </c>
      <c r="AM139">
        <v>200000</v>
      </c>
      <c r="AN139" t="s">
        <v>76</v>
      </c>
      <c r="AO139">
        <v>1</v>
      </c>
      <c r="AP139">
        <v>0</v>
      </c>
      <c r="AQ139">
        <v>16666.666666666668</v>
      </c>
      <c r="AR139" t="s">
        <v>617</v>
      </c>
      <c r="AS139" t="s">
        <v>78</v>
      </c>
      <c r="AX139" t="s">
        <v>79</v>
      </c>
      <c r="AY139" t="s">
        <v>137</v>
      </c>
      <c r="AZ139">
        <v>0.00087500000000000002</v>
      </c>
      <c r="BA139" t="s">
        <v>137</v>
      </c>
      <c r="BB139">
        <v>0</v>
      </c>
      <c r="BE139">
        <v>0</v>
      </c>
    </row>
    <row r="140" spans="1:58" ht="12.75">
      <c r="A140" s="2" t="str">
        <f>HYPERLINK("https://ibp.a2mac1.com/costing(costing:projects/details/8191/part/5381274)","Lower Trim")</f>
        <v>Lower Trim</v>
      </c>
      <c r="B140">
        <v>5381274</v>
      </c>
      <c r="C140">
        <v>5381260</v>
      </c>
      <c r="D140" t="s">
        <v>633</v>
      </c>
      <c r="E140">
        <v>0.15935033210896343</v>
      </c>
      <c r="F140">
        <v>0.025</v>
      </c>
      <c r="G140">
        <v>0</v>
      </c>
      <c r="H140">
        <v>0.0025784558374278579</v>
      </c>
      <c r="I140" t="s">
        <v>137</v>
      </c>
      <c r="J140">
        <v>0.0055865869273227127</v>
      </c>
      <c r="K140">
        <v>0.19339037487371399</v>
      </c>
      <c r="L140">
        <v>0.060000473144858395</v>
      </c>
      <c r="M140">
        <v>0.36000283886915035</v>
      </c>
      <c r="N140">
        <v>0.55339321374286432</v>
      </c>
      <c r="O140" t="s">
        <v>138</v>
      </c>
      <c r="P140">
        <v>0.011603422492422841</v>
      </c>
      <c r="Q140" t="s">
        <v>138</v>
      </c>
      <c r="R140">
        <v>0.021600170332149022</v>
      </c>
      <c r="S140" t="s">
        <v>139</v>
      </c>
      <c r="T140">
        <v>0.066407185649143718</v>
      </c>
      <c r="U140" t="s">
        <v>90</v>
      </c>
      <c r="V140">
        <v>0</v>
      </c>
      <c r="W140" t="s">
        <v>90</v>
      </c>
      <c r="X140">
        <v>0</v>
      </c>
      <c r="Y140">
        <v>0.6530039922165799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106</v>
      </c>
      <c r="AF140">
        <v>78</v>
      </c>
      <c r="AG140">
        <v>32</v>
      </c>
      <c r="AH140">
        <v>0</v>
      </c>
      <c r="AI140">
        <v>0.015</v>
      </c>
      <c r="AK140" t="s">
        <v>501</v>
      </c>
      <c r="AM140">
        <v>200000</v>
      </c>
      <c r="AN140" t="s">
        <v>76</v>
      </c>
      <c r="AO140">
        <v>1</v>
      </c>
      <c r="AP140">
        <v>0</v>
      </c>
      <c r="AQ140">
        <v>16666.666666666668</v>
      </c>
      <c r="AR140" t="s">
        <v>634</v>
      </c>
      <c r="AS140" t="s">
        <v>78</v>
      </c>
      <c r="AX140" t="s">
        <v>79</v>
      </c>
      <c r="AY140" t="s">
        <v>137</v>
      </c>
      <c r="AZ140">
        <v>0.00087500000000000002</v>
      </c>
      <c r="BA140" t="s">
        <v>137</v>
      </c>
      <c r="BB140">
        <v>0</v>
      </c>
      <c r="BE140">
        <v>0</v>
      </c>
    </row>
    <row r="141" spans="1:58" ht="12.75">
      <c r="A141" s="2" t="str">
        <f>HYPERLINK("https://ibp.a2mac1.com/costing(costing:projects/details/8191/part/5381275)","Armature")</f>
        <v>Armature</v>
      </c>
      <c r="B141">
        <v>5381275</v>
      </c>
      <c r="C141">
        <v>5381261</v>
      </c>
      <c r="E141">
        <v>1.4039628664444443</v>
      </c>
      <c r="F141">
        <v>0.80</v>
      </c>
      <c r="G141">
        <v>0</v>
      </c>
      <c r="H141">
        <v>2.9557112977777776E-05</v>
      </c>
      <c r="I141" t="s">
        <v>137</v>
      </c>
      <c r="J141">
        <v>0.051724947711111108</v>
      </c>
      <c r="K141">
        <v>2.2837173712685335</v>
      </c>
      <c r="L141">
        <v>0.2541238269612498</v>
      </c>
      <c r="M141">
        <v>1.5247429617674988</v>
      </c>
      <c r="N141">
        <v>3.8084603330360323</v>
      </c>
      <c r="O141" t="s">
        <v>90</v>
      </c>
      <c r="P141">
        <v>0</v>
      </c>
      <c r="Q141" t="s">
        <v>90</v>
      </c>
      <c r="R141">
        <v>0</v>
      </c>
      <c r="S141" t="s">
        <v>90</v>
      </c>
      <c r="T141">
        <v>0</v>
      </c>
      <c r="U141" t="s">
        <v>216</v>
      </c>
      <c r="V141">
        <v>0.019042301665180162</v>
      </c>
      <c r="W141" t="s">
        <v>217</v>
      </c>
      <c r="X141">
        <v>0.076169206660720648</v>
      </c>
      <c r="Y141">
        <v>3.9036718413619331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K141" t="s">
        <v>218</v>
      </c>
      <c r="AM141">
        <v>200000</v>
      </c>
      <c r="AN141" t="s">
        <v>92</v>
      </c>
      <c r="AO141">
        <v>1</v>
      </c>
      <c r="AP141">
        <v>0</v>
      </c>
      <c r="AQ141">
        <v>16666.666666666668</v>
      </c>
      <c r="AR141" t="s">
        <v>9</v>
      </c>
      <c r="AS141" t="s">
        <v>78</v>
      </c>
      <c r="AX141" t="s">
        <v>79</v>
      </c>
      <c r="AY141" t="s">
        <v>137</v>
      </c>
      <c r="AZ141">
        <v>0.028000000000000001</v>
      </c>
      <c r="BA141" t="s">
        <v>137</v>
      </c>
      <c r="BB141">
        <v>0</v>
      </c>
      <c r="BE141">
        <v>0</v>
      </c>
    </row>
    <row r="142" spans="1:58" ht="12.75">
      <c r="A142" s="2" t="str">
        <f>HYPERLINK("https://ibp.a2mac1.com/costing(costing:projects/details/8191/part/5381276)","Foam Body")</f>
        <v>Foam Body</v>
      </c>
      <c r="B142">
        <v>5381276</v>
      </c>
      <c r="C142">
        <v>5381261</v>
      </c>
      <c r="E142">
        <v>11.431117678342858</v>
      </c>
      <c r="F142">
        <v>0</v>
      </c>
      <c r="G142">
        <v>0</v>
      </c>
      <c r="H142">
        <v>0.00022905822697142858</v>
      </c>
      <c r="I142" t="s">
        <v>137</v>
      </c>
      <c r="J142">
        <v>0.40085189719999997</v>
      </c>
      <c r="K142">
        <v>11.832198633769828</v>
      </c>
      <c r="L142">
        <v>0.098607819847267353</v>
      </c>
      <c r="M142">
        <v>0.59164691908360412</v>
      </c>
      <c r="N142">
        <v>12.423845552853432</v>
      </c>
      <c r="O142" t="s">
        <v>90</v>
      </c>
      <c r="P142">
        <v>0</v>
      </c>
      <c r="Q142" t="s">
        <v>90</v>
      </c>
      <c r="R142">
        <v>0</v>
      </c>
      <c r="S142" t="s">
        <v>90</v>
      </c>
      <c r="T142">
        <v>0</v>
      </c>
      <c r="U142" t="s">
        <v>216</v>
      </c>
      <c r="V142">
        <v>0.062119227764267163</v>
      </c>
      <c r="W142" t="s">
        <v>217</v>
      </c>
      <c r="X142">
        <v>0.24847691105706865</v>
      </c>
      <c r="Y142">
        <v>12.734441691674769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K142" t="s">
        <v>218</v>
      </c>
      <c r="AM142">
        <v>200000</v>
      </c>
      <c r="AN142" t="s">
        <v>92</v>
      </c>
      <c r="AO142">
        <v>1</v>
      </c>
      <c r="AP142">
        <v>0</v>
      </c>
      <c r="AQ142">
        <v>16666.666666666668</v>
      </c>
      <c r="AR142" t="s">
        <v>9</v>
      </c>
      <c r="AS142" t="s">
        <v>78</v>
      </c>
      <c r="AX142" t="s">
        <v>79</v>
      </c>
      <c r="AY142" t="s">
        <v>137</v>
      </c>
      <c r="AZ142">
        <v>0</v>
      </c>
      <c r="BA142" t="s">
        <v>137</v>
      </c>
      <c r="BB142">
        <v>0</v>
      </c>
      <c r="BE142">
        <v>0</v>
      </c>
    </row>
    <row r="143" spans="1:58" ht="12.75">
      <c r="A143" s="2" t="str">
        <f>HYPERLINK("https://ibp.a2mac1.com/costing(costing:projects/details/8191/part/5381277)","Leather")</f>
        <v>Leather</v>
      </c>
      <c r="B143">
        <v>5381277</v>
      </c>
      <c r="C143">
        <v>5381261</v>
      </c>
      <c r="E143">
        <v>3.5242649133333335</v>
      </c>
      <c r="F143">
        <v>0</v>
      </c>
      <c r="G143">
        <v>0</v>
      </c>
      <c r="H143">
        <v>7.0485298266666669E-05</v>
      </c>
      <c r="I143" t="s">
        <v>137</v>
      </c>
      <c r="J143">
        <v>0.12334927196666666</v>
      </c>
      <c r="K143">
        <v>3.6476846705982666</v>
      </c>
      <c r="L143">
        <v>0.50090219750093534</v>
      </c>
      <c r="M143">
        <v>3.0054131850056121</v>
      </c>
      <c r="N143">
        <v>6.6530978556038791</v>
      </c>
      <c r="O143" t="s">
        <v>90</v>
      </c>
      <c r="P143">
        <v>0</v>
      </c>
      <c r="Q143" t="s">
        <v>90</v>
      </c>
      <c r="R143">
        <v>0</v>
      </c>
      <c r="S143" t="s">
        <v>90</v>
      </c>
      <c r="T143">
        <v>0</v>
      </c>
      <c r="U143" t="s">
        <v>216</v>
      </c>
      <c r="V143">
        <v>0.033265489278019394</v>
      </c>
      <c r="W143" t="s">
        <v>217</v>
      </c>
      <c r="X143">
        <v>0.13306195711207758</v>
      </c>
      <c r="Y143">
        <v>6.8194253019939755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K143" t="s">
        <v>218</v>
      </c>
      <c r="AM143">
        <v>200000</v>
      </c>
      <c r="AN143" t="s">
        <v>92</v>
      </c>
      <c r="AO143">
        <v>1</v>
      </c>
      <c r="AP143">
        <v>0</v>
      </c>
      <c r="AQ143">
        <v>16666.666666666668</v>
      </c>
      <c r="AR143" t="s">
        <v>9</v>
      </c>
      <c r="AS143" t="s">
        <v>78</v>
      </c>
      <c r="AX143" t="s">
        <v>79</v>
      </c>
      <c r="AY143" t="s">
        <v>137</v>
      </c>
      <c r="AZ143">
        <v>0</v>
      </c>
      <c r="BA143" t="s">
        <v>137</v>
      </c>
      <c r="BB143">
        <v>0</v>
      </c>
      <c r="BE143">
        <v>0</v>
      </c>
    </row>
    <row r="144" spans="1:58" ht="12.75">
      <c r="A144" s="2" t="str">
        <f>HYPERLINK("https://ibp.a2mac1.com/costing(costing:projects/details/8191/part/5381259)","Steering wheel vibration ECU")</f>
        <v>Steering wheel vibration ECU</v>
      </c>
      <c r="B144">
        <v>5381259</v>
      </c>
      <c r="C144">
        <v>5381173</v>
      </c>
      <c r="D144" t="s">
        <v>603</v>
      </c>
      <c r="E144">
        <v>4.6136999999999997</v>
      </c>
      <c r="F144">
        <v>0</v>
      </c>
      <c r="G144">
        <v>0</v>
      </c>
      <c r="H144">
        <v>0</v>
      </c>
      <c r="I144" t="s">
        <v>74</v>
      </c>
      <c r="J144">
        <v>0</v>
      </c>
      <c r="K144">
        <v>4.6136999999999997</v>
      </c>
      <c r="L144">
        <v>0</v>
      </c>
      <c r="M144">
        <v>0</v>
      </c>
      <c r="N144">
        <v>4.6136999999999997</v>
      </c>
      <c r="O144" t="s">
        <v>74</v>
      </c>
      <c r="P144">
        <v>0</v>
      </c>
      <c r="Q144" t="s">
        <v>74</v>
      </c>
      <c r="R144">
        <v>0</v>
      </c>
      <c r="S144" t="s">
        <v>74</v>
      </c>
      <c r="T144">
        <v>0</v>
      </c>
      <c r="U144" t="s">
        <v>74</v>
      </c>
      <c r="V144">
        <v>0</v>
      </c>
      <c r="W144" t="s">
        <v>74</v>
      </c>
      <c r="X144">
        <v>0</v>
      </c>
      <c r="Y144">
        <v>4.6136999999999997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K144" t="s">
        <v>598</v>
      </c>
      <c r="AM144">
        <v>200000</v>
      </c>
      <c r="AN144" t="s">
        <v>76</v>
      </c>
      <c r="AO144">
        <v>1</v>
      </c>
      <c r="AP144">
        <v>0</v>
      </c>
      <c r="AQ144">
        <v>16666.666666666668</v>
      </c>
      <c r="AR144" t="s">
        <v>658</v>
      </c>
      <c r="AS144" t="s">
        <v>78</v>
      </c>
      <c r="AX144" t="s">
        <v>79</v>
      </c>
      <c r="AY144" t="s">
        <v>74</v>
      </c>
      <c r="AZ144">
        <v>0</v>
      </c>
      <c r="BA144" t="s">
        <v>74</v>
      </c>
      <c r="BB144">
        <v>0</v>
      </c>
      <c r="BD144">
        <v>4.6136999999999997</v>
      </c>
      <c r="BE144">
        <v>0</v>
      </c>
    </row>
    <row r="145" spans="1:58" ht="12.75">
      <c r="A145" s="2" t="str">
        <f>HYPERLINK("https://ibp.a2mac1.com/costing(costing:projects/details/8191/part/5381262)","Steering Switch Covers Upper")</f>
        <v>Steering Switch Covers Upper</v>
      </c>
      <c r="B145">
        <v>5381262</v>
      </c>
      <c r="C145">
        <v>5381174</v>
      </c>
      <c r="E145">
        <v>0.056304731286717966</v>
      </c>
      <c r="F145">
        <v>0</v>
      </c>
      <c r="G145">
        <v>0</v>
      </c>
      <c r="H145">
        <v>5.8614386082301774E-05</v>
      </c>
      <c r="I145" t="s">
        <v>137</v>
      </c>
      <c r="J145">
        <v>0.0019725995316159251</v>
      </c>
      <c r="K145">
        <v>0.058335945204416192</v>
      </c>
      <c r="L145">
        <v>0.0060964184467974993</v>
      </c>
      <c r="M145">
        <v>0.036578510680784999</v>
      </c>
      <c r="N145">
        <v>0.094914455885201185</v>
      </c>
      <c r="O145" t="s">
        <v>138</v>
      </c>
      <c r="P145">
        <v>0.0035001567122649718</v>
      </c>
      <c r="Q145" t="s">
        <v>138</v>
      </c>
      <c r="R145">
        <v>0.0021947106408471001</v>
      </c>
      <c r="S145" t="s">
        <v>139</v>
      </c>
      <c r="T145">
        <v>0.011389734706224144</v>
      </c>
      <c r="U145" t="s">
        <v>216</v>
      </c>
      <c r="V145">
        <v>0.00047457227942600597</v>
      </c>
      <c r="W145" t="s">
        <v>217</v>
      </c>
      <c r="X145">
        <v>0.0018982891177040239</v>
      </c>
      <c r="Y145">
        <v>0.11437191934166743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K145" t="s">
        <v>218</v>
      </c>
      <c r="AM145">
        <v>200000</v>
      </c>
      <c r="AN145" t="s">
        <v>76</v>
      </c>
      <c r="AO145">
        <v>1</v>
      </c>
      <c r="AP145">
        <v>0</v>
      </c>
      <c r="AQ145">
        <v>16666.666666666668</v>
      </c>
      <c r="AR145" t="s">
        <v>9</v>
      </c>
      <c r="AS145" t="s">
        <v>78</v>
      </c>
      <c r="AV145">
        <v>0</v>
      </c>
      <c r="AW145">
        <v>0</v>
      </c>
      <c r="AX145" t="s">
        <v>79</v>
      </c>
      <c r="AY145" t="s">
        <v>137</v>
      </c>
      <c r="AZ145">
        <v>0</v>
      </c>
      <c r="BA145" t="s">
        <v>137</v>
      </c>
      <c r="BB145">
        <v>0</v>
      </c>
      <c r="BE145">
        <v>0</v>
      </c>
    </row>
    <row r="146" spans="1:58" ht="12.75">
      <c r="A146" s="2" t="str">
        <f>HYPERLINK("https://ibp.a2mac1.com/costing(costing:projects/details/8191/part/5381263)","Steering Switch Cover Lower")</f>
        <v>Steering Switch Cover Lower</v>
      </c>
      <c r="B146">
        <v>5381263</v>
      </c>
      <c r="C146">
        <v>5381174</v>
      </c>
      <c r="E146">
        <v>0.35018796288080684</v>
      </c>
      <c r="F146">
        <v>0</v>
      </c>
      <c r="G146">
        <v>0</v>
      </c>
      <c r="H146">
        <v>0.00036455288904846227</v>
      </c>
      <c r="I146" t="s">
        <v>137</v>
      </c>
      <c r="J146">
        <v>0.012268606842977096</v>
      </c>
      <c r="K146">
        <v>0.36282112261283239</v>
      </c>
      <c r="L146">
        <v>0.011567916367087566</v>
      </c>
      <c r="M146">
        <v>0.069407498202525397</v>
      </c>
      <c r="N146">
        <v>0.43222862081535779</v>
      </c>
      <c r="O146" t="s">
        <v>138</v>
      </c>
      <c r="P146">
        <v>0.021769267356769945</v>
      </c>
      <c r="Q146" t="s">
        <v>138</v>
      </c>
      <c r="R146">
        <v>0.0041644498921515243</v>
      </c>
      <c r="S146" t="s">
        <v>139</v>
      </c>
      <c r="T146">
        <v>0.051867434497842937</v>
      </c>
      <c r="U146" t="s">
        <v>216</v>
      </c>
      <c r="V146">
        <v>0.0021611431040767892</v>
      </c>
      <c r="W146" t="s">
        <v>217</v>
      </c>
      <c r="X146">
        <v>0.0086445724163071568</v>
      </c>
      <c r="Y146">
        <v>0.52083548808250613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K146" t="s">
        <v>218</v>
      </c>
      <c r="AM146">
        <v>200000</v>
      </c>
      <c r="AN146" t="s">
        <v>76</v>
      </c>
      <c r="AO146">
        <v>1</v>
      </c>
      <c r="AP146">
        <v>0</v>
      </c>
      <c r="AQ146">
        <v>16666.666666666668</v>
      </c>
      <c r="AR146" t="s">
        <v>9</v>
      </c>
      <c r="AS146" t="s">
        <v>78</v>
      </c>
      <c r="AV146">
        <v>0</v>
      </c>
      <c r="AW146">
        <v>0</v>
      </c>
      <c r="AX146" t="s">
        <v>79</v>
      </c>
      <c r="AY146" t="s">
        <v>137</v>
      </c>
      <c r="AZ146">
        <v>0</v>
      </c>
      <c r="BA146" t="s">
        <v>137</v>
      </c>
      <c r="BB146">
        <v>0</v>
      </c>
      <c r="BE146">
        <v>0</v>
      </c>
    </row>
    <row r="147" spans="1:58" ht="12.75">
      <c r="A147" s="2" t="str">
        <f>HYPERLINK("https://ibp.a2mac1.com/costing(costing:projects/details/8191/part/5381264)","Shroud Front")</f>
        <v>Shroud Front</v>
      </c>
      <c r="B147">
        <v>5381264</v>
      </c>
      <c r="C147">
        <v>5381174</v>
      </c>
      <c r="E147">
        <v>0.014428349275261324</v>
      </c>
      <c r="F147">
        <v>0</v>
      </c>
      <c r="G147">
        <v>0</v>
      </c>
      <c r="H147">
        <v>1.502020905923345E-05</v>
      </c>
      <c r="I147" t="s">
        <v>137</v>
      </c>
      <c r="J147">
        <v>0.00050548780487804875</v>
      </c>
      <c r="K147">
        <v>0.014948857289198605</v>
      </c>
      <c r="L147">
        <v>0.0059905157182631782</v>
      </c>
      <c r="M147">
        <v>0.035943094309579066</v>
      </c>
      <c r="N147">
        <v>0.050891951598777678</v>
      </c>
      <c r="O147" t="s">
        <v>138</v>
      </c>
      <c r="P147">
        <v>0.00089693143735191641</v>
      </c>
      <c r="Q147" t="s">
        <v>138</v>
      </c>
      <c r="R147">
        <v>0.0021565856585747441</v>
      </c>
      <c r="S147" t="s">
        <v>139</v>
      </c>
      <c r="T147">
        <v>0.0061070341918533213</v>
      </c>
      <c r="U147" t="s">
        <v>216</v>
      </c>
      <c r="V147">
        <v>0.00025445975799388837</v>
      </c>
      <c r="W147" t="s">
        <v>217</v>
      </c>
      <c r="X147">
        <v>0.0010178390319755535</v>
      </c>
      <c r="Y147">
        <v>0.061324801676527096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K147" t="s">
        <v>218</v>
      </c>
      <c r="AM147">
        <v>200000</v>
      </c>
      <c r="AN147" t="s">
        <v>76</v>
      </c>
      <c r="AO147">
        <v>1</v>
      </c>
      <c r="AP147">
        <v>0</v>
      </c>
      <c r="AQ147">
        <v>16666.666666666668</v>
      </c>
      <c r="AR147" t="s">
        <v>9</v>
      </c>
      <c r="AS147" t="s">
        <v>78</v>
      </c>
      <c r="AV147">
        <v>0</v>
      </c>
      <c r="AW147">
        <v>0</v>
      </c>
      <c r="AX147" t="s">
        <v>79</v>
      </c>
      <c r="AY147" t="s">
        <v>137</v>
      </c>
      <c r="AZ147">
        <v>0</v>
      </c>
      <c r="BA147" t="s">
        <v>137</v>
      </c>
      <c r="BB147">
        <v>0</v>
      </c>
      <c r="BE147">
        <v>0</v>
      </c>
    </row>
    <row r="148" spans="1:58" ht="12.75">
      <c r="A148" s="2" t="str">
        <f>HYPERLINK("https://ibp.a2mac1.com/costing(costing:projects/details/8191/part/5381357)","Control Unit")</f>
        <v>Control Unit</v>
      </c>
      <c r="B148">
        <v>5381357</v>
      </c>
      <c r="C148">
        <v>5381282</v>
      </c>
      <c r="E148">
        <v>0</v>
      </c>
      <c r="F148">
        <v>30.342702271942485</v>
      </c>
      <c r="G148">
        <v>0</v>
      </c>
      <c r="H148">
        <v>0</v>
      </c>
      <c r="I148" t="s">
        <v>137</v>
      </c>
      <c r="J148">
        <v>0</v>
      </c>
      <c r="K148">
        <v>31.404696851460471</v>
      </c>
      <c r="L148">
        <v>0.53645486445668411</v>
      </c>
      <c r="M148">
        <v>1.8775920255983944</v>
      </c>
      <c r="N148">
        <v>33.282288877058868</v>
      </c>
      <c r="O148" t="s">
        <v>138</v>
      </c>
      <c r="P148">
        <v>1.8842818110876283</v>
      </c>
      <c r="Q148" t="s">
        <v>138</v>
      </c>
      <c r="R148">
        <v>0.11265552153590366</v>
      </c>
      <c r="S148" t="s">
        <v>139</v>
      </c>
      <c r="T148">
        <v>3.993874665247064</v>
      </c>
      <c r="U148" t="s">
        <v>90</v>
      </c>
      <c r="V148">
        <v>0</v>
      </c>
      <c r="W148" t="s">
        <v>90</v>
      </c>
      <c r="X148">
        <v>0</v>
      </c>
      <c r="Y148">
        <v>39.273100874929462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33</v>
      </c>
      <c r="AF148">
        <v>142</v>
      </c>
      <c r="AG148">
        <v>115</v>
      </c>
      <c r="AI148">
        <v>0.26</v>
      </c>
      <c r="AJ148" t="s">
        <v>680</v>
      </c>
      <c r="AK148" t="s">
        <v>576</v>
      </c>
      <c r="AL148" t="s">
        <v>681</v>
      </c>
      <c r="AM148">
        <v>200000</v>
      </c>
      <c r="AN148" t="s">
        <v>76</v>
      </c>
      <c r="AO148">
        <v>1</v>
      </c>
      <c r="AP148">
        <v>0</v>
      </c>
      <c r="AQ148">
        <v>16666.666666666668</v>
      </c>
      <c r="AR148" t="s">
        <v>682</v>
      </c>
      <c r="AS148" t="s">
        <v>78</v>
      </c>
      <c r="AX148" t="s">
        <v>79</v>
      </c>
      <c r="AY148" t="s">
        <v>137</v>
      </c>
      <c r="AZ148">
        <v>1.061994579517987</v>
      </c>
      <c r="BA148" t="s">
        <v>137</v>
      </c>
      <c r="BB148">
        <v>0</v>
      </c>
      <c r="BE148">
        <v>0</v>
      </c>
    </row>
    <row r="149" spans="1:58" ht="12.75">
      <c r="A149" s="2" t="str">
        <f>HYPERLINK("https://ibp.a2mac1.com/costing(costing:projects/details/8191/part/5381358)","Front Airbag Sensor")</f>
        <v>Front Airbag Sensor</v>
      </c>
      <c r="B149">
        <v>5381358</v>
      </c>
      <c r="C149">
        <v>5381283</v>
      </c>
      <c r="E149">
        <v>9.2273999999999994</v>
      </c>
      <c r="F149">
        <v>0</v>
      </c>
      <c r="G149">
        <v>0</v>
      </c>
      <c r="H149">
        <v>0</v>
      </c>
      <c r="I149" t="s">
        <v>74</v>
      </c>
      <c r="J149">
        <v>0</v>
      </c>
      <c r="K149">
        <v>9.2273999999999994</v>
      </c>
      <c r="L149">
        <v>0</v>
      </c>
      <c r="M149">
        <v>0</v>
      </c>
      <c r="N149">
        <v>9.2273999999999994</v>
      </c>
      <c r="O149" t="s">
        <v>74</v>
      </c>
      <c r="P149">
        <v>0</v>
      </c>
      <c r="Q149" t="s">
        <v>74</v>
      </c>
      <c r="R149">
        <v>0</v>
      </c>
      <c r="S149" t="s">
        <v>74</v>
      </c>
      <c r="T149">
        <v>0</v>
      </c>
      <c r="U149" t="s">
        <v>74</v>
      </c>
      <c r="V149">
        <v>0</v>
      </c>
      <c r="W149" t="s">
        <v>74</v>
      </c>
      <c r="X149">
        <v>0</v>
      </c>
      <c r="Y149">
        <v>9.2273999999999994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26</v>
      </c>
      <c r="AF149">
        <v>30</v>
      </c>
      <c r="AG149">
        <v>38</v>
      </c>
      <c r="AI149">
        <v>0.012999999999999999</v>
      </c>
      <c r="AJ149" t="s">
        <v>685</v>
      </c>
      <c r="AK149" t="s">
        <v>686</v>
      </c>
      <c r="AL149" t="s">
        <v>687</v>
      </c>
      <c r="AM149">
        <v>400000</v>
      </c>
      <c r="AN149" t="s">
        <v>76</v>
      </c>
      <c r="AO149">
        <v>2</v>
      </c>
      <c r="AP149">
        <v>0</v>
      </c>
      <c r="AQ149">
        <v>33333.333333333336</v>
      </c>
      <c r="AR149" t="s">
        <v>688</v>
      </c>
      <c r="AS149" t="s">
        <v>78</v>
      </c>
      <c r="AX149" t="s">
        <v>79</v>
      </c>
      <c r="AY149" t="s">
        <v>74</v>
      </c>
      <c r="AZ149">
        <v>0</v>
      </c>
      <c r="BA149" t="s">
        <v>74</v>
      </c>
      <c r="BB149">
        <v>0</v>
      </c>
      <c r="BD149">
        <v>4.6136999999999997</v>
      </c>
      <c r="BE149">
        <v>0</v>
      </c>
    </row>
    <row r="150" spans="1:58" ht="12.75">
      <c r="A150" s="2" t="str">
        <f>HYPERLINK("https://ibp.a2mac1.com/costing(costing:projects/details/8191/part/5381359)","Driver Door Sensor")</f>
        <v>Driver Door Sensor</v>
      </c>
      <c r="B150">
        <v>5381359</v>
      </c>
      <c r="C150">
        <v>5381283</v>
      </c>
      <c r="E150">
        <v>0</v>
      </c>
      <c r="F150">
        <v>3.8695364472668392</v>
      </c>
      <c r="G150">
        <v>0</v>
      </c>
      <c r="H150">
        <v>0</v>
      </c>
      <c r="I150" t="s">
        <v>137</v>
      </c>
      <c r="J150">
        <v>0</v>
      </c>
      <c r="K150">
        <v>4.0049702229211785</v>
      </c>
      <c r="L150">
        <v>0.091321032537276317</v>
      </c>
      <c r="M150">
        <v>0.54792619522365793</v>
      </c>
      <c r="N150">
        <v>4.5528964181448366</v>
      </c>
      <c r="O150" t="s">
        <v>691</v>
      </c>
      <c r="P150">
        <v>0.16019880891684715</v>
      </c>
      <c r="Q150" t="s">
        <v>691</v>
      </c>
      <c r="R150">
        <v>0.021917047808946318</v>
      </c>
      <c r="S150" t="s">
        <v>138</v>
      </c>
      <c r="T150">
        <v>0.27317378508869022</v>
      </c>
      <c r="U150" t="s">
        <v>90</v>
      </c>
      <c r="V150">
        <v>0</v>
      </c>
      <c r="W150" t="s">
        <v>90</v>
      </c>
      <c r="X150">
        <v>0</v>
      </c>
      <c r="Y150">
        <v>5.0081860599593204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33</v>
      </c>
      <c r="AF150">
        <v>51</v>
      </c>
      <c r="AG150">
        <v>50</v>
      </c>
      <c r="AI150">
        <v>0.02</v>
      </c>
      <c r="AJ150" t="s">
        <v>685</v>
      </c>
      <c r="AK150" t="s">
        <v>686</v>
      </c>
      <c r="AL150" t="s">
        <v>692</v>
      </c>
      <c r="AM150">
        <v>200000</v>
      </c>
      <c r="AN150" t="s">
        <v>76</v>
      </c>
      <c r="AO150">
        <v>1</v>
      </c>
      <c r="AP150">
        <v>0</v>
      </c>
      <c r="AQ150">
        <v>16666.666666666668</v>
      </c>
      <c r="AR150" t="s">
        <v>693</v>
      </c>
      <c r="AS150" t="s">
        <v>78</v>
      </c>
      <c r="AX150" t="s">
        <v>79</v>
      </c>
      <c r="AY150" t="s">
        <v>137</v>
      </c>
      <c r="AZ150">
        <v>0.13543377565433937</v>
      </c>
      <c r="BA150" t="s">
        <v>137</v>
      </c>
      <c r="BB150">
        <v>0</v>
      </c>
      <c r="BE150">
        <v>0</v>
      </c>
    </row>
    <row r="151" spans="1:58" ht="12.75">
      <c r="A151" s="2" t="str">
        <f>HYPERLINK("https://ibp.a2mac1.com/costing(costing:projects/details/8191/part/5381360)","B Pillar Sensor")</f>
        <v>B Pillar Sensor</v>
      </c>
      <c r="B151">
        <v>5381360</v>
      </c>
      <c r="C151">
        <v>5381283</v>
      </c>
      <c r="E151">
        <v>6.4591799999999999</v>
      </c>
      <c r="F151">
        <v>0</v>
      </c>
      <c r="G151">
        <v>0</v>
      </c>
      <c r="H151">
        <v>0</v>
      </c>
      <c r="I151" t="s">
        <v>74</v>
      </c>
      <c r="J151">
        <v>0</v>
      </c>
      <c r="K151">
        <v>6.4591799999999999</v>
      </c>
      <c r="L151">
        <v>0</v>
      </c>
      <c r="M151">
        <v>0</v>
      </c>
      <c r="N151">
        <v>6.4591799999999999</v>
      </c>
      <c r="O151" t="s">
        <v>74</v>
      </c>
      <c r="P151">
        <v>0</v>
      </c>
      <c r="Q151" t="s">
        <v>74</v>
      </c>
      <c r="R151">
        <v>0</v>
      </c>
      <c r="S151" t="s">
        <v>74</v>
      </c>
      <c r="T151">
        <v>0</v>
      </c>
      <c r="U151" t="s">
        <v>74</v>
      </c>
      <c r="V151">
        <v>0</v>
      </c>
      <c r="W151" t="s">
        <v>74</v>
      </c>
      <c r="X151">
        <v>0</v>
      </c>
      <c r="Y151">
        <v>6.4591799999999999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25</v>
      </c>
      <c r="AF151">
        <v>30</v>
      </c>
      <c r="AG151">
        <v>38</v>
      </c>
      <c r="AI151">
        <v>0.012999999999999999</v>
      </c>
      <c r="AJ151" t="s">
        <v>685</v>
      </c>
      <c r="AK151" t="s">
        <v>686</v>
      </c>
      <c r="AL151" t="s">
        <v>692</v>
      </c>
      <c r="AM151">
        <v>400000</v>
      </c>
      <c r="AN151" t="s">
        <v>76</v>
      </c>
      <c r="AO151">
        <v>2</v>
      </c>
      <c r="AP151">
        <v>0</v>
      </c>
      <c r="AQ151">
        <v>33333.333333333336</v>
      </c>
      <c r="AR151" t="s">
        <v>694</v>
      </c>
      <c r="AS151" t="s">
        <v>78</v>
      </c>
      <c r="AX151" t="s">
        <v>79</v>
      </c>
      <c r="AY151" t="s">
        <v>74</v>
      </c>
      <c r="AZ151">
        <v>0</v>
      </c>
      <c r="BA151" t="s">
        <v>74</v>
      </c>
      <c r="BB151">
        <v>0</v>
      </c>
      <c r="BD151">
        <v>3.22959</v>
      </c>
      <c r="BE151">
        <v>0</v>
      </c>
    </row>
    <row r="152" spans="1:58" ht="12.75">
      <c r="A152" s="2" t="str">
        <f>HYPERLINK("https://ibp.a2mac1.com/costing(costing:projects/details/8191/part/5381361)","C Pillar Sensor")</f>
        <v>C Pillar Sensor</v>
      </c>
      <c r="B152">
        <v>5381361</v>
      </c>
      <c r="C152">
        <v>5381283</v>
      </c>
      <c r="E152">
        <v>6.4591799999999999</v>
      </c>
      <c r="F152">
        <v>0</v>
      </c>
      <c r="G152">
        <v>0</v>
      </c>
      <c r="H152">
        <v>0</v>
      </c>
      <c r="I152" t="s">
        <v>74</v>
      </c>
      <c r="J152">
        <v>0</v>
      </c>
      <c r="K152">
        <v>6.4591799999999999</v>
      </c>
      <c r="L152">
        <v>0</v>
      </c>
      <c r="M152">
        <v>0</v>
      </c>
      <c r="N152">
        <v>6.4591799999999999</v>
      </c>
      <c r="O152" t="s">
        <v>74</v>
      </c>
      <c r="P152">
        <v>0</v>
      </c>
      <c r="Q152" t="s">
        <v>74</v>
      </c>
      <c r="R152">
        <v>0</v>
      </c>
      <c r="S152" t="s">
        <v>74</v>
      </c>
      <c r="T152">
        <v>0</v>
      </c>
      <c r="U152" t="s">
        <v>74</v>
      </c>
      <c r="V152">
        <v>0</v>
      </c>
      <c r="W152" t="s">
        <v>74</v>
      </c>
      <c r="X152">
        <v>0</v>
      </c>
      <c r="Y152">
        <v>6.4591799999999999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25</v>
      </c>
      <c r="AF152">
        <v>31</v>
      </c>
      <c r="AG152">
        <v>39</v>
      </c>
      <c r="AI152">
        <v>0.0135</v>
      </c>
      <c r="AK152" t="s">
        <v>686</v>
      </c>
      <c r="AL152" t="s">
        <v>692</v>
      </c>
      <c r="AM152">
        <v>400000</v>
      </c>
      <c r="AN152" t="s">
        <v>76</v>
      </c>
      <c r="AO152">
        <v>2</v>
      </c>
      <c r="AP152">
        <v>0</v>
      </c>
      <c r="AQ152">
        <v>33333.333333333336</v>
      </c>
      <c r="AR152" t="s">
        <v>695</v>
      </c>
      <c r="AS152" t="s">
        <v>78</v>
      </c>
      <c r="AX152" t="s">
        <v>79</v>
      </c>
      <c r="AY152" t="s">
        <v>74</v>
      </c>
      <c r="AZ152">
        <v>0</v>
      </c>
      <c r="BA152" t="s">
        <v>74</v>
      </c>
      <c r="BB152">
        <v>0</v>
      </c>
      <c r="BD152">
        <v>3.22959</v>
      </c>
      <c r="BE152">
        <v>0</v>
      </c>
    </row>
    <row r="153" spans="1:58" ht="12.75">
      <c r="A153" s="2" t="str">
        <f>HYPERLINK("https://ibp.a2mac1.com/costing(costing:projects/details/8191/part/5381362)","Driver Sensor Door Support")</f>
        <v>Driver Sensor Door Support</v>
      </c>
      <c r="B153">
        <v>5381362</v>
      </c>
      <c r="C153">
        <v>5381283</v>
      </c>
      <c r="E153">
        <v>0.083049999999999999</v>
      </c>
      <c r="F153">
        <v>0</v>
      </c>
      <c r="G153">
        <v>0</v>
      </c>
      <c r="H153">
        <v>0</v>
      </c>
      <c r="I153" t="s">
        <v>74</v>
      </c>
      <c r="J153">
        <v>0</v>
      </c>
      <c r="K153">
        <v>0.083049999999999999</v>
      </c>
      <c r="L153">
        <v>0</v>
      </c>
      <c r="M153">
        <v>0</v>
      </c>
      <c r="N153">
        <v>0.083049999999999999</v>
      </c>
      <c r="O153" t="s">
        <v>74</v>
      </c>
      <c r="P153">
        <v>0</v>
      </c>
      <c r="Q153" t="s">
        <v>74</v>
      </c>
      <c r="R153">
        <v>0</v>
      </c>
      <c r="S153" t="s">
        <v>74</v>
      </c>
      <c r="T153">
        <v>0</v>
      </c>
      <c r="U153" t="s">
        <v>74</v>
      </c>
      <c r="V153">
        <v>0</v>
      </c>
      <c r="W153" t="s">
        <v>74</v>
      </c>
      <c r="X153">
        <v>0</v>
      </c>
      <c r="Y153">
        <v>0.083049999999999999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23</v>
      </c>
      <c r="AF153">
        <v>52</v>
      </c>
      <c r="AG153">
        <v>56</v>
      </c>
      <c r="AI153">
        <v>0.005</v>
      </c>
      <c r="AJ153" t="s">
        <v>696</v>
      </c>
      <c r="AK153" t="s">
        <v>598</v>
      </c>
      <c r="AL153" t="s">
        <v>697</v>
      </c>
      <c r="AM153">
        <v>200000</v>
      </c>
      <c r="AN153" t="s">
        <v>76</v>
      </c>
      <c r="AO153">
        <v>1</v>
      </c>
      <c r="AP153">
        <v>0</v>
      </c>
      <c r="AQ153">
        <v>16666.666666666668</v>
      </c>
      <c r="AR153" t="s">
        <v>698</v>
      </c>
      <c r="AS153" t="s">
        <v>78</v>
      </c>
      <c r="AX153" t="s">
        <v>79</v>
      </c>
      <c r="AY153" t="s">
        <v>74</v>
      </c>
      <c r="AZ153">
        <v>0</v>
      </c>
      <c r="BA153" t="s">
        <v>74</v>
      </c>
      <c r="BB153">
        <v>0</v>
      </c>
      <c r="BD153">
        <v>0.083049999999999999</v>
      </c>
      <c r="BE153">
        <v>0</v>
      </c>
    </row>
    <row r="154" spans="1:58" ht="12.75">
      <c r="A154" s="2" t="str">
        <f>HYPERLINK("https://ibp.a2mac1.com/costing(costing:projects/details/8191/part/5381363)","Airbag Unit")</f>
        <v>Airbag Unit</v>
      </c>
      <c r="B154">
        <v>5381363</v>
      </c>
      <c r="C154">
        <v>5381284</v>
      </c>
      <c r="D154" t="s">
        <v>705</v>
      </c>
      <c r="E154">
        <v>20.18158</v>
      </c>
      <c r="F154">
        <v>0.085</v>
      </c>
      <c r="G154">
        <v>0</v>
      </c>
      <c r="H154">
        <v>0.20504485280000001</v>
      </c>
      <c r="I154" t="s">
        <v>137</v>
      </c>
      <c r="J154">
        <v>0.70635530000000002</v>
      </c>
      <c r="K154">
        <v>21.180955152799999</v>
      </c>
      <c r="L154">
        <v>0.6046067220855097</v>
      </c>
      <c r="M154">
        <v>3.6276403325130584</v>
      </c>
      <c r="N154">
        <v>24.808595485313059</v>
      </c>
      <c r="O154" t="s">
        <v>138</v>
      </c>
      <c r="P154">
        <v>1.270857309168</v>
      </c>
      <c r="Q154" t="s">
        <v>138</v>
      </c>
      <c r="R154">
        <v>0.2176584199507835</v>
      </c>
      <c r="S154" t="s">
        <v>139</v>
      </c>
      <c r="T154">
        <v>2.9770314582375672</v>
      </c>
      <c r="U154" t="s">
        <v>90</v>
      </c>
      <c r="V154">
        <v>0</v>
      </c>
      <c r="W154" t="s">
        <v>90</v>
      </c>
      <c r="X154">
        <v>0</v>
      </c>
      <c r="Y154">
        <v>29.274142672669409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89</v>
      </c>
      <c r="AF154">
        <v>170</v>
      </c>
      <c r="AG154">
        <v>155</v>
      </c>
      <c r="AH154">
        <v>0</v>
      </c>
      <c r="AI154">
        <v>1.0409999999999999</v>
      </c>
      <c r="AK154" t="s">
        <v>661</v>
      </c>
      <c r="AM154">
        <v>200000</v>
      </c>
      <c r="AN154" t="s">
        <v>76</v>
      </c>
      <c r="AO154">
        <v>1</v>
      </c>
      <c r="AP154">
        <v>0</v>
      </c>
      <c r="AQ154">
        <v>16666.666666666668</v>
      </c>
      <c r="AR154" t="s">
        <v>706</v>
      </c>
      <c r="AS154" t="s">
        <v>78</v>
      </c>
      <c r="AX154" t="s">
        <v>79</v>
      </c>
      <c r="AY154" t="s">
        <v>137</v>
      </c>
      <c r="AZ154">
        <v>0.0029750000000000002</v>
      </c>
      <c r="BA154" t="s">
        <v>137</v>
      </c>
      <c r="BB154">
        <v>0</v>
      </c>
      <c r="BE154">
        <v>0</v>
      </c>
    </row>
    <row r="155" spans="1:58" ht="12.75">
      <c r="A155" s="2" t="str">
        <f>HYPERLINK("https://ibp.a2mac1.com/costing(costing:projects/details/8191/part/5381364)","Airbag Unit")</f>
        <v>Airbag Unit</v>
      </c>
      <c r="B155">
        <v>5381364</v>
      </c>
      <c r="C155">
        <v>5381285</v>
      </c>
      <c r="D155" t="s">
        <v>711</v>
      </c>
      <c r="E155">
        <v>28.72317</v>
      </c>
      <c r="F155">
        <v>0.0825</v>
      </c>
      <c r="G155">
        <v>0</v>
      </c>
      <c r="H155">
        <v>0.2918274072</v>
      </c>
      <c r="I155" t="s">
        <v>137</v>
      </c>
      <c r="J155">
        <v>1.0053109499999999</v>
      </c>
      <c r="K155">
        <v>30.105695857200001</v>
      </c>
      <c r="L155">
        <v>0.30882068072939667</v>
      </c>
      <c r="M155">
        <v>1.8529240843763799</v>
      </c>
      <c r="N155">
        <v>31.95861994157638</v>
      </c>
      <c r="O155" t="s">
        <v>138</v>
      </c>
      <c r="P155">
        <v>1.8063417514319999</v>
      </c>
      <c r="Q155" t="s">
        <v>138</v>
      </c>
      <c r="R155">
        <v>0.1111754450625828</v>
      </c>
      <c r="S155" t="s">
        <v>139</v>
      </c>
      <c r="T155">
        <v>3.8350343929891655</v>
      </c>
      <c r="U155" t="s">
        <v>90</v>
      </c>
      <c r="V155">
        <v>0</v>
      </c>
      <c r="W155" t="s">
        <v>90</v>
      </c>
      <c r="X155">
        <v>0</v>
      </c>
      <c r="Y155">
        <v>37.711171531060131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155</v>
      </c>
      <c r="AF155">
        <v>291</v>
      </c>
      <c r="AG155">
        <v>100</v>
      </c>
      <c r="AH155">
        <v>0</v>
      </c>
      <c r="AI155">
        <v>2.1110000000000002</v>
      </c>
      <c r="AK155" t="s">
        <v>661</v>
      </c>
      <c r="AM155">
        <v>200000</v>
      </c>
      <c r="AN155" t="s">
        <v>76</v>
      </c>
      <c r="AO155">
        <v>1</v>
      </c>
      <c r="AP155">
        <v>0</v>
      </c>
      <c r="AQ155">
        <v>16666.666666666668</v>
      </c>
      <c r="AR155" t="s">
        <v>712</v>
      </c>
      <c r="AS155" t="s">
        <v>78</v>
      </c>
      <c r="AX155" t="s">
        <v>79</v>
      </c>
      <c r="AY155" t="s">
        <v>137</v>
      </c>
      <c r="AZ155">
        <v>0.0028874999999999999</v>
      </c>
      <c r="BA155" t="s">
        <v>137</v>
      </c>
      <c r="BB155">
        <v>0</v>
      </c>
      <c r="BE155">
        <v>0</v>
      </c>
    </row>
    <row r="156" spans="1:58" ht="12.75">
      <c r="A156" s="2" t="str">
        <f>HYPERLINK("https://ibp.a2mac1.com/costing(costing:projects/details/8191/part/5381483)","Support 1")</f>
        <v>Support 1</v>
      </c>
      <c r="B156">
        <v>5381483</v>
      </c>
      <c r="C156">
        <v>5381366</v>
      </c>
      <c r="E156">
        <v>0.31511147257021299</v>
      </c>
      <c r="F156">
        <v>0</v>
      </c>
      <c r="G156">
        <v>0</v>
      </c>
      <c r="H156">
        <v>7.7548921305775139E-06</v>
      </c>
      <c r="I156" t="s">
        <v>137</v>
      </c>
      <c r="J156">
        <v>0.013571061228510648</v>
      </c>
      <c r="K156">
        <v>0.3286902886908542</v>
      </c>
      <c r="L156">
        <v>0.013919521181231756</v>
      </c>
      <c r="M156">
        <v>0.083517127087390536</v>
      </c>
      <c r="N156">
        <v>0.41220741577824471</v>
      </c>
      <c r="O156" t="s">
        <v>138</v>
      </c>
      <c r="P156">
        <v>0.019721417321451253</v>
      </c>
      <c r="Q156" t="s">
        <v>138</v>
      </c>
      <c r="R156">
        <v>0.005011027625243432</v>
      </c>
      <c r="S156" t="s">
        <v>139</v>
      </c>
      <c r="T156">
        <v>0.049464889893389367</v>
      </c>
      <c r="U156" t="s">
        <v>90</v>
      </c>
      <c r="V156">
        <v>0</v>
      </c>
      <c r="W156" t="s">
        <v>90</v>
      </c>
      <c r="X156">
        <v>0</v>
      </c>
      <c r="Y156">
        <v>0.48640475061832877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41</v>
      </c>
      <c r="AF156">
        <v>111</v>
      </c>
      <c r="AG156">
        <v>71</v>
      </c>
      <c r="AI156">
        <v>0.13800000000000001</v>
      </c>
      <c r="AK156" t="s">
        <v>501</v>
      </c>
      <c r="AL156" t="s">
        <v>720</v>
      </c>
      <c r="AM156">
        <v>400000</v>
      </c>
      <c r="AN156" t="s">
        <v>76</v>
      </c>
      <c r="AO156">
        <v>2</v>
      </c>
      <c r="AP156">
        <v>0</v>
      </c>
      <c r="AQ156">
        <v>33333.333333333336</v>
      </c>
      <c r="AR156" t="s">
        <v>721</v>
      </c>
      <c r="AS156" t="s">
        <v>78</v>
      </c>
      <c r="AX156" t="s">
        <v>79</v>
      </c>
      <c r="AY156" t="s">
        <v>137</v>
      </c>
      <c r="AZ156">
        <v>0</v>
      </c>
      <c r="BA156" t="s">
        <v>137</v>
      </c>
      <c r="BB156">
        <v>0</v>
      </c>
      <c r="BE156">
        <v>0</v>
      </c>
    </row>
    <row r="157" spans="1:58" ht="12.75">
      <c r="A157" s="2" t="str">
        <f>HYPERLINK("https://ibp.a2mac1.com/costing(costing:projects/details/8191/part/5381484)","Support 2")</f>
        <v>Support 2</v>
      </c>
      <c r="B157">
        <v>5381484</v>
      </c>
      <c r="C157">
        <v>5381366</v>
      </c>
      <c r="E157">
        <v>0.15917440780066855</v>
      </c>
      <c r="F157">
        <v>0</v>
      </c>
      <c r="G157">
        <v>0</v>
      </c>
      <c r="H157">
        <v>3.194993006329864E-06</v>
      </c>
      <c r="I157" t="s">
        <v>137</v>
      </c>
      <c r="J157">
        <v>0.0055912377610772626</v>
      </c>
      <c r="K157">
        <v>0.16476884055475213</v>
      </c>
      <c r="L157">
        <v>0.01171479734813928</v>
      </c>
      <c r="M157">
        <v>0.070288784088835682</v>
      </c>
      <c r="N157">
        <v>0.23505762464358781</v>
      </c>
      <c r="O157" t="s">
        <v>138</v>
      </c>
      <c r="P157">
        <v>0.0098861304332851282</v>
      </c>
      <c r="Q157" t="s">
        <v>138</v>
      </c>
      <c r="R157">
        <v>0.0042173270453301406</v>
      </c>
      <c r="S157" t="s">
        <v>139</v>
      </c>
      <c r="T157">
        <v>0.028206914957230537</v>
      </c>
      <c r="U157" t="s">
        <v>90</v>
      </c>
      <c r="V157">
        <v>0</v>
      </c>
      <c r="W157" t="s">
        <v>90</v>
      </c>
      <c r="X157">
        <v>0</v>
      </c>
      <c r="Y157">
        <v>0.2773679970794336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75</v>
      </c>
      <c r="AF157">
        <v>190</v>
      </c>
      <c r="AG157">
        <v>112</v>
      </c>
      <c r="AI157">
        <v>0.055</v>
      </c>
      <c r="AK157" t="s">
        <v>727</v>
      </c>
      <c r="AL157" t="s">
        <v>728</v>
      </c>
      <c r="AM157">
        <v>400000</v>
      </c>
      <c r="AN157" t="s">
        <v>76</v>
      </c>
      <c r="AO157">
        <v>2</v>
      </c>
      <c r="AP157">
        <v>0</v>
      </c>
      <c r="AQ157">
        <v>33333.333333333336</v>
      </c>
      <c r="AR157" t="s">
        <v>729</v>
      </c>
      <c r="AS157" t="s">
        <v>78</v>
      </c>
      <c r="AX157" t="s">
        <v>79</v>
      </c>
      <c r="AY157" t="s">
        <v>137</v>
      </c>
      <c r="AZ157">
        <v>0</v>
      </c>
      <c r="BA157" t="s">
        <v>137</v>
      </c>
      <c r="BB157">
        <v>0</v>
      </c>
      <c r="BE157">
        <v>0</v>
      </c>
    </row>
    <row r="158" spans="1:58" ht="12.75">
      <c r="A158" s="2" t="str">
        <f>HYPERLINK("https://ibp.a2mac1.com/costing(costing:projects/details/8191/part/5381365)","Curtain Airbags")</f>
        <v>Curtain Airbags</v>
      </c>
      <c r="B158">
        <v>5381365</v>
      </c>
      <c r="C158">
        <v>5381286</v>
      </c>
      <c r="D158" t="s">
        <v>734</v>
      </c>
      <c r="E158">
        <v>42.127760000000002</v>
      </c>
      <c r="F158">
        <v>0.465</v>
      </c>
      <c r="G158">
        <v>0</v>
      </c>
      <c r="H158">
        <v>0.42675420879999998</v>
      </c>
      <c r="I158" t="s">
        <v>137</v>
      </c>
      <c r="J158">
        <v>1.4744716</v>
      </c>
      <c r="K158">
        <v>44.510260808799998</v>
      </c>
      <c r="L158">
        <v>0.69982202347699107</v>
      </c>
      <c r="M158">
        <v>4.1989321408619462</v>
      </c>
      <c r="N158">
        <v>48.709192949661947</v>
      </c>
      <c r="O158" t="s">
        <v>138</v>
      </c>
      <c r="P158">
        <v>2.6706156485279999</v>
      </c>
      <c r="Q158" t="s">
        <v>138</v>
      </c>
      <c r="R158">
        <v>0.25193592845171681</v>
      </c>
      <c r="S158" t="s">
        <v>139</v>
      </c>
      <c r="T158">
        <v>5.8451031539594336</v>
      </c>
      <c r="U158" t="s">
        <v>90</v>
      </c>
      <c r="V158">
        <v>0</v>
      </c>
      <c r="W158" t="s">
        <v>90</v>
      </c>
      <c r="X158">
        <v>0</v>
      </c>
      <c r="Y158">
        <v>57.476847680601097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1930</v>
      </c>
      <c r="AG158">
        <v>83</v>
      </c>
      <c r="AH158">
        <v>0</v>
      </c>
      <c r="AI158">
        <v>2.2109999999999999</v>
      </c>
      <c r="AK158" t="s">
        <v>661</v>
      </c>
      <c r="AM158">
        <v>400000</v>
      </c>
      <c r="AN158" t="s">
        <v>76</v>
      </c>
      <c r="AO158">
        <v>2</v>
      </c>
      <c r="AP158">
        <v>0</v>
      </c>
      <c r="AQ158">
        <v>33333.333333333336</v>
      </c>
      <c r="AR158" t="s">
        <v>735</v>
      </c>
      <c r="AS158" t="s">
        <v>78</v>
      </c>
      <c r="AX158" t="s">
        <v>79</v>
      </c>
      <c r="AY158" t="s">
        <v>137</v>
      </c>
      <c r="AZ158">
        <v>0.016275000000000001</v>
      </c>
      <c r="BA158" t="s">
        <v>137</v>
      </c>
      <c r="BB158">
        <v>0</v>
      </c>
      <c r="BE158">
        <v>0</v>
      </c>
    </row>
    <row r="159" spans="1:58" ht="12.75">
      <c r="A159" s="2" t="str">
        <f>HYPERLINK("https://ibp.a2mac1.com/costing(costing:projects/details/8191/part/5381485)","Upper")</f>
        <v>Upper</v>
      </c>
      <c r="B159">
        <v>5381485</v>
      </c>
      <c r="C159">
        <v>5381370</v>
      </c>
      <c r="E159">
        <v>0.14009133600000001</v>
      </c>
      <c r="F159">
        <v>0</v>
      </c>
      <c r="G159">
        <v>0</v>
      </c>
      <c r="H159">
        <v>0.00071063875705263161</v>
      </c>
      <c r="I159" t="s">
        <v>137</v>
      </c>
      <c r="J159">
        <v>0.0049154854736842106</v>
      </c>
      <c r="K159">
        <v>0.14571746023073684</v>
      </c>
      <c r="L159">
        <v>0.0045964658398135209</v>
      </c>
      <c r="M159">
        <v>0.027578795038881127</v>
      </c>
      <c r="N159">
        <v>0.17329625526961798</v>
      </c>
      <c r="O159" t="s">
        <v>138</v>
      </c>
      <c r="P159">
        <v>0.0087430476138442102</v>
      </c>
      <c r="Q159" t="s">
        <v>138</v>
      </c>
      <c r="R159">
        <v>0.0016547277023328676</v>
      </c>
      <c r="S159" t="s">
        <v>139</v>
      </c>
      <c r="T159">
        <v>0.020795550632354155</v>
      </c>
      <c r="U159" t="s">
        <v>90</v>
      </c>
      <c r="V159">
        <v>0</v>
      </c>
      <c r="W159" t="s">
        <v>90</v>
      </c>
      <c r="X159">
        <v>0</v>
      </c>
      <c r="Y159">
        <v>0.2044895812181492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41</v>
      </c>
      <c r="AF159">
        <v>121</v>
      </c>
      <c r="AG159">
        <v>295</v>
      </c>
      <c r="AI159">
        <v>0.10</v>
      </c>
      <c r="AJ159" t="s">
        <v>685</v>
      </c>
      <c r="AK159" t="s">
        <v>501</v>
      </c>
      <c r="AL159" t="s">
        <v>728</v>
      </c>
      <c r="AM159">
        <v>200000</v>
      </c>
      <c r="AN159" t="s">
        <v>76</v>
      </c>
      <c r="AO159">
        <v>1</v>
      </c>
      <c r="AP159">
        <v>0</v>
      </c>
      <c r="AQ159">
        <v>16666.666666666668</v>
      </c>
      <c r="AR159" t="s">
        <v>745</v>
      </c>
      <c r="AS159" t="s">
        <v>78</v>
      </c>
      <c r="AX159" t="s">
        <v>79</v>
      </c>
      <c r="AY159" t="s">
        <v>137</v>
      </c>
      <c r="AZ159">
        <v>0</v>
      </c>
      <c r="BA159" t="s">
        <v>137</v>
      </c>
      <c r="BB159">
        <v>0</v>
      </c>
      <c r="BE159">
        <v>0</v>
      </c>
    </row>
    <row r="160" spans="1:58" ht="12.75">
      <c r="A160" s="2" t="str">
        <f>HYPERLINK("https://ibp.a2mac1.com/costing(costing:projects/details/8191/part/5381486)","Lower")</f>
        <v>Lower</v>
      </c>
      <c r="B160">
        <v>5381486</v>
      </c>
      <c r="C160">
        <v>5381370</v>
      </c>
      <c r="E160">
        <v>0.022320018</v>
      </c>
      <c r="F160">
        <v>0</v>
      </c>
      <c r="G160">
        <v>0</v>
      </c>
      <c r="H160">
        <v>0.00012014818199999999</v>
      </c>
      <c r="I160" t="s">
        <v>137</v>
      </c>
      <c r="J160">
        <v>0.00083106450000000002</v>
      </c>
      <c r="K160">
        <v>0.023271230681999999</v>
      </c>
      <c r="L160">
        <v>0.02001914354397747</v>
      </c>
      <c r="M160">
        <v>0.12011486126386482</v>
      </c>
      <c r="N160">
        <v>0.14338609194586482</v>
      </c>
      <c r="O160" t="s">
        <v>138</v>
      </c>
      <c r="P160">
        <v>0.00139627384092</v>
      </c>
      <c r="Q160" t="s">
        <v>138</v>
      </c>
      <c r="R160">
        <v>0.0072068916758318887</v>
      </c>
      <c r="S160" t="s">
        <v>139</v>
      </c>
      <c r="T160">
        <v>0.017206331033503778</v>
      </c>
      <c r="U160" t="s">
        <v>90</v>
      </c>
      <c r="V160">
        <v>0</v>
      </c>
      <c r="W160" t="s">
        <v>90</v>
      </c>
      <c r="X160">
        <v>0</v>
      </c>
      <c r="Y160">
        <v>0.16919558849612049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18</v>
      </c>
      <c r="AF160">
        <v>83</v>
      </c>
      <c r="AG160">
        <v>85</v>
      </c>
      <c r="AI160">
        <v>0.036999999999999998</v>
      </c>
      <c r="AK160" t="s">
        <v>501</v>
      </c>
      <c r="AL160" t="s">
        <v>720</v>
      </c>
      <c r="AM160">
        <v>200000</v>
      </c>
      <c r="AN160" t="s">
        <v>76</v>
      </c>
      <c r="AO160">
        <v>1</v>
      </c>
      <c r="AP160">
        <v>0</v>
      </c>
      <c r="AQ160">
        <v>16666.666666666668</v>
      </c>
      <c r="AR160" t="s">
        <v>750</v>
      </c>
      <c r="AS160" t="s">
        <v>78</v>
      </c>
      <c r="AX160" t="s">
        <v>79</v>
      </c>
      <c r="AY160" t="s">
        <v>137</v>
      </c>
      <c r="AZ160">
        <v>0</v>
      </c>
      <c r="BA160" t="s">
        <v>137</v>
      </c>
      <c r="BB160">
        <v>0</v>
      </c>
      <c r="BE160">
        <v>0</v>
      </c>
    </row>
    <row r="161" spans="1:58" ht="12.75">
      <c r="A161" s="2" t="str">
        <f>HYPERLINK("https://ibp.a2mac1.com/costing(costing:projects/details/8191/part/5381367)","Safety Belt Complete")</f>
        <v>Safety Belt Complete</v>
      </c>
      <c r="B161">
        <v>5381367</v>
      </c>
      <c r="C161">
        <v>5381287</v>
      </c>
      <c r="E161">
        <v>23.90</v>
      </c>
      <c r="F161">
        <v>0</v>
      </c>
      <c r="G161">
        <v>0</v>
      </c>
      <c r="H161">
        <v>0</v>
      </c>
      <c r="I161" t="s">
        <v>74</v>
      </c>
      <c r="J161">
        <v>0</v>
      </c>
      <c r="K161">
        <v>23.90</v>
      </c>
      <c r="L161">
        <v>0</v>
      </c>
      <c r="M161">
        <v>0</v>
      </c>
      <c r="N161">
        <v>23.90</v>
      </c>
      <c r="O161" t="s">
        <v>74</v>
      </c>
      <c r="P161">
        <v>0</v>
      </c>
      <c r="Q161" t="s">
        <v>74</v>
      </c>
      <c r="R161">
        <v>0</v>
      </c>
      <c r="S161" t="s">
        <v>74</v>
      </c>
      <c r="T161">
        <v>0</v>
      </c>
      <c r="U161" t="s">
        <v>74</v>
      </c>
      <c r="V161">
        <v>0</v>
      </c>
      <c r="W161" t="s">
        <v>74</v>
      </c>
      <c r="X161">
        <v>0</v>
      </c>
      <c r="Y161">
        <v>23.90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86</v>
      </c>
      <c r="AF161">
        <v>121</v>
      </c>
      <c r="AG161">
        <v>129</v>
      </c>
      <c r="AI161">
        <v>2.0880000000000001</v>
      </c>
      <c r="AJ161" t="s">
        <v>696</v>
      </c>
      <c r="AK161" t="s">
        <v>501</v>
      </c>
      <c r="AL161" t="s">
        <v>752</v>
      </c>
      <c r="AM161">
        <v>200000</v>
      </c>
      <c r="AN161" t="s">
        <v>76</v>
      </c>
      <c r="AO161">
        <v>1</v>
      </c>
      <c r="AP161">
        <v>0</v>
      </c>
      <c r="AQ161">
        <v>16666.666666666668</v>
      </c>
      <c r="AR161" t="s">
        <v>753</v>
      </c>
      <c r="AS161" t="s">
        <v>78</v>
      </c>
      <c r="AX161" t="s">
        <v>79</v>
      </c>
      <c r="AY161" t="s">
        <v>74</v>
      </c>
      <c r="AZ161">
        <v>0</v>
      </c>
      <c r="BA161" t="s">
        <v>74</v>
      </c>
      <c r="BB161">
        <v>0</v>
      </c>
      <c r="BD161">
        <v>23.90</v>
      </c>
      <c r="BE161">
        <v>0</v>
      </c>
    </row>
    <row r="162" spans="1:58" ht="12.75">
      <c r="A162" s="2" t="str">
        <f>HYPERLINK("https://ibp.a2mac1.com/costing(costing:projects/details/8191/part/5381368)","Belt Lock")</f>
        <v>Belt Lock</v>
      </c>
      <c r="B162">
        <v>5381368</v>
      </c>
      <c r="C162">
        <v>5381287</v>
      </c>
      <c r="E162">
        <v>4.1707799999999997</v>
      </c>
      <c r="F162">
        <v>0</v>
      </c>
      <c r="G162">
        <v>0</v>
      </c>
      <c r="H162">
        <v>0</v>
      </c>
      <c r="I162" t="s">
        <v>74</v>
      </c>
      <c r="J162">
        <v>0</v>
      </c>
      <c r="K162">
        <v>4.1707799999999997</v>
      </c>
      <c r="L162">
        <v>0</v>
      </c>
      <c r="M162">
        <v>0</v>
      </c>
      <c r="N162">
        <v>4.1707799999999997</v>
      </c>
      <c r="O162" t="s">
        <v>74</v>
      </c>
      <c r="P162">
        <v>0</v>
      </c>
      <c r="Q162" t="s">
        <v>74</v>
      </c>
      <c r="R162">
        <v>0</v>
      </c>
      <c r="S162" t="s">
        <v>74</v>
      </c>
      <c r="T162">
        <v>0</v>
      </c>
      <c r="U162" t="s">
        <v>74</v>
      </c>
      <c r="V162">
        <v>0</v>
      </c>
      <c r="W162" t="s">
        <v>74</v>
      </c>
      <c r="X162">
        <v>0</v>
      </c>
      <c r="Y162">
        <v>4.1707799999999997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29</v>
      </c>
      <c r="AF162">
        <v>50</v>
      </c>
      <c r="AG162">
        <v>240</v>
      </c>
      <c r="AI162">
        <v>0.16400000000000001</v>
      </c>
      <c r="AJ162" t="s">
        <v>685</v>
      </c>
      <c r="AK162" t="s">
        <v>501</v>
      </c>
      <c r="AL162" t="s">
        <v>754</v>
      </c>
      <c r="AM162">
        <v>200000</v>
      </c>
      <c r="AN162" t="s">
        <v>76</v>
      </c>
      <c r="AO162">
        <v>1</v>
      </c>
      <c r="AP162">
        <v>0</v>
      </c>
      <c r="AQ162">
        <v>16666.666666666668</v>
      </c>
      <c r="AR162" t="s">
        <v>755</v>
      </c>
      <c r="AS162" t="s">
        <v>78</v>
      </c>
      <c r="AX162" t="s">
        <v>79</v>
      </c>
      <c r="AY162" t="s">
        <v>74</v>
      </c>
      <c r="AZ162">
        <v>0</v>
      </c>
      <c r="BA162" t="s">
        <v>74</v>
      </c>
      <c r="BB162">
        <v>0</v>
      </c>
      <c r="BD162">
        <v>4.1707799999999997</v>
      </c>
      <c r="BE162">
        <v>0</v>
      </c>
    </row>
    <row r="163" spans="1:58" ht="12.75">
      <c r="A163" s="2" t="str">
        <f>HYPERLINK("https://ibp.a2mac1.com/costing(costing:projects/details/8191/part/5381369)","Adjustor")</f>
        <v>Adjustor</v>
      </c>
      <c r="B163">
        <v>5381369</v>
      </c>
      <c r="C163">
        <v>5381287</v>
      </c>
      <c r="E163">
        <v>2.79</v>
      </c>
      <c r="F163">
        <v>0</v>
      </c>
      <c r="G163">
        <v>0</v>
      </c>
      <c r="H163">
        <v>0</v>
      </c>
      <c r="I163" t="s">
        <v>74</v>
      </c>
      <c r="J163">
        <v>0</v>
      </c>
      <c r="K163">
        <v>2.79</v>
      </c>
      <c r="L163">
        <v>0</v>
      </c>
      <c r="M163">
        <v>0</v>
      </c>
      <c r="N163">
        <v>2.79</v>
      </c>
      <c r="O163" t="s">
        <v>74</v>
      </c>
      <c r="P163">
        <v>0</v>
      </c>
      <c r="Q163" t="s">
        <v>74</v>
      </c>
      <c r="R163">
        <v>0</v>
      </c>
      <c r="S163" t="s">
        <v>74</v>
      </c>
      <c r="T163">
        <v>0</v>
      </c>
      <c r="U163" t="s">
        <v>74</v>
      </c>
      <c r="V163">
        <v>0</v>
      </c>
      <c r="W163" t="s">
        <v>74</v>
      </c>
      <c r="X163">
        <v>0</v>
      </c>
      <c r="Y163">
        <v>2.79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44</v>
      </c>
      <c r="AF163">
        <v>34</v>
      </c>
      <c r="AG163">
        <v>186</v>
      </c>
      <c r="AI163">
        <v>0.224</v>
      </c>
      <c r="AJ163" t="s">
        <v>685</v>
      </c>
      <c r="AK163" t="s">
        <v>501</v>
      </c>
      <c r="AL163" t="s">
        <v>756</v>
      </c>
      <c r="AM163">
        <v>200000</v>
      </c>
      <c r="AN163" t="s">
        <v>76</v>
      </c>
      <c r="AO163">
        <v>1</v>
      </c>
      <c r="AP163">
        <v>0</v>
      </c>
      <c r="AQ163">
        <v>16666.666666666668</v>
      </c>
      <c r="AR163" t="s">
        <v>757</v>
      </c>
      <c r="AS163" t="s">
        <v>78</v>
      </c>
      <c r="AX163" t="s">
        <v>79</v>
      </c>
      <c r="AY163" t="s">
        <v>74</v>
      </c>
      <c r="AZ163">
        <v>0</v>
      </c>
      <c r="BA163" t="s">
        <v>74</v>
      </c>
      <c r="BB163">
        <v>0</v>
      </c>
      <c r="BD163">
        <v>2.79</v>
      </c>
      <c r="BE163">
        <v>0</v>
      </c>
    </row>
    <row r="164" spans="1:58" ht="12.75">
      <c r="A164" s="2" t="str">
        <f>HYPERLINK("https://ibp.a2mac1.com/costing(costing:projects/details/8191/part/5381487)","Upper")</f>
        <v>Upper</v>
      </c>
      <c r="B164">
        <v>5381487</v>
      </c>
      <c r="C164">
        <v>5381376</v>
      </c>
      <c r="E164">
        <v>0.14009133600000001</v>
      </c>
      <c r="F164">
        <v>0</v>
      </c>
      <c r="G164">
        <v>0</v>
      </c>
      <c r="H164">
        <v>0.00071063875705263161</v>
      </c>
      <c r="I164" t="s">
        <v>137</v>
      </c>
      <c r="J164">
        <v>0.0049154854736842106</v>
      </c>
      <c r="K164">
        <v>0.14571746023073684</v>
      </c>
      <c r="L164">
        <v>0.0045964658398135209</v>
      </c>
      <c r="M164">
        <v>0.027578795038881127</v>
      </c>
      <c r="N164">
        <v>0.17329625526961798</v>
      </c>
      <c r="O164" t="s">
        <v>138</v>
      </c>
      <c r="P164">
        <v>0.0087430476138442102</v>
      </c>
      <c r="Q164" t="s">
        <v>138</v>
      </c>
      <c r="R164">
        <v>0.0016547277023328676</v>
      </c>
      <c r="S164" t="s">
        <v>139</v>
      </c>
      <c r="T164">
        <v>0.020795550632354155</v>
      </c>
      <c r="U164" t="s">
        <v>90</v>
      </c>
      <c r="V164">
        <v>0</v>
      </c>
      <c r="W164" t="s">
        <v>90</v>
      </c>
      <c r="X164">
        <v>0</v>
      </c>
      <c r="Y164">
        <v>0.2044895812181492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41</v>
      </c>
      <c r="AF164">
        <v>121</v>
      </c>
      <c r="AG164">
        <v>295</v>
      </c>
      <c r="AI164">
        <v>0.099000000000000005</v>
      </c>
      <c r="AJ164" t="s">
        <v>685</v>
      </c>
      <c r="AK164" t="s">
        <v>501</v>
      </c>
      <c r="AL164" t="s">
        <v>728</v>
      </c>
      <c r="AM164">
        <v>200000</v>
      </c>
      <c r="AN164" t="s">
        <v>76</v>
      </c>
      <c r="AO164">
        <v>1</v>
      </c>
      <c r="AP164">
        <v>0</v>
      </c>
      <c r="AQ164">
        <v>16666.666666666668</v>
      </c>
      <c r="AR164" t="s">
        <v>763</v>
      </c>
      <c r="AS164" t="s">
        <v>78</v>
      </c>
      <c r="AX164" t="s">
        <v>79</v>
      </c>
      <c r="AY164" t="s">
        <v>137</v>
      </c>
      <c r="AZ164">
        <v>0</v>
      </c>
      <c r="BA164" t="s">
        <v>137</v>
      </c>
      <c r="BB164">
        <v>0</v>
      </c>
      <c r="BE164">
        <v>0</v>
      </c>
    </row>
    <row r="165" spans="1:58" ht="12.75">
      <c r="A165" s="2" t="str">
        <f>HYPERLINK("https://ibp.a2mac1.com/costing(costing:projects/details/8191/part/5381488)","Lower")</f>
        <v>Lower</v>
      </c>
      <c r="B165">
        <v>5381488</v>
      </c>
      <c r="C165">
        <v>5381376</v>
      </c>
      <c r="E165">
        <v>0.022320018</v>
      </c>
      <c r="F165">
        <v>0</v>
      </c>
      <c r="G165">
        <v>0</v>
      </c>
      <c r="H165">
        <v>0.00012014818199999999</v>
      </c>
      <c r="I165" t="s">
        <v>137</v>
      </c>
      <c r="J165">
        <v>0.00083106450000000002</v>
      </c>
      <c r="K165">
        <v>0.023271230681999999</v>
      </c>
      <c r="L165">
        <v>0.02001914354397747</v>
      </c>
      <c r="M165">
        <v>0.12011486126386482</v>
      </c>
      <c r="N165">
        <v>0.14338609194586482</v>
      </c>
      <c r="O165" t="s">
        <v>138</v>
      </c>
      <c r="P165">
        <v>0.00139627384092</v>
      </c>
      <c r="Q165" t="s">
        <v>138</v>
      </c>
      <c r="R165">
        <v>0.0072068916758318887</v>
      </c>
      <c r="S165" t="s">
        <v>139</v>
      </c>
      <c r="T165">
        <v>0.017206331033503778</v>
      </c>
      <c r="U165" t="s">
        <v>90</v>
      </c>
      <c r="V165">
        <v>0</v>
      </c>
      <c r="W165" t="s">
        <v>90</v>
      </c>
      <c r="X165">
        <v>0</v>
      </c>
      <c r="Y165">
        <v>0.16919558849612049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17</v>
      </c>
      <c r="AF165">
        <v>83</v>
      </c>
      <c r="AG165">
        <v>79</v>
      </c>
      <c r="AI165">
        <v>0.035999999999999997</v>
      </c>
      <c r="AK165" t="s">
        <v>501</v>
      </c>
      <c r="AL165" t="s">
        <v>720</v>
      </c>
      <c r="AM165">
        <v>200000</v>
      </c>
      <c r="AN165" t="s">
        <v>76</v>
      </c>
      <c r="AO165">
        <v>1</v>
      </c>
      <c r="AP165">
        <v>0</v>
      </c>
      <c r="AQ165">
        <v>16666.666666666668</v>
      </c>
      <c r="AR165" t="s">
        <v>766</v>
      </c>
      <c r="AS165" t="s">
        <v>78</v>
      </c>
      <c r="AX165" t="s">
        <v>79</v>
      </c>
      <c r="AY165" t="s">
        <v>137</v>
      </c>
      <c r="AZ165">
        <v>0</v>
      </c>
      <c r="BA165" t="s">
        <v>137</v>
      </c>
      <c r="BB165">
        <v>0</v>
      </c>
      <c r="BE165">
        <v>0</v>
      </c>
    </row>
    <row r="166" spans="1:58" ht="12.75">
      <c r="A166" s="2" t="str">
        <f>HYPERLINK("https://ibp.a2mac1.com/costing(costing:projects/details/8191/part/5381489)","Upper Anchor")</f>
        <v>Upper Anchor</v>
      </c>
      <c r="B166">
        <v>5381489</v>
      </c>
      <c r="C166">
        <v>5381377</v>
      </c>
      <c r="E166">
        <v>1.28</v>
      </c>
      <c r="F166">
        <v>0</v>
      </c>
      <c r="G166">
        <v>0</v>
      </c>
      <c r="H166">
        <v>0</v>
      </c>
      <c r="I166" t="s">
        <v>74</v>
      </c>
      <c r="J166">
        <v>0</v>
      </c>
      <c r="K166">
        <v>1.28</v>
      </c>
      <c r="L166">
        <v>0</v>
      </c>
      <c r="M166">
        <v>0</v>
      </c>
      <c r="N166">
        <v>1.28</v>
      </c>
      <c r="O166" t="s">
        <v>74</v>
      </c>
      <c r="P166">
        <v>0</v>
      </c>
      <c r="Q166" t="s">
        <v>74</v>
      </c>
      <c r="R166">
        <v>0</v>
      </c>
      <c r="S166" t="s">
        <v>74</v>
      </c>
      <c r="T166">
        <v>0</v>
      </c>
      <c r="U166" t="s">
        <v>74</v>
      </c>
      <c r="V166">
        <v>0</v>
      </c>
      <c r="W166" t="s">
        <v>74</v>
      </c>
      <c r="X166">
        <v>0</v>
      </c>
      <c r="Y166">
        <v>1.28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19</v>
      </c>
      <c r="AF166">
        <v>96</v>
      </c>
      <c r="AG166">
        <v>69</v>
      </c>
      <c r="AI166">
        <v>0.085</v>
      </c>
      <c r="AJ166" t="s">
        <v>685</v>
      </c>
      <c r="AK166" t="s">
        <v>501</v>
      </c>
      <c r="AL166" t="s">
        <v>769</v>
      </c>
      <c r="AM166">
        <v>200000</v>
      </c>
      <c r="AN166" t="s">
        <v>76</v>
      </c>
      <c r="AO166">
        <v>1</v>
      </c>
      <c r="AP166">
        <v>0</v>
      </c>
      <c r="AQ166">
        <v>16666.666666666668</v>
      </c>
      <c r="AR166" t="s">
        <v>770</v>
      </c>
      <c r="AS166" t="s">
        <v>78</v>
      </c>
      <c r="AX166" t="s">
        <v>79</v>
      </c>
      <c r="AY166" t="s">
        <v>74</v>
      </c>
      <c r="AZ166">
        <v>0</v>
      </c>
      <c r="BA166" t="s">
        <v>74</v>
      </c>
      <c r="BB166">
        <v>0</v>
      </c>
      <c r="BD166">
        <v>1.28</v>
      </c>
      <c r="BE166">
        <v>0</v>
      </c>
    </row>
    <row r="167" spans="1:58" ht="12.75">
      <c r="A167" s="2" t="str">
        <f>HYPERLINK("https://ibp.a2mac1.com/costing(costing:projects/details/8191/part/5381371)","Buckle")</f>
        <v>Buckle</v>
      </c>
      <c r="B167">
        <v>5381371</v>
      </c>
      <c r="C167">
        <v>5381288</v>
      </c>
      <c r="E167">
        <v>0.65</v>
      </c>
      <c r="F167">
        <v>0</v>
      </c>
      <c r="G167">
        <v>0</v>
      </c>
      <c r="H167">
        <v>0</v>
      </c>
      <c r="I167" t="s">
        <v>74</v>
      </c>
      <c r="J167">
        <v>0</v>
      </c>
      <c r="K167">
        <v>0.65</v>
      </c>
      <c r="L167">
        <v>0</v>
      </c>
      <c r="M167">
        <v>0</v>
      </c>
      <c r="N167">
        <v>0.65</v>
      </c>
      <c r="O167" t="s">
        <v>74</v>
      </c>
      <c r="P167">
        <v>0</v>
      </c>
      <c r="Q167" t="s">
        <v>74</v>
      </c>
      <c r="R167">
        <v>0</v>
      </c>
      <c r="S167" t="s">
        <v>74</v>
      </c>
      <c r="T167">
        <v>0</v>
      </c>
      <c r="U167" t="s">
        <v>74</v>
      </c>
      <c r="V167">
        <v>0</v>
      </c>
      <c r="W167" t="s">
        <v>74</v>
      </c>
      <c r="X167">
        <v>0</v>
      </c>
      <c r="Y167">
        <v>0.65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73</v>
      </c>
      <c r="AF167">
        <v>73</v>
      </c>
      <c r="AG167">
        <v>68</v>
      </c>
      <c r="AI167">
        <v>0.050999999999999997</v>
      </c>
      <c r="AJ167" t="s">
        <v>696</v>
      </c>
      <c r="AK167" t="s">
        <v>501</v>
      </c>
      <c r="AL167" t="s">
        <v>772</v>
      </c>
      <c r="AM167">
        <v>200000</v>
      </c>
      <c r="AN167" t="s">
        <v>76</v>
      </c>
      <c r="AO167">
        <v>1</v>
      </c>
      <c r="AP167">
        <v>0</v>
      </c>
      <c r="AQ167">
        <v>16666.666666666668</v>
      </c>
      <c r="AR167" t="s">
        <v>773</v>
      </c>
      <c r="AS167" t="s">
        <v>78</v>
      </c>
      <c r="AX167" t="s">
        <v>79</v>
      </c>
      <c r="AY167" t="s">
        <v>74</v>
      </c>
      <c r="AZ167">
        <v>0</v>
      </c>
      <c r="BA167" t="s">
        <v>74</v>
      </c>
      <c r="BB167">
        <v>0</v>
      </c>
      <c r="BD167">
        <v>0.65</v>
      </c>
      <c r="BE167">
        <v>0</v>
      </c>
    </row>
    <row r="168" spans="1:58" ht="12.75">
      <c r="A168" s="2" t="str">
        <f>HYPERLINK("https://ibp.a2mac1.com/costing(costing:projects/details/8191/part/5381372)","Reel")</f>
        <v>Reel</v>
      </c>
      <c r="B168">
        <v>5381372</v>
      </c>
      <c r="C168">
        <v>5381288</v>
      </c>
      <c r="E168">
        <v>16.86</v>
      </c>
      <c r="F168">
        <v>0</v>
      </c>
      <c r="G168">
        <v>0</v>
      </c>
      <c r="H168">
        <v>0</v>
      </c>
      <c r="I168" t="s">
        <v>74</v>
      </c>
      <c r="J168">
        <v>0</v>
      </c>
      <c r="K168">
        <v>16.86</v>
      </c>
      <c r="L168">
        <v>0</v>
      </c>
      <c r="M168">
        <v>0</v>
      </c>
      <c r="N168">
        <v>16.86</v>
      </c>
      <c r="O168" t="s">
        <v>74</v>
      </c>
      <c r="P168">
        <v>0</v>
      </c>
      <c r="Q168" t="s">
        <v>74</v>
      </c>
      <c r="R168">
        <v>0</v>
      </c>
      <c r="S168" t="s">
        <v>74</v>
      </c>
      <c r="T168">
        <v>0</v>
      </c>
      <c r="U168" t="s">
        <v>74</v>
      </c>
      <c r="V168">
        <v>0</v>
      </c>
      <c r="W168" t="s">
        <v>74</v>
      </c>
      <c r="X168">
        <v>0</v>
      </c>
      <c r="Y168">
        <v>16.86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86</v>
      </c>
      <c r="AF168">
        <v>121</v>
      </c>
      <c r="AG168">
        <v>129</v>
      </c>
      <c r="AI168">
        <v>1.3380000000000001</v>
      </c>
      <c r="AJ168" t="s">
        <v>696</v>
      </c>
      <c r="AK168" t="s">
        <v>501</v>
      </c>
      <c r="AL168" t="s">
        <v>774</v>
      </c>
      <c r="AM168">
        <v>200000</v>
      </c>
      <c r="AN168" t="s">
        <v>76</v>
      </c>
      <c r="AO168">
        <v>1</v>
      </c>
      <c r="AP168">
        <v>0</v>
      </c>
      <c r="AQ168">
        <v>16666.666666666668</v>
      </c>
      <c r="AR168" t="s">
        <v>775</v>
      </c>
      <c r="AS168" t="s">
        <v>78</v>
      </c>
      <c r="AX168" t="s">
        <v>79</v>
      </c>
      <c r="AY168" t="s">
        <v>74</v>
      </c>
      <c r="AZ168">
        <v>0</v>
      </c>
      <c r="BA168" t="s">
        <v>74</v>
      </c>
      <c r="BB168">
        <v>0</v>
      </c>
      <c r="BD168">
        <v>16.86</v>
      </c>
      <c r="BE168">
        <v>0</v>
      </c>
    </row>
    <row r="169" spans="1:58" ht="12.75">
      <c r="A169" s="2" t="str">
        <f>HYPERLINK("https://ibp.a2mac1.com/costing(costing:projects/details/8191/part/5381373)","Adjustor")</f>
        <v>Adjustor</v>
      </c>
      <c r="B169">
        <v>5381373</v>
      </c>
      <c r="C169">
        <v>5381288</v>
      </c>
      <c r="E169">
        <v>2.79</v>
      </c>
      <c r="F169">
        <v>0</v>
      </c>
      <c r="G169">
        <v>0</v>
      </c>
      <c r="H169">
        <v>0</v>
      </c>
      <c r="I169" t="s">
        <v>74</v>
      </c>
      <c r="J169">
        <v>0</v>
      </c>
      <c r="K169">
        <v>2.79</v>
      </c>
      <c r="L169">
        <v>0</v>
      </c>
      <c r="M169">
        <v>0</v>
      </c>
      <c r="N169">
        <v>2.79</v>
      </c>
      <c r="O169" t="s">
        <v>74</v>
      </c>
      <c r="P169">
        <v>0</v>
      </c>
      <c r="Q169" t="s">
        <v>74</v>
      </c>
      <c r="R169">
        <v>0</v>
      </c>
      <c r="S169" t="s">
        <v>74</v>
      </c>
      <c r="T169">
        <v>0</v>
      </c>
      <c r="U169" t="s">
        <v>74</v>
      </c>
      <c r="V169">
        <v>0</v>
      </c>
      <c r="W169" t="s">
        <v>74</v>
      </c>
      <c r="X169">
        <v>0</v>
      </c>
      <c r="Y169">
        <v>2.79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44</v>
      </c>
      <c r="AF169">
        <v>34</v>
      </c>
      <c r="AG169">
        <v>186</v>
      </c>
      <c r="AI169">
        <v>0.224</v>
      </c>
      <c r="AJ169" t="s">
        <v>685</v>
      </c>
      <c r="AK169" t="s">
        <v>501</v>
      </c>
      <c r="AL169" t="s">
        <v>756</v>
      </c>
      <c r="AM169">
        <v>200000</v>
      </c>
      <c r="AN169" t="s">
        <v>76</v>
      </c>
      <c r="AO169">
        <v>1</v>
      </c>
      <c r="AP169">
        <v>0</v>
      </c>
      <c r="AQ169">
        <v>16666.666666666668</v>
      </c>
      <c r="AR169" t="s">
        <v>776</v>
      </c>
      <c r="AS169" t="s">
        <v>78</v>
      </c>
      <c r="AX169" t="s">
        <v>79</v>
      </c>
      <c r="AY169" t="s">
        <v>74</v>
      </c>
      <c r="AZ169">
        <v>0</v>
      </c>
      <c r="BA169" t="s">
        <v>74</v>
      </c>
      <c r="BB169">
        <v>0</v>
      </c>
      <c r="BD169">
        <v>2.79</v>
      </c>
      <c r="BE169">
        <v>0</v>
      </c>
    </row>
    <row r="170" spans="1:58" ht="12.75">
      <c r="A170" s="2" t="str">
        <f>HYPERLINK("https://ibp.a2mac1.com/costing(costing:projects/details/8191/part/5381374)","Belt Lock")</f>
        <v>Belt Lock</v>
      </c>
      <c r="B170">
        <v>5381374</v>
      </c>
      <c r="C170">
        <v>5381288</v>
      </c>
      <c r="E170">
        <v>4.25</v>
      </c>
      <c r="F170">
        <v>0</v>
      </c>
      <c r="G170">
        <v>0</v>
      </c>
      <c r="H170">
        <v>0</v>
      </c>
      <c r="I170" t="s">
        <v>74</v>
      </c>
      <c r="J170">
        <v>0</v>
      </c>
      <c r="K170">
        <v>4.25</v>
      </c>
      <c r="L170">
        <v>0</v>
      </c>
      <c r="M170">
        <v>0</v>
      </c>
      <c r="N170">
        <v>4.25</v>
      </c>
      <c r="O170" t="s">
        <v>74</v>
      </c>
      <c r="P170">
        <v>0</v>
      </c>
      <c r="Q170" t="s">
        <v>74</v>
      </c>
      <c r="R170">
        <v>0</v>
      </c>
      <c r="S170" t="s">
        <v>74</v>
      </c>
      <c r="T170">
        <v>0</v>
      </c>
      <c r="U170" t="s">
        <v>74</v>
      </c>
      <c r="V170">
        <v>0</v>
      </c>
      <c r="W170" t="s">
        <v>74</v>
      </c>
      <c r="X170">
        <v>0</v>
      </c>
      <c r="Y170">
        <v>4.25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30</v>
      </c>
      <c r="AF170">
        <v>50</v>
      </c>
      <c r="AG170">
        <v>235</v>
      </c>
      <c r="AI170">
        <v>0.16300000000000001</v>
      </c>
      <c r="AJ170" t="s">
        <v>685</v>
      </c>
      <c r="AK170" t="s">
        <v>501</v>
      </c>
      <c r="AL170" t="s">
        <v>777</v>
      </c>
      <c r="AM170">
        <v>200000</v>
      </c>
      <c r="AN170" t="s">
        <v>76</v>
      </c>
      <c r="AO170">
        <v>1</v>
      </c>
      <c r="AP170">
        <v>0</v>
      </c>
      <c r="AQ170">
        <v>16666.666666666668</v>
      </c>
      <c r="AR170" t="s">
        <v>778</v>
      </c>
      <c r="AS170" t="s">
        <v>78</v>
      </c>
      <c r="AX170" t="s">
        <v>79</v>
      </c>
      <c r="AY170" t="s">
        <v>74</v>
      </c>
      <c r="AZ170">
        <v>0</v>
      </c>
      <c r="BA170" t="s">
        <v>74</v>
      </c>
      <c r="BB170">
        <v>0</v>
      </c>
      <c r="BD170">
        <v>4.25</v>
      </c>
      <c r="BE170">
        <v>0</v>
      </c>
    </row>
    <row r="171" spans="1:58" ht="12.75">
      <c r="A171" s="2" t="str">
        <f>HYPERLINK("https://ibp.a2mac1.com/costing(costing:projects/details/8191/part/5381375)","Pretensioner Outer Side")</f>
        <v>Pretensioner Outer Side</v>
      </c>
      <c r="B171">
        <v>5381375</v>
      </c>
      <c r="C171">
        <v>5381288</v>
      </c>
      <c r="E171">
        <v>4.93</v>
      </c>
      <c r="F171">
        <v>0</v>
      </c>
      <c r="G171">
        <v>0</v>
      </c>
      <c r="H171">
        <v>0</v>
      </c>
      <c r="I171" t="s">
        <v>74</v>
      </c>
      <c r="J171">
        <v>0</v>
      </c>
      <c r="K171">
        <v>4.93</v>
      </c>
      <c r="L171">
        <v>0</v>
      </c>
      <c r="M171">
        <v>0</v>
      </c>
      <c r="N171">
        <v>4.93</v>
      </c>
      <c r="O171" t="s">
        <v>74</v>
      </c>
      <c r="P171">
        <v>0</v>
      </c>
      <c r="Q171" t="s">
        <v>74</v>
      </c>
      <c r="R171">
        <v>0</v>
      </c>
      <c r="S171" t="s">
        <v>74</v>
      </c>
      <c r="T171">
        <v>0</v>
      </c>
      <c r="U171" t="s">
        <v>74</v>
      </c>
      <c r="V171">
        <v>0</v>
      </c>
      <c r="W171" t="s">
        <v>74</v>
      </c>
      <c r="X171">
        <v>0</v>
      </c>
      <c r="Y171">
        <v>4.93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30</v>
      </c>
      <c r="AF171">
        <v>315</v>
      </c>
      <c r="AG171">
        <v>237</v>
      </c>
      <c r="AI171">
        <v>0.621</v>
      </c>
      <c r="AJ171" t="s">
        <v>696</v>
      </c>
      <c r="AK171" t="s">
        <v>501</v>
      </c>
      <c r="AL171" t="s">
        <v>779</v>
      </c>
      <c r="AM171">
        <v>200000</v>
      </c>
      <c r="AN171" t="s">
        <v>76</v>
      </c>
      <c r="AO171">
        <v>1</v>
      </c>
      <c r="AP171">
        <v>0</v>
      </c>
      <c r="AQ171">
        <v>16666.666666666668</v>
      </c>
      <c r="AR171" t="s">
        <v>780</v>
      </c>
      <c r="AS171" t="s">
        <v>78</v>
      </c>
      <c r="AX171" t="s">
        <v>79</v>
      </c>
      <c r="AY171" t="s">
        <v>74</v>
      </c>
      <c r="AZ171">
        <v>0</v>
      </c>
      <c r="BA171" t="s">
        <v>74</v>
      </c>
      <c r="BB171">
        <v>0</v>
      </c>
      <c r="BD171">
        <v>4.93</v>
      </c>
      <c r="BE171">
        <v>0</v>
      </c>
    </row>
    <row r="172" spans="1:58" ht="12.75">
      <c r="A172" s="2" t="str">
        <f>HYPERLINK("https://ibp.a2mac1.com/costing(costing:projects/details/8191/part/5381378)","Reel")</f>
        <v>Reel</v>
      </c>
      <c r="B172">
        <v>5381378</v>
      </c>
      <c r="C172">
        <v>5381289</v>
      </c>
      <c r="E172">
        <v>15.22</v>
      </c>
      <c r="F172">
        <v>0</v>
      </c>
      <c r="G172">
        <v>0</v>
      </c>
      <c r="H172">
        <v>0</v>
      </c>
      <c r="I172" t="s">
        <v>74</v>
      </c>
      <c r="J172">
        <v>0</v>
      </c>
      <c r="K172">
        <v>15.22</v>
      </c>
      <c r="L172">
        <v>0</v>
      </c>
      <c r="M172">
        <v>0</v>
      </c>
      <c r="N172">
        <v>15.22</v>
      </c>
      <c r="O172" t="s">
        <v>74</v>
      </c>
      <c r="P172">
        <v>0</v>
      </c>
      <c r="Q172" t="s">
        <v>74</v>
      </c>
      <c r="R172">
        <v>0</v>
      </c>
      <c r="S172" t="s">
        <v>74</v>
      </c>
      <c r="T172">
        <v>0</v>
      </c>
      <c r="U172" t="s">
        <v>74</v>
      </c>
      <c r="V172">
        <v>0</v>
      </c>
      <c r="W172" t="s">
        <v>74</v>
      </c>
      <c r="X172">
        <v>0</v>
      </c>
      <c r="Y172">
        <v>15.22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84</v>
      </c>
      <c r="AF172">
        <v>108</v>
      </c>
      <c r="AG172">
        <v>124</v>
      </c>
      <c r="AI172">
        <v>1.208</v>
      </c>
      <c r="AJ172" t="s">
        <v>783</v>
      </c>
      <c r="AK172" t="s">
        <v>501</v>
      </c>
      <c r="AL172" t="s">
        <v>784</v>
      </c>
      <c r="AM172">
        <v>200000</v>
      </c>
      <c r="AN172" t="s">
        <v>76</v>
      </c>
      <c r="AO172">
        <v>1</v>
      </c>
      <c r="AP172">
        <v>0</v>
      </c>
      <c r="AQ172">
        <v>16666.666666666668</v>
      </c>
      <c r="AR172" t="s">
        <v>785</v>
      </c>
      <c r="AS172" t="s">
        <v>78</v>
      </c>
      <c r="AX172" t="s">
        <v>79</v>
      </c>
      <c r="AY172" t="s">
        <v>74</v>
      </c>
      <c r="AZ172">
        <v>0</v>
      </c>
      <c r="BA172" t="s">
        <v>74</v>
      </c>
      <c r="BB172">
        <v>0</v>
      </c>
      <c r="BD172">
        <v>15.22</v>
      </c>
      <c r="BE172">
        <v>0</v>
      </c>
    </row>
    <row r="173" spans="1:58" ht="12.75">
      <c r="A173" s="2" t="str">
        <f>HYPERLINK("https://ibp.a2mac1.com/costing(costing:projects/details/8191/part/5381379)","Belt Lock")</f>
        <v>Belt Lock</v>
      </c>
      <c r="B173">
        <v>5381379</v>
      </c>
      <c r="C173">
        <v>5381289</v>
      </c>
      <c r="E173">
        <v>4.34</v>
      </c>
      <c r="F173">
        <v>0</v>
      </c>
      <c r="G173">
        <v>0</v>
      </c>
      <c r="H173">
        <v>0</v>
      </c>
      <c r="I173" t="s">
        <v>74</v>
      </c>
      <c r="J173">
        <v>0</v>
      </c>
      <c r="K173">
        <v>4.34</v>
      </c>
      <c r="L173">
        <v>0</v>
      </c>
      <c r="M173">
        <v>0</v>
      </c>
      <c r="N173">
        <v>4.34</v>
      </c>
      <c r="O173" t="s">
        <v>74</v>
      </c>
      <c r="P173">
        <v>0</v>
      </c>
      <c r="Q173" t="s">
        <v>74</v>
      </c>
      <c r="R173">
        <v>0</v>
      </c>
      <c r="S173" t="s">
        <v>74</v>
      </c>
      <c r="T173">
        <v>0</v>
      </c>
      <c r="U173" t="s">
        <v>74</v>
      </c>
      <c r="V173">
        <v>0</v>
      </c>
      <c r="W173" t="s">
        <v>74</v>
      </c>
      <c r="X173">
        <v>0</v>
      </c>
      <c r="Y173">
        <v>4.34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40</v>
      </c>
      <c r="AF173">
        <v>86</v>
      </c>
      <c r="AG173">
        <v>138</v>
      </c>
      <c r="AI173">
        <v>0.23899999999999999</v>
      </c>
      <c r="AJ173" t="s">
        <v>685</v>
      </c>
      <c r="AK173" t="s">
        <v>501</v>
      </c>
      <c r="AL173" t="s">
        <v>754</v>
      </c>
      <c r="AM173">
        <v>200000</v>
      </c>
      <c r="AN173" t="s">
        <v>76</v>
      </c>
      <c r="AO173">
        <v>1</v>
      </c>
      <c r="AP173">
        <v>0</v>
      </c>
      <c r="AQ173">
        <v>16666.666666666668</v>
      </c>
      <c r="AR173" t="s">
        <v>786</v>
      </c>
      <c r="AS173" t="s">
        <v>78</v>
      </c>
      <c r="AX173" t="s">
        <v>79</v>
      </c>
      <c r="AY173" t="s">
        <v>74</v>
      </c>
      <c r="AZ173">
        <v>0</v>
      </c>
      <c r="BA173" t="s">
        <v>74</v>
      </c>
      <c r="BB173">
        <v>0</v>
      </c>
      <c r="BD173">
        <v>4.34</v>
      </c>
      <c r="BE173">
        <v>0</v>
      </c>
    </row>
    <row r="174" spans="1:58" ht="12.75">
      <c r="A174" s="2" t="str">
        <f>HYPERLINK("https://ibp.a2mac1.com/costing(costing:projects/details/8191/part/5381380)","Reel Belt Complete")</f>
        <v>Reel Belt Complete</v>
      </c>
      <c r="B174">
        <v>5381380</v>
      </c>
      <c r="C174">
        <v>5381290</v>
      </c>
      <c r="E174">
        <v>10.59</v>
      </c>
      <c r="F174">
        <v>0</v>
      </c>
      <c r="G174">
        <v>0</v>
      </c>
      <c r="H174">
        <v>0</v>
      </c>
      <c r="I174" t="s">
        <v>74</v>
      </c>
      <c r="J174">
        <v>0</v>
      </c>
      <c r="K174">
        <v>10.59</v>
      </c>
      <c r="L174">
        <v>0</v>
      </c>
      <c r="M174">
        <v>0</v>
      </c>
      <c r="N174">
        <v>10.59</v>
      </c>
      <c r="O174" t="s">
        <v>74</v>
      </c>
      <c r="P174">
        <v>0</v>
      </c>
      <c r="Q174" t="s">
        <v>74</v>
      </c>
      <c r="R174">
        <v>0</v>
      </c>
      <c r="S174" t="s">
        <v>74</v>
      </c>
      <c r="T174">
        <v>0</v>
      </c>
      <c r="U174" t="s">
        <v>74</v>
      </c>
      <c r="V174">
        <v>0</v>
      </c>
      <c r="W174" t="s">
        <v>74</v>
      </c>
      <c r="X174">
        <v>0</v>
      </c>
      <c r="Y174">
        <v>10.59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83</v>
      </c>
      <c r="AF174">
        <v>92</v>
      </c>
      <c r="AG174">
        <v>102</v>
      </c>
      <c r="AI174">
        <v>0.55700000000000005</v>
      </c>
      <c r="AK174" t="s">
        <v>501</v>
      </c>
      <c r="AL174" t="s">
        <v>789</v>
      </c>
      <c r="AM174">
        <v>200000</v>
      </c>
      <c r="AN174" t="s">
        <v>76</v>
      </c>
      <c r="AO174">
        <v>1</v>
      </c>
      <c r="AP174">
        <v>0</v>
      </c>
      <c r="AQ174">
        <v>16666.666666666668</v>
      </c>
      <c r="AR174" t="s">
        <v>790</v>
      </c>
      <c r="AS174" t="s">
        <v>78</v>
      </c>
      <c r="AX174" t="s">
        <v>79</v>
      </c>
      <c r="AY174" t="s">
        <v>74</v>
      </c>
      <c r="AZ174">
        <v>0</v>
      </c>
      <c r="BA174" t="s">
        <v>74</v>
      </c>
      <c r="BB174">
        <v>0</v>
      </c>
      <c r="BD174">
        <v>10.59</v>
      </c>
      <c r="BE174">
        <v>0</v>
      </c>
    </row>
    <row r="175" spans="1:58" ht="12.75">
      <c r="A175" s="2" t="str">
        <f>HYPERLINK("https://ibp.a2mac1.com/costing(costing:projects/details/8191/part/5381381)","Buckle")</f>
        <v>Buckle</v>
      </c>
      <c r="B175">
        <v>5381381</v>
      </c>
      <c r="C175">
        <v>5381290</v>
      </c>
      <c r="E175">
        <v>0.65</v>
      </c>
      <c r="F175">
        <v>0</v>
      </c>
      <c r="G175">
        <v>0</v>
      </c>
      <c r="H175">
        <v>0</v>
      </c>
      <c r="I175" t="s">
        <v>74</v>
      </c>
      <c r="J175">
        <v>0</v>
      </c>
      <c r="K175">
        <v>0.65</v>
      </c>
      <c r="L175">
        <v>0</v>
      </c>
      <c r="M175">
        <v>0</v>
      </c>
      <c r="N175">
        <v>0.65</v>
      </c>
      <c r="O175" t="s">
        <v>74</v>
      </c>
      <c r="P175">
        <v>0</v>
      </c>
      <c r="Q175" t="s">
        <v>74</v>
      </c>
      <c r="R175">
        <v>0</v>
      </c>
      <c r="S175" t="s">
        <v>74</v>
      </c>
      <c r="T175">
        <v>0</v>
      </c>
      <c r="U175" t="s">
        <v>74</v>
      </c>
      <c r="V175">
        <v>0</v>
      </c>
      <c r="W175" t="s">
        <v>74</v>
      </c>
      <c r="X175">
        <v>0</v>
      </c>
      <c r="Y175">
        <v>0.65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9</v>
      </c>
      <c r="AF175">
        <v>74</v>
      </c>
      <c r="AG175">
        <v>68</v>
      </c>
      <c r="AI175">
        <v>0.050999999999999997</v>
      </c>
      <c r="AJ175" t="s">
        <v>696</v>
      </c>
      <c r="AK175" t="s">
        <v>501</v>
      </c>
      <c r="AL175" t="s">
        <v>769</v>
      </c>
      <c r="AM175">
        <v>200000</v>
      </c>
      <c r="AN175" t="s">
        <v>76</v>
      </c>
      <c r="AO175">
        <v>1</v>
      </c>
      <c r="AP175">
        <v>0</v>
      </c>
      <c r="AQ175">
        <v>16666.666666666668</v>
      </c>
      <c r="AR175" t="s">
        <v>791</v>
      </c>
      <c r="AS175" t="s">
        <v>78</v>
      </c>
      <c r="AX175" t="s">
        <v>79</v>
      </c>
      <c r="AY175" t="s">
        <v>74</v>
      </c>
      <c r="AZ175">
        <v>0</v>
      </c>
      <c r="BA175" t="s">
        <v>74</v>
      </c>
      <c r="BB175">
        <v>0</v>
      </c>
      <c r="BD175">
        <v>0.65</v>
      </c>
      <c r="BE175">
        <v>0</v>
      </c>
    </row>
    <row r="176" spans="1:58" ht="12.75">
      <c r="A176" s="2" t="str">
        <f>HYPERLINK("https://ibp.a2mac1.com/costing(costing:projects/details/8191/part/5381382)","Belt Lock")</f>
        <v>Belt Lock</v>
      </c>
      <c r="B176">
        <v>5381382</v>
      </c>
      <c r="C176">
        <v>5381290</v>
      </c>
      <c r="E176">
        <v>4.34</v>
      </c>
      <c r="F176">
        <v>0</v>
      </c>
      <c r="G176">
        <v>0</v>
      </c>
      <c r="H176">
        <v>0</v>
      </c>
      <c r="I176" t="s">
        <v>74</v>
      </c>
      <c r="J176">
        <v>0</v>
      </c>
      <c r="K176">
        <v>4.34</v>
      </c>
      <c r="L176">
        <v>0</v>
      </c>
      <c r="M176">
        <v>0</v>
      </c>
      <c r="N176">
        <v>4.34</v>
      </c>
      <c r="O176" t="s">
        <v>74</v>
      </c>
      <c r="P176">
        <v>0</v>
      </c>
      <c r="Q176" t="s">
        <v>74</v>
      </c>
      <c r="R176">
        <v>0</v>
      </c>
      <c r="S176" t="s">
        <v>74</v>
      </c>
      <c r="T176">
        <v>0</v>
      </c>
      <c r="U176" t="s">
        <v>74</v>
      </c>
      <c r="V176">
        <v>0</v>
      </c>
      <c r="W176" t="s">
        <v>74</v>
      </c>
      <c r="X176">
        <v>0</v>
      </c>
      <c r="Y176">
        <v>4.34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54</v>
      </c>
      <c r="AF176">
        <v>85</v>
      </c>
      <c r="AG176">
        <v>139</v>
      </c>
      <c r="AI176">
        <v>0.26400000000000001</v>
      </c>
      <c r="AK176" t="s">
        <v>501</v>
      </c>
      <c r="AL176" t="s">
        <v>754</v>
      </c>
      <c r="AM176">
        <v>200000</v>
      </c>
      <c r="AN176" t="s">
        <v>76</v>
      </c>
      <c r="AO176">
        <v>1</v>
      </c>
      <c r="AP176">
        <v>0</v>
      </c>
      <c r="AQ176">
        <v>16666.666666666668</v>
      </c>
      <c r="AR176" t="s">
        <v>792</v>
      </c>
      <c r="AS176" t="s">
        <v>78</v>
      </c>
      <c r="AX176" t="s">
        <v>79</v>
      </c>
      <c r="AY176" t="s">
        <v>74</v>
      </c>
      <c r="AZ176">
        <v>0</v>
      </c>
      <c r="BA176" t="s">
        <v>74</v>
      </c>
      <c r="BB176">
        <v>0</v>
      </c>
      <c r="BD176">
        <v>4.34</v>
      </c>
      <c r="BE176">
        <v>0</v>
      </c>
    </row>
    <row r="177" spans="1:58" ht="12.75">
      <c r="A177" s="2" t="str">
        <f>HYPERLINK("https://ibp.a2mac1.com/costing(costing:projects/details/8191/part/5381383)","Guide")</f>
        <v>Guide</v>
      </c>
      <c r="B177">
        <v>5381383</v>
      </c>
      <c r="C177">
        <v>5381290</v>
      </c>
      <c r="E177">
        <v>0.174762</v>
      </c>
      <c r="F177">
        <v>0</v>
      </c>
      <c r="G177">
        <v>0</v>
      </c>
      <c r="H177">
        <v>0.000886512</v>
      </c>
      <c r="I177" t="s">
        <v>137</v>
      </c>
      <c r="J177">
        <v>0.0061320000000000003</v>
      </c>
      <c r="K177">
        <v>0.18178051200000001</v>
      </c>
      <c r="L177">
        <v>0.0046429065115915586</v>
      </c>
      <c r="M177">
        <v>0.02785743906954935</v>
      </c>
      <c r="N177">
        <v>0.20963795106954936</v>
      </c>
      <c r="O177" t="s">
        <v>138</v>
      </c>
      <c r="P177">
        <v>0.01090683072</v>
      </c>
      <c r="Q177" t="s">
        <v>138</v>
      </c>
      <c r="R177">
        <v>0.001671446344172961</v>
      </c>
      <c r="S177" t="s">
        <v>139</v>
      </c>
      <c r="T177">
        <v>0.025156554128345922</v>
      </c>
      <c r="U177" t="s">
        <v>90</v>
      </c>
      <c r="V177">
        <v>0</v>
      </c>
      <c r="W177" t="s">
        <v>90</v>
      </c>
      <c r="X177">
        <v>0</v>
      </c>
      <c r="Y177">
        <v>0.24737278226206824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63</v>
      </c>
      <c r="AF177">
        <v>103</v>
      </c>
      <c r="AG177">
        <v>80</v>
      </c>
      <c r="AI177">
        <v>0.057000000000000002</v>
      </c>
      <c r="AJ177" t="s">
        <v>685</v>
      </c>
      <c r="AK177" t="s">
        <v>501</v>
      </c>
      <c r="AL177" t="s">
        <v>797</v>
      </c>
      <c r="AM177">
        <v>200000</v>
      </c>
      <c r="AN177" t="s">
        <v>76</v>
      </c>
      <c r="AO177">
        <v>1</v>
      </c>
      <c r="AP177">
        <v>0</v>
      </c>
      <c r="AQ177">
        <v>16666.666666666668</v>
      </c>
      <c r="AR177" t="s">
        <v>798</v>
      </c>
      <c r="AS177" t="s">
        <v>78</v>
      </c>
      <c r="AX177" t="s">
        <v>79</v>
      </c>
      <c r="AY177" t="s">
        <v>137</v>
      </c>
      <c r="AZ177">
        <v>0</v>
      </c>
      <c r="BA177" t="s">
        <v>137</v>
      </c>
      <c r="BB177">
        <v>0</v>
      </c>
      <c r="BE177">
        <v>0</v>
      </c>
    </row>
    <row r="178" spans="1:58" ht="12.75">
      <c r="A178" s="2" t="str">
        <f>HYPERLINK("https://ibp.a2mac1.com/costing(costing:projects/details/8191/part/5381490)","Lower Anchor")</f>
        <v>Lower Anchor</v>
      </c>
      <c r="B178">
        <v>5381490</v>
      </c>
      <c r="C178">
        <v>5381387</v>
      </c>
      <c r="E178">
        <v>0.23</v>
      </c>
      <c r="F178">
        <v>0</v>
      </c>
      <c r="G178">
        <v>0</v>
      </c>
      <c r="H178">
        <v>0</v>
      </c>
      <c r="I178" t="s">
        <v>74</v>
      </c>
      <c r="J178">
        <v>0</v>
      </c>
      <c r="K178">
        <v>0.23</v>
      </c>
      <c r="L178">
        <v>0</v>
      </c>
      <c r="M178">
        <v>0</v>
      </c>
      <c r="N178">
        <v>0.23</v>
      </c>
      <c r="O178" t="s">
        <v>74</v>
      </c>
      <c r="P178">
        <v>0</v>
      </c>
      <c r="Q178" t="s">
        <v>74</v>
      </c>
      <c r="R178">
        <v>0</v>
      </c>
      <c r="S178" t="s">
        <v>74</v>
      </c>
      <c r="T178">
        <v>0</v>
      </c>
      <c r="U178" t="s">
        <v>74</v>
      </c>
      <c r="V178">
        <v>0</v>
      </c>
      <c r="W178" t="s">
        <v>74</v>
      </c>
      <c r="X178">
        <v>0</v>
      </c>
      <c r="Y178">
        <v>0.23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21</v>
      </c>
      <c r="AF178">
        <v>59</v>
      </c>
      <c r="AG178">
        <v>55</v>
      </c>
      <c r="AI178">
        <v>0.04</v>
      </c>
      <c r="AK178" t="s">
        <v>501</v>
      </c>
      <c r="AL178" t="s">
        <v>720</v>
      </c>
      <c r="AM178">
        <v>200000</v>
      </c>
      <c r="AN178" t="s">
        <v>76</v>
      </c>
      <c r="AO178">
        <v>1</v>
      </c>
      <c r="AP178">
        <v>0</v>
      </c>
      <c r="AQ178">
        <v>16666.666666666668</v>
      </c>
      <c r="AR178" t="s">
        <v>802</v>
      </c>
      <c r="AS178" t="s">
        <v>78</v>
      </c>
      <c r="AX178" t="s">
        <v>79</v>
      </c>
      <c r="AY178" t="s">
        <v>74</v>
      </c>
      <c r="AZ178">
        <v>0</v>
      </c>
      <c r="BA178" t="s">
        <v>74</v>
      </c>
      <c r="BB178">
        <v>0</v>
      </c>
      <c r="BD178">
        <v>0.23</v>
      </c>
      <c r="BE178">
        <v>0</v>
      </c>
    </row>
    <row r="179" spans="1:58" ht="12.75">
      <c r="A179" s="2" t="str">
        <f>HYPERLINK("https://ibp.a2mac1.com/costing(costing:projects/details/8191/part/5381384)","Buckle")</f>
        <v>Buckle</v>
      </c>
      <c r="B179">
        <v>5381384</v>
      </c>
      <c r="C179">
        <v>5381291</v>
      </c>
      <c r="E179">
        <v>0.65</v>
      </c>
      <c r="F179">
        <v>0</v>
      </c>
      <c r="G179">
        <v>0</v>
      </c>
      <c r="H179">
        <v>0</v>
      </c>
      <c r="I179" t="s">
        <v>74</v>
      </c>
      <c r="J179">
        <v>0</v>
      </c>
      <c r="K179">
        <v>0.65</v>
      </c>
      <c r="L179">
        <v>0</v>
      </c>
      <c r="M179">
        <v>0</v>
      </c>
      <c r="N179">
        <v>0.65</v>
      </c>
      <c r="O179" t="s">
        <v>74</v>
      </c>
      <c r="P179">
        <v>0</v>
      </c>
      <c r="Q179" t="s">
        <v>74</v>
      </c>
      <c r="R179">
        <v>0</v>
      </c>
      <c r="S179" t="s">
        <v>74</v>
      </c>
      <c r="T179">
        <v>0</v>
      </c>
      <c r="U179" t="s">
        <v>74</v>
      </c>
      <c r="V179">
        <v>0</v>
      </c>
      <c r="W179" t="s">
        <v>74</v>
      </c>
      <c r="X179">
        <v>0</v>
      </c>
      <c r="Y179">
        <v>0.65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13</v>
      </c>
      <c r="AF179">
        <v>73</v>
      </c>
      <c r="AG179">
        <v>68</v>
      </c>
      <c r="AI179">
        <v>0.053999999999999999</v>
      </c>
      <c r="AJ179" t="s">
        <v>783</v>
      </c>
      <c r="AK179" t="s">
        <v>501</v>
      </c>
      <c r="AL179" t="s">
        <v>769</v>
      </c>
      <c r="AM179">
        <v>200000</v>
      </c>
      <c r="AN179" t="s">
        <v>76</v>
      </c>
      <c r="AO179">
        <v>1</v>
      </c>
      <c r="AP179">
        <v>0</v>
      </c>
      <c r="AQ179">
        <v>16666.666666666668</v>
      </c>
      <c r="AR179" t="s">
        <v>804</v>
      </c>
      <c r="AS179" t="s">
        <v>78</v>
      </c>
      <c r="AX179" t="s">
        <v>79</v>
      </c>
      <c r="AY179" t="s">
        <v>74</v>
      </c>
      <c r="AZ179">
        <v>0</v>
      </c>
      <c r="BA179" t="s">
        <v>74</v>
      </c>
      <c r="BB179">
        <v>0</v>
      </c>
      <c r="BD179">
        <v>0.65</v>
      </c>
      <c r="BE179">
        <v>0</v>
      </c>
    </row>
    <row r="180" spans="1:58" ht="12.75">
      <c r="A180" s="2" t="str">
        <f>HYPERLINK("https://ibp.a2mac1.com/costing(costing:projects/details/8191/part/5381385)","Reel")</f>
        <v>Reel</v>
      </c>
      <c r="B180">
        <v>5381385</v>
      </c>
      <c r="C180">
        <v>5381291</v>
      </c>
      <c r="E180">
        <v>14.24</v>
      </c>
      <c r="F180">
        <v>0</v>
      </c>
      <c r="G180">
        <v>0</v>
      </c>
      <c r="H180">
        <v>0</v>
      </c>
      <c r="I180" t="s">
        <v>74</v>
      </c>
      <c r="J180">
        <v>0</v>
      </c>
      <c r="K180">
        <v>14.24</v>
      </c>
      <c r="L180">
        <v>0</v>
      </c>
      <c r="M180">
        <v>0</v>
      </c>
      <c r="N180">
        <v>14.24</v>
      </c>
      <c r="O180" t="s">
        <v>74</v>
      </c>
      <c r="P180">
        <v>0</v>
      </c>
      <c r="Q180" t="s">
        <v>74</v>
      </c>
      <c r="R180">
        <v>0</v>
      </c>
      <c r="S180" t="s">
        <v>74</v>
      </c>
      <c r="T180">
        <v>0</v>
      </c>
      <c r="U180" t="s">
        <v>74</v>
      </c>
      <c r="V180">
        <v>0</v>
      </c>
      <c r="W180" t="s">
        <v>74</v>
      </c>
      <c r="X180">
        <v>0</v>
      </c>
      <c r="Y180">
        <v>14.24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84</v>
      </c>
      <c r="AF180">
        <v>108</v>
      </c>
      <c r="AG180">
        <v>124</v>
      </c>
      <c r="AI180">
        <v>1.107</v>
      </c>
      <c r="AJ180" t="s">
        <v>783</v>
      </c>
      <c r="AK180" t="s">
        <v>501</v>
      </c>
      <c r="AL180" t="s">
        <v>805</v>
      </c>
      <c r="AM180">
        <v>200000</v>
      </c>
      <c r="AN180" t="s">
        <v>76</v>
      </c>
      <c r="AO180">
        <v>1</v>
      </c>
      <c r="AP180">
        <v>0</v>
      </c>
      <c r="AQ180">
        <v>16666.666666666668</v>
      </c>
      <c r="AR180" t="s">
        <v>806</v>
      </c>
      <c r="AS180" t="s">
        <v>78</v>
      </c>
      <c r="AX180" t="s">
        <v>79</v>
      </c>
      <c r="AY180" t="s">
        <v>74</v>
      </c>
      <c r="AZ180">
        <v>0</v>
      </c>
      <c r="BA180" t="s">
        <v>74</v>
      </c>
      <c r="BB180">
        <v>0</v>
      </c>
      <c r="BD180">
        <v>14.24</v>
      </c>
      <c r="BE180">
        <v>0</v>
      </c>
    </row>
    <row r="181" spans="1:58" ht="12.75">
      <c r="A181" s="2" t="str">
        <f>HYPERLINK("https://ibp.a2mac1.com/costing(costing:projects/details/8191/part/5381386)","Belt Lock")</f>
        <v>Belt Lock</v>
      </c>
      <c r="B181">
        <v>5381386</v>
      </c>
      <c r="C181">
        <v>5381291</v>
      </c>
      <c r="E181">
        <v>4.34</v>
      </c>
      <c r="F181">
        <v>0</v>
      </c>
      <c r="G181">
        <v>0</v>
      </c>
      <c r="H181">
        <v>0</v>
      </c>
      <c r="I181" t="s">
        <v>74</v>
      </c>
      <c r="J181">
        <v>0</v>
      </c>
      <c r="K181">
        <v>4.34</v>
      </c>
      <c r="L181">
        <v>0</v>
      </c>
      <c r="M181">
        <v>0</v>
      </c>
      <c r="N181">
        <v>4.34</v>
      </c>
      <c r="O181" t="s">
        <v>74</v>
      </c>
      <c r="P181">
        <v>0</v>
      </c>
      <c r="Q181" t="s">
        <v>74</v>
      </c>
      <c r="R181">
        <v>0</v>
      </c>
      <c r="S181" t="s">
        <v>74</v>
      </c>
      <c r="T181">
        <v>0</v>
      </c>
      <c r="U181" t="s">
        <v>74</v>
      </c>
      <c r="V181">
        <v>0</v>
      </c>
      <c r="W181" t="s">
        <v>74</v>
      </c>
      <c r="X181">
        <v>0</v>
      </c>
      <c r="Y181">
        <v>4.34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50</v>
      </c>
      <c r="AF181">
        <v>67</v>
      </c>
      <c r="AG181">
        <v>205</v>
      </c>
      <c r="AI181">
        <v>0.248</v>
      </c>
      <c r="AJ181" t="s">
        <v>685</v>
      </c>
      <c r="AK181" t="s">
        <v>501</v>
      </c>
      <c r="AL181" t="s">
        <v>789</v>
      </c>
      <c r="AM181">
        <v>200000</v>
      </c>
      <c r="AN181" t="s">
        <v>76</v>
      </c>
      <c r="AO181">
        <v>1</v>
      </c>
      <c r="AP181">
        <v>0</v>
      </c>
      <c r="AQ181">
        <v>16666.666666666668</v>
      </c>
      <c r="AR181" t="s">
        <v>807</v>
      </c>
      <c r="AS181" t="s">
        <v>78</v>
      </c>
      <c r="AX181" t="s">
        <v>79</v>
      </c>
      <c r="AY181" t="s">
        <v>74</v>
      </c>
      <c r="AZ181">
        <v>0</v>
      </c>
      <c r="BA181" t="s">
        <v>74</v>
      </c>
      <c r="BB181">
        <v>0</v>
      </c>
      <c r="BD181">
        <v>4.34</v>
      </c>
      <c r="BE181">
        <v>0</v>
      </c>
    </row>
    <row r="182" spans="1:58" ht="12.75">
      <c r="A182" s="2" t="str">
        <f>HYPERLINK("https://ibp.a2mac1.com/costing(costing:projects/details/8191/part/5381292)","Horn")</f>
        <v>Horn</v>
      </c>
      <c r="B182">
        <v>5381292</v>
      </c>
      <c r="C182">
        <v>5381281</v>
      </c>
      <c r="E182">
        <v>4.1523300000000001</v>
      </c>
      <c r="F182">
        <v>0</v>
      </c>
      <c r="G182">
        <v>0</v>
      </c>
      <c r="H182">
        <v>0</v>
      </c>
      <c r="I182" t="s">
        <v>74</v>
      </c>
      <c r="J182">
        <v>0</v>
      </c>
      <c r="K182">
        <v>4.1523300000000001</v>
      </c>
      <c r="L182">
        <v>0</v>
      </c>
      <c r="M182">
        <v>0</v>
      </c>
      <c r="N182">
        <v>4.1523300000000001</v>
      </c>
      <c r="O182" t="s">
        <v>74</v>
      </c>
      <c r="P182">
        <v>0</v>
      </c>
      <c r="Q182" t="s">
        <v>74</v>
      </c>
      <c r="R182">
        <v>0</v>
      </c>
      <c r="S182" t="s">
        <v>74</v>
      </c>
      <c r="T182">
        <v>0</v>
      </c>
      <c r="U182" t="s">
        <v>74</v>
      </c>
      <c r="V182">
        <v>0</v>
      </c>
      <c r="W182" t="s">
        <v>74</v>
      </c>
      <c r="X182">
        <v>0</v>
      </c>
      <c r="Y182">
        <v>4.1523300000000001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80</v>
      </c>
      <c r="AF182">
        <v>85</v>
      </c>
      <c r="AG182">
        <v>89</v>
      </c>
      <c r="AI182">
        <v>0.217</v>
      </c>
      <c r="AJ182" t="s">
        <v>811</v>
      </c>
      <c r="AK182" t="s">
        <v>686</v>
      </c>
      <c r="AL182" t="s">
        <v>812</v>
      </c>
      <c r="AM182">
        <v>200000</v>
      </c>
      <c r="AN182" t="s">
        <v>76</v>
      </c>
      <c r="AO182">
        <v>1</v>
      </c>
      <c r="AP182">
        <v>0</v>
      </c>
      <c r="AQ182">
        <v>16666.666666666668</v>
      </c>
      <c r="AR182" t="s">
        <v>813</v>
      </c>
      <c r="AS182" t="s">
        <v>78</v>
      </c>
      <c r="AX182" t="s">
        <v>79</v>
      </c>
      <c r="AY182" t="s">
        <v>74</v>
      </c>
      <c r="AZ182">
        <v>0</v>
      </c>
      <c r="BA182" t="s">
        <v>74</v>
      </c>
      <c r="BB182">
        <v>0</v>
      </c>
      <c r="BD182">
        <v>4.1523300000000001</v>
      </c>
      <c r="BE182">
        <v>0</v>
      </c>
    </row>
    <row r="183" spans="1:58" ht="12.75">
      <c r="A183" s="2" t="str">
        <f>HYPERLINK("https://ibp.a2mac1.com/costing(costing:projects/details/8191/part/5381293)","Bracket")</f>
        <v>Bracket</v>
      </c>
      <c r="B183">
        <v>5381293</v>
      </c>
      <c r="C183">
        <v>5381281</v>
      </c>
      <c r="E183">
        <v>0.23069000000000001</v>
      </c>
      <c r="F183">
        <v>0</v>
      </c>
      <c r="G183">
        <v>0</v>
      </c>
      <c r="H183">
        <v>0</v>
      </c>
      <c r="I183" t="s">
        <v>74</v>
      </c>
      <c r="J183">
        <v>0</v>
      </c>
      <c r="K183">
        <v>0.23069000000000001</v>
      </c>
      <c r="L183">
        <v>0</v>
      </c>
      <c r="M183">
        <v>0</v>
      </c>
      <c r="N183">
        <v>0.23069000000000001</v>
      </c>
      <c r="O183" t="s">
        <v>74</v>
      </c>
      <c r="P183">
        <v>0</v>
      </c>
      <c r="Q183" t="s">
        <v>74</v>
      </c>
      <c r="R183">
        <v>0</v>
      </c>
      <c r="S183" t="s">
        <v>74</v>
      </c>
      <c r="T183">
        <v>0</v>
      </c>
      <c r="U183" t="s">
        <v>74</v>
      </c>
      <c r="V183">
        <v>0</v>
      </c>
      <c r="W183" t="s">
        <v>74</v>
      </c>
      <c r="X183">
        <v>0</v>
      </c>
      <c r="Y183">
        <v>0.23069000000000001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</v>
      </c>
      <c r="AF183">
        <v>92</v>
      </c>
      <c r="AG183">
        <v>25</v>
      </c>
      <c r="AI183">
        <v>0.025999999999999999</v>
      </c>
      <c r="AJ183" t="s">
        <v>685</v>
      </c>
      <c r="AK183" t="s">
        <v>598</v>
      </c>
      <c r="AL183" t="s">
        <v>720</v>
      </c>
      <c r="AM183">
        <v>200000</v>
      </c>
      <c r="AN183" t="s">
        <v>76</v>
      </c>
      <c r="AO183">
        <v>1</v>
      </c>
      <c r="AP183">
        <v>0</v>
      </c>
      <c r="AQ183">
        <v>16666.666666666668</v>
      </c>
      <c r="AR183" t="s">
        <v>814</v>
      </c>
      <c r="AS183" t="s">
        <v>78</v>
      </c>
      <c r="AX183" t="s">
        <v>79</v>
      </c>
      <c r="AY183" t="s">
        <v>74</v>
      </c>
      <c r="AZ183">
        <v>0</v>
      </c>
      <c r="BA183" t="s">
        <v>74</v>
      </c>
      <c r="BB183">
        <v>0</v>
      </c>
      <c r="BD183">
        <v>0.23069000000000001</v>
      </c>
      <c r="BE183">
        <v>0</v>
      </c>
    </row>
    <row r="184" spans="1:58" ht="12.75">
      <c r="A184" s="2" t="str">
        <f>HYPERLINK("https://ibp.a2mac1.com/costing(costing:projects/details/8191/part/5381430)"," Lower")</f>
        <v xml:space="preserve"> Lower</v>
      </c>
      <c r="B184">
        <v>5381430</v>
      </c>
      <c r="C184">
        <v>5381325</v>
      </c>
      <c r="D184" t="s">
        <v>824</v>
      </c>
      <c r="E184">
        <v>0.74798176949999995</v>
      </c>
      <c r="F184">
        <v>0</v>
      </c>
      <c r="G184">
        <v>0</v>
      </c>
      <c r="H184">
        <v>0.0037942734372631579</v>
      </c>
      <c r="I184" t="s">
        <v>137</v>
      </c>
      <c r="J184">
        <v>0.026244974368421051</v>
      </c>
      <c r="K184">
        <v>0.77802101730568418</v>
      </c>
      <c r="L184">
        <v>0.03524321653334362</v>
      </c>
      <c r="M184">
        <v>0.21145929920006173</v>
      </c>
      <c r="N184">
        <v>0.98948031650574597</v>
      </c>
      <c r="O184" t="s">
        <v>90</v>
      </c>
      <c r="P184">
        <v>0</v>
      </c>
      <c r="Q184" t="s">
        <v>90</v>
      </c>
      <c r="R184">
        <v>0</v>
      </c>
      <c r="S184" t="s">
        <v>90</v>
      </c>
      <c r="T184">
        <v>0</v>
      </c>
      <c r="U184" t="s">
        <v>90</v>
      </c>
      <c r="V184">
        <v>0</v>
      </c>
      <c r="W184" t="s">
        <v>90</v>
      </c>
      <c r="X184">
        <v>0</v>
      </c>
      <c r="Y184">
        <v>0.98948031650574597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475</v>
      </c>
      <c r="AF184">
        <v>295</v>
      </c>
      <c r="AG184">
        <v>415</v>
      </c>
      <c r="AH184">
        <v>0</v>
      </c>
      <c r="AI184">
        <v>0.63900000000000001</v>
      </c>
      <c r="AK184" t="s">
        <v>825</v>
      </c>
      <c r="AM184">
        <v>200000</v>
      </c>
      <c r="AN184" t="s">
        <v>92</v>
      </c>
      <c r="AO184">
        <v>1</v>
      </c>
      <c r="AP184">
        <v>0</v>
      </c>
      <c r="AQ184">
        <v>16666.666666666668</v>
      </c>
      <c r="AR184" t="s">
        <v>826</v>
      </c>
      <c r="AS184" t="s">
        <v>78</v>
      </c>
      <c r="AX184" t="s">
        <v>79</v>
      </c>
      <c r="AY184" t="s">
        <v>137</v>
      </c>
      <c r="AZ184">
        <v>0</v>
      </c>
      <c r="BA184" t="s">
        <v>137</v>
      </c>
      <c r="BB184">
        <v>0</v>
      </c>
      <c r="BE184">
        <v>0</v>
      </c>
    </row>
    <row r="185" spans="1:58" ht="12.75">
      <c r="A185" s="2" t="str">
        <f>HYPERLINK("https://ibp.a2mac1.com/costing(costing:projects/details/8191/part/5381431)"," Left")</f>
        <v xml:space="preserve"> Left</v>
      </c>
      <c r="B185">
        <v>5381431</v>
      </c>
      <c r="C185">
        <v>5381325</v>
      </c>
      <c r="D185" t="s">
        <v>831</v>
      </c>
      <c r="E185">
        <v>0.84279636000000002</v>
      </c>
      <c r="F185">
        <v>0</v>
      </c>
      <c r="G185">
        <v>0</v>
      </c>
      <c r="H185">
        <v>0.0042752376757894733</v>
      </c>
      <c r="I185" t="s">
        <v>137</v>
      </c>
      <c r="J185">
        <v>0.029571802105263157</v>
      </c>
      <c r="K185">
        <v>0.87664339978105266</v>
      </c>
      <c r="L185">
        <v>0.03524321653334362</v>
      </c>
      <c r="M185">
        <v>0.21145929920006173</v>
      </c>
      <c r="N185">
        <v>1.0881026989811144</v>
      </c>
      <c r="O185" t="s">
        <v>90</v>
      </c>
      <c r="P185">
        <v>0</v>
      </c>
      <c r="Q185" t="s">
        <v>90</v>
      </c>
      <c r="R185">
        <v>0</v>
      </c>
      <c r="S185" t="s">
        <v>90</v>
      </c>
      <c r="T185">
        <v>0</v>
      </c>
      <c r="U185" t="s">
        <v>90</v>
      </c>
      <c r="V185">
        <v>0</v>
      </c>
      <c r="W185" t="s">
        <v>90</v>
      </c>
      <c r="X185">
        <v>0</v>
      </c>
      <c r="Y185">
        <v>1.0881026989811144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180</v>
      </c>
      <c r="AF185">
        <v>452</v>
      </c>
      <c r="AG185">
        <v>461</v>
      </c>
      <c r="AH185">
        <v>0</v>
      </c>
      <c r="AI185">
        <v>0.72</v>
      </c>
      <c r="AK185" t="s">
        <v>825</v>
      </c>
      <c r="AM185">
        <v>200000</v>
      </c>
      <c r="AN185" t="s">
        <v>92</v>
      </c>
      <c r="AO185">
        <v>1</v>
      </c>
      <c r="AP185">
        <v>0</v>
      </c>
      <c r="AQ185">
        <v>16666.666666666668</v>
      </c>
      <c r="AR185" t="s">
        <v>832</v>
      </c>
      <c r="AS185" t="s">
        <v>78</v>
      </c>
      <c r="AX185" t="s">
        <v>79</v>
      </c>
      <c r="AY185" t="s">
        <v>137</v>
      </c>
      <c r="AZ185">
        <v>0</v>
      </c>
      <c r="BA185" t="s">
        <v>137</v>
      </c>
      <c r="BB185">
        <v>0</v>
      </c>
      <c r="BE185">
        <v>0</v>
      </c>
    </row>
    <row r="186" spans="1:58" ht="12.75">
      <c r="A186" s="2" t="str">
        <f>HYPERLINK("https://ibp.a2mac1.com/costing(costing:projects/details/8191/part/5381432)"," Upper Left")</f>
        <v xml:space="preserve"> Upper Left</v>
      </c>
      <c r="B186">
        <v>5381432</v>
      </c>
      <c r="C186">
        <v>5381325</v>
      </c>
      <c r="D186" t="s">
        <v>833</v>
      </c>
      <c r="E186">
        <v>0.58</v>
      </c>
      <c r="F186">
        <v>0</v>
      </c>
      <c r="G186">
        <v>0</v>
      </c>
      <c r="H186">
        <v>0</v>
      </c>
      <c r="I186" t="s">
        <v>74</v>
      </c>
      <c r="J186">
        <v>0</v>
      </c>
      <c r="K186">
        <v>0.58</v>
      </c>
      <c r="L186">
        <v>0</v>
      </c>
      <c r="M186">
        <v>0</v>
      </c>
      <c r="N186">
        <v>0.58</v>
      </c>
      <c r="O186" t="s">
        <v>74</v>
      </c>
      <c r="P186">
        <v>0</v>
      </c>
      <c r="Q186" t="s">
        <v>74</v>
      </c>
      <c r="R186">
        <v>0</v>
      </c>
      <c r="S186" t="s">
        <v>74</v>
      </c>
      <c r="T186">
        <v>0</v>
      </c>
      <c r="U186" t="s">
        <v>74</v>
      </c>
      <c r="V186">
        <v>0</v>
      </c>
      <c r="W186" t="s">
        <v>74</v>
      </c>
      <c r="X186">
        <v>0</v>
      </c>
      <c r="Y186">
        <v>0.58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123</v>
      </c>
      <c r="AF186">
        <v>223</v>
      </c>
      <c r="AG186">
        <v>423</v>
      </c>
      <c r="AH186">
        <v>0</v>
      </c>
      <c r="AI186">
        <v>0.247</v>
      </c>
      <c r="AK186" t="s">
        <v>825</v>
      </c>
      <c r="AM186">
        <v>200000</v>
      </c>
      <c r="AN186" t="s">
        <v>92</v>
      </c>
      <c r="AO186">
        <v>1</v>
      </c>
      <c r="AP186">
        <v>0</v>
      </c>
      <c r="AQ186">
        <v>16666.666666666668</v>
      </c>
      <c r="AR186" t="s">
        <v>834</v>
      </c>
      <c r="AS186" t="s">
        <v>78</v>
      </c>
      <c r="AX186" t="s">
        <v>79</v>
      </c>
      <c r="AY186" t="s">
        <v>74</v>
      </c>
      <c r="AZ186">
        <v>0</v>
      </c>
      <c r="BA186" t="s">
        <v>74</v>
      </c>
      <c r="BB186">
        <v>0</v>
      </c>
      <c r="BD186">
        <v>0.58</v>
      </c>
      <c r="BE186">
        <v>0</v>
      </c>
    </row>
    <row r="187" spans="1:58" ht="12.75">
      <c r="A187" s="2" t="str">
        <f>HYPERLINK("https://ibp.a2mac1.com/costing(costing:projects/details/8191/part/5381433)"," Right")</f>
        <v xml:space="preserve"> Right</v>
      </c>
      <c r="B187">
        <v>5381433</v>
      </c>
      <c r="C187">
        <v>5381325</v>
      </c>
      <c r="D187" t="s">
        <v>839</v>
      </c>
      <c r="E187">
        <v>0.90717663749999999</v>
      </c>
      <c r="F187">
        <v>0</v>
      </c>
      <c r="G187">
        <v>0</v>
      </c>
      <c r="H187">
        <v>0.0046018183315789472</v>
      </c>
      <c r="I187" t="s">
        <v>137</v>
      </c>
      <c r="J187">
        <v>0.031830759210526319</v>
      </c>
      <c r="K187">
        <v>0.94360921504210526</v>
      </c>
      <c r="L187">
        <v>0.03524321653334362</v>
      </c>
      <c r="M187">
        <v>0.21145929920006173</v>
      </c>
      <c r="N187">
        <v>1.1550685142421671</v>
      </c>
      <c r="O187" t="s">
        <v>90</v>
      </c>
      <c r="P187">
        <v>0</v>
      </c>
      <c r="Q187" t="s">
        <v>90</v>
      </c>
      <c r="R187">
        <v>0</v>
      </c>
      <c r="S187" t="s">
        <v>90</v>
      </c>
      <c r="T187">
        <v>0</v>
      </c>
      <c r="U187" t="s">
        <v>90</v>
      </c>
      <c r="V187">
        <v>0</v>
      </c>
      <c r="W187" t="s">
        <v>90</v>
      </c>
      <c r="X187">
        <v>0</v>
      </c>
      <c r="Y187">
        <v>1.1550685142421671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240</v>
      </c>
      <c r="AF187">
        <v>465</v>
      </c>
      <c r="AG187">
        <v>482</v>
      </c>
      <c r="AH187">
        <v>0</v>
      </c>
      <c r="AI187">
        <v>0.775</v>
      </c>
      <c r="AK187" t="s">
        <v>825</v>
      </c>
      <c r="AM187">
        <v>200000</v>
      </c>
      <c r="AN187" t="s">
        <v>92</v>
      </c>
      <c r="AO187">
        <v>1</v>
      </c>
      <c r="AP187">
        <v>0</v>
      </c>
      <c r="AQ187">
        <v>16666.666666666668</v>
      </c>
      <c r="AR187" t="s">
        <v>840</v>
      </c>
      <c r="AS187" t="s">
        <v>78</v>
      </c>
      <c r="AX187" t="s">
        <v>79</v>
      </c>
      <c r="AY187" t="s">
        <v>137</v>
      </c>
      <c r="AZ187">
        <v>0</v>
      </c>
      <c r="BA187" t="s">
        <v>137</v>
      </c>
      <c r="BB187">
        <v>0</v>
      </c>
      <c r="BE187">
        <v>0</v>
      </c>
    </row>
    <row r="188" spans="1:58" ht="12.75">
      <c r="A188" s="2" t="str">
        <f>HYPERLINK("https://ibp.a2mac1.com/costing(costing:projects/details/8191/part/5381434)"," Upper right")</f>
        <v xml:space="preserve"> Upper right</v>
      </c>
      <c r="B188">
        <v>5381434</v>
      </c>
      <c r="C188">
        <v>5381325</v>
      </c>
      <c r="D188" t="s">
        <v>841</v>
      </c>
      <c r="E188">
        <v>0.72</v>
      </c>
      <c r="F188">
        <v>0</v>
      </c>
      <c r="G188">
        <v>0</v>
      </c>
      <c r="H188">
        <v>0</v>
      </c>
      <c r="I188" t="s">
        <v>74</v>
      </c>
      <c r="J188">
        <v>0</v>
      </c>
      <c r="K188">
        <v>0.72</v>
      </c>
      <c r="L188">
        <v>0</v>
      </c>
      <c r="M188">
        <v>0</v>
      </c>
      <c r="N188">
        <v>0.72</v>
      </c>
      <c r="O188" t="s">
        <v>74</v>
      </c>
      <c r="P188">
        <v>0</v>
      </c>
      <c r="Q188" t="s">
        <v>74</v>
      </c>
      <c r="R188">
        <v>0</v>
      </c>
      <c r="S188" t="s">
        <v>74</v>
      </c>
      <c r="T188">
        <v>0</v>
      </c>
      <c r="U188" t="s">
        <v>74</v>
      </c>
      <c r="V188">
        <v>0</v>
      </c>
      <c r="W188" t="s">
        <v>74</v>
      </c>
      <c r="X188">
        <v>0</v>
      </c>
      <c r="Y188">
        <v>0.72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200</v>
      </c>
      <c r="AF188">
        <v>210</v>
      </c>
      <c r="AG188">
        <v>395</v>
      </c>
      <c r="AH188">
        <v>0</v>
      </c>
      <c r="AI188">
        <v>0.313</v>
      </c>
      <c r="AK188" t="s">
        <v>825</v>
      </c>
      <c r="AM188">
        <v>200000</v>
      </c>
      <c r="AN188" t="s">
        <v>92</v>
      </c>
      <c r="AO188">
        <v>1</v>
      </c>
      <c r="AP188">
        <v>0</v>
      </c>
      <c r="AQ188">
        <v>16666.666666666668</v>
      </c>
      <c r="AR188" t="s">
        <v>842</v>
      </c>
      <c r="AS188" t="s">
        <v>78</v>
      </c>
      <c r="AX188" t="s">
        <v>79</v>
      </c>
      <c r="AY188" t="s">
        <v>74</v>
      </c>
      <c r="AZ188">
        <v>0</v>
      </c>
      <c r="BA188" t="s">
        <v>74</v>
      </c>
      <c r="BB188">
        <v>0</v>
      </c>
      <c r="BD188">
        <v>0.72</v>
      </c>
      <c r="BE188">
        <v>0</v>
      </c>
    </row>
    <row r="189" spans="1:58" ht="12.75">
      <c r="A189" s="2" t="str">
        <f>HYPERLINK("https://ibp.a2mac1.com/costing(costing:projects/details/8191/part/5381435)"," Central")</f>
        <v xml:space="preserve"> Central</v>
      </c>
      <c r="B189">
        <v>5381435</v>
      </c>
      <c r="C189">
        <v>5381325</v>
      </c>
      <c r="D189" t="s">
        <v>843</v>
      </c>
      <c r="E189">
        <v>0.98</v>
      </c>
      <c r="F189">
        <v>0</v>
      </c>
      <c r="G189">
        <v>0</v>
      </c>
      <c r="H189">
        <v>0</v>
      </c>
      <c r="I189" t="s">
        <v>74</v>
      </c>
      <c r="J189">
        <v>0</v>
      </c>
      <c r="K189">
        <v>0.98</v>
      </c>
      <c r="L189">
        <v>0</v>
      </c>
      <c r="M189">
        <v>0</v>
      </c>
      <c r="N189">
        <v>0.98</v>
      </c>
      <c r="O189" t="s">
        <v>74</v>
      </c>
      <c r="P189">
        <v>0</v>
      </c>
      <c r="Q189" t="s">
        <v>74</v>
      </c>
      <c r="R189">
        <v>0</v>
      </c>
      <c r="S189" t="s">
        <v>74</v>
      </c>
      <c r="T189">
        <v>0</v>
      </c>
      <c r="U189" t="s">
        <v>74</v>
      </c>
      <c r="V189">
        <v>0</v>
      </c>
      <c r="W189" t="s">
        <v>74</v>
      </c>
      <c r="X189">
        <v>0</v>
      </c>
      <c r="Y189">
        <v>0.98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350</v>
      </c>
      <c r="AF189">
        <v>445</v>
      </c>
      <c r="AG189">
        <v>220</v>
      </c>
      <c r="AH189">
        <v>0</v>
      </c>
      <c r="AI189">
        <v>0.40899999999999997</v>
      </c>
      <c r="AK189" t="s">
        <v>825</v>
      </c>
      <c r="AM189">
        <v>200000</v>
      </c>
      <c r="AN189" t="s">
        <v>92</v>
      </c>
      <c r="AO189">
        <v>1</v>
      </c>
      <c r="AP189">
        <v>0</v>
      </c>
      <c r="AQ189">
        <v>16666.666666666668</v>
      </c>
      <c r="AR189" t="s">
        <v>844</v>
      </c>
      <c r="AS189" t="s">
        <v>78</v>
      </c>
      <c r="AX189" t="s">
        <v>79</v>
      </c>
      <c r="AY189" t="s">
        <v>74</v>
      </c>
      <c r="AZ189">
        <v>0</v>
      </c>
      <c r="BA189" t="s">
        <v>74</v>
      </c>
      <c r="BB189">
        <v>0</v>
      </c>
      <c r="BD189">
        <v>0.98</v>
      </c>
      <c r="BE189">
        <v>0</v>
      </c>
    </row>
    <row r="190" spans="1:58" ht="12.75">
      <c r="A190" s="2" t="str">
        <f>HYPERLINK("https://ibp.a2mac1.com/costing(costing:projects/details/8191/part/5381436)"," 2nd Central")</f>
        <v xml:space="preserve"> 2nd Central</v>
      </c>
      <c r="B190">
        <v>5381436</v>
      </c>
      <c r="C190">
        <v>5381325</v>
      </c>
      <c r="D190" t="s">
        <v>845</v>
      </c>
      <c r="E190">
        <v>0.38</v>
      </c>
      <c r="F190">
        <v>0</v>
      </c>
      <c r="G190">
        <v>0</v>
      </c>
      <c r="H190">
        <v>0</v>
      </c>
      <c r="I190" t="s">
        <v>74</v>
      </c>
      <c r="J190">
        <v>0</v>
      </c>
      <c r="K190">
        <v>0.38</v>
      </c>
      <c r="L190">
        <v>0</v>
      </c>
      <c r="M190">
        <v>0</v>
      </c>
      <c r="N190">
        <v>0.38</v>
      </c>
      <c r="O190" t="s">
        <v>74</v>
      </c>
      <c r="P190">
        <v>0</v>
      </c>
      <c r="Q190" t="s">
        <v>74</v>
      </c>
      <c r="R190">
        <v>0</v>
      </c>
      <c r="S190" t="s">
        <v>74</v>
      </c>
      <c r="T190">
        <v>0</v>
      </c>
      <c r="U190" t="s">
        <v>74</v>
      </c>
      <c r="V190">
        <v>0</v>
      </c>
      <c r="W190" t="s">
        <v>74</v>
      </c>
      <c r="X190">
        <v>0</v>
      </c>
      <c r="Y190">
        <v>0.38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74</v>
      </c>
      <c r="AF190">
        <v>338</v>
      </c>
      <c r="AG190">
        <v>130</v>
      </c>
      <c r="AH190">
        <v>0</v>
      </c>
      <c r="AI190">
        <v>0.152</v>
      </c>
      <c r="AK190" t="s">
        <v>825</v>
      </c>
      <c r="AM190">
        <v>200000</v>
      </c>
      <c r="AN190" t="s">
        <v>92</v>
      </c>
      <c r="AO190">
        <v>1</v>
      </c>
      <c r="AP190">
        <v>0</v>
      </c>
      <c r="AQ190">
        <v>16666.666666666668</v>
      </c>
      <c r="AR190" t="s">
        <v>846</v>
      </c>
      <c r="AS190" t="s">
        <v>78</v>
      </c>
      <c r="AX190" t="s">
        <v>79</v>
      </c>
      <c r="AY190" t="s">
        <v>74</v>
      </c>
      <c r="AZ190">
        <v>0</v>
      </c>
      <c r="BA190" t="s">
        <v>74</v>
      </c>
      <c r="BB190">
        <v>0</v>
      </c>
      <c r="BD190">
        <v>0.38</v>
      </c>
      <c r="BE190">
        <v>0</v>
      </c>
    </row>
    <row r="191" spans="1:58" ht="12.75">
      <c r="A191" s="2" t="str">
        <f>HYPERLINK("https://ibp.a2mac1.com/costing(costing:projects/details/8191/part/5381437)"," Inner Air Guide")</f>
        <v xml:space="preserve"> Inner Air Guide</v>
      </c>
      <c r="B191">
        <v>5381437</v>
      </c>
      <c r="C191">
        <v>5381325</v>
      </c>
      <c r="D191" t="s">
        <v>847</v>
      </c>
      <c r="E191">
        <v>0.29</v>
      </c>
      <c r="F191">
        <v>0</v>
      </c>
      <c r="G191">
        <v>0</v>
      </c>
      <c r="H191">
        <v>0</v>
      </c>
      <c r="I191" t="s">
        <v>74</v>
      </c>
      <c r="J191">
        <v>0</v>
      </c>
      <c r="K191">
        <v>0.29</v>
      </c>
      <c r="L191">
        <v>0</v>
      </c>
      <c r="M191">
        <v>0</v>
      </c>
      <c r="N191">
        <v>0.29</v>
      </c>
      <c r="O191" t="s">
        <v>74</v>
      </c>
      <c r="P191">
        <v>0</v>
      </c>
      <c r="Q191" t="s">
        <v>74</v>
      </c>
      <c r="R191">
        <v>0</v>
      </c>
      <c r="S191" t="s">
        <v>74</v>
      </c>
      <c r="T191">
        <v>0</v>
      </c>
      <c r="U191" t="s">
        <v>74</v>
      </c>
      <c r="V191">
        <v>0</v>
      </c>
      <c r="W191" t="s">
        <v>74</v>
      </c>
      <c r="X191">
        <v>0</v>
      </c>
      <c r="Y191">
        <v>0.29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127</v>
      </c>
      <c r="AF191">
        <v>147</v>
      </c>
      <c r="AG191">
        <v>168</v>
      </c>
      <c r="AH191">
        <v>0</v>
      </c>
      <c r="AI191">
        <v>0.109</v>
      </c>
      <c r="AK191" t="s">
        <v>825</v>
      </c>
      <c r="AM191">
        <v>200000</v>
      </c>
      <c r="AN191" t="s">
        <v>92</v>
      </c>
      <c r="AO191">
        <v>1</v>
      </c>
      <c r="AP191">
        <v>0</v>
      </c>
      <c r="AQ191">
        <v>16666.666666666668</v>
      </c>
      <c r="AR191" t="s">
        <v>848</v>
      </c>
      <c r="AS191" t="s">
        <v>78</v>
      </c>
      <c r="AX191" t="s">
        <v>79</v>
      </c>
      <c r="AY191" t="s">
        <v>74</v>
      </c>
      <c r="AZ191">
        <v>0</v>
      </c>
      <c r="BA191" t="s">
        <v>74</v>
      </c>
      <c r="BB191">
        <v>0</v>
      </c>
      <c r="BD191">
        <v>0.29</v>
      </c>
      <c r="BE191">
        <v>0</v>
      </c>
    </row>
    <row r="192" spans="1:58" ht="12.75">
      <c r="A192" s="2" t="str">
        <f>HYPERLINK("https://ibp.a2mac1.com/costing(costing:projects/details/8191/part/5381438)"," Second inner air guide")</f>
        <v xml:space="preserve"> Second inner air guide</v>
      </c>
      <c r="B192">
        <v>5381438</v>
      </c>
      <c r="C192">
        <v>5381325</v>
      </c>
      <c r="D192" t="s">
        <v>849</v>
      </c>
      <c r="E192">
        <v>0.29</v>
      </c>
      <c r="F192">
        <v>0</v>
      </c>
      <c r="G192">
        <v>0</v>
      </c>
      <c r="H192">
        <v>0</v>
      </c>
      <c r="I192" t="s">
        <v>74</v>
      </c>
      <c r="J192">
        <v>0</v>
      </c>
      <c r="K192">
        <v>0.29</v>
      </c>
      <c r="L192">
        <v>0</v>
      </c>
      <c r="M192">
        <v>0</v>
      </c>
      <c r="N192">
        <v>0.29</v>
      </c>
      <c r="O192" t="s">
        <v>74</v>
      </c>
      <c r="P192">
        <v>0</v>
      </c>
      <c r="Q192" t="s">
        <v>74</v>
      </c>
      <c r="R192">
        <v>0</v>
      </c>
      <c r="S192" t="s">
        <v>74</v>
      </c>
      <c r="T192">
        <v>0</v>
      </c>
      <c r="U192" t="s">
        <v>74</v>
      </c>
      <c r="V192">
        <v>0</v>
      </c>
      <c r="W192" t="s">
        <v>74</v>
      </c>
      <c r="X192">
        <v>0</v>
      </c>
      <c r="Y192">
        <v>0.29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133</v>
      </c>
      <c r="AF192">
        <v>152</v>
      </c>
      <c r="AG192">
        <v>161</v>
      </c>
      <c r="AH192">
        <v>0</v>
      </c>
      <c r="AI192">
        <v>0.111</v>
      </c>
      <c r="AK192" t="s">
        <v>825</v>
      </c>
      <c r="AM192">
        <v>200000</v>
      </c>
      <c r="AN192" t="s">
        <v>92</v>
      </c>
      <c r="AO192">
        <v>1</v>
      </c>
      <c r="AP192">
        <v>0</v>
      </c>
      <c r="AQ192">
        <v>16666.666666666668</v>
      </c>
      <c r="AR192" t="s">
        <v>850</v>
      </c>
      <c r="AS192" t="s">
        <v>78</v>
      </c>
      <c r="AX192" t="s">
        <v>79</v>
      </c>
      <c r="AY192" t="s">
        <v>74</v>
      </c>
      <c r="AZ192">
        <v>0</v>
      </c>
      <c r="BA192" t="s">
        <v>74</v>
      </c>
      <c r="BB192">
        <v>0</v>
      </c>
      <c r="BD192">
        <v>0.29</v>
      </c>
      <c r="BE192">
        <v>0</v>
      </c>
    </row>
    <row r="193" spans="1:58" ht="12.75">
      <c r="A193" s="2" t="str">
        <f>HYPERLINK("https://ibp.a2mac1.com/costing(costing:projects/details/8191/part/5381545)"," Intake Air Vent Motor")</f>
        <v xml:space="preserve"> Intake Air Vent Motor</v>
      </c>
      <c r="B193">
        <v>5381545</v>
      </c>
      <c r="C193">
        <v>5381440</v>
      </c>
      <c r="D193" t="s">
        <v>855</v>
      </c>
      <c r="E193">
        <v>4.90</v>
      </c>
      <c r="F193">
        <v>0</v>
      </c>
      <c r="G193">
        <v>0</v>
      </c>
      <c r="H193">
        <v>0</v>
      </c>
      <c r="I193" t="s">
        <v>74</v>
      </c>
      <c r="J193">
        <v>0</v>
      </c>
      <c r="K193">
        <v>4.90</v>
      </c>
      <c r="L193">
        <v>0</v>
      </c>
      <c r="M193">
        <v>0</v>
      </c>
      <c r="N193">
        <v>4.90</v>
      </c>
      <c r="O193" t="s">
        <v>74</v>
      </c>
      <c r="P193">
        <v>0</v>
      </c>
      <c r="Q193" t="s">
        <v>74</v>
      </c>
      <c r="R193">
        <v>0</v>
      </c>
      <c r="S193" t="s">
        <v>74</v>
      </c>
      <c r="T193">
        <v>0</v>
      </c>
      <c r="U193" t="s">
        <v>74</v>
      </c>
      <c r="V193">
        <v>0</v>
      </c>
      <c r="W193" t="s">
        <v>74</v>
      </c>
      <c r="X193">
        <v>0</v>
      </c>
      <c r="Y193">
        <v>4.90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61</v>
      </c>
      <c r="AF193">
        <v>85</v>
      </c>
      <c r="AG193">
        <v>29</v>
      </c>
      <c r="AH193">
        <v>0</v>
      </c>
      <c r="AI193">
        <v>0.090999999999999998</v>
      </c>
      <c r="AK193" t="s">
        <v>213</v>
      </c>
      <c r="AM193">
        <v>200000</v>
      </c>
      <c r="AN193" t="s">
        <v>76</v>
      </c>
      <c r="AO193">
        <v>1</v>
      </c>
      <c r="AP193">
        <v>0</v>
      </c>
      <c r="AQ193">
        <v>16666.666666666668</v>
      </c>
      <c r="AR193" t="s">
        <v>856</v>
      </c>
      <c r="AS193" t="s">
        <v>78</v>
      </c>
      <c r="AX193" t="s">
        <v>79</v>
      </c>
      <c r="AY193" t="s">
        <v>74</v>
      </c>
      <c r="AZ193">
        <v>0</v>
      </c>
      <c r="BA193" t="s">
        <v>74</v>
      </c>
      <c r="BB193">
        <v>0</v>
      </c>
      <c r="BD193">
        <v>4.90</v>
      </c>
      <c r="BE193">
        <v>0</v>
      </c>
    </row>
    <row r="194" spans="1:58" ht="12.75">
      <c r="A194" s="2" t="str">
        <f>HYPERLINK("https://ibp.a2mac1.com/costing(costing:projects/details/8191/part/5381546)"," Intake Air Vent Motor Support")</f>
        <v xml:space="preserve"> Intake Air Vent Motor Support</v>
      </c>
      <c r="B194">
        <v>5381546</v>
      </c>
      <c r="C194">
        <v>5381440</v>
      </c>
      <c r="D194" t="s">
        <v>857</v>
      </c>
      <c r="E194">
        <v>0.12</v>
      </c>
      <c r="F194">
        <v>0</v>
      </c>
      <c r="G194">
        <v>0</v>
      </c>
      <c r="H194">
        <v>0</v>
      </c>
      <c r="I194" t="s">
        <v>74</v>
      </c>
      <c r="J194">
        <v>0</v>
      </c>
      <c r="K194">
        <v>0.12</v>
      </c>
      <c r="L194">
        <v>0</v>
      </c>
      <c r="M194">
        <v>0</v>
      </c>
      <c r="N194">
        <v>0.12</v>
      </c>
      <c r="O194" t="s">
        <v>74</v>
      </c>
      <c r="P194">
        <v>0</v>
      </c>
      <c r="Q194" t="s">
        <v>74</v>
      </c>
      <c r="R194">
        <v>0</v>
      </c>
      <c r="S194" t="s">
        <v>74</v>
      </c>
      <c r="T194">
        <v>0</v>
      </c>
      <c r="U194" t="s">
        <v>74</v>
      </c>
      <c r="V194">
        <v>0</v>
      </c>
      <c r="W194" t="s">
        <v>74</v>
      </c>
      <c r="X194">
        <v>0</v>
      </c>
      <c r="Y194">
        <v>0.12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110</v>
      </c>
      <c r="AF194">
        <v>115</v>
      </c>
      <c r="AG194">
        <v>41</v>
      </c>
      <c r="AH194">
        <v>0</v>
      </c>
      <c r="AI194">
        <v>0.031</v>
      </c>
      <c r="AK194" t="s">
        <v>75</v>
      </c>
      <c r="AM194">
        <v>200000</v>
      </c>
      <c r="AN194" t="s">
        <v>76</v>
      </c>
      <c r="AO194">
        <v>1</v>
      </c>
      <c r="AP194">
        <v>0</v>
      </c>
      <c r="AQ194">
        <v>16666.666666666668</v>
      </c>
      <c r="AR194" t="s">
        <v>858</v>
      </c>
      <c r="AS194" t="s">
        <v>78</v>
      </c>
      <c r="AX194" t="s">
        <v>79</v>
      </c>
      <c r="AY194" t="s">
        <v>74</v>
      </c>
      <c r="AZ194">
        <v>0</v>
      </c>
      <c r="BA194" t="s">
        <v>74</v>
      </c>
      <c r="BB194">
        <v>0</v>
      </c>
      <c r="BD194">
        <v>0.12</v>
      </c>
      <c r="BE194">
        <v>0</v>
      </c>
    </row>
    <row r="195" spans="1:58" ht="12.75">
      <c r="A195" s="2" t="str">
        <f>HYPERLINK("https://ibp.a2mac1.com/costing(costing:projects/details/8191/part/5381547)"," Heater Core Motor Left/Single and Right if Identical")</f>
        <v xml:space="preserve"> Heater Core Motor Left/Single and Right if Identical</v>
      </c>
      <c r="B195">
        <v>5381547</v>
      </c>
      <c r="C195">
        <v>5381441</v>
      </c>
      <c r="D195" t="s">
        <v>862</v>
      </c>
      <c r="E195">
        <v>4.90</v>
      </c>
      <c r="F195">
        <v>0</v>
      </c>
      <c r="G195">
        <v>0</v>
      </c>
      <c r="H195">
        <v>0</v>
      </c>
      <c r="I195" t="s">
        <v>74</v>
      </c>
      <c r="J195">
        <v>0</v>
      </c>
      <c r="K195">
        <v>4.90</v>
      </c>
      <c r="L195">
        <v>0</v>
      </c>
      <c r="M195">
        <v>0</v>
      </c>
      <c r="N195">
        <v>4.90</v>
      </c>
      <c r="O195" t="s">
        <v>74</v>
      </c>
      <c r="P195">
        <v>0</v>
      </c>
      <c r="Q195" t="s">
        <v>74</v>
      </c>
      <c r="R195">
        <v>0</v>
      </c>
      <c r="S195" t="s">
        <v>74</v>
      </c>
      <c r="T195">
        <v>0</v>
      </c>
      <c r="U195" t="s">
        <v>74</v>
      </c>
      <c r="V195">
        <v>0</v>
      </c>
      <c r="W195" t="s">
        <v>74</v>
      </c>
      <c r="X195">
        <v>0</v>
      </c>
      <c r="Y195">
        <v>4.90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60</v>
      </c>
      <c r="AF195">
        <v>84</v>
      </c>
      <c r="AG195">
        <v>29</v>
      </c>
      <c r="AH195">
        <v>0</v>
      </c>
      <c r="AI195">
        <v>0.090999999999999998</v>
      </c>
      <c r="AK195" t="s">
        <v>213</v>
      </c>
      <c r="AM195">
        <v>200000</v>
      </c>
      <c r="AN195" t="s">
        <v>76</v>
      </c>
      <c r="AO195">
        <v>1</v>
      </c>
      <c r="AP195">
        <v>0</v>
      </c>
      <c r="AQ195">
        <v>16666.666666666668</v>
      </c>
      <c r="AR195" t="s">
        <v>863</v>
      </c>
      <c r="AS195" t="s">
        <v>78</v>
      </c>
      <c r="AX195" t="s">
        <v>79</v>
      </c>
      <c r="AY195" t="s">
        <v>74</v>
      </c>
      <c r="AZ195">
        <v>0</v>
      </c>
      <c r="BA195" t="s">
        <v>74</v>
      </c>
      <c r="BB195">
        <v>0</v>
      </c>
      <c r="BD195">
        <v>4.90</v>
      </c>
      <c r="BE195">
        <v>0</v>
      </c>
    </row>
    <row r="196" spans="1:58" ht="12.75">
      <c r="A196" s="2" t="str">
        <f>HYPERLINK("https://ibp.a2mac1.com/costing(costing:projects/details/8191/part/5381548)"," Right")</f>
        <v xml:space="preserve"> Right</v>
      </c>
      <c r="B196">
        <v>5381548</v>
      </c>
      <c r="C196">
        <v>5381441</v>
      </c>
      <c r="D196" t="s">
        <v>864</v>
      </c>
      <c r="E196">
        <v>4.90</v>
      </c>
      <c r="F196">
        <v>0</v>
      </c>
      <c r="G196">
        <v>0</v>
      </c>
      <c r="H196">
        <v>0</v>
      </c>
      <c r="I196" t="s">
        <v>74</v>
      </c>
      <c r="J196">
        <v>0</v>
      </c>
      <c r="K196">
        <v>4.90</v>
      </c>
      <c r="L196">
        <v>0</v>
      </c>
      <c r="M196">
        <v>0</v>
      </c>
      <c r="N196">
        <v>4.90</v>
      </c>
      <c r="O196" t="s">
        <v>74</v>
      </c>
      <c r="P196">
        <v>0</v>
      </c>
      <c r="Q196" t="s">
        <v>74</v>
      </c>
      <c r="R196">
        <v>0</v>
      </c>
      <c r="S196" t="s">
        <v>74</v>
      </c>
      <c r="T196">
        <v>0</v>
      </c>
      <c r="U196" t="s">
        <v>74</v>
      </c>
      <c r="V196">
        <v>0</v>
      </c>
      <c r="W196" t="s">
        <v>74</v>
      </c>
      <c r="X196">
        <v>0</v>
      </c>
      <c r="Y196">
        <v>4.90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60</v>
      </c>
      <c r="AF196">
        <v>84</v>
      </c>
      <c r="AG196">
        <v>28</v>
      </c>
      <c r="AH196">
        <v>0</v>
      </c>
      <c r="AI196">
        <v>0.090999999999999998</v>
      </c>
      <c r="AK196" t="s">
        <v>213</v>
      </c>
      <c r="AM196">
        <v>200000</v>
      </c>
      <c r="AN196" t="s">
        <v>76</v>
      </c>
      <c r="AO196">
        <v>1</v>
      </c>
      <c r="AP196">
        <v>0</v>
      </c>
      <c r="AQ196">
        <v>16666.666666666668</v>
      </c>
      <c r="AR196" t="s">
        <v>865</v>
      </c>
      <c r="AS196" t="s">
        <v>78</v>
      </c>
      <c r="AX196" t="s">
        <v>79</v>
      </c>
      <c r="AY196" t="s">
        <v>74</v>
      </c>
      <c r="AZ196">
        <v>0</v>
      </c>
      <c r="BA196" t="s">
        <v>74</v>
      </c>
      <c r="BB196">
        <v>0</v>
      </c>
      <c r="BD196">
        <v>4.90</v>
      </c>
      <c r="BE196">
        <v>0</v>
      </c>
    </row>
    <row r="197" spans="1:58" ht="12.75">
      <c r="A197" s="2" t="str">
        <f>HYPERLINK("https://ibp.a2mac1.com/costing(costing:projects/details/8191/part/5381549)"," Left/Single")</f>
        <v xml:space="preserve"> Left/Single</v>
      </c>
      <c r="B197">
        <v>5381549</v>
      </c>
      <c r="C197">
        <v>5381442</v>
      </c>
      <c r="D197" t="s">
        <v>869</v>
      </c>
      <c r="E197">
        <v>4.90</v>
      </c>
      <c r="F197">
        <v>0</v>
      </c>
      <c r="G197">
        <v>0</v>
      </c>
      <c r="H197">
        <v>0</v>
      </c>
      <c r="I197" t="s">
        <v>74</v>
      </c>
      <c r="J197">
        <v>0</v>
      </c>
      <c r="K197">
        <v>4.90</v>
      </c>
      <c r="L197">
        <v>0</v>
      </c>
      <c r="M197">
        <v>0</v>
      </c>
      <c r="N197">
        <v>4.90</v>
      </c>
      <c r="O197" t="s">
        <v>74</v>
      </c>
      <c r="P197">
        <v>0</v>
      </c>
      <c r="Q197" t="s">
        <v>74</v>
      </c>
      <c r="R197">
        <v>0</v>
      </c>
      <c r="S197" t="s">
        <v>74</v>
      </c>
      <c r="T197">
        <v>0</v>
      </c>
      <c r="U197" t="s">
        <v>74</v>
      </c>
      <c r="V197">
        <v>0</v>
      </c>
      <c r="W197" t="s">
        <v>74</v>
      </c>
      <c r="X197">
        <v>0</v>
      </c>
      <c r="Y197">
        <v>4.90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57</v>
      </c>
      <c r="AF197">
        <v>84</v>
      </c>
      <c r="AG197">
        <v>28</v>
      </c>
      <c r="AH197">
        <v>0</v>
      </c>
      <c r="AI197">
        <v>0.090999999999999998</v>
      </c>
      <c r="AK197" t="s">
        <v>213</v>
      </c>
      <c r="AM197">
        <v>200000</v>
      </c>
      <c r="AN197" t="s">
        <v>76</v>
      </c>
      <c r="AO197">
        <v>1</v>
      </c>
      <c r="AP197">
        <v>0</v>
      </c>
      <c r="AQ197">
        <v>16666.666666666668</v>
      </c>
      <c r="AR197" t="s">
        <v>870</v>
      </c>
      <c r="AS197" t="s">
        <v>78</v>
      </c>
      <c r="AX197" t="s">
        <v>79</v>
      </c>
      <c r="AY197" t="s">
        <v>74</v>
      </c>
      <c r="AZ197">
        <v>0</v>
      </c>
      <c r="BA197" t="s">
        <v>74</v>
      </c>
      <c r="BB197">
        <v>0</v>
      </c>
      <c r="BD197">
        <v>4.90</v>
      </c>
      <c r="BE197">
        <v>0</v>
      </c>
    </row>
    <row r="198" spans="1:58" ht="12.75">
      <c r="A198" s="2" t="str">
        <f>HYPERLINK("https://ibp.a2mac1.com/costing(costing:projects/details/8191/part/5381550)"," Right")</f>
        <v xml:space="preserve"> Right</v>
      </c>
      <c r="B198">
        <v>5381550</v>
      </c>
      <c r="C198">
        <v>5381442</v>
      </c>
      <c r="D198" t="s">
        <v>871</v>
      </c>
      <c r="E198">
        <v>4.90</v>
      </c>
      <c r="F198">
        <v>0</v>
      </c>
      <c r="G198">
        <v>0</v>
      </c>
      <c r="H198">
        <v>0</v>
      </c>
      <c r="I198" t="s">
        <v>74</v>
      </c>
      <c r="J198">
        <v>0</v>
      </c>
      <c r="K198">
        <v>4.90</v>
      </c>
      <c r="L198">
        <v>0</v>
      </c>
      <c r="M198">
        <v>0</v>
      </c>
      <c r="N198">
        <v>4.90</v>
      </c>
      <c r="O198" t="s">
        <v>74</v>
      </c>
      <c r="P198">
        <v>0</v>
      </c>
      <c r="Q198" t="s">
        <v>74</v>
      </c>
      <c r="R198">
        <v>0</v>
      </c>
      <c r="S198" t="s">
        <v>74</v>
      </c>
      <c r="T198">
        <v>0</v>
      </c>
      <c r="U198" t="s">
        <v>74</v>
      </c>
      <c r="V198">
        <v>0</v>
      </c>
      <c r="W198" t="s">
        <v>74</v>
      </c>
      <c r="X198">
        <v>0</v>
      </c>
      <c r="Y198">
        <v>4.90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60</v>
      </c>
      <c r="AF198">
        <v>84</v>
      </c>
      <c r="AG198">
        <v>27</v>
      </c>
      <c r="AH198">
        <v>0</v>
      </c>
      <c r="AI198">
        <v>0.090999999999999998</v>
      </c>
      <c r="AK198" t="s">
        <v>213</v>
      </c>
      <c r="AM198">
        <v>200000</v>
      </c>
      <c r="AN198" t="s">
        <v>76</v>
      </c>
      <c r="AO198">
        <v>1</v>
      </c>
      <c r="AP198">
        <v>0</v>
      </c>
      <c r="AQ198">
        <v>16666.666666666668</v>
      </c>
      <c r="AR198" t="s">
        <v>872</v>
      </c>
      <c r="AS198" t="s">
        <v>78</v>
      </c>
      <c r="AX198" t="s">
        <v>79</v>
      </c>
      <c r="AY198" t="s">
        <v>74</v>
      </c>
      <c r="AZ198">
        <v>0</v>
      </c>
      <c r="BA198" t="s">
        <v>74</v>
      </c>
      <c r="BB198">
        <v>0</v>
      </c>
      <c r="BD198">
        <v>4.90</v>
      </c>
      <c r="BE198">
        <v>0</v>
      </c>
    </row>
    <row r="199" spans="1:58" ht="12.75">
      <c r="A199" s="2" t="str">
        <f>HYPERLINK("https://ibp.a2mac1.com/costing(costing:projects/details/8191/part/5381439)"," Defroster Air Side Motors")</f>
        <v xml:space="preserve"> Defroster Air Side Motors</v>
      </c>
      <c r="B199">
        <v>5381439</v>
      </c>
      <c r="C199">
        <v>5381326</v>
      </c>
      <c r="D199" t="s">
        <v>875</v>
      </c>
      <c r="E199">
        <v>4.90</v>
      </c>
      <c r="F199">
        <v>0</v>
      </c>
      <c r="G199">
        <v>0</v>
      </c>
      <c r="H199">
        <v>0</v>
      </c>
      <c r="I199" t="s">
        <v>74</v>
      </c>
      <c r="J199">
        <v>0</v>
      </c>
      <c r="K199">
        <v>4.90</v>
      </c>
      <c r="L199">
        <v>0</v>
      </c>
      <c r="M199">
        <v>0</v>
      </c>
      <c r="N199">
        <v>4.90</v>
      </c>
      <c r="O199" t="s">
        <v>74</v>
      </c>
      <c r="P199">
        <v>0</v>
      </c>
      <c r="Q199" t="s">
        <v>74</v>
      </c>
      <c r="R199">
        <v>0</v>
      </c>
      <c r="S199" t="s">
        <v>74</v>
      </c>
      <c r="T199">
        <v>0</v>
      </c>
      <c r="U199" t="s">
        <v>74</v>
      </c>
      <c r="V199">
        <v>0</v>
      </c>
      <c r="W199" t="s">
        <v>74</v>
      </c>
      <c r="X199">
        <v>0</v>
      </c>
      <c r="Y199">
        <v>4.90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60</v>
      </c>
      <c r="AF199">
        <v>84</v>
      </c>
      <c r="AG199">
        <v>34</v>
      </c>
      <c r="AH199">
        <v>0</v>
      </c>
      <c r="AI199">
        <v>0.090999999999999998</v>
      </c>
      <c r="AK199" t="s">
        <v>213</v>
      </c>
      <c r="AM199">
        <v>200000</v>
      </c>
      <c r="AN199" t="s">
        <v>76</v>
      </c>
      <c r="AO199">
        <v>1</v>
      </c>
      <c r="AP199">
        <v>0</v>
      </c>
      <c r="AQ199">
        <v>16666.666666666668</v>
      </c>
      <c r="AR199" t="s">
        <v>876</v>
      </c>
      <c r="AS199" t="s">
        <v>78</v>
      </c>
      <c r="AX199" t="s">
        <v>79</v>
      </c>
      <c r="AY199" t="s">
        <v>74</v>
      </c>
      <c r="AZ199">
        <v>0</v>
      </c>
      <c r="BA199" t="s">
        <v>74</v>
      </c>
      <c r="BB199">
        <v>0</v>
      </c>
      <c r="BD199">
        <v>4.90</v>
      </c>
      <c r="BE199">
        <v>0</v>
      </c>
    </row>
    <row r="200" spans="1:58" ht="12.75">
      <c r="A200" s="2" t="str">
        <f>HYPERLINK("https://ibp.a2mac1.com/costing(costing:projects/details/8191/part/5381551)"," Left and Right if the Same")</f>
        <v xml:space="preserve"> Left and Right if the Same</v>
      </c>
      <c r="B200">
        <v>5381551</v>
      </c>
      <c r="C200">
        <v>5381447</v>
      </c>
      <c r="D200" t="s">
        <v>881</v>
      </c>
      <c r="E200">
        <v>0.08</v>
      </c>
      <c r="F200">
        <v>0</v>
      </c>
      <c r="G200">
        <v>0</v>
      </c>
      <c r="H200">
        <v>0</v>
      </c>
      <c r="I200" t="s">
        <v>74</v>
      </c>
      <c r="J200">
        <v>0</v>
      </c>
      <c r="K200">
        <v>0.08</v>
      </c>
      <c r="L200">
        <v>0</v>
      </c>
      <c r="M200">
        <v>0</v>
      </c>
      <c r="N200">
        <v>0.08</v>
      </c>
      <c r="O200" t="s">
        <v>74</v>
      </c>
      <c r="P200">
        <v>0</v>
      </c>
      <c r="Q200" t="s">
        <v>74</v>
      </c>
      <c r="R200">
        <v>0</v>
      </c>
      <c r="S200" t="s">
        <v>74</v>
      </c>
      <c r="T200">
        <v>0</v>
      </c>
      <c r="U200" t="s">
        <v>74</v>
      </c>
      <c r="V200">
        <v>0</v>
      </c>
      <c r="W200" t="s">
        <v>74</v>
      </c>
      <c r="X200">
        <v>0</v>
      </c>
      <c r="Y200">
        <v>0.08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85</v>
      </c>
      <c r="AF200">
        <v>81</v>
      </c>
      <c r="AG200">
        <v>20</v>
      </c>
      <c r="AH200">
        <v>0</v>
      </c>
      <c r="AI200">
        <v>0.017000000000000001</v>
      </c>
      <c r="AK200" t="s">
        <v>825</v>
      </c>
      <c r="AM200">
        <v>200000</v>
      </c>
      <c r="AN200" t="s">
        <v>92</v>
      </c>
      <c r="AO200">
        <v>1</v>
      </c>
      <c r="AP200">
        <v>0</v>
      </c>
      <c r="AQ200">
        <v>16666.666666666668</v>
      </c>
      <c r="AR200" t="s">
        <v>882</v>
      </c>
      <c r="AS200" t="s">
        <v>78</v>
      </c>
      <c r="AX200" t="s">
        <v>79</v>
      </c>
      <c r="AY200" t="s">
        <v>74</v>
      </c>
      <c r="AZ200">
        <v>0</v>
      </c>
      <c r="BA200" t="s">
        <v>74</v>
      </c>
      <c r="BB200">
        <v>0</v>
      </c>
      <c r="BD200">
        <v>0.08</v>
      </c>
      <c r="BE200">
        <v>0</v>
      </c>
    </row>
    <row r="201" spans="1:58" ht="12.75">
      <c r="A201" s="2" t="str">
        <f>HYPERLINK("https://ibp.a2mac1.com/costing(costing:projects/details/8191/part/5381552)"," Right if Different")</f>
        <v xml:space="preserve"> Right if Different</v>
      </c>
      <c r="B201">
        <v>5381552</v>
      </c>
      <c r="C201">
        <v>5381447</v>
      </c>
      <c r="D201" t="s">
        <v>883</v>
      </c>
      <c r="E201">
        <v>0.09</v>
      </c>
      <c r="F201">
        <v>0</v>
      </c>
      <c r="G201">
        <v>0</v>
      </c>
      <c r="H201">
        <v>0</v>
      </c>
      <c r="I201" t="s">
        <v>74</v>
      </c>
      <c r="J201">
        <v>0</v>
      </c>
      <c r="K201">
        <v>0.09</v>
      </c>
      <c r="L201">
        <v>0</v>
      </c>
      <c r="M201">
        <v>0</v>
      </c>
      <c r="N201">
        <v>0.09</v>
      </c>
      <c r="O201" t="s">
        <v>74</v>
      </c>
      <c r="P201">
        <v>0</v>
      </c>
      <c r="Q201" t="s">
        <v>74</v>
      </c>
      <c r="R201">
        <v>0</v>
      </c>
      <c r="S201" t="s">
        <v>74</v>
      </c>
      <c r="T201">
        <v>0</v>
      </c>
      <c r="U201" t="s">
        <v>74</v>
      </c>
      <c r="V201">
        <v>0</v>
      </c>
      <c r="W201" t="s">
        <v>74</v>
      </c>
      <c r="X201">
        <v>0</v>
      </c>
      <c r="Y201">
        <v>0.09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108</v>
      </c>
      <c r="AF201">
        <v>81</v>
      </c>
      <c r="AG201">
        <v>20</v>
      </c>
      <c r="AH201">
        <v>0</v>
      </c>
      <c r="AI201">
        <v>0.019</v>
      </c>
      <c r="AK201" t="s">
        <v>825</v>
      </c>
      <c r="AM201">
        <v>200000</v>
      </c>
      <c r="AN201" t="s">
        <v>92</v>
      </c>
      <c r="AO201">
        <v>1</v>
      </c>
      <c r="AP201">
        <v>0</v>
      </c>
      <c r="AQ201">
        <v>16666.666666666668</v>
      </c>
      <c r="AR201" t="s">
        <v>884</v>
      </c>
      <c r="AS201" t="s">
        <v>78</v>
      </c>
      <c r="AX201" t="s">
        <v>79</v>
      </c>
      <c r="AY201" t="s">
        <v>74</v>
      </c>
      <c r="AZ201">
        <v>0</v>
      </c>
      <c r="BA201" t="s">
        <v>74</v>
      </c>
      <c r="BB201">
        <v>0</v>
      </c>
      <c r="BD201">
        <v>0.09</v>
      </c>
      <c r="BE201">
        <v>0</v>
      </c>
    </row>
    <row r="202" spans="1:58" ht="12.75">
      <c r="A202" s="2" t="str">
        <f>HYPERLINK("https://ibp.a2mac1.com/costing(costing:projects/details/8191/part/5381553)"," Left and Right if the Same")</f>
        <v xml:space="preserve"> Left and Right if the Same</v>
      </c>
      <c r="B202">
        <v>5381553</v>
      </c>
      <c r="C202">
        <v>5381448</v>
      </c>
      <c r="D202" t="s">
        <v>888</v>
      </c>
      <c r="E202">
        <v>0.08</v>
      </c>
      <c r="F202">
        <v>0</v>
      </c>
      <c r="G202">
        <v>0</v>
      </c>
      <c r="H202">
        <v>0</v>
      </c>
      <c r="I202" t="s">
        <v>74</v>
      </c>
      <c r="J202">
        <v>0</v>
      </c>
      <c r="K202">
        <v>0.08</v>
      </c>
      <c r="L202">
        <v>0</v>
      </c>
      <c r="M202">
        <v>0</v>
      </c>
      <c r="N202">
        <v>0.08</v>
      </c>
      <c r="O202" t="s">
        <v>74</v>
      </c>
      <c r="P202">
        <v>0</v>
      </c>
      <c r="Q202" t="s">
        <v>74</v>
      </c>
      <c r="R202">
        <v>0</v>
      </c>
      <c r="S202" t="s">
        <v>74</v>
      </c>
      <c r="T202">
        <v>0</v>
      </c>
      <c r="U202" t="s">
        <v>74</v>
      </c>
      <c r="V202">
        <v>0</v>
      </c>
      <c r="W202" t="s">
        <v>74</v>
      </c>
      <c r="X202">
        <v>0</v>
      </c>
      <c r="Y202">
        <v>0.08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63</v>
      </c>
      <c r="AF202">
        <v>75</v>
      </c>
      <c r="AG202">
        <v>18</v>
      </c>
      <c r="AH202">
        <v>0</v>
      </c>
      <c r="AI202">
        <v>0.014</v>
      </c>
      <c r="AK202" t="s">
        <v>825</v>
      </c>
      <c r="AM202">
        <v>200000</v>
      </c>
      <c r="AN202" t="s">
        <v>92</v>
      </c>
      <c r="AO202">
        <v>1</v>
      </c>
      <c r="AP202">
        <v>0</v>
      </c>
      <c r="AQ202">
        <v>16666.666666666668</v>
      </c>
      <c r="AR202" t="s">
        <v>889</v>
      </c>
      <c r="AS202" t="s">
        <v>78</v>
      </c>
      <c r="AX202" t="s">
        <v>79</v>
      </c>
      <c r="AY202" t="s">
        <v>74</v>
      </c>
      <c r="AZ202">
        <v>0</v>
      </c>
      <c r="BA202" t="s">
        <v>74</v>
      </c>
      <c r="BB202">
        <v>0</v>
      </c>
      <c r="BD202">
        <v>0.08</v>
      </c>
      <c r="BE202">
        <v>0</v>
      </c>
    </row>
    <row r="203" spans="1:58" ht="12.75">
      <c r="A203" s="2" t="str">
        <f>HYPERLINK("https://ibp.a2mac1.com/costing(costing:projects/details/8191/part/5381554)"," Right if Different")</f>
        <v xml:space="preserve"> Right if Different</v>
      </c>
      <c r="B203">
        <v>5381554</v>
      </c>
      <c r="C203">
        <v>5381448</v>
      </c>
      <c r="D203" t="s">
        <v>890</v>
      </c>
      <c r="E203">
        <v>0.08</v>
      </c>
      <c r="F203">
        <v>0</v>
      </c>
      <c r="G203">
        <v>0</v>
      </c>
      <c r="H203">
        <v>0</v>
      </c>
      <c r="I203" t="s">
        <v>74</v>
      </c>
      <c r="J203">
        <v>0</v>
      </c>
      <c r="K203">
        <v>0.08</v>
      </c>
      <c r="L203">
        <v>0</v>
      </c>
      <c r="M203">
        <v>0</v>
      </c>
      <c r="N203">
        <v>0.08</v>
      </c>
      <c r="O203" t="s">
        <v>74</v>
      </c>
      <c r="P203">
        <v>0</v>
      </c>
      <c r="Q203" t="s">
        <v>74</v>
      </c>
      <c r="R203">
        <v>0</v>
      </c>
      <c r="S203" t="s">
        <v>74</v>
      </c>
      <c r="T203">
        <v>0</v>
      </c>
      <c r="U203" t="s">
        <v>74</v>
      </c>
      <c r="V203">
        <v>0</v>
      </c>
      <c r="W203" t="s">
        <v>74</v>
      </c>
      <c r="X203">
        <v>0</v>
      </c>
      <c r="Y203">
        <v>0.08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63</v>
      </c>
      <c r="AF203">
        <v>75</v>
      </c>
      <c r="AG203">
        <v>18</v>
      </c>
      <c r="AH203">
        <v>0</v>
      </c>
      <c r="AI203">
        <v>0.014</v>
      </c>
      <c r="AK203" t="s">
        <v>825</v>
      </c>
      <c r="AM203">
        <v>200000</v>
      </c>
      <c r="AN203" t="s">
        <v>92</v>
      </c>
      <c r="AO203">
        <v>1</v>
      </c>
      <c r="AP203">
        <v>0</v>
      </c>
      <c r="AQ203">
        <v>16666.666666666668</v>
      </c>
      <c r="AR203" t="s">
        <v>891</v>
      </c>
      <c r="AS203" t="s">
        <v>78</v>
      </c>
      <c r="AX203" t="s">
        <v>79</v>
      </c>
      <c r="AY203" t="s">
        <v>74</v>
      </c>
      <c r="AZ203">
        <v>0</v>
      </c>
      <c r="BA203" t="s">
        <v>74</v>
      </c>
      <c r="BB203">
        <v>0</v>
      </c>
      <c r="BD203">
        <v>0.08</v>
      </c>
      <c r="BE203">
        <v>0</v>
      </c>
    </row>
    <row r="204" spans="1:58" ht="12.75">
      <c r="A204" s="2" t="str">
        <f>HYPERLINK("https://ibp.a2mac1.com/costing(costing:projects/details/8191/part/5381555)"," Central/Single")</f>
        <v xml:space="preserve"> Central/Single</v>
      </c>
      <c r="B204">
        <v>5381555</v>
      </c>
      <c r="C204">
        <v>5381449</v>
      </c>
      <c r="D204" t="s">
        <v>895</v>
      </c>
      <c r="E204">
        <v>0.17</v>
      </c>
      <c r="F204">
        <v>0</v>
      </c>
      <c r="G204">
        <v>0</v>
      </c>
      <c r="H204">
        <v>0</v>
      </c>
      <c r="I204" t="s">
        <v>74</v>
      </c>
      <c r="J204">
        <v>0</v>
      </c>
      <c r="K204">
        <v>0.17</v>
      </c>
      <c r="L204">
        <v>0</v>
      </c>
      <c r="M204">
        <v>0</v>
      </c>
      <c r="N204">
        <v>0.17</v>
      </c>
      <c r="O204" t="s">
        <v>74</v>
      </c>
      <c r="P204">
        <v>0</v>
      </c>
      <c r="Q204" t="s">
        <v>74</v>
      </c>
      <c r="R204">
        <v>0</v>
      </c>
      <c r="S204" t="s">
        <v>74</v>
      </c>
      <c r="T204">
        <v>0</v>
      </c>
      <c r="U204" t="s">
        <v>74</v>
      </c>
      <c r="V204">
        <v>0</v>
      </c>
      <c r="W204" t="s">
        <v>74</v>
      </c>
      <c r="X204">
        <v>0</v>
      </c>
      <c r="Y204">
        <v>0.17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205</v>
      </c>
      <c r="AF204">
        <v>91</v>
      </c>
      <c r="AG204">
        <v>19</v>
      </c>
      <c r="AH204">
        <v>0</v>
      </c>
      <c r="AI204">
        <v>0.052999999999999999</v>
      </c>
      <c r="AK204" t="s">
        <v>825</v>
      </c>
      <c r="AM204">
        <v>200000</v>
      </c>
      <c r="AN204" t="s">
        <v>92</v>
      </c>
      <c r="AO204">
        <v>1</v>
      </c>
      <c r="AP204">
        <v>0</v>
      </c>
      <c r="AQ204">
        <v>16666.666666666668</v>
      </c>
      <c r="AR204" t="s">
        <v>896</v>
      </c>
      <c r="AS204" t="s">
        <v>78</v>
      </c>
      <c r="AX204" t="s">
        <v>79</v>
      </c>
      <c r="AY204" t="s">
        <v>74</v>
      </c>
      <c r="AZ204">
        <v>0</v>
      </c>
      <c r="BA204" t="s">
        <v>74</v>
      </c>
      <c r="BB204">
        <v>0</v>
      </c>
      <c r="BD204">
        <v>0.17</v>
      </c>
      <c r="BE204">
        <v>0</v>
      </c>
    </row>
    <row r="205" spans="1:58" ht="12.75">
      <c r="A205" s="2" t="str">
        <f>HYPERLINK("https://ibp.a2mac1.com/costing(costing:projects/details/8191/part/5381556)"," Left and Right if the Same")</f>
        <v xml:space="preserve"> Left and Right if the Same</v>
      </c>
      <c r="B205">
        <v>5381556</v>
      </c>
      <c r="C205">
        <v>5381450</v>
      </c>
      <c r="D205" t="s">
        <v>900</v>
      </c>
      <c r="E205">
        <v>0.08</v>
      </c>
      <c r="F205">
        <v>0</v>
      </c>
      <c r="G205">
        <v>0</v>
      </c>
      <c r="H205">
        <v>0</v>
      </c>
      <c r="I205" t="s">
        <v>74</v>
      </c>
      <c r="J205">
        <v>0</v>
      </c>
      <c r="K205">
        <v>0.08</v>
      </c>
      <c r="L205">
        <v>0</v>
      </c>
      <c r="M205">
        <v>0</v>
      </c>
      <c r="N205">
        <v>0.08</v>
      </c>
      <c r="O205" t="s">
        <v>74</v>
      </c>
      <c r="P205">
        <v>0</v>
      </c>
      <c r="Q205" t="s">
        <v>74</v>
      </c>
      <c r="R205">
        <v>0</v>
      </c>
      <c r="S205" t="s">
        <v>74</v>
      </c>
      <c r="T205">
        <v>0</v>
      </c>
      <c r="U205" t="s">
        <v>74</v>
      </c>
      <c r="V205">
        <v>0</v>
      </c>
      <c r="W205" t="s">
        <v>74</v>
      </c>
      <c r="X205">
        <v>0</v>
      </c>
      <c r="Y205">
        <v>0.08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67</v>
      </c>
      <c r="AF205">
        <v>72</v>
      </c>
      <c r="AG205">
        <v>19</v>
      </c>
      <c r="AH205">
        <v>0</v>
      </c>
      <c r="AI205">
        <v>0.015</v>
      </c>
      <c r="AK205" t="s">
        <v>825</v>
      </c>
      <c r="AM205">
        <v>200000</v>
      </c>
      <c r="AN205" t="s">
        <v>92</v>
      </c>
      <c r="AO205">
        <v>1</v>
      </c>
      <c r="AP205">
        <v>0</v>
      </c>
      <c r="AQ205">
        <v>16666.666666666668</v>
      </c>
      <c r="AR205" t="s">
        <v>901</v>
      </c>
      <c r="AS205" t="s">
        <v>78</v>
      </c>
      <c r="AX205" t="s">
        <v>79</v>
      </c>
      <c r="AY205" t="s">
        <v>74</v>
      </c>
      <c r="AZ205">
        <v>0</v>
      </c>
      <c r="BA205" t="s">
        <v>74</v>
      </c>
      <c r="BB205">
        <v>0</v>
      </c>
      <c r="BD205">
        <v>0.08</v>
      </c>
      <c r="BE205">
        <v>0</v>
      </c>
    </row>
    <row r="206" spans="1:58" ht="12.75">
      <c r="A206" s="2" t="str">
        <f>HYPERLINK("https://ibp.a2mac1.com/costing(costing:projects/details/8191/part/5381557)"," Right if Different")</f>
        <v xml:space="preserve"> Right if Different</v>
      </c>
      <c r="B206">
        <v>5381557</v>
      </c>
      <c r="C206">
        <v>5381450</v>
      </c>
      <c r="D206" t="s">
        <v>902</v>
      </c>
      <c r="E206">
        <v>0.08</v>
      </c>
      <c r="F206">
        <v>0</v>
      </c>
      <c r="G206">
        <v>0</v>
      </c>
      <c r="H206">
        <v>0</v>
      </c>
      <c r="I206" t="s">
        <v>74</v>
      </c>
      <c r="J206">
        <v>0</v>
      </c>
      <c r="K206">
        <v>0.08</v>
      </c>
      <c r="L206">
        <v>0</v>
      </c>
      <c r="M206">
        <v>0</v>
      </c>
      <c r="N206">
        <v>0.08</v>
      </c>
      <c r="O206" t="s">
        <v>74</v>
      </c>
      <c r="P206">
        <v>0</v>
      </c>
      <c r="Q206" t="s">
        <v>74</v>
      </c>
      <c r="R206">
        <v>0</v>
      </c>
      <c r="S206" t="s">
        <v>74</v>
      </c>
      <c r="T206">
        <v>0</v>
      </c>
      <c r="U206" t="s">
        <v>74</v>
      </c>
      <c r="V206">
        <v>0</v>
      </c>
      <c r="W206" t="s">
        <v>74</v>
      </c>
      <c r="X206">
        <v>0</v>
      </c>
      <c r="Y206">
        <v>0.08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67</v>
      </c>
      <c r="AF206">
        <v>71</v>
      </c>
      <c r="AG206">
        <v>22</v>
      </c>
      <c r="AH206">
        <v>0</v>
      </c>
      <c r="AI206">
        <v>0.016</v>
      </c>
      <c r="AK206" t="s">
        <v>825</v>
      </c>
      <c r="AM206">
        <v>200000</v>
      </c>
      <c r="AN206" t="s">
        <v>92</v>
      </c>
      <c r="AO206">
        <v>1</v>
      </c>
      <c r="AP206">
        <v>0</v>
      </c>
      <c r="AQ206">
        <v>16666.666666666668</v>
      </c>
      <c r="AR206" t="s">
        <v>903</v>
      </c>
      <c r="AS206" t="s">
        <v>78</v>
      </c>
      <c r="AX206" t="s">
        <v>79</v>
      </c>
      <c r="AY206" t="s">
        <v>74</v>
      </c>
      <c r="AZ206">
        <v>0</v>
      </c>
      <c r="BA206" t="s">
        <v>74</v>
      </c>
      <c r="BB206">
        <v>0</v>
      </c>
      <c r="BD206">
        <v>0.08</v>
      </c>
      <c r="BE206">
        <v>0</v>
      </c>
    </row>
    <row r="207" spans="1:58" ht="12.75">
      <c r="A207" s="2" t="str">
        <f>HYPERLINK("https://ibp.a2mac1.com/costing(costing:projects/details/8191/part/5381558)"," Central/Single")</f>
        <v xml:space="preserve"> Central/Single</v>
      </c>
      <c r="B207">
        <v>5381558</v>
      </c>
      <c r="C207">
        <v>5381451</v>
      </c>
      <c r="D207" t="s">
        <v>907</v>
      </c>
      <c r="E207">
        <v>0.08</v>
      </c>
      <c r="F207">
        <v>0</v>
      </c>
      <c r="G207">
        <v>0</v>
      </c>
      <c r="H207">
        <v>0</v>
      </c>
      <c r="I207" t="s">
        <v>74</v>
      </c>
      <c r="J207">
        <v>0</v>
      </c>
      <c r="K207">
        <v>0.08</v>
      </c>
      <c r="L207">
        <v>0</v>
      </c>
      <c r="M207">
        <v>0</v>
      </c>
      <c r="N207">
        <v>0.08</v>
      </c>
      <c r="O207" t="s">
        <v>74</v>
      </c>
      <c r="P207">
        <v>0</v>
      </c>
      <c r="Q207" t="s">
        <v>74</v>
      </c>
      <c r="R207">
        <v>0</v>
      </c>
      <c r="S207" t="s">
        <v>74</v>
      </c>
      <c r="T207">
        <v>0</v>
      </c>
      <c r="U207" t="s">
        <v>74</v>
      </c>
      <c r="V207">
        <v>0</v>
      </c>
      <c r="W207" t="s">
        <v>74</v>
      </c>
      <c r="X207">
        <v>0</v>
      </c>
      <c r="Y207">
        <v>0.08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114</v>
      </c>
      <c r="AF207">
        <v>75</v>
      </c>
      <c r="AG207">
        <v>28</v>
      </c>
      <c r="AH207">
        <v>0</v>
      </c>
      <c r="AI207">
        <v>0.016</v>
      </c>
      <c r="AK207" t="s">
        <v>825</v>
      </c>
      <c r="AM207">
        <v>200000</v>
      </c>
      <c r="AN207" t="s">
        <v>92</v>
      </c>
      <c r="AO207">
        <v>1</v>
      </c>
      <c r="AP207">
        <v>0</v>
      </c>
      <c r="AQ207">
        <v>16666.666666666668</v>
      </c>
      <c r="AR207" t="s">
        <v>908</v>
      </c>
      <c r="AS207" t="s">
        <v>78</v>
      </c>
      <c r="AX207" t="s">
        <v>79</v>
      </c>
      <c r="AY207" t="s">
        <v>74</v>
      </c>
      <c r="AZ207">
        <v>0</v>
      </c>
      <c r="BA207" t="s">
        <v>74</v>
      </c>
      <c r="BB207">
        <v>0</v>
      </c>
      <c r="BD207">
        <v>0.08</v>
      </c>
      <c r="BE207">
        <v>0</v>
      </c>
    </row>
    <row r="208" spans="1:58" ht="12.75">
      <c r="A208" s="2" t="str">
        <f>HYPERLINK("https://ibp.a2mac1.com/costing(costing:projects/details/8191/part/5381559)"," Left/Single")</f>
        <v xml:space="preserve"> Left/Single</v>
      </c>
      <c r="B208">
        <v>5381559</v>
      </c>
      <c r="C208">
        <v>5381452</v>
      </c>
      <c r="D208" t="s">
        <v>912</v>
      </c>
      <c r="E208">
        <v>0.09</v>
      </c>
      <c r="F208">
        <v>0</v>
      </c>
      <c r="G208">
        <v>0</v>
      </c>
      <c r="H208">
        <v>0</v>
      </c>
      <c r="I208" t="s">
        <v>74</v>
      </c>
      <c r="J208">
        <v>0</v>
      </c>
      <c r="K208">
        <v>0.09</v>
      </c>
      <c r="L208">
        <v>0</v>
      </c>
      <c r="M208">
        <v>0</v>
      </c>
      <c r="N208">
        <v>0.09</v>
      </c>
      <c r="O208" t="s">
        <v>74</v>
      </c>
      <c r="P208">
        <v>0</v>
      </c>
      <c r="Q208" t="s">
        <v>74</v>
      </c>
      <c r="R208">
        <v>0</v>
      </c>
      <c r="S208" t="s">
        <v>74</v>
      </c>
      <c r="T208">
        <v>0</v>
      </c>
      <c r="U208" t="s">
        <v>74</v>
      </c>
      <c r="V208">
        <v>0</v>
      </c>
      <c r="W208" t="s">
        <v>74</v>
      </c>
      <c r="X208">
        <v>0</v>
      </c>
      <c r="Y208">
        <v>0.09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125</v>
      </c>
      <c r="AF208">
        <v>109</v>
      </c>
      <c r="AG208">
        <v>28</v>
      </c>
      <c r="AH208">
        <v>0</v>
      </c>
      <c r="AI208">
        <v>0.02</v>
      </c>
      <c r="AK208" t="s">
        <v>825</v>
      </c>
      <c r="AM208">
        <v>200000</v>
      </c>
      <c r="AN208" t="s">
        <v>92</v>
      </c>
      <c r="AO208">
        <v>1</v>
      </c>
      <c r="AP208">
        <v>0</v>
      </c>
      <c r="AQ208">
        <v>16666.666666666668</v>
      </c>
      <c r="AR208" t="s">
        <v>913</v>
      </c>
      <c r="AS208" t="s">
        <v>78</v>
      </c>
      <c r="AX208" t="s">
        <v>79</v>
      </c>
      <c r="AY208" t="s">
        <v>74</v>
      </c>
      <c r="AZ208">
        <v>0</v>
      </c>
      <c r="BA208" t="s">
        <v>74</v>
      </c>
      <c r="BB208">
        <v>0</v>
      </c>
      <c r="BD208">
        <v>0.09</v>
      </c>
      <c r="BE208">
        <v>0</v>
      </c>
    </row>
    <row r="209" spans="1:58" ht="12.75">
      <c r="A209" s="2" t="str">
        <f>HYPERLINK("https://ibp.a2mac1.com/costing(costing:projects/details/8191/part/5381560)"," Right if Different")</f>
        <v xml:space="preserve"> Right if Different</v>
      </c>
      <c r="B209">
        <v>5381560</v>
      </c>
      <c r="C209">
        <v>5381452</v>
      </c>
      <c r="D209" t="s">
        <v>914</v>
      </c>
      <c r="E209">
        <v>0.09</v>
      </c>
      <c r="F209">
        <v>0</v>
      </c>
      <c r="G209">
        <v>0</v>
      </c>
      <c r="H209">
        <v>0</v>
      </c>
      <c r="I209" t="s">
        <v>74</v>
      </c>
      <c r="J209">
        <v>0</v>
      </c>
      <c r="K209">
        <v>0.09</v>
      </c>
      <c r="L209">
        <v>0</v>
      </c>
      <c r="M209">
        <v>0</v>
      </c>
      <c r="N209">
        <v>0.09</v>
      </c>
      <c r="O209" t="s">
        <v>74</v>
      </c>
      <c r="P209">
        <v>0</v>
      </c>
      <c r="Q209" t="s">
        <v>74</v>
      </c>
      <c r="R209">
        <v>0</v>
      </c>
      <c r="S209" t="s">
        <v>74</v>
      </c>
      <c r="T209">
        <v>0</v>
      </c>
      <c r="U209" t="s">
        <v>74</v>
      </c>
      <c r="V209">
        <v>0</v>
      </c>
      <c r="W209" t="s">
        <v>74</v>
      </c>
      <c r="X209">
        <v>0</v>
      </c>
      <c r="Y209">
        <v>0.09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119</v>
      </c>
      <c r="AF209">
        <v>109</v>
      </c>
      <c r="AG209">
        <v>27</v>
      </c>
      <c r="AH209">
        <v>0</v>
      </c>
      <c r="AI209">
        <v>0.02</v>
      </c>
      <c r="AK209" t="s">
        <v>825</v>
      </c>
      <c r="AM209">
        <v>200000</v>
      </c>
      <c r="AN209" t="s">
        <v>92</v>
      </c>
      <c r="AO209">
        <v>1</v>
      </c>
      <c r="AP209">
        <v>0</v>
      </c>
      <c r="AQ209">
        <v>16666.666666666668</v>
      </c>
      <c r="AR209" t="s">
        <v>915</v>
      </c>
      <c r="AS209" t="s">
        <v>78</v>
      </c>
      <c r="AX209" t="s">
        <v>79</v>
      </c>
      <c r="AY209" t="s">
        <v>74</v>
      </c>
      <c r="AZ209">
        <v>0</v>
      </c>
      <c r="BA209" t="s">
        <v>74</v>
      </c>
      <c r="BB209">
        <v>0</v>
      </c>
      <c r="BD209">
        <v>0.09</v>
      </c>
      <c r="BE209">
        <v>0</v>
      </c>
    </row>
    <row r="210" spans="1:58" ht="12.75">
      <c r="A210" s="2" t="str">
        <f>HYPERLINK("https://ibp.a2mac1.com/costing(costing:projects/details/8191/part/5381443)"," Temperature Mix Flap")</f>
        <v xml:space="preserve"> Temperature Mix Flap</v>
      </c>
      <c r="B210">
        <v>5381443</v>
      </c>
      <c r="C210">
        <v>5381327</v>
      </c>
      <c r="D210" t="s">
        <v>918</v>
      </c>
      <c r="E210">
        <v>0.18</v>
      </c>
      <c r="F210">
        <v>0</v>
      </c>
      <c r="G210">
        <v>0</v>
      </c>
      <c r="H210">
        <v>0</v>
      </c>
      <c r="I210" t="s">
        <v>74</v>
      </c>
      <c r="J210">
        <v>0</v>
      </c>
      <c r="K210">
        <v>0.18</v>
      </c>
      <c r="L210">
        <v>0</v>
      </c>
      <c r="M210">
        <v>0</v>
      </c>
      <c r="N210">
        <v>0.18</v>
      </c>
      <c r="O210" t="s">
        <v>74</v>
      </c>
      <c r="P210">
        <v>0</v>
      </c>
      <c r="Q210" t="s">
        <v>74</v>
      </c>
      <c r="R210">
        <v>0</v>
      </c>
      <c r="S210" t="s">
        <v>74</v>
      </c>
      <c r="T210">
        <v>0</v>
      </c>
      <c r="U210" t="s">
        <v>74</v>
      </c>
      <c r="V210">
        <v>0</v>
      </c>
      <c r="W210" t="s">
        <v>74</v>
      </c>
      <c r="X210">
        <v>0</v>
      </c>
      <c r="Y210">
        <v>0.18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120</v>
      </c>
      <c r="AF210">
        <v>75</v>
      </c>
      <c r="AG210">
        <v>26</v>
      </c>
      <c r="AH210">
        <v>0</v>
      </c>
      <c r="AI210">
        <v>0.029000000000000001</v>
      </c>
      <c r="AK210" t="s">
        <v>825</v>
      </c>
      <c r="AM210">
        <v>200000</v>
      </c>
      <c r="AN210" t="s">
        <v>92</v>
      </c>
      <c r="AO210">
        <v>1</v>
      </c>
      <c r="AP210">
        <v>0</v>
      </c>
      <c r="AQ210">
        <v>16666.666666666668</v>
      </c>
      <c r="AR210" t="s">
        <v>919</v>
      </c>
      <c r="AS210" t="s">
        <v>78</v>
      </c>
      <c r="AX210" t="s">
        <v>79</v>
      </c>
      <c r="AY210" t="s">
        <v>74</v>
      </c>
      <c r="AZ210">
        <v>0</v>
      </c>
      <c r="BA210" t="s">
        <v>74</v>
      </c>
      <c r="BB210">
        <v>0</v>
      </c>
      <c r="BD210">
        <v>0.18</v>
      </c>
      <c r="BE210">
        <v>0</v>
      </c>
    </row>
    <row r="211" spans="1:58" ht="12.75">
      <c r="A211" s="2" t="str">
        <f>HYPERLINK("https://ibp.a2mac1.com/costing(costing:projects/details/8191/part/5381444)"," Temperature Mix Flap Right if Different")</f>
        <v xml:space="preserve"> Temperature Mix Flap Right if Different</v>
      </c>
      <c r="B211">
        <v>5381444</v>
      </c>
      <c r="C211">
        <v>5381327</v>
      </c>
      <c r="D211" t="s">
        <v>920</v>
      </c>
      <c r="E211">
        <v>0.19</v>
      </c>
      <c r="F211">
        <v>0</v>
      </c>
      <c r="G211">
        <v>0</v>
      </c>
      <c r="H211">
        <v>0</v>
      </c>
      <c r="I211" t="s">
        <v>74</v>
      </c>
      <c r="J211">
        <v>0</v>
      </c>
      <c r="K211">
        <v>0.19</v>
      </c>
      <c r="L211">
        <v>0</v>
      </c>
      <c r="M211">
        <v>0</v>
      </c>
      <c r="N211">
        <v>0.19</v>
      </c>
      <c r="O211" t="s">
        <v>74</v>
      </c>
      <c r="P211">
        <v>0</v>
      </c>
      <c r="Q211" t="s">
        <v>74</v>
      </c>
      <c r="R211">
        <v>0</v>
      </c>
      <c r="S211" t="s">
        <v>74</v>
      </c>
      <c r="T211">
        <v>0</v>
      </c>
      <c r="U211" t="s">
        <v>74</v>
      </c>
      <c r="V211">
        <v>0</v>
      </c>
      <c r="W211" t="s">
        <v>74</v>
      </c>
      <c r="X211">
        <v>0</v>
      </c>
      <c r="Y211">
        <v>0.19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150</v>
      </c>
      <c r="AF211">
        <v>75</v>
      </c>
      <c r="AG211">
        <v>25</v>
      </c>
      <c r="AH211">
        <v>0</v>
      </c>
      <c r="AI211">
        <v>0.033000000000000002</v>
      </c>
      <c r="AK211" t="s">
        <v>825</v>
      </c>
      <c r="AM211">
        <v>200000</v>
      </c>
      <c r="AN211" t="s">
        <v>92</v>
      </c>
      <c r="AO211">
        <v>1</v>
      </c>
      <c r="AP211">
        <v>0</v>
      </c>
      <c r="AQ211">
        <v>16666.666666666668</v>
      </c>
      <c r="AR211" t="s">
        <v>921</v>
      </c>
      <c r="AS211" t="s">
        <v>78</v>
      </c>
      <c r="AX211" t="s">
        <v>79</v>
      </c>
      <c r="AY211" t="s">
        <v>74</v>
      </c>
      <c r="AZ211">
        <v>0</v>
      </c>
      <c r="BA211" t="s">
        <v>74</v>
      </c>
      <c r="BB211">
        <v>0</v>
      </c>
      <c r="BD211">
        <v>0.19</v>
      </c>
      <c r="BE211">
        <v>0</v>
      </c>
    </row>
    <row r="212" spans="1:58" ht="12.75">
      <c r="A212" s="2" t="str">
        <f>HYPERLINK("https://ibp.a2mac1.com/costing(costing:projects/details/8191/part/5381445)"," 2nd Temperature Mix Flap")</f>
        <v xml:space="preserve"> 2nd Temperature Mix Flap</v>
      </c>
      <c r="B212">
        <v>5381445</v>
      </c>
      <c r="C212">
        <v>5381327</v>
      </c>
      <c r="D212" t="s">
        <v>922</v>
      </c>
      <c r="E212">
        <v>0.13</v>
      </c>
      <c r="F212">
        <v>0</v>
      </c>
      <c r="G212">
        <v>0</v>
      </c>
      <c r="H212">
        <v>0</v>
      </c>
      <c r="I212" t="s">
        <v>74</v>
      </c>
      <c r="J212">
        <v>0</v>
      </c>
      <c r="K212">
        <v>0.13</v>
      </c>
      <c r="L212">
        <v>0</v>
      </c>
      <c r="M212">
        <v>0</v>
      </c>
      <c r="N212">
        <v>0.13</v>
      </c>
      <c r="O212" t="s">
        <v>74</v>
      </c>
      <c r="P212">
        <v>0</v>
      </c>
      <c r="Q212" t="s">
        <v>74</v>
      </c>
      <c r="R212">
        <v>0</v>
      </c>
      <c r="S212" t="s">
        <v>74</v>
      </c>
      <c r="T212">
        <v>0</v>
      </c>
      <c r="U212" t="s">
        <v>74</v>
      </c>
      <c r="V212">
        <v>0</v>
      </c>
      <c r="W212" t="s">
        <v>74</v>
      </c>
      <c r="X212">
        <v>0</v>
      </c>
      <c r="Y212">
        <v>0.13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140</v>
      </c>
      <c r="AF212">
        <v>85</v>
      </c>
      <c r="AG212">
        <v>20</v>
      </c>
      <c r="AH212">
        <v>0</v>
      </c>
      <c r="AI212">
        <v>0.035999999999999997</v>
      </c>
      <c r="AK212" t="s">
        <v>825</v>
      </c>
      <c r="AM212">
        <v>200000</v>
      </c>
      <c r="AN212" t="s">
        <v>92</v>
      </c>
      <c r="AO212">
        <v>1</v>
      </c>
      <c r="AP212">
        <v>0</v>
      </c>
      <c r="AQ212">
        <v>16666.666666666668</v>
      </c>
      <c r="AR212" t="s">
        <v>923</v>
      </c>
      <c r="AS212" t="s">
        <v>78</v>
      </c>
      <c r="AX212" t="s">
        <v>79</v>
      </c>
      <c r="AY212" t="s">
        <v>74</v>
      </c>
      <c r="AZ212">
        <v>0</v>
      </c>
      <c r="BA212" t="s">
        <v>74</v>
      </c>
      <c r="BB212">
        <v>0</v>
      </c>
      <c r="BD212">
        <v>0.13</v>
      </c>
      <c r="BE212">
        <v>0</v>
      </c>
    </row>
    <row r="213" spans="1:58" ht="12.75">
      <c r="A213" s="2" t="str">
        <f>HYPERLINK("https://ibp.a2mac1.com/costing(costing:projects/details/8191/part/5381446)"," 2nd Temperature Mix Flap Right if Different")</f>
        <v xml:space="preserve"> 2nd Temperature Mix Flap Right if Different</v>
      </c>
      <c r="B213">
        <v>5381446</v>
      </c>
      <c r="C213">
        <v>5381327</v>
      </c>
      <c r="D213" t="s">
        <v>924</v>
      </c>
      <c r="E213">
        <v>0.14</v>
      </c>
      <c r="F213">
        <v>0</v>
      </c>
      <c r="G213">
        <v>0</v>
      </c>
      <c r="H213">
        <v>0</v>
      </c>
      <c r="I213" t="s">
        <v>74</v>
      </c>
      <c r="J213">
        <v>0</v>
      </c>
      <c r="K213">
        <v>0.14</v>
      </c>
      <c r="L213">
        <v>0</v>
      </c>
      <c r="M213">
        <v>0</v>
      </c>
      <c r="N213">
        <v>0.14</v>
      </c>
      <c r="O213" t="s">
        <v>74</v>
      </c>
      <c r="P213">
        <v>0</v>
      </c>
      <c r="Q213" t="s">
        <v>74</v>
      </c>
      <c r="R213">
        <v>0</v>
      </c>
      <c r="S213" t="s">
        <v>74</v>
      </c>
      <c r="T213">
        <v>0</v>
      </c>
      <c r="U213" t="s">
        <v>74</v>
      </c>
      <c r="V213">
        <v>0</v>
      </c>
      <c r="W213" t="s">
        <v>74</v>
      </c>
      <c r="X213">
        <v>0</v>
      </c>
      <c r="Y213">
        <v>0.14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192</v>
      </c>
      <c r="AF213">
        <v>87</v>
      </c>
      <c r="AG213">
        <v>20</v>
      </c>
      <c r="AH213">
        <v>0</v>
      </c>
      <c r="AI213">
        <v>0.039</v>
      </c>
      <c r="AK213" t="s">
        <v>825</v>
      </c>
      <c r="AM213">
        <v>200000</v>
      </c>
      <c r="AN213" t="s">
        <v>92</v>
      </c>
      <c r="AO213">
        <v>1</v>
      </c>
      <c r="AP213">
        <v>0</v>
      </c>
      <c r="AQ213">
        <v>16666.666666666668</v>
      </c>
      <c r="AR213" t="s">
        <v>925</v>
      </c>
      <c r="AS213" t="s">
        <v>78</v>
      </c>
      <c r="AX213" t="s">
        <v>79</v>
      </c>
      <c r="AY213" t="s">
        <v>74</v>
      </c>
      <c r="AZ213">
        <v>0</v>
      </c>
      <c r="BA213" t="s">
        <v>74</v>
      </c>
      <c r="BB213">
        <v>0</v>
      </c>
      <c r="BD213">
        <v>0.14</v>
      </c>
      <c r="BE213">
        <v>0</v>
      </c>
    </row>
    <row r="214" spans="1:58" ht="12.75">
      <c r="A214" s="2" t="str">
        <f>HYPERLINK("https://ibp.a2mac1.com/costing(costing:projects/details/8191/part/5381453)"," Air Intake")</f>
        <v xml:space="preserve"> Air Intake</v>
      </c>
      <c r="B214">
        <v>5381453</v>
      </c>
      <c r="C214">
        <v>5381328</v>
      </c>
      <c r="D214" t="s">
        <v>929</v>
      </c>
      <c r="E214">
        <v>0.08</v>
      </c>
      <c r="F214">
        <v>0</v>
      </c>
      <c r="G214">
        <v>0</v>
      </c>
      <c r="H214">
        <v>0</v>
      </c>
      <c r="I214" t="s">
        <v>74</v>
      </c>
      <c r="J214">
        <v>0</v>
      </c>
      <c r="K214">
        <v>0.08</v>
      </c>
      <c r="L214">
        <v>0</v>
      </c>
      <c r="M214">
        <v>0</v>
      </c>
      <c r="N214">
        <v>0.08</v>
      </c>
      <c r="O214" t="s">
        <v>74</v>
      </c>
      <c r="P214">
        <v>0</v>
      </c>
      <c r="Q214" t="s">
        <v>74</v>
      </c>
      <c r="R214">
        <v>0</v>
      </c>
      <c r="S214" t="s">
        <v>74</v>
      </c>
      <c r="T214">
        <v>0</v>
      </c>
      <c r="U214" t="s">
        <v>74</v>
      </c>
      <c r="V214">
        <v>0</v>
      </c>
      <c r="W214" t="s">
        <v>74</v>
      </c>
      <c r="X214">
        <v>0</v>
      </c>
      <c r="Y214">
        <v>0.08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100</v>
      </c>
      <c r="AF214">
        <v>36</v>
      </c>
      <c r="AG214">
        <v>31</v>
      </c>
      <c r="AH214">
        <v>0</v>
      </c>
      <c r="AI214">
        <v>0.012</v>
      </c>
      <c r="AK214" t="s">
        <v>825</v>
      </c>
      <c r="AM214">
        <v>200000</v>
      </c>
      <c r="AN214" t="s">
        <v>92</v>
      </c>
      <c r="AO214">
        <v>1</v>
      </c>
      <c r="AP214">
        <v>0</v>
      </c>
      <c r="AQ214">
        <v>16666.666666666668</v>
      </c>
      <c r="AR214" t="s">
        <v>930</v>
      </c>
      <c r="AS214" t="s">
        <v>78</v>
      </c>
      <c r="AX214" t="s">
        <v>79</v>
      </c>
      <c r="AY214" t="s">
        <v>74</v>
      </c>
      <c r="AZ214">
        <v>0</v>
      </c>
      <c r="BA214" t="s">
        <v>74</v>
      </c>
      <c r="BB214">
        <v>0</v>
      </c>
      <c r="BD214">
        <v>0.08</v>
      </c>
      <c r="BE214">
        <v>0</v>
      </c>
    </row>
    <row r="215" spans="1:58" ht="12.75">
      <c r="A215" s="2" t="str">
        <f>HYPERLINK("https://ibp.a2mac1.com/costing(costing:projects/details/8191/part/5381454)"," 2nd Air Intake")</f>
        <v xml:space="preserve"> 2nd Air Intake</v>
      </c>
      <c r="B215">
        <v>5381454</v>
      </c>
      <c r="C215">
        <v>5381328</v>
      </c>
      <c r="D215" t="s">
        <v>931</v>
      </c>
      <c r="E215">
        <v>0.08</v>
      </c>
      <c r="F215">
        <v>0</v>
      </c>
      <c r="G215">
        <v>0</v>
      </c>
      <c r="H215">
        <v>0</v>
      </c>
      <c r="I215" t="s">
        <v>74</v>
      </c>
      <c r="J215">
        <v>0</v>
      </c>
      <c r="K215">
        <v>0.08</v>
      </c>
      <c r="L215">
        <v>0</v>
      </c>
      <c r="M215">
        <v>0</v>
      </c>
      <c r="N215">
        <v>0.08</v>
      </c>
      <c r="O215" t="s">
        <v>74</v>
      </c>
      <c r="P215">
        <v>0</v>
      </c>
      <c r="Q215" t="s">
        <v>74</v>
      </c>
      <c r="R215">
        <v>0</v>
      </c>
      <c r="S215" t="s">
        <v>74</v>
      </c>
      <c r="T215">
        <v>0</v>
      </c>
      <c r="U215" t="s">
        <v>74</v>
      </c>
      <c r="V215">
        <v>0</v>
      </c>
      <c r="W215" t="s">
        <v>74</v>
      </c>
      <c r="X215">
        <v>0</v>
      </c>
      <c r="Y215">
        <v>0.08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92</v>
      </c>
      <c r="AF215">
        <v>20</v>
      </c>
      <c r="AG215">
        <v>29</v>
      </c>
      <c r="AH215">
        <v>0</v>
      </c>
      <c r="AI215">
        <v>0.0060000000000000001</v>
      </c>
      <c r="AK215" t="s">
        <v>825</v>
      </c>
      <c r="AM215">
        <v>200000</v>
      </c>
      <c r="AN215" t="s">
        <v>92</v>
      </c>
      <c r="AO215">
        <v>1</v>
      </c>
      <c r="AP215">
        <v>0</v>
      </c>
      <c r="AQ215">
        <v>16666.666666666668</v>
      </c>
      <c r="AR215" t="s">
        <v>932</v>
      </c>
      <c r="AS215" t="s">
        <v>78</v>
      </c>
      <c r="AX215" t="s">
        <v>79</v>
      </c>
      <c r="AY215" t="s">
        <v>74</v>
      </c>
      <c r="AZ215">
        <v>0</v>
      </c>
      <c r="BA215" t="s">
        <v>74</v>
      </c>
      <c r="BB215">
        <v>0</v>
      </c>
      <c r="BD215">
        <v>0.08</v>
      </c>
      <c r="BE215">
        <v>0</v>
      </c>
    </row>
    <row r="216" spans="1:58" ht="12.75">
      <c r="A216" s="2" t="str">
        <f>HYPERLINK("https://ibp.a2mac1.com/costing(costing:projects/details/8191/part/5381455)"," Upper and Lower")</f>
        <v xml:space="preserve"> Upper and Lower</v>
      </c>
      <c r="B216">
        <v>5381455</v>
      </c>
      <c r="C216">
        <v>5381328</v>
      </c>
      <c r="D216" t="s">
        <v>933</v>
      </c>
      <c r="E216">
        <v>0.08</v>
      </c>
      <c r="F216">
        <v>0</v>
      </c>
      <c r="G216">
        <v>0</v>
      </c>
      <c r="H216">
        <v>0</v>
      </c>
      <c r="I216" t="s">
        <v>74</v>
      </c>
      <c r="J216">
        <v>0</v>
      </c>
      <c r="K216">
        <v>0.08</v>
      </c>
      <c r="L216">
        <v>0</v>
      </c>
      <c r="M216">
        <v>0</v>
      </c>
      <c r="N216">
        <v>0.08</v>
      </c>
      <c r="O216" t="s">
        <v>74</v>
      </c>
      <c r="P216">
        <v>0</v>
      </c>
      <c r="Q216" t="s">
        <v>74</v>
      </c>
      <c r="R216">
        <v>0</v>
      </c>
      <c r="S216" t="s">
        <v>74</v>
      </c>
      <c r="T216">
        <v>0</v>
      </c>
      <c r="U216" t="s">
        <v>74</v>
      </c>
      <c r="V216">
        <v>0</v>
      </c>
      <c r="W216" t="s">
        <v>74</v>
      </c>
      <c r="X216">
        <v>0</v>
      </c>
      <c r="Y216">
        <v>0.08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60</v>
      </c>
      <c r="AF216">
        <v>100</v>
      </c>
      <c r="AG216">
        <v>38</v>
      </c>
      <c r="AH216">
        <v>0</v>
      </c>
      <c r="AI216">
        <v>0.012999999999999999</v>
      </c>
      <c r="AK216" t="s">
        <v>825</v>
      </c>
      <c r="AM216">
        <v>200000</v>
      </c>
      <c r="AN216" t="s">
        <v>92</v>
      </c>
      <c r="AO216">
        <v>1</v>
      </c>
      <c r="AP216">
        <v>0</v>
      </c>
      <c r="AQ216">
        <v>16666.666666666668</v>
      </c>
      <c r="AR216" t="s">
        <v>934</v>
      </c>
      <c r="AS216" t="s">
        <v>78</v>
      </c>
      <c r="AX216" t="s">
        <v>79</v>
      </c>
      <c r="AY216" t="s">
        <v>74</v>
      </c>
      <c r="AZ216">
        <v>0</v>
      </c>
      <c r="BA216" t="s">
        <v>74</v>
      </c>
      <c r="BB216">
        <v>0</v>
      </c>
      <c r="BD216">
        <v>0.08</v>
      </c>
      <c r="BE216">
        <v>0</v>
      </c>
    </row>
    <row r="217" spans="1:58" ht="12.75">
      <c r="A217" s="2" t="str">
        <f>HYPERLINK("https://ibp.a2mac1.com/costing(costing:projects/details/8191/part/5381456)"," Mechanism Support")</f>
        <v xml:space="preserve"> Mechanism Support</v>
      </c>
      <c r="B217">
        <v>5381456</v>
      </c>
      <c r="C217">
        <v>5381328</v>
      </c>
      <c r="D217" t="s">
        <v>935</v>
      </c>
      <c r="E217">
        <v>0.16</v>
      </c>
      <c r="F217">
        <v>0</v>
      </c>
      <c r="G217">
        <v>0</v>
      </c>
      <c r="H217">
        <v>0</v>
      </c>
      <c r="I217" t="s">
        <v>74</v>
      </c>
      <c r="J217">
        <v>0</v>
      </c>
      <c r="K217">
        <v>0.16</v>
      </c>
      <c r="L217">
        <v>0</v>
      </c>
      <c r="M217">
        <v>0</v>
      </c>
      <c r="N217">
        <v>0.16</v>
      </c>
      <c r="O217" t="s">
        <v>74</v>
      </c>
      <c r="P217">
        <v>0</v>
      </c>
      <c r="Q217" t="s">
        <v>74</v>
      </c>
      <c r="R217">
        <v>0</v>
      </c>
      <c r="S217" t="s">
        <v>74</v>
      </c>
      <c r="T217">
        <v>0</v>
      </c>
      <c r="U217" t="s">
        <v>74</v>
      </c>
      <c r="V217">
        <v>0</v>
      </c>
      <c r="W217" t="s">
        <v>74</v>
      </c>
      <c r="X217">
        <v>0</v>
      </c>
      <c r="Y217">
        <v>0.16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160</v>
      </c>
      <c r="AF217">
        <v>98</v>
      </c>
      <c r="AG217">
        <v>68</v>
      </c>
      <c r="AH217">
        <v>0</v>
      </c>
      <c r="AI217">
        <v>0.05</v>
      </c>
      <c r="AK217" t="s">
        <v>825</v>
      </c>
      <c r="AM217">
        <v>200000</v>
      </c>
      <c r="AN217" t="s">
        <v>92</v>
      </c>
      <c r="AO217">
        <v>1</v>
      </c>
      <c r="AP217">
        <v>0</v>
      </c>
      <c r="AQ217">
        <v>16666.666666666668</v>
      </c>
      <c r="AR217" t="s">
        <v>936</v>
      </c>
      <c r="AS217" t="s">
        <v>78</v>
      </c>
      <c r="AX217" t="s">
        <v>79</v>
      </c>
      <c r="AY217" t="s">
        <v>74</v>
      </c>
      <c r="AZ217">
        <v>0</v>
      </c>
      <c r="BA217" t="s">
        <v>74</v>
      </c>
      <c r="BB217">
        <v>0</v>
      </c>
      <c r="BD217">
        <v>0.16</v>
      </c>
      <c r="BE217">
        <v>0</v>
      </c>
    </row>
    <row r="218" spans="1:58" ht="12.75">
      <c r="A218" s="2" t="str">
        <f>HYPERLINK("https://ibp.a2mac1.com/costing(costing:projects/details/8191/part/5381457)"," Guide")</f>
        <v xml:space="preserve"> Guide</v>
      </c>
      <c r="B218">
        <v>5381457</v>
      </c>
      <c r="C218">
        <v>5381328</v>
      </c>
      <c r="D218" t="s">
        <v>937</v>
      </c>
      <c r="E218">
        <v>0.12</v>
      </c>
      <c r="F218">
        <v>0</v>
      </c>
      <c r="G218">
        <v>0</v>
      </c>
      <c r="H218">
        <v>0</v>
      </c>
      <c r="I218" t="s">
        <v>74</v>
      </c>
      <c r="J218">
        <v>0</v>
      </c>
      <c r="K218">
        <v>0.12</v>
      </c>
      <c r="L218">
        <v>0</v>
      </c>
      <c r="M218">
        <v>0</v>
      </c>
      <c r="N218">
        <v>0.12</v>
      </c>
      <c r="O218" t="s">
        <v>74</v>
      </c>
      <c r="P218">
        <v>0</v>
      </c>
      <c r="Q218" t="s">
        <v>74</v>
      </c>
      <c r="R218">
        <v>0</v>
      </c>
      <c r="S218" t="s">
        <v>74</v>
      </c>
      <c r="T218">
        <v>0</v>
      </c>
      <c r="U218" t="s">
        <v>74</v>
      </c>
      <c r="V218">
        <v>0</v>
      </c>
      <c r="W218" t="s">
        <v>74</v>
      </c>
      <c r="X218">
        <v>0</v>
      </c>
      <c r="Y218">
        <v>0.12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72</v>
      </c>
      <c r="AF218">
        <v>72</v>
      </c>
      <c r="AG218">
        <v>33</v>
      </c>
      <c r="AH218">
        <v>0</v>
      </c>
      <c r="AI218">
        <v>0.02</v>
      </c>
      <c r="AK218" t="s">
        <v>825</v>
      </c>
      <c r="AM218">
        <v>200000</v>
      </c>
      <c r="AN218" t="s">
        <v>92</v>
      </c>
      <c r="AO218">
        <v>1</v>
      </c>
      <c r="AP218">
        <v>0</v>
      </c>
      <c r="AQ218">
        <v>16666.666666666668</v>
      </c>
      <c r="AR218" t="s">
        <v>938</v>
      </c>
      <c r="AS218" t="s">
        <v>78</v>
      </c>
      <c r="AX218" t="s">
        <v>79</v>
      </c>
      <c r="AY218" t="s">
        <v>74</v>
      </c>
      <c r="AZ218">
        <v>0</v>
      </c>
      <c r="BA218" t="s">
        <v>74</v>
      </c>
      <c r="BB218">
        <v>0</v>
      </c>
      <c r="BD218">
        <v>0.12</v>
      </c>
      <c r="BE218">
        <v>0</v>
      </c>
    </row>
    <row r="219" spans="1:58" ht="12.75">
      <c r="A219" s="2" t="str">
        <f>HYPERLINK("https://ibp.a2mac1.com/costing(costing:projects/details/8191/part/5381458)"," Defroster mechanism")</f>
        <v xml:space="preserve"> Defroster mechanism</v>
      </c>
      <c r="B219">
        <v>5381458</v>
      </c>
      <c r="C219">
        <v>5381328</v>
      </c>
      <c r="D219" t="s">
        <v>939</v>
      </c>
      <c r="E219">
        <v>0.08</v>
      </c>
      <c r="F219">
        <v>0</v>
      </c>
      <c r="G219">
        <v>0</v>
      </c>
      <c r="H219">
        <v>0</v>
      </c>
      <c r="I219" t="s">
        <v>74</v>
      </c>
      <c r="J219">
        <v>0</v>
      </c>
      <c r="K219">
        <v>0.08</v>
      </c>
      <c r="L219">
        <v>0</v>
      </c>
      <c r="M219">
        <v>0</v>
      </c>
      <c r="N219">
        <v>0.08</v>
      </c>
      <c r="O219" t="s">
        <v>74</v>
      </c>
      <c r="P219">
        <v>0</v>
      </c>
      <c r="Q219" t="s">
        <v>74</v>
      </c>
      <c r="R219">
        <v>0</v>
      </c>
      <c r="S219" t="s">
        <v>74</v>
      </c>
      <c r="T219">
        <v>0</v>
      </c>
      <c r="U219" t="s">
        <v>74</v>
      </c>
      <c r="V219">
        <v>0</v>
      </c>
      <c r="W219" t="s">
        <v>74</v>
      </c>
      <c r="X219">
        <v>0</v>
      </c>
      <c r="Y219">
        <v>0.08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125</v>
      </c>
      <c r="AF219">
        <v>19</v>
      </c>
      <c r="AG219">
        <v>17</v>
      </c>
      <c r="AH219">
        <v>0</v>
      </c>
      <c r="AI219">
        <v>0.0070000000000000001</v>
      </c>
      <c r="AK219" t="s">
        <v>825</v>
      </c>
      <c r="AM219">
        <v>200000</v>
      </c>
      <c r="AN219" t="s">
        <v>92</v>
      </c>
      <c r="AO219">
        <v>1</v>
      </c>
      <c r="AP219">
        <v>0</v>
      </c>
      <c r="AQ219">
        <v>16666.666666666668</v>
      </c>
      <c r="AR219" t="s">
        <v>940</v>
      </c>
      <c r="AS219" t="s">
        <v>78</v>
      </c>
      <c r="AX219" t="s">
        <v>79</v>
      </c>
      <c r="AY219" t="s">
        <v>74</v>
      </c>
      <c r="AZ219">
        <v>0</v>
      </c>
      <c r="BA219" t="s">
        <v>74</v>
      </c>
      <c r="BB219">
        <v>0</v>
      </c>
      <c r="BD219">
        <v>0.08</v>
      </c>
      <c r="BE219">
        <v>0</v>
      </c>
    </row>
    <row r="220" spans="1:58" ht="12.75">
      <c r="A220" s="2" t="str">
        <f>HYPERLINK("https://ibp.a2mac1.com/costing(costing:projects/details/8191/part/5381459)"," Second defroster mechanism")</f>
        <v xml:space="preserve"> Second defroster mechanism</v>
      </c>
      <c r="B220">
        <v>5381459</v>
      </c>
      <c r="C220">
        <v>5381328</v>
      </c>
      <c r="D220" t="s">
        <v>941</v>
      </c>
      <c r="E220">
        <v>0.07</v>
      </c>
      <c r="F220">
        <v>0</v>
      </c>
      <c r="G220">
        <v>0</v>
      </c>
      <c r="H220">
        <v>0</v>
      </c>
      <c r="I220" t="s">
        <v>74</v>
      </c>
      <c r="J220">
        <v>0</v>
      </c>
      <c r="K220">
        <v>0.07</v>
      </c>
      <c r="L220">
        <v>0</v>
      </c>
      <c r="M220">
        <v>0</v>
      </c>
      <c r="N220">
        <v>0.07</v>
      </c>
      <c r="O220" t="s">
        <v>74</v>
      </c>
      <c r="P220">
        <v>0</v>
      </c>
      <c r="Q220" t="s">
        <v>74</v>
      </c>
      <c r="R220">
        <v>0</v>
      </c>
      <c r="S220" t="s">
        <v>74</v>
      </c>
      <c r="T220">
        <v>0</v>
      </c>
      <c r="U220" t="s">
        <v>74</v>
      </c>
      <c r="V220">
        <v>0</v>
      </c>
      <c r="W220" t="s">
        <v>74</v>
      </c>
      <c r="X220">
        <v>0</v>
      </c>
      <c r="Y220">
        <v>0.07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56</v>
      </c>
      <c r="AF220">
        <v>37</v>
      </c>
      <c r="AG220">
        <v>26</v>
      </c>
      <c r="AH220">
        <v>0</v>
      </c>
      <c r="AI220">
        <v>0.0089999999999999993</v>
      </c>
      <c r="AK220" t="s">
        <v>825</v>
      </c>
      <c r="AM220">
        <v>200000</v>
      </c>
      <c r="AN220" t="s">
        <v>92</v>
      </c>
      <c r="AO220">
        <v>1</v>
      </c>
      <c r="AP220">
        <v>0</v>
      </c>
      <c r="AQ220">
        <v>16666.666666666668</v>
      </c>
      <c r="AR220" t="s">
        <v>942</v>
      </c>
      <c r="AS220" t="s">
        <v>78</v>
      </c>
      <c r="AX220" t="s">
        <v>79</v>
      </c>
      <c r="AY220" t="s">
        <v>74</v>
      </c>
      <c r="AZ220">
        <v>0</v>
      </c>
      <c r="BA220" t="s">
        <v>74</v>
      </c>
      <c r="BB220">
        <v>0</v>
      </c>
      <c r="BD220">
        <v>0.07</v>
      </c>
      <c r="BE220">
        <v>0</v>
      </c>
    </row>
    <row r="221" spans="1:58" ht="12.75">
      <c r="A221" s="2" t="str">
        <f>HYPERLINK("https://ibp.a2mac1.com/costing(costing:projects/details/8191/part/5381460)"," Front upper")</f>
        <v xml:space="preserve"> Front upper</v>
      </c>
      <c r="B221">
        <v>5381460</v>
      </c>
      <c r="C221">
        <v>5381328</v>
      </c>
      <c r="D221" t="s">
        <v>943</v>
      </c>
      <c r="E221">
        <v>0.48</v>
      </c>
      <c r="F221">
        <v>0</v>
      </c>
      <c r="G221">
        <v>0</v>
      </c>
      <c r="H221">
        <v>0</v>
      </c>
      <c r="I221" t="s">
        <v>74</v>
      </c>
      <c r="J221">
        <v>0</v>
      </c>
      <c r="K221">
        <v>0.48</v>
      </c>
      <c r="L221">
        <v>0</v>
      </c>
      <c r="M221">
        <v>0</v>
      </c>
      <c r="N221">
        <v>0.48</v>
      </c>
      <c r="O221" t="s">
        <v>74</v>
      </c>
      <c r="P221">
        <v>0</v>
      </c>
      <c r="Q221" t="s">
        <v>74</v>
      </c>
      <c r="R221">
        <v>0</v>
      </c>
      <c r="S221" t="s">
        <v>74</v>
      </c>
      <c r="T221">
        <v>0</v>
      </c>
      <c r="U221" t="s">
        <v>74</v>
      </c>
      <c r="V221">
        <v>0</v>
      </c>
      <c r="W221" t="s">
        <v>74</v>
      </c>
      <c r="X221">
        <v>0</v>
      </c>
      <c r="Y221">
        <v>0.48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245</v>
      </c>
      <c r="AF221">
        <v>28</v>
      </c>
      <c r="AG221">
        <v>26</v>
      </c>
      <c r="AH221">
        <v>0</v>
      </c>
      <c r="AI221">
        <v>0.012999999999999999</v>
      </c>
      <c r="AK221" t="s">
        <v>825</v>
      </c>
      <c r="AM221">
        <v>400000</v>
      </c>
      <c r="AN221" t="s">
        <v>92</v>
      </c>
      <c r="AO221">
        <v>2</v>
      </c>
      <c r="AP221">
        <v>0</v>
      </c>
      <c r="AQ221">
        <v>33333.333333333336</v>
      </c>
      <c r="AR221" t="s">
        <v>944</v>
      </c>
      <c r="AS221" t="s">
        <v>78</v>
      </c>
      <c r="AX221" t="s">
        <v>79</v>
      </c>
      <c r="AY221" t="s">
        <v>74</v>
      </c>
      <c r="AZ221">
        <v>0</v>
      </c>
      <c r="BA221" t="s">
        <v>74</v>
      </c>
      <c r="BB221">
        <v>0</v>
      </c>
      <c r="BD221">
        <v>0.24</v>
      </c>
      <c r="BE221">
        <v>0</v>
      </c>
    </row>
    <row r="222" spans="1:58" ht="12.75">
      <c r="A222" s="2" t="str">
        <f>HYPERLINK("https://ibp.a2mac1.com/costing(costing:projects/details/8191/part/5381461)"," Front lower")</f>
        <v xml:space="preserve"> Front lower</v>
      </c>
      <c r="B222">
        <v>5381461</v>
      </c>
      <c r="C222">
        <v>5381328</v>
      </c>
      <c r="D222" t="s">
        <v>945</v>
      </c>
      <c r="E222">
        <v>0.22</v>
      </c>
      <c r="F222">
        <v>0</v>
      </c>
      <c r="G222">
        <v>0</v>
      </c>
      <c r="H222">
        <v>0</v>
      </c>
      <c r="I222" t="s">
        <v>74</v>
      </c>
      <c r="J222">
        <v>0</v>
      </c>
      <c r="K222">
        <v>0.22</v>
      </c>
      <c r="L222">
        <v>0</v>
      </c>
      <c r="M222">
        <v>0</v>
      </c>
      <c r="N222">
        <v>0.22</v>
      </c>
      <c r="O222" t="s">
        <v>74</v>
      </c>
      <c r="P222">
        <v>0</v>
      </c>
      <c r="Q222" t="s">
        <v>74</v>
      </c>
      <c r="R222">
        <v>0</v>
      </c>
      <c r="S222" t="s">
        <v>74</v>
      </c>
      <c r="T222">
        <v>0</v>
      </c>
      <c r="U222" t="s">
        <v>74</v>
      </c>
      <c r="V222">
        <v>0</v>
      </c>
      <c r="W222" t="s">
        <v>74</v>
      </c>
      <c r="X222">
        <v>0</v>
      </c>
      <c r="Y222">
        <v>0.22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64</v>
      </c>
      <c r="AF222">
        <v>23</v>
      </c>
      <c r="AG222">
        <v>9</v>
      </c>
      <c r="AH222">
        <v>0</v>
      </c>
      <c r="AI222">
        <v>0.0030000000000000001</v>
      </c>
      <c r="AK222" t="s">
        <v>825</v>
      </c>
      <c r="AM222">
        <v>400000</v>
      </c>
      <c r="AN222" t="s">
        <v>92</v>
      </c>
      <c r="AO222">
        <v>2</v>
      </c>
      <c r="AP222">
        <v>0</v>
      </c>
      <c r="AQ222">
        <v>33333.333333333336</v>
      </c>
      <c r="AR222" t="s">
        <v>946</v>
      </c>
      <c r="AS222" t="s">
        <v>78</v>
      </c>
      <c r="AX222" t="s">
        <v>79</v>
      </c>
      <c r="AY222" t="s">
        <v>74</v>
      </c>
      <c r="AZ222">
        <v>0</v>
      </c>
      <c r="BA222" t="s">
        <v>74</v>
      </c>
      <c r="BB222">
        <v>0</v>
      </c>
      <c r="BD222">
        <v>0.11</v>
      </c>
      <c r="BE222">
        <v>0</v>
      </c>
    </row>
    <row r="223" spans="1:58" ht="12.75">
      <c r="A223" s="2" t="str">
        <f>HYPERLINK("https://ibp.a2mac1.com/costing(costing:projects/details/8191/part/5381462)"," Front lower - second element")</f>
        <v xml:space="preserve"> Front lower - second element</v>
      </c>
      <c r="B223">
        <v>5381462</v>
      </c>
      <c r="C223">
        <v>5381328</v>
      </c>
      <c r="D223" t="s">
        <v>947</v>
      </c>
      <c r="E223">
        <v>0.30</v>
      </c>
      <c r="F223">
        <v>0</v>
      </c>
      <c r="G223">
        <v>0</v>
      </c>
      <c r="H223">
        <v>0</v>
      </c>
      <c r="I223" t="s">
        <v>74</v>
      </c>
      <c r="J223">
        <v>0</v>
      </c>
      <c r="K223">
        <v>0.30</v>
      </c>
      <c r="L223">
        <v>0</v>
      </c>
      <c r="M223">
        <v>0</v>
      </c>
      <c r="N223">
        <v>0.30</v>
      </c>
      <c r="O223" t="s">
        <v>74</v>
      </c>
      <c r="P223">
        <v>0</v>
      </c>
      <c r="Q223" t="s">
        <v>74</v>
      </c>
      <c r="R223">
        <v>0</v>
      </c>
      <c r="S223" t="s">
        <v>74</v>
      </c>
      <c r="T223">
        <v>0</v>
      </c>
      <c r="U223" t="s">
        <v>74</v>
      </c>
      <c r="V223">
        <v>0</v>
      </c>
      <c r="W223" t="s">
        <v>74</v>
      </c>
      <c r="X223">
        <v>0</v>
      </c>
      <c r="Y223">
        <v>0.30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125</v>
      </c>
      <c r="AF223">
        <v>26</v>
      </c>
      <c r="AG223">
        <v>27</v>
      </c>
      <c r="AH223">
        <v>0</v>
      </c>
      <c r="AI223">
        <v>0.0115</v>
      </c>
      <c r="AK223" t="s">
        <v>825</v>
      </c>
      <c r="AM223">
        <v>400000</v>
      </c>
      <c r="AN223" t="s">
        <v>92</v>
      </c>
      <c r="AO223">
        <v>2</v>
      </c>
      <c r="AP223">
        <v>0</v>
      </c>
      <c r="AQ223">
        <v>33333.333333333336</v>
      </c>
      <c r="AR223" t="s">
        <v>948</v>
      </c>
      <c r="AS223" t="s">
        <v>78</v>
      </c>
      <c r="AX223" t="s">
        <v>79</v>
      </c>
      <c r="AY223" t="s">
        <v>74</v>
      </c>
      <c r="AZ223">
        <v>0</v>
      </c>
      <c r="BA223" t="s">
        <v>74</v>
      </c>
      <c r="BB223">
        <v>0</v>
      </c>
      <c r="BD223">
        <v>0.15</v>
      </c>
      <c r="BE223">
        <v>0</v>
      </c>
    </row>
    <row r="224" spans="1:58" ht="12.75">
      <c r="A224" s="2" t="str">
        <f>HYPERLINK("https://ibp.a2mac1.com/costing(costing:projects/details/8191/part/5381463)"," Front Center")</f>
        <v xml:space="preserve"> Front Center</v>
      </c>
      <c r="B224">
        <v>5381463</v>
      </c>
      <c r="C224">
        <v>5381328</v>
      </c>
      <c r="D224" t="s">
        <v>949</v>
      </c>
      <c r="E224">
        <v>0.08</v>
      </c>
      <c r="F224">
        <v>0</v>
      </c>
      <c r="G224">
        <v>0</v>
      </c>
      <c r="H224">
        <v>0</v>
      </c>
      <c r="I224" t="s">
        <v>74</v>
      </c>
      <c r="J224">
        <v>0</v>
      </c>
      <c r="K224">
        <v>0.08</v>
      </c>
      <c r="L224">
        <v>0</v>
      </c>
      <c r="M224">
        <v>0</v>
      </c>
      <c r="N224">
        <v>0.08</v>
      </c>
      <c r="O224" t="s">
        <v>74</v>
      </c>
      <c r="P224">
        <v>0</v>
      </c>
      <c r="Q224" t="s">
        <v>74</v>
      </c>
      <c r="R224">
        <v>0</v>
      </c>
      <c r="S224" t="s">
        <v>74</v>
      </c>
      <c r="T224">
        <v>0</v>
      </c>
      <c r="U224" t="s">
        <v>74</v>
      </c>
      <c r="V224">
        <v>0</v>
      </c>
      <c r="W224" t="s">
        <v>74</v>
      </c>
      <c r="X224">
        <v>0</v>
      </c>
      <c r="Y224">
        <v>0.08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60</v>
      </c>
      <c r="AF224">
        <v>100</v>
      </c>
      <c r="AG224">
        <v>37</v>
      </c>
      <c r="AH224">
        <v>0</v>
      </c>
      <c r="AI224">
        <v>0.014</v>
      </c>
      <c r="AK224" t="s">
        <v>825</v>
      </c>
      <c r="AM224">
        <v>200000</v>
      </c>
      <c r="AN224" t="s">
        <v>92</v>
      </c>
      <c r="AO224">
        <v>1</v>
      </c>
      <c r="AP224">
        <v>0</v>
      </c>
      <c r="AQ224">
        <v>16666.666666666668</v>
      </c>
      <c r="AR224" t="s">
        <v>950</v>
      </c>
      <c r="AS224" t="s">
        <v>78</v>
      </c>
      <c r="AX224" t="s">
        <v>79</v>
      </c>
      <c r="AY224" t="s">
        <v>74</v>
      </c>
      <c r="AZ224">
        <v>0</v>
      </c>
      <c r="BA224" t="s">
        <v>74</v>
      </c>
      <c r="BB224">
        <v>0</v>
      </c>
      <c r="BD224">
        <v>0.08</v>
      </c>
      <c r="BE224">
        <v>0</v>
      </c>
    </row>
    <row r="225" spans="1:58" ht="12.75">
      <c r="A225" s="2" t="str">
        <f>HYPERLINK("https://ibp.a2mac1.com/costing(costing:projects/details/8191/part/5381464)"," Temperature Mix Mechanism")</f>
        <v xml:space="preserve"> Temperature Mix Mechanism</v>
      </c>
      <c r="B225">
        <v>5381464</v>
      </c>
      <c r="C225">
        <v>5381328</v>
      </c>
      <c r="D225" t="s">
        <v>951</v>
      </c>
      <c r="E225">
        <v>0.08</v>
      </c>
      <c r="F225">
        <v>0</v>
      </c>
      <c r="G225">
        <v>0</v>
      </c>
      <c r="H225">
        <v>0</v>
      </c>
      <c r="I225" t="s">
        <v>74</v>
      </c>
      <c r="J225">
        <v>0</v>
      </c>
      <c r="K225">
        <v>0.08</v>
      </c>
      <c r="L225">
        <v>0</v>
      </c>
      <c r="M225">
        <v>0</v>
      </c>
      <c r="N225">
        <v>0.08</v>
      </c>
      <c r="O225" t="s">
        <v>74</v>
      </c>
      <c r="P225">
        <v>0</v>
      </c>
      <c r="Q225" t="s">
        <v>74</v>
      </c>
      <c r="R225">
        <v>0</v>
      </c>
      <c r="S225" t="s">
        <v>74</v>
      </c>
      <c r="T225">
        <v>0</v>
      </c>
      <c r="U225" t="s">
        <v>74</v>
      </c>
      <c r="V225">
        <v>0</v>
      </c>
      <c r="W225" t="s">
        <v>74</v>
      </c>
      <c r="X225">
        <v>0</v>
      </c>
      <c r="Y225">
        <v>0.08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154</v>
      </c>
      <c r="AF225">
        <v>25</v>
      </c>
      <c r="AG225">
        <v>18</v>
      </c>
      <c r="AH225">
        <v>0</v>
      </c>
      <c r="AI225">
        <v>0.0070000000000000001</v>
      </c>
      <c r="AK225" t="s">
        <v>825</v>
      </c>
      <c r="AM225">
        <v>200000</v>
      </c>
      <c r="AN225" t="s">
        <v>92</v>
      </c>
      <c r="AO225">
        <v>1</v>
      </c>
      <c r="AP225">
        <v>0</v>
      </c>
      <c r="AQ225">
        <v>16666.666666666668</v>
      </c>
      <c r="AR225" t="s">
        <v>952</v>
      </c>
      <c r="AS225" t="s">
        <v>78</v>
      </c>
      <c r="AX225" t="s">
        <v>79</v>
      </c>
      <c r="AY225" t="s">
        <v>74</v>
      </c>
      <c r="AZ225">
        <v>0</v>
      </c>
      <c r="BA225" t="s">
        <v>74</v>
      </c>
      <c r="BB225">
        <v>0</v>
      </c>
      <c r="BD225">
        <v>0.08</v>
      </c>
      <c r="BE225">
        <v>0</v>
      </c>
    </row>
    <row r="226" spans="1:58" ht="12.75">
      <c r="A226" s="2" t="str">
        <f>HYPERLINK("https://ibp.a2mac1.com/costing(costing:projects/details/8191/part/5381465)"," Temperature Mix Mechanism 2nd Part")</f>
        <v xml:space="preserve"> Temperature Mix Mechanism 2nd Part</v>
      </c>
      <c r="B226">
        <v>5381465</v>
      </c>
      <c r="C226">
        <v>5381328</v>
      </c>
      <c r="D226" t="s">
        <v>953</v>
      </c>
      <c r="E226">
        <v>0.08</v>
      </c>
      <c r="F226">
        <v>0</v>
      </c>
      <c r="G226">
        <v>0</v>
      </c>
      <c r="H226">
        <v>0</v>
      </c>
      <c r="I226" t="s">
        <v>74</v>
      </c>
      <c r="J226">
        <v>0</v>
      </c>
      <c r="K226">
        <v>0.08</v>
      </c>
      <c r="L226">
        <v>0</v>
      </c>
      <c r="M226">
        <v>0</v>
      </c>
      <c r="N226">
        <v>0.08</v>
      </c>
      <c r="O226" t="s">
        <v>74</v>
      </c>
      <c r="P226">
        <v>0</v>
      </c>
      <c r="Q226" t="s">
        <v>74</v>
      </c>
      <c r="R226">
        <v>0</v>
      </c>
      <c r="S226" t="s">
        <v>74</v>
      </c>
      <c r="T226">
        <v>0</v>
      </c>
      <c r="U226" t="s">
        <v>74</v>
      </c>
      <c r="V226">
        <v>0</v>
      </c>
      <c r="W226" t="s">
        <v>74</v>
      </c>
      <c r="X226">
        <v>0</v>
      </c>
      <c r="Y226">
        <v>0.08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44</v>
      </c>
      <c r="AF226">
        <v>61</v>
      </c>
      <c r="AG226">
        <v>17</v>
      </c>
      <c r="AH226">
        <v>0</v>
      </c>
      <c r="AI226">
        <v>0.0089999999999999993</v>
      </c>
      <c r="AK226" t="s">
        <v>825</v>
      </c>
      <c r="AM226">
        <v>200000</v>
      </c>
      <c r="AN226" t="s">
        <v>92</v>
      </c>
      <c r="AO226">
        <v>1</v>
      </c>
      <c r="AP226">
        <v>0</v>
      </c>
      <c r="AQ226">
        <v>16666.666666666668</v>
      </c>
      <c r="AR226" t="s">
        <v>954</v>
      </c>
      <c r="AS226" t="s">
        <v>78</v>
      </c>
      <c r="AX226" t="s">
        <v>79</v>
      </c>
      <c r="AY226" t="s">
        <v>74</v>
      </c>
      <c r="AZ226">
        <v>0</v>
      </c>
      <c r="BA226" t="s">
        <v>74</v>
      </c>
      <c r="BB226">
        <v>0</v>
      </c>
      <c r="BD226">
        <v>0.08</v>
      </c>
      <c r="BE226">
        <v>0</v>
      </c>
    </row>
    <row r="227" spans="1:58" ht="12.75">
      <c r="A227" s="2" t="str">
        <f>HYPERLINK("https://ibp.a2mac1.com/costing(costing:projects/details/8191/part/5381466)"," 2nd Temperature Mix Mechanism")</f>
        <v xml:space="preserve"> 2nd Temperature Mix Mechanism</v>
      </c>
      <c r="B227">
        <v>5381466</v>
      </c>
      <c r="C227">
        <v>5381328</v>
      </c>
      <c r="D227" t="s">
        <v>955</v>
      </c>
      <c r="E227">
        <v>0.08</v>
      </c>
      <c r="F227">
        <v>0</v>
      </c>
      <c r="G227">
        <v>0</v>
      </c>
      <c r="H227">
        <v>0</v>
      </c>
      <c r="I227" t="s">
        <v>74</v>
      </c>
      <c r="J227">
        <v>0</v>
      </c>
      <c r="K227">
        <v>0.08</v>
      </c>
      <c r="L227">
        <v>0</v>
      </c>
      <c r="M227">
        <v>0</v>
      </c>
      <c r="N227">
        <v>0.08</v>
      </c>
      <c r="O227" t="s">
        <v>74</v>
      </c>
      <c r="P227">
        <v>0</v>
      </c>
      <c r="Q227" t="s">
        <v>74</v>
      </c>
      <c r="R227">
        <v>0</v>
      </c>
      <c r="S227" t="s">
        <v>74</v>
      </c>
      <c r="T227">
        <v>0</v>
      </c>
      <c r="U227" t="s">
        <v>74</v>
      </c>
      <c r="V227">
        <v>0</v>
      </c>
      <c r="W227" t="s">
        <v>74</v>
      </c>
      <c r="X227">
        <v>0</v>
      </c>
      <c r="Y227">
        <v>0.08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153</v>
      </c>
      <c r="AF227">
        <v>40</v>
      </c>
      <c r="AG227">
        <v>34</v>
      </c>
      <c r="AH227">
        <v>0</v>
      </c>
      <c r="AI227">
        <v>0.0070000000000000001</v>
      </c>
      <c r="AK227" t="s">
        <v>825</v>
      </c>
      <c r="AM227">
        <v>200000</v>
      </c>
      <c r="AN227" t="s">
        <v>92</v>
      </c>
      <c r="AO227">
        <v>1</v>
      </c>
      <c r="AP227">
        <v>0</v>
      </c>
      <c r="AQ227">
        <v>16666.666666666668</v>
      </c>
      <c r="AR227" t="s">
        <v>956</v>
      </c>
      <c r="AS227" t="s">
        <v>78</v>
      </c>
      <c r="AX227" t="s">
        <v>79</v>
      </c>
      <c r="AY227" t="s">
        <v>74</v>
      </c>
      <c r="AZ227">
        <v>0</v>
      </c>
      <c r="BA227" t="s">
        <v>74</v>
      </c>
      <c r="BB227">
        <v>0</v>
      </c>
      <c r="BD227">
        <v>0.08</v>
      </c>
      <c r="BE227">
        <v>0</v>
      </c>
    </row>
    <row r="228" spans="1:58" ht="12.75">
      <c r="A228" s="2" t="str">
        <f>HYPERLINK("https://ibp.a2mac1.com/costing(costing:projects/details/8191/part/5381467)"," 3rd Temperature Mix Mechanism")</f>
        <v xml:space="preserve"> 3rd Temperature Mix Mechanism</v>
      </c>
      <c r="B228">
        <v>5381467</v>
      </c>
      <c r="C228">
        <v>5381328</v>
      </c>
      <c r="D228" t="s">
        <v>957</v>
      </c>
      <c r="E228">
        <v>0.08</v>
      </c>
      <c r="F228">
        <v>0</v>
      </c>
      <c r="G228">
        <v>0</v>
      </c>
      <c r="H228">
        <v>0</v>
      </c>
      <c r="I228" t="s">
        <v>74</v>
      </c>
      <c r="J228">
        <v>0</v>
      </c>
      <c r="K228">
        <v>0.08</v>
      </c>
      <c r="L228">
        <v>0</v>
      </c>
      <c r="M228">
        <v>0</v>
      </c>
      <c r="N228">
        <v>0.08</v>
      </c>
      <c r="O228" t="s">
        <v>74</v>
      </c>
      <c r="P228">
        <v>0</v>
      </c>
      <c r="Q228" t="s">
        <v>74</v>
      </c>
      <c r="R228">
        <v>0</v>
      </c>
      <c r="S228" t="s">
        <v>74</v>
      </c>
      <c r="T228">
        <v>0</v>
      </c>
      <c r="U228" t="s">
        <v>74</v>
      </c>
      <c r="V228">
        <v>0</v>
      </c>
      <c r="W228" t="s">
        <v>74</v>
      </c>
      <c r="X228">
        <v>0</v>
      </c>
      <c r="Y228">
        <v>0.08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46</v>
      </c>
      <c r="AF228">
        <v>60</v>
      </c>
      <c r="AG228">
        <v>17</v>
      </c>
      <c r="AH228">
        <v>0</v>
      </c>
      <c r="AI228">
        <v>0.0089999999999999993</v>
      </c>
      <c r="AK228" t="s">
        <v>825</v>
      </c>
      <c r="AM228">
        <v>200000</v>
      </c>
      <c r="AN228" t="s">
        <v>92</v>
      </c>
      <c r="AO228">
        <v>1</v>
      </c>
      <c r="AP228">
        <v>0</v>
      </c>
      <c r="AQ228">
        <v>16666.666666666668</v>
      </c>
      <c r="AR228" t="s">
        <v>958</v>
      </c>
      <c r="AS228" t="s">
        <v>78</v>
      </c>
      <c r="AX228" t="s">
        <v>79</v>
      </c>
      <c r="AY228" t="s">
        <v>74</v>
      </c>
      <c r="AZ228">
        <v>0</v>
      </c>
      <c r="BA228" t="s">
        <v>74</v>
      </c>
      <c r="BB228">
        <v>0</v>
      </c>
      <c r="BD228">
        <v>0.08</v>
      </c>
      <c r="BE228">
        <v>0</v>
      </c>
    </row>
    <row r="229" spans="1:58" ht="12.75">
      <c r="A229" s="2" t="str">
        <f>HYPERLINK("https://ibp.a2mac1.com/costing(costing:projects/details/8191/part/5381468)"," Complete/Multifunction Mechanism")</f>
        <v xml:space="preserve"> Complete/Multifunction Mechanism</v>
      </c>
      <c r="B229">
        <v>5381468</v>
      </c>
      <c r="C229">
        <v>5381328</v>
      </c>
      <c r="D229" t="s">
        <v>959</v>
      </c>
      <c r="E229">
        <v>0.14</v>
      </c>
      <c r="F229">
        <v>0</v>
      </c>
      <c r="G229">
        <v>0</v>
      </c>
      <c r="H229">
        <v>0</v>
      </c>
      <c r="I229" t="s">
        <v>74</v>
      </c>
      <c r="J229">
        <v>0</v>
      </c>
      <c r="K229">
        <v>0.14</v>
      </c>
      <c r="L229">
        <v>0</v>
      </c>
      <c r="M229">
        <v>0</v>
      </c>
      <c r="N229">
        <v>0.14</v>
      </c>
      <c r="O229" t="s">
        <v>74</v>
      </c>
      <c r="P229">
        <v>0</v>
      </c>
      <c r="Q229" t="s">
        <v>74</v>
      </c>
      <c r="R229">
        <v>0</v>
      </c>
      <c r="S229" t="s">
        <v>74</v>
      </c>
      <c r="T229">
        <v>0</v>
      </c>
      <c r="U229" t="s">
        <v>74</v>
      </c>
      <c r="V229">
        <v>0</v>
      </c>
      <c r="W229" t="s">
        <v>74</v>
      </c>
      <c r="X229">
        <v>0</v>
      </c>
      <c r="Y229">
        <v>0.14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75</v>
      </c>
      <c r="AF229">
        <v>75</v>
      </c>
      <c r="AG229">
        <v>20</v>
      </c>
      <c r="AH229">
        <v>0</v>
      </c>
      <c r="AI229">
        <v>0.025</v>
      </c>
      <c r="AK229" t="s">
        <v>825</v>
      </c>
      <c r="AM229">
        <v>200000</v>
      </c>
      <c r="AN229" t="s">
        <v>92</v>
      </c>
      <c r="AO229">
        <v>1</v>
      </c>
      <c r="AP229">
        <v>0</v>
      </c>
      <c r="AQ229">
        <v>16666.666666666668</v>
      </c>
      <c r="AR229" t="s">
        <v>960</v>
      </c>
      <c r="AS229" t="s">
        <v>78</v>
      </c>
      <c r="AX229" t="s">
        <v>79</v>
      </c>
      <c r="AY229" t="s">
        <v>74</v>
      </c>
      <c r="AZ229">
        <v>0</v>
      </c>
      <c r="BA229" t="s">
        <v>74</v>
      </c>
      <c r="BB229">
        <v>0</v>
      </c>
      <c r="BD229">
        <v>0.14</v>
      </c>
      <c r="BE229">
        <v>0</v>
      </c>
    </row>
    <row r="230" spans="1:58" ht="12.75">
      <c r="A230" s="2" t="str">
        <f>HYPERLINK("https://ibp.a2mac1.com/costing(costing:projects/details/8191/part/5381469)"," Complete/Multifunction Mechanism right")</f>
        <v xml:space="preserve"> Complete/Multifunction Mechanism right</v>
      </c>
      <c r="B230">
        <v>5381469</v>
      </c>
      <c r="C230">
        <v>5381328</v>
      </c>
      <c r="D230" t="s">
        <v>961</v>
      </c>
      <c r="E230">
        <v>0.14</v>
      </c>
      <c r="F230">
        <v>0</v>
      </c>
      <c r="G230">
        <v>0</v>
      </c>
      <c r="H230">
        <v>0</v>
      </c>
      <c r="I230" t="s">
        <v>74</v>
      </c>
      <c r="J230">
        <v>0</v>
      </c>
      <c r="K230">
        <v>0.14</v>
      </c>
      <c r="L230">
        <v>0</v>
      </c>
      <c r="M230">
        <v>0</v>
      </c>
      <c r="N230">
        <v>0.14</v>
      </c>
      <c r="O230" t="s">
        <v>74</v>
      </c>
      <c r="P230">
        <v>0</v>
      </c>
      <c r="Q230" t="s">
        <v>74</v>
      </c>
      <c r="R230">
        <v>0</v>
      </c>
      <c r="S230" t="s">
        <v>74</v>
      </c>
      <c r="T230">
        <v>0</v>
      </c>
      <c r="U230" t="s">
        <v>74</v>
      </c>
      <c r="V230">
        <v>0</v>
      </c>
      <c r="W230" t="s">
        <v>74</v>
      </c>
      <c r="X230">
        <v>0</v>
      </c>
      <c r="Y230">
        <v>0.14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75</v>
      </c>
      <c r="AF230">
        <v>75</v>
      </c>
      <c r="AG230">
        <v>20</v>
      </c>
      <c r="AH230">
        <v>0</v>
      </c>
      <c r="AI230">
        <v>0.025</v>
      </c>
      <c r="AK230" t="s">
        <v>825</v>
      </c>
      <c r="AM230">
        <v>200000</v>
      </c>
      <c r="AN230" t="s">
        <v>92</v>
      </c>
      <c r="AO230">
        <v>1</v>
      </c>
      <c r="AP230">
        <v>0</v>
      </c>
      <c r="AQ230">
        <v>16666.666666666668</v>
      </c>
      <c r="AR230" t="s">
        <v>962</v>
      </c>
      <c r="AS230" t="s">
        <v>78</v>
      </c>
      <c r="AX230" t="s">
        <v>79</v>
      </c>
      <c r="AY230" t="s">
        <v>74</v>
      </c>
      <c r="AZ230">
        <v>0</v>
      </c>
      <c r="BA230" t="s">
        <v>74</v>
      </c>
      <c r="BB230">
        <v>0</v>
      </c>
      <c r="BD230">
        <v>0.14</v>
      </c>
      <c r="BE230">
        <v>0</v>
      </c>
    </row>
    <row r="231" spans="1:58" ht="12.75">
      <c r="A231" s="2" t="str">
        <f>HYPERLINK("https://ibp.a2mac1.com/costing(costing:projects/details/8191/part/5381470)"," Right Side Heater Core Mechanism")</f>
        <v xml:space="preserve"> Right Side Heater Core Mechanism</v>
      </c>
      <c r="B231">
        <v>5381470</v>
      </c>
      <c r="C231">
        <v>5381328</v>
      </c>
      <c r="D231" t="s">
        <v>963</v>
      </c>
      <c r="E231">
        <v>0.05</v>
      </c>
      <c r="F231">
        <v>0</v>
      </c>
      <c r="G231">
        <v>0</v>
      </c>
      <c r="H231">
        <v>0</v>
      </c>
      <c r="I231" t="s">
        <v>74</v>
      </c>
      <c r="J231">
        <v>0</v>
      </c>
      <c r="K231">
        <v>0.05</v>
      </c>
      <c r="L231">
        <v>0</v>
      </c>
      <c r="M231">
        <v>0</v>
      </c>
      <c r="N231">
        <v>0.05</v>
      </c>
      <c r="O231" t="s">
        <v>74</v>
      </c>
      <c r="P231">
        <v>0</v>
      </c>
      <c r="Q231" t="s">
        <v>74</v>
      </c>
      <c r="R231">
        <v>0</v>
      </c>
      <c r="S231" t="s">
        <v>74</v>
      </c>
      <c r="T231">
        <v>0</v>
      </c>
      <c r="U231" t="s">
        <v>74</v>
      </c>
      <c r="V231">
        <v>0</v>
      </c>
      <c r="W231" t="s">
        <v>74</v>
      </c>
      <c r="X231">
        <v>0</v>
      </c>
      <c r="Y231">
        <v>0.05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30</v>
      </c>
      <c r="AF231">
        <v>27</v>
      </c>
      <c r="AG231">
        <v>21</v>
      </c>
      <c r="AH231">
        <v>0</v>
      </c>
      <c r="AI231">
        <v>0.0040000000000000001</v>
      </c>
      <c r="AK231" t="s">
        <v>825</v>
      </c>
      <c r="AM231">
        <v>200000</v>
      </c>
      <c r="AN231" t="s">
        <v>92</v>
      </c>
      <c r="AO231">
        <v>1</v>
      </c>
      <c r="AP231">
        <v>0</v>
      </c>
      <c r="AQ231">
        <v>16666.666666666668</v>
      </c>
      <c r="AR231" t="s">
        <v>964</v>
      </c>
      <c r="AS231" t="s">
        <v>78</v>
      </c>
      <c r="AX231" t="s">
        <v>79</v>
      </c>
      <c r="AY231" t="s">
        <v>74</v>
      </c>
      <c r="AZ231">
        <v>0</v>
      </c>
      <c r="BA231" t="s">
        <v>74</v>
      </c>
      <c r="BB231">
        <v>0</v>
      </c>
      <c r="BD231">
        <v>0.05</v>
      </c>
      <c r="BE231">
        <v>0</v>
      </c>
    </row>
    <row r="232" spans="1:58" ht="12.75">
      <c r="A232" s="2" t="str">
        <f>HYPERLINK("https://ibp.a2mac1.com/costing(costing:projects/details/8191/part/5381491)"," 2nd Right Side Heater Core Mechanism")</f>
        <v xml:space="preserve"> 2nd Right Side Heater Core Mechanism</v>
      </c>
      <c r="B232">
        <v>5381491</v>
      </c>
      <c r="C232">
        <v>5381328</v>
      </c>
      <c r="D232" t="s">
        <v>965</v>
      </c>
      <c r="E232">
        <v>0.06</v>
      </c>
      <c r="F232">
        <v>0</v>
      </c>
      <c r="G232">
        <v>0</v>
      </c>
      <c r="H232">
        <v>0</v>
      </c>
      <c r="I232" t="s">
        <v>74</v>
      </c>
      <c r="J232">
        <v>0</v>
      </c>
      <c r="K232">
        <v>0.06</v>
      </c>
      <c r="L232">
        <v>0</v>
      </c>
      <c r="M232">
        <v>0</v>
      </c>
      <c r="N232">
        <v>0.06</v>
      </c>
      <c r="O232" t="s">
        <v>74</v>
      </c>
      <c r="P232">
        <v>0</v>
      </c>
      <c r="Q232" t="s">
        <v>74</v>
      </c>
      <c r="R232">
        <v>0</v>
      </c>
      <c r="S232" t="s">
        <v>74</v>
      </c>
      <c r="T232">
        <v>0</v>
      </c>
      <c r="U232" t="s">
        <v>74</v>
      </c>
      <c r="V232">
        <v>0</v>
      </c>
      <c r="W232" t="s">
        <v>74</v>
      </c>
      <c r="X232">
        <v>0</v>
      </c>
      <c r="Y232">
        <v>0.06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32</v>
      </c>
      <c r="AF232">
        <v>29</v>
      </c>
      <c r="AG232">
        <v>37</v>
      </c>
      <c r="AH232">
        <v>0</v>
      </c>
      <c r="AI232">
        <v>0.0060000000000000001</v>
      </c>
      <c r="AK232" t="s">
        <v>825</v>
      </c>
      <c r="AM232">
        <v>200000</v>
      </c>
      <c r="AN232" t="s">
        <v>92</v>
      </c>
      <c r="AO232">
        <v>1</v>
      </c>
      <c r="AP232">
        <v>0</v>
      </c>
      <c r="AQ232">
        <v>16666.666666666668</v>
      </c>
      <c r="AR232" t="s">
        <v>966</v>
      </c>
      <c r="AS232" t="s">
        <v>78</v>
      </c>
      <c r="AX232" t="s">
        <v>79</v>
      </c>
      <c r="AY232" t="s">
        <v>74</v>
      </c>
      <c r="AZ232">
        <v>0</v>
      </c>
      <c r="BA232" t="s">
        <v>74</v>
      </c>
      <c r="BB232">
        <v>0</v>
      </c>
      <c r="BD232">
        <v>0.06</v>
      </c>
      <c r="BE232">
        <v>0</v>
      </c>
    </row>
    <row r="233" spans="1:58" ht="12.75">
      <c r="A233" s="2" t="str">
        <f>HYPERLINK("https://ibp.a2mac1.com/costing(costing:projects/details/8191/part/5381492)"," Left Side Heater Core Mechanism")</f>
        <v xml:space="preserve"> Left Side Heater Core Mechanism</v>
      </c>
      <c r="B233">
        <v>5381492</v>
      </c>
      <c r="C233">
        <v>5381328</v>
      </c>
      <c r="D233" t="s">
        <v>967</v>
      </c>
      <c r="E233">
        <v>0.05</v>
      </c>
      <c r="F233">
        <v>0</v>
      </c>
      <c r="G233">
        <v>0</v>
      </c>
      <c r="H233">
        <v>0</v>
      </c>
      <c r="I233" t="s">
        <v>74</v>
      </c>
      <c r="J233">
        <v>0</v>
      </c>
      <c r="K233">
        <v>0.05</v>
      </c>
      <c r="L233">
        <v>0</v>
      </c>
      <c r="M233">
        <v>0</v>
      </c>
      <c r="N233">
        <v>0.05</v>
      </c>
      <c r="O233" t="s">
        <v>74</v>
      </c>
      <c r="P233">
        <v>0</v>
      </c>
      <c r="Q233" t="s">
        <v>74</v>
      </c>
      <c r="R233">
        <v>0</v>
      </c>
      <c r="S233" t="s">
        <v>74</v>
      </c>
      <c r="T233">
        <v>0</v>
      </c>
      <c r="U233" t="s">
        <v>74</v>
      </c>
      <c r="V233">
        <v>0</v>
      </c>
      <c r="W233" t="s">
        <v>74</v>
      </c>
      <c r="X233">
        <v>0</v>
      </c>
      <c r="Y233">
        <v>0.05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30</v>
      </c>
      <c r="AF233">
        <v>27</v>
      </c>
      <c r="AG233">
        <v>21</v>
      </c>
      <c r="AH233">
        <v>0</v>
      </c>
      <c r="AI233">
        <v>0.0040000000000000001</v>
      </c>
      <c r="AK233" t="s">
        <v>825</v>
      </c>
      <c r="AM233">
        <v>200000</v>
      </c>
      <c r="AN233" t="s">
        <v>92</v>
      </c>
      <c r="AO233">
        <v>1</v>
      </c>
      <c r="AP233">
        <v>0</v>
      </c>
      <c r="AQ233">
        <v>16666.666666666668</v>
      </c>
      <c r="AR233" t="s">
        <v>968</v>
      </c>
      <c r="AS233" t="s">
        <v>78</v>
      </c>
      <c r="AX233" t="s">
        <v>79</v>
      </c>
      <c r="AY233" t="s">
        <v>74</v>
      </c>
      <c r="AZ233">
        <v>0</v>
      </c>
      <c r="BA233" t="s">
        <v>74</v>
      </c>
      <c r="BB233">
        <v>0</v>
      </c>
      <c r="BD233">
        <v>0.05</v>
      </c>
      <c r="BE233">
        <v>0</v>
      </c>
    </row>
    <row r="234" spans="1:58" ht="12.75">
      <c r="A234" s="2" t="str">
        <f>HYPERLINK("https://ibp.a2mac1.com/costing(costing:projects/details/8191/part/5381493)"," 2nd Left Side Heater Core Mechanism")</f>
        <v xml:space="preserve"> 2nd Left Side Heater Core Mechanism</v>
      </c>
      <c r="B234">
        <v>5381493</v>
      </c>
      <c r="C234">
        <v>5381328</v>
      </c>
      <c r="D234" t="s">
        <v>969</v>
      </c>
      <c r="E234">
        <v>0.05</v>
      </c>
      <c r="F234">
        <v>0</v>
      </c>
      <c r="G234">
        <v>0</v>
      </c>
      <c r="H234">
        <v>0</v>
      </c>
      <c r="I234" t="s">
        <v>74</v>
      </c>
      <c r="J234">
        <v>0</v>
      </c>
      <c r="K234">
        <v>0.05</v>
      </c>
      <c r="L234">
        <v>0</v>
      </c>
      <c r="M234">
        <v>0</v>
      </c>
      <c r="N234">
        <v>0.05</v>
      </c>
      <c r="O234" t="s">
        <v>74</v>
      </c>
      <c r="P234">
        <v>0</v>
      </c>
      <c r="Q234" t="s">
        <v>74</v>
      </c>
      <c r="R234">
        <v>0</v>
      </c>
      <c r="S234" t="s">
        <v>74</v>
      </c>
      <c r="T234">
        <v>0</v>
      </c>
      <c r="U234" t="s">
        <v>74</v>
      </c>
      <c r="V234">
        <v>0</v>
      </c>
      <c r="W234" t="s">
        <v>74</v>
      </c>
      <c r="X234">
        <v>0</v>
      </c>
      <c r="Y234">
        <v>0.05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32</v>
      </c>
      <c r="AF234">
        <v>30</v>
      </c>
      <c r="AG234">
        <v>25</v>
      </c>
      <c r="AH234">
        <v>0</v>
      </c>
      <c r="AI234">
        <v>0.005</v>
      </c>
      <c r="AK234" t="s">
        <v>825</v>
      </c>
      <c r="AM234">
        <v>200000</v>
      </c>
      <c r="AN234" t="s">
        <v>92</v>
      </c>
      <c r="AO234">
        <v>1</v>
      </c>
      <c r="AP234">
        <v>0</v>
      </c>
      <c r="AQ234">
        <v>16666.666666666668</v>
      </c>
      <c r="AR234" t="s">
        <v>970</v>
      </c>
      <c r="AS234" t="s">
        <v>78</v>
      </c>
      <c r="AX234" t="s">
        <v>79</v>
      </c>
      <c r="AY234" t="s">
        <v>74</v>
      </c>
      <c r="AZ234">
        <v>0</v>
      </c>
      <c r="BA234" t="s">
        <v>74</v>
      </c>
      <c r="BB234">
        <v>0</v>
      </c>
      <c r="BD234">
        <v>0.05</v>
      </c>
      <c r="BE234">
        <v>0</v>
      </c>
    </row>
    <row r="235" spans="1:58" ht="12.75">
      <c r="A235" s="2" t="str">
        <f>HYPERLINK("https://ibp.a2mac1.com/costing(costing:projects/details/8191/part/5381494)"," 2nd Mechanism Support")</f>
        <v xml:space="preserve"> 2nd Mechanism Support</v>
      </c>
      <c r="B235">
        <v>5381494</v>
      </c>
      <c r="C235">
        <v>5381328</v>
      </c>
      <c r="D235" t="s">
        <v>971</v>
      </c>
      <c r="E235">
        <v>0.19</v>
      </c>
      <c r="F235">
        <v>0</v>
      </c>
      <c r="G235">
        <v>0</v>
      </c>
      <c r="H235">
        <v>0</v>
      </c>
      <c r="I235" t="s">
        <v>74</v>
      </c>
      <c r="J235">
        <v>0</v>
      </c>
      <c r="K235">
        <v>0.19</v>
      </c>
      <c r="L235">
        <v>0</v>
      </c>
      <c r="M235">
        <v>0</v>
      </c>
      <c r="N235">
        <v>0.19</v>
      </c>
      <c r="O235" t="s">
        <v>74</v>
      </c>
      <c r="P235">
        <v>0</v>
      </c>
      <c r="Q235" t="s">
        <v>74</v>
      </c>
      <c r="R235">
        <v>0</v>
      </c>
      <c r="S235" t="s">
        <v>74</v>
      </c>
      <c r="T235">
        <v>0</v>
      </c>
      <c r="U235" t="s">
        <v>74</v>
      </c>
      <c r="V235">
        <v>0</v>
      </c>
      <c r="W235" t="s">
        <v>74</v>
      </c>
      <c r="X235">
        <v>0</v>
      </c>
      <c r="Y235">
        <v>0.19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172</v>
      </c>
      <c r="AF235">
        <v>170</v>
      </c>
      <c r="AG235">
        <v>64</v>
      </c>
      <c r="AH235">
        <v>0</v>
      </c>
      <c r="AI235">
        <v>0.064000000000000001</v>
      </c>
      <c r="AK235" t="s">
        <v>825</v>
      </c>
      <c r="AM235">
        <v>200000</v>
      </c>
      <c r="AN235" t="s">
        <v>92</v>
      </c>
      <c r="AO235">
        <v>1</v>
      </c>
      <c r="AP235">
        <v>0</v>
      </c>
      <c r="AQ235">
        <v>16666.666666666668</v>
      </c>
      <c r="AR235" t="s">
        <v>972</v>
      </c>
      <c r="AS235" t="s">
        <v>78</v>
      </c>
      <c r="AX235" t="s">
        <v>79</v>
      </c>
      <c r="AY235" t="s">
        <v>74</v>
      </c>
      <c r="AZ235">
        <v>0</v>
      </c>
      <c r="BA235" t="s">
        <v>74</v>
      </c>
      <c r="BB235">
        <v>0</v>
      </c>
      <c r="BD235">
        <v>0.19</v>
      </c>
      <c r="BE235">
        <v>0</v>
      </c>
    </row>
    <row r="236" spans="1:58" ht="12.75">
      <c r="A236" s="2" t="str">
        <f>HYPERLINK("https://ibp.a2mac1.com/costing(costing:projects/details/8191/part/5381495)"," Foot Mechanism")</f>
        <v xml:space="preserve"> Foot Mechanism</v>
      </c>
      <c r="B236">
        <v>5381495</v>
      </c>
      <c r="C236">
        <v>5381328</v>
      </c>
      <c r="D236" t="s">
        <v>973</v>
      </c>
      <c r="E236">
        <v>0.11</v>
      </c>
      <c r="F236">
        <v>0</v>
      </c>
      <c r="G236">
        <v>0</v>
      </c>
      <c r="H236">
        <v>0</v>
      </c>
      <c r="I236" t="s">
        <v>74</v>
      </c>
      <c r="J236">
        <v>0</v>
      </c>
      <c r="K236">
        <v>0.11</v>
      </c>
      <c r="L236">
        <v>0</v>
      </c>
      <c r="M236">
        <v>0</v>
      </c>
      <c r="N236">
        <v>0.11</v>
      </c>
      <c r="O236" t="s">
        <v>74</v>
      </c>
      <c r="P236">
        <v>0</v>
      </c>
      <c r="Q236" t="s">
        <v>74</v>
      </c>
      <c r="R236">
        <v>0</v>
      </c>
      <c r="S236" t="s">
        <v>74</v>
      </c>
      <c r="T236">
        <v>0</v>
      </c>
      <c r="U236" t="s">
        <v>74</v>
      </c>
      <c r="V236">
        <v>0</v>
      </c>
      <c r="W236" t="s">
        <v>74</v>
      </c>
      <c r="X236">
        <v>0</v>
      </c>
      <c r="Y236">
        <v>0.11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144</v>
      </c>
      <c r="AF236">
        <v>53</v>
      </c>
      <c r="AG236">
        <v>92</v>
      </c>
      <c r="AH236">
        <v>0</v>
      </c>
      <c r="AI236">
        <v>0.025</v>
      </c>
      <c r="AK236" t="s">
        <v>825</v>
      </c>
      <c r="AM236">
        <v>200000</v>
      </c>
      <c r="AN236" t="s">
        <v>92</v>
      </c>
      <c r="AO236">
        <v>1</v>
      </c>
      <c r="AP236">
        <v>0</v>
      </c>
      <c r="AQ236">
        <v>16666.666666666668</v>
      </c>
      <c r="AR236" t="s">
        <v>974</v>
      </c>
      <c r="AS236" t="s">
        <v>78</v>
      </c>
      <c r="AX236" t="s">
        <v>79</v>
      </c>
      <c r="AY236" t="s">
        <v>74</v>
      </c>
      <c r="AZ236">
        <v>0</v>
      </c>
      <c r="BA236" t="s">
        <v>74</v>
      </c>
      <c r="BB236">
        <v>0</v>
      </c>
      <c r="BD236">
        <v>0.11</v>
      </c>
      <c r="BE236">
        <v>0</v>
      </c>
    </row>
    <row r="237" spans="1:58" ht="12.75">
      <c r="A237" s="2" t="str">
        <f>HYPERLINK("https://ibp.a2mac1.com/costing(costing:projects/details/8191/part/5381496)"," Central Mechanism")</f>
        <v xml:space="preserve"> Central Mechanism</v>
      </c>
      <c r="B237">
        <v>5381496</v>
      </c>
      <c r="C237">
        <v>5381328</v>
      </c>
      <c r="D237" t="s">
        <v>975</v>
      </c>
      <c r="E237">
        <v>0.11</v>
      </c>
      <c r="F237">
        <v>0</v>
      </c>
      <c r="G237">
        <v>0</v>
      </c>
      <c r="H237">
        <v>0</v>
      </c>
      <c r="I237" t="s">
        <v>74</v>
      </c>
      <c r="J237">
        <v>0</v>
      </c>
      <c r="K237">
        <v>0.11</v>
      </c>
      <c r="L237">
        <v>0</v>
      </c>
      <c r="M237">
        <v>0</v>
      </c>
      <c r="N237">
        <v>0.11</v>
      </c>
      <c r="O237" t="s">
        <v>74</v>
      </c>
      <c r="P237">
        <v>0</v>
      </c>
      <c r="Q237" t="s">
        <v>74</v>
      </c>
      <c r="R237">
        <v>0</v>
      </c>
      <c r="S237" t="s">
        <v>74</v>
      </c>
      <c r="T237">
        <v>0</v>
      </c>
      <c r="U237" t="s">
        <v>74</v>
      </c>
      <c r="V237">
        <v>0</v>
      </c>
      <c r="W237" t="s">
        <v>74</v>
      </c>
      <c r="X237">
        <v>0</v>
      </c>
      <c r="Y237">
        <v>0.11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210</v>
      </c>
      <c r="AF237">
        <v>50</v>
      </c>
      <c r="AG237">
        <v>32</v>
      </c>
      <c r="AH237">
        <v>0</v>
      </c>
      <c r="AI237">
        <v>0.010999999999999999</v>
      </c>
      <c r="AK237" t="s">
        <v>825</v>
      </c>
      <c r="AM237">
        <v>200000</v>
      </c>
      <c r="AN237" t="s">
        <v>92</v>
      </c>
      <c r="AO237">
        <v>1</v>
      </c>
      <c r="AP237">
        <v>0</v>
      </c>
      <c r="AQ237">
        <v>16666.666666666668</v>
      </c>
      <c r="AR237" t="s">
        <v>976</v>
      </c>
      <c r="AS237" t="s">
        <v>78</v>
      </c>
      <c r="AX237" t="s">
        <v>79</v>
      </c>
      <c r="AY237" t="s">
        <v>74</v>
      </c>
      <c r="AZ237">
        <v>0</v>
      </c>
      <c r="BA237" t="s">
        <v>74</v>
      </c>
      <c r="BB237">
        <v>0</v>
      </c>
      <c r="BD237">
        <v>0.11</v>
      </c>
      <c r="BE237">
        <v>0</v>
      </c>
    </row>
    <row r="238" spans="1:58" ht="12.75">
      <c r="A238" s="2" t="str">
        <f>HYPERLINK("https://ibp.a2mac1.com/costing(costing:projects/details/8191/part/5381692)"," Upper")</f>
        <v xml:space="preserve"> Upper</v>
      </c>
      <c r="B238">
        <v>5381692</v>
      </c>
      <c r="C238">
        <v>5381563</v>
      </c>
      <c r="D238" t="s">
        <v>982</v>
      </c>
      <c r="E238">
        <v>0.57</v>
      </c>
      <c r="F238">
        <v>0</v>
      </c>
      <c r="G238">
        <v>0</v>
      </c>
      <c r="H238">
        <v>0</v>
      </c>
      <c r="I238" t="s">
        <v>74</v>
      </c>
      <c r="J238">
        <v>0</v>
      </c>
      <c r="K238">
        <v>0.57</v>
      </c>
      <c r="L238">
        <v>0</v>
      </c>
      <c r="M238">
        <v>0</v>
      </c>
      <c r="N238">
        <v>0.57</v>
      </c>
      <c r="O238" t="s">
        <v>74</v>
      </c>
      <c r="P238">
        <v>0</v>
      </c>
      <c r="Q238" t="s">
        <v>74</v>
      </c>
      <c r="R238">
        <v>0</v>
      </c>
      <c r="S238" t="s">
        <v>74</v>
      </c>
      <c r="T238">
        <v>0</v>
      </c>
      <c r="U238" t="s">
        <v>74</v>
      </c>
      <c r="V238">
        <v>0</v>
      </c>
      <c r="W238" t="s">
        <v>74</v>
      </c>
      <c r="X238">
        <v>0</v>
      </c>
      <c r="Y238">
        <v>0.57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235</v>
      </c>
      <c r="AF238">
        <v>145</v>
      </c>
      <c r="AG238">
        <v>345</v>
      </c>
      <c r="AH238">
        <v>0</v>
      </c>
      <c r="AI238">
        <v>0.24</v>
      </c>
      <c r="AK238" t="s">
        <v>825</v>
      </c>
      <c r="AM238">
        <v>200000</v>
      </c>
      <c r="AN238" t="s">
        <v>92</v>
      </c>
      <c r="AO238">
        <v>1</v>
      </c>
      <c r="AP238">
        <v>0</v>
      </c>
      <c r="AQ238">
        <v>16666.666666666668</v>
      </c>
      <c r="AR238" t="s">
        <v>983</v>
      </c>
      <c r="AS238" t="s">
        <v>78</v>
      </c>
      <c r="AX238" t="s">
        <v>79</v>
      </c>
      <c r="AY238" t="s">
        <v>74</v>
      </c>
      <c r="AZ238">
        <v>0</v>
      </c>
      <c r="BA238" t="s">
        <v>74</v>
      </c>
      <c r="BB238">
        <v>0</v>
      </c>
      <c r="BD238">
        <v>0.57</v>
      </c>
      <c r="BE238">
        <v>0</v>
      </c>
    </row>
    <row r="239" spans="1:58" ht="12.75">
      <c r="A239" s="2" t="str">
        <f>HYPERLINK("https://ibp.a2mac1.com/costing(costing:projects/details/8191/part/5381693)"," Lower")</f>
        <v xml:space="preserve"> Lower</v>
      </c>
      <c r="B239">
        <v>5381693</v>
      </c>
      <c r="C239">
        <v>5381563</v>
      </c>
      <c r="D239" t="s">
        <v>984</v>
      </c>
      <c r="E239">
        <v>0.53</v>
      </c>
      <c r="F239">
        <v>0</v>
      </c>
      <c r="G239">
        <v>0</v>
      </c>
      <c r="H239">
        <v>0</v>
      </c>
      <c r="I239" t="s">
        <v>74</v>
      </c>
      <c r="J239">
        <v>0</v>
      </c>
      <c r="K239">
        <v>0.53</v>
      </c>
      <c r="L239">
        <v>0</v>
      </c>
      <c r="M239">
        <v>0</v>
      </c>
      <c r="N239">
        <v>0.53</v>
      </c>
      <c r="O239" t="s">
        <v>74</v>
      </c>
      <c r="P239">
        <v>0</v>
      </c>
      <c r="Q239" t="s">
        <v>74</v>
      </c>
      <c r="R239">
        <v>0</v>
      </c>
      <c r="S239" t="s">
        <v>74</v>
      </c>
      <c r="T239">
        <v>0</v>
      </c>
      <c r="U239" t="s">
        <v>74</v>
      </c>
      <c r="V239">
        <v>0</v>
      </c>
      <c r="W239" t="s">
        <v>74</v>
      </c>
      <c r="X239">
        <v>0</v>
      </c>
      <c r="Y239">
        <v>0.53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243</v>
      </c>
      <c r="AF239">
        <v>171</v>
      </c>
      <c r="AG239">
        <v>396</v>
      </c>
      <c r="AH239">
        <v>0</v>
      </c>
      <c r="AI239">
        <v>0.222</v>
      </c>
      <c r="AK239" t="s">
        <v>825</v>
      </c>
      <c r="AM239">
        <v>200000</v>
      </c>
      <c r="AN239" t="s">
        <v>92</v>
      </c>
      <c r="AO239">
        <v>1</v>
      </c>
      <c r="AP239">
        <v>0</v>
      </c>
      <c r="AQ239">
        <v>16666.666666666668</v>
      </c>
      <c r="AR239" t="s">
        <v>985</v>
      </c>
      <c r="AS239" t="s">
        <v>78</v>
      </c>
      <c r="AX239" t="s">
        <v>79</v>
      </c>
      <c r="AY239" t="s">
        <v>74</v>
      </c>
      <c r="AZ239">
        <v>0</v>
      </c>
      <c r="BA239" t="s">
        <v>74</v>
      </c>
      <c r="BB239">
        <v>0</v>
      </c>
      <c r="BD239">
        <v>0.53</v>
      </c>
      <c r="BE239">
        <v>0</v>
      </c>
    </row>
    <row r="240" spans="1:58" ht="12.75">
      <c r="A240" s="2" t="str">
        <f>HYPERLINK("https://ibp.a2mac1.com/costing(costing:projects/details/8191/part/5381694)"," Central")</f>
        <v xml:space="preserve"> Central</v>
      </c>
      <c r="B240">
        <v>5381694</v>
      </c>
      <c r="C240">
        <v>5381563</v>
      </c>
      <c r="D240" t="s">
        <v>986</v>
      </c>
      <c r="E240">
        <v>0.54</v>
      </c>
      <c r="F240">
        <v>0</v>
      </c>
      <c r="G240">
        <v>0</v>
      </c>
      <c r="H240">
        <v>0</v>
      </c>
      <c r="I240" t="s">
        <v>74</v>
      </c>
      <c r="J240">
        <v>0</v>
      </c>
      <c r="K240">
        <v>0.54</v>
      </c>
      <c r="L240">
        <v>0</v>
      </c>
      <c r="M240">
        <v>0</v>
      </c>
      <c r="N240">
        <v>0.54</v>
      </c>
      <c r="O240" t="s">
        <v>74</v>
      </c>
      <c r="P240">
        <v>0</v>
      </c>
      <c r="Q240" t="s">
        <v>74</v>
      </c>
      <c r="R240">
        <v>0</v>
      </c>
      <c r="S240" t="s">
        <v>74</v>
      </c>
      <c r="T240">
        <v>0</v>
      </c>
      <c r="U240" t="s">
        <v>74</v>
      </c>
      <c r="V240">
        <v>0</v>
      </c>
      <c r="W240" t="s">
        <v>74</v>
      </c>
      <c r="X240">
        <v>0</v>
      </c>
      <c r="Y240">
        <v>0.54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224</v>
      </c>
      <c r="AF240">
        <v>126</v>
      </c>
      <c r="AG240">
        <v>334</v>
      </c>
      <c r="AH240">
        <v>0</v>
      </c>
      <c r="AI240">
        <v>0.22900000000000001</v>
      </c>
      <c r="AK240" t="s">
        <v>825</v>
      </c>
      <c r="AM240">
        <v>200000</v>
      </c>
      <c r="AN240" t="s">
        <v>92</v>
      </c>
      <c r="AO240">
        <v>1</v>
      </c>
      <c r="AP240">
        <v>0</v>
      </c>
      <c r="AQ240">
        <v>16666.666666666668</v>
      </c>
      <c r="AR240" t="s">
        <v>987</v>
      </c>
      <c r="AS240" t="s">
        <v>78</v>
      </c>
      <c r="AX240" t="s">
        <v>79</v>
      </c>
      <c r="AY240" t="s">
        <v>74</v>
      </c>
      <c r="AZ240">
        <v>0</v>
      </c>
      <c r="BA240" t="s">
        <v>74</v>
      </c>
      <c r="BB240">
        <v>0</v>
      </c>
      <c r="BD240">
        <v>0.54</v>
      </c>
      <c r="BE240">
        <v>0</v>
      </c>
    </row>
    <row r="241" spans="1:58" ht="12.75">
      <c r="A241" s="2" t="str">
        <f>HYPERLINK("https://ibp.a2mac1.com/costing(costing:projects/details/8191/part/5381561)"," Blower Motor")</f>
        <v xml:space="preserve"> Blower Motor</v>
      </c>
      <c r="B241">
        <v>5381561</v>
      </c>
      <c r="C241">
        <v>5381498</v>
      </c>
      <c r="D241" t="s">
        <v>990</v>
      </c>
      <c r="E241">
        <v>23</v>
      </c>
      <c r="F241">
        <v>0</v>
      </c>
      <c r="G241">
        <v>0</v>
      </c>
      <c r="H241">
        <v>0</v>
      </c>
      <c r="I241" t="s">
        <v>74</v>
      </c>
      <c r="J241">
        <v>0</v>
      </c>
      <c r="K241">
        <v>23</v>
      </c>
      <c r="L241">
        <v>0</v>
      </c>
      <c r="M241">
        <v>0</v>
      </c>
      <c r="N241">
        <v>23</v>
      </c>
      <c r="O241" t="s">
        <v>74</v>
      </c>
      <c r="P241">
        <v>0</v>
      </c>
      <c r="Q241" t="s">
        <v>74</v>
      </c>
      <c r="R241">
        <v>0</v>
      </c>
      <c r="S241" t="s">
        <v>74</v>
      </c>
      <c r="T241">
        <v>0</v>
      </c>
      <c r="U241" t="s">
        <v>74</v>
      </c>
      <c r="V241">
        <v>0</v>
      </c>
      <c r="W241" t="s">
        <v>74</v>
      </c>
      <c r="X241">
        <v>0</v>
      </c>
      <c r="Y241">
        <v>23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194</v>
      </c>
      <c r="AF241">
        <v>142</v>
      </c>
      <c r="AG241">
        <v>205</v>
      </c>
      <c r="AH241">
        <v>0</v>
      </c>
      <c r="AI241">
        <v>1.266</v>
      </c>
      <c r="AK241" t="s">
        <v>213</v>
      </c>
      <c r="AM241">
        <v>200000</v>
      </c>
      <c r="AN241" t="s">
        <v>76</v>
      </c>
      <c r="AO241">
        <v>1</v>
      </c>
      <c r="AP241">
        <v>0</v>
      </c>
      <c r="AQ241">
        <v>16666.666666666668</v>
      </c>
      <c r="AR241" t="s">
        <v>991</v>
      </c>
      <c r="AS241" t="s">
        <v>78</v>
      </c>
      <c r="AX241" t="s">
        <v>79</v>
      </c>
      <c r="AY241" t="s">
        <v>74</v>
      </c>
      <c r="AZ241">
        <v>0</v>
      </c>
      <c r="BA241" t="s">
        <v>74</v>
      </c>
      <c r="BB241">
        <v>0</v>
      </c>
      <c r="BD241">
        <v>23</v>
      </c>
      <c r="BE241">
        <v>0</v>
      </c>
    </row>
    <row r="242" spans="1:58" ht="12.75">
      <c r="A242" s="2" t="str">
        <f>HYPERLINK("https://ibp.a2mac1.com/costing(costing:projects/details/8191/part/5381562)"," Air Inlet")</f>
        <v xml:space="preserve"> Air Inlet</v>
      </c>
      <c r="B242">
        <v>5381562</v>
      </c>
      <c r="C242">
        <v>5381498</v>
      </c>
      <c r="D242" t="s">
        <v>992</v>
      </c>
      <c r="E242">
        <v>0.42</v>
      </c>
      <c r="F242">
        <v>0</v>
      </c>
      <c r="G242">
        <v>0</v>
      </c>
      <c r="H242">
        <v>0</v>
      </c>
      <c r="I242" t="s">
        <v>74</v>
      </c>
      <c r="J242">
        <v>0</v>
      </c>
      <c r="K242">
        <v>0.42</v>
      </c>
      <c r="L242">
        <v>0</v>
      </c>
      <c r="M242">
        <v>0</v>
      </c>
      <c r="N242">
        <v>0.42</v>
      </c>
      <c r="O242" t="s">
        <v>74</v>
      </c>
      <c r="P242">
        <v>0</v>
      </c>
      <c r="Q242" t="s">
        <v>74</v>
      </c>
      <c r="R242">
        <v>0</v>
      </c>
      <c r="S242" t="s">
        <v>74</v>
      </c>
      <c r="T242">
        <v>0</v>
      </c>
      <c r="U242" t="s">
        <v>74</v>
      </c>
      <c r="V242">
        <v>0</v>
      </c>
      <c r="W242" t="s">
        <v>74</v>
      </c>
      <c r="X242">
        <v>0</v>
      </c>
      <c r="Y242">
        <v>0.42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330</v>
      </c>
      <c r="AF242">
        <v>90</v>
      </c>
      <c r="AG242">
        <v>150</v>
      </c>
      <c r="AH242">
        <v>0</v>
      </c>
      <c r="AI242">
        <v>0.14599999999999999</v>
      </c>
      <c r="AK242" t="s">
        <v>825</v>
      </c>
      <c r="AM242">
        <v>200000</v>
      </c>
      <c r="AN242" t="s">
        <v>92</v>
      </c>
      <c r="AO242">
        <v>1</v>
      </c>
      <c r="AP242">
        <v>0</v>
      </c>
      <c r="AQ242">
        <v>16666.666666666668</v>
      </c>
      <c r="AR242" t="s">
        <v>993</v>
      </c>
      <c r="AS242" t="s">
        <v>78</v>
      </c>
      <c r="AX242" t="s">
        <v>79</v>
      </c>
      <c r="AY242" t="s">
        <v>74</v>
      </c>
      <c r="AZ242">
        <v>0</v>
      </c>
      <c r="BA242" t="s">
        <v>74</v>
      </c>
      <c r="BB242">
        <v>0</v>
      </c>
      <c r="BD242">
        <v>0.42</v>
      </c>
      <c r="BE242">
        <v>0</v>
      </c>
    </row>
    <row r="243" spans="1:58" ht="12.75">
      <c r="A243" s="2" t="str">
        <f>HYPERLINK("https://ibp.a2mac1.com/costing(costing:projects/details/8191/part/5381497)"," Air Quality Sensor")</f>
        <v xml:space="preserve"> Air Quality Sensor</v>
      </c>
      <c r="B243">
        <v>5381497</v>
      </c>
      <c r="C243">
        <v>5381329</v>
      </c>
      <c r="D243" t="s">
        <v>996</v>
      </c>
      <c r="E243">
        <v>5</v>
      </c>
      <c r="F243">
        <v>0</v>
      </c>
      <c r="G243">
        <v>0</v>
      </c>
      <c r="H243">
        <v>0</v>
      </c>
      <c r="I243" t="s">
        <v>74</v>
      </c>
      <c r="J243">
        <v>0</v>
      </c>
      <c r="K243">
        <v>5</v>
      </c>
      <c r="L243">
        <v>0</v>
      </c>
      <c r="M243">
        <v>0</v>
      </c>
      <c r="N243">
        <v>5</v>
      </c>
      <c r="O243" t="s">
        <v>74</v>
      </c>
      <c r="P243">
        <v>0</v>
      </c>
      <c r="Q243" t="s">
        <v>74</v>
      </c>
      <c r="R243">
        <v>0</v>
      </c>
      <c r="S243" t="s">
        <v>74</v>
      </c>
      <c r="T243">
        <v>0</v>
      </c>
      <c r="U243" t="s">
        <v>74</v>
      </c>
      <c r="V243">
        <v>0</v>
      </c>
      <c r="W243" t="s">
        <v>74</v>
      </c>
      <c r="X243">
        <v>0</v>
      </c>
      <c r="Y243">
        <v>5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26</v>
      </c>
      <c r="AF243">
        <v>35</v>
      </c>
      <c r="AG243">
        <v>39</v>
      </c>
      <c r="AH243">
        <v>0</v>
      </c>
      <c r="AI243">
        <v>0.012</v>
      </c>
      <c r="AK243" t="s">
        <v>213</v>
      </c>
      <c r="AM243">
        <v>200000</v>
      </c>
      <c r="AN243" t="s">
        <v>76</v>
      </c>
      <c r="AO243">
        <v>1</v>
      </c>
      <c r="AP243">
        <v>0</v>
      </c>
      <c r="AQ243">
        <v>16666.666666666668</v>
      </c>
      <c r="AR243" t="s">
        <v>997</v>
      </c>
      <c r="AS243" t="s">
        <v>78</v>
      </c>
      <c r="AX243" t="s">
        <v>79</v>
      </c>
      <c r="AY243" t="s">
        <v>74</v>
      </c>
      <c r="AZ243">
        <v>0</v>
      </c>
      <c r="BA243" t="s">
        <v>74</v>
      </c>
      <c r="BB243">
        <v>0</v>
      </c>
      <c r="BD243">
        <v>5</v>
      </c>
      <c r="BE243">
        <v>0</v>
      </c>
    </row>
    <row r="244" spans="1:58" ht="12.75">
      <c r="A244" s="2" t="str">
        <f>HYPERLINK("https://ibp.a2mac1.com/costing(costing:projects/details/8191/part/5381499)"," Left")</f>
        <v xml:space="preserve"> Left</v>
      </c>
      <c r="B244">
        <v>5381499</v>
      </c>
      <c r="C244">
        <v>5381330</v>
      </c>
      <c r="D244" t="s">
        <v>1001</v>
      </c>
      <c r="E244">
        <v>0.28</v>
      </c>
      <c r="F244">
        <v>0</v>
      </c>
      <c r="G244">
        <v>0</v>
      </c>
      <c r="H244">
        <v>0</v>
      </c>
      <c r="I244" t="s">
        <v>74</v>
      </c>
      <c r="J244">
        <v>0</v>
      </c>
      <c r="K244">
        <v>0.28</v>
      </c>
      <c r="L244">
        <v>0</v>
      </c>
      <c r="M244">
        <v>0</v>
      </c>
      <c r="N244">
        <v>0.28</v>
      </c>
      <c r="O244" t="s">
        <v>74</v>
      </c>
      <c r="P244">
        <v>0</v>
      </c>
      <c r="Q244" t="s">
        <v>74</v>
      </c>
      <c r="R244">
        <v>0</v>
      </c>
      <c r="S244" t="s">
        <v>74</v>
      </c>
      <c r="T244">
        <v>0</v>
      </c>
      <c r="U244" t="s">
        <v>74</v>
      </c>
      <c r="V244">
        <v>0</v>
      </c>
      <c r="W244" t="s">
        <v>74</v>
      </c>
      <c r="X244">
        <v>0</v>
      </c>
      <c r="Y244">
        <v>0.28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145</v>
      </c>
      <c r="AF244">
        <v>55</v>
      </c>
      <c r="AG244">
        <v>80</v>
      </c>
      <c r="AH244">
        <v>0</v>
      </c>
      <c r="AI244">
        <v>0.052999999999999999</v>
      </c>
      <c r="AK244" t="s">
        <v>825</v>
      </c>
      <c r="AM244">
        <v>200000</v>
      </c>
      <c r="AN244" t="s">
        <v>92</v>
      </c>
      <c r="AO244">
        <v>1</v>
      </c>
      <c r="AP244">
        <v>0</v>
      </c>
      <c r="AQ244">
        <v>16666.666666666668</v>
      </c>
      <c r="AR244" t="s">
        <v>1002</v>
      </c>
      <c r="AS244" t="s">
        <v>78</v>
      </c>
      <c r="AX244" t="s">
        <v>79</v>
      </c>
      <c r="AY244" t="s">
        <v>74</v>
      </c>
      <c r="AZ244">
        <v>0</v>
      </c>
      <c r="BA244" t="s">
        <v>74</v>
      </c>
      <c r="BB244">
        <v>0</v>
      </c>
      <c r="BD244">
        <v>0.28</v>
      </c>
      <c r="BE244">
        <v>0</v>
      </c>
    </row>
    <row r="245" spans="1:58" ht="12.75">
      <c r="A245" s="2" t="str">
        <f>HYPERLINK("https://ibp.a2mac1.com/costing(costing:projects/details/8191/part/5381500)"," Central/Single")</f>
        <v xml:space="preserve"> Central/Single</v>
      </c>
      <c r="B245">
        <v>5381500</v>
      </c>
      <c r="C245">
        <v>5381330</v>
      </c>
      <c r="D245" t="s">
        <v>1005</v>
      </c>
      <c r="E245">
        <v>1.743752325</v>
      </c>
      <c r="F245">
        <v>0</v>
      </c>
      <c r="G245">
        <v>0</v>
      </c>
      <c r="H245">
        <v>0.0088455005157894728</v>
      </c>
      <c r="I245" t="s">
        <v>137</v>
      </c>
      <c r="J245">
        <v>0.061184292105263161</v>
      </c>
      <c r="K245">
        <v>1.8137821176210527</v>
      </c>
      <c r="L245">
        <v>0.03524321653334362</v>
      </c>
      <c r="M245">
        <v>0.21145929920006173</v>
      </c>
      <c r="N245">
        <v>2.0252414168211144</v>
      </c>
      <c r="O245" t="s">
        <v>90</v>
      </c>
      <c r="P245">
        <v>0</v>
      </c>
      <c r="Q245" t="s">
        <v>90</v>
      </c>
      <c r="R245">
        <v>0</v>
      </c>
      <c r="S245" t="s">
        <v>90</v>
      </c>
      <c r="T245">
        <v>0</v>
      </c>
      <c r="U245" t="s">
        <v>90</v>
      </c>
      <c r="V245">
        <v>0</v>
      </c>
      <c r="W245" t="s">
        <v>90</v>
      </c>
      <c r="X245">
        <v>0</v>
      </c>
      <c r="Y245">
        <v>2.0252414168211144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449</v>
      </c>
      <c r="AF245">
        <v>326</v>
      </c>
      <c r="AG245">
        <v>179</v>
      </c>
      <c r="AH245">
        <v>0</v>
      </c>
      <c r="AI245">
        <v>0.95099999999999996</v>
      </c>
      <c r="AK245" t="s">
        <v>825</v>
      </c>
      <c r="AM245">
        <v>200000</v>
      </c>
      <c r="AN245" t="s">
        <v>92</v>
      </c>
      <c r="AO245">
        <v>1</v>
      </c>
      <c r="AP245">
        <v>0</v>
      </c>
      <c r="AQ245">
        <v>16666.666666666668</v>
      </c>
      <c r="AR245" t="s">
        <v>1006</v>
      </c>
      <c r="AS245" t="s">
        <v>78</v>
      </c>
      <c r="AX245" t="s">
        <v>79</v>
      </c>
      <c r="AY245" t="s">
        <v>137</v>
      </c>
      <c r="AZ245">
        <v>0</v>
      </c>
      <c r="BA245" t="s">
        <v>137</v>
      </c>
      <c r="BB245">
        <v>0</v>
      </c>
      <c r="BE245">
        <v>0</v>
      </c>
    </row>
    <row r="246" spans="1:58" ht="12.75">
      <c r="A246" s="2" t="str">
        <f>HYPERLINK("https://ibp.a2mac1.com/costing(costing:projects/details/8191/part/5381501)"," Right")</f>
        <v xml:space="preserve"> Right</v>
      </c>
      <c r="B246">
        <v>5381501</v>
      </c>
      <c r="C246">
        <v>5381330</v>
      </c>
      <c r="D246" t="s">
        <v>1007</v>
      </c>
      <c r="E246">
        <v>0.17</v>
      </c>
      <c r="F246">
        <v>0</v>
      </c>
      <c r="G246">
        <v>0</v>
      </c>
      <c r="H246">
        <v>0</v>
      </c>
      <c r="I246" t="s">
        <v>74</v>
      </c>
      <c r="J246">
        <v>0</v>
      </c>
      <c r="K246">
        <v>0.17</v>
      </c>
      <c r="L246">
        <v>0</v>
      </c>
      <c r="M246">
        <v>0</v>
      </c>
      <c r="N246">
        <v>0.17</v>
      </c>
      <c r="O246" t="s">
        <v>74</v>
      </c>
      <c r="P246">
        <v>0</v>
      </c>
      <c r="Q246" t="s">
        <v>74</v>
      </c>
      <c r="R246">
        <v>0</v>
      </c>
      <c r="S246" t="s">
        <v>74</v>
      </c>
      <c r="T246">
        <v>0</v>
      </c>
      <c r="U246" t="s">
        <v>74</v>
      </c>
      <c r="V246">
        <v>0</v>
      </c>
      <c r="W246" t="s">
        <v>74</v>
      </c>
      <c r="X246">
        <v>0</v>
      </c>
      <c r="Y246">
        <v>0.17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52</v>
      </c>
      <c r="AF246">
        <v>41</v>
      </c>
      <c r="AG246">
        <v>190</v>
      </c>
      <c r="AH246">
        <v>0</v>
      </c>
      <c r="AI246">
        <v>0.112</v>
      </c>
      <c r="AK246" t="s">
        <v>825</v>
      </c>
      <c r="AM246">
        <v>200000</v>
      </c>
      <c r="AN246" t="s">
        <v>92</v>
      </c>
      <c r="AO246">
        <v>1</v>
      </c>
      <c r="AP246">
        <v>0</v>
      </c>
      <c r="AQ246">
        <v>16666.666666666668</v>
      </c>
      <c r="AR246" t="s">
        <v>1008</v>
      </c>
      <c r="AS246" t="s">
        <v>78</v>
      </c>
      <c r="AX246" t="s">
        <v>79</v>
      </c>
      <c r="AY246" t="s">
        <v>74</v>
      </c>
      <c r="AZ246">
        <v>0</v>
      </c>
      <c r="BA246" t="s">
        <v>74</v>
      </c>
      <c r="BB246">
        <v>0</v>
      </c>
      <c r="BD246">
        <v>0.17</v>
      </c>
      <c r="BE246">
        <v>0</v>
      </c>
    </row>
    <row r="247" spans="1:58" ht="12.75">
      <c r="A247" s="2" t="str">
        <f>HYPERLINK("https://ibp.a2mac1.com/costing(costing:projects/details/8191/part/5381502)"," Evaporator")</f>
        <v xml:space="preserve"> Evaporator</v>
      </c>
      <c r="B247">
        <v>5381502</v>
      </c>
      <c r="C247">
        <v>5381331</v>
      </c>
      <c r="D247" t="s">
        <v>1012</v>
      </c>
      <c r="E247">
        <v>16.50</v>
      </c>
      <c r="F247">
        <v>0</v>
      </c>
      <c r="G247">
        <v>0</v>
      </c>
      <c r="H247">
        <v>0</v>
      </c>
      <c r="I247" t="s">
        <v>74</v>
      </c>
      <c r="J247">
        <v>0</v>
      </c>
      <c r="K247">
        <v>16.50</v>
      </c>
      <c r="L247">
        <v>0</v>
      </c>
      <c r="M247">
        <v>0</v>
      </c>
      <c r="N247">
        <v>16.50</v>
      </c>
      <c r="O247" t="s">
        <v>74</v>
      </c>
      <c r="P247">
        <v>0</v>
      </c>
      <c r="Q247" t="s">
        <v>74</v>
      </c>
      <c r="R247">
        <v>0</v>
      </c>
      <c r="S247" t="s">
        <v>74</v>
      </c>
      <c r="T247">
        <v>0</v>
      </c>
      <c r="U247" t="s">
        <v>74</v>
      </c>
      <c r="V247">
        <v>0</v>
      </c>
      <c r="W247" t="s">
        <v>74</v>
      </c>
      <c r="X247">
        <v>0</v>
      </c>
      <c r="Y247">
        <v>16.50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320</v>
      </c>
      <c r="AF247">
        <v>257</v>
      </c>
      <c r="AG247">
        <v>127</v>
      </c>
      <c r="AH247">
        <v>0</v>
      </c>
      <c r="AI247">
        <v>0.995</v>
      </c>
      <c r="AK247" t="s">
        <v>213</v>
      </c>
      <c r="AM247">
        <v>200000</v>
      </c>
      <c r="AN247" t="s">
        <v>76</v>
      </c>
      <c r="AO247">
        <v>1</v>
      </c>
      <c r="AP247">
        <v>0</v>
      </c>
      <c r="AQ247">
        <v>16666.666666666668</v>
      </c>
      <c r="AR247" t="s">
        <v>1013</v>
      </c>
      <c r="AS247" t="s">
        <v>78</v>
      </c>
      <c r="AX247" t="s">
        <v>79</v>
      </c>
      <c r="AY247" t="s">
        <v>74</v>
      </c>
      <c r="AZ247">
        <v>0</v>
      </c>
      <c r="BA247" t="s">
        <v>74</v>
      </c>
      <c r="BB247">
        <v>0</v>
      </c>
      <c r="BD247">
        <v>16.50</v>
      </c>
      <c r="BE247">
        <v>0</v>
      </c>
    </row>
    <row r="248" spans="1:58" ht="12.75">
      <c r="A248" s="2" t="str">
        <f>HYPERLINK("https://ibp.a2mac1.com/costing(costing:projects/details/8191/part/5381503)"," Lower Housing")</f>
        <v xml:space="preserve"> Lower Housing</v>
      </c>
      <c r="B248">
        <v>5381503</v>
      </c>
      <c r="C248">
        <v>5381331</v>
      </c>
      <c r="D248" t="s">
        <v>1018</v>
      </c>
      <c r="E248">
        <v>0.61</v>
      </c>
      <c r="F248">
        <v>0</v>
      </c>
      <c r="G248">
        <v>0</v>
      </c>
      <c r="H248">
        <v>0</v>
      </c>
      <c r="I248" t="s">
        <v>74</v>
      </c>
      <c r="J248">
        <v>0</v>
      </c>
      <c r="K248">
        <v>0.61</v>
      </c>
      <c r="L248">
        <v>0</v>
      </c>
      <c r="M248">
        <v>0</v>
      </c>
      <c r="N248">
        <v>0.61</v>
      </c>
      <c r="O248" t="s">
        <v>74</v>
      </c>
      <c r="P248">
        <v>0</v>
      </c>
      <c r="Q248" t="s">
        <v>74</v>
      </c>
      <c r="R248">
        <v>0</v>
      </c>
      <c r="S248" t="s">
        <v>74</v>
      </c>
      <c r="T248">
        <v>0</v>
      </c>
      <c r="U248" t="s">
        <v>74</v>
      </c>
      <c r="V248">
        <v>0</v>
      </c>
      <c r="W248" t="s">
        <v>74</v>
      </c>
      <c r="X248">
        <v>0</v>
      </c>
      <c r="Y248">
        <v>0.61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340</v>
      </c>
      <c r="AF248">
        <v>290</v>
      </c>
      <c r="AG248">
        <v>217</v>
      </c>
      <c r="AH248">
        <v>0</v>
      </c>
      <c r="AI248">
        <v>0.26300000000000001</v>
      </c>
      <c r="AK248" t="s">
        <v>75</v>
      </c>
      <c r="AM248">
        <v>200000</v>
      </c>
      <c r="AN248" t="s">
        <v>76</v>
      </c>
      <c r="AO248">
        <v>1</v>
      </c>
      <c r="AP248">
        <v>0</v>
      </c>
      <c r="AQ248">
        <v>16666.666666666668</v>
      </c>
      <c r="AR248" t="s">
        <v>1019</v>
      </c>
      <c r="AS248" t="s">
        <v>78</v>
      </c>
      <c r="AX248" t="s">
        <v>79</v>
      </c>
      <c r="AY248" t="s">
        <v>74</v>
      </c>
      <c r="AZ248">
        <v>0</v>
      </c>
      <c r="BA248" t="s">
        <v>74</v>
      </c>
      <c r="BB248">
        <v>0</v>
      </c>
      <c r="BD248">
        <v>0.61</v>
      </c>
      <c r="BE248">
        <v>0</v>
      </c>
    </row>
    <row r="249" spans="1:58" ht="12.75">
      <c r="A249" s="2" t="str">
        <f>HYPERLINK("https://ibp.a2mac1.com/costing(costing:projects/details/8191/part/5381504)"," Regulator valve")</f>
        <v xml:space="preserve"> Regulator valve</v>
      </c>
      <c r="B249">
        <v>5381504</v>
      </c>
      <c r="C249">
        <v>5381331</v>
      </c>
      <c r="D249" t="s">
        <v>1020</v>
      </c>
      <c r="E249">
        <v>5.60</v>
      </c>
      <c r="F249">
        <v>0</v>
      </c>
      <c r="G249">
        <v>0</v>
      </c>
      <c r="H249">
        <v>0</v>
      </c>
      <c r="I249" t="s">
        <v>74</v>
      </c>
      <c r="J249">
        <v>0</v>
      </c>
      <c r="K249">
        <v>5.60</v>
      </c>
      <c r="L249">
        <v>0</v>
      </c>
      <c r="M249">
        <v>0</v>
      </c>
      <c r="N249">
        <v>5.60</v>
      </c>
      <c r="O249" t="s">
        <v>74</v>
      </c>
      <c r="P249">
        <v>0</v>
      </c>
      <c r="Q249" t="s">
        <v>74</v>
      </c>
      <c r="R249">
        <v>0</v>
      </c>
      <c r="S249" t="s">
        <v>74</v>
      </c>
      <c r="T249">
        <v>0</v>
      </c>
      <c r="U249" t="s">
        <v>74</v>
      </c>
      <c r="V249">
        <v>0</v>
      </c>
      <c r="W249" t="s">
        <v>74</v>
      </c>
      <c r="X249">
        <v>0</v>
      </c>
      <c r="Y249">
        <v>5.60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35</v>
      </c>
      <c r="AF249">
        <v>81</v>
      </c>
      <c r="AG249">
        <v>37</v>
      </c>
      <c r="AH249">
        <v>0</v>
      </c>
      <c r="AI249">
        <v>0.13300000000000001</v>
      </c>
      <c r="AK249" t="s">
        <v>213</v>
      </c>
      <c r="AM249">
        <v>200000</v>
      </c>
      <c r="AN249" t="s">
        <v>76</v>
      </c>
      <c r="AO249">
        <v>1</v>
      </c>
      <c r="AP249">
        <v>0</v>
      </c>
      <c r="AQ249">
        <v>16666.666666666668</v>
      </c>
      <c r="AR249" t="s">
        <v>1021</v>
      </c>
      <c r="AS249" t="s">
        <v>78</v>
      </c>
      <c r="AX249" t="s">
        <v>79</v>
      </c>
      <c r="AY249" t="s">
        <v>74</v>
      </c>
      <c r="AZ249">
        <v>0</v>
      </c>
      <c r="BA249" t="s">
        <v>74</v>
      </c>
      <c r="BB249">
        <v>0</v>
      </c>
      <c r="BD249">
        <v>5.60</v>
      </c>
      <c r="BE249">
        <v>0</v>
      </c>
    </row>
    <row r="250" spans="1:58" ht="12.75">
      <c r="A250" s="2" t="str">
        <f>HYPERLINK("https://ibp.a2mac1.com/costing(costing:projects/details/8191/part/5381505)"," Temperature Sensor")</f>
        <v xml:space="preserve"> Temperature Sensor</v>
      </c>
      <c r="B250">
        <v>5381505</v>
      </c>
      <c r="C250">
        <v>5381331</v>
      </c>
      <c r="D250" t="s">
        <v>1022</v>
      </c>
      <c r="E250">
        <v>0.90</v>
      </c>
      <c r="F250">
        <v>0</v>
      </c>
      <c r="G250">
        <v>0</v>
      </c>
      <c r="H250">
        <v>0</v>
      </c>
      <c r="I250" t="s">
        <v>74</v>
      </c>
      <c r="J250">
        <v>0</v>
      </c>
      <c r="K250">
        <v>0.90</v>
      </c>
      <c r="L250">
        <v>0</v>
      </c>
      <c r="M250">
        <v>0</v>
      </c>
      <c r="N250">
        <v>0.90</v>
      </c>
      <c r="O250" t="s">
        <v>74</v>
      </c>
      <c r="P250">
        <v>0</v>
      </c>
      <c r="Q250" t="s">
        <v>74</v>
      </c>
      <c r="R250">
        <v>0</v>
      </c>
      <c r="S250" t="s">
        <v>74</v>
      </c>
      <c r="T250">
        <v>0</v>
      </c>
      <c r="U250" t="s">
        <v>74</v>
      </c>
      <c r="V250">
        <v>0</v>
      </c>
      <c r="W250" t="s">
        <v>74</v>
      </c>
      <c r="X250">
        <v>0</v>
      </c>
      <c r="Y250">
        <v>0.90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21</v>
      </c>
      <c r="AF250">
        <v>71</v>
      </c>
      <c r="AG250">
        <v>22</v>
      </c>
      <c r="AH250">
        <v>0</v>
      </c>
      <c r="AI250">
        <v>0.005</v>
      </c>
      <c r="AK250" t="s">
        <v>213</v>
      </c>
      <c r="AM250">
        <v>200000</v>
      </c>
      <c r="AN250" t="s">
        <v>76</v>
      </c>
      <c r="AO250">
        <v>1</v>
      </c>
      <c r="AP250">
        <v>0</v>
      </c>
      <c r="AQ250">
        <v>16666.666666666668</v>
      </c>
      <c r="AR250" t="s">
        <v>1023</v>
      </c>
      <c r="AS250" t="s">
        <v>78</v>
      </c>
      <c r="AX250" t="s">
        <v>79</v>
      </c>
      <c r="AY250" t="s">
        <v>74</v>
      </c>
      <c r="AZ250">
        <v>0</v>
      </c>
      <c r="BA250" t="s">
        <v>74</v>
      </c>
      <c r="BB250">
        <v>0</v>
      </c>
      <c r="BD250">
        <v>0.90</v>
      </c>
      <c r="BE250">
        <v>0</v>
      </c>
    </row>
    <row r="251" spans="1:58" ht="12.75">
      <c r="A251" s="2" t="str">
        <f>HYPERLINK("https://ibp.a2mac1.com/costing(costing:projects/details/8191/part/5381506)"," Buffer")</f>
        <v xml:space="preserve"> Buffer</v>
      </c>
      <c r="B251">
        <v>5381506</v>
      </c>
      <c r="C251">
        <v>5381331</v>
      </c>
      <c r="D251" t="s">
        <v>1024</v>
      </c>
      <c r="E251">
        <v>0.06</v>
      </c>
      <c r="F251">
        <v>0</v>
      </c>
      <c r="G251">
        <v>0</v>
      </c>
      <c r="H251">
        <v>0</v>
      </c>
      <c r="I251" t="s">
        <v>74</v>
      </c>
      <c r="J251">
        <v>0</v>
      </c>
      <c r="K251">
        <v>0.06</v>
      </c>
      <c r="L251">
        <v>0</v>
      </c>
      <c r="M251">
        <v>0</v>
      </c>
      <c r="N251">
        <v>0.06</v>
      </c>
      <c r="O251" t="s">
        <v>74</v>
      </c>
      <c r="P251">
        <v>0</v>
      </c>
      <c r="Q251" t="s">
        <v>74</v>
      </c>
      <c r="R251">
        <v>0</v>
      </c>
      <c r="S251" t="s">
        <v>74</v>
      </c>
      <c r="T251">
        <v>0</v>
      </c>
      <c r="U251" t="s">
        <v>74</v>
      </c>
      <c r="V251">
        <v>0</v>
      </c>
      <c r="W251" t="s">
        <v>74</v>
      </c>
      <c r="X251">
        <v>0</v>
      </c>
      <c r="Y251">
        <v>0.06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115</v>
      </c>
      <c r="AF251">
        <v>110</v>
      </c>
      <c r="AG251">
        <v>19</v>
      </c>
      <c r="AH251">
        <v>0</v>
      </c>
      <c r="AI251">
        <v>0.0060000000000000001</v>
      </c>
      <c r="AK251" t="s">
        <v>825</v>
      </c>
      <c r="AM251">
        <v>200000</v>
      </c>
      <c r="AN251" t="s">
        <v>92</v>
      </c>
      <c r="AO251">
        <v>1</v>
      </c>
      <c r="AP251">
        <v>0</v>
      </c>
      <c r="AQ251">
        <v>16666.666666666668</v>
      </c>
      <c r="AR251" t="s">
        <v>1025</v>
      </c>
      <c r="AS251" t="s">
        <v>78</v>
      </c>
      <c r="AX251" t="s">
        <v>79</v>
      </c>
      <c r="AY251" t="s">
        <v>74</v>
      </c>
      <c r="AZ251">
        <v>0</v>
      </c>
      <c r="BA251" t="s">
        <v>74</v>
      </c>
      <c r="BB251">
        <v>0</v>
      </c>
      <c r="BD251">
        <v>0.06</v>
      </c>
      <c r="BE251">
        <v>0</v>
      </c>
    </row>
    <row r="252" spans="1:58" ht="12.75">
      <c r="A252" s="2" t="str">
        <f>HYPERLINK("https://ibp.a2mac1.com/costing(costing:projects/details/8191/part/5381507)"," PTC Heater")</f>
        <v xml:space="preserve"> PTC Heater</v>
      </c>
      <c r="B252">
        <v>5381507</v>
      </c>
      <c r="C252">
        <v>5381332</v>
      </c>
      <c r="D252" t="s">
        <v>1029</v>
      </c>
      <c r="E252">
        <v>52.40</v>
      </c>
      <c r="F252">
        <v>0</v>
      </c>
      <c r="G252">
        <v>0</v>
      </c>
      <c r="H252">
        <v>0</v>
      </c>
      <c r="I252" t="s">
        <v>74</v>
      </c>
      <c r="J252">
        <v>0</v>
      </c>
      <c r="K252">
        <v>52.40</v>
      </c>
      <c r="L252">
        <v>0</v>
      </c>
      <c r="M252">
        <v>0</v>
      </c>
      <c r="N252">
        <v>52.40</v>
      </c>
      <c r="O252" t="s">
        <v>74</v>
      </c>
      <c r="P252">
        <v>0</v>
      </c>
      <c r="Q252" t="s">
        <v>74</v>
      </c>
      <c r="R252">
        <v>0</v>
      </c>
      <c r="S252" t="s">
        <v>74</v>
      </c>
      <c r="T252">
        <v>0</v>
      </c>
      <c r="U252" t="s">
        <v>74</v>
      </c>
      <c r="V252">
        <v>0</v>
      </c>
      <c r="W252" t="s">
        <v>74</v>
      </c>
      <c r="X252">
        <v>0</v>
      </c>
      <c r="Y252">
        <v>52.40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225</v>
      </c>
      <c r="AF252">
        <v>285</v>
      </c>
      <c r="AG252">
        <v>165</v>
      </c>
      <c r="AH252">
        <v>0</v>
      </c>
      <c r="AI252">
        <v>1.84</v>
      </c>
      <c r="AK252" t="s">
        <v>213</v>
      </c>
      <c r="AM252">
        <v>200000</v>
      </c>
      <c r="AN252" t="s">
        <v>76</v>
      </c>
      <c r="AO252">
        <v>1</v>
      </c>
      <c r="AP252">
        <v>0</v>
      </c>
      <c r="AQ252">
        <v>16666.666666666668</v>
      </c>
      <c r="AR252" t="s">
        <v>1030</v>
      </c>
      <c r="AS252" t="s">
        <v>78</v>
      </c>
      <c r="AX252" t="s">
        <v>79</v>
      </c>
      <c r="AY252" t="s">
        <v>74</v>
      </c>
      <c r="AZ252">
        <v>0</v>
      </c>
      <c r="BA252" t="s">
        <v>74</v>
      </c>
      <c r="BB252">
        <v>0</v>
      </c>
      <c r="BD252">
        <v>52.40</v>
      </c>
      <c r="BE252">
        <v>0</v>
      </c>
    </row>
    <row r="253" spans="1:58" ht="12.75">
      <c r="A253" s="2" t="str">
        <f>HYPERLINK("https://ibp.a2mac1.com/costing(costing:projects/details/8191/part/5381508)"," Cover")</f>
        <v xml:space="preserve"> Cover</v>
      </c>
      <c r="B253">
        <v>5381508</v>
      </c>
      <c r="C253">
        <v>5381332</v>
      </c>
      <c r="D253" t="s">
        <v>1031</v>
      </c>
      <c r="E253">
        <v>0.22</v>
      </c>
      <c r="F253">
        <v>0</v>
      </c>
      <c r="G253">
        <v>0</v>
      </c>
      <c r="H253">
        <v>0</v>
      </c>
      <c r="I253" t="s">
        <v>74</v>
      </c>
      <c r="J253">
        <v>0</v>
      </c>
      <c r="K253">
        <v>0.22</v>
      </c>
      <c r="L253">
        <v>0</v>
      </c>
      <c r="M253">
        <v>0</v>
      </c>
      <c r="N253">
        <v>0.22</v>
      </c>
      <c r="O253" t="s">
        <v>74</v>
      </c>
      <c r="P253">
        <v>0</v>
      </c>
      <c r="Q253" t="s">
        <v>74</v>
      </c>
      <c r="R253">
        <v>0</v>
      </c>
      <c r="S253" t="s">
        <v>74</v>
      </c>
      <c r="T253">
        <v>0</v>
      </c>
      <c r="U253" t="s">
        <v>74</v>
      </c>
      <c r="V253">
        <v>0</v>
      </c>
      <c r="W253" t="s">
        <v>74</v>
      </c>
      <c r="X253">
        <v>0</v>
      </c>
      <c r="Y253">
        <v>0.22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128</v>
      </c>
      <c r="AF253">
        <v>245</v>
      </c>
      <c r="AG253">
        <v>41</v>
      </c>
      <c r="AH253">
        <v>0</v>
      </c>
      <c r="AI253">
        <v>0.079000000000000001</v>
      </c>
      <c r="AK253" t="s">
        <v>825</v>
      </c>
      <c r="AM253">
        <v>200000</v>
      </c>
      <c r="AN253" t="s">
        <v>92</v>
      </c>
      <c r="AO253">
        <v>1</v>
      </c>
      <c r="AP253">
        <v>0</v>
      </c>
      <c r="AQ253">
        <v>16666.666666666668</v>
      </c>
      <c r="AR253" t="s">
        <v>1032</v>
      </c>
      <c r="AS253" t="s">
        <v>78</v>
      </c>
      <c r="AX253" t="s">
        <v>79</v>
      </c>
      <c r="AY253" t="s">
        <v>74</v>
      </c>
      <c r="AZ253">
        <v>0</v>
      </c>
      <c r="BA253" t="s">
        <v>74</v>
      </c>
      <c r="BB253">
        <v>0</v>
      </c>
      <c r="BD253">
        <v>0.22</v>
      </c>
      <c r="BE253">
        <v>0</v>
      </c>
    </row>
    <row r="254" spans="1:58" ht="12.75">
      <c r="A254" s="2" t="str">
        <f>HYPERLINK("https://ibp.a2mac1.com/costing(costing:projects/details/8191/part/5381509)"," Filter")</f>
        <v xml:space="preserve"> Filter</v>
      </c>
      <c r="B254">
        <v>5381509</v>
      </c>
      <c r="C254">
        <v>5381333</v>
      </c>
      <c r="D254" t="s">
        <v>1036</v>
      </c>
      <c r="E254">
        <v>3.40</v>
      </c>
      <c r="F254">
        <v>0</v>
      </c>
      <c r="G254">
        <v>0</v>
      </c>
      <c r="H254">
        <v>0</v>
      </c>
      <c r="I254" t="s">
        <v>74</v>
      </c>
      <c r="J254">
        <v>0</v>
      </c>
      <c r="K254">
        <v>3.40</v>
      </c>
      <c r="L254">
        <v>0</v>
      </c>
      <c r="M254">
        <v>0</v>
      </c>
      <c r="N254">
        <v>3.40</v>
      </c>
      <c r="O254" t="s">
        <v>74</v>
      </c>
      <c r="P254">
        <v>0</v>
      </c>
      <c r="Q254" t="s">
        <v>74</v>
      </c>
      <c r="R254">
        <v>0</v>
      </c>
      <c r="S254" t="s">
        <v>74</v>
      </c>
      <c r="T254">
        <v>0</v>
      </c>
      <c r="U254" t="s">
        <v>74</v>
      </c>
      <c r="V254">
        <v>0</v>
      </c>
      <c r="W254" t="s">
        <v>74</v>
      </c>
      <c r="X254">
        <v>0</v>
      </c>
      <c r="Y254">
        <v>3.40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180</v>
      </c>
      <c r="AF254">
        <v>370</v>
      </c>
      <c r="AG254">
        <v>30</v>
      </c>
      <c r="AH254">
        <v>0</v>
      </c>
      <c r="AI254">
        <v>0.22800000000000001</v>
      </c>
      <c r="AK254" t="s">
        <v>75</v>
      </c>
      <c r="AM254">
        <v>200000</v>
      </c>
      <c r="AN254" t="s">
        <v>76</v>
      </c>
      <c r="AO254">
        <v>1</v>
      </c>
      <c r="AP254">
        <v>0</v>
      </c>
      <c r="AQ254">
        <v>16666.666666666668</v>
      </c>
      <c r="AR254" t="s">
        <v>1037</v>
      </c>
      <c r="AS254" t="s">
        <v>78</v>
      </c>
      <c r="AX254" t="s">
        <v>79</v>
      </c>
      <c r="AY254" t="s">
        <v>74</v>
      </c>
      <c r="AZ254">
        <v>0</v>
      </c>
      <c r="BA254" t="s">
        <v>74</v>
      </c>
      <c r="BB254">
        <v>0</v>
      </c>
      <c r="BD254">
        <v>3.40</v>
      </c>
      <c r="BE254">
        <v>0</v>
      </c>
    </row>
    <row r="255" spans="1:58" ht="12.75">
      <c r="A255" s="2" t="str">
        <f>HYPERLINK("https://ibp.a2mac1.com/costing(costing:projects/details/8191/part/5381510)"," Cover")</f>
        <v xml:space="preserve"> Cover</v>
      </c>
      <c r="B255">
        <v>5381510</v>
      </c>
      <c r="C255">
        <v>5381333</v>
      </c>
      <c r="D255" t="s">
        <v>1038</v>
      </c>
      <c r="E255">
        <v>0.18</v>
      </c>
      <c r="F255">
        <v>0</v>
      </c>
      <c r="G255">
        <v>0</v>
      </c>
      <c r="H255">
        <v>0</v>
      </c>
      <c r="I255" t="s">
        <v>74</v>
      </c>
      <c r="J255">
        <v>0</v>
      </c>
      <c r="K255">
        <v>0.18</v>
      </c>
      <c r="L255">
        <v>0</v>
      </c>
      <c r="M255">
        <v>0</v>
      </c>
      <c r="N255">
        <v>0.18</v>
      </c>
      <c r="O255" t="s">
        <v>74</v>
      </c>
      <c r="P255">
        <v>0</v>
      </c>
      <c r="Q255" t="s">
        <v>74</v>
      </c>
      <c r="R255">
        <v>0</v>
      </c>
      <c r="S255" t="s">
        <v>74</v>
      </c>
      <c r="T255">
        <v>0</v>
      </c>
      <c r="U255" t="s">
        <v>74</v>
      </c>
      <c r="V255">
        <v>0</v>
      </c>
      <c r="W255" t="s">
        <v>74</v>
      </c>
      <c r="X255">
        <v>0</v>
      </c>
      <c r="Y255">
        <v>0.18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215</v>
      </c>
      <c r="AF255">
        <v>91</v>
      </c>
      <c r="AG255">
        <v>30</v>
      </c>
      <c r="AH255">
        <v>0</v>
      </c>
      <c r="AI255">
        <v>0.057000000000000002</v>
      </c>
      <c r="AK255" t="s">
        <v>825</v>
      </c>
      <c r="AM255">
        <v>200000</v>
      </c>
      <c r="AN255" t="s">
        <v>92</v>
      </c>
      <c r="AO255">
        <v>1</v>
      </c>
      <c r="AP255">
        <v>0</v>
      </c>
      <c r="AQ255">
        <v>16666.666666666668</v>
      </c>
      <c r="AR255" t="s">
        <v>1039</v>
      </c>
      <c r="AS255" t="s">
        <v>78</v>
      </c>
      <c r="AX255" t="s">
        <v>79</v>
      </c>
      <c r="AY255" t="s">
        <v>74</v>
      </c>
      <c r="AZ255">
        <v>0</v>
      </c>
      <c r="BA255" t="s">
        <v>74</v>
      </c>
      <c r="BB255">
        <v>0</v>
      </c>
      <c r="BD255">
        <v>0.18</v>
      </c>
      <c r="BE255">
        <v>0</v>
      </c>
    </row>
    <row r="256" spans="1:58" ht="12.75">
      <c r="A256" s="2" t="str">
        <f>HYPERLINK("https://ibp.a2mac1.com/costing(costing:projects/details/8191/part/5381511)"," Drain Tube Single/Left")</f>
        <v xml:space="preserve"> Drain Tube Single/Left</v>
      </c>
      <c r="B256">
        <v>5381511</v>
      </c>
      <c r="C256">
        <v>5381334</v>
      </c>
      <c r="D256" t="s">
        <v>1043</v>
      </c>
      <c r="E256">
        <v>0.71</v>
      </c>
      <c r="F256">
        <v>0</v>
      </c>
      <c r="G256">
        <v>0</v>
      </c>
      <c r="H256">
        <v>0</v>
      </c>
      <c r="I256" t="s">
        <v>74</v>
      </c>
      <c r="J256">
        <v>0</v>
      </c>
      <c r="K256">
        <v>0.71</v>
      </c>
      <c r="L256">
        <v>0</v>
      </c>
      <c r="M256">
        <v>0</v>
      </c>
      <c r="N256">
        <v>0.71</v>
      </c>
      <c r="O256" t="s">
        <v>74</v>
      </c>
      <c r="P256">
        <v>0</v>
      </c>
      <c r="Q256" t="s">
        <v>74</v>
      </c>
      <c r="R256">
        <v>0</v>
      </c>
      <c r="S256" t="s">
        <v>74</v>
      </c>
      <c r="T256">
        <v>0</v>
      </c>
      <c r="U256" t="s">
        <v>74</v>
      </c>
      <c r="V256">
        <v>0</v>
      </c>
      <c r="W256" t="s">
        <v>74</v>
      </c>
      <c r="X256">
        <v>0</v>
      </c>
      <c r="Y256">
        <v>0.71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256</v>
      </c>
      <c r="AI256">
        <v>0.041000000000000002</v>
      </c>
      <c r="AK256" t="s">
        <v>75</v>
      </c>
      <c r="AM256">
        <v>200000</v>
      </c>
      <c r="AN256" t="s">
        <v>76</v>
      </c>
      <c r="AO256">
        <v>1</v>
      </c>
      <c r="AP256">
        <v>0</v>
      </c>
      <c r="AQ256">
        <v>16666.666666666668</v>
      </c>
      <c r="AR256" t="s">
        <v>1044</v>
      </c>
      <c r="AS256" t="s">
        <v>78</v>
      </c>
      <c r="AX256" t="s">
        <v>79</v>
      </c>
      <c r="AY256" t="s">
        <v>74</v>
      </c>
      <c r="AZ256">
        <v>0</v>
      </c>
      <c r="BA256" t="s">
        <v>74</v>
      </c>
      <c r="BB256">
        <v>0</v>
      </c>
      <c r="BD256">
        <v>0.71</v>
      </c>
      <c r="BE256">
        <v>0</v>
      </c>
    </row>
    <row r="257" spans="1:58" ht="12.75">
      <c r="A257" s="2" t="str">
        <f>HYPERLINK("https://ibp.a2mac1.com/costing(costing:projects/details/8191/part/5381512)"," Intake Flap")</f>
        <v xml:space="preserve"> Intake Flap</v>
      </c>
      <c r="B257">
        <v>5381512</v>
      </c>
      <c r="C257">
        <v>5381335</v>
      </c>
      <c r="D257" t="s">
        <v>1048</v>
      </c>
      <c r="E257">
        <v>0.18</v>
      </c>
      <c r="F257">
        <v>0</v>
      </c>
      <c r="G257">
        <v>0</v>
      </c>
      <c r="H257">
        <v>0</v>
      </c>
      <c r="I257" t="s">
        <v>74</v>
      </c>
      <c r="J257">
        <v>0</v>
      </c>
      <c r="K257">
        <v>0.18</v>
      </c>
      <c r="L257">
        <v>0</v>
      </c>
      <c r="M257">
        <v>0</v>
      </c>
      <c r="N257">
        <v>0.18</v>
      </c>
      <c r="O257" t="s">
        <v>74</v>
      </c>
      <c r="P257">
        <v>0</v>
      </c>
      <c r="Q257" t="s">
        <v>74</v>
      </c>
      <c r="R257">
        <v>0</v>
      </c>
      <c r="S257" t="s">
        <v>74</v>
      </c>
      <c r="T257">
        <v>0</v>
      </c>
      <c r="U257" t="s">
        <v>74</v>
      </c>
      <c r="V257">
        <v>0</v>
      </c>
      <c r="W257" t="s">
        <v>74</v>
      </c>
      <c r="X257">
        <v>0</v>
      </c>
      <c r="Y257">
        <v>0.18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176</v>
      </c>
      <c r="AF257">
        <v>116</v>
      </c>
      <c r="AG257">
        <v>56</v>
      </c>
      <c r="AH257">
        <v>0</v>
      </c>
      <c r="AI257">
        <v>0.058999999999999997</v>
      </c>
      <c r="AK257" t="s">
        <v>825</v>
      </c>
      <c r="AM257">
        <v>200000</v>
      </c>
      <c r="AN257" t="s">
        <v>92</v>
      </c>
      <c r="AO257">
        <v>1</v>
      </c>
      <c r="AP257">
        <v>0</v>
      </c>
      <c r="AQ257">
        <v>16666.666666666668</v>
      </c>
      <c r="AR257" t="s">
        <v>1049</v>
      </c>
      <c r="AS257" t="s">
        <v>78</v>
      </c>
      <c r="AX257" t="s">
        <v>79</v>
      </c>
      <c r="AY257" t="s">
        <v>74</v>
      </c>
      <c r="AZ257">
        <v>0</v>
      </c>
      <c r="BA257" t="s">
        <v>74</v>
      </c>
      <c r="BB257">
        <v>0</v>
      </c>
      <c r="BD257">
        <v>0.18</v>
      </c>
      <c r="BE257">
        <v>0</v>
      </c>
    </row>
    <row r="258" spans="1:58" ht="12.75">
      <c r="A258" s="2" t="str">
        <f>HYPERLINK("https://ibp.a2mac1.com/costing(costing:projects/details/8191/part/5381513)"," Second Intake Flap")</f>
        <v xml:space="preserve"> Second Intake Flap</v>
      </c>
      <c r="B258">
        <v>5381513</v>
      </c>
      <c r="C258">
        <v>5381335</v>
      </c>
      <c r="D258" t="s">
        <v>1050</v>
      </c>
      <c r="E258">
        <v>0.19</v>
      </c>
      <c r="F258">
        <v>0</v>
      </c>
      <c r="G258">
        <v>0</v>
      </c>
      <c r="H258">
        <v>0</v>
      </c>
      <c r="I258" t="s">
        <v>74</v>
      </c>
      <c r="J258">
        <v>0</v>
      </c>
      <c r="K258">
        <v>0.19</v>
      </c>
      <c r="L258">
        <v>0</v>
      </c>
      <c r="M258">
        <v>0</v>
      </c>
      <c r="N258">
        <v>0.19</v>
      </c>
      <c r="O258" t="s">
        <v>74</v>
      </c>
      <c r="P258">
        <v>0</v>
      </c>
      <c r="Q258" t="s">
        <v>74</v>
      </c>
      <c r="R258">
        <v>0</v>
      </c>
      <c r="S258" t="s">
        <v>74</v>
      </c>
      <c r="T258">
        <v>0</v>
      </c>
      <c r="U258" t="s">
        <v>74</v>
      </c>
      <c r="V258">
        <v>0</v>
      </c>
      <c r="W258" t="s">
        <v>74</v>
      </c>
      <c r="X258">
        <v>0</v>
      </c>
      <c r="Y258">
        <v>0.19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217</v>
      </c>
      <c r="AF258">
        <v>115</v>
      </c>
      <c r="AG258">
        <v>22</v>
      </c>
      <c r="AH258">
        <v>0</v>
      </c>
      <c r="AI258">
        <v>0.066000000000000003</v>
      </c>
      <c r="AK258" t="s">
        <v>825</v>
      </c>
      <c r="AM258">
        <v>200000</v>
      </c>
      <c r="AN258" t="s">
        <v>92</v>
      </c>
      <c r="AO258">
        <v>1</v>
      </c>
      <c r="AP258">
        <v>0</v>
      </c>
      <c r="AQ258">
        <v>16666.666666666668</v>
      </c>
      <c r="AR258" t="s">
        <v>1051</v>
      </c>
      <c r="AS258" t="s">
        <v>78</v>
      </c>
      <c r="AX258" t="s">
        <v>79</v>
      </c>
      <c r="AY258" t="s">
        <v>74</v>
      </c>
      <c r="AZ258">
        <v>0</v>
      </c>
      <c r="BA258" t="s">
        <v>74</v>
      </c>
      <c r="BB258">
        <v>0</v>
      </c>
      <c r="BD258">
        <v>0.19</v>
      </c>
      <c r="BE258">
        <v>0</v>
      </c>
    </row>
    <row r="259" spans="1:58" ht="12.75">
      <c r="A259" s="2" t="str">
        <f>HYPERLINK("https://ibp.a2mac1.com/costing(costing:projects/details/8191/part/5381514)"," Air Intake Cover")</f>
        <v xml:space="preserve"> Air Intake Cover</v>
      </c>
      <c r="B259">
        <v>5381514</v>
      </c>
      <c r="C259">
        <v>5381335</v>
      </c>
      <c r="D259" t="s">
        <v>1052</v>
      </c>
      <c r="E259">
        <v>0.23</v>
      </c>
      <c r="F259">
        <v>0</v>
      </c>
      <c r="G259">
        <v>0</v>
      </c>
      <c r="H259">
        <v>0</v>
      </c>
      <c r="I259" t="s">
        <v>74</v>
      </c>
      <c r="J259">
        <v>0</v>
      </c>
      <c r="K259">
        <v>0.23</v>
      </c>
      <c r="L259">
        <v>0</v>
      </c>
      <c r="M259">
        <v>0</v>
      </c>
      <c r="N259">
        <v>0.23</v>
      </c>
      <c r="O259" t="s">
        <v>74</v>
      </c>
      <c r="P259">
        <v>0</v>
      </c>
      <c r="Q259" t="s">
        <v>74</v>
      </c>
      <c r="R259">
        <v>0</v>
      </c>
      <c r="S259" t="s">
        <v>74</v>
      </c>
      <c r="T259">
        <v>0</v>
      </c>
      <c r="U259" t="s">
        <v>74</v>
      </c>
      <c r="V259">
        <v>0</v>
      </c>
      <c r="W259" t="s">
        <v>74</v>
      </c>
      <c r="X259">
        <v>0</v>
      </c>
      <c r="Y259">
        <v>0.23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197</v>
      </c>
      <c r="AF259">
        <v>77</v>
      </c>
      <c r="AG259">
        <v>157</v>
      </c>
      <c r="AH259">
        <v>0</v>
      </c>
      <c r="AI259">
        <v>0.084000000000000005</v>
      </c>
      <c r="AK259" t="s">
        <v>825</v>
      </c>
      <c r="AM259">
        <v>200000</v>
      </c>
      <c r="AN259" t="s">
        <v>92</v>
      </c>
      <c r="AO259">
        <v>1</v>
      </c>
      <c r="AP259">
        <v>0</v>
      </c>
      <c r="AQ259">
        <v>16666.666666666668</v>
      </c>
      <c r="AR259" t="s">
        <v>1053</v>
      </c>
      <c r="AS259" t="s">
        <v>78</v>
      </c>
      <c r="AX259" t="s">
        <v>79</v>
      </c>
      <c r="AY259" t="s">
        <v>74</v>
      </c>
      <c r="AZ259">
        <v>0</v>
      </c>
      <c r="BA259" t="s">
        <v>74</v>
      </c>
      <c r="BB259">
        <v>0</v>
      </c>
      <c r="BD259">
        <v>0.23</v>
      </c>
      <c r="BE259">
        <v>0</v>
      </c>
    </row>
    <row r="260" spans="1:58" ht="12.75">
      <c r="A260" s="2" t="str">
        <f>HYPERLINK("https://ibp.a2mac1.com/costing(costing:projects/details/8191/part/5381515)"," Mechanism")</f>
        <v xml:space="preserve"> Mechanism</v>
      </c>
      <c r="B260">
        <v>5381515</v>
      </c>
      <c r="C260">
        <v>5381335</v>
      </c>
      <c r="D260" t="s">
        <v>1054</v>
      </c>
      <c r="E260">
        <v>0.14</v>
      </c>
      <c r="F260">
        <v>0</v>
      </c>
      <c r="G260">
        <v>0</v>
      </c>
      <c r="H260">
        <v>0</v>
      </c>
      <c r="I260" t="s">
        <v>74</v>
      </c>
      <c r="J260">
        <v>0</v>
      </c>
      <c r="K260">
        <v>0.14</v>
      </c>
      <c r="L260">
        <v>0</v>
      </c>
      <c r="M260">
        <v>0</v>
      </c>
      <c r="N260">
        <v>0.14</v>
      </c>
      <c r="O260" t="s">
        <v>74</v>
      </c>
      <c r="P260">
        <v>0</v>
      </c>
      <c r="Q260" t="s">
        <v>74</v>
      </c>
      <c r="R260">
        <v>0</v>
      </c>
      <c r="S260" t="s">
        <v>74</v>
      </c>
      <c r="T260">
        <v>0</v>
      </c>
      <c r="U260" t="s">
        <v>74</v>
      </c>
      <c r="V260">
        <v>0</v>
      </c>
      <c r="W260" t="s">
        <v>74</v>
      </c>
      <c r="X260">
        <v>0</v>
      </c>
      <c r="Y260">
        <v>0.14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259</v>
      </c>
      <c r="AF260">
        <v>103</v>
      </c>
      <c r="AG260">
        <v>29</v>
      </c>
      <c r="AH260">
        <v>0</v>
      </c>
      <c r="AI260">
        <v>0.035999999999999997</v>
      </c>
      <c r="AK260" t="s">
        <v>825</v>
      </c>
      <c r="AM260">
        <v>200000</v>
      </c>
      <c r="AN260" t="s">
        <v>92</v>
      </c>
      <c r="AO260">
        <v>1</v>
      </c>
      <c r="AP260">
        <v>0</v>
      </c>
      <c r="AQ260">
        <v>16666.666666666668</v>
      </c>
      <c r="AR260" t="s">
        <v>1055</v>
      </c>
      <c r="AS260" t="s">
        <v>78</v>
      </c>
      <c r="AX260" t="s">
        <v>79</v>
      </c>
      <c r="AY260" t="s">
        <v>74</v>
      </c>
      <c r="AZ260">
        <v>0</v>
      </c>
      <c r="BA260" t="s">
        <v>74</v>
      </c>
      <c r="BB260">
        <v>0</v>
      </c>
      <c r="BD260">
        <v>0.14</v>
      </c>
      <c r="BE260">
        <v>0</v>
      </c>
    </row>
    <row r="261" spans="1:58" ht="12.75">
      <c r="A261" s="2" t="str">
        <f>HYPERLINK("https://ibp.a2mac1.com/costing(costing:projects/details/8191/part/5381516)"," Buffer")</f>
        <v xml:space="preserve"> Buffer</v>
      </c>
      <c r="B261">
        <v>5381516</v>
      </c>
      <c r="C261">
        <v>5381335</v>
      </c>
      <c r="D261" t="s">
        <v>1056</v>
      </c>
      <c r="E261">
        <v>0.07</v>
      </c>
      <c r="F261">
        <v>0</v>
      </c>
      <c r="G261">
        <v>0</v>
      </c>
      <c r="H261">
        <v>0</v>
      </c>
      <c r="I261" t="s">
        <v>74</v>
      </c>
      <c r="J261">
        <v>0</v>
      </c>
      <c r="K261">
        <v>0.07</v>
      </c>
      <c r="L261">
        <v>0</v>
      </c>
      <c r="M261">
        <v>0</v>
      </c>
      <c r="N261">
        <v>0.07</v>
      </c>
      <c r="O261" t="s">
        <v>74</v>
      </c>
      <c r="P261">
        <v>0</v>
      </c>
      <c r="Q261" t="s">
        <v>74</v>
      </c>
      <c r="R261">
        <v>0</v>
      </c>
      <c r="S261" t="s">
        <v>74</v>
      </c>
      <c r="T261">
        <v>0</v>
      </c>
      <c r="U261" t="s">
        <v>74</v>
      </c>
      <c r="V261">
        <v>0</v>
      </c>
      <c r="W261" t="s">
        <v>74</v>
      </c>
      <c r="X261">
        <v>0</v>
      </c>
      <c r="Y261">
        <v>0.07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139</v>
      </c>
      <c r="AF261">
        <v>151</v>
      </c>
      <c r="AG261">
        <v>23</v>
      </c>
      <c r="AH261">
        <v>0</v>
      </c>
      <c r="AI261">
        <v>0.0089999999999999993</v>
      </c>
      <c r="AK261" t="s">
        <v>825</v>
      </c>
      <c r="AM261">
        <v>200000</v>
      </c>
      <c r="AN261" t="s">
        <v>92</v>
      </c>
      <c r="AO261">
        <v>1</v>
      </c>
      <c r="AP261">
        <v>0</v>
      </c>
      <c r="AQ261">
        <v>16666.666666666668</v>
      </c>
      <c r="AR261" t="s">
        <v>1057</v>
      </c>
      <c r="AS261" t="s">
        <v>78</v>
      </c>
      <c r="AX261" t="s">
        <v>79</v>
      </c>
      <c r="AY261" t="s">
        <v>74</v>
      </c>
      <c r="AZ261">
        <v>0</v>
      </c>
      <c r="BA261" t="s">
        <v>74</v>
      </c>
      <c r="BB261">
        <v>0</v>
      </c>
      <c r="BD261">
        <v>0.07</v>
      </c>
      <c r="BE261">
        <v>0</v>
      </c>
    </row>
    <row r="262" spans="1:58" ht="12.75">
      <c r="A262" s="2" t="str">
        <f>HYPERLINK("https://ibp.a2mac1.com/costing(costing:projects/details/8191/part/5381517)"," Protection Grill")</f>
        <v xml:space="preserve"> Protection Grill</v>
      </c>
      <c r="B262">
        <v>5381517</v>
      </c>
      <c r="C262">
        <v>5381335</v>
      </c>
      <c r="D262" t="s">
        <v>1058</v>
      </c>
      <c r="E262">
        <v>0.22</v>
      </c>
      <c r="F262">
        <v>0</v>
      </c>
      <c r="G262">
        <v>0</v>
      </c>
      <c r="H262">
        <v>0</v>
      </c>
      <c r="I262" t="s">
        <v>74</v>
      </c>
      <c r="J262">
        <v>0</v>
      </c>
      <c r="K262">
        <v>0.22</v>
      </c>
      <c r="L262">
        <v>0</v>
      </c>
      <c r="M262">
        <v>0</v>
      </c>
      <c r="N262">
        <v>0.22</v>
      </c>
      <c r="O262" t="s">
        <v>74</v>
      </c>
      <c r="P262">
        <v>0</v>
      </c>
      <c r="Q262" t="s">
        <v>74</v>
      </c>
      <c r="R262">
        <v>0</v>
      </c>
      <c r="S262" t="s">
        <v>74</v>
      </c>
      <c r="T262">
        <v>0</v>
      </c>
      <c r="U262" t="s">
        <v>74</v>
      </c>
      <c r="V262">
        <v>0</v>
      </c>
      <c r="W262" t="s">
        <v>74</v>
      </c>
      <c r="X262">
        <v>0</v>
      </c>
      <c r="Y262">
        <v>0.22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345</v>
      </c>
      <c r="AF262">
        <v>30</v>
      </c>
      <c r="AG262">
        <v>100</v>
      </c>
      <c r="AH262">
        <v>0</v>
      </c>
      <c r="AI262">
        <v>0.079000000000000001</v>
      </c>
      <c r="AK262" t="s">
        <v>825</v>
      </c>
      <c r="AM262">
        <v>200000</v>
      </c>
      <c r="AN262" t="s">
        <v>92</v>
      </c>
      <c r="AO262">
        <v>1</v>
      </c>
      <c r="AP262">
        <v>0</v>
      </c>
      <c r="AQ262">
        <v>16666.666666666668</v>
      </c>
      <c r="AR262" t="s">
        <v>1059</v>
      </c>
      <c r="AS262" t="s">
        <v>78</v>
      </c>
      <c r="AX262" t="s">
        <v>79</v>
      </c>
      <c r="AY262" t="s">
        <v>74</v>
      </c>
      <c r="AZ262">
        <v>0</v>
      </c>
      <c r="BA262" t="s">
        <v>74</v>
      </c>
      <c r="BB262">
        <v>0</v>
      </c>
      <c r="BD262">
        <v>0.22</v>
      </c>
      <c r="BE262">
        <v>0</v>
      </c>
    </row>
    <row r="263" spans="1:58" ht="12.75">
      <c r="A263" s="2" t="str">
        <f>HYPERLINK("https://ibp.a2mac1.com/costing(costing:projects/details/8191/part/5381518)"," 2nd Buffer")</f>
        <v xml:space="preserve"> 2nd Buffer</v>
      </c>
      <c r="B263">
        <v>5381518</v>
      </c>
      <c r="C263">
        <v>5381335</v>
      </c>
      <c r="D263" t="s">
        <v>1060</v>
      </c>
      <c r="E263">
        <v>0.04</v>
      </c>
      <c r="F263">
        <v>0</v>
      </c>
      <c r="G263">
        <v>0</v>
      </c>
      <c r="H263">
        <v>0</v>
      </c>
      <c r="I263" t="s">
        <v>74</v>
      </c>
      <c r="J263">
        <v>0</v>
      </c>
      <c r="K263">
        <v>0.04</v>
      </c>
      <c r="L263">
        <v>0</v>
      </c>
      <c r="M263">
        <v>0</v>
      </c>
      <c r="N263">
        <v>0.04</v>
      </c>
      <c r="O263" t="s">
        <v>74</v>
      </c>
      <c r="P263">
        <v>0</v>
      </c>
      <c r="Q263" t="s">
        <v>74</v>
      </c>
      <c r="R263">
        <v>0</v>
      </c>
      <c r="S263" t="s">
        <v>74</v>
      </c>
      <c r="T263">
        <v>0</v>
      </c>
      <c r="U263" t="s">
        <v>74</v>
      </c>
      <c r="V263">
        <v>0</v>
      </c>
      <c r="W263" t="s">
        <v>74</v>
      </c>
      <c r="X263">
        <v>0</v>
      </c>
      <c r="Y263">
        <v>0.04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340</v>
      </c>
      <c r="AF263">
        <v>242</v>
      </c>
      <c r="AG263">
        <v>8</v>
      </c>
      <c r="AH263">
        <v>0</v>
      </c>
      <c r="AI263">
        <v>0.0030000000000000001</v>
      </c>
      <c r="AK263" t="s">
        <v>825</v>
      </c>
      <c r="AM263">
        <v>200000</v>
      </c>
      <c r="AN263" t="s">
        <v>92</v>
      </c>
      <c r="AO263">
        <v>1</v>
      </c>
      <c r="AP263">
        <v>0</v>
      </c>
      <c r="AQ263">
        <v>16666.666666666668</v>
      </c>
      <c r="AR263" t="s">
        <v>1061</v>
      </c>
      <c r="AS263" t="s">
        <v>78</v>
      </c>
      <c r="AX263" t="s">
        <v>79</v>
      </c>
      <c r="AY263" t="s">
        <v>74</v>
      </c>
      <c r="AZ263">
        <v>0</v>
      </c>
      <c r="BA263" t="s">
        <v>74</v>
      </c>
      <c r="BB263">
        <v>0</v>
      </c>
      <c r="BD263">
        <v>0.04</v>
      </c>
      <c r="BE263">
        <v>0</v>
      </c>
    </row>
    <row r="264" spans="1:58" ht="12.75">
      <c r="A264" s="2" t="str">
        <f>HYPERLINK("https://ibp.a2mac1.com/costing(costing:projects/details/8191/part/5381519)"," Sound Insulation")</f>
        <v xml:space="preserve"> Sound Insulation</v>
      </c>
      <c r="B264">
        <v>5381519</v>
      </c>
      <c r="C264">
        <v>5381336</v>
      </c>
      <c r="D264" t="s">
        <v>1065</v>
      </c>
      <c r="E264">
        <v>0.18</v>
      </c>
      <c r="F264">
        <v>0</v>
      </c>
      <c r="G264">
        <v>0</v>
      </c>
      <c r="H264">
        <v>0</v>
      </c>
      <c r="I264" t="s">
        <v>74</v>
      </c>
      <c r="J264">
        <v>0</v>
      </c>
      <c r="K264">
        <v>0.18</v>
      </c>
      <c r="L264">
        <v>0</v>
      </c>
      <c r="M264">
        <v>0</v>
      </c>
      <c r="N264">
        <v>0.18</v>
      </c>
      <c r="O264" t="s">
        <v>74</v>
      </c>
      <c r="P264">
        <v>0</v>
      </c>
      <c r="Q264" t="s">
        <v>74</v>
      </c>
      <c r="R264">
        <v>0</v>
      </c>
      <c r="S264" t="s">
        <v>74</v>
      </c>
      <c r="T264">
        <v>0</v>
      </c>
      <c r="U264" t="s">
        <v>74</v>
      </c>
      <c r="V264">
        <v>0</v>
      </c>
      <c r="W264" t="s">
        <v>74</v>
      </c>
      <c r="X264">
        <v>0</v>
      </c>
      <c r="Y264">
        <v>0.18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560</v>
      </c>
      <c r="AF264">
        <v>50</v>
      </c>
      <c r="AG264">
        <v>485</v>
      </c>
      <c r="AH264">
        <v>0</v>
      </c>
      <c r="AI264">
        <v>0.045999999999999999</v>
      </c>
      <c r="AK264" t="s">
        <v>75</v>
      </c>
      <c r="AM264">
        <v>200000</v>
      </c>
      <c r="AN264" t="s">
        <v>76</v>
      </c>
      <c r="AO264">
        <v>1</v>
      </c>
      <c r="AP264">
        <v>0</v>
      </c>
      <c r="AQ264">
        <v>16666.666666666668</v>
      </c>
      <c r="AR264" t="s">
        <v>1066</v>
      </c>
      <c r="AS264" t="s">
        <v>78</v>
      </c>
      <c r="AX264" t="s">
        <v>79</v>
      </c>
      <c r="AY264" t="s">
        <v>74</v>
      </c>
      <c r="AZ264">
        <v>0</v>
      </c>
      <c r="BA264" t="s">
        <v>74</v>
      </c>
      <c r="BB264">
        <v>0</v>
      </c>
      <c r="BD264">
        <v>0.18</v>
      </c>
      <c r="BE264">
        <v>0</v>
      </c>
    </row>
    <row r="265" spans="1:58" ht="12.75">
      <c r="A265" s="2" t="str">
        <f>HYPERLINK("https://ibp.a2mac1.com/costing(costing:projects/details/8191/part/5381520)"," 2nd Sound Insulation")</f>
        <v xml:space="preserve"> 2nd Sound Insulation</v>
      </c>
      <c r="B265">
        <v>5381520</v>
      </c>
      <c r="C265">
        <v>5381336</v>
      </c>
      <c r="D265" t="s">
        <v>1067</v>
      </c>
      <c r="E265">
        <v>0.18</v>
      </c>
      <c r="F265">
        <v>0</v>
      </c>
      <c r="G265">
        <v>0</v>
      </c>
      <c r="H265">
        <v>0</v>
      </c>
      <c r="I265" t="s">
        <v>74</v>
      </c>
      <c r="J265">
        <v>0</v>
      </c>
      <c r="K265">
        <v>0.18</v>
      </c>
      <c r="L265">
        <v>0</v>
      </c>
      <c r="M265">
        <v>0</v>
      </c>
      <c r="N265">
        <v>0.18</v>
      </c>
      <c r="O265" t="s">
        <v>74</v>
      </c>
      <c r="P265">
        <v>0</v>
      </c>
      <c r="Q265" t="s">
        <v>74</v>
      </c>
      <c r="R265">
        <v>0</v>
      </c>
      <c r="S265" t="s">
        <v>74</v>
      </c>
      <c r="T265">
        <v>0</v>
      </c>
      <c r="U265" t="s">
        <v>74</v>
      </c>
      <c r="V265">
        <v>0</v>
      </c>
      <c r="W265" t="s">
        <v>74</v>
      </c>
      <c r="X265">
        <v>0</v>
      </c>
      <c r="Y265">
        <v>0.18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330</v>
      </c>
      <c r="AF265">
        <v>145</v>
      </c>
      <c r="AG265">
        <v>500</v>
      </c>
      <c r="AH265">
        <v>0</v>
      </c>
      <c r="AI265">
        <v>0.043999999999999997</v>
      </c>
      <c r="AK265" t="s">
        <v>75</v>
      </c>
      <c r="AM265">
        <v>200000</v>
      </c>
      <c r="AN265" t="s">
        <v>76</v>
      </c>
      <c r="AO265">
        <v>1</v>
      </c>
      <c r="AP265">
        <v>0</v>
      </c>
      <c r="AQ265">
        <v>16666.666666666668</v>
      </c>
      <c r="AR265" t="s">
        <v>1068</v>
      </c>
      <c r="AS265" t="s">
        <v>78</v>
      </c>
      <c r="AX265" t="s">
        <v>79</v>
      </c>
      <c r="AY265" t="s">
        <v>74</v>
      </c>
      <c r="AZ265">
        <v>0</v>
      </c>
      <c r="BA265" t="s">
        <v>74</v>
      </c>
      <c r="BB265">
        <v>0</v>
      </c>
      <c r="BD265">
        <v>0.18</v>
      </c>
      <c r="BE265">
        <v>0</v>
      </c>
    </row>
    <row r="266" spans="1:58" ht="12.75">
      <c r="A266" s="2" t="str">
        <f>HYPERLINK("https://ibp.a2mac1.com/costing(costing:projects/details/8191/part/5381322)"," Harness")</f>
        <v xml:space="preserve"> Harness</v>
      </c>
      <c r="B266">
        <v>5381322</v>
      </c>
      <c r="C266">
        <v>5381300</v>
      </c>
      <c r="D266" t="s">
        <v>1071</v>
      </c>
      <c r="E266">
        <v>3.40</v>
      </c>
      <c r="F266">
        <v>0</v>
      </c>
      <c r="G266">
        <v>0</v>
      </c>
      <c r="H266">
        <v>0</v>
      </c>
      <c r="I266" t="s">
        <v>74</v>
      </c>
      <c r="J266">
        <v>0</v>
      </c>
      <c r="K266">
        <v>3.40</v>
      </c>
      <c r="L266">
        <v>0</v>
      </c>
      <c r="M266">
        <v>0</v>
      </c>
      <c r="N266">
        <v>3.40</v>
      </c>
      <c r="O266" t="s">
        <v>74</v>
      </c>
      <c r="P266">
        <v>0</v>
      </c>
      <c r="Q266" t="s">
        <v>74</v>
      </c>
      <c r="R266">
        <v>0</v>
      </c>
      <c r="S266" t="s">
        <v>74</v>
      </c>
      <c r="T266">
        <v>0</v>
      </c>
      <c r="U266" t="s">
        <v>74</v>
      </c>
      <c r="V266">
        <v>0</v>
      </c>
      <c r="W266" t="s">
        <v>74</v>
      </c>
      <c r="X266">
        <v>0</v>
      </c>
      <c r="Y266">
        <v>3.40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0.081000000000000003</v>
      </c>
      <c r="AK266" t="s">
        <v>213</v>
      </c>
      <c r="AM266">
        <v>200000</v>
      </c>
      <c r="AN266" t="s">
        <v>76</v>
      </c>
      <c r="AO266">
        <v>1</v>
      </c>
      <c r="AP266">
        <v>0</v>
      </c>
      <c r="AQ266">
        <v>16666.666666666668</v>
      </c>
      <c r="AR266" t="s">
        <v>1072</v>
      </c>
      <c r="AS266" t="s">
        <v>78</v>
      </c>
      <c r="AX266" t="s">
        <v>79</v>
      </c>
      <c r="AY266" t="s">
        <v>74</v>
      </c>
      <c r="AZ266">
        <v>0</v>
      </c>
      <c r="BA266" t="s">
        <v>74</v>
      </c>
      <c r="BB266">
        <v>0</v>
      </c>
      <c r="BD266">
        <v>3.40</v>
      </c>
      <c r="BE266">
        <v>0</v>
      </c>
    </row>
    <row r="267" spans="1:58" ht="12.75">
      <c r="A267" s="2" t="str">
        <f>HYPERLINK("https://ibp.a2mac1.com/costing(costing:projects/details/8191/part/5381323)"," Second Harness")</f>
        <v xml:space="preserve"> Second Harness</v>
      </c>
      <c r="B267">
        <v>5381323</v>
      </c>
      <c r="C267">
        <v>5381300</v>
      </c>
      <c r="D267" t="s">
        <v>1073</v>
      </c>
      <c r="E267">
        <v>6.68</v>
      </c>
      <c r="F267">
        <v>0</v>
      </c>
      <c r="G267">
        <v>0</v>
      </c>
      <c r="H267">
        <v>0</v>
      </c>
      <c r="I267" t="s">
        <v>74</v>
      </c>
      <c r="J267">
        <v>0</v>
      </c>
      <c r="K267">
        <v>6.68</v>
      </c>
      <c r="L267">
        <v>0</v>
      </c>
      <c r="M267">
        <v>0</v>
      </c>
      <c r="N267">
        <v>6.68</v>
      </c>
      <c r="O267" t="s">
        <v>74</v>
      </c>
      <c r="P267">
        <v>0</v>
      </c>
      <c r="Q267" t="s">
        <v>74</v>
      </c>
      <c r="R267">
        <v>0</v>
      </c>
      <c r="S267" t="s">
        <v>74</v>
      </c>
      <c r="T267">
        <v>0</v>
      </c>
      <c r="U267" t="s">
        <v>74</v>
      </c>
      <c r="V267">
        <v>0</v>
      </c>
      <c r="W267" t="s">
        <v>74</v>
      </c>
      <c r="X267">
        <v>0</v>
      </c>
      <c r="Y267">
        <v>6.68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0.182</v>
      </c>
      <c r="AK267" t="s">
        <v>213</v>
      </c>
      <c r="AM267">
        <v>200000</v>
      </c>
      <c r="AN267" t="s">
        <v>76</v>
      </c>
      <c r="AO267">
        <v>1</v>
      </c>
      <c r="AP267">
        <v>0</v>
      </c>
      <c r="AQ267">
        <v>16666.666666666668</v>
      </c>
      <c r="AR267" t="s">
        <v>1074</v>
      </c>
      <c r="AS267" t="s">
        <v>78</v>
      </c>
      <c r="AX267" t="s">
        <v>79</v>
      </c>
      <c r="AY267" t="s">
        <v>74</v>
      </c>
      <c r="AZ267">
        <v>0</v>
      </c>
      <c r="BA267" t="s">
        <v>74</v>
      </c>
      <c r="BB267">
        <v>0</v>
      </c>
      <c r="BD267">
        <v>6.68</v>
      </c>
      <c r="BE267">
        <v>0</v>
      </c>
    </row>
    <row r="268" spans="1:58" ht="12.75">
      <c r="A268" s="2" t="str">
        <f>HYPERLINK("https://ibp.a2mac1.com/costing(costing:projects/details/8191/part/5381324)"," Heating resistor wiring")</f>
        <v xml:space="preserve"> Heating resistor wiring</v>
      </c>
      <c r="B268">
        <v>5381324</v>
      </c>
      <c r="C268">
        <v>5381300</v>
      </c>
      <c r="D268" t="s">
        <v>1075</v>
      </c>
      <c r="E268">
        <v>6.77</v>
      </c>
      <c r="F268">
        <v>0</v>
      </c>
      <c r="G268">
        <v>0</v>
      </c>
      <c r="H268">
        <v>0</v>
      </c>
      <c r="I268" t="s">
        <v>74</v>
      </c>
      <c r="J268">
        <v>0</v>
      </c>
      <c r="K268">
        <v>6.77</v>
      </c>
      <c r="L268">
        <v>0</v>
      </c>
      <c r="M268">
        <v>0</v>
      </c>
      <c r="N268">
        <v>6.77</v>
      </c>
      <c r="O268" t="s">
        <v>74</v>
      </c>
      <c r="P268">
        <v>0</v>
      </c>
      <c r="Q268" t="s">
        <v>74</v>
      </c>
      <c r="R268">
        <v>0</v>
      </c>
      <c r="S268" t="s">
        <v>74</v>
      </c>
      <c r="T268">
        <v>0</v>
      </c>
      <c r="U268" t="s">
        <v>74</v>
      </c>
      <c r="V268">
        <v>0</v>
      </c>
      <c r="W268" t="s">
        <v>74</v>
      </c>
      <c r="X268">
        <v>0</v>
      </c>
      <c r="Y268">
        <v>6.77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0.17899999999999999</v>
      </c>
      <c r="AK268" t="s">
        <v>213</v>
      </c>
      <c r="AM268">
        <v>200000</v>
      </c>
      <c r="AN268" t="s">
        <v>76</v>
      </c>
      <c r="AO268">
        <v>1</v>
      </c>
      <c r="AP268">
        <v>0</v>
      </c>
      <c r="AQ268">
        <v>16666.666666666668</v>
      </c>
      <c r="AR268" t="s">
        <v>1076</v>
      </c>
      <c r="AS268" t="s">
        <v>78</v>
      </c>
      <c r="AX268" t="s">
        <v>79</v>
      </c>
      <c r="AY268" t="s">
        <v>74</v>
      </c>
      <c r="AZ268">
        <v>0</v>
      </c>
      <c r="BA268" t="s">
        <v>74</v>
      </c>
      <c r="BB268">
        <v>0</v>
      </c>
      <c r="BD268">
        <v>6.77</v>
      </c>
      <c r="BE268">
        <v>0</v>
      </c>
    </row>
    <row r="269" spans="1:58" ht="12.75">
      <c r="A269" s="2" t="str">
        <f>HYPERLINK("https://ibp.a2mac1.com/costing(costing:projects/details/8191/part/5381337)"," Driver")</f>
        <v xml:space="preserve"> Driver</v>
      </c>
      <c r="B269">
        <v>5381337</v>
      </c>
      <c r="C269">
        <v>5381301</v>
      </c>
      <c r="D269" t="s">
        <v>1081</v>
      </c>
      <c r="E269">
        <v>0.48</v>
      </c>
      <c r="F269">
        <v>0</v>
      </c>
      <c r="G269">
        <v>0</v>
      </c>
      <c r="H269">
        <v>0</v>
      </c>
      <c r="I269" t="s">
        <v>74</v>
      </c>
      <c r="J269">
        <v>0</v>
      </c>
      <c r="K269">
        <v>0.48</v>
      </c>
      <c r="L269">
        <v>0</v>
      </c>
      <c r="M269">
        <v>0</v>
      </c>
      <c r="N269">
        <v>0.48</v>
      </c>
      <c r="O269" t="s">
        <v>74</v>
      </c>
      <c r="P269">
        <v>0</v>
      </c>
      <c r="Q269" t="s">
        <v>74</v>
      </c>
      <c r="R269">
        <v>0</v>
      </c>
      <c r="S269" t="s">
        <v>74</v>
      </c>
      <c r="T269">
        <v>0</v>
      </c>
      <c r="U269" t="s">
        <v>74</v>
      </c>
      <c r="V269">
        <v>0</v>
      </c>
      <c r="W269" t="s">
        <v>74</v>
      </c>
      <c r="X269">
        <v>0</v>
      </c>
      <c r="Y269">
        <v>0.48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390</v>
      </c>
      <c r="AF269">
        <v>97</v>
      </c>
      <c r="AG269">
        <v>172</v>
      </c>
      <c r="AH269">
        <v>0</v>
      </c>
      <c r="AI269">
        <v>0.13900000000000001</v>
      </c>
      <c r="AK269" t="s">
        <v>75</v>
      </c>
      <c r="AM269">
        <v>200000</v>
      </c>
      <c r="AN269" t="s">
        <v>76</v>
      </c>
      <c r="AO269">
        <v>1</v>
      </c>
      <c r="AP269">
        <v>0</v>
      </c>
      <c r="AQ269">
        <v>16666.666666666668</v>
      </c>
      <c r="AR269" t="s">
        <v>1082</v>
      </c>
      <c r="AS269" t="s">
        <v>78</v>
      </c>
      <c r="AX269" t="s">
        <v>79</v>
      </c>
      <c r="AY269" t="s">
        <v>74</v>
      </c>
      <c r="AZ269">
        <v>0</v>
      </c>
      <c r="BA269" t="s">
        <v>74</v>
      </c>
      <c r="BB269">
        <v>0</v>
      </c>
      <c r="BD269">
        <v>0.48</v>
      </c>
      <c r="BE269">
        <v>0</v>
      </c>
    </row>
    <row r="270" spans="1:58" ht="12.75">
      <c r="A270" s="2" t="str">
        <f>HYPERLINK("https://ibp.a2mac1.com/costing(costing:projects/details/8191/part/5381338)"," Central")</f>
        <v xml:space="preserve"> Central</v>
      </c>
      <c r="B270">
        <v>5381338</v>
      </c>
      <c r="C270">
        <v>5381301</v>
      </c>
      <c r="D270" t="s">
        <v>1087</v>
      </c>
      <c r="E270">
        <v>0.84864911249999997</v>
      </c>
      <c r="F270">
        <v>0</v>
      </c>
      <c r="G270">
        <v>0</v>
      </c>
      <c r="H270">
        <v>0.0043049268263157898</v>
      </c>
      <c r="I270" t="s">
        <v>137</v>
      </c>
      <c r="J270">
        <v>0.029777161842105264</v>
      </c>
      <c r="K270">
        <v>0.88273120116842108</v>
      </c>
      <c r="L270">
        <v>0.061483682242396386</v>
      </c>
      <c r="M270">
        <v>0.3689020934543783</v>
      </c>
      <c r="N270">
        <v>1.2516332946227993</v>
      </c>
      <c r="O270" t="s">
        <v>138</v>
      </c>
      <c r="P270">
        <v>0.052963872070105264</v>
      </c>
      <c r="Q270" t="s">
        <v>138</v>
      </c>
      <c r="R270">
        <v>0.022134125607262699</v>
      </c>
      <c r="S270" t="s">
        <v>139</v>
      </c>
      <c r="T270">
        <v>0.15019599535473593</v>
      </c>
      <c r="U270" t="s">
        <v>90</v>
      </c>
      <c r="V270">
        <v>0</v>
      </c>
      <c r="W270" t="s">
        <v>90</v>
      </c>
      <c r="X270">
        <v>0</v>
      </c>
      <c r="Y270">
        <v>1.4769272876549033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536</v>
      </c>
      <c r="AF270">
        <v>320</v>
      </c>
      <c r="AG270">
        <v>250</v>
      </c>
      <c r="AH270">
        <v>0</v>
      </c>
      <c r="AI270">
        <v>0.725</v>
      </c>
      <c r="AK270" t="s">
        <v>75</v>
      </c>
      <c r="AM270">
        <v>200000</v>
      </c>
      <c r="AN270" t="s">
        <v>76</v>
      </c>
      <c r="AO270">
        <v>1</v>
      </c>
      <c r="AP270">
        <v>0</v>
      </c>
      <c r="AQ270">
        <v>16666.666666666668</v>
      </c>
      <c r="AR270" t="s">
        <v>1088</v>
      </c>
      <c r="AS270" t="s">
        <v>78</v>
      </c>
      <c r="AX270" t="s">
        <v>79</v>
      </c>
      <c r="AY270" t="s">
        <v>137</v>
      </c>
      <c r="AZ270">
        <v>0</v>
      </c>
      <c r="BA270" t="s">
        <v>137</v>
      </c>
      <c r="BB270">
        <v>0</v>
      </c>
      <c r="BE270">
        <v>0</v>
      </c>
    </row>
    <row r="271" spans="1:58" ht="12.75">
      <c r="A271" s="2" t="str">
        <f>HYPERLINK("https://ibp.a2mac1.com/costing(costing:projects/details/8191/part/5381339)"," Passenger")</f>
        <v xml:space="preserve"> Passenger</v>
      </c>
      <c r="B271">
        <v>5381339</v>
      </c>
      <c r="C271">
        <v>5381301</v>
      </c>
      <c r="D271" t="s">
        <v>1089</v>
      </c>
      <c r="E271">
        <v>0.87</v>
      </c>
      <c r="F271">
        <v>0</v>
      </c>
      <c r="G271">
        <v>0</v>
      </c>
      <c r="H271">
        <v>0</v>
      </c>
      <c r="I271" t="s">
        <v>74</v>
      </c>
      <c r="J271">
        <v>0</v>
      </c>
      <c r="K271">
        <v>0.87</v>
      </c>
      <c r="L271">
        <v>0</v>
      </c>
      <c r="M271">
        <v>0</v>
      </c>
      <c r="N271">
        <v>0.87</v>
      </c>
      <c r="O271" t="s">
        <v>74</v>
      </c>
      <c r="P271">
        <v>0</v>
      </c>
      <c r="Q271" t="s">
        <v>74</v>
      </c>
      <c r="R271">
        <v>0</v>
      </c>
      <c r="S271" t="s">
        <v>74</v>
      </c>
      <c r="T271">
        <v>0</v>
      </c>
      <c r="U271" t="s">
        <v>74</v>
      </c>
      <c r="V271">
        <v>0</v>
      </c>
      <c r="W271" t="s">
        <v>74</v>
      </c>
      <c r="X271">
        <v>0</v>
      </c>
      <c r="Y271">
        <v>0.87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574</v>
      </c>
      <c r="AF271">
        <v>75</v>
      </c>
      <c r="AG271">
        <v>355</v>
      </c>
      <c r="AH271">
        <v>0</v>
      </c>
      <c r="AI271">
        <v>0.26700000000000002</v>
      </c>
      <c r="AK271" t="s">
        <v>75</v>
      </c>
      <c r="AM271">
        <v>200000</v>
      </c>
      <c r="AN271" t="s">
        <v>76</v>
      </c>
      <c r="AO271">
        <v>1</v>
      </c>
      <c r="AP271">
        <v>0</v>
      </c>
      <c r="AQ271">
        <v>16666.666666666668</v>
      </c>
      <c r="AR271" t="s">
        <v>1090</v>
      </c>
      <c r="AS271" t="s">
        <v>78</v>
      </c>
      <c r="AX271" t="s">
        <v>79</v>
      </c>
      <c r="AY271" t="s">
        <v>74</v>
      </c>
      <c r="AZ271">
        <v>0</v>
      </c>
      <c r="BA271" t="s">
        <v>74</v>
      </c>
      <c r="BB271">
        <v>0</v>
      </c>
      <c r="BD271">
        <v>0.87</v>
      </c>
      <c r="BE271">
        <v>0</v>
      </c>
    </row>
    <row r="272" spans="1:58" ht="12.75">
      <c r="A272" s="2" t="str">
        <f>HYPERLINK("https://ibp.a2mac1.com/costing(costing:projects/details/8191/part/5381340)"," Central Coupling")</f>
        <v xml:space="preserve"> Central Coupling</v>
      </c>
      <c r="B272">
        <v>5381340</v>
      </c>
      <c r="C272">
        <v>5381301</v>
      </c>
      <c r="D272" t="s">
        <v>1091</v>
      </c>
      <c r="E272">
        <v>0.29</v>
      </c>
      <c r="F272">
        <v>0</v>
      </c>
      <c r="G272">
        <v>0</v>
      </c>
      <c r="H272">
        <v>0</v>
      </c>
      <c r="I272" t="s">
        <v>74</v>
      </c>
      <c r="J272">
        <v>0</v>
      </c>
      <c r="K272">
        <v>0.29</v>
      </c>
      <c r="L272">
        <v>0</v>
      </c>
      <c r="M272">
        <v>0</v>
      </c>
      <c r="N272">
        <v>0.29</v>
      </c>
      <c r="O272" t="s">
        <v>74</v>
      </c>
      <c r="P272">
        <v>0</v>
      </c>
      <c r="Q272" t="s">
        <v>74</v>
      </c>
      <c r="R272">
        <v>0</v>
      </c>
      <c r="S272" t="s">
        <v>74</v>
      </c>
      <c r="T272">
        <v>0</v>
      </c>
      <c r="U272" t="s">
        <v>74</v>
      </c>
      <c r="V272">
        <v>0</v>
      </c>
      <c r="W272" t="s">
        <v>74</v>
      </c>
      <c r="X272">
        <v>0</v>
      </c>
      <c r="Y272">
        <v>0.29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283</v>
      </c>
      <c r="AF272">
        <v>97</v>
      </c>
      <c r="AG272">
        <v>70</v>
      </c>
      <c r="AH272">
        <v>0</v>
      </c>
      <c r="AI272">
        <v>0.09</v>
      </c>
      <c r="AK272" t="s">
        <v>75</v>
      </c>
      <c r="AM272">
        <v>200000</v>
      </c>
      <c r="AN272" t="s">
        <v>76</v>
      </c>
      <c r="AO272">
        <v>1</v>
      </c>
      <c r="AP272">
        <v>0</v>
      </c>
      <c r="AQ272">
        <v>16666.666666666668</v>
      </c>
      <c r="AR272" t="s">
        <v>1092</v>
      </c>
      <c r="AS272" t="s">
        <v>78</v>
      </c>
      <c r="AX272" t="s">
        <v>79</v>
      </c>
      <c r="AY272" t="s">
        <v>74</v>
      </c>
      <c r="AZ272">
        <v>0</v>
      </c>
      <c r="BA272" t="s">
        <v>74</v>
      </c>
      <c r="BB272">
        <v>0</v>
      </c>
      <c r="BD272">
        <v>0.29</v>
      </c>
      <c r="BE272">
        <v>0</v>
      </c>
    </row>
    <row r="273" spans="1:58" ht="12.75">
      <c r="A273" s="2" t="str">
        <f>HYPERLINK("https://ibp.a2mac1.com/costing(costing:projects/details/8191/part/5381341)"," Temperature Sensor")</f>
        <v xml:space="preserve"> Temperature Sensor</v>
      </c>
      <c r="B273">
        <v>5381341</v>
      </c>
      <c r="C273">
        <v>5381301</v>
      </c>
      <c r="D273" t="s">
        <v>1093</v>
      </c>
      <c r="E273">
        <v>1.80</v>
      </c>
      <c r="F273">
        <v>0</v>
      </c>
      <c r="G273">
        <v>0</v>
      </c>
      <c r="H273">
        <v>0</v>
      </c>
      <c r="I273" t="s">
        <v>74</v>
      </c>
      <c r="J273">
        <v>0</v>
      </c>
      <c r="K273">
        <v>1.80</v>
      </c>
      <c r="L273">
        <v>0</v>
      </c>
      <c r="M273">
        <v>0</v>
      </c>
      <c r="N273">
        <v>1.80</v>
      </c>
      <c r="O273" t="s">
        <v>74</v>
      </c>
      <c r="P273">
        <v>0</v>
      </c>
      <c r="Q273" t="s">
        <v>74</v>
      </c>
      <c r="R273">
        <v>0</v>
      </c>
      <c r="S273" t="s">
        <v>74</v>
      </c>
      <c r="T273">
        <v>0</v>
      </c>
      <c r="U273" t="s">
        <v>74</v>
      </c>
      <c r="V273">
        <v>0</v>
      </c>
      <c r="W273" t="s">
        <v>74</v>
      </c>
      <c r="X273">
        <v>0</v>
      </c>
      <c r="Y273">
        <v>1.80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20</v>
      </c>
      <c r="AF273">
        <v>52</v>
      </c>
      <c r="AG273">
        <v>35</v>
      </c>
      <c r="AH273">
        <v>0</v>
      </c>
      <c r="AI273">
        <v>0.0060000000000000001</v>
      </c>
      <c r="AK273" t="s">
        <v>213</v>
      </c>
      <c r="AM273">
        <v>400000</v>
      </c>
      <c r="AN273" t="s">
        <v>76</v>
      </c>
      <c r="AO273">
        <v>2</v>
      </c>
      <c r="AP273">
        <v>0</v>
      </c>
      <c r="AQ273">
        <v>33333.333333333336</v>
      </c>
      <c r="AR273" t="s">
        <v>1094</v>
      </c>
      <c r="AS273" t="s">
        <v>78</v>
      </c>
      <c r="AX273" t="s">
        <v>79</v>
      </c>
      <c r="AY273" t="s">
        <v>74</v>
      </c>
      <c r="AZ273">
        <v>0</v>
      </c>
      <c r="BA273" t="s">
        <v>74</v>
      </c>
      <c r="BB273">
        <v>0</v>
      </c>
      <c r="BD273">
        <v>0.90</v>
      </c>
      <c r="BE273">
        <v>0</v>
      </c>
    </row>
    <row r="274" spans="1:58" ht="12.75">
      <c r="A274" s="2" t="str">
        <f>HYPERLINK("https://ibp.a2mac1.com/costing(costing:projects/details/8191/part/5381342)"," Heater Sealing")</f>
        <v xml:space="preserve"> Heater Sealing</v>
      </c>
      <c r="B274">
        <v>5381342</v>
      </c>
      <c r="C274">
        <v>5381301</v>
      </c>
      <c r="D274" t="s">
        <v>1095</v>
      </c>
      <c r="E274">
        <v>0.06</v>
      </c>
      <c r="F274">
        <v>0</v>
      </c>
      <c r="G274">
        <v>0</v>
      </c>
      <c r="H274">
        <v>0</v>
      </c>
      <c r="I274" t="s">
        <v>74</v>
      </c>
      <c r="J274">
        <v>0</v>
      </c>
      <c r="K274">
        <v>0.06</v>
      </c>
      <c r="L274">
        <v>0</v>
      </c>
      <c r="M274">
        <v>0</v>
      </c>
      <c r="N274">
        <v>0.06</v>
      </c>
      <c r="O274" t="s">
        <v>74</v>
      </c>
      <c r="P274">
        <v>0</v>
      </c>
      <c r="Q274" t="s">
        <v>74</v>
      </c>
      <c r="R274">
        <v>0</v>
      </c>
      <c r="S274" t="s">
        <v>74</v>
      </c>
      <c r="T274">
        <v>0</v>
      </c>
      <c r="U274" t="s">
        <v>74</v>
      </c>
      <c r="V274">
        <v>0</v>
      </c>
      <c r="W274" t="s">
        <v>74</v>
      </c>
      <c r="X274">
        <v>0</v>
      </c>
      <c r="Y274">
        <v>0.06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298</v>
      </c>
      <c r="AF274">
        <v>111</v>
      </c>
      <c r="AG274">
        <v>10</v>
      </c>
      <c r="AH274">
        <v>0</v>
      </c>
      <c r="AI274">
        <v>0.0060000000000000001</v>
      </c>
      <c r="AK274" t="s">
        <v>75</v>
      </c>
      <c r="AM274">
        <v>200000</v>
      </c>
      <c r="AN274" t="s">
        <v>76</v>
      </c>
      <c r="AO274">
        <v>1</v>
      </c>
      <c r="AP274">
        <v>0</v>
      </c>
      <c r="AQ274">
        <v>16666.666666666668</v>
      </c>
      <c r="AR274" t="s">
        <v>1096</v>
      </c>
      <c r="AS274" t="s">
        <v>78</v>
      </c>
      <c r="AX274" t="s">
        <v>79</v>
      </c>
      <c r="AY274" t="s">
        <v>74</v>
      </c>
      <c r="AZ274">
        <v>0</v>
      </c>
      <c r="BA274" t="s">
        <v>74</v>
      </c>
      <c r="BB274">
        <v>0</v>
      </c>
      <c r="BD274">
        <v>0.06</v>
      </c>
      <c r="BE274">
        <v>0</v>
      </c>
    </row>
    <row r="275" spans="1:58" ht="12.75">
      <c r="A275" s="2" t="str">
        <f>HYPERLINK("https://ibp.a2mac1.com/costing(costing:projects/details/8191/part/5381521)"," Driver and Passenger if the Same")</f>
        <v xml:space="preserve"> Driver and Passenger if the Same</v>
      </c>
      <c r="B275">
        <v>5381521</v>
      </c>
      <c r="C275">
        <v>5381345</v>
      </c>
      <c r="D275" t="s">
        <v>1101</v>
      </c>
      <c r="E275">
        <v>1.80</v>
      </c>
      <c r="F275">
        <v>0</v>
      </c>
      <c r="G275">
        <v>0</v>
      </c>
      <c r="H275">
        <v>0</v>
      </c>
      <c r="I275" t="s">
        <v>74</v>
      </c>
      <c r="J275">
        <v>0</v>
      </c>
      <c r="K275">
        <v>1.80</v>
      </c>
      <c r="L275">
        <v>0</v>
      </c>
      <c r="M275">
        <v>0</v>
      </c>
      <c r="N275">
        <v>1.80</v>
      </c>
      <c r="O275" t="s">
        <v>74</v>
      </c>
      <c r="P275">
        <v>0</v>
      </c>
      <c r="Q275" t="s">
        <v>74</v>
      </c>
      <c r="R275">
        <v>0</v>
      </c>
      <c r="S275" t="s">
        <v>74</v>
      </c>
      <c r="T275">
        <v>0</v>
      </c>
      <c r="U275" t="s">
        <v>74</v>
      </c>
      <c r="V275">
        <v>0</v>
      </c>
      <c r="W275" t="s">
        <v>74</v>
      </c>
      <c r="X275">
        <v>0</v>
      </c>
      <c r="Y275">
        <v>1.80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22</v>
      </c>
      <c r="AF275">
        <v>68</v>
      </c>
      <c r="AG275">
        <v>24</v>
      </c>
      <c r="AH275">
        <v>0</v>
      </c>
      <c r="AI275">
        <v>0.005</v>
      </c>
      <c r="AK275" t="s">
        <v>213</v>
      </c>
      <c r="AM275">
        <v>400000</v>
      </c>
      <c r="AN275" t="s">
        <v>76</v>
      </c>
      <c r="AO275">
        <v>2</v>
      </c>
      <c r="AP275">
        <v>0</v>
      </c>
      <c r="AQ275">
        <v>33333.333333333336</v>
      </c>
      <c r="AR275" t="s">
        <v>1102</v>
      </c>
      <c r="AS275" t="s">
        <v>78</v>
      </c>
      <c r="AX275" t="s">
        <v>79</v>
      </c>
      <c r="AY275" t="s">
        <v>74</v>
      </c>
      <c r="AZ275">
        <v>0</v>
      </c>
      <c r="BA275" t="s">
        <v>74</v>
      </c>
      <c r="BB275">
        <v>0</v>
      </c>
      <c r="BD275">
        <v>0.90</v>
      </c>
      <c r="BE275">
        <v>0</v>
      </c>
    </row>
    <row r="276" spans="1:58" ht="12.75">
      <c r="A276" s="2" t="str">
        <f>HYPERLINK("https://ibp.a2mac1.com/costing(costing:projects/details/8191/part/5381343)"," Left Pipe")</f>
        <v xml:space="preserve"> Left Pipe</v>
      </c>
      <c r="B276">
        <v>5381343</v>
      </c>
      <c r="C276">
        <v>5381302</v>
      </c>
      <c r="D276" t="s">
        <v>1105</v>
      </c>
      <c r="E276">
        <v>0.35</v>
      </c>
      <c r="F276">
        <v>0</v>
      </c>
      <c r="G276">
        <v>0</v>
      </c>
      <c r="H276">
        <v>0</v>
      </c>
      <c r="I276" t="s">
        <v>74</v>
      </c>
      <c r="J276">
        <v>0</v>
      </c>
      <c r="K276">
        <v>0.35</v>
      </c>
      <c r="L276">
        <v>0</v>
      </c>
      <c r="M276">
        <v>0</v>
      </c>
      <c r="N276">
        <v>0.35</v>
      </c>
      <c r="O276" t="s">
        <v>74</v>
      </c>
      <c r="P276">
        <v>0</v>
      </c>
      <c r="Q276" t="s">
        <v>74</v>
      </c>
      <c r="R276">
        <v>0</v>
      </c>
      <c r="S276" t="s">
        <v>74</v>
      </c>
      <c r="T276">
        <v>0</v>
      </c>
      <c r="U276" t="s">
        <v>74</v>
      </c>
      <c r="V276">
        <v>0</v>
      </c>
      <c r="W276" t="s">
        <v>74</v>
      </c>
      <c r="X276">
        <v>0</v>
      </c>
      <c r="Y276">
        <v>0.35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335</v>
      </c>
      <c r="AF276">
        <v>96</v>
      </c>
      <c r="AG276">
        <v>85</v>
      </c>
      <c r="AH276">
        <v>0</v>
      </c>
      <c r="AI276">
        <v>0.098000000000000004</v>
      </c>
      <c r="AK276" t="s">
        <v>75</v>
      </c>
      <c r="AM276">
        <v>200000</v>
      </c>
      <c r="AN276" t="s">
        <v>76</v>
      </c>
      <c r="AO276">
        <v>1</v>
      </c>
      <c r="AP276">
        <v>0</v>
      </c>
      <c r="AQ276">
        <v>16666.666666666668</v>
      </c>
      <c r="AR276" t="s">
        <v>1106</v>
      </c>
      <c r="AS276" t="s">
        <v>78</v>
      </c>
      <c r="AX276" t="s">
        <v>79</v>
      </c>
      <c r="AY276" t="s">
        <v>74</v>
      </c>
      <c r="AZ276">
        <v>0</v>
      </c>
      <c r="BA276" t="s">
        <v>74</v>
      </c>
      <c r="BB276">
        <v>0</v>
      </c>
      <c r="BD276">
        <v>0.35</v>
      </c>
      <c r="BE276">
        <v>0</v>
      </c>
    </row>
    <row r="277" spans="1:58" ht="12.75">
      <c r="A277" s="2" t="str">
        <f>HYPERLINK("https://ibp.a2mac1.com/costing(costing:projects/details/8191/part/5381344)"," Right Pipe")</f>
        <v xml:space="preserve"> Right Pipe</v>
      </c>
      <c r="B277">
        <v>5381344</v>
      </c>
      <c r="C277">
        <v>5381302</v>
      </c>
      <c r="D277" t="s">
        <v>1107</v>
      </c>
      <c r="E277">
        <v>0.48</v>
      </c>
      <c r="F277">
        <v>0</v>
      </c>
      <c r="G277">
        <v>0</v>
      </c>
      <c r="H277">
        <v>0</v>
      </c>
      <c r="I277" t="s">
        <v>74</v>
      </c>
      <c r="J277">
        <v>0</v>
      </c>
      <c r="K277">
        <v>0.48</v>
      </c>
      <c r="L277">
        <v>0</v>
      </c>
      <c r="M277">
        <v>0</v>
      </c>
      <c r="N277">
        <v>0.48</v>
      </c>
      <c r="O277" t="s">
        <v>74</v>
      </c>
      <c r="P277">
        <v>0</v>
      </c>
      <c r="Q277" t="s">
        <v>74</v>
      </c>
      <c r="R277">
        <v>0</v>
      </c>
      <c r="S277" t="s">
        <v>74</v>
      </c>
      <c r="T277">
        <v>0</v>
      </c>
      <c r="U277" t="s">
        <v>74</v>
      </c>
      <c r="V277">
        <v>0</v>
      </c>
      <c r="W277" t="s">
        <v>74</v>
      </c>
      <c r="X277">
        <v>0</v>
      </c>
      <c r="Y277">
        <v>0.48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385</v>
      </c>
      <c r="AF277">
        <v>120</v>
      </c>
      <c r="AG277">
        <v>162</v>
      </c>
      <c r="AH277">
        <v>0</v>
      </c>
      <c r="AI277">
        <v>0.13900000000000001</v>
      </c>
      <c r="AK277" t="s">
        <v>75</v>
      </c>
      <c r="AM277">
        <v>200000</v>
      </c>
      <c r="AN277" t="s">
        <v>76</v>
      </c>
      <c r="AO277">
        <v>1</v>
      </c>
      <c r="AP277">
        <v>0</v>
      </c>
      <c r="AQ277">
        <v>16666.666666666668</v>
      </c>
      <c r="AR277" t="s">
        <v>1108</v>
      </c>
      <c r="AS277" t="s">
        <v>78</v>
      </c>
      <c r="AX277" t="s">
        <v>79</v>
      </c>
      <c r="AY277" t="s">
        <v>74</v>
      </c>
      <c r="AZ277">
        <v>0</v>
      </c>
      <c r="BA277" t="s">
        <v>74</v>
      </c>
      <c r="BB277">
        <v>0</v>
      </c>
      <c r="BD277">
        <v>0.48</v>
      </c>
      <c r="BE277">
        <v>0</v>
      </c>
    </row>
    <row r="278" spans="1:58" ht="12.75">
      <c r="A278" s="2" t="str">
        <f>HYPERLINK("https://ibp.a2mac1.com/costing(costing:projects/details/8191/part/5381522)"," Left")</f>
        <v xml:space="preserve"> Left</v>
      </c>
      <c r="B278">
        <v>5381522</v>
      </c>
      <c r="C278">
        <v>5381346</v>
      </c>
      <c r="D278" t="s">
        <v>1113</v>
      </c>
      <c r="E278">
        <v>0.11</v>
      </c>
      <c r="F278">
        <v>0</v>
      </c>
      <c r="G278">
        <v>0</v>
      </c>
      <c r="H278">
        <v>0</v>
      </c>
      <c r="I278" t="s">
        <v>74</v>
      </c>
      <c r="J278">
        <v>0</v>
      </c>
      <c r="K278">
        <v>0.11</v>
      </c>
      <c r="L278">
        <v>0</v>
      </c>
      <c r="M278">
        <v>0</v>
      </c>
      <c r="N278">
        <v>0.11</v>
      </c>
      <c r="O278" t="s">
        <v>74</v>
      </c>
      <c r="P278">
        <v>0</v>
      </c>
      <c r="Q278" t="s">
        <v>74</v>
      </c>
      <c r="R278">
        <v>0</v>
      </c>
      <c r="S278" t="s">
        <v>74</v>
      </c>
      <c r="T278">
        <v>0</v>
      </c>
      <c r="U278" t="s">
        <v>74</v>
      </c>
      <c r="V278">
        <v>0</v>
      </c>
      <c r="W278" t="s">
        <v>74</v>
      </c>
      <c r="X278">
        <v>0</v>
      </c>
      <c r="Y278">
        <v>0.11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57</v>
      </c>
      <c r="AF278">
        <v>27</v>
      </c>
      <c r="AG278">
        <v>119</v>
      </c>
      <c r="AH278">
        <v>0</v>
      </c>
      <c r="AI278">
        <v>0.017000000000000001</v>
      </c>
      <c r="AK278" t="s">
        <v>75</v>
      </c>
      <c r="AM278">
        <v>200000</v>
      </c>
      <c r="AN278" t="s">
        <v>76</v>
      </c>
      <c r="AO278">
        <v>1</v>
      </c>
      <c r="AP278">
        <v>0</v>
      </c>
      <c r="AQ278">
        <v>16666.666666666668</v>
      </c>
      <c r="AR278" t="s">
        <v>1114</v>
      </c>
      <c r="AS278" t="s">
        <v>78</v>
      </c>
      <c r="AX278" t="s">
        <v>79</v>
      </c>
      <c r="AY278" t="s">
        <v>74</v>
      </c>
      <c r="AZ278">
        <v>0</v>
      </c>
      <c r="BA278" t="s">
        <v>74</v>
      </c>
      <c r="BB278">
        <v>0</v>
      </c>
      <c r="BD278">
        <v>0.11</v>
      </c>
      <c r="BE278">
        <v>0</v>
      </c>
    </row>
    <row r="279" spans="1:58" ht="12.75">
      <c r="A279" s="2" t="str">
        <f>HYPERLINK("https://ibp.a2mac1.com/costing(costing:projects/details/8191/part/5381523)"," Right")</f>
        <v xml:space="preserve"> Right</v>
      </c>
      <c r="B279">
        <v>5381523</v>
      </c>
      <c r="C279">
        <v>5381346</v>
      </c>
      <c r="D279" t="s">
        <v>1115</v>
      </c>
      <c r="E279">
        <v>0.10</v>
      </c>
      <c r="F279">
        <v>0</v>
      </c>
      <c r="G279">
        <v>0</v>
      </c>
      <c r="H279">
        <v>0</v>
      </c>
      <c r="I279" t="s">
        <v>74</v>
      </c>
      <c r="J279">
        <v>0</v>
      </c>
      <c r="K279">
        <v>0.10</v>
      </c>
      <c r="L279">
        <v>0</v>
      </c>
      <c r="M279">
        <v>0</v>
      </c>
      <c r="N279">
        <v>0.10</v>
      </c>
      <c r="O279" t="s">
        <v>74</v>
      </c>
      <c r="P279">
        <v>0</v>
      </c>
      <c r="Q279" t="s">
        <v>74</v>
      </c>
      <c r="R279">
        <v>0</v>
      </c>
      <c r="S279" t="s">
        <v>74</v>
      </c>
      <c r="T279">
        <v>0</v>
      </c>
      <c r="U279" t="s">
        <v>74</v>
      </c>
      <c r="V279">
        <v>0</v>
      </c>
      <c r="W279" t="s">
        <v>74</v>
      </c>
      <c r="X279">
        <v>0</v>
      </c>
      <c r="Y279">
        <v>0.10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46</v>
      </c>
      <c r="AF279">
        <v>26</v>
      </c>
      <c r="AG279">
        <v>123</v>
      </c>
      <c r="AH279">
        <v>0</v>
      </c>
      <c r="AI279">
        <v>0.016</v>
      </c>
      <c r="AK279" t="s">
        <v>75</v>
      </c>
      <c r="AM279">
        <v>200000</v>
      </c>
      <c r="AN279" t="s">
        <v>76</v>
      </c>
      <c r="AO279">
        <v>1</v>
      </c>
      <c r="AP279">
        <v>0</v>
      </c>
      <c r="AQ279">
        <v>16666.666666666668</v>
      </c>
      <c r="AR279" t="s">
        <v>1116</v>
      </c>
      <c r="AS279" t="s">
        <v>78</v>
      </c>
      <c r="AX279" t="s">
        <v>79</v>
      </c>
      <c r="AY279" t="s">
        <v>74</v>
      </c>
      <c r="AZ279">
        <v>0</v>
      </c>
      <c r="BA279" t="s">
        <v>74</v>
      </c>
      <c r="BB279">
        <v>0</v>
      </c>
      <c r="BD279">
        <v>0.10</v>
      </c>
      <c r="BE279">
        <v>0</v>
      </c>
    </row>
    <row r="280" spans="1:58" ht="12.75">
      <c r="A280" s="2" t="str">
        <f>HYPERLINK("https://ibp.a2mac1.com/costing(costing:projects/details/8191/part/5381347)"," Left")</f>
        <v xml:space="preserve"> Left</v>
      </c>
      <c r="B280">
        <v>5381347</v>
      </c>
      <c r="C280">
        <v>5381304</v>
      </c>
      <c r="D280" t="s">
        <v>1122</v>
      </c>
      <c r="E280">
        <v>0.36</v>
      </c>
      <c r="F280">
        <v>0</v>
      </c>
      <c r="G280">
        <v>0</v>
      </c>
      <c r="H280">
        <v>0</v>
      </c>
      <c r="I280" t="s">
        <v>74</v>
      </c>
      <c r="J280">
        <v>0</v>
      </c>
      <c r="K280">
        <v>0.36</v>
      </c>
      <c r="L280">
        <v>0</v>
      </c>
      <c r="M280">
        <v>0</v>
      </c>
      <c r="N280">
        <v>0.36</v>
      </c>
      <c r="O280" t="s">
        <v>74</v>
      </c>
      <c r="P280">
        <v>0</v>
      </c>
      <c r="Q280" t="s">
        <v>74</v>
      </c>
      <c r="R280">
        <v>0</v>
      </c>
      <c r="S280" t="s">
        <v>74</v>
      </c>
      <c r="T280">
        <v>0</v>
      </c>
      <c r="U280" t="s">
        <v>74</v>
      </c>
      <c r="V280">
        <v>0</v>
      </c>
      <c r="W280" t="s">
        <v>74</v>
      </c>
      <c r="X280">
        <v>0</v>
      </c>
      <c r="Y280">
        <v>0.36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530</v>
      </c>
      <c r="AF280">
        <v>73</v>
      </c>
      <c r="AG280">
        <v>125</v>
      </c>
      <c r="AH280">
        <v>0</v>
      </c>
      <c r="AI280">
        <v>0.10100000000000001</v>
      </c>
      <c r="AK280" t="s">
        <v>75</v>
      </c>
      <c r="AM280">
        <v>200000</v>
      </c>
      <c r="AN280" t="s">
        <v>76</v>
      </c>
      <c r="AO280">
        <v>1</v>
      </c>
      <c r="AP280">
        <v>0</v>
      </c>
      <c r="AQ280">
        <v>16666.666666666668</v>
      </c>
      <c r="AR280" t="s">
        <v>1123</v>
      </c>
      <c r="AS280" t="s">
        <v>78</v>
      </c>
      <c r="AX280" t="s">
        <v>79</v>
      </c>
      <c r="AY280" t="s">
        <v>74</v>
      </c>
      <c r="AZ280">
        <v>0</v>
      </c>
      <c r="BA280" t="s">
        <v>74</v>
      </c>
      <c r="BB280">
        <v>0</v>
      </c>
      <c r="BD280">
        <v>0.36</v>
      </c>
      <c r="BE280">
        <v>0</v>
      </c>
    </row>
    <row r="281" spans="1:58" ht="12.75">
      <c r="A281" s="2" t="str">
        <f>HYPERLINK("https://ibp.a2mac1.com/costing(costing:projects/details/8191/part/5381348)"," Central")</f>
        <v xml:space="preserve"> Central</v>
      </c>
      <c r="B281">
        <v>5381348</v>
      </c>
      <c r="C281">
        <v>5381304</v>
      </c>
      <c r="D281" t="s">
        <v>1124</v>
      </c>
      <c r="E281">
        <v>0.43</v>
      </c>
      <c r="F281">
        <v>0</v>
      </c>
      <c r="G281">
        <v>0</v>
      </c>
      <c r="H281">
        <v>0</v>
      </c>
      <c r="I281" t="s">
        <v>74</v>
      </c>
      <c r="J281">
        <v>0</v>
      </c>
      <c r="K281">
        <v>0.43</v>
      </c>
      <c r="L281">
        <v>0</v>
      </c>
      <c r="M281">
        <v>0</v>
      </c>
      <c r="N281">
        <v>0.43</v>
      </c>
      <c r="O281" t="s">
        <v>74</v>
      </c>
      <c r="P281">
        <v>0</v>
      </c>
      <c r="Q281" t="s">
        <v>74</v>
      </c>
      <c r="R281">
        <v>0</v>
      </c>
      <c r="S281" t="s">
        <v>74</v>
      </c>
      <c r="T281">
        <v>0</v>
      </c>
      <c r="U281" t="s">
        <v>74</v>
      </c>
      <c r="V281">
        <v>0</v>
      </c>
      <c r="W281" t="s">
        <v>74</v>
      </c>
      <c r="X281">
        <v>0</v>
      </c>
      <c r="Y281">
        <v>0.43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233</v>
      </c>
      <c r="AF281">
        <v>98</v>
      </c>
      <c r="AG281">
        <v>250</v>
      </c>
      <c r="AH281">
        <v>0</v>
      </c>
      <c r="AI281">
        <v>0.135</v>
      </c>
      <c r="AK281" t="s">
        <v>75</v>
      </c>
      <c r="AM281">
        <v>200000</v>
      </c>
      <c r="AN281" t="s">
        <v>76</v>
      </c>
      <c r="AO281">
        <v>1</v>
      </c>
      <c r="AP281">
        <v>0</v>
      </c>
      <c r="AQ281">
        <v>16666.666666666668</v>
      </c>
      <c r="AR281" t="s">
        <v>1125</v>
      </c>
      <c r="AS281" t="s">
        <v>78</v>
      </c>
      <c r="AX281" t="s">
        <v>79</v>
      </c>
      <c r="AY281" t="s">
        <v>74</v>
      </c>
      <c r="AZ281">
        <v>0</v>
      </c>
      <c r="BA281" t="s">
        <v>74</v>
      </c>
      <c r="BB281">
        <v>0</v>
      </c>
      <c r="BD281">
        <v>0.43</v>
      </c>
      <c r="BE281">
        <v>0</v>
      </c>
    </row>
    <row r="282" spans="1:58" ht="12.75">
      <c r="A282" s="2" t="str">
        <f>HYPERLINK("https://ibp.a2mac1.com/costing(costing:projects/details/8191/part/5381349)"," Left/Single Coupling Part")</f>
        <v xml:space="preserve"> Left/Single Coupling Part</v>
      </c>
      <c r="B282">
        <v>5381349</v>
      </c>
      <c r="C282">
        <v>5381304</v>
      </c>
      <c r="D282" t="s">
        <v>1126</v>
      </c>
      <c r="E282">
        <v>0.51</v>
      </c>
      <c r="F282">
        <v>0</v>
      </c>
      <c r="G282">
        <v>0</v>
      </c>
      <c r="H282">
        <v>0</v>
      </c>
      <c r="I282" t="s">
        <v>74</v>
      </c>
      <c r="J282">
        <v>0</v>
      </c>
      <c r="K282">
        <v>0.51</v>
      </c>
      <c r="L282">
        <v>0</v>
      </c>
      <c r="M282">
        <v>0</v>
      </c>
      <c r="N282">
        <v>0.51</v>
      </c>
      <c r="O282" t="s">
        <v>74</v>
      </c>
      <c r="P282">
        <v>0</v>
      </c>
      <c r="Q282" t="s">
        <v>74</v>
      </c>
      <c r="R282">
        <v>0</v>
      </c>
      <c r="S282" t="s">
        <v>74</v>
      </c>
      <c r="T282">
        <v>0</v>
      </c>
      <c r="U282" t="s">
        <v>74</v>
      </c>
      <c r="V282">
        <v>0</v>
      </c>
      <c r="W282" t="s">
        <v>74</v>
      </c>
      <c r="X282">
        <v>0</v>
      </c>
      <c r="Y282">
        <v>0.51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370</v>
      </c>
      <c r="AF282">
        <v>45</v>
      </c>
      <c r="AG282">
        <v>155</v>
      </c>
      <c r="AH282">
        <v>0</v>
      </c>
      <c r="AI282">
        <v>0.18</v>
      </c>
      <c r="AK282" t="s">
        <v>75</v>
      </c>
      <c r="AM282">
        <v>200000</v>
      </c>
      <c r="AN282" t="s">
        <v>76</v>
      </c>
      <c r="AO282">
        <v>1</v>
      </c>
      <c r="AP282">
        <v>0</v>
      </c>
      <c r="AQ282">
        <v>16666.666666666668</v>
      </c>
      <c r="AR282" t="s">
        <v>1127</v>
      </c>
      <c r="AS282" t="s">
        <v>78</v>
      </c>
      <c r="AX282" t="s">
        <v>79</v>
      </c>
      <c r="AY282" t="s">
        <v>74</v>
      </c>
      <c r="AZ282">
        <v>0</v>
      </c>
      <c r="BA282" t="s">
        <v>74</v>
      </c>
      <c r="BB282">
        <v>0</v>
      </c>
      <c r="BD282">
        <v>0.51</v>
      </c>
      <c r="BE282">
        <v>0</v>
      </c>
    </row>
    <row r="283" spans="1:58" ht="12.75">
      <c r="A283" s="2" t="str">
        <f>HYPERLINK("https://ibp.a2mac1.com/costing(costing:projects/details/8191/part/5381350)"," Heater Sealing")</f>
        <v xml:space="preserve"> Heater Sealing</v>
      </c>
      <c r="B283">
        <v>5381350</v>
      </c>
      <c r="C283">
        <v>5381304</v>
      </c>
      <c r="D283" t="s">
        <v>1128</v>
      </c>
      <c r="E283">
        <v>0.05</v>
      </c>
      <c r="F283">
        <v>0</v>
      </c>
      <c r="G283">
        <v>0</v>
      </c>
      <c r="H283">
        <v>0</v>
      </c>
      <c r="I283" t="s">
        <v>74</v>
      </c>
      <c r="J283">
        <v>0</v>
      </c>
      <c r="K283">
        <v>0.05</v>
      </c>
      <c r="L283">
        <v>0</v>
      </c>
      <c r="M283">
        <v>0</v>
      </c>
      <c r="N283">
        <v>0.05</v>
      </c>
      <c r="O283" t="s">
        <v>74</v>
      </c>
      <c r="P283">
        <v>0</v>
      </c>
      <c r="Q283" t="s">
        <v>74</v>
      </c>
      <c r="R283">
        <v>0</v>
      </c>
      <c r="S283" t="s">
        <v>74</v>
      </c>
      <c r="T283">
        <v>0</v>
      </c>
      <c r="U283" t="s">
        <v>74</v>
      </c>
      <c r="V283">
        <v>0</v>
      </c>
      <c r="W283" t="s">
        <v>74</v>
      </c>
      <c r="X283">
        <v>0</v>
      </c>
      <c r="Y283">
        <v>0.05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222</v>
      </c>
      <c r="AF283">
        <v>130</v>
      </c>
      <c r="AG283">
        <v>11</v>
      </c>
      <c r="AH283">
        <v>0</v>
      </c>
      <c r="AI283">
        <v>0.0040000000000000001</v>
      </c>
      <c r="AK283" t="s">
        <v>75</v>
      </c>
      <c r="AM283">
        <v>200000</v>
      </c>
      <c r="AN283" t="s">
        <v>76</v>
      </c>
      <c r="AO283">
        <v>1</v>
      </c>
      <c r="AP283">
        <v>0</v>
      </c>
      <c r="AQ283">
        <v>16666.666666666668</v>
      </c>
      <c r="AR283" t="s">
        <v>1129</v>
      </c>
      <c r="AS283" t="s">
        <v>78</v>
      </c>
      <c r="AX283" t="s">
        <v>79</v>
      </c>
      <c r="AY283" t="s">
        <v>74</v>
      </c>
      <c r="AZ283">
        <v>0</v>
      </c>
      <c r="BA283" t="s">
        <v>74</v>
      </c>
      <c r="BB283">
        <v>0</v>
      </c>
      <c r="BD283">
        <v>0.05</v>
      </c>
      <c r="BE283">
        <v>0</v>
      </c>
    </row>
    <row r="284" spans="1:58" ht="12.75">
      <c r="A284" s="2" t="str">
        <f>HYPERLINK("https://ibp.a2mac1.com/costing(costing:projects/details/8191/part/5381351)"," Central")</f>
        <v xml:space="preserve"> Central</v>
      </c>
      <c r="B284">
        <v>5381351</v>
      </c>
      <c r="C284">
        <v>5381305</v>
      </c>
      <c r="D284" t="s">
        <v>1133</v>
      </c>
      <c r="E284">
        <v>0.54</v>
      </c>
      <c r="F284">
        <v>0</v>
      </c>
      <c r="G284">
        <v>0</v>
      </c>
      <c r="H284">
        <v>0</v>
      </c>
      <c r="I284" t="s">
        <v>74</v>
      </c>
      <c r="J284">
        <v>0</v>
      </c>
      <c r="K284">
        <v>0.54</v>
      </c>
      <c r="L284">
        <v>0</v>
      </c>
      <c r="M284">
        <v>0</v>
      </c>
      <c r="N284">
        <v>0.54</v>
      </c>
      <c r="O284" t="s">
        <v>74</v>
      </c>
      <c r="P284">
        <v>0</v>
      </c>
      <c r="Q284" t="s">
        <v>74</v>
      </c>
      <c r="R284">
        <v>0</v>
      </c>
      <c r="S284" t="s">
        <v>74</v>
      </c>
      <c r="T284">
        <v>0</v>
      </c>
      <c r="U284" t="s">
        <v>74</v>
      </c>
      <c r="V284">
        <v>0</v>
      </c>
      <c r="W284" t="s">
        <v>74</v>
      </c>
      <c r="X284">
        <v>0</v>
      </c>
      <c r="Y284">
        <v>0.54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390</v>
      </c>
      <c r="AF284">
        <v>17</v>
      </c>
      <c r="AG284">
        <v>155</v>
      </c>
      <c r="AH284">
        <v>0</v>
      </c>
      <c r="AI284">
        <v>0.16300000000000001</v>
      </c>
      <c r="AK284" t="s">
        <v>75</v>
      </c>
      <c r="AM284">
        <v>200000</v>
      </c>
      <c r="AN284" t="s">
        <v>76</v>
      </c>
      <c r="AO284">
        <v>1</v>
      </c>
      <c r="AP284">
        <v>0</v>
      </c>
      <c r="AQ284">
        <v>16666.666666666668</v>
      </c>
      <c r="AR284" t="s">
        <v>1134</v>
      </c>
      <c r="AS284" t="s">
        <v>78</v>
      </c>
      <c r="AX284" t="s">
        <v>79</v>
      </c>
      <c r="AY284" t="s">
        <v>74</v>
      </c>
      <c r="AZ284">
        <v>0</v>
      </c>
      <c r="BA284" t="s">
        <v>74</v>
      </c>
      <c r="BB284">
        <v>0</v>
      </c>
      <c r="BD284">
        <v>0.54</v>
      </c>
      <c r="BE284">
        <v>0</v>
      </c>
    </row>
    <row r="285" spans="1:58" ht="12.75">
      <c r="A285" s="2" t="str">
        <f>HYPERLINK("https://ibp.a2mac1.com/costing(costing:projects/details/8191/part/5381352)"," Steady Heating or Electric Vehicle")</f>
        <v xml:space="preserve"> Steady Heating or Electric Vehicle</v>
      </c>
      <c r="B285">
        <v>5381352</v>
      </c>
      <c r="C285">
        <v>5381306</v>
      </c>
      <c r="D285" t="s">
        <v>1138</v>
      </c>
      <c r="E285">
        <v>64</v>
      </c>
      <c r="F285">
        <v>0</v>
      </c>
      <c r="G285">
        <v>0</v>
      </c>
      <c r="H285">
        <v>0</v>
      </c>
      <c r="I285" t="s">
        <v>74</v>
      </c>
      <c r="J285">
        <v>0</v>
      </c>
      <c r="K285">
        <v>64</v>
      </c>
      <c r="L285">
        <v>0</v>
      </c>
      <c r="M285">
        <v>0</v>
      </c>
      <c r="N285">
        <v>64</v>
      </c>
      <c r="O285" t="s">
        <v>74</v>
      </c>
      <c r="P285">
        <v>0</v>
      </c>
      <c r="Q285" t="s">
        <v>74</v>
      </c>
      <c r="R285">
        <v>0</v>
      </c>
      <c r="S285" t="s">
        <v>74</v>
      </c>
      <c r="T285">
        <v>0</v>
      </c>
      <c r="U285" t="s">
        <v>74</v>
      </c>
      <c r="V285">
        <v>0</v>
      </c>
      <c r="W285" t="s">
        <v>74</v>
      </c>
      <c r="X285">
        <v>0</v>
      </c>
      <c r="Y285">
        <v>64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90</v>
      </c>
      <c r="AF285">
        <v>212</v>
      </c>
      <c r="AG285">
        <v>202</v>
      </c>
      <c r="AH285">
        <v>0</v>
      </c>
      <c r="AI285">
        <v>2.1509999999999998</v>
      </c>
      <c r="AK285" t="s">
        <v>213</v>
      </c>
      <c r="AM285">
        <v>200000</v>
      </c>
      <c r="AN285" t="s">
        <v>76</v>
      </c>
      <c r="AO285">
        <v>1</v>
      </c>
      <c r="AP285">
        <v>0</v>
      </c>
      <c r="AQ285">
        <v>16666.666666666668</v>
      </c>
      <c r="AR285" t="s">
        <v>1139</v>
      </c>
      <c r="AS285" t="s">
        <v>78</v>
      </c>
      <c r="AX285" t="s">
        <v>79</v>
      </c>
      <c r="AY285" t="s">
        <v>74</v>
      </c>
      <c r="AZ285">
        <v>0</v>
      </c>
      <c r="BA285" t="s">
        <v>74</v>
      </c>
      <c r="BB285">
        <v>0</v>
      </c>
      <c r="BD285">
        <v>64</v>
      </c>
      <c r="BE285">
        <v>0</v>
      </c>
    </row>
    <row r="286" spans="1:58" ht="12.75">
      <c r="A286" s="2" t="str">
        <f>HYPERLINK("https://ibp.a2mac1.com/costing(costing:projects/details/8191/part/5381353)"," Steady Heating Support")</f>
        <v xml:space="preserve"> Steady Heating Support</v>
      </c>
      <c r="B286">
        <v>5381353</v>
      </c>
      <c r="C286">
        <v>5381306</v>
      </c>
      <c r="D286" t="s">
        <v>1140</v>
      </c>
      <c r="E286">
        <v>0.55</v>
      </c>
      <c r="F286">
        <v>0</v>
      </c>
      <c r="G286">
        <v>0</v>
      </c>
      <c r="H286">
        <v>0</v>
      </c>
      <c r="I286" t="s">
        <v>74</v>
      </c>
      <c r="J286">
        <v>0</v>
      </c>
      <c r="K286">
        <v>0.55</v>
      </c>
      <c r="L286">
        <v>0</v>
      </c>
      <c r="M286">
        <v>0</v>
      </c>
      <c r="N286">
        <v>0.55</v>
      </c>
      <c r="O286" t="s">
        <v>74</v>
      </c>
      <c r="P286">
        <v>0</v>
      </c>
      <c r="Q286" t="s">
        <v>74</v>
      </c>
      <c r="R286">
        <v>0</v>
      </c>
      <c r="S286" t="s">
        <v>74</v>
      </c>
      <c r="T286">
        <v>0</v>
      </c>
      <c r="U286" t="s">
        <v>74</v>
      </c>
      <c r="V286">
        <v>0</v>
      </c>
      <c r="W286" t="s">
        <v>74</v>
      </c>
      <c r="X286">
        <v>0</v>
      </c>
      <c r="Y286">
        <v>0.55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128</v>
      </c>
      <c r="AF286">
        <v>230</v>
      </c>
      <c r="AG286">
        <v>68</v>
      </c>
      <c r="AH286">
        <v>0</v>
      </c>
      <c r="AI286">
        <v>0.40100000000000002</v>
      </c>
      <c r="AK286" t="s">
        <v>75</v>
      </c>
      <c r="AM286">
        <v>200000</v>
      </c>
      <c r="AN286" t="s">
        <v>76</v>
      </c>
      <c r="AO286">
        <v>1</v>
      </c>
      <c r="AP286">
        <v>0</v>
      </c>
      <c r="AQ286">
        <v>16666.666666666668</v>
      </c>
      <c r="AR286" t="s">
        <v>1141</v>
      </c>
      <c r="AS286" t="s">
        <v>78</v>
      </c>
      <c r="AX286" t="s">
        <v>79</v>
      </c>
      <c r="AY286" t="s">
        <v>74</v>
      </c>
      <c r="AZ286">
        <v>0</v>
      </c>
      <c r="BA286" t="s">
        <v>74</v>
      </c>
      <c r="BB286">
        <v>0</v>
      </c>
      <c r="BD286">
        <v>0.55</v>
      </c>
      <c r="BE286">
        <v>0</v>
      </c>
    </row>
    <row r="287" spans="1:58" ht="12.75">
      <c r="A287" s="2" t="str">
        <f>HYPERLINK("https://ibp.a2mac1.com/costing(costing:projects/details/8191/part/5381354)"," Interface")</f>
        <v xml:space="preserve"> Interface</v>
      </c>
      <c r="B287">
        <v>5381354</v>
      </c>
      <c r="C287">
        <v>5381306</v>
      </c>
      <c r="D287" t="s">
        <v>1142</v>
      </c>
      <c r="E287">
        <v>0.47</v>
      </c>
      <c r="F287">
        <v>0</v>
      </c>
      <c r="G287">
        <v>0</v>
      </c>
      <c r="H287">
        <v>0</v>
      </c>
      <c r="I287" t="s">
        <v>74</v>
      </c>
      <c r="J287">
        <v>0</v>
      </c>
      <c r="K287">
        <v>0.47</v>
      </c>
      <c r="L287">
        <v>0</v>
      </c>
      <c r="M287">
        <v>0</v>
      </c>
      <c r="N287">
        <v>0.47</v>
      </c>
      <c r="O287" t="s">
        <v>74</v>
      </c>
      <c r="P287">
        <v>0</v>
      </c>
      <c r="Q287" t="s">
        <v>74</v>
      </c>
      <c r="R287">
        <v>0</v>
      </c>
      <c r="S287" t="s">
        <v>74</v>
      </c>
      <c r="T287">
        <v>0</v>
      </c>
      <c r="U287" t="s">
        <v>74</v>
      </c>
      <c r="V287">
        <v>0</v>
      </c>
      <c r="W287" t="s">
        <v>74</v>
      </c>
      <c r="X287">
        <v>0</v>
      </c>
      <c r="Y287">
        <v>0.47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138</v>
      </c>
      <c r="AF287">
        <v>218</v>
      </c>
      <c r="AG287">
        <v>50</v>
      </c>
      <c r="AH287">
        <v>0</v>
      </c>
      <c r="AI287">
        <v>0.335</v>
      </c>
      <c r="AK287" t="s">
        <v>75</v>
      </c>
      <c r="AM287">
        <v>200000</v>
      </c>
      <c r="AN287" t="s">
        <v>76</v>
      </c>
      <c r="AO287">
        <v>1</v>
      </c>
      <c r="AP287">
        <v>0</v>
      </c>
      <c r="AQ287">
        <v>16666.666666666668</v>
      </c>
      <c r="AR287" t="s">
        <v>1143</v>
      </c>
      <c r="AS287" t="s">
        <v>78</v>
      </c>
      <c r="AX287" t="s">
        <v>79</v>
      </c>
      <c r="AY287" t="s">
        <v>74</v>
      </c>
      <c r="AZ287">
        <v>0</v>
      </c>
      <c r="BA287" t="s">
        <v>74</v>
      </c>
      <c r="BB287">
        <v>0</v>
      </c>
      <c r="BD287">
        <v>0.47</v>
      </c>
      <c r="BE287">
        <v>0</v>
      </c>
    </row>
    <row r="288" spans="1:58" ht="12.75">
      <c r="A288" s="2" t="str">
        <f>HYPERLINK("https://ibp.a2mac1.com/costing(costing:projects/details/8191/part/5381524)"," Air Duct Under Left Seat")</f>
        <v xml:space="preserve"> Air Duct Under Left Seat</v>
      </c>
      <c r="B288">
        <v>5381524</v>
      </c>
      <c r="C288">
        <v>5381355</v>
      </c>
      <c r="D288" t="s">
        <v>1152</v>
      </c>
      <c r="E288">
        <v>0.38095831200000002</v>
      </c>
      <c r="F288">
        <v>0</v>
      </c>
      <c r="G288">
        <v>0</v>
      </c>
      <c r="H288">
        <v>0.0019324802593684211</v>
      </c>
      <c r="I288" t="s">
        <v>137</v>
      </c>
      <c r="J288">
        <v>0.013366958315789474</v>
      </c>
      <c r="K288">
        <v>0.39625775057515789</v>
      </c>
      <c r="L288">
        <v>0.036323706296980895</v>
      </c>
      <c r="M288">
        <v>0.21794223778188537</v>
      </c>
      <c r="N288">
        <v>0.61419998835704326</v>
      </c>
      <c r="O288" t="s">
        <v>138</v>
      </c>
      <c r="P288">
        <v>0.023775465034509474</v>
      </c>
      <c r="Q288" t="s">
        <v>138</v>
      </c>
      <c r="R288">
        <v>0.013076534266913123</v>
      </c>
      <c r="S288" t="s">
        <v>139</v>
      </c>
      <c r="T288">
        <v>0.073703998602845197</v>
      </c>
      <c r="U288" t="s">
        <v>90</v>
      </c>
      <c r="V288">
        <v>0</v>
      </c>
      <c r="W288" t="s">
        <v>90</v>
      </c>
      <c r="X288">
        <v>0</v>
      </c>
      <c r="Y288">
        <v>0.7247559862613111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444</v>
      </c>
      <c r="AF288">
        <v>124</v>
      </c>
      <c r="AG288">
        <v>763</v>
      </c>
      <c r="AH288">
        <v>0</v>
      </c>
      <c r="AI288">
        <v>0.376</v>
      </c>
      <c r="AK288" t="s">
        <v>75</v>
      </c>
      <c r="AM288">
        <v>200000</v>
      </c>
      <c r="AN288" t="s">
        <v>76</v>
      </c>
      <c r="AO288">
        <v>1</v>
      </c>
      <c r="AP288">
        <v>0</v>
      </c>
      <c r="AQ288">
        <v>16666.666666666668</v>
      </c>
      <c r="AR288" t="s">
        <v>1153</v>
      </c>
      <c r="AS288" t="s">
        <v>78</v>
      </c>
      <c r="AX288" t="s">
        <v>79</v>
      </c>
      <c r="AY288" t="s">
        <v>137</v>
      </c>
      <c r="AZ288">
        <v>0</v>
      </c>
      <c r="BA288" t="s">
        <v>137</v>
      </c>
      <c r="BB288">
        <v>0</v>
      </c>
      <c r="BE288">
        <v>0</v>
      </c>
    </row>
    <row r="289" spans="1:58" ht="12.75">
      <c r="A289" s="2" t="str">
        <f>HYPERLINK("https://ibp.a2mac1.com/costing(costing:projects/details/8191/part/5381525)"," Air Duct Under Right Seat")</f>
        <v xml:space="preserve"> Air Duct Under Right Seat</v>
      </c>
      <c r="B289">
        <v>5381525</v>
      </c>
      <c r="C289">
        <v>5381355</v>
      </c>
      <c r="D289" t="s">
        <v>1158</v>
      </c>
      <c r="E289">
        <v>0.38602424699999999</v>
      </c>
      <c r="F289">
        <v>0</v>
      </c>
      <c r="G289">
        <v>0</v>
      </c>
      <c r="H289">
        <v>0.0019581781351578949</v>
      </c>
      <c r="I289" t="s">
        <v>137</v>
      </c>
      <c r="J289">
        <v>0.013544710421052632</v>
      </c>
      <c r="K289">
        <v>0.4015271355562105</v>
      </c>
      <c r="L289">
        <v>0.036323706296980895</v>
      </c>
      <c r="M289">
        <v>0.21794223778188537</v>
      </c>
      <c r="N289">
        <v>0.61946937333809593</v>
      </c>
      <c r="O289" t="s">
        <v>138</v>
      </c>
      <c r="P289">
        <v>0.024091628133372633</v>
      </c>
      <c r="Q289" t="s">
        <v>138</v>
      </c>
      <c r="R289">
        <v>0.013076534266913123</v>
      </c>
      <c r="S289" t="s">
        <v>139</v>
      </c>
      <c r="T289">
        <v>0.074336324800571507</v>
      </c>
      <c r="U289" t="s">
        <v>90</v>
      </c>
      <c r="V289">
        <v>0</v>
      </c>
      <c r="W289" t="s">
        <v>90</v>
      </c>
      <c r="X289">
        <v>0</v>
      </c>
      <c r="Y289">
        <v>0.73097386053895319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422</v>
      </c>
      <c r="AF289">
        <v>124</v>
      </c>
      <c r="AG289">
        <v>763</v>
      </c>
      <c r="AH289">
        <v>0</v>
      </c>
      <c r="AI289">
        <v>0.38100000000000001</v>
      </c>
      <c r="AK289" t="s">
        <v>75</v>
      </c>
      <c r="AM289">
        <v>200000</v>
      </c>
      <c r="AN289" t="s">
        <v>76</v>
      </c>
      <c r="AO289">
        <v>1</v>
      </c>
      <c r="AP289">
        <v>0</v>
      </c>
      <c r="AQ289">
        <v>16666.666666666668</v>
      </c>
      <c r="AR289" t="s">
        <v>1159</v>
      </c>
      <c r="AS289" t="s">
        <v>78</v>
      </c>
      <c r="AX289" t="s">
        <v>79</v>
      </c>
      <c r="AY289" t="s">
        <v>137</v>
      </c>
      <c r="AZ289">
        <v>0</v>
      </c>
      <c r="BA289" t="s">
        <v>137</v>
      </c>
      <c r="BB289">
        <v>0</v>
      </c>
      <c r="BE289">
        <v>0</v>
      </c>
    </row>
    <row r="290" spans="1:58" ht="12.75">
      <c r="A290" s="2" t="str">
        <f>HYPERLINK("https://ibp.a2mac1.com/costing(costing:projects/details/8191/part/5381526)"," Coupling Part HVAC Side")</f>
        <v xml:space="preserve"> Coupling Part HVAC Side</v>
      </c>
      <c r="B290">
        <v>5381526</v>
      </c>
      <c r="C290">
        <v>5381356</v>
      </c>
      <c r="D290" t="s">
        <v>1163</v>
      </c>
      <c r="E290">
        <v>0.64</v>
      </c>
      <c r="F290">
        <v>0</v>
      </c>
      <c r="G290">
        <v>0</v>
      </c>
      <c r="H290">
        <v>0</v>
      </c>
      <c r="I290" t="s">
        <v>74</v>
      </c>
      <c r="J290">
        <v>0</v>
      </c>
      <c r="K290">
        <v>0.64</v>
      </c>
      <c r="L290">
        <v>0</v>
      </c>
      <c r="M290">
        <v>0</v>
      </c>
      <c r="N290">
        <v>0.64</v>
      </c>
      <c r="O290" t="s">
        <v>74</v>
      </c>
      <c r="P290">
        <v>0</v>
      </c>
      <c r="Q290" t="s">
        <v>74</v>
      </c>
      <c r="R290">
        <v>0</v>
      </c>
      <c r="S290" t="s">
        <v>74</v>
      </c>
      <c r="T290">
        <v>0</v>
      </c>
      <c r="U290" t="s">
        <v>74</v>
      </c>
      <c r="V290">
        <v>0</v>
      </c>
      <c r="W290" t="s">
        <v>74</v>
      </c>
      <c r="X290">
        <v>0</v>
      </c>
      <c r="Y290">
        <v>0.64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175</v>
      </c>
      <c r="AF290">
        <v>126</v>
      </c>
      <c r="AG290">
        <v>150</v>
      </c>
      <c r="AH290">
        <v>0</v>
      </c>
      <c r="AI290">
        <v>0.23300000000000001</v>
      </c>
      <c r="AK290" t="s">
        <v>75</v>
      </c>
      <c r="AM290">
        <v>200000</v>
      </c>
      <c r="AN290" t="s">
        <v>76</v>
      </c>
      <c r="AO290">
        <v>1</v>
      </c>
      <c r="AP290">
        <v>0</v>
      </c>
      <c r="AQ290">
        <v>16666.666666666668</v>
      </c>
      <c r="AR290" t="s">
        <v>1164</v>
      </c>
      <c r="AS290" t="s">
        <v>78</v>
      </c>
      <c r="AX290" t="s">
        <v>79</v>
      </c>
      <c r="AY290" t="s">
        <v>74</v>
      </c>
      <c r="AZ290">
        <v>0</v>
      </c>
      <c r="BA290" t="s">
        <v>74</v>
      </c>
      <c r="BB290">
        <v>0</v>
      </c>
      <c r="BD290">
        <v>0.64</v>
      </c>
      <c r="BE290">
        <v>0</v>
      </c>
    </row>
    <row r="291" spans="1:58" ht="12.75">
      <c r="A291" s="2" t="str">
        <f>HYPERLINK("https://ibp.a2mac1.com/costing(costing:projects/details/8191/part/5381527)"," Pipe")</f>
        <v xml:space="preserve"> Pipe</v>
      </c>
      <c r="B291">
        <v>5381527</v>
      </c>
      <c r="C291">
        <v>5381356</v>
      </c>
      <c r="D291" t="s">
        <v>1165</v>
      </c>
      <c r="E291">
        <v>0.60</v>
      </c>
      <c r="F291">
        <v>0</v>
      </c>
      <c r="G291">
        <v>0</v>
      </c>
      <c r="H291">
        <v>0</v>
      </c>
      <c r="I291" t="s">
        <v>74</v>
      </c>
      <c r="J291">
        <v>0</v>
      </c>
      <c r="K291">
        <v>0.60</v>
      </c>
      <c r="L291">
        <v>0</v>
      </c>
      <c r="M291">
        <v>0</v>
      </c>
      <c r="N291">
        <v>0.60</v>
      </c>
      <c r="O291" t="s">
        <v>74</v>
      </c>
      <c r="P291">
        <v>0</v>
      </c>
      <c r="Q291" t="s">
        <v>74</v>
      </c>
      <c r="R291">
        <v>0</v>
      </c>
      <c r="S291" t="s">
        <v>74</v>
      </c>
      <c r="T291">
        <v>0</v>
      </c>
      <c r="U291" t="s">
        <v>74</v>
      </c>
      <c r="V291">
        <v>0</v>
      </c>
      <c r="W291" t="s">
        <v>74</v>
      </c>
      <c r="X291">
        <v>0</v>
      </c>
      <c r="Y291">
        <v>0.60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79</v>
      </c>
      <c r="AF291">
        <v>143</v>
      </c>
      <c r="AG291">
        <v>544</v>
      </c>
      <c r="AH291">
        <v>0</v>
      </c>
      <c r="AI291">
        <v>0.17899999999999999</v>
      </c>
      <c r="AK291" t="s">
        <v>75</v>
      </c>
      <c r="AM291">
        <v>200000</v>
      </c>
      <c r="AN291" t="s">
        <v>76</v>
      </c>
      <c r="AO291">
        <v>1</v>
      </c>
      <c r="AP291">
        <v>0</v>
      </c>
      <c r="AQ291">
        <v>16666.666666666668</v>
      </c>
      <c r="AR291" t="s">
        <v>1166</v>
      </c>
      <c r="AS291" t="s">
        <v>78</v>
      </c>
      <c r="AX291" t="s">
        <v>79</v>
      </c>
      <c r="AY291" t="s">
        <v>74</v>
      </c>
      <c r="AZ291">
        <v>0</v>
      </c>
      <c r="BA291" t="s">
        <v>74</v>
      </c>
      <c r="BB291">
        <v>0</v>
      </c>
      <c r="BD291">
        <v>0.60</v>
      </c>
      <c r="BE291">
        <v>0</v>
      </c>
    </row>
    <row r="292" spans="1:58" ht="12.75">
      <c r="A292" s="2" t="str">
        <f>HYPERLINK("https://ibp.a2mac1.com/costing(costing:projects/details/8191/part/5381528)"," Pipe Rear Part")</f>
        <v xml:space="preserve"> Pipe Rear Part</v>
      </c>
      <c r="B292">
        <v>5381528</v>
      </c>
      <c r="C292">
        <v>5381356</v>
      </c>
      <c r="D292" t="s">
        <v>1167</v>
      </c>
      <c r="E292">
        <v>0.57</v>
      </c>
      <c r="F292">
        <v>0</v>
      </c>
      <c r="G292">
        <v>0</v>
      </c>
      <c r="H292">
        <v>0</v>
      </c>
      <c r="I292" t="s">
        <v>74</v>
      </c>
      <c r="J292">
        <v>0</v>
      </c>
      <c r="K292">
        <v>0.57</v>
      </c>
      <c r="L292">
        <v>0</v>
      </c>
      <c r="M292">
        <v>0</v>
      </c>
      <c r="N292">
        <v>0.57</v>
      </c>
      <c r="O292" t="s">
        <v>74</v>
      </c>
      <c r="P292">
        <v>0</v>
      </c>
      <c r="Q292" t="s">
        <v>74</v>
      </c>
      <c r="R292">
        <v>0</v>
      </c>
      <c r="S292" t="s">
        <v>74</v>
      </c>
      <c r="T292">
        <v>0</v>
      </c>
      <c r="U292" t="s">
        <v>74</v>
      </c>
      <c r="V292">
        <v>0</v>
      </c>
      <c r="W292" t="s">
        <v>74</v>
      </c>
      <c r="X292">
        <v>0</v>
      </c>
      <c r="Y292">
        <v>0.57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125</v>
      </c>
      <c r="AF292">
        <v>127</v>
      </c>
      <c r="AG292">
        <v>410</v>
      </c>
      <c r="AH292">
        <v>0</v>
      </c>
      <c r="AI292">
        <v>0.17</v>
      </c>
      <c r="AK292" t="s">
        <v>75</v>
      </c>
      <c r="AM292">
        <v>200000</v>
      </c>
      <c r="AN292" t="s">
        <v>76</v>
      </c>
      <c r="AO292">
        <v>1</v>
      </c>
      <c r="AP292">
        <v>0</v>
      </c>
      <c r="AQ292">
        <v>16666.666666666668</v>
      </c>
      <c r="AR292" t="s">
        <v>1168</v>
      </c>
      <c r="AS292" t="s">
        <v>78</v>
      </c>
      <c r="AX292" t="s">
        <v>79</v>
      </c>
      <c r="AY292" t="s">
        <v>74</v>
      </c>
      <c r="AZ292">
        <v>0</v>
      </c>
      <c r="BA292" t="s">
        <v>74</v>
      </c>
      <c r="BB292">
        <v>0</v>
      </c>
      <c r="BD292">
        <v>0.57</v>
      </c>
      <c r="BE292">
        <v>0</v>
      </c>
    </row>
    <row r="293" spans="1:58" ht="12.75">
      <c r="A293" s="2" t="str">
        <f>HYPERLINK("https://ibp.a2mac1.com/costing(costing:projects/details/8191/part/5381531)","Interior Temperature Sensor")</f>
        <v>Interior Temperature Sensor</v>
      </c>
      <c r="B293">
        <v>5381531</v>
      </c>
      <c r="C293">
        <v>5381391</v>
      </c>
      <c r="E293">
        <v>0</v>
      </c>
      <c r="F293">
        <v>6.8772031072963218</v>
      </c>
      <c r="G293">
        <v>0</v>
      </c>
      <c r="H293">
        <v>0</v>
      </c>
      <c r="I293" t="s">
        <v>137</v>
      </c>
      <c r="J293">
        <v>0</v>
      </c>
      <c r="K293">
        <v>7.1179052160516934</v>
      </c>
      <c r="L293">
        <v>0.18262756141008443</v>
      </c>
      <c r="M293">
        <v>1.0957653684605067</v>
      </c>
      <c r="N293">
        <v>8.2136705845121991</v>
      </c>
      <c r="O293" t="s">
        <v>691</v>
      </c>
      <c r="P293">
        <v>0.2847162086420677</v>
      </c>
      <c r="Q293" t="s">
        <v>691</v>
      </c>
      <c r="R293">
        <v>0.043830614738420266</v>
      </c>
      <c r="S293" t="s">
        <v>138</v>
      </c>
      <c r="T293">
        <v>0.49282023507073197</v>
      </c>
      <c r="U293" t="s">
        <v>90</v>
      </c>
      <c r="V293">
        <v>0</v>
      </c>
      <c r="W293" t="s">
        <v>90</v>
      </c>
      <c r="X293">
        <v>0</v>
      </c>
      <c r="Y293">
        <v>9.0350376429634203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45</v>
      </c>
      <c r="AF293">
        <v>29</v>
      </c>
      <c r="AG293">
        <v>27</v>
      </c>
      <c r="AI293">
        <v>0.0089999999999999993</v>
      </c>
      <c r="AJ293" t="s">
        <v>685</v>
      </c>
      <c r="AK293" t="s">
        <v>686</v>
      </c>
      <c r="AL293" t="s">
        <v>1180</v>
      </c>
      <c r="AM293">
        <v>200000</v>
      </c>
      <c r="AN293" t="s">
        <v>76</v>
      </c>
      <c r="AO293">
        <v>1</v>
      </c>
      <c r="AP293">
        <v>0</v>
      </c>
      <c r="AQ293">
        <v>16666.666666666668</v>
      </c>
      <c r="AR293" t="s">
        <v>1181</v>
      </c>
      <c r="AS293" t="s">
        <v>78</v>
      </c>
      <c r="AX293" t="s">
        <v>79</v>
      </c>
      <c r="AY293" t="s">
        <v>137</v>
      </c>
      <c r="AZ293">
        <v>0.24070210875537126</v>
      </c>
      <c r="BA293" t="s">
        <v>137</v>
      </c>
      <c r="BB293">
        <v>0</v>
      </c>
      <c r="BE293">
        <v>0</v>
      </c>
    </row>
    <row r="294" spans="1:58" ht="12.75">
      <c r="A294" s="2" t="str">
        <f>HYPERLINK("https://ibp.a2mac1.com/costing(costing:projects/details/8191/part/5381532)","Fasteners Interface")</f>
        <v>Fasteners Interface</v>
      </c>
      <c r="B294">
        <v>5381532</v>
      </c>
      <c r="C294">
        <v>5381391</v>
      </c>
      <c r="E294">
        <v>0.46137</v>
      </c>
      <c r="F294">
        <v>0</v>
      </c>
      <c r="G294">
        <v>0</v>
      </c>
      <c r="H294">
        <v>0</v>
      </c>
      <c r="I294" t="s">
        <v>74</v>
      </c>
      <c r="J294">
        <v>0</v>
      </c>
      <c r="K294">
        <v>0.46137</v>
      </c>
      <c r="L294">
        <v>0</v>
      </c>
      <c r="M294">
        <v>0</v>
      </c>
      <c r="N294">
        <v>0.46137</v>
      </c>
      <c r="O294" t="s">
        <v>74</v>
      </c>
      <c r="P294">
        <v>0</v>
      </c>
      <c r="Q294" t="s">
        <v>74</v>
      </c>
      <c r="R294">
        <v>0</v>
      </c>
      <c r="S294" t="s">
        <v>74</v>
      </c>
      <c r="T294">
        <v>0</v>
      </c>
      <c r="U294" t="s">
        <v>74</v>
      </c>
      <c r="V294">
        <v>0</v>
      </c>
      <c r="W294" t="s">
        <v>74</v>
      </c>
      <c r="X294">
        <v>0</v>
      </c>
      <c r="Y294">
        <v>0.46137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23</v>
      </c>
      <c r="AF294">
        <v>215</v>
      </c>
      <c r="AG294">
        <v>111</v>
      </c>
      <c r="AI294">
        <v>0.069000000000000006</v>
      </c>
      <c r="AJ294" t="s">
        <v>685</v>
      </c>
      <c r="AK294" t="s">
        <v>598</v>
      </c>
      <c r="AL294" t="s">
        <v>1182</v>
      </c>
      <c r="AM294">
        <v>200000</v>
      </c>
      <c r="AN294" t="s">
        <v>76</v>
      </c>
      <c r="AO294">
        <v>1</v>
      </c>
      <c r="AP294">
        <v>0</v>
      </c>
      <c r="AQ294">
        <v>16666.666666666668</v>
      </c>
      <c r="AR294" t="s">
        <v>1183</v>
      </c>
      <c r="AS294" t="s">
        <v>78</v>
      </c>
      <c r="AX294" t="s">
        <v>79</v>
      </c>
      <c r="AY294" t="s">
        <v>74</v>
      </c>
      <c r="AZ294">
        <v>0</v>
      </c>
      <c r="BA294" t="s">
        <v>74</v>
      </c>
      <c r="BB294">
        <v>0</v>
      </c>
      <c r="BD294">
        <v>0.46137</v>
      </c>
      <c r="BE294">
        <v>0</v>
      </c>
    </row>
    <row r="295" spans="1:58" ht="12.75">
      <c r="A295" s="2" t="str">
        <f>HYPERLINK("https://ibp.a2mac1.com/costing(costing:projects/details/8191/part/5381388)","Exterior Temperature Sensor")</f>
        <v>Exterior Temperature Sensor</v>
      </c>
      <c r="B295">
        <v>5381388</v>
      </c>
      <c r="C295">
        <v>5381308</v>
      </c>
      <c r="E295">
        <v>0</v>
      </c>
      <c r="F295">
        <v>6.8772031072963218</v>
      </c>
      <c r="G295">
        <v>0</v>
      </c>
      <c r="H295">
        <v>0</v>
      </c>
      <c r="I295" t="s">
        <v>137</v>
      </c>
      <c r="J295">
        <v>0</v>
      </c>
      <c r="K295">
        <v>7.1179052160516934</v>
      </c>
      <c r="L295">
        <v>0.18262756141008443</v>
      </c>
      <c r="M295">
        <v>1.0957653684605067</v>
      </c>
      <c r="N295">
        <v>8.2136705845121991</v>
      </c>
      <c r="O295" t="s">
        <v>691</v>
      </c>
      <c r="P295">
        <v>0.2847162086420677</v>
      </c>
      <c r="Q295" t="s">
        <v>691</v>
      </c>
      <c r="R295">
        <v>0.043830614738420266</v>
      </c>
      <c r="S295" t="s">
        <v>138</v>
      </c>
      <c r="T295">
        <v>0.49282023507073197</v>
      </c>
      <c r="U295" t="s">
        <v>90</v>
      </c>
      <c r="V295">
        <v>0</v>
      </c>
      <c r="W295" t="s">
        <v>90</v>
      </c>
      <c r="X295">
        <v>0</v>
      </c>
      <c r="Y295">
        <v>9.0350376429634203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16</v>
      </c>
      <c r="AF295">
        <v>18</v>
      </c>
      <c r="AG295">
        <v>52</v>
      </c>
      <c r="AI295">
        <v>0.0040000000000000001</v>
      </c>
      <c r="AJ295" t="s">
        <v>685</v>
      </c>
      <c r="AK295" t="s">
        <v>686</v>
      </c>
      <c r="AL295" t="s">
        <v>1187</v>
      </c>
      <c r="AM295">
        <v>200000</v>
      </c>
      <c r="AN295" t="s">
        <v>76</v>
      </c>
      <c r="AO295">
        <v>1</v>
      </c>
      <c r="AP295">
        <v>0</v>
      </c>
      <c r="AQ295">
        <v>16666.666666666668</v>
      </c>
      <c r="AR295" t="s">
        <v>1188</v>
      </c>
      <c r="AS295" t="s">
        <v>78</v>
      </c>
      <c r="AX295" t="s">
        <v>79</v>
      </c>
      <c r="AY295" t="s">
        <v>137</v>
      </c>
      <c r="AZ295">
        <v>0.24070210875537126</v>
      </c>
      <c r="BA295" t="s">
        <v>137</v>
      </c>
      <c r="BB295">
        <v>0</v>
      </c>
      <c r="BE295">
        <v>0</v>
      </c>
    </row>
    <row r="296" spans="1:58" ht="12.75">
      <c r="A296" s="2" t="str">
        <f>HYPERLINK("https://ibp.a2mac1.com/costing(costing:projects/details/8191/part/5381389)","Exterior Temperature Sensor Support")</f>
        <v>Exterior Temperature Sensor Support</v>
      </c>
      <c r="B296">
        <v>5381389</v>
      </c>
      <c r="C296">
        <v>5381308</v>
      </c>
      <c r="E296">
        <v>0.055359999999999999</v>
      </c>
      <c r="F296">
        <v>0</v>
      </c>
      <c r="G296">
        <v>0</v>
      </c>
      <c r="H296">
        <v>0</v>
      </c>
      <c r="I296" t="s">
        <v>74</v>
      </c>
      <c r="J296">
        <v>0</v>
      </c>
      <c r="K296">
        <v>0.055359999999999999</v>
      </c>
      <c r="L296">
        <v>0</v>
      </c>
      <c r="M296">
        <v>0</v>
      </c>
      <c r="N296">
        <v>0.055359999999999999</v>
      </c>
      <c r="O296" t="s">
        <v>74</v>
      </c>
      <c r="P296">
        <v>0</v>
      </c>
      <c r="Q296" t="s">
        <v>74</v>
      </c>
      <c r="R296">
        <v>0</v>
      </c>
      <c r="S296" t="s">
        <v>74</v>
      </c>
      <c r="T296">
        <v>0</v>
      </c>
      <c r="U296" t="s">
        <v>74</v>
      </c>
      <c r="V296">
        <v>0</v>
      </c>
      <c r="W296" t="s">
        <v>74</v>
      </c>
      <c r="X296">
        <v>0</v>
      </c>
      <c r="Y296">
        <v>0.055359999999999999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18</v>
      </c>
      <c r="AF296">
        <v>62</v>
      </c>
      <c r="AG296">
        <v>44</v>
      </c>
      <c r="AI296">
        <v>0.005</v>
      </c>
      <c r="AJ296" t="s">
        <v>685</v>
      </c>
      <c r="AK296" t="s">
        <v>598</v>
      </c>
      <c r="AL296" t="s">
        <v>1182</v>
      </c>
      <c r="AM296">
        <v>200000</v>
      </c>
      <c r="AN296" t="s">
        <v>76</v>
      </c>
      <c r="AO296">
        <v>1</v>
      </c>
      <c r="AP296">
        <v>0</v>
      </c>
      <c r="AQ296">
        <v>16666.666666666668</v>
      </c>
      <c r="AR296" t="s">
        <v>1189</v>
      </c>
      <c r="AS296" t="s">
        <v>78</v>
      </c>
      <c r="AX296" t="s">
        <v>79</v>
      </c>
      <c r="AY296" t="s">
        <v>74</v>
      </c>
      <c r="AZ296">
        <v>0</v>
      </c>
      <c r="BA296" t="s">
        <v>74</v>
      </c>
      <c r="BB296">
        <v>0</v>
      </c>
      <c r="BD296">
        <v>0.055359999999999999</v>
      </c>
      <c r="BE296">
        <v>0</v>
      </c>
    </row>
    <row r="297" spans="1:58" ht="12.75">
      <c r="A297" s="2" t="str">
        <f>HYPERLINK("https://ibp.a2mac1.com/costing(costing:projects/details/8191/part/5381390)","Rain Sensor")</f>
        <v>Rain Sensor</v>
      </c>
      <c r="B297">
        <v>5381390</v>
      </c>
      <c r="C297">
        <v>5381308</v>
      </c>
      <c r="E297">
        <v>0</v>
      </c>
      <c r="F297">
        <v>6.8772031072963218</v>
      </c>
      <c r="G297">
        <v>0</v>
      </c>
      <c r="H297">
        <v>0</v>
      </c>
      <c r="I297" t="s">
        <v>137</v>
      </c>
      <c r="J297">
        <v>0</v>
      </c>
      <c r="K297">
        <v>7.1179052160516934</v>
      </c>
      <c r="L297">
        <v>0.36525512282016886</v>
      </c>
      <c r="M297">
        <v>1.2783929298705912</v>
      </c>
      <c r="N297">
        <v>8.3962981459222839</v>
      </c>
      <c r="O297" t="s">
        <v>138</v>
      </c>
      <c r="P297">
        <v>0.42707431296310161</v>
      </c>
      <c r="Q297" t="s">
        <v>138</v>
      </c>
      <c r="R297">
        <v>0.076703575792235468</v>
      </c>
      <c r="S297" t="s">
        <v>139</v>
      </c>
      <c r="T297">
        <v>1.007555777510674</v>
      </c>
      <c r="U297" t="s">
        <v>90</v>
      </c>
      <c r="V297">
        <v>0</v>
      </c>
      <c r="W297" t="s">
        <v>90</v>
      </c>
      <c r="X297">
        <v>0</v>
      </c>
      <c r="Y297">
        <v>9.9076318121882956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12</v>
      </c>
      <c r="AF297">
        <v>34</v>
      </c>
      <c r="AG297">
        <v>69</v>
      </c>
      <c r="AI297">
        <v>0.012</v>
      </c>
      <c r="AJ297" t="s">
        <v>1192</v>
      </c>
      <c r="AK297" t="s">
        <v>576</v>
      </c>
      <c r="AL297" t="s">
        <v>1193</v>
      </c>
      <c r="AM297">
        <v>200000</v>
      </c>
      <c r="AN297" t="s">
        <v>76</v>
      </c>
      <c r="AO297">
        <v>1</v>
      </c>
      <c r="AP297">
        <v>0</v>
      </c>
      <c r="AQ297">
        <v>16666.666666666668</v>
      </c>
      <c r="AR297" t="s">
        <v>1194</v>
      </c>
      <c r="AS297" t="s">
        <v>78</v>
      </c>
      <c r="AX297" t="s">
        <v>79</v>
      </c>
      <c r="AY297" t="s">
        <v>137</v>
      </c>
      <c r="AZ297">
        <v>0.24070210875537126</v>
      </c>
      <c r="BA297" t="s">
        <v>137</v>
      </c>
      <c r="BB297">
        <v>0</v>
      </c>
      <c r="BE297">
        <v>0</v>
      </c>
    </row>
    <row r="298" spans="1:58" ht="12.75">
      <c r="A298" s="2" t="str">
        <f>HYPERLINK("https://ibp.a2mac1.com/costing(costing:projects/details/8191/part/5381392)","Rear 12V Plug")</f>
        <v>Rear 12V Plug</v>
      </c>
      <c r="B298">
        <v>5381392</v>
      </c>
      <c r="C298">
        <v>5381309</v>
      </c>
      <c r="E298">
        <v>0.47</v>
      </c>
      <c r="F298">
        <v>0</v>
      </c>
      <c r="G298">
        <v>0</v>
      </c>
      <c r="H298">
        <v>0</v>
      </c>
      <c r="I298" t="s">
        <v>74</v>
      </c>
      <c r="J298">
        <v>0</v>
      </c>
      <c r="K298">
        <v>0.47</v>
      </c>
      <c r="L298">
        <v>0</v>
      </c>
      <c r="M298">
        <v>0</v>
      </c>
      <c r="N298">
        <v>0.47</v>
      </c>
      <c r="O298" t="s">
        <v>74</v>
      </c>
      <c r="P298">
        <v>0</v>
      </c>
      <c r="Q298" t="s">
        <v>74</v>
      </c>
      <c r="R298">
        <v>0</v>
      </c>
      <c r="S298" t="s">
        <v>74</v>
      </c>
      <c r="T298">
        <v>0</v>
      </c>
      <c r="U298" t="s">
        <v>74</v>
      </c>
      <c r="V298">
        <v>0</v>
      </c>
      <c r="W298" t="s">
        <v>74</v>
      </c>
      <c r="X298">
        <v>0</v>
      </c>
      <c r="Y298">
        <v>0.47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63</v>
      </c>
      <c r="AF298">
        <v>29</v>
      </c>
      <c r="AG298">
        <v>29</v>
      </c>
      <c r="AI298">
        <v>0.017999999999999999</v>
      </c>
      <c r="AJ298" t="s">
        <v>1203</v>
      </c>
      <c r="AK298" t="s">
        <v>598</v>
      </c>
      <c r="AL298" t="s">
        <v>1204</v>
      </c>
      <c r="AM298">
        <v>200000</v>
      </c>
      <c r="AN298" t="s">
        <v>76</v>
      </c>
      <c r="AO298">
        <v>1</v>
      </c>
      <c r="AP298">
        <v>0</v>
      </c>
      <c r="AQ298">
        <v>16666.666666666668</v>
      </c>
      <c r="AR298" t="s">
        <v>1205</v>
      </c>
      <c r="AS298" t="s">
        <v>78</v>
      </c>
      <c r="AX298" t="s">
        <v>79</v>
      </c>
      <c r="AY298" t="s">
        <v>74</v>
      </c>
      <c r="AZ298">
        <v>0</v>
      </c>
      <c r="BA298" t="s">
        <v>74</v>
      </c>
      <c r="BB298">
        <v>0</v>
      </c>
      <c r="BD298">
        <v>0.47</v>
      </c>
      <c r="BE298">
        <v>0</v>
      </c>
    </row>
    <row r="299" spans="1:58" ht="12.75">
      <c r="A299" s="2" t="str">
        <f>HYPERLINK("https://ibp.a2mac1.com/costing(costing:projects/details/8191/part/5381393)","Rear 12V Plug Support")</f>
        <v>Rear 12V Plug Support</v>
      </c>
      <c r="B299">
        <v>5381393</v>
      </c>
      <c r="C299">
        <v>5381309</v>
      </c>
      <c r="E299">
        <v>0.092270000000000005</v>
      </c>
      <c r="F299">
        <v>0</v>
      </c>
      <c r="G299">
        <v>0</v>
      </c>
      <c r="H299">
        <v>0</v>
      </c>
      <c r="I299" t="s">
        <v>74</v>
      </c>
      <c r="J299">
        <v>0</v>
      </c>
      <c r="K299">
        <v>0.092270000000000005</v>
      </c>
      <c r="L299">
        <v>0</v>
      </c>
      <c r="M299">
        <v>0</v>
      </c>
      <c r="N299">
        <v>0.092270000000000005</v>
      </c>
      <c r="O299" t="s">
        <v>74</v>
      </c>
      <c r="P299">
        <v>0</v>
      </c>
      <c r="Q299" t="s">
        <v>74</v>
      </c>
      <c r="R299">
        <v>0</v>
      </c>
      <c r="S299" t="s">
        <v>74</v>
      </c>
      <c r="T299">
        <v>0</v>
      </c>
      <c r="U299" t="s">
        <v>74</v>
      </c>
      <c r="V299">
        <v>0</v>
      </c>
      <c r="W299" t="s">
        <v>74</v>
      </c>
      <c r="X299">
        <v>0</v>
      </c>
      <c r="Y299">
        <v>0.092270000000000005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34</v>
      </c>
      <c r="AF299">
        <v>34</v>
      </c>
      <c r="AG299">
        <v>40</v>
      </c>
      <c r="AI299">
        <v>0.0070000000000000001</v>
      </c>
      <c r="AK299" t="s">
        <v>598</v>
      </c>
      <c r="AL299" t="s">
        <v>1206</v>
      </c>
      <c r="AM299">
        <v>200000</v>
      </c>
      <c r="AN299" t="s">
        <v>76</v>
      </c>
      <c r="AO299">
        <v>1</v>
      </c>
      <c r="AP299">
        <v>0</v>
      </c>
      <c r="AQ299">
        <v>16666.666666666668</v>
      </c>
      <c r="AR299" t="s">
        <v>1207</v>
      </c>
      <c r="AS299" t="s">
        <v>78</v>
      </c>
      <c r="AX299" t="s">
        <v>79</v>
      </c>
      <c r="AY299" t="s">
        <v>74</v>
      </c>
      <c r="AZ299">
        <v>0</v>
      </c>
      <c r="BA299" t="s">
        <v>74</v>
      </c>
      <c r="BB299">
        <v>0</v>
      </c>
      <c r="BD299">
        <v>0.092270000000000005</v>
      </c>
      <c r="BE299">
        <v>0</v>
      </c>
    </row>
    <row r="300" spans="1:58" ht="12.75">
      <c r="A300" s="2" t="str">
        <f>HYPERLINK("https://ibp.a2mac1.com/costing(costing:projects/details/8191/part/5381396)","Towing Hook")</f>
        <v>Towing Hook</v>
      </c>
      <c r="B300">
        <v>5381396</v>
      </c>
      <c r="C300">
        <v>5381310</v>
      </c>
      <c r="E300">
        <v>0</v>
      </c>
      <c r="F300">
        <v>0</v>
      </c>
      <c r="G300">
        <v>0</v>
      </c>
      <c r="H300">
        <v>0</v>
      </c>
      <c r="I300" t="s">
        <v>137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138</v>
      </c>
      <c r="P300">
        <v>0</v>
      </c>
      <c r="Q300" t="s">
        <v>138</v>
      </c>
      <c r="R300">
        <v>0</v>
      </c>
      <c r="S300" t="s">
        <v>139</v>
      </c>
      <c r="T300">
        <v>0</v>
      </c>
      <c r="U300" t="s">
        <v>90</v>
      </c>
      <c r="V300">
        <v>0</v>
      </c>
      <c r="W300" t="s">
        <v>90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25</v>
      </c>
      <c r="AF300">
        <v>232</v>
      </c>
      <c r="AG300">
        <v>52</v>
      </c>
      <c r="AI300">
        <v>0.70099999999999996</v>
      </c>
      <c r="AJ300" t="s">
        <v>1211</v>
      </c>
      <c r="AK300" t="s">
        <v>75</v>
      </c>
      <c r="AL300" t="s">
        <v>720</v>
      </c>
      <c r="AM300">
        <v>200000</v>
      </c>
      <c r="AN300" t="s">
        <v>76</v>
      </c>
      <c r="AO300">
        <v>1</v>
      </c>
      <c r="AP300">
        <v>0</v>
      </c>
      <c r="AQ300">
        <v>16666.666666666668</v>
      </c>
      <c r="AR300" t="s">
        <v>1212</v>
      </c>
      <c r="AS300" t="s">
        <v>78</v>
      </c>
      <c r="AX300" t="s">
        <v>79</v>
      </c>
      <c r="AY300" t="s">
        <v>137</v>
      </c>
      <c r="AZ300">
        <v>0</v>
      </c>
      <c r="BA300" t="s">
        <v>137</v>
      </c>
      <c r="BB300">
        <v>0</v>
      </c>
      <c r="BE300">
        <v>0</v>
      </c>
    </row>
    <row r="301" spans="1:58" ht="12.75">
      <c r="A301" s="2" t="str">
        <f>HYPERLINK("https://ibp.a2mac1.com/costing(costing:projects/details/8191/part/5381397)","Tire Sealant")</f>
        <v>Tire Sealant</v>
      </c>
      <c r="B301">
        <v>5381397</v>
      </c>
      <c r="C301">
        <v>5381310</v>
      </c>
      <c r="E301">
        <v>0.85380699599999998</v>
      </c>
      <c r="F301">
        <v>0</v>
      </c>
      <c r="G301">
        <v>0</v>
      </c>
      <c r="H301">
        <v>0.004331091127578947</v>
      </c>
      <c r="I301" t="s">
        <v>137</v>
      </c>
      <c r="J301">
        <v>0.029958140210526316</v>
      </c>
      <c r="K301">
        <v>0.88809622733810523</v>
      </c>
      <c r="L301">
        <v>0.037395327509434279</v>
      </c>
      <c r="M301">
        <v>0.22437196505660564</v>
      </c>
      <c r="N301">
        <v>1.1124681923947108</v>
      </c>
      <c r="O301" t="s">
        <v>138</v>
      </c>
      <c r="P301">
        <v>0.053285773640286319</v>
      </c>
      <c r="Q301" t="s">
        <v>138</v>
      </c>
      <c r="R301">
        <v>0.01346231790339634</v>
      </c>
      <c r="S301" t="s">
        <v>139</v>
      </c>
      <c r="T301">
        <v>0.1334961830873653</v>
      </c>
      <c r="U301" t="s">
        <v>90</v>
      </c>
      <c r="V301">
        <v>0</v>
      </c>
      <c r="W301" t="s">
        <v>90</v>
      </c>
      <c r="X301">
        <v>0</v>
      </c>
      <c r="Y301">
        <v>1.3127124670257588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85</v>
      </c>
      <c r="AF301">
        <v>85</v>
      </c>
      <c r="AG301">
        <v>165</v>
      </c>
      <c r="AI301">
        <v>0.80400000000000005</v>
      </c>
      <c r="AJ301" t="s">
        <v>685</v>
      </c>
      <c r="AK301" t="s">
        <v>75</v>
      </c>
      <c r="AL301" t="s">
        <v>1182</v>
      </c>
      <c r="AM301">
        <v>200000</v>
      </c>
      <c r="AN301" t="s">
        <v>76</v>
      </c>
      <c r="AO301">
        <v>1</v>
      </c>
      <c r="AP301">
        <v>0</v>
      </c>
      <c r="AQ301">
        <v>16666.666666666668</v>
      </c>
      <c r="AR301" t="s">
        <v>1217</v>
      </c>
      <c r="AS301" t="s">
        <v>78</v>
      </c>
      <c r="AX301" t="s">
        <v>79</v>
      </c>
      <c r="AY301" t="s">
        <v>137</v>
      </c>
      <c r="AZ301">
        <v>0</v>
      </c>
      <c r="BA301" t="s">
        <v>137</v>
      </c>
      <c r="BB301">
        <v>0</v>
      </c>
      <c r="BE301">
        <v>0</v>
      </c>
    </row>
    <row r="302" spans="1:58" ht="12.75">
      <c r="A302" s="2" t="str">
        <f>HYPERLINK("https://ibp.a2mac1.com/costing(costing:projects/details/8191/part/5381398)","Compressor")</f>
        <v>Compressor</v>
      </c>
      <c r="B302">
        <v>5381398</v>
      </c>
      <c r="C302">
        <v>5381310</v>
      </c>
      <c r="E302">
        <v>9.18</v>
      </c>
      <c r="F302">
        <v>0</v>
      </c>
      <c r="G302">
        <v>0</v>
      </c>
      <c r="H302">
        <v>0</v>
      </c>
      <c r="I302" t="s">
        <v>74</v>
      </c>
      <c r="J302">
        <v>0</v>
      </c>
      <c r="K302">
        <v>9.18</v>
      </c>
      <c r="L302">
        <v>0</v>
      </c>
      <c r="M302">
        <v>0</v>
      </c>
      <c r="N302">
        <v>9.18</v>
      </c>
      <c r="O302" t="s">
        <v>74</v>
      </c>
      <c r="P302">
        <v>0</v>
      </c>
      <c r="Q302" t="s">
        <v>74</v>
      </c>
      <c r="R302">
        <v>0</v>
      </c>
      <c r="S302" t="s">
        <v>74</v>
      </c>
      <c r="T302">
        <v>0</v>
      </c>
      <c r="U302" t="s">
        <v>74</v>
      </c>
      <c r="V302">
        <v>0</v>
      </c>
      <c r="W302" t="s">
        <v>74</v>
      </c>
      <c r="X302">
        <v>0</v>
      </c>
      <c r="Y302">
        <v>9.18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60</v>
      </c>
      <c r="AF302">
        <v>140</v>
      </c>
      <c r="AG302">
        <v>150</v>
      </c>
      <c r="AI302">
        <v>0.63200000000000001</v>
      </c>
      <c r="AJ302" t="s">
        <v>1218</v>
      </c>
      <c r="AK302" t="s">
        <v>218</v>
      </c>
      <c r="AL302" t="s">
        <v>1219</v>
      </c>
      <c r="AM302">
        <v>200000</v>
      </c>
      <c r="AN302" t="s">
        <v>76</v>
      </c>
      <c r="AO302">
        <v>1</v>
      </c>
      <c r="AP302">
        <v>0</v>
      </c>
      <c r="AQ302">
        <v>16666.666666666668</v>
      </c>
      <c r="AR302" t="s">
        <v>1220</v>
      </c>
      <c r="AS302" t="s">
        <v>78</v>
      </c>
      <c r="AX302" t="s">
        <v>79</v>
      </c>
      <c r="AY302" t="s">
        <v>74</v>
      </c>
      <c r="AZ302">
        <v>0</v>
      </c>
      <c r="BA302" t="s">
        <v>74</v>
      </c>
      <c r="BB302">
        <v>0</v>
      </c>
      <c r="BD302">
        <v>9.18</v>
      </c>
      <c r="BE302">
        <v>0</v>
      </c>
    </row>
    <row r="303" spans="1:58" ht="12.75">
      <c r="A303" s="2" t="str">
        <f>HYPERLINK("https://ibp.a2mac1.com/costing(costing:projects/details/8191/part/5381399)","Hubcaps Remover")</f>
        <v>Hubcaps Remover</v>
      </c>
      <c r="B303">
        <v>5381399</v>
      </c>
      <c r="C303">
        <v>5381310</v>
      </c>
      <c r="E303">
        <v>0</v>
      </c>
      <c r="F303">
        <v>0</v>
      </c>
      <c r="G303">
        <v>0</v>
      </c>
      <c r="H303">
        <v>0</v>
      </c>
      <c r="I303" t="s">
        <v>137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138</v>
      </c>
      <c r="P303">
        <v>0</v>
      </c>
      <c r="Q303" t="s">
        <v>138</v>
      </c>
      <c r="R303">
        <v>0</v>
      </c>
      <c r="S303" t="s">
        <v>139</v>
      </c>
      <c r="T303">
        <v>0</v>
      </c>
      <c r="U303" t="s">
        <v>90</v>
      </c>
      <c r="V303">
        <v>0</v>
      </c>
      <c r="W303" t="s">
        <v>90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10</v>
      </c>
      <c r="AF303">
        <v>55</v>
      </c>
      <c r="AG303">
        <v>28</v>
      </c>
      <c r="AI303">
        <v>0.0060000000000000001</v>
      </c>
      <c r="AK303" t="s">
        <v>75</v>
      </c>
      <c r="AL303" t="s">
        <v>720</v>
      </c>
      <c r="AM303">
        <v>200000</v>
      </c>
      <c r="AN303" t="s">
        <v>76</v>
      </c>
      <c r="AO303">
        <v>1</v>
      </c>
      <c r="AP303">
        <v>0</v>
      </c>
      <c r="AQ303">
        <v>16666.666666666668</v>
      </c>
      <c r="AR303" t="s">
        <v>1222</v>
      </c>
      <c r="AS303" t="s">
        <v>78</v>
      </c>
      <c r="AX303" t="s">
        <v>79</v>
      </c>
      <c r="AY303" t="s">
        <v>137</v>
      </c>
      <c r="AZ303">
        <v>0</v>
      </c>
      <c r="BA303" t="s">
        <v>137</v>
      </c>
      <c r="BB303">
        <v>0</v>
      </c>
      <c r="BE303">
        <v>0</v>
      </c>
    </row>
    <row r="304" spans="1:58" ht="12.75">
      <c r="A304" s="2" t="str">
        <f>HYPERLINK("https://ibp.a2mac1.com/costing(costing:projects/details/8191/part/5381400)","Storage Compartment")</f>
        <v>Storage Compartment</v>
      </c>
      <c r="B304">
        <v>5381400</v>
      </c>
      <c r="C304">
        <v>5381310</v>
      </c>
      <c r="E304">
        <v>0.09818172</v>
      </c>
      <c r="F304">
        <v>0</v>
      </c>
      <c r="G304">
        <v>0</v>
      </c>
      <c r="H304">
        <v>0.00049804461473684206</v>
      </c>
      <c r="I304" t="s">
        <v>137</v>
      </c>
      <c r="J304">
        <v>0.0034449726315789473</v>
      </c>
      <c r="K304">
        <v>0.10212473724631579</v>
      </c>
      <c r="L304">
        <v>0.0016711762254908518</v>
      </c>
      <c r="M304">
        <v>0.010027057352945111</v>
      </c>
      <c r="N304">
        <v>0.1121517945992609</v>
      </c>
      <c r="O304" t="s">
        <v>138</v>
      </c>
      <c r="P304">
        <v>0.006127484234778947</v>
      </c>
      <c r="Q304" t="s">
        <v>138</v>
      </c>
      <c r="R304">
        <v>0.00060162344117670674</v>
      </c>
      <c r="S304" t="s">
        <v>139</v>
      </c>
      <c r="T304">
        <v>0.013458215351911308</v>
      </c>
      <c r="U304" t="s">
        <v>90</v>
      </c>
      <c r="V304">
        <v>0</v>
      </c>
      <c r="W304" t="s">
        <v>90</v>
      </c>
      <c r="X304">
        <v>0</v>
      </c>
      <c r="Y304">
        <v>0.13233911762712786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141</v>
      </c>
      <c r="AF304">
        <v>297</v>
      </c>
      <c r="AG304">
        <v>45</v>
      </c>
      <c r="AI304">
        <v>0.035999999999999997</v>
      </c>
      <c r="AJ304" t="s">
        <v>685</v>
      </c>
      <c r="AK304" t="s">
        <v>75</v>
      </c>
      <c r="AL304" t="s">
        <v>1226</v>
      </c>
      <c r="AM304">
        <v>200000</v>
      </c>
      <c r="AN304" t="s">
        <v>76</v>
      </c>
      <c r="AO304">
        <v>1</v>
      </c>
      <c r="AP304">
        <v>0</v>
      </c>
      <c r="AQ304">
        <v>16666.666666666668</v>
      </c>
      <c r="AR304" t="s">
        <v>1227</v>
      </c>
      <c r="AS304" t="s">
        <v>78</v>
      </c>
      <c r="AX304" t="s">
        <v>79</v>
      </c>
      <c r="AY304" t="s">
        <v>137</v>
      </c>
      <c r="AZ304">
        <v>0</v>
      </c>
      <c r="BA304" t="s">
        <v>137</v>
      </c>
      <c r="BB304">
        <v>0</v>
      </c>
      <c r="BE304">
        <v>0</v>
      </c>
    </row>
    <row r="305" spans="1:58" ht="12.75">
      <c r="A305" s="2" t="str">
        <f>HYPERLINK("https://ibp.a2mac1.com/costing(costing:projects/details/8191/part/5381401)","Storage Compartment 2")</f>
        <v>Storage Compartment 2</v>
      </c>
      <c r="B305">
        <v>5381401</v>
      </c>
      <c r="C305">
        <v>5381310</v>
      </c>
      <c r="E305">
        <v>0</v>
      </c>
      <c r="F305">
        <v>0</v>
      </c>
      <c r="G305">
        <v>0</v>
      </c>
      <c r="H305">
        <v>0</v>
      </c>
      <c r="I305" t="s">
        <v>137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138</v>
      </c>
      <c r="P305">
        <v>0</v>
      </c>
      <c r="Q305" t="s">
        <v>138</v>
      </c>
      <c r="R305">
        <v>0</v>
      </c>
      <c r="S305" t="s">
        <v>139</v>
      </c>
      <c r="T305">
        <v>0</v>
      </c>
      <c r="U305" t="s">
        <v>90</v>
      </c>
      <c r="V305">
        <v>0</v>
      </c>
      <c r="W305" t="s">
        <v>90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307</v>
      </c>
      <c r="AF305">
        <v>740</v>
      </c>
      <c r="AG305">
        <v>240</v>
      </c>
      <c r="AI305">
        <v>0.48399999999999999</v>
      </c>
      <c r="AJ305" t="s">
        <v>1229</v>
      </c>
      <c r="AK305" t="s">
        <v>75</v>
      </c>
      <c r="AL305" t="s">
        <v>1230</v>
      </c>
      <c r="AM305">
        <v>200000</v>
      </c>
      <c r="AN305" t="s">
        <v>76</v>
      </c>
      <c r="AO305">
        <v>1</v>
      </c>
      <c r="AP305">
        <v>0</v>
      </c>
      <c r="AQ305">
        <v>16666.666666666668</v>
      </c>
      <c r="AR305" t="s">
        <v>1231</v>
      </c>
      <c r="AS305" t="s">
        <v>78</v>
      </c>
      <c r="AX305" t="s">
        <v>79</v>
      </c>
      <c r="AY305" t="s">
        <v>137</v>
      </c>
      <c r="AZ305">
        <v>0</v>
      </c>
      <c r="BA305" t="s">
        <v>137</v>
      </c>
      <c r="BB305">
        <v>0</v>
      </c>
      <c r="BE305">
        <v>0</v>
      </c>
    </row>
    <row r="306" spans="1:58" ht="12.75">
      <c r="A306" s="2" t="str">
        <f>HYPERLINK("https://ibp.a2mac1.com/costing(costing:projects/details/8191/part/5381402)","Storage Bag")</f>
        <v>Storage Bag</v>
      </c>
      <c r="B306">
        <v>5381402</v>
      </c>
      <c r="C306">
        <v>5381310</v>
      </c>
      <c r="E306">
        <v>0.27951250799999999</v>
      </c>
      <c r="F306">
        <v>0</v>
      </c>
      <c r="G306">
        <v>0</v>
      </c>
      <c r="H306">
        <v>0.0015024858642315789</v>
      </c>
      <c r="I306" t="s">
        <v>137</v>
      </c>
      <c r="J306">
        <v>0.010392688784210527</v>
      </c>
      <c r="K306">
        <v>0.29140768264844208</v>
      </c>
      <c r="L306">
        <v>0.0027007797783767393</v>
      </c>
      <c r="M306">
        <v>0.016204678670260438</v>
      </c>
      <c r="N306">
        <v>0.30761236131870257</v>
      </c>
      <c r="O306" t="s">
        <v>138</v>
      </c>
      <c r="P306">
        <v>0.017484460958906527</v>
      </c>
      <c r="Q306" t="s">
        <v>138</v>
      </c>
      <c r="R306">
        <v>0.00097228072021562613</v>
      </c>
      <c r="S306" t="s">
        <v>139</v>
      </c>
      <c r="T306">
        <v>0.036913483358244306</v>
      </c>
      <c r="U306" t="s">
        <v>90</v>
      </c>
      <c r="V306">
        <v>0</v>
      </c>
      <c r="W306" t="s">
        <v>90</v>
      </c>
      <c r="X306">
        <v>0</v>
      </c>
      <c r="Y306">
        <v>0.362982586356069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92</v>
      </c>
      <c r="AF306">
        <v>196</v>
      </c>
      <c r="AG306">
        <v>270</v>
      </c>
      <c r="AI306">
        <v>0.099000000000000005</v>
      </c>
      <c r="AK306" t="s">
        <v>75</v>
      </c>
      <c r="AL306" t="s">
        <v>1237</v>
      </c>
      <c r="AM306">
        <v>200000</v>
      </c>
      <c r="AN306" t="s">
        <v>76</v>
      </c>
      <c r="AO306">
        <v>1</v>
      </c>
      <c r="AP306">
        <v>0</v>
      </c>
      <c r="AQ306">
        <v>16666.666666666668</v>
      </c>
      <c r="AR306" t="s">
        <v>1238</v>
      </c>
      <c r="AS306" t="s">
        <v>78</v>
      </c>
      <c r="AX306" t="s">
        <v>79</v>
      </c>
      <c r="AY306" t="s">
        <v>137</v>
      </c>
      <c r="AZ306">
        <v>0</v>
      </c>
      <c r="BA306" t="s">
        <v>137</v>
      </c>
      <c r="BB306">
        <v>0</v>
      </c>
      <c r="BE306">
        <v>0</v>
      </c>
    </row>
    <row r="307" spans="1:58" ht="12.75">
      <c r="A307" s="2" t="str">
        <f>HYPERLINK("https://ibp.a2mac1.com/costing(costing:projects/details/8191/part/5381403)","Security Nut Tool")</f>
        <v>Security Nut Tool</v>
      </c>
      <c r="B307">
        <v>5381403</v>
      </c>
      <c r="C307">
        <v>5381310</v>
      </c>
      <c r="E307">
        <v>0</v>
      </c>
      <c r="F307">
        <v>0</v>
      </c>
      <c r="G307">
        <v>0</v>
      </c>
      <c r="H307">
        <v>0</v>
      </c>
      <c r="I307" t="s">
        <v>137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138</v>
      </c>
      <c r="P307">
        <v>0</v>
      </c>
      <c r="Q307" t="s">
        <v>138</v>
      </c>
      <c r="R307">
        <v>0</v>
      </c>
      <c r="S307" t="s">
        <v>139</v>
      </c>
      <c r="T307">
        <v>0</v>
      </c>
      <c r="U307" t="s">
        <v>90</v>
      </c>
      <c r="V307">
        <v>0</v>
      </c>
      <c r="W307" t="s">
        <v>90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29</v>
      </c>
      <c r="AF307">
        <v>29</v>
      </c>
      <c r="AG307">
        <v>37</v>
      </c>
      <c r="AI307">
        <v>0.104</v>
      </c>
      <c r="AK307" t="s">
        <v>75</v>
      </c>
      <c r="AL307" t="s">
        <v>720</v>
      </c>
      <c r="AM307">
        <v>200000</v>
      </c>
      <c r="AN307" t="s">
        <v>76</v>
      </c>
      <c r="AO307">
        <v>1</v>
      </c>
      <c r="AP307">
        <v>0</v>
      </c>
      <c r="AQ307">
        <v>16666.666666666668</v>
      </c>
      <c r="AR307" t="s">
        <v>1240</v>
      </c>
      <c r="AS307" t="s">
        <v>78</v>
      </c>
      <c r="AX307" t="s">
        <v>79</v>
      </c>
      <c r="AY307" t="s">
        <v>137</v>
      </c>
      <c r="AZ307">
        <v>0</v>
      </c>
      <c r="BA307" t="s">
        <v>137</v>
      </c>
      <c r="BB307">
        <v>0</v>
      </c>
      <c r="BE307">
        <v>0</v>
      </c>
    </row>
    <row r="308" spans="1:58" ht="12.75">
      <c r="A308" s="2" t="str">
        <f>HYPERLINK("https://ibp.a2mac1.com/costing(costing:projects/details/8191/part/5381404)","Security Screw Nut")</f>
        <v>Security Screw Nut</v>
      </c>
      <c r="B308">
        <v>5381404</v>
      </c>
      <c r="C308">
        <v>5381310</v>
      </c>
      <c r="E308">
        <v>0</v>
      </c>
      <c r="F308">
        <v>0</v>
      </c>
      <c r="G308">
        <v>0</v>
      </c>
      <c r="H308">
        <v>0</v>
      </c>
      <c r="I308" t="s">
        <v>137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138</v>
      </c>
      <c r="P308">
        <v>0</v>
      </c>
      <c r="Q308" t="s">
        <v>138</v>
      </c>
      <c r="R308">
        <v>0</v>
      </c>
      <c r="S308" t="s">
        <v>139</v>
      </c>
      <c r="T308">
        <v>0</v>
      </c>
      <c r="U308" t="s">
        <v>90</v>
      </c>
      <c r="V308">
        <v>0</v>
      </c>
      <c r="W308" t="s">
        <v>90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24</v>
      </c>
      <c r="AF308">
        <v>24</v>
      </c>
      <c r="AG308">
        <v>49</v>
      </c>
      <c r="AI308">
        <v>0.085250000000000006</v>
      </c>
      <c r="AK308" t="s">
        <v>75</v>
      </c>
      <c r="AL308" t="s">
        <v>720</v>
      </c>
      <c r="AM308">
        <v>800000</v>
      </c>
      <c r="AN308" t="s">
        <v>76</v>
      </c>
      <c r="AO308">
        <v>4</v>
      </c>
      <c r="AP308">
        <v>0</v>
      </c>
      <c r="AQ308">
        <v>66666.666666666672</v>
      </c>
      <c r="AR308" t="s">
        <v>1242</v>
      </c>
      <c r="AS308" t="s">
        <v>78</v>
      </c>
      <c r="AX308" t="s">
        <v>79</v>
      </c>
      <c r="AY308" t="s">
        <v>137</v>
      </c>
      <c r="AZ308">
        <v>0</v>
      </c>
      <c r="BA308" t="s">
        <v>137</v>
      </c>
      <c r="BB308">
        <v>0</v>
      </c>
      <c r="BE308">
        <v>0</v>
      </c>
    </row>
    <row r="309" spans="1:58" ht="12.75">
      <c r="A309" s="2" t="str">
        <f>HYPERLINK("https://ibp.a2mac1.com/costing(costing:projects/details/8191/part/5381533)","Radio Antenna")</f>
        <v>Radio Antenna</v>
      </c>
      <c r="B309">
        <v>5381533</v>
      </c>
      <c r="C309">
        <v>5381406</v>
      </c>
      <c r="E309">
        <v>0</v>
      </c>
      <c r="F309">
        <v>13.763460030798729</v>
      </c>
      <c r="G309">
        <v>0</v>
      </c>
      <c r="H309">
        <v>0</v>
      </c>
      <c r="I309" t="s">
        <v>137</v>
      </c>
      <c r="J309">
        <v>0</v>
      </c>
      <c r="K309">
        <v>14.245181131876684</v>
      </c>
      <c r="L309">
        <v>0.68482797387499728</v>
      </c>
      <c r="M309">
        <v>2.3968979085624906</v>
      </c>
      <c r="N309">
        <v>16.642079040439175</v>
      </c>
      <c r="O309" t="s">
        <v>138</v>
      </c>
      <c r="P309">
        <v>0.85471086791260109</v>
      </c>
      <c r="Q309" t="s">
        <v>138</v>
      </c>
      <c r="R309">
        <v>0.14381387451374944</v>
      </c>
      <c r="S309" t="s">
        <v>139</v>
      </c>
      <c r="T309">
        <v>1.997049484852701</v>
      </c>
      <c r="U309" t="s">
        <v>90</v>
      </c>
      <c r="V309">
        <v>0</v>
      </c>
      <c r="W309" t="s">
        <v>90</v>
      </c>
      <c r="X309">
        <v>0</v>
      </c>
      <c r="Y309">
        <v>19.637653267718228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163</v>
      </c>
      <c r="AF309">
        <v>74</v>
      </c>
      <c r="AG309">
        <v>82</v>
      </c>
      <c r="AI309">
        <v>0.30299999999999999</v>
      </c>
      <c r="AJ309" t="s">
        <v>685</v>
      </c>
      <c r="AK309" t="s">
        <v>576</v>
      </c>
      <c r="AL309" t="s">
        <v>1248</v>
      </c>
      <c r="AM309">
        <v>200000</v>
      </c>
      <c r="AN309" t="s">
        <v>76</v>
      </c>
      <c r="AO309">
        <v>1</v>
      </c>
      <c r="AP309">
        <v>0</v>
      </c>
      <c r="AQ309">
        <v>16666.666666666668</v>
      </c>
      <c r="AR309" t="s">
        <v>1249</v>
      </c>
      <c r="AS309" t="s">
        <v>78</v>
      </c>
      <c r="AX309" t="s">
        <v>79</v>
      </c>
      <c r="AY309" t="s">
        <v>137</v>
      </c>
      <c r="AZ309">
        <v>0.48172110107795552</v>
      </c>
      <c r="BA309" t="s">
        <v>137</v>
      </c>
      <c r="BB309">
        <v>0</v>
      </c>
      <c r="BE309">
        <v>0</v>
      </c>
    </row>
    <row r="310" spans="1:58" ht="12.75">
      <c r="A310" s="2" t="str">
        <f>HYPERLINK("https://ibp.a2mac1.com/costing(costing:projects/details/8191/part/5381405)","RF Pre-Amplifier 2")</f>
        <v>RF Pre-Amplifier 2</v>
      </c>
      <c r="B310">
        <v>5381405</v>
      </c>
      <c r="C310">
        <v>5381311</v>
      </c>
      <c r="E310">
        <v>5.5364399999999998</v>
      </c>
      <c r="F310">
        <v>0</v>
      </c>
      <c r="G310">
        <v>0</v>
      </c>
      <c r="H310">
        <v>0</v>
      </c>
      <c r="I310" t="s">
        <v>74</v>
      </c>
      <c r="J310">
        <v>0</v>
      </c>
      <c r="K310">
        <v>5.5364399999999998</v>
      </c>
      <c r="L310">
        <v>0</v>
      </c>
      <c r="M310">
        <v>0</v>
      </c>
      <c r="N310">
        <v>5.5364399999999998</v>
      </c>
      <c r="O310" t="s">
        <v>74</v>
      </c>
      <c r="P310">
        <v>0</v>
      </c>
      <c r="Q310" t="s">
        <v>74</v>
      </c>
      <c r="R310">
        <v>0</v>
      </c>
      <c r="S310" t="s">
        <v>74</v>
      </c>
      <c r="T310">
        <v>0</v>
      </c>
      <c r="U310" t="s">
        <v>74</v>
      </c>
      <c r="V310">
        <v>0</v>
      </c>
      <c r="W310" t="s">
        <v>74</v>
      </c>
      <c r="X310">
        <v>0</v>
      </c>
      <c r="Y310">
        <v>5.5364399999999998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26</v>
      </c>
      <c r="AF310">
        <v>114</v>
      </c>
      <c r="AG310">
        <v>19</v>
      </c>
      <c r="AI310">
        <v>0.036499999999999998</v>
      </c>
      <c r="AJ310" t="s">
        <v>1251</v>
      </c>
      <c r="AK310" t="s">
        <v>576</v>
      </c>
      <c r="AL310" t="s">
        <v>1252</v>
      </c>
      <c r="AM310">
        <v>400000</v>
      </c>
      <c r="AN310" t="s">
        <v>76</v>
      </c>
      <c r="AO310">
        <v>2</v>
      </c>
      <c r="AP310">
        <v>0</v>
      </c>
      <c r="AQ310">
        <v>33333.333333333336</v>
      </c>
      <c r="AR310" t="s">
        <v>1253</v>
      </c>
      <c r="AS310" t="s">
        <v>78</v>
      </c>
      <c r="AX310" t="s">
        <v>79</v>
      </c>
      <c r="AY310" t="s">
        <v>74</v>
      </c>
      <c r="AZ310">
        <v>0</v>
      </c>
      <c r="BA310" t="s">
        <v>74</v>
      </c>
      <c r="BB310">
        <v>0</v>
      </c>
      <c r="BD310">
        <v>2.7682199999999999</v>
      </c>
      <c r="BE310">
        <v>0</v>
      </c>
    </row>
    <row r="311" spans="1:58" ht="12.75">
      <c r="A311" s="2" t="str">
        <f>HYPERLINK("https://ibp.a2mac1.com/costing(costing:projects/details/8191/part/5381407)","Telematics ECU")</f>
        <v>Telematics ECU</v>
      </c>
      <c r="B311">
        <v>5381407</v>
      </c>
      <c r="C311">
        <v>5381312</v>
      </c>
      <c r="E311">
        <v>0</v>
      </c>
      <c r="F311">
        <v>72.571861138979585</v>
      </c>
      <c r="G311">
        <v>0</v>
      </c>
      <c r="H311">
        <v>0</v>
      </c>
      <c r="I311" t="s">
        <v>137</v>
      </c>
      <c r="J311">
        <v>0</v>
      </c>
      <c r="K311">
        <v>75.11187627884388</v>
      </c>
      <c r="L311">
        <v>3.6066368978048571</v>
      </c>
      <c r="M311">
        <v>12.623229142316999</v>
      </c>
      <c r="N311">
        <v>87.735105421160881</v>
      </c>
      <c r="O311" t="s">
        <v>138</v>
      </c>
      <c r="P311">
        <v>4.5067125767306324</v>
      </c>
      <c r="Q311" t="s">
        <v>138</v>
      </c>
      <c r="R311">
        <v>0.75739374853901997</v>
      </c>
      <c r="S311" t="s">
        <v>139</v>
      </c>
      <c r="T311">
        <v>10.528212650539304</v>
      </c>
      <c r="U311" t="s">
        <v>90</v>
      </c>
      <c r="V311">
        <v>0</v>
      </c>
      <c r="W311" t="s">
        <v>90</v>
      </c>
      <c r="X311">
        <v>0</v>
      </c>
      <c r="Y311">
        <v>103.52742439696983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40</v>
      </c>
      <c r="AF311">
        <v>145</v>
      </c>
      <c r="AG311">
        <v>103</v>
      </c>
      <c r="AI311">
        <v>0.34100000000000003</v>
      </c>
      <c r="AJ311" t="s">
        <v>1258</v>
      </c>
      <c r="AK311" t="s">
        <v>576</v>
      </c>
      <c r="AL311" t="s">
        <v>1259</v>
      </c>
      <c r="AM311">
        <v>200000</v>
      </c>
      <c r="AN311" t="s">
        <v>76</v>
      </c>
      <c r="AO311">
        <v>1</v>
      </c>
      <c r="AP311">
        <v>0</v>
      </c>
      <c r="AQ311">
        <v>16666.666666666668</v>
      </c>
      <c r="AR311" t="s">
        <v>1260</v>
      </c>
      <c r="AS311" t="s">
        <v>78</v>
      </c>
      <c r="AX311" t="s">
        <v>79</v>
      </c>
      <c r="AY311" t="s">
        <v>137</v>
      </c>
      <c r="AZ311">
        <v>2.5400151398642854</v>
      </c>
      <c r="BA311" t="s">
        <v>137</v>
      </c>
      <c r="BB311">
        <v>0</v>
      </c>
      <c r="BE311">
        <v>0</v>
      </c>
    </row>
    <row r="312" spans="1:58" ht="12.75">
      <c r="A312" s="2" t="str">
        <f>HYPERLINK("https://ibp.a2mac1.com/costing(costing:projects/details/8191/part/5381408)","Telematics ECU Support")</f>
        <v>Telematics ECU Support</v>
      </c>
      <c r="B312">
        <v>5381408</v>
      </c>
      <c r="C312">
        <v>5381312</v>
      </c>
      <c r="E312">
        <v>0.48904999999999998</v>
      </c>
      <c r="F312">
        <v>0</v>
      </c>
      <c r="G312">
        <v>0</v>
      </c>
      <c r="H312">
        <v>0</v>
      </c>
      <c r="I312" t="s">
        <v>74</v>
      </c>
      <c r="J312">
        <v>0</v>
      </c>
      <c r="K312">
        <v>0.48904999999999998</v>
      </c>
      <c r="L312">
        <v>0</v>
      </c>
      <c r="M312">
        <v>0</v>
      </c>
      <c r="N312">
        <v>0.48904999999999998</v>
      </c>
      <c r="O312" t="s">
        <v>74</v>
      </c>
      <c r="P312">
        <v>0</v>
      </c>
      <c r="Q312" t="s">
        <v>74</v>
      </c>
      <c r="R312">
        <v>0</v>
      </c>
      <c r="S312" t="s">
        <v>74</v>
      </c>
      <c r="T312">
        <v>0</v>
      </c>
      <c r="U312" t="s">
        <v>74</v>
      </c>
      <c r="V312">
        <v>0</v>
      </c>
      <c r="W312" t="s">
        <v>74</v>
      </c>
      <c r="X312">
        <v>0</v>
      </c>
      <c r="Y312">
        <v>0.48904999999999998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74</v>
      </c>
      <c r="AF312">
        <v>172</v>
      </c>
      <c r="AG312">
        <v>122</v>
      </c>
      <c r="AI312">
        <v>0.113</v>
      </c>
      <c r="AJ312" t="s">
        <v>685</v>
      </c>
      <c r="AK312" t="s">
        <v>598</v>
      </c>
      <c r="AL312" t="s">
        <v>1261</v>
      </c>
      <c r="AM312">
        <v>200000</v>
      </c>
      <c r="AN312" t="s">
        <v>76</v>
      </c>
      <c r="AO312">
        <v>1</v>
      </c>
      <c r="AP312">
        <v>0</v>
      </c>
      <c r="AQ312">
        <v>16666.666666666668</v>
      </c>
      <c r="AR312" t="s">
        <v>1262</v>
      </c>
      <c r="AS312" t="s">
        <v>78</v>
      </c>
      <c r="AX312" t="s">
        <v>79</v>
      </c>
      <c r="AY312" t="s">
        <v>74</v>
      </c>
      <c r="AZ312">
        <v>0</v>
      </c>
      <c r="BA312" t="s">
        <v>74</v>
      </c>
      <c r="BB312">
        <v>0</v>
      </c>
      <c r="BD312">
        <v>0.48904999999999998</v>
      </c>
      <c r="BE312">
        <v>0</v>
      </c>
    </row>
    <row r="313" spans="1:58" ht="12.75">
      <c r="A313" s="2" t="str">
        <f>HYPERLINK("https://ibp.a2mac1.com/costing(costing:projects/details/8191/part/5381409)","Phone Antenna")</f>
        <v>Phone Antenna</v>
      </c>
      <c r="B313">
        <v>5381409</v>
      </c>
      <c r="C313">
        <v>5381312</v>
      </c>
      <c r="E313">
        <v>3.1742300000000001</v>
      </c>
      <c r="F313">
        <v>0</v>
      </c>
      <c r="G313">
        <v>0</v>
      </c>
      <c r="H313">
        <v>0</v>
      </c>
      <c r="I313" t="s">
        <v>74</v>
      </c>
      <c r="J313">
        <v>0</v>
      </c>
      <c r="K313">
        <v>3.1742300000000001</v>
      </c>
      <c r="L313">
        <v>0</v>
      </c>
      <c r="M313">
        <v>0</v>
      </c>
      <c r="N313">
        <v>3.1742300000000001</v>
      </c>
      <c r="O313" t="s">
        <v>74</v>
      </c>
      <c r="P313">
        <v>0</v>
      </c>
      <c r="Q313" t="s">
        <v>74</v>
      </c>
      <c r="R313">
        <v>0</v>
      </c>
      <c r="S313" t="s">
        <v>74</v>
      </c>
      <c r="T313">
        <v>0</v>
      </c>
      <c r="U313" t="s">
        <v>74</v>
      </c>
      <c r="V313">
        <v>0</v>
      </c>
      <c r="W313" t="s">
        <v>74</v>
      </c>
      <c r="X313">
        <v>0</v>
      </c>
      <c r="Y313">
        <v>3.1742300000000001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28</v>
      </c>
      <c r="AF313">
        <v>71</v>
      </c>
      <c r="AG313">
        <v>70</v>
      </c>
      <c r="AI313">
        <v>0.063</v>
      </c>
      <c r="AJ313" t="s">
        <v>685</v>
      </c>
      <c r="AK313" t="s">
        <v>576</v>
      </c>
      <c r="AL313" t="s">
        <v>1263</v>
      </c>
      <c r="AM313">
        <v>200000</v>
      </c>
      <c r="AN313" t="s">
        <v>76</v>
      </c>
      <c r="AO313">
        <v>1</v>
      </c>
      <c r="AP313">
        <v>0</v>
      </c>
      <c r="AQ313">
        <v>16666.666666666668</v>
      </c>
      <c r="AR313" t="s">
        <v>1264</v>
      </c>
      <c r="AS313" t="s">
        <v>78</v>
      </c>
      <c r="AX313" t="s">
        <v>79</v>
      </c>
      <c r="AY313" t="s">
        <v>74</v>
      </c>
      <c r="AZ313">
        <v>0</v>
      </c>
      <c r="BA313" t="s">
        <v>74</v>
      </c>
      <c r="BB313">
        <v>0</v>
      </c>
      <c r="BD313">
        <v>3.1742300000000001</v>
      </c>
      <c r="BE313">
        <v>0</v>
      </c>
    </row>
    <row r="314" spans="1:58" ht="12.75">
      <c r="A314" s="2" t="str">
        <f>HYPERLINK("https://ibp.a2mac1.com/costing(costing:projects/details/8191/part/5381410)","Induction Charger   Qi System")</f>
        <v>Induction Charger   Qi System</v>
      </c>
      <c r="B314">
        <v>5381410</v>
      </c>
      <c r="C314">
        <v>5381312</v>
      </c>
      <c r="E314">
        <v>0</v>
      </c>
      <c r="F314">
        <v>19.929620945375206</v>
      </c>
      <c r="G314">
        <v>0</v>
      </c>
      <c r="H314">
        <v>0</v>
      </c>
      <c r="I314" t="s">
        <v>137</v>
      </c>
      <c r="J314">
        <v>0</v>
      </c>
      <c r="K314">
        <v>20.627157678463337</v>
      </c>
      <c r="L314">
        <v>1.0044008249298257</v>
      </c>
      <c r="M314">
        <v>3.5154028872543899</v>
      </c>
      <c r="N314">
        <v>24.142560565717726</v>
      </c>
      <c r="O314" t="s">
        <v>138</v>
      </c>
      <c r="P314">
        <v>1.2376294607078002</v>
      </c>
      <c r="Q314" t="s">
        <v>138</v>
      </c>
      <c r="R314">
        <v>0.21092417323526341</v>
      </c>
      <c r="S314" t="s">
        <v>139</v>
      </c>
      <c r="T314">
        <v>2.8971072678861272</v>
      </c>
      <c r="U314" t="s">
        <v>90</v>
      </c>
      <c r="V314">
        <v>0</v>
      </c>
      <c r="W314" t="s">
        <v>90</v>
      </c>
      <c r="X314">
        <v>0</v>
      </c>
      <c r="Y314">
        <v>28.488221467546918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20</v>
      </c>
      <c r="AF314">
        <v>93</v>
      </c>
      <c r="AG314">
        <v>146</v>
      </c>
      <c r="AI314">
        <v>0.24099999999999999</v>
      </c>
      <c r="AJ314" t="s">
        <v>1251</v>
      </c>
      <c r="AK314" t="s">
        <v>576</v>
      </c>
      <c r="AL314" t="s">
        <v>1267</v>
      </c>
      <c r="AM314">
        <v>200000</v>
      </c>
      <c r="AN314" t="s">
        <v>76</v>
      </c>
      <c r="AO314">
        <v>1</v>
      </c>
      <c r="AP314">
        <v>0</v>
      </c>
      <c r="AQ314">
        <v>16666.666666666668</v>
      </c>
      <c r="AR314" t="s">
        <v>1268</v>
      </c>
      <c r="AS314" t="s">
        <v>78</v>
      </c>
      <c r="AX314" t="s">
        <v>79</v>
      </c>
      <c r="AY314" t="s">
        <v>137</v>
      </c>
      <c r="AZ314">
        <v>0.69753673308813213</v>
      </c>
      <c r="BA314" t="s">
        <v>137</v>
      </c>
      <c r="BB314">
        <v>0</v>
      </c>
      <c r="BE314">
        <v>0</v>
      </c>
    </row>
    <row r="315" spans="1:58" ht="12.75">
      <c r="A315" s="2" t="str">
        <f>HYPERLINK("https://ibp.a2mac1.com/costing(costing:projects/details/8191/part/5381411)","Induction Charger Mat")</f>
        <v>Induction Charger Mat</v>
      </c>
      <c r="B315">
        <v>5381411</v>
      </c>
      <c r="C315">
        <v>5381312</v>
      </c>
      <c r="E315">
        <v>0.17532</v>
      </c>
      <c r="F315">
        <v>0</v>
      </c>
      <c r="G315">
        <v>0</v>
      </c>
      <c r="H315">
        <v>0</v>
      </c>
      <c r="I315" t="s">
        <v>74</v>
      </c>
      <c r="J315">
        <v>0</v>
      </c>
      <c r="K315">
        <v>0.17532</v>
      </c>
      <c r="L315">
        <v>0</v>
      </c>
      <c r="M315">
        <v>0</v>
      </c>
      <c r="N315">
        <v>0.17532</v>
      </c>
      <c r="O315" t="s">
        <v>74</v>
      </c>
      <c r="P315">
        <v>0</v>
      </c>
      <c r="Q315" t="s">
        <v>74</v>
      </c>
      <c r="R315">
        <v>0</v>
      </c>
      <c r="S315" t="s">
        <v>74</v>
      </c>
      <c r="T315">
        <v>0</v>
      </c>
      <c r="U315" t="s">
        <v>74</v>
      </c>
      <c r="V315">
        <v>0</v>
      </c>
      <c r="W315" t="s">
        <v>74</v>
      </c>
      <c r="X315">
        <v>0</v>
      </c>
      <c r="Y315">
        <v>0.17532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160</v>
      </c>
      <c r="AF315">
        <v>117</v>
      </c>
      <c r="AG315">
        <v>40</v>
      </c>
      <c r="AI315">
        <v>0.042000000000000003</v>
      </c>
      <c r="AJ315" t="s">
        <v>685</v>
      </c>
      <c r="AK315" t="s">
        <v>727</v>
      </c>
      <c r="AL315" t="s">
        <v>1269</v>
      </c>
      <c r="AM315">
        <v>200000</v>
      </c>
      <c r="AN315" t="s">
        <v>76</v>
      </c>
      <c r="AO315">
        <v>1</v>
      </c>
      <c r="AP315">
        <v>0</v>
      </c>
      <c r="AQ315">
        <v>16666.666666666668</v>
      </c>
      <c r="AR315" t="s">
        <v>1270</v>
      </c>
      <c r="AS315" t="s">
        <v>78</v>
      </c>
      <c r="AX315" t="s">
        <v>79</v>
      </c>
      <c r="AY315" t="s">
        <v>74</v>
      </c>
      <c r="AZ315">
        <v>0</v>
      </c>
      <c r="BA315" t="s">
        <v>74</v>
      </c>
      <c r="BB315">
        <v>0</v>
      </c>
      <c r="BD315">
        <v>0.17532</v>
      </c>
      <c r="BE315">
        <v>0</v>
      </c>
    </row>
    <row r="316" spans="1:58" ht="12.75">
      <c r="A316" s="2" t="str">
        <f>HYPERLINK("https://ibp.a2mac1.com/costing(costing:projects/details/8191/part/5381412)","Induction Charger Support")</f>
        <v>Induction Charger Support</v>
      </c>
      <c r="B316">
        <v>5381412</v>
      </c>
      <c r="C316">
        <v>5381312</v>
      </c>
      <c r="E316">
        <v>0.091495488</v>
      </c>
      <c r="F316">
        <v>0</v>
      </c>
      <c r="G316">
        <v>0</v>
      </c>
      <c r="H316">
        <v>0.000464127488</v>
      </c>
      <c r="I316" t="s">
        <v>137</v>
      </c>
      <c r="J316">
        <v>0.0032103679999999999</v>
      </c>
      <c r="K316">
        <v>0.095169983488000001</v>
      </c>
      <c r="L316">
        <v>0.0017640282592940937</v>
      </c>
      <c r="M316">
        <v>0.010584169555764564</v>
      </c>
      <c r="N316">
        <v>0.10575415304376456</v>
      </c>
      <c r="O316" t="s">
        <v>138</v>
      </c>
      <c r="P316">
        <v>0.0057101990092800004</v>
      </c>
      <c r="Q316" t="s">
        <v>138</v>
      </c>
      <c r="R316">
        <v>0.00063505017334587375</v>
      </c>
      <c r="S316" t="s">
        <v>139</v>
      </c>
      <c r="T316">
        <v>0.012690498365251747</v>
      </c>
      <c r="U316" t="s">
        <v>90</v>
      </c>
      <c r="V316">
        <v>0</v>
      </c>
      <c r="W316" t="s">
        <v>90</v>
      </c>
      <c r="X316">
        <v>0</v>
      </c>
      <c r="Y316">
        <v>0.12478990059164219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26</v>
      </c>
      <c r="AF316">
        <v>137</v>
      </c>
      <c r="AG316">
        <v>181</v>
      </c>
      <c r="AI316">
        <v>0.037999999999999999</v>
      </c>
      <c r="AK316" t="s">
        <v>727</v>
      </c>
      <c r="AL316" t="s">
        <v>1275</v>
      </c>
      <c r="AM316">
        <v>200000</v>
      </c>
      <c r="AN316" t="s">
        <v>76</v>
      </c>
      <c r="AO316">
        <v>1</v>
      </c>
      <c r="AP316">
        <v>0</v>
      </c>
      <c r="AQ316">
        <v>16666.666666666668</v>
      </c>
      <c r="AR316" t="s">
        <v>1276</v>
      </c>
      <c r="AS316" t="s">
        <v>78</v>
      </c>
      <c r="AX316" t="s">
        <v>79</v>
      </c>
      <c r="AY316" t="s">
        <v>137</v>
      </c>
      <c r="AZ316">
        <v>0</v>
      </c>
      <c r="BA316" t="s">
        <v>137</v>
      </c>
      <c r="BB316">
        <v>0</v>
      </c>
      <c r="BE316">
        <v>0</v>
      </c>
    </row>
    <row r="317" spans="1:58" ht="12.75">
      <c r="A317" s="2" t="str">
        <f>HYPERLINK("https://ibp.a2mac1.com/costing(costing:projects/details/8191/part/5381413)","Model Emblem")</f>
        <v>Model Emblem</v>
      </c>
      <c r="B317">
        <v>5381413</v>
      </c>
      <c r="C317">
        <v>5381313</v>
      </c>
      <c r="E317">
        <v>0.0066150000000000002</v>
      </c>
      <c r="F317">
        <v>0</v>
      </c>
      <c r="G317">
        <v>0</v>
      </c>
      <c r="H317">
        <v>3.3555789473684214E-05</v>
      </c>
      <c r="I317" t="s">
        <v>137</v>
      </c>
      <c r="J317">
        <v>0.00023210526315789473</v>
      </c>
      <c r="K317">
        <v>0.0068806610526315794</v>
      </c>
      <c r="L317">
        <v>0.0001392530787954491</v>
      </c>
      <c r="M317">
        <v>0.00083551847277269474</v>
      </c>
      <c r="N317">
        <v>0.007716179525404274</v>
      </c>
      <c r="O317" t="s">
        <v>138</v>
      </c>
      <c r="P317">
        <v>0.00041283966315789472</v>
      </c>
      <c r="Q317" t="s">
        <v>138</v>
      </c>
      <c r="R317">
        <v>5.0131108366361679E-05</v>
      </c>
      <c r="S317" t="s">
        <v>139</v>
      </c>
      <c r="T317">
        <v>0.00092594154304851285</v>
      </c>
      <c r="U317" t="s">
        <v>90</v>
      </c>
      <c r="V317">
        <v>0</v>
      </c>
      <c r="W317" t="s">
        <v>90</v>
      </c>
      <c r="X317">
        <v>0</v>
      </c>
      <c r="Y317">
        <v>0.0091050918399770437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3</v>
      </c>
      <c r="AF317">
        <v>6</v>
      </c>
      <c r="AG317">
        <v>25</v>
      </c>
      <c r="AI317">
        <v>0.0030000000000000001</v>
      </c>
      <c r="AK317" t="s">
        <v>501</v>
      </c>
      <c r="AL317" t="s">
        <v>1283</v>
      </c>
      <c r="AM317">
        <v>200000</v>
      </c>
      <c r="AN317" t="s">
        <v>76</v>
      </c>
      <c r="AO317">
        <v>1</v>
      </c>
      <c r="AP317">
        <v>0</v>
      </c>
      <c r="AQ317">
        <v>16666.666666666668</v>
      </c>
      <c r="AR317" t="s">
        <v>1284</v>
      </c>
      <c r="AS317" t="s">
        <v>78</v>
      </c>
      <c r="AX317" t="s">
        <v>79</v>
      </c>
      <c r="AY317" t="s">
        <v>137</v>
      </c>
      <c r="AZ317">
        <v>0</v>
      </c>
      <c r="BA317" t="s">
        <v>137</v>
      </c>
      <c r="BB317">
        <v>0</v>
      </c>
      <c r="BE317">
        <v>0</v>
      </c>
    </row>
    <row r="318" spans="1:58" ht="12.75">
      <c r="A318" s="2" t="str">
        <f>HYPERLINK("https://ibp.a2mac1.com/costing(costing:projects/details/8191/part/5381414)","Trim Level Emblem")</f>
        <v>Trim Level Emblem</v>
      </c>
      <c r="B318">
        <v>5381414</v>
      </c>
      <c r="C318">
        <v>5381313</v>
      </c>
      <c r="E318">
        <v>0.037150869000000003</v>
      </c>
      <c r="F318">
        <v>0</v>
      </c>
      <c r="G318">
        <v>0</v>
      </c>
      <c r="H318">
        <v>0.00018733721410526315</v>
      </c>
      <c r="I318" t="s">
        <v>137</v>
      </c>
      <c r="J318">
        <v>0.0013035392631578948</v>
      </c>
      <c r="K318">
        <v>0.038641745477263158</v>
      </c>
      <c r="L318">
        <v>0.00064823857374431452</v>
      </c>
      <c r="M318">
        <v>0.0038894314424658873</v>
      </c>
      <c r="N318">
        <v>0.042531176919729047</v>
      </c>
      <c r="O318" t="s">
        <v>138</v>
      </c>
      <c r="P318">
        <v>0.0023185047286357896</v>
      </c>
      <c r="Q318" t="s">
        <v>138</v>
      </c>
      <c r="R318">
        <v>0.00023336588654795324</v>
      </c>
      <c r="S318" t="s">
        <v>139</v>
      </c>
      <c r="T318">
        <v>0.0051037412303674857</v>
      </c>
      <c r="U318" t="s">
        <v>216</v>
      </c>
      <c r="V318">
        <v>0.00021265588459864522</v>
      </c>
      <c r="W318" t="s">
        <v>217</v>
      </c>
      <c r="X318">
        <v>0.00085062353839458088</v>
      </c>
      <c r="Y318">
        <v>0.051250068188273497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4</v>
      </c>
      <c r="AF318">
        <v>195</v>
      </c>
      <c r="AG318">
        <v>22</v>
      </c>
      <c r="AI318">
        <v>0.0070000000000000001</v>
      </c>
      <c r="AK318" t="s">
        <v>218</v>
      </c>
      <c r="AL318" t="s">
        <v>1288</v>
      </c>
      <c r="AM318">
        <v>400000</v>
      </c>
      <c r="AN318" t="s">
        <v>76</v>
      </c>
      <c r="AO318">
        <v>2</v>
      </c>
      <c r="AP318">
        <v>0</v>
      </c>
      <c r="AQ318">
        <v>33333.333333333336</v>
      </c>
      <c r="AR318" t="s">
        <v>1289</v>
      </c>
      <c r="AS318" t="s">
        <v>78</v>
      </c>
      <c r="AX318" t="s">
        <v>79</v>
      </c>
      <c r="AY318" t="s">
        <v>137</v>
      </c>
      <c r="AZ318">
        <v>0</v>
      </c>
      <c r="BA318" t="s">
        <v>137</v>
      </c>
      <c r="BB318">
        <v>0</v>
      </c>
      <c r="BE318">
        <v>0</v>
      </c>
    </row>
    <row r="319" spans="1:58" ht="12.75">
      <c r="A319" s="2" t="str">
        <f>HYPERLINK("https://ibp.a2mac1.com/costing(costing:projects/details/8191/part/5381415)","Trim Level Emblem Support")</f>
        <v>Trim Level Emblem Support</v>
      </c>
      <c r="B319">
        <v>5381415</v>
      </c>
      <c r="C319">
        <v>5381313</v>
      </c>
      <c r="E319">
        <v>0.063162235499999997</v>
      </c>
      <c r="F319">
        <v>0</v>
      </c>
      <c r="G319">
        <v>0</v>
      </c>
      <c r="H319">
        <v>0.00031850230031578946</v>
      </c>
      <c r="I319" t="s">
        <v>137</v>
      </c>
      <c r="J319">
        <v>0.0022162187894736842</v>
      </c>
      <c r="K319">
        <v>0.065696956589789468</v>
      </c>
      <c r="L319">
        <v>0.0012038708749228999</v>
      </c>
      <c r="M319">
        <v>0.0072232252495373992</v>
      </c>
      <c r="N319">
        <v>0.072920181839326872</v>
      </c>
      <c r="O319" t="s">
        <v>138</v>
      </c>
      <c r="P319">
        <v>0.003941817395387368</v>
      </c>
      <c r="Q319" t="s">
        <v>138</v>
      </c>
      <c r="R319">
        <v>0.00043339351497224395</v>
      </c>
      <c r="S319" t="s">
        <v>139</v>
      </c>
      <c r="T319">
        <v>0.0087504218207192248</v>
      </c>
      <c r="U319" t="s">
        <v>216</v>
      </c>
      <c r="V319">
        <v>0.00036460090919663435</v>
      </c>
      <c r="W319" t="s">
        <v>217</v>
      </c>
      <c r="X319">
        <v>0.0014584036367865374</v>
      </c>
      <c r="Y319">
        <v>0.087868819116388885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5</v>
      </c>
      <c r="AF319">
        <v>208</v>
      </c>
      <c r="AG319">
        <v>39</v>
      </c>
      <c r="AI319">
        <v>0.012999999999999999</v>
      </c>
      <c r="AJ319" t="s">
        <v>685</v>
      </c>
      <c r="AK319" t="s">
        <v>218</v>
      </c>
      <c r="AL319" t="s">
        <v>1294</v>
      </c>
      <c r="AM319">
        <v>400000</v>
      </c>
      <c r="AN319" t="s">
        <v>76</v>
      </c>
      <c r="AO319">
        <v>2</v>
      </c>
      <c r="AP319">
        <v>0</v>
      </c>
      <c r="AQ319">
        <v>33333.333333333336</v>
      </c>
      <c r="AR319" t="s">
        <v>1295</v>
      </c>
      <c r="AS319" t="s">
        <v>78</v>
      </c>
      <c r="AX319" t="s">
        <v>79</v>
      </c>
      <c r="AY319" t="s">
        <v>137</v>
      </c>
      <c r="AZ319">
        <v>0</v>
      </c>
      <c r="BA319" t="s">
        <v>137</v>
      </c>
      <c r="BB319">
        <v>0</v>
      </c>
      <c r="BE319">
        <v>0</v>
      </c>
    </row>
    <row r="320" spans="1:58" ht="12.75">
      <c r="A320" s="2" t="str">
        <f>HYPERLINK("https://ibp.a2mac1.com/costing(costing:projects/details/8191/part/5381534)","Front Passive Entry ECU")</f>
        <v>Front Passive Entry ECU</v>
      </c>
      <c r="B320">
        <v>5381534</v>
      </c>
      <c r="C320">
        <v>5381425</v>
      </c>
      <c r="E320">
        <v>9.2273999999999994</v>
      </c>
      <c r="F320">
        <v>0</v>
      </c>
      <c r="G320">
        <v>0</v>
      </c>
      <c r="H320">
        <v>0</v>
      </c>
      <c r="I320" t="s">
        <v>74</v>
      </c>
      <c r="J320">
        <v>0</v>
      </c>
      <c r="K320">
        <v>9.2273999999999994</v>
      </c>
      <c r="L320">
        <v>0</v>
      </c>
      <c r="M320">
        <v>0</v>
      </c>
      <c r="N320">
        <v>9.2273999999999994</v>
      </c>
      <c r="O320" t="s">
        <v>74</v>
      </c>
      <c r="P320">
        <v>0</v>
      </c>
      <c r="Q320" t="s">
        <v>74</v>
      </c>
      <c r="R320">
        <v>0</v>
      </c>
      <c r="S320" t="s">
        <v>74</v>
      </c>
      <c r="T320">
        <v>0</v>
      </c>
      <c r="U320" t="s">
        <v>74</v>
      </c>
      <c r="V320">
        <v>0</v>
      </c>
      <c r="W320" t="s">
        <v>74</v>
      </c>
      <c r="X320">
        <v>0</v>
      </c>
      <c r="Y320">
        <v>9.2273999999999994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17</v>
      </c>
      <c r="AF320">
        <v>105</v>
      </c>
      <c r="AG320">
        <v>42</v>
      </c>
      <c r="AI320">
        <v>0.032000000000000001</v>
      </c>
      <c r="AJ320" t="s">
        <v>1299</v>
      </c>
      <c r="AK320" t="s">
        <v>576</v>
      </c>
      <c r="AL320" t="s">
        <v>1300</v>
      </c>
      <c r="AM320">
        <v>400000</v>
      </c>
      <c r="AN320" t="s">
        <v>76</v>
      </c>
      <c r="AO320">
        <v>2</v>
      </c>
      <c r="AP320">
        <v>0</v>
      </c>
      <c r="AQ320">
        <v>33333.333333333336</v>
      </c>
      <c r="AR320" t="s">
        <v>1301</v>
      </c>
      <c r="AS320" t="s">
        <v>78</v>
      </c>
      <c r="AX320" t="s">
        <v>79</v>
      </c>
      <c r="AY320" t="s">
        <v>74</v>
      </c>
      <c r="AZ320">
        <v>0</v>
      </c>
      <c r="BA320" t="s">
        <v>74</v>
      </c>
      <c r="BB320">
        <v>0</v>
      </c>
      <c r="BD320">
        <v>4.6136999999999997</v>
      </c>
      <c r="BE320">
        <v>0</v>
      </c>
    </row>
    <row r="321" spans="1:58" ht="12.75">
      <c r="A321" s="2" t="str">
        <f>HYPERLINK("https://ibp.a2mac1.com/costing(costing:projects/details/8191/part/5381535)","Front Passive Entry ECU Support")</f>
        <v>Front Passive Entry ECU Support</v>
      </c>
      <c r="B321">
        <v>5381535</v>
      </c>
      <c r="C321">
        <v>5381425</v>
      </c>
      <c r="E321">
        <v>0.83045999999999998</v>
      </c>
      <c r="F321">
        <v>0</v>
      </c>
      <c r="G321">
        <v>0</v>
      </c>
      <c r="H321">
        <v>0</v>
      </c>
      <c r="I321" t="s">
        <v>74</v>
      </c>
      <c r="J321">
        <v>0</v>
      </c>
      <c r="K321">
        <v>0.83045999999999998</v>
      </c>
      <c r="L321">
        <v>0</v>
      </c>
      <c r="M321">
        <v>0</v>
      </c>
      <c r="N321">
        <v>0.83045999999999998</v>
      </c>
      <c r="O321" t="s">
        <v>74</v>
      </c>
      <c r="P321">
        <v>0</v>
      </c>
      <c r="Q321" t="s">
        <v>74</v>
      </c>
      <c r="R321">
        <v>0</v>
      </c>
      <c r="S321" t="s">
        <v>74</v>
      </c>
      <c r="T321">
        <v>0</v>
      </c>
      <c r="U321" t="s">
        <v>74</v>
      </c>
      <c r="V321">
        <v>0</v>
      </c>
      <c r="W321" t="s">
        <v>74</v>
      </c>
      <c r="X321">
        <v>0</v>
      </c>
      <c r="Y321">
        <v>0.83045999999999998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83</v>
      </c>
      <c r="AF321">
        <v>97</v>
      </c>
      <c r="AG321">
        <v>73</v>
      </c>
      <c r="AI321">
        <v>0.0465</v>
      </c>
      <c r="AJ321" t="s">
        <v>685</v>
      </c>
      <c r="AK321" t="s">
        <v>598</v>
      </c>
      <c r="AL321" t="s">
        <v>1261</v>
      </c>
      <c r="AM321">
        <v>400000</v>
      </c>
      <c r="AN321" t="s">
        <v>76</v>
      </c>
      <c r="AO321">
        <v>2</v>
      </c>
      <c r="AP321">
        <v>0</v>
      </c>
      <c r="AQ321">
        <v>33333.333333333336</v>
      </c>
      <c r="AR321" t="s">
        <v>1302</v>
      </c>
      <c r="AS321" t="s">
        <v>78</v>
      </c>
      <c r="AX321" t="s">
        <v>79</v>
      </c>
      <c r="AY321" t="s">
        <v>74</v>
      </c>
      <c r="AZ321">
        <v>0</v>
      </c>
      <c r="BA321" t="s">
        <v>74</v>
      </c>
      <c r="BB321">
        <v>0</v>
      </c>
      <c r="BD321">
        <v>0.41522999999999999</v>
      </c>
      <c r="BE321">
        <v>0</v>
      </c>
    </row>
    <row r="322" spans="1:58" ht="12.75">
      <c r="A322" s="2" t="str">
        <f>HYPERLINK("https://ibp.a2mac1.com/costing(costing:projects/details/8191/part/5381416)","Keyless Entry ECU")</f>
        <v>Keyless Entry ECU</v>
      </c>
      <c r="B322">
        <v>5381416</v>
      </c>
      <c r="C322">
        <v>5381314</v>
      </c>
      <c r="E322">
        <v>0</v>
      </c>
      <c r="F322">
        <v>9.3836605507131043</v>
      </c>
      <c r="G322">
        <v>0</v>
      </c>
      <c r="H322">
        <v>0</v>
      </c>
      <c r="I322" t="s">
        <v>137</v>
      </c>
      <c r="J322">
        <v>0</v>
      </c>
      <c r="K322">
        <v>9.7120886699880629</v>
      </c>
      <c r="L322">
        <v>0.45656165169297702</v>
      </c>
      <c r="M322">
        <v>1.5979657809254195</v>
      </c>
      <c r="N322">
        <v>11.310054450913482</v>
      </c>
      <c r="O322" t="s">
        <v>138</v>
      </c>
      <c r="P322">
        <v>0.5827253201992838</v>
      </c>
      <c r="Q322" t="s">
        <v>138</v>
      </c>
      <c r="R322">
        <v>0.09587794685552517</v>
      </c>
      <c r="S322" t="s">
        <v>139</v>
      </c>
      <c r="T322">
        <v>1.3572065341096178</v>
      </c>
      <c r="U322" t="s">
        <v>90</v>
      </c>
      <c r="V322">
        <v>0</v>
      </c>
      <c r="W322" t="s">
        <v>90</v>
      </c>
      <c r="X322">
        <v>0</v>
      </c>
      <c r="Y322">
        <v>13.345864252077909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35</v>
      </c>
      <c r="AF322">
        <v>142</v>
      </c>
      <c r="AG322">
        <v>88</v>
      </c>
      <c r="AI322">
        <v>0.083000000000000004</v>
      </c>
      <c r="AJ322" t="s">
        <v>1299</v>
      </c>
      <c r="AK322" t="s">
        <v>576</v>
      </c>
      <c r="AL322" t="s">
        <v>1306</v>
      </c>
      <c r="AM322">
        <v>200000</v>
      </c>
      <c r="AN322" t="s">
        <v>76</v>
      </c>
      <c r="AO322">
        <v>1</v>
      </c>
      <c r="AP322">
        <v>0</v>
      </c>
      <c r="AQ322">
        <v>16666.666666666668</v>
      </c>
      <c r="AR322" t="s">
        <v>1307</v>
      </c>
      <c r="AS322" t="s">
        <v>78</v>
      </c>
      <c r="AX322" t="s">
        <v>79</v>
      </c>
      <c r="AY322" t="s">
        <v>137</v>
      </c>
      <c r="AZ322">
        <v>0.32842811927495863</v>
      </c>
      <c r="BA322" t="s">
        <v>137</v>
      </c>
      <c r="BB322">
        <v>0</v>
      </c>
      <c r="BE322">
        <v>0</v>
      </c>
    </row>
    <row r="323" spans="1:58" ht="12.75">
      <c r="A323" s="2" t="str">
        <f>HYPERLINK("https://ibp.a2mac1.com/costing(costing:projects/details/8191/part/5381417)","Antenna 1 Keyless Entry")</f>
        <v>Antenna 1 Keyless Entry</v>
      </c>
      <c r="B323">
        <v>5381417</v>
      </c>
      <c r="C323">
        <v>5381314</v>
      </c>
      <c r="E323">
        <v>4.6136999999999997</v>
      </c>
      <c r="F323">
        <v>0</v>
      </c>
      <c r="G323">
        <v>0</v>
      </c>
      <c r="H323">
        <v>0</v>
      </c>
      <c r="I323" t="s">
        <v>74</v>
      </c>
      <c r="J323">
        <v>0</v>
      </c>
      <c r="K323">
        <v>4.6136999999999997</v>
      </c>
      <c r="L323">
        <v>0</v>
      </c>
      <c r="M323">
        <v>0</v>
      </c>
      <c r="N323">
        <v>4.6136999999999997</v>
      </c>
      <c r="O323" t="s">
        <v>74</v>
      </c>
      <c r="P323">
        <v>0</v>
      </c>
      <c r="Q323" t="s">
        <v>74</v>
      </c>
      <c r="R323">
        <v>0</v>
      </c>
      <c r="S323" t="s">
        <v>74</v>
      </c>
      <c r="T323">
        <v>0</v>
      </c>
      <c r="U323" t="s">
        <v>74</v>
      </c>
      <c r="V323">
        <v>0</v>
      </c>
      <c r="W323" t="s">
        <v>74</v>
      </c>
      <c r="X323">
        <v>0</v>
      </c>
      <c r="Y323">
        <v>4.6136999999999997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19</v>
      </c>
      <c r="AF323">
        <v>114</v>
      </c>
      <c r="AG323">
        <v>33</v>
      </c>
      <c r="AI323">
        <v>0.042000000000000003</v>
      </c>
      <c r="AJ323" t="s">
        <v>1299</v>
      </c>
      <c r="AK323" t="s">
        <v>686</v>
      </c>
      <c r="AL323" t="s">
        <v>692</v>
      </c>
      <c r="AM323">
        <v>200000</v>
      </c>
      <c r="AN323" t="s">
        <v>76</v>
      </c>
      <c r="AO323">
        <v>1</v>
      </c>
      <c r="AP323">
        <v>0</v>
      </c>
      <c r="AQ323">
        <v>16666.666666666668</v>
      </c>
      <c r="AR323" t="s">
        <v>1308</v>
      </c>
      <c r="AS323" t="s">
        <v>78</v>
      </c>
      <c r="AX323" t="s">
        <v>79</v>
      </c>
      <c r="AY323" t="s">
        <v>74</v>
      </c>
      <c r="AZ323">
        <v>0</v>
      </c>
      <c r="BA323" t="s">
        <v>74</v>
      </c>
      <c r="BB323">
        <v>0</v>
      </c>
      <c r="BD323">
        <v>4.6136999999999997</v>
      </c>
      <c r="BE323">
        <v>0</v>
      </c>
    </row>
    <row r="324" spans="1:58" ht="12.75">
      <c r="A324" s="2" t="str">
        <f>HYPERLINK("https://ibp.a2mac1.com/costing(costing:projects/details/8191/part/5381418)","Antenna 2 Keyless Entry")</f>
        <v>Antenna 2 Keyless Entry</v>
      </c>
      <c r="B324">
        <v>5381418</v>
      </c>
      <c r="C324">
        <v>5381314</v>
      </c>
      <c r="E324">
        <v>4.6136999999999997</v>
      </c>
      <c r="F324">
        <v>0</v>
      </c>
      <c r="G324">
        <v>0</v>
      </c>
      <c r="H324">
        <v>0</v>
      </c>
      <c r="I324" t="s">
        <v>74</v>
      </c>
      <c r="J324">
        <v>0</v>
      </c>
      <c r="K324">
        <v>4.6136999999999997</v>
      </c>
      <c r="L324">
        <v>0</v>
      </c>
      <c r="M324">
        <v>0</v>
      </c>
      <c r="N324">
        <v>4.6136999999999997</v>
      </c>
      <c r="O324" t="s">
        <v>74</v>
      </c>
      <c r="P324">
        <v>0</v>
      </c>
      <c r="Q324" t="s">
        <v>74</v>
      </c>
      <c r="R324">
        <v>0</v>
      </c>
      <c r="S324" t="s">
        <v>74</v>
      </c>
      <c r="T324">
        <v>0</v>
      </c>
      <c r="U324" t="s">
        <v>74</v>
      </c>
      <c r="V324">
        <v>0</v>
      </c>
      <c r="W324" t="s">
        <v>74</v>
      </c>
      <c r="X324">
        <v>0</v>
      </c>
      <c r="Y324">
        <v>4.6136999999999997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19</v>
      </c>
      <c r="AF324">
        <v>114</v>
      </c>
      <c r="AG324">
        <v>33</v>
      </c>
      <c r="AI324">
        <v>0.043999999999999997</v>
      </c>
      <c r="AJ324" t="s">
        <v>1299</v>
      </c>
      <c r="AK324" t="s">
        <v>686</v>
      </c>
      <c r="AL324" t="s">
        <v>1309</v>
      </c>
      <c r="AM324">
        <v>200000</v>
      </c>
      <c r="AN324" t="s">
        <v>76</v>
      </c>
      <c r="AO324">
        <v>1</v>
      </c>
      <c r="AP324">
        <v>0</v>
      </c>
      <c r="AQ324">
        <v>16666.666666666668</v>
      </c>
      <c r="AR324" t="s">
        <v>1310</v>
      </c>
      <c r="AS324" t="s">
        <v>78</v>
      </c>
      <c r="AX324" t="s">
        <v>79</v>
      </c>
      <c r="AY324" t="s">
        <v>74</v>
      </c>
      <c r="AZ324">
        <v>0</v>
      </c>
      <c r="BA324" t="s">
        <v>74</v>
      </c>
      <c r="BB324">
        <v>0</v>
      </c>
      <c r="BD324">
        <v>4.6136999999999997</v>
      </c>
      <c r="BE324">
        <v>0</v>
      </c>
    </row>
    <row r="325" spans="1:58" ht="12.75">
      <c r="A325" s="2" t="str">
        <f>HYPERLINK("https://ibp.a2mac1.com/costing(costing:projects/details/8191/part/5381419)","Antenna 3 Keyless Entry")</f>
        <v>Antenna 3 Keyless Entry</v>
      </c>
      <c r="B325">
        <v>5381419</v>
      </c>
      <c r="C325">
        <v>5381314</v>
      </c>
      <c r="E325">
        <v>3.69096</v>
      </c>
      <c r="F325">
        <v>0</v>
      </c>
      <c r="G325">
        <v>0</v>
      </c>
      <c r="H325">
        <v>0</v>
      </c>
      <c r="I325" t="s">
        <v>74</v>
      </c>
      <c r="J325">
        <v>0</v>
      </c>
      <c r="K325">
        <v>3.69096</v>
      </c>
      <c r="L325">
        <v>0</v>
      </c>
      <c r="M325">
        <v>0</v>
      </c>
      <c r="N325">
        <v>3.69096</v>
      </c>
      <c r="O325" t="s">
        <v>74</v>
      </c>
      <c r="P325">
        <v>0</v>
      </c>
      <c r="Q325" t="s">
        <v>74</v>
      </c>
      <c r="R325">
        <v>0</v>
      </c>
      <c r="S325" t="s">
        <v>74</v>
      </c>
      <c r="T325">
        <v>0</v>
      </c>
      <c r="U325" t="s">
        <v>74</v>
      </c>
      <c r="V325">
        <v>0</v>
      </c>
      <c r="W325" t="s">
        <v>74</v>
      </c>
      <c r="X325">
        <v>0</v>
      </c>
      <c r="Y325">
        <v>3.69096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17</v>
      </c>
      <c r="AF325">
        <v>105</v>
      </c>
      <c r="AG325">
        <v>42</v>
      </c>
      <c r="AI325">
        <v>0.032000000000000001</v>
      </c>
      <c r="AJ325" t="s">
        <v>1299</v>
      </c>
      <c r="AK325" t="s">
        <v>686</v>
      </c>
      <c r="AL325" t="s">
        <v>1219</v>
      </c>
      <c r="AM325">
        <v>200000</v>
      </c>
      <c r="AN325" t="s">
        <v>76</v>
      </c>
      <c r="AO325">
        <v>1</v>
      </c>
      <c r="AP325">
        <v>0</v>
      </c>
      <c r="AQ325">
        <v>16666.666666666668</v>
      </c>
      <c r="AR325" t="s">
        <v>1311</v>
      </c>
      <c r="AS325" t="s">
        <v>78</v>
      </c>
      <c r="AX325" t="s">
        <v>79</v>
      </c>
      <c r="AY325" t="s">
        <v>74</v>
      </c>
      <c r="AZ325">
        <v>0</v>
      </c>
      <c r="BA325" t="s">
        <v>74</v>
      </c>
      <c r="BB325">
        <v>0</v>
      </c>
      <c r="BD325">
        <v>3.69096</v>
      </c>
      <c r="BE325">
        <v>0</v>
      </c>
    </row>
    <row r="326" spans="1:58" ht="12.75">
      <c r="A326" s="2" t="str">
        <f>HYPERLINK("https://ibp.a2mac1.com/costing(costing:projects/details/8191/part/5381420)","Antenna 4 Keyless Entry")</f>
        <v>Antenna 4 Keyless Entry</v>
      </c>
      <c r="B326">
        <v>5381420</v>
      </c>
      <c r="C326">
        <v>5381314</v>
      </c>
      <c r="E326">
        <v>3.69096</v>
      </c>
      <c r="F326">
        <v>0</v>
      </c>
      <c r="G326">
        <v>0</v>
      </c>
      <c r="H326">
        <v>0</v>
      </c>
      <c r="I326" t="s">
        <v>74</v>
      </c>
      <c r="J326">
        <v>0</v>
      </c>
      <c r="K326">
        <v>3.69096</v>
      </c>
      <c r="L326">
        <v>0</v>
      </c>
      <c r="M326">
        <v>0</v>
      </c>
      <c r="N326">
        <v>3.69096</v>
      </c>
      <c r="O326" t="s">
        <v>74</v>
      </c>
      <c r="P326">
        <v>0</v>
      </c>
      <c r="Q326" t="s">
        <v>74</v>
      </c>
      <c r="R326">
        <v>0</v>
      </c>
      <c r="S326" t="s">
        <v>74</v>
      </c>
      <c r="T326">
        <v>0</v>
      </c>
      <c r="U326" t="s">
        <v>74</v>
      </c>
      <c r="V326">
        <v>0</v>
      </c>
      <c r="W326" t="s">
        <v>74</v>
      </c>
      <c r="X326">
        <v>0</v>
      </c>
      <c r="Y326">
        <v>3.69096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17</v>
      </c>
      <c r="AF326">
        <v>105</v>
      </c>
      <c r="AG326">
        <v>42</v>
      </c>
      <c r="AI326">
        <v>0.032000000000000001</v>
      </c>
      <c r="AJ326" t="s">
        <v>1299</v>
      </c>
      <c r="AK326" t="s">
        <v>686</v>
      </c>
      <c r="AL326" t="s">
        <v>1219</v>
      </c>
      <c r="AM326">
        <v>200000</v>
      </c>
      <c r="AN326" t="s">
        <v>76</v>
      </c>
      <c r="AO326">
        <v>1</v>
      </c>
      <c r="AP326">
        <v>0</v>
      </c>
      <c r="AQ326">
        <v>16666.666666666668</v>
      </c>
      <c r="AR326" t="s">
        <v>1312</v>
      </c>
      <c r="AS326" t="s">
        <v>78</v>
      </c>
      <c r="AX326" t="s">
        <v>79</v>
      </c>
      <c r="AY326" t="s">
        <v>74</v>
      </c>
      <c r="AZ326">
        <v>0</v>
      </c>
      <c r="BA326" t="s">
        <v>74</v>
      </c>
      <c r="BB326">
        <v>0</v>
      </c>
      <c r="BD326">
        <v>3.69096</v>
      </c>
      <c r="BE326">
        <v>0</v>
      </c>
    </row>
    <row r="327" spans="1:58" ht="12.75">
      <c r="A327" s="2" t="str">
        <f>HYPERLINK("https://ibp.a2mac1.com/costing(costing:projects/details/8191/part/5381421)","Antenna 5 Keyless Entry")</f>
        <v>Antenna 5 Keyless Entry</v>
      </c>
      <c r="B327">
        <v>5381421</v>
      </c>
      <c r="C327">
        <v>5381314</v>
      </c>
      <c r="E327">
        <v>0</v>
      </c>
      <c r="F327">
        <v>4.3797994800856248</v>
      </c>
      <c r="G327">
        <v>0</v>
      </c>
      <c r="H327">
        <v>0</v>
      </c>
      <c r="I327" t="s">
        <v>137</v>
      </c>
      <c r="J327">
        <v>0</v>
      </c>
      <c r="K327">
        <v>4.5330924618886224</v>
      </c>
      <c r="L327">
        <v>0.10844100670092785</v>
      </c>
      <c r="M327">
        <v>0.65064604020556704</v>
      </c>
      <c r="N327">
        <v>5.1837385020941893</v>
      </c>
      <c r="O327" t="s">
        <v>691</v>
      </c>
      <c r="P327">
        <v>0.18132369847554489</v>
      </c>
      <c r="Q327" t="s">
        <v>691</v>
      </c>
      <c r="R327">
        <v>0.026025841608222682</v>
      </c>
      <c r="S327" t="s">
        <v>138</v>
      </c>
      <c r="T327">
        <v>0.31102431012565135</v>
      </c>
      <c r="U327" t="s">
        <v>90</v>
      </c>
      <c r="V327">
        <v>0</v>
      </c>
      <c r="W327" t="s">
        <v>90</v>
      </c>
      <c r="X327">
        <v>0</v>
      </c>
      <c r="Y327">
        <v>5.7021123523036081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22</v>
      </c>
      <c r="AF327">
        <v>275</v>
      </c>
      <c r="AG327">
        <v>62</v>
      </c>
      <c r="AI327">
        <v>0.123</v>
      </c>
      <c r="AJ327" t="s">
        <v>1299</v>
      </c>
      <c r="AK327" t="s">
        <v>686</v>
      </c>
      <c r="AL327" t="s">
        <v>692</v>
      </c>
      <c r="AM327">
        <v>200000</v>
      </c>
      <c r="AN327" t="s">
        <v>76</v>
      </c>
      <c r="AO327">
        <v>1</v>
      </c>
      <c r="AP327">
        <v>0</v>
      </c>
      <c r="AQ327">
        <v>16666.666666666668</v>
      </c>
      <c r="AR327" t="s">
        <v>1315</v>
      </c>
      <c r="AS327" t="s">
        <v>78</v>
      </c>
      <c r="AX327" t="s">
        <v>79</v>
      </c>
      <c r="AY327" t="s">
        <v>137</v>
      </c>
      <c r="AZ327">
        <v>0.15329298180299689</v>
      </c>
      <c r="BA327" t="s">
        <v>137</v>
      </c>
      <c r="BB327">
        <v>0</v>
      </c>
      <c r="BE327">
        <v>0</v>
      </c>
    </row>
    <row r="328" spans="1:58" ht="12.75">
      <c r="A328" s="2" t="str">
        <f>HYPERLINK("https://ibp.a2mac1.com/costing(costing:projects/details/8191/part/5381422)","Antenna 6 Keyless Entry")</f>
        <v>Antenna 6 Keyless Entry</v>
      </c>
      <c r="B328">
        <v>5381422</v>
      </c>
      <c r="C328">
        <v>5381314</v>
      </c>
      <c r="E328">
        <v>0</v>
      </c>
      <c r="F328">
        <v>4.3797994800856248</v>
      </c>
      <c r="G328">
        <v>0</v>
      </c>
      <c r="H328">
        <v>0</v>
      </c>
      <c r="I328" t="s">
        <v>137</v>
      </c>
      <c r="J328">
        <v>0</v>
      </c>
      <c r="K328">
        <v>4.5330924618886224</v>
      </c>
      <c r="L328">
        <v>0.2168820134018557</v>
      </c>
      <c r="M328">
        <v>0.75908704690649487</v>
      </c>
      <c r="N328">
        <v>5.2921795087951171</v>
      </c>
      <c r="O328" t="s">
        <v>138</v>
      </c>
      <c r="P328">
        <v>0.27198554771331734</v>
      </c>
      <c r="Q328" t="s">
        <v>138</v>
      </c>
      <c r="R328">
        <v>0.045545222814389698</v>
      </c>
      <c r="S328" t="s">
        <v>139</v>
      </c>
      <c r="T328">
        <v>0.63506154105541401</v>
      </c>
      <c r="U328" t="s">
        <v>90</v>
      </c>
      <c r="V328">
        <v>0</v>
      </c>
      <c r="W328" t="s">
        <v>90</v>
      </c>
      <c r="X328">
        <v>0</v>
      </c>
      <c r="Y328">
        <v>6.2447718203782383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22</v>
      </c>
      <c r="AF328">
        <v>275</v>
      </c>
      <c r="AG328">
        <v>62</v>
      </c>
      <c r="AI328">
        <v>0.122</v>
      </c>
      <c r="AJ328" t="s">
        <v>1299</v>
      </c>
      <c r="AK328" t="s">
        <v>576</v>
      </c>
      <c r="AL328" t="s">
        <v>692</v>
      </c>
      <c r="AM328">
        <v>200000</v>
      </c>
      <c r="AN328" t="s">
        <v>76</v>
      </c>
      <c r="AO328">
        <v>1</v>
      </c>
      <c r="AP328">
        <v>0</v>
      </c>
      <c r="AQ328">
        <v>16666.666666666668</v>
      </c>
      <c r="AR328" t="s">
        <v>1318</v>
      </c>
      <c r="AS328" t="s">
        <v>78</v>
      </c>
      <c r="AX328" t="s">
        <v>79</v>
      </c>
      <c r="AY328" t="s">
        <v>137</v>
      </c>
      <c r="AZ328">
        <v>0.15329298180299689</v>
      </c>
      <c r="BA328" t="s">
        <v>137</v>
      </c>
      <c r="BB328">
        <v>0</v>
      </c>
      <c r="BE328">
        <v>0</v>
      </c>
    </row>
    <row r="329" spans="1:58" ht="12.75">
      <c r="A329" s="2" t="str">
        <f>HYPERLINK("https://ibp.a2mac1.com/costing(costing:projects/details/8191/part/5381423)","Antenna Support")</f>
        <v>Antenna Support</v>
      </c>
      <c r="B329">
        <v>5381423</v>
      </c>
      <c r="C329">
        <v>5381314</v>
      </c>
      <c r="E329">
        <v>0.14763999999999999</v>
      </c>
      <c r="F329">
        <v>0</v>
      </c>
      <c r="G329">
        <v>0</v>
      </c>
      <c r="H329">
        <v>0</v>
      </c>
      <c r="I329" t="s">
        <v>74</v>
      </c>
      <c r="J329">
        <v>0</v>
      </c>
      <c r="K329">
        <v>0.14763999999999999</v>
      </c>
      <c r="L329">
        <v>0</v>
      </c>
      <c r="M329">
        <v>0</v>
      </c>
      <c r="N329">
        <v>0.14763999999999999</v>
      </c>
      <c r="O329" t="s">
        <v>74</v>
      </c>
      <c r="P329">
        <v>0</v>
      </c>
      <c r="Q329" t="s">
        <v>74</v>
      </c>
      <c r="R329">
        <v>0</v>
      </c>
      <c r="S329" t="s">
        <v>74</v>
      </c>
      <c r="T329">
        <v>0</v>
      </c>
      <c r="U329" t="s">
        <v>74</v>
      </c>
      <c r="V329">
        <v>0</v>
      </c>
      <c r="W329" t="s">
        <v>74</v>
      </c>
      <c r="X329">
        <v>0</v>
      </c>
      <c r="Y329">
        <v>0.14763999999999999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54</v>
      </c>
      <c r="AF329">
        <v>141</v>
      </c>
      <c r="AG329">
        <v>62</v>
      </c>
      <c r="AI329">
        <v>0.025999999999999999</v>
      </c>
      <c r="AK329" t="s">
        <v>598</v>
      </c>
      <c r="AL329" t="s">
        <v>1261</v>
      </c>
      <c r="AM329">
        <v>200000</v>
      </c>
      <c r="AN329" t="s">
        <v>76</v>
      </c>
      <c r="AO329">
        <v>1</v>
      </c>
      <c r="AP329">
        <v>0</v>
      </c>
      <c r="AQ329">
        <v>16666.666666666668</v>
      </c>
      <c r="AR329" t="s">
        <v>1319</v>
      </c>
      <c r="AS329" t="s">
        <v>78</v>
      </c>
      <c r="AX329" t="s">
        <v>79</v>
      </c>
      <c r="AY329" t="s">
        <v>74</v>
      </c>
      <c r="AZ329">
        <v>0</v>
      </c>
      <c r="BA329" t="s">
        <v>74</v>
      </c>
      <c r="BB329">
        <v>0</v>
      </c>
      <c r="BD329">
        <v>0.14763999999999999</v>
      </c>
      <c r="BE329">
        <v>0</v>
      </c>
    </row>
    <row r="330" spans="1:58" ht="12.75">
      <c r="A330" s="2" t="str">
        <f>HYPERLINK("https://ibp.a2mac1.com/costing(costing:projects/details/8191/part/5381424)","Antenna Support 2")</f>
        <v>Antenna Support 2</v>
      </c>
      <c r="B330">
        <v>5381424</v>
      </c>
      <c r="C330">
        <v>5381314</v>
      </c>
      <c r="E330">
        <v>0.14763999999999999</v>
      </c>
      <c r="F330">
        <v>0</v>
      </c>
      <c r="G330">
        <v>0</v>
      </c>
      <c r="H330">
        <v>0</v>
      </c>
      <c r="I330" t="s">
        <v>74</v>
      </c>
      <c r="J330">
        <v>0</v>
      </c>
      <c r="K330">
        <v>0.14763999999999999</v>
      </c>
      <c r="L330">
        <v>0</v>
      </c>
      <c r="M330">
        <v>0</v>
      </c>
      <c r="N330">
        <v>0.14763999999999999</v>
      </c>
      <c r="O330" t="s">
        <v>74</v>
      </c>
      <c r="P330">
        <v>0</v>
      </c>
      <c r="Q330" t="s">
        <v>74</v>
      </c>
      <c r="R330">
        <v>0</v>
      </c>
      <c r="S330" t="s">
        <v>74</v>
      </c>
      <c r="T330">
        <v>0</v>
      </c>
      <c r="U330" t="s">
        <v>74</v>
      </c>
      <c r="V330">
        <v>0</v>
      </c>
      <c r="W330" t="s">
        <v>74</v>
      </c>
      <c r="X330">
        <v>0</v>
      </c>
      <c r="Y330">
        <v>0.14763999999999999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54</v>
      </c>
      <c r="AF330">
        <v>141</v>
      </c>
      <c r="AG330">
        <v>62</v>
      </c>
      <c r="AI330">
        <v>0.025999999999999999</v>
      </c>
      <c r="AK330" t="s">
        <v>598</v>
      </c>
      <c r="AL330" t="s">
        <v>1261</v>
      </c>
      <c r="AM330">
        <v>200000</v>
      </c>
      <c r="AN330" t="s">
        <v>76</v>
      </c>
      <c r="AO330">
        <v>1</v>
      </c>
      <c r="AP330">
        <v>0</v>
      </c>
      <c r="AQ330">
        <v>16666.666666666668</v>
      </c>
      <c r="AR330" t="s">
        <v>1320</v>
      </c>
      <c r="AS330" t="s">
        <v>78</v>
      </c>
      <c r="AX330" t="s">
        <v>79</v>
      </c>
      <c r="AY330" t="s">
        <v>74</v>
      </c>
      <c r="AZ330">
        <v>0</v>
      </c>
      <c r="BA330" t="s">
        <v>74</v>
      </c>
      <c r="BB330">
        <v>0</v>
      </c>
      <c r="BD330">
        <v>0.14763999999999999</v>
      </c>
      <c r="BE330">
        <v>0</v>
      </c>
    </row>
    <row r="331" spans="1:58" ht="12.75">
      <c r="A331" s="2" t="str">
        <f>HYPERLINK("https://ibp.a2mac1.com/costing(costing:projects/details/8191/part/5381536)","Front Park Assist Sensor")</f>
        <v>Front Park Assist Sensor</v>
      </c>
      <c r="B331">
        <v>5381536</v>
      </c>
      <c r="C331">
        <v>5381426</v>
      </c>
      <c r="E331">
        <v>12.06944</v>
      </c>
      <c r="F331">
        <v>0</v>
      </c>
      <c r="G331">
        <v>0</v>
      </c>
      <c r="H331">
        <v>0</v>
      </c>
      <c r="I331" t="s">
        <v>74</v>
      </c>
      <c r="J331">
        <v>0</v>
      </c>
      <c r="K331">
        <v>12.06944</v>
      </c>
      <c r="L331">
        <v>0</v>
      </c>
      <c r="M331">
        <v>0</v>
      </c>
      <c r="N331">
        <v>12.06944</v>
      </c>
      <c r="O331" t="s">
        <v>74</v>
      </c>
      <c r="P331">
        <v>0</v>
      </c>
      <c r="Q331" t="s">
        <v>74</v>
      </c>
      <c r="R331">
        <v>0</v>
      </c>
      <c r="S331" t="s">
        <v>74</v>
      </c>
      <c r="T331">
        <v>0</v>
      </c>
      <c r="U331" t="s">
        <v>74</v>
      </c>
      <c r="V331">
        <v>0</v>
      </c>
      <c r="W331" t="s">
        <v>74</v>
      </c>
      <c r="X331">
        <v>0</v>
      </c>
      <c r="Y331">
        <v>12.06944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34</v>
      </c>
      <c r="AF331">
        <v>28</v>
      </c>
      <c r="AG331">
        <v>37</v>
      </c>
      <c r="AI331">
        <v>0.012999999999999999</v>
      </c>
      <c r="AJ331" t="s">
        <v>685</v>
      </c>
      <c r="AK331" t="s">
        <v>576</v>
      </c>
      <c r="AL331" t="s">
        <v>1306</v>
      </c>
      <c r="AM331">
        <v>800000</v>
      </c>
      <c r="AN331" t="s">
        <v>76</v>
      </c>
      <c r="AO331">
        <v>4</v>
      </c>
      <c r="AP331">
        <v>0</v>
      </c>
      <c r="AQ331">
        <v>66666.666666666672</v>
      </c>
      <c r="AR331" t="s">
        <v>1324</v>
      </c>
      <c r="AS331" t="s">
        <v>78</v>
      </c>
      <c r="AX331" t="s">
        <v>79</v>
      </c>
      <c r="AY331" t="s">
        <v>74</v>
      </c>
      <c r="AZ331">
        <v>0</v>
      </c>
      <c r="BA331" t="s">
        <v>74</v>
      </c>
      <c r="BB331">
        <v>0</v>
      </c>
      <c r="BD331">
        <v>3.01736</v>
      </c>
      <c r="BE331">
        <v>0</v>
      </c>
    </row>
    <row r="332" spans="1:58" ht="12.75">
      <c r="A332" s="2" t="str">
        <f>HYPERLINK("https://ibp.a2mac1.com/costing(costing:projects/details/8191/part/5381537)","Front Park Assist Sensor Support")</f>
        <v>Front Park Assist Sensor Support</v>
      </c>
      <c r="B332">
        <v>5381537</v>
      </c>
      <c r="C332">
        <v>5381426</v>
      </c>
      <c r="E332">
        <v>0.27682000000000001</v>
      </c>
      <c r="F332">
        <v>0</v>
      </c>
      <c r="G332">
        <v>0</v>
      </c>
      <c r="H332">
        <v>0</v>
      </c>
      <c r="I332" t="s">
        <v>74</v>
      </c>
      <c r="J332">
        <v>0</v>
      </c>
      <c r="K332">
        <v>0.27682000000000001</v>
      </c>
      <c r="L332">
        <v>0</v>
      </c>
      <c r="M332">
        <v>0</v>
      </c>
      <c r="N332">
        <v>0.27682000000000001</v>
      </c>
      <c r="O332" t="s">
        <v>74</v>
      </c>
      <c r="P332">
        <v>0</v>
      </c>
      <c r="Q332" t="s">
        <v>74</v>
      </c>
      <c r="R332">
        <v>0</v>
      </c>
      <c r="S332" t="s">
        <v>74</v>
      </c>
      <c r="T332">
        <v>0</v>
      </c>
      <c r="U332" t="s">
        <v>74</v>
      </c>
      <c r="V332">
        <v>0</v>
      </c>
      <c r="W332" t="s">
        <v>74</v>
      </c>
      <c r="X332">
        <v>0</v>
      </c>
      <c r="Y332">
        <v>0.27682000000000001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30</v>
      </c>
      <c r="AF332">
        <v>64</v>
      </c>
      <c r="AG332">
        <v>55</v>
      </c>
      <c r="AI332">
        <v>0.0064999999999999997</v>
      </c>
      <c r="AJ332" t="s">
        <v>1325</v>
      </c>
      <c r="AK332" t="s">
        <v>598</v>
      </c>
      <c r="AL332" t="s">
        <v>728</v>
      </c>
      <c r="AM332">
        <v>400000</v>
      </c>
      <c r="AN332" t="s">
        <v>76</v>
      </c>
      <c r="AO332">
        <v>2</v>
      </c>
      <c r="AP332">
        <v>0</v>
      </c>
      <c r="AQ332">
        <v>33333.333333333336</v>
      </c>
      <c r="AR332" t="s">
        <v>1326</v>
      </c>
      <c r="AS332" t="s">
        <v>78</v>
      </c>
      <c r="AX332" t="s">
        <v>79</v>
      </c>
      <c r="AY332" t="s">
        <v>74</v>
      </c>
      <c r="AZ332">
        <v>0</v>
      </c>
      <c r="BA332" t="s">
        <v>74</v>
      </c>
      <c r="BB332">
        <v>0</v>
      </c>
      <c r="BD332">
        <v>0.13841000000000001</v>
      </c>
      <c r="BE332">
        <v>0</v>
      </c>
    </row>
    <row r="333" spans="1:58" ht="12.75">
      <c r="A333" s="2" t="str">
        <f>HYPERLINK("https://ibp.a2mac1.com/costing(costing:projects/details/8191/part/5381538)","Front Park Assist Sensor Support 2")</f>
        <v>Front Park Assist Sensor Support 2</v>
      </c>
      <c r="B333">
        <v>5381538</v>
      </c>
      <c r="C333">
        <v>5381426</v>
      </c>
      <c r="E333">
        <v>0.27682000000000001</v>
      </c>
      <c r="F333">
        <v>0</v>
      </c>
      <c r="G333">
        <v>0</v>
      </c>
      <c r="H333">
        <v>0</v>
      </c>
      <c r="I333" t="s">
        <v>74</v>
      </c>
      <c r="J333">
        <v>0</v>
      </c>
      <c r="K333">
        <v>0.27682000000000001</v>
      </c>
      <c r="L333">
        <v>0</v>
      </c>
      <c r="M333">
        <v>0</v>
      </c>
      <c r="N333">
        <v>0.27682000000000001</v>
      </c>
      <c r="O333" t="s">
        <v>74</v>
      </c>
      <c r="P333">
        <v>0</v>
      </c>
      <c r="Q333" t="s">
        <v>74</v>
      </c>
      <c r="R333">
        <v>0</v>
      </c>
      <c r="S333" t="s">
        <v>74</v>
      </c>
      <c r="T333">
        <v>0</v>
      </c>
      <c r="U333" t="s">
        <v>74</v>
      </c>
      <c r="V333">
        <v>0</v>
      </c>
      <c r="W333" t="s">
        <v>74</v>
      </c>
      <c r="X333">
        <v>0</v>
      </c>
      <c r="Y333">
        <v>0.27682000000000001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27</v>
      </c>
      <c r="AF333">
        <v>90</v>
      </c>
      <c r="AG333">
        <v>35</v>
      </c>
      <c r="AI333">
        <v>0.0054999999999999997</v>
      </c>
      <c r="AJ333" t="s">
        <v>1325</v>
      </c>
      <c r="AK333" t="s">
        <v>598</v>
      </c>
      <c r="AL333" t="s">
        <v>728</v>
      </c>
      <c r="AM333">
        <v>400000</v>
      </c>
      <c r="AN333" t="s">
        <v>76</v>
      </c>
      <c r="AO333">
        <v>2</v>
      </c>
      <c r="AP333">
        <v>0</v>
      </c>
      <c r="AQ333">
        <v>33333.333333333336</v>
      </c>
      <c r="AR333" t="s">
        <v>1327</v>
      </c>
      <c r="AS333" t="s">
        <v>78</v>
      </c>
      <c r="AX333" t="s">
        <v>79</v>
      </c>
      <c r="AY333" t="s">
        <v>74</v>
      </c>
      <c r="AZ333">
        <v>0</v>
      </c>
      <c r="BA333" t="s">
        <v>74</v>
      </c>
      <c r="BB333">
        <v>0</v>
      </c>
      <c r="BD333">
        <v>0.13841000000000001</v>
      </c>
      <c r="BE333">
        <v>0</v>
      </c>
    </row>
    <row r="334" spans="1:58" ht="12.75">
      <c r="A334" s="2" t="str">
        <f>HYPERLINK("https://ibp.a2mac1.com/costing(costing:projects/details/8191/part/5381721)","Camera Washer Jet")</f>
        <v>Camera Washer Jet</v>
      </c>
      <c r="B334">
        <v>5381721</v>
      </c>
      <c r="C334">
        <v>5381691</v>
      </c>
      <c r="E334">
        <v>0.055359999999999999</v>
      </c>
      <c r="F334">
        <v>0</v>
      </c>
      <c r="G334">
        <v>0</v>
      </c>
      <c r="H334">
        <v>0</v>
      </c>
      <c r="I334" t="s">
        <v>74</v>
      </c>
      <c r="J334">
        <v>0</v>
      </c>
      <c r="K334">
        <v>0.055359999999999999</v>
      </c>
      <c r="L334">
        <v>0</v>
      </c>
      <c r="M334">
        <v>0</v>
      </c>
      <c r="N334">
        <v>0.055359999999999999</v>
      </c>
      <c r="O334" t="s">
        <v>74</v>
      </c>
      <c r="P334">
        <v>0</v>
      </c>
      <c r="Q334" t="s">
        <v>74</v>
      </c>
      <c r="R334">
        <v>0</v>
      </c>
      <c r="S334" t="s">
        <v>74</v>
      </c>
      <c r="T334">
        <v>0</v>
      </c>
      <c r="U334" t="s">
        <v>74</v>
      </c>
      <c r="V334">
        <v>0</v>
      </c>
      <c r="W334" t="s">
        <v>74</v>
      </c>
      <c r="X334">
        <v>0</v>
      </c>
      <c r="Y334">
        <v>0.055359999999999999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59</v>
      </c>
      <c r="AF334">
        <v>21</v>
      </c>
      <c r="AG334">
        <v>153</v>
      </c>
      <c r="AI334">
        <v>0.002</v>
      </c>
      <c r="AJ334" t="s">
        <v>685</v>
      </c>
      <c r="AK334" t="s">
        <v>598</v>
      </c>
      <c r="AL334" t="s">
        <v>1332</v>
      </c>
      <c r="AM334">
        <v>200000</v>
      </c>
      <c r="AN334" t="s">
        <v>76</v>
      </c>
      <c r="AO334">
        <v>1</v>
      </c>
      <c r="AP334">
        <v>0</v>
      </c>
      <c r="AQ334">
        <v>16666.666666666668</v>
      </c>
      <c r="AR334" t="s">
        <v>1333</v>
      </c>
      <c r="AS334" t="s">
        <v>78</v>
      </c>
      <c r="AX334" t="s">
        <v>79</v>
      </c>
      <c r="AY334" t="s">
        <v>74</v>
      </c>
      <c r="AZ334">
        <v>0</v>
      </c>
      <c r="BA334" t="s">
        <v>74</v>
      </c>
      <c r="BB334">
        <v>0</v>
      </c>
      <c r="BD334">
        <v>0.055359999999999999</v>
      </c>
      <c r="BE334">
        <v>0</v>
      </c>
    </row>
    <row r="335" spans="1:58" ht="12.75">
      <c r="A335" s="2" t="str">
        <f>HYPERLINK("https://ibp.a2mac1.com/costing(costing:projects/details/8191/part/5381690)","Rear Camera")</f>
        <v>Rear Camera</v>
      </c>
      <c r="B335">
        <v>5381690</v>
      </c>
      <c r="C335">
        <v>5381544</v>
      </c>
      <c r="E335">
        <v>0</v>
      </c>
      <c r="F335">
        <v>20.64066313809505</v>
      </c>
      <c r="G335">
        <v>0</v>
      </c>
      <c r="H335">
        <v>0</v>
      </c>
      <c r="I335" t="s">
        <v>137</v>
      </c>
      <c r="J335">
        <v>0</v>
      </c>
      <c r="K335">
        <v>21.363086347928377</v>
      </c>
      <c r="L335">
        <v>0.99298750882072473</v>
      </c>
      <c r="M335">
        <v>3.4754562808725367</v>
      </c>
      <c r="N335">
        <v>24.838542628800916</v>
      </c>
      <c r="O335" t="s">
        <v>138</v>
      </c>
      <c r="P335">
        <v>1.2817851808757026</v>
      </c>
      <c r="Q335" t="s">
        <v>138</v>
      </c>
      <c r="R335">
        <v>0.20852737685235218</v>
      </c>
      <c r="S335" t="s">
        <v>139</v>
      </c>
      <c r="T335">
        <v>2.9806251154561099</v>
      </c>
      <c r="U335" t="s">
        <v>90</v>
      </c>
      <c r="V335">
        <v>0</v>
      </c>
      <c r="W335" t="s">
        <v>90</v>
      </c>
      <c r="X335">
        <v>0</v>
      </c>
      <c r="Y335">
        <v>29.309480301985079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47</v>
      </c>
      <c r="AF335">
        <v>27</v>
      </c>
      <c r="AG335">
        <v>24</v>
      </c>
      <c r="AI335">
        <v>0.029000000000000001</v>
      </c>
      <c r="AJ335" t="s">
        <v>685</v>
      </c>
      <c r="AK335" t="s">
        <v>576</v>
      </c>
      <c r="AL335" t="s">
        <v>1337</v>
      </c>
      <c r="AM335">
        <v>200000</v>
      </c>
      <c r="AN335" t="s">
        <v>76</v>
      </c>
      <c r="AO335">
        <v>1</v>
      </c>
      <c r="AP335">
        <v>0</v>
      </c>
      <c r="AQ335">
        <v>16666.666666666668</v>
      </c>
      <c r="AR335" t="s">
        <v>1338</v>
      </c>
      <c r="AS335" t="s">
        <v>78</v>
      </c>
      <c r="AX335" t="s">
        <v>79</v>
      </c>
      <c r="AY335" t="s">
        <v>137</v>
      </c>
      <c r="AZ335">
        <v>0.72242320983332675</v>
      </c>
      <c r="BA335" t="s">
        <v>137</v>
      </c>
      <c r="BB335">
        <v>0</v>
      </c>
      <c r="BE335">
        <v>0</v>
      </c>
    </row>
    <row r="336" spans="1:58" ht="12.75">
      <c r="A336" s="2" t="str">
        <f>HYPERLINK("https://ibp.a2mac1.com/costing(costing:projects/details/8191/part/5381539)","Parking Assist ECU")</f>
        <v>Parking Assist ECU</v>
      </c>
      <c r="B336">
        <v>5381539</v>
      </c>
      <c r="C336">
        <v>5381427</v>
      </c>
      <c r="E336">
        <v>0</v>
      </c>
      <c r="F336">
        <v>8.0540167986315563</v>
      </c>
      <c r="G336">
        <v>0</v>
      </c>
      <c r="H336">
        <v>0</v>
      </c>
      <c r="I336" t="s">
        <v>137</v>
      </c>
      <c r="J336">
        <v>0</v>
      </c>
      <c r="K336">
        <v>8.3359073865836599</v>
      </c>
      <c r="L336">
        <v>0.22652561365618315</v>
      </c>
      <c r="M336">
        <v>0.79283964779664107</v>
      </c>
      <c r="N336">
        <v>9.1287470343803019</v>
      </c>
      <c r="O336" t="s">
        <v>138</v>
      </c>
      <c r="P336">
        <v>0.50015444319501967</v>
      </c>
      <c r="Q336" t="s">
        <v>138</v>
      </c>
      <c r="R336">
        <v>0.047570378867798462</v>
      </c>
      <c r="S336" t="s">
        <v>139</v>
      </c>
      <c r="T336">
        <v>1.0954496441256361</v>
      </c>
      <c r="U336" t="s">
        <v>90</v>
      </c>
      <c r="V336">
        <v>0</v>
      </c>
      <c r="W336" t="s">
        <v>90</v>
      </c>
      <c r="X336">
        <v>0</v>
      </c>
      <c r="Y336">
        <v>10.771921500568755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26</v>
      </c>
      <c r="AF336">
        <v>122</v>
      </c>
      <c r="AG336">
        <v>70</v>
      </c>
      <c r="AI336">
        <v>0.058000000000000003</v>
      </c>
      <c r="AJ336" t="s">
        <v>1342</v>
      </c>
      <c r="AK336" t="s">
        <v>576</v>
      </c>
      <c r="AL336" t="s">
        <v>1219</v>
      </c>
      <c r="AM336">
        <v>200000</v>
      </c>
      <c r="AN336" t="s">
        <v>76</v>
      </c>
      <c r="AO336">
        <v>1</v>
      </c>
      <c r="AP336">
        <v>0</v>
      </c>
      <c r="AQ336">
        <v>16666.666666666668</v>
      </c>
      <c r="AR336" t="s">
        <v>1343</v>
      </c>
      <c r="AS336" t="s">
        <v>78</v>
      </c>
      <c r="AX336" t="s">
        <v>79</v>
      </c>
      <c r="AY336" t="s">
        <v>137</v>
      </c>
      <c r="AZ336">
        <v>0.28189058795210448</v>
      </c>
      <c r="BA336" t="s">
        <v>137</v>
      </c>
      <c r="BB336">
        <v>0</v>
      </c>
      <c r="BE336">
        <v>0</v>
      </c>
    </row>
    <row r="337" spans="1:58" ht="12.75">
      <c r="A337" s="2" t="str">
        <f>HYPERLINK("https://ibp.a2mac1.com/costing(costing:projects/details/8191/part/5381540)","Rear Park Assist Sensor")</f>
        <v>Rear Park Assist Sensor</v>
      </c>
      <c r="B337">
        <v>5381540</v>
      </c>
      <c r="C337">
        <v>5381427</v>
      </c>
      <c r="E337">
        <v>11.921799999999999</v>
      </c>
      <c r="F337">
        <v>0</v>
      </c>
      <c r="G337">
        <v>0</v>
      </c>
      <c r="H337">
        <v>0</v>
      </c>
      <c r="I337" t="s">
        <v>74</v>
      </c>
      <c r="J337">
        <v>0</v>
      </c>
      <c r="K337">
        <v>11.921799999999999</v>
      </c>
      <c r="L337">
        <v>0</v>
      </c>
      <c r="M337">
        <v>0</v>
      </c>
      <c r="N337">
        <v>11.921799999999999</v>
      </c>
      <c r="O337" t="s">
        <v>74</v>
      </c>
      <c r="P337">
        <v>0</v>
      </c>
      <c r="Q337" t="s">
        <v>74</v>
      </c>
      <c r="R337">
        <v>0</v>
      </c>
      <c r="S337" t="s">
        <v>74</v>
      </c>
      <c r="T337">
        <v>0</v>
      </c>
      <c r="U337" t="s">
        <v>74</v>
      </c>
      <c r="V337">
        <v>0</v>
      </c>
      <c r="W337" t="s">
        <v>74</v>
      </c>
      <c r="X337">
        <v>0</v>
      </c>
      <c r="Y337">
        <v>11.921799999999999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35</v>
      </c>
      <c r="AF337">
        <v>28</v>
      </c>
      <c r="AG337">
        <v>37</v>
      </c>
      <c r="AI337">
        <v>0.01325</v>
      </c>
      <c r="AJ337" t="s">
        <v>1342</v>
      </c>
      <c r="AK337" t="s">
        <v>576</v>
      </c>
      <c r="AL337" t="s">
        <v>1219</v>
      </c>
      <c r="AM337">
        <v>800000</v>
      </c>
      <c r="AN337" t="s">
        <v>76</v>
      </c>
      <c r="AO337">
        <v>4</v>
      </c>
      <c r="AP337">
        <v>0</v>
      </c>
      <c r="AQ337">
        <v>66666.666666666672</v>
      </c>
      <c r="AR337" t="s">
        <v>1344</v>
      </c>
      <c r="AS337" t="s">
        <v>78</v>
      </c>
      <c r="AX337" t="s">
        <v>79</v>
      </c>
      <c r="AY337" t="s">
        <v>74</v>
      </c>
      <c r="AZ337">
        <v>0</v>
      </c>
      <c r="BA337" t="s">
        <v>74</v>
      </c>
      <c r="BB337">
        <v>0</v>
      </c>
      <c r="BD337">
        <v>2.9804499999999998</v>
      </c>
      <c r="BE337">
        <v>0</v>
      </c>
    </row>
    <row r="338" spans="1:58" ht="12.75">
      <c r="A338" s="2" t="str">
        <f>HYPERLINK("https://ibp.a2mac1.com/costing(costing:projects/details/8191/part/5381541)","Rear Park Assist Sensor Support")</f>
        <v>Rear Park Assist Sensor Support</v>
      </c>
      <c r="B338">
        <v>5381541</v>
      </c>
      <c r="C338">
        <v>5381427</v>
      </c>
      <c r="E338">
        <v>0.27682000000000001</v>
      </c>
      <c r="F338">
        <v>0</v>
      </c>
      <c r="G338">
        <v>0</v>
      </c>
      <c r="H338">
        <v>0</v>
      </c>
      <c r="I338" t="s">
        <v>74</v>
      </c>
      <c r="J338">
        <v>0</v>
      </c>
      <c r="K338">
        <v>0.27682000000000001</v>
      </c>
      <c r="L338">
        <v>0</v>
      </c>
      <c r="M338">
        <v>0</v>
      </c>
      <c r="N338">
        <v>0.27682000000000001</v>
      </c>
      <c r="O338" t="s">
        <v>74</v>
      </c>
      <c r="P338">
        <v>0</v>
      </c>
      <c r="Q338" t="s">
        <v>74</v>
      </c>
      <c r="R338">
        <v>0</v>
      </c>
      <c r="S338" t="s">
        <v>74</v>
      </c>
      <c r="T338">
        <v>0</v>
      </c>
      <c r="U338" t="s">
        <v>74</v>
      </c>
      <c r="V338">
        <v>0</v>
      </c>
      <c r="W338" t="s">
        <v>74</v>
      </c>
      <c r="X338">
        <v>0</v>
      </c>
      <c r="Y338">
        <v>0.27682000000000001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26</v>
      </c>
      <c r="AF338">
        <v>64</v>
      </c>
      <c r="AG338">
        <v>37</v>
      </c>
      <c r="AI338">
        <v>0.005</v>
      </c>
      <c r="AJ338" t="s">
        <v>685</v>
      </c>
      <c r="AK338" t="s">
        <v>598</v>
      </c>
      <c r="AL338" t="s">
        <v>1345</v>
      </c>
      <c r="AM338">
        <v>400000</v>
      </c>
      <c r="AN338" t="s">
        <v>76</v>
      </c>
      <c r="AO338">
        <v>2</v>
      </c>
      <c r="AP338">
        <v>0</v>
      </c>
      <c r="AQ338">
        <v>33333.333333333336</v>
      </c>
      <c r="AR338" t="s">
        <v>1346</v>
      </c>
      <c r="AS338" t="s">
        <v>78</v>
      </c>
      <c r="AX338" t="s">
        <v>79</v>
      </c>
      <c r="AY338" t="s">
        <v>74</v>
      </c>
      <c r="AZ338">
        <v>0</v>
      </c>
      <c r="BA338" t="s">
        <v>74</v>
      </c>
      <c r="BB338">
        <v>0</v>
      </c>
      <c r="BD338">
        <v>0.13841000000000001</v>
      </c>
      <c r="BE338">
        <v>0</v>
      </c>
    </row>
    <row r="339" spans="1:58" ht="12.75">
      <c r="A339" s="2" t="str">
        <f>HYPERLINK("https://ibp.a2mac1.com/costing(costing:projects/details/8191/part/5381542)","Rear Park Assist Sensor Support 2")</f>
        <v>Rear Park Assist Sensor Support 2</v>
      </c>
      <c r="B339">
        <v>5381542</v>
      </c>
      <c r="C339">
        <v>5381427</v>
      </c>
      <c r="E339">
        <v>0.27682000000000001</v>
      </c>
      <c r="F339">
        <v>0</v>
      </c>
      <c r="G339">
        <v>0</v>
      </c>
      <c r="H339">
        <v>0</v>
      </c>
      <c r="I339" t="s">
        <v>74</v>
      </c>
      <c r="J339">
        <v>0</v>
      </c>
      <c r="K339">
        <v>0.27682000000000001</v>
      </c>
      <c r="L339">
        <v>0</v>
      </c>
      <c r="M339">
        <v>0</v>
      </c>
      <c r="N339">
        <v>0.27682000000000001</v>
      </c>
      <c r="O339" t="s">
        <v>74</v>
      </c>
      <c r="P339">
        <v>0</v>
      </c>
      <c r="Q339" t="s">
        <v>74</v>
      </c>
      <c r="R339">
        <v>0</v>
      </c>
      <c r="S339" t="s">
        <v>74</v>
      </c>
      <c r="T339">
        <v>0</v>
      </c>
      <c r="U339" t="s">
        <v>74</v>
      </c>
      <c r="V339">
        <v>0</v>
      </c>
      <c r="W339" t="s">
        <v>74</v>
      </c>
      <c r="X339">
        <v>0</v>
      </c>
      <c r="Y339">
        <v>0.27682000000000001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27</v>
      </c>
      <c r="AF339">
        <v>64</v>
      </c>
      <c r="AG339">
        <v>34</v>
      </c>
      <c r="AI339">
        <v>0.005</v>
      </c>
      <c r="AJ339" t="s">
        <v>1325</v>
      </c>
      <c r="AK339" t="s">
        <v>598</v>
      </c>
      <c r="AL339" t="s">
        <v>1345</v>
      </c>
      <c r="AM339">
        <v>400000</v>
      </c>
      <c r="AN339" t="s">
        <v>76</v>
      </c>
      <c r="AO339">
        <v>2</v>
      </c>
      <c r="AP339">
        <v>0</v>
      </c>
      <c r="AQ339">
        <v>33333.333333333336</v>
      </c>
      <c r="AR339" t="s">
        <v>1347</v>
      </c>
      <c r="AS339" t="s">
        <v>78</v>
      </c>
      <c r="AX339" t="s">
        <v>79</v>
      </c>
      <c r="AY339" t="s">
        <v>74</v>
      </c>
      <c r="AZ339">
        <v>0</v>
      </c>
      <c r="BA339" t="s">
        <v>74</v>
      </c>
      <c r="BB339">
        <v>0</v>
      </c>
      <c r="BD339">
        <v>0.13841000000000001</v>
      </c>
      <c r="BE339">
        <v>0</v>
      </c>
    </row>
    <row r="340" spans="1:58" ht="12.75">
      <c r="A340" s="2" t="str">
        <f>HYPERLINK("https://ibp.a2mac1.com/costing(costing:projects/details/8191/part/5381543)","Rear Buzzer")</f>
        <v>Rear Buzzer</v>
      </c>
      <c r="B340">
        <v>5381543</v>
      </c>
      <c r="C340">
        <v>5381427</v>
      </c>
      <c r="E340">
        <v>2.9158599999999999</v>
      </c>
      <c r="F340">
        <v>0</v>
      </c>
      <c r="G340">
        <v>0</v>
      </c>
      <c r="H340">
        <v>0</v>
      </c>
      <c r="I340" t="s">
        <v>74</v>
      </c>
      <c r="J340">
        <v>0</v>
      </c>
      <c r="K340">
        <v>2.9158599999999999</v>
      </c>
      <c r="L340">
        <v>0</v>
      </c>
      <c r="M340">
        <v>0</v>
      </c>
      <c r="N340">
        <v>2.9158599999999999</v>
      </c>
      <c r="O340" t="s">
        <v>74</v>
      </c>
      <c r="P340">
        <v>0</v>
      </c>
      <c r="Q340" t="s">
        <v>74</v>
      </c>
      <c r="R340">
        <v>0</v>
      </c>
      <c r="S340" t="s">
        <v>74</v>
      </c>
      <c r="T340">
        <v>0</v>
      </c>
      <c r="U340" t="s">
        <v>74</v>
      </c>
      <c r="V340">
        <v>0</v>
      </c>
      <c r="W340" t="s">
        <v>74</v>
      </c>
      <c r="X340">
        <v>0</v>
      </c>
      <c r="Y340">
        <v>2.9158599999999999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13</v>
      </c>
      <c r="AF340">
        <v>77</v>
      </c>
      <c r="AG340">
        <v>42</v>
      </c>
      <c r="AI340">
        <v>0.012999999999999999</v>
      </c>
      <c r="AJ340" t="s">
        <v>1348</v>
      </c>
      <c r="AK340" t="s">
        <v>686</v>
      </c>
      <c r="AL340" t="s">
        <v>1219</v>
      </c>
      <c r="AM340">
        <v>200000</v>
      </c>
      <c r="AN340" t="s">
        <v>76</v>
      </c>
      <c r="AO340">
        <v>1</v>
      </c>
      <c r="AP340">
        <v>0</v>
      </c>
      <c r="AQ340">
        <v>16666.666666666668</v>
      </c>
      <c r="AR340" t="s">
        <v>1349</v>
      </c>
      <c r="AS340" t="s">
        <v>78</v>
      </c>
      <c r="AX340" t="s">
        <v>79</v>
      </c>
      <c r="AY340" t="s">
        <v>74</v>
      </c>
      <c r="AZ340">
        <v>0</v>
      </c>
      <c r="BA340" t="s">
        <v>74</v>
      </c>
      <c r="BB340">
        <v>0</v>
      </c>
      <c r="BD340">
        <v>2.9158599999999999</v>
      </c>
      <c r="BE340">
        <v>0</v>
      </c>
    </row>
    <row r="341" spans="1:58" ht="12.75">
      <c r="A341" s="2" t="str">
        <f>HYPERLINK("https://ibp.a2mac1.com/costing(costing:projects/details/8191/part/5381428)","Distance Control Radar")</f>
        <v>Distance Control Radar</v>
      </c>
      <c r="B341">
        <v>5381428</v>
      </c>
      <c r="C341">
        <v>5381316</v>
      </c>
      <c r="E341">
        <v>0</v>
      </c>
      <c r="F341">
        <v>26.278021952062335</v>
      </c>
      <c r="G341">
        <v>0</v>
      </c>
      <c r="H341">
        <v>0</v>
      </c>
      <c r="I341" t="s">
        <v>137</v>
      </c>
      <c r="J341">
        <v>0</v>
      </c>
      <c r="K341">
        <v>27.197752720384518</v>
      </c>
      <c r="L341">
        <v>1.3125603598755531</v>
      </c>
      <c r="M341">
        <v>4.5939612595644359</v>
      </c>
      <c r="N341">
        <v>31.791713979948952</v>
      </c>
      <c r="O341" t="s">
        <v>138</v>
      </c>
      <c r="P341">
        <v>1.631865163223071</v>
      </c>
      <c r="Q341" t="s">
        <v>138</v>
      </c>
      <c r="R341">
        <v>0.27563767557386615</v>
      </c>
      <c r="S341" t="s">
        <v>139</v>
      </c>
      <c r="T341">
        <v>3.8150056775938745</v>
      </c>
      <c r="U341" t="s">
        <v>90</v>
      </c>
      <c r="V341">
        <v>0</v>
      </c>
      <c r="W341" t="s">
        <v>90</v>
      </c>
      <c r="X341">
        <v>0</v>
      </c>
      <c r="Y341">
        <v>37.514222496339762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36</v>
      </c>
      <c r="AF341">
        <v>83</v>
      </c>
      <c r="AG341">
        <v>69</v>
      </c>
      <c r="AI341">
        <v>0.13200000000000001</v>
      </c>
      <c r="AJ341" t="s">
        <v>1355</v>
      </c>
      <c r="AK341" t="s">
        <v>576</v>
      </c>
      <c r="AL341" t="s">
        <v>1356</v>
      </c>
      <c r="AM341">
        <v>200000</v>
      </c>
      <c r="AN341" t="s">
        <v>76</v>
      </c>
      <c r="AO341">
        <v>1</v>
      </c>
      <c r="AP341">
        <v>0</v>
      </c>
      <c r="AQ341">
        <v>16666.666666666668</v>
      </c>
      <c r="AR341" t="s">
        <v>1357</v>
      </c>
      <c r="AS341" t="s">
        <v>78</v>
      </c>
      <c r="AX341" t="s">
        <v>79</v>
      </c>
      <c r="AY341" t="s">
        <v>137</v>
      </c>
      <c r="AZ341">
        <v>0.9197307683221817</v>
      </c>
      <c r="BA341" t="s">
        <v>137</v>
      </c>
      <c r="BB341">
        <v>0</v>
      </c>
      <c r="BE341">
        <v>0</v>
      </c>
    </row>
    <row r="342" spans="1:58" ht="12.75">
      <c r="A342" s="2" t="str">
        <f>HYPERLINK("https://ibp.a2mac1.com/costing(costing:projects/details/8191/part/5381429)","Distance Control Radar Support")</f>
        <v>Distance Control Radar Support</v>
      </c>
      <c r="B342">
        <v>5381429</v>
      </c>
      <c r="C342">
        <v>5381316</v>
      </c>
      <c r="E342">
        <v>0.13841000000000001</v>
      </c>
      <c r="F342">
        <v>0</v>
      </c>
      <c r="G342">
        <v>0</v>
      </c>
      <c r="H342">
        <v>0</v>
      </c>
      <c r="I342" t="s">
        <v>74</v>
      </c>
      <c r="J342">
        <v>0</v>
      </c>
      <c r="K342">
        <v>0.13841000000000001</v>
      </c>
      <c r="L342">
        <v>0</v>
      </c>
      <c r="M342">
        <v>0</v>
      </c>
      <c r="N342">
        <v>0.13841000000000001</v>
      </c>
      <c r="O342" t="s">
        <v>74</v>
      </c>
      <c r="P342">
        <v>0</v>
      </c>
      <c r="Q342" t="s">
        <v>74</v>
      </c>
      <c r="R342">
        <v>0</v>
      </c>
      <c r="S342" t="s">
        <v>74</v>
      </c>
      <c r="T342">
        <v>0</v>
      </c>
      <c r="U342" t="s">
        <v>74</v>
      </c>
      <c r="V342">
        <v>0</v>
      </c>
      <c r="W342" t="s">
        <v>74</v>
      </c>
      <c r="X342">
        <v>0</v>
      </c>
      <c r="Y342">
        <v>0.13841000000000001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29</v>
      </c>
      <c r="AF342">
        <v>157</v>
      </c>
      <c r="AG342">
        <v>86</v>
      </c>
      <c r="AI342">
        <v>0.035</v>
      </c>
      <c r="AJ342" t="s">
        <v>1325</v>
      </c>
      <c r="AK342" t="s">
        <v>598</v>
      </c>
      <c r="AL342" t="s">
        <v>1288</v>
      </c>
      <c r="AM342">
        <v>200000</v>
      </c>
      <c r="AN342" t="s">
        <v>76</v>
      </c>
      <c r="AO342">
        <v>1</v>
      </c>
      <c r="AP342">
        <v>0</v>
      </c>
      <c r="AQ342">
        <v>16666.666666666668</v>
      </c>
      <c r="AR342" t="s">
        <v>1358</v>
      </c>
      <c r="AS342" t="s">
        <v>78</v>
      </c>
      <c r="AX342" t="s">
        <v>79</v>
      </c>
      <c r="AY342" t="s">
        <v>74</v>
      </c>
      <c r="AZ342">
        <v>0</v>
      </c>
      <c r="BA342" t="s">
        <v>74</v>
      </c>
      <c r="BB342">
        <v>0</v>
      </c>
      <c r="BD342">
        <v>0.13841000000000001</v>
      </c>
      <c r="BE342">
        <v>0</v>
      </c>
    </row>
    <row r="343" spans="1:58" ht="12.75">
      <c r="A343" s="2" t="str">
        <f>HYPERLINK("https://ibp.a2mac1.com/costing(costing:projects/details/8191/part/5381471)","Lane Assist Camera")</f>
        <v>Lane Assist Camera</v>
      </c>
      <c r="B343">
        <v>5381471</v>
      </c>
      <c r="C343">
        <v>5381317</v>
      </c>
      <c r="E343">
        <v>0</v>
      </c>
      <c r="F343">
        <v>68.816898177887239</v>
      </c>
      <c r="G343">
        <v>0</v>
      </c>
      <c r="H343">
        <v>0</v>
      </c>
      <c r="I343" t="s">
        <v>137</v>
      </c>
      <c r="J343">
        <v>0</v>
      </c>
      <c r="K343">
        <v>71.225489614113286</v>
      </c>
      <c r="L343">
        <v>3.3098906789682307</v>
      </c>
      <c r="M343">
        <v>11.584617376388808</v>
      </c>
      <c r="N343">
        <v>82.810106990502092</v>
      </c>
      <c r="O343" t="s">
        <v>138</v>
      </c>
      <c r="P343">
        <v>4.2735293768467972</v>
      </c>
      <c r="Q343" t="s">
        <v>138</v>
      </c>
      <c r="R343">
        <v>0.69507704258332847</v>
      </c>
      <c r="S343" t="s">
        <v>139</v>
      </c>
      <c r="T343">
        <v>9.9372128388602512</v>
      </c>
      <c r="U343" t="s">
        <v>90</v>
      </c>
      <c r="V343">
        <v>0</v>
      </c>
      <c r="W343" t="s">
        <v>90</v>
      </c>
      <c r="X343">
        <v>0</v>
      </c>
      <c r="Y343">
        <v>97.715926248792471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72</v>
      </c>
      <c r="AF343">
        <v>110</v>
      </c>
      <c r="AG343">
        <v>32</v>
      </c>
      <c r="AI343">
        <v>0.153</v>
      </c>
      <c r="AJ343" t="s">
        <v>1348</v>
      </c>
      <c r="AK343" t="s">
        <v>576</v>
      </c>
      <c r="AM343">
        <v>200000</v>
      </c>
      <c r="AN343" t="s">
        <v>76</v>
      </c>
      <c r="AO343">
        <v>1</v>
      </c>
      <c r="AP343">
        <v>0</v>
      </c>
      <c r="AQ343">
        <v>16666.666666666668</v>
      </c>
      <c r="AR343" t="s">
        <v>1363</v>
      </c>
      <c r="AS343" t="s">
        <v>78</v>
      </c>
      <c r="AX343" t="s">
        <v>79</v>
      </c>
      <c r="AY343" t="s">
        <v>137</v>
      </c>
      <c r="AZ343">
        <v>2.408591436226053</v>
      </c>
      <c r="BA343" t="s">
        <v>137</v>
      </c>
      <c r="BB343">
        <v>0</v>
      </c>
      <c r="BE343">
        <v>0</v>
      </c>
    </row>
    <row r="344" spans="1:58" ht="12.75">
      <c r="A344" s="2" t="str">
        <f>HYPERLINK("https://ibp.a2mac1.com/costing(costing:projects/details/8191/part/5381473)","Blind Spot Detection Radar Support")</f>
        <v>Blind Spot Detection Radar Support</v>
      </c>
      <c r="B344">
        <v>5381473</v>
      </c>
      <c r="C344">
        <v>5381318</v>
      </c>
      <c r="E344">
        <v>0.92274</v>
      </c>
      <c r="F344">
        <v>0</v>
      </c>
      <c r="G344">
        <v>0</v>
      </c>
      <c r="H344">
        <v>0</v>
      </c>
      <c r="I344" t="s">
        <v>74</v>
      </c>
      <c r="J344">
        <v>0</v>
      </c>
      <c r="K344">
        <v>0.92274</v>
      </c>
      <c r="L344">
        <v>0</v>
      </c>
      <c r="M344">
        <v>0</v>
      </c>
      <c r="N344">
        <v>0.92274</v>
      </c>
      <c r="O344" t="s">
        <v>74</v>
      </c>
      <c r="P344">
        <v>0</v>
      </c>
      <c r="Q344" t="s">
        <v>74</v>
      </c>
      <c r="R344">
        <v>0</v>
      </c>
      <c r="S344" t="s">
        <v>74</v>
      </c>
      <c r="T344">
        <v>0</v>
      </c>
      <c r="U344" t="s">
        <v>74</v>
      </c>
      <c r="V344">
        <v>0</v>
      </c>
      <c r="W344" t="s">
        <v>74</v>
      </c>
      <c r="X344">
        <v>0</v>
      </c>
      <c r="Y344">
        <v>0.92274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116</v>
      </c>
      <c r="AF344">
        <v>260</v>
      </c>
      <c r="AG344">
        <v>215</v>
      </c>
      <c r="AI344">
        <v>0.13100000000000001</v>
      </c>
      <c r="AJ344" t="s">
        <v>685</v>
      </c>
      <c r="AK344" t="s">
        <v>598</v>
      </c>
      <c r="AL344" t="s">
        <v>1261</v>
      </c>
      <c r="AM344">
        <v>400000</v>
      </c>
      <c r="AN344" t="s">
        <v>76</v>
      </c>
      <c r="AO344">
        <v>2</v>
      </c>
      <c r="AP344">
        <v>0</v>
      </c>
      <c r="AQ344">
        <v>33333.333333333336</v>
      </c>
      <c r="AR344" t="s">
        <v>1369</v>
      </c>
      <c r="AS344" t="s">
        <v>78</v>
      </c>
      <c r="AX344" t="s">
        <v>79</v>
      </c>
      <c r="AY344" t="s">
        <v>74</v>
      </c>
      <c r="AZ344">
        <v>0</v>
      </c>
      <c r="BA344" t="s">
        <v>74</v>
      </c>
      <c r="BB344">
        <v>0</v>
      </c>
      <c r="BD344">
        <v>0.46137</v>
      </c>
      <c r="BE344">
        <v>0</v>
      </c>
    </row>
    <row r="345" spans="1:58" ht="12.75">
      <c r="A345" s="2" t="str">
        <f>HYPERLINK("https://ibp.a2mac1.com/costing(costing:projects/details/8191/part/5381474)","Receiver")</f>
        <v>Receiver</v>
      </c>
      <c r="B345">
        <v>5381474</v>
      </c>
      <c r="C345">
        <v>5381319</v>
      </c>
      <c r="E345">
        <v>0</v>
      </c>
      <c r="F345">
        <v>0</v>
      </c>
      <c r="G345">
        <v>0</v>
      </c>
      <c r="H345">
        <v>0</v>
      </c>
      <c r="I345" t="s">
        <v>137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138</v>
      </c>
      <c r="P345">
        <v>0</v>
      </c>
      <c r="Q345" t="s">
        <v>138</v>
      </c>
      <c r="R345">
        <v>0</v>
      </c>
      <c r="S345" t="s">
        <v>139</v>
      </c>
      <c r="T345">
        <v>0</v>
      </c>
      <c r="U345" t="s">
        <v>90</v>
      </c>
      <c r="V345">
        <v>0</v>
      </c>
      <c r="W345" t="s">
        <v>90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100</v>
      </c>
      <c r="AF345">
        <v>140</v>
      </c>
      <c r="AG345">
        <v>117</v>
      </c>
      <c r="AI345">
        <v>1.8759999999999999</v>
      </c>
      <c r="AJ345" t="s">
        <v>685</v>
      </c>
      <c r="AK345" t="s">
        <v>598</v>
      </c>
      <c r="AL345" t="s">
        <v>720</v>
      </c>
      <c r="AM345">
        <v>200000</v>
      </c>
      <c r="AN345" t="s">
        <v>76</v>
      </c>
      <c r="AO345">
        <v>1</v>
      </c>
      <c r="AP345">
        <v>0</v>
      </c>
      <c r="AQ345">
        <v>16666.666666666668</v>
      </c>
      <c r="AR345" t="s">
        <v>1373</v>
      </c>
      <c r="AS345" t="s">
        <v>78</v>
      </c>
      <c r="AX345" t="s">
        <v>79</v>
      </c>
      <c r="AY345" t="s">
        <v>137</v>
      </c>
      <c r="AZ345">
        <v>0</v>
      </c>
      <c r="BA345" t="s">
        <v>137</v>
      </c>
      <c r="BB345">
        <v>0</v>
      </c>
      <c r="BE345">
        <v>0</v>
      </c>
    </row>
    <row r="346" spans="1:58" ht="12.75">
      <c r="A346" s="2" t="str">
        <f>HYPERLINK("https://ibp.a2mac1.com/costing(costing:projects/details/8191/part/5381475)","Protection")</f>
        <v>Protection</v>
      </c>
      <c r="B346">
        <v>5381475</v>
      </c>
      <c r="C346">
        <v>5381319</v>
      </c>
      <c r="E346">
        <v>0.048873699</v>
      </c>
      <c r="F346">
        <v>0</v>
      </c>
      <c r="G346">
        <v>0</v>
      </c>
      <c r="H346">
        <v>0.00024792071873684212</v>
      </c>
      <c r="I346" t="s">
        <v>137</v>
      </c>
      <c r="J346">
        <v>0.0017148666315789473</v>
      </c>
      <c r="K346">
        <v>0.05083648635031579</v>
      </c>
      <c r="L346">
        <v>0.0012533536800383852</v>
      </c>
      <c r="M346">
        <v>0.0075201220802303117</v>
      </c>
      <c r="N346">
        <v>0.058356608430546103</v>
      </c>
      <c r="O346" t="s">
        <v>138</v>
      </c>
      <c r="P346">
        <v>0.0030501891810189473</v>
      </c>
      <c r="Q346" t="s">
        <v>138</v>
      </c>
      <c r="R346">
        <v>0.00045120732481381871</v>
      </c>
      <c r="S346" t="s">
        <v>139</v>
      </c>
      <c r="T346">
        <v>0.0070027930116655325</v>
      </c>
      <c r="U346" t="s">
        <v>90</v>
      </c>
      <c r="V346">
        <v>0</v>
      </c>
      <c r="W346" t="s">
        <v>90</v>
      </c>
      <c r="X346">
        <v>0</v>
      </c>
      <c r="Y346">
        <v>0.068860797948044394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76</v>
      </c>
      <c r="AF346">
        <v>73</v>
      </c>
      <c r="AG346">
        <v>47</v>
      </c>
      <c r="AI346">
        <v>0.027</v>
      </c>
      <c r="AK346" t="s">
        <v>598</v>
      </c>
      <c r="AL346" t="s">
        <v>1261</v>
      </c>
      <c r="AM346">
        <v>200000</v>
      </c>
      <c r="AN346" t="s">
        <v>76</v>
      </c>
      <c r="AO346">
        <v>1</v>
      </c>
      <c r="AP346">
        <v>0</v>
      </c>
      <c r="AQ346">
        <v>16666.666666666668</v>
      </c>
      <c r="AR346" t="s">
        <v>1378</v>
      </c>
      <c r="AS346" t="s">
        <v>78</v>
      </c>
      <c r="AX346" t="s">
        <v>79</v>
      </c>
      <c r="AY346" t="s">
        <v>137</v>
      </c>
      <c r="AZ346">
        <v>0</v>
      </c>
      <c r="BA346" t="s">
        <v>137</v>
      </c>
      <c r="BB346">
        <v>0</v>
      </c>
      <c r="BE346">
        <v>0</v>
      </c>
    </row>
    <row r="347" spans="1:58" ht="12.75">
      <c r="A347" s="2" t="str">
        <f>HYPERLINK("https://ibp.a2mac1.com/costing(costing:projects/details/8191/part/5381476)","Hands Free Trunk Tailgate Release Sensor")</f>
        <v>Hands Free Trunk Tailgate Release Sensor</v>
      </c>
      <c r="B347">
        <v>5381476</v>
      </c>
      <c r="C347">
        <v>5381320</v>
      </c>
      <c r="E347">
        <v>0.92274</v>
      </c>
      <c r="F347">
        <v>0</v>
      </c>
      <c r="G347">
        <v>0</v>
      </c>
      <c r="H347">
        <v>0</v>
      </c>
      <c r="I347" t="s">
        <v>74</v>
      </c>
      <c r="J347">
        <v>0</v>
      </c>
      <c r="K347">
        <v>0.92274</v>
      </c>
      <c r="L347">
        <v>0</v>
      </c>
      <c r="M347">
        <v>0</v>
      </c>
      <c r="N347">
        <v>0.92274</v>
      </c>
      <c r="O347" t="s">
        <v>74</v>
      </c>
      <c r="P347">
        <v>0</v>
      </c>
      <c r="Q347" t="s">
        <v>74</v>
      </c>
      <c r="R347">
        <v>0</v>
      </c>
      <c r="S347" t="s">
        <v>74</v>
      </c>
      <c r="T347">
        <v>0</v>
      </c>
      <c r="U347" t="s">
        <v>74</v>
      </c>
      <c r="V347">
        <v>0</v>
      </c>
      <c r="W347" t="s">
        <v>74</v>
      </c>
      <c r="X347">
        <v>0</v>
      </c>
      <c r="Y347">
        <v>0.92274</v>
      </c>
      <c r="Z347">
        <v>0</v>
      </c>
      <c r="AA347">
        <v>0</v>
      </c>
      <c r="AB347">
        <v>0</v>
      </c>
      <c r="AC347">
        <v>0</v>
      </c>
      <c r="AD347">
        <v>0</v>
      </c>
      <c r="AI347">
        <v>0.114</v>
      </c>
      <c r="AJ347" t="s">
        <v>1381</v>
      </c>
      <c r="AK347" t="s">
        <v>686</v>
      </c>
      <c r="AL347" t="s">
        <v>1382</v>
      </c>
      <c r="AM347">
        <v>200000</v>
      </c>
      <c r="AN347" t="s">
        <v>76</v>
      </c>
      <c r="AO347">
        <v>1</v>
      </c>
      <c r="AP347">
        <v>0</v>
      </c>
      <c r="AQ347">
        <v>16666.666666666668</v>
      </c>
      <c r="AR347" t="s">
        <v>1383</v>
      </c>
      <c r="AS347" t="s">
        <v>78</v>
      </c>
      <c r="AX347" t="s">
        <v>79</v>
      </c>
      <c r="AY347" t="s">
        <v>74</v>
      </c>
      <c r="AZ347">
        <v>0</v>
      </c>
      <c r="BA347" t="s">
        <v>74</v>
      </c>
      <c r="BB347">
        <v>0</v>
      </c>
      <c r="BD347">
        <v>0.92274</v>
      </c>
      <c r="BE347">
        <v>0</v>
      </c>
    </row>
    <row r="348" spans="1:58" ht="12.75">
      <c r="A348" s="2" t="str">
        <f>HYPERLINK("https://ibp.a2mac1.com/costing(costing:projects/details/8191/part/5381477)","Hands Free Trunk Tailgate Release ECU")</f>
        <v>Hands Free Trunk Tailgate Release ECU</v>
      </c>
      <c r="B348">
        <v>5381477</v>
      </c>
      <c r="C348">
        <v>5381320</v>
      </c>
      <c r="E348">
        <v>0</v>
      </c>
      <c r="F348">
        <v>5.6283049977611999</v>
      </c>
      <c r="G348">
        <v>0</v>
      </c>
      <c r="H348">
        <v>0</v>
      </c>
      <c r="I348" t="s">
        <v>137</v>
      </c>
      <c r="J348">
        <v>0</v>
      </c>
      <c r="K348">
        <v>5.8252956726828415</v>
      </c>
      <c r="L348">
        <v>0.27394859394736076</v>
      </c>
      <c r="M348">
        <v>0.9588200788157627</v>
      </c>
      <c r="N348">
        <v>6.7841157514986046</v>
      </c>
      <c r="O348" t="s">
        <v>138</v>
      </c>
      <c r="P348">
        <v>0.3495177403609705</v>
      </c>
      <c r="Q348" t="s">
        <v>138</v>
      </c>
      <c r="R348">
        <v>0.057529204728945758</v>
      </c>
      <c r="S348" t="s">
        <v>139</v>
      </c>
      <c r="T348">
        <v>0.81409389017983247</v>
      </c>
      <c r="U348" t="s">
        <v>90</v>
      </c>
      <c r="V348">
        <v>0</v>
      </c>
      <c r="W348" t="s">
        <v>90</v>
      </c>
      <c r="X348">
        <v>0</v>
      </c>
      <c r="Y348">
        <v>8.0052565867683523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20</v>
      </c>
      <c r="AF348">
        <v>64</v>
      </c>
      <c r="AG348">
        <v>64</v>
      </c>
      <c r="AI348">
        <v>0.036999999999999998</v>
      </c>
      <c r="AJ348" t="s">
        <v>1386</v>
      </c>
      <c r="AK348" t="s">
        <v>576</v>
      </c>
      <c r="AL348" t="s">
        <v>1309</v>
      </c>
      <c r="AM348">
        <v>200000</v>
      </c>
      <c r="AN348" t="s">
        <v>76</v>
      </c>
      <c r="AO348">
        <v>1</v>
      </c>
      <c r="AP348">
        <v>0</v>
      </c>
      <c r="AQ348">
        <v>16666.666666666668</v>
      </c>
      <c r="AR348" t="s">
        <v>1387</v>
      </c>
      <c r="AS348" t="s">
        <v>78</v>
      </c>
      <c r="AX348" t="s">
        <v>79</v>
      </c>
      <c r="AY348" t="s">
        <v>137</v>
      </c>
      <c r="AZ348">
        <v>0.19699067492164199</v>
      </c>
      <c r="BA348" t="s">
        <v>137</v>
      </c>
      <c r="BB348">
        <v>0</v>
      </c>
      <c r="BE348">
        <v>0</v>
      </c>
    </row>
    <row r="349" spans="1:58" ht="12.75">
      <c r="A349" s="2" t="str">
        <f>HYPERLINK("https://ibp.a2mac1.com/costing(costing:projects/details/8191/part/5381478)","Hands Free Trunk Tailgate Release ECU Support")</f>
        <v>Hands Free Trunk Tailgate Release ECU Support</v>
      </c>
      <c r="B349">
        <v>5381478</v>
      </c>
      <c r="C349">
        <v>5381320</v>
      </c>
      <c r="E349">
        <v>0.073819999999999997</v>
      </c>
      <c r="F349">
        <v>0</v>
      </c>
      <c r="G349">
        <v>0</v>
      </c>
      <c r="H349">
        <v>0</v>
      </c>
      <c r="I349" t="s">
        <v>74</v>
      </c>
      <c r="J349">
        <v>0</v>
      </c>
      <c r="K349">
        <v>0.073819999999999997</v>
      </c>
      <c r="L349">
        <v>0</v>
      </c>
      <c r="M349">
        <v>0</v>
      </c>
      <c r="N349">
        <v>0.073819999999999997</v>
      </c>
      <c r="O349" t="s">
        <v>74</v>
      </c>
      <c r="P349">
        <v>0</v>
      </c>
      <c r="Q349" t="s">
        <v>74</v>
      </c>
      <c r="R349">
        <v>0</v>
      </c>
      <c r="S349" t="s">
        <v>74</v>
      </c>
      <c r="T349">
        <v>0</v>
      </c>
      <c r="U349" t="s">
        <v>74</v>
      </c>
      <c r="V349">
        <v>0</v>
      </c>
      <c r="W349" t="s">
        <v>74</v>
      </c>
      <c r="X349">
        <v>0</v>
      </c>
      <c r="Y349">
        <v>0.073819999999999997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17</v>
      </c>
      <c r="AF349">
        <v>70</v>
      </c>
      <c r="AG349">
        <v>74</v>
      </c>
      <c r="AI349">
        <v>0.014</v>
      </c>
      <c r="AJ349" t="s">
        <v>1388</v>
      </c>
      <c r="AK349" t="s">
        <v>598</v>
      </c>
      <c r="AL349" t="s">
        <v>1182</v>
      </c>
      <c r="AM349">
        <v>200000</v>
      </c>
      <c r="AN349" t="s">
        <v>76</v>
      </c>
      <c r="AO349">
        <v>1</v>
      </c>
      <c r="AP349">
        <v>0</v>
      </c>
      <c r="AQ349">
        <v>16666.666666666668</v>
      </c>
      <c r="AR349" t="s">
        <v>1389</v>
      </c>
      <c r="AS349" t="s">
        <v>78</v>
      </c>
      <c r="AX349" t="s">
        <v>79</v>
      </c>
      <c r="AY349" t="s">
        <v>74</v>
      </c>
      <c r="AZ349">
        <v>0</v>
      </c>
      <c r="BA349" t="s">
        <v>74</v>
      </c>
      <c r="BB349">
        <v>0</v>
      </c>
      <c r="BD349">
        <v>0.073819999999999997</v>
      </c>
      <c r="BE349">
        <v>0</v>
      </c>
    </row>
    <row r="350" spans="1:58" ht="12.75">
      <c r="A350" s="2" t="str">
        <f>HYPERLINK("https://ibp.a2mac1.com/costing(costing:projects/details/8191/part/5381480)","Pedestrian Sound Speaker support")</f>
        <v>Pedestrian Sound Speaker support</v>
      </c>
      <c r="B350">
        <v>5381480</v>
      </c>
      <c r="C350">
        <v>5381321</v>
      </c>
      <c r="E350">
        <v>4.1707799999999997</v>
      </c>
      <c r="F350">
        <v>0</v>
      </c>
      <c r="G350">
        <v>0</v>
      </c>
      <c r="H350">
        <v>0</v>
      </c>
      <c r="I350" t="s">
        <v>74</v>
      </c>
      <c r="J350">
        <v>0</v>
      </c>
      <c r="K350">
        <v>4.1707799999999997</v>
      </c>
      <c r="L350">
        <v>0</v>
      </c>
      <c r="M350">
        <v>0</v>
      </c>
      <c r="N350">
        <v>4.1707799999999997</v>
      </c>
      <c r="O350" t="s">
        <v>74</v>
      </c>
      <c r="P350">
        <v>0</v>
      </c>
      <c r="Q350" t="s">
        <v>74</v>
      </c>
      <c r="R350">
        <v>0</v>
      </c>
      <c r="S350" t="s">
        <v>74</v>
      </c>
      <c r="T350">
        <v>0</v>
      </c>
      <c r="U350" t="s">
        <v>74</v>
      </c>
      <c r="V350">
        <v>0</v>
      </c>
      <c r="W350" t="s">
        <v>74</v>
      </c>
      <c r="X350">
        <v>0</v>
      </c>
      <c r="Y350">
        <v>4.1707799999999997</v>
      </c>
      <c r="Z350">
        <v>0</v>
      </c>
      <c r="AA350">
        <v>0</v>
      </c>
      <c r="AB350">
        <v>0</v>
      </c>
      <c r="AC350">
        <v>0</v>
      </c>
      <c r="AD350">
        <v>0</v>
      </c>
      <c r="AK350" t="s">
        <v>598</v>
      </c>
      <c r="AL350" t="s">
        <v>577</v>
      </c>
      <c r="AM350">
        <v>200000</v>
      </c>
      <c r="AN350" t="s">
        <v>76</v>
      </c>
      <c r="AO350">
        <v>1</v>
      </c>
      <c r="AP350">
        <v>0</v>
      </c>
      <c r="AQ350">
        <v>16666.666666666668</v>
      </c>
      <c r="AR350" t="s">
        <v>1400</v>
      </c>
      <c r="AS350" t="s">
        <v>78</v>
      </c>
      <c r="AW350">
        <v>0</v>
      </c>
      <c r="AX350" t="s">
        <v>79</v>
      </c>
      <c r="AY350" t="s">
        <v>74</v>
      </c>
      <c r="AZ350">
        <v>0</v>
      </c>
      <c r="BA350" t="s">
        <v>74</v>
      </c>
      <c r="BB350">
        <v>0</v>
      </c>
      <c r="BD350">
        <v>4.1707799999999997</v>
      </c>
      <c r="BE350">
        <v>0</v>
      </c>
    </row>
    <row r="351" spans="1:58" ht="12.75">
      <c r="A351" s="2" t="str">
        <f>HYPERLINK("https://ibp.a2mac1.com/costing(costing:projects/details/8191/part/5381481)","Pedestrian Sound Speaker 2")</f>
        <v>Pedestrian Sound Speaker 2</v>
      </c>
      <c r="B351">
        <v>5381481</v>
      </c>
      <c r="C351">
        <v>5381321</v>
      </c>
      <c r="E351">
        <v>4.1154200000000003</v>
      </c>
      <c r="F351">
        <v>0</v>
      </c>
      <c r="G351">
        <v>0</v>
      </c>
      <c r="H351">
        <v>0</v>
      </c>
      <c r="I351" t="s">
        <v>74</v>
      </c>
      <c r="J351">
        <v>0</v>
      </c>
      <c r="K351">
        <v>4.1154200000000003</v>
      </c>
      <c r="L351">
        <v>0</v>
      </c>
      <c r="M351">
        <v>0</v>
      </c>
      <c r="N351">
        <v>4.1154200000000003</v>
      </c>
      <c r="O351" t="s">
        <v>74</v>
      </c>
      <c r="P351">
        <v>0</v>
      </c>
      <c r="Q351" t="s">
        <v>74</v>
      </c>
      <c r="R351">
        <v>0</v>
      </c>
      <c r="S351" t="s">
        <v>74</v>
      </c>
      <c r="T351">
        <v>0</v>
      </c>
      <c r="U351" t="s">
        <v>74</v>
      </c>
      <c r="V351">
        <v>0</v>
      </c>
      <c r="W351" t="s">
        <v>74</v>
      </c>
      <c r="X351">
        <v>0</v>
      </c>
      <c r="Y351">
        <v>4.1154200000000003</v>
      </c>
      <c r="Z351">
        <v>0</v>
      </c>
      <c r="AA351">
        <v>0</v>
      </c>
      <c r="AB351">
        <v>0</v>
      </c>
      <c r="AC351">
        <v>0</v>
      </c>
      <c r="AD351">
        <v>0</v>
      </c>
      <c r="AK351" t="s">
        <v>598</v>
      </c>
      <c r="AL351" t="s">
        <v>577</v>
      </c>
      <c r="AM351">
        <v>200000</v>
      </c>
      <c r="AN351" t="s">
        <v>76</v>
      </c>
      <c r="AO351">
        <v>1</v>
      </c>
      <c r="AP351">
        <v>0</v>
      </c>
      <c r="AQ351">
        <v>16666.666666666668</v>
      </c>
      <c r="AR351" t="s">
        <v>1401</v>
      </c>
      <c r="AS351" t="s">
        <v>78</v>
      </c>
      <c r="AW351">
        <v>0</v>
      </c>
      <c r="AX351" t="s">
        <v>79</v>
      </c>
      <c r="AY351" t="s">
        <v>74</v>
      </c>
      <c r="AZ351">
        <v>0</v>
      </c>
      <c r="BA351" t="s">
        <v>74</v>
      </c>
      <c r="BB351">
        <v>0</v>
      </c>
      <c r="BD351">
        <v>4.1154200000000003</v>
      </c>
      <c r="BE351">
        <v>0</v>
      </c>
    </row>
    <row r="352" spans="1:58" ht="12.75">
      <c r="A352" s="2" t="str">
        <f>HYPERLINK("https://ibp.a2mac1.com/costing(costing:projects/details/8191/part/5381482)","Pedestrian Sound Speaker support 2")</f>
        <v>Pedestrian Sound Speaker support 2</v>
      </c>
      <c r="B352">
        <v>5381482</v>
      </c>
      <c r="C352">
        <v>5381321</v>
      </c>
      <c r="E352">
        <v>1.32875</v>
      </c>
      <c r="F352">
        <v>0</v>
      </c>
      <c r="G352">
        <v>0</v>
      </c>
      <c r="H352">
        <v>0</v>
      </c>
      <c r="I352" t="s">
        <v>74</v>
      </c>
      <c r="J352">
        <v>0</v>
      </c>
      <c r="K352">
        <v>1.32875</v>
      </c>
      <c r="L352">
        <v>0</v>
      </c>
      <c r="M352">
        <v>0</v>
      </c>
      <c r="N352">
        <v>1.32875</v>
      </c>
      <c r="O352" t="s">
        <v>74</v>
      </c>
      <c r="P352">
        <v>0</v>
      </c>
      <c r="Q352" t="s">
        <v>74</v>
      </c>
      <c r="R352">
        <v>0</v>
      </c>
      <c r="S352" t="s">
        <v>74</v>
      </c>
      <c r="T352">
        <v>0</v>
      </c>
      <c r="U352" t="s">
        <v>74</v>
      </c>
      <c r="V352">
        <v>0</v>
      </c>
      <c r="W352" t="s">
        <v>74</v>
      </c>
      <c r="X352">
        <v>0</v>
      </c>
      <c r="Y352">
        <v>1.32875</v>
      </c>
      <c r="Z352">
        <v>0</v>
      </c>
      <c r="AA352">
        <v>0</v>
      </c>
      <c r="AB352">
        <v>0</v>
      </c>
      <c r="AC352">
        <v>0</v>
      </c>
      <c r="AD352">
        <v>0</v>
      </c>
      <c r="AK352" t="s">
        <v>598</v>
      </c>
      <c r="AL352" t="s">
        <v>577</v>
      </c>
      <c r="AM352">
        <v>200000</v>
      </c>
      <c r="AN352" t="s">
        <v>76</v>
      </c>
      <c r="AO352">
        <v>1</v>
      </c>
      <c r="AP352">
        <v>0</v>
      </c>
      <c r="AQ352">
        <v>16666.666666666668</v>
      </c>
      <c r="AR352" t="s">
        <v>1402</v>
      </c>
      <c r="AS352" t="s">
        <v>78</v>
      </c>
      <c r="AW352">
        <v>0</v>
      </c>
      <c r="AX352" t="s">
        <v>79</v>
      </c>
      <c r="AY352" t="s">
        <v>74</v>
      </c>
      <c r="AZ352">
        <v>0</v>
      </c>
      <c r="BA352" t="s">
        <v>74</v>
      </c>
      <c r="BB352">
        <v>0</v>
      </c>
      <c r="BD352">
        <v>1.32875</v>
      </c>
      <c r="BE352">
        <v>0</v>
      </c>
    </row>
    <row r="353" spans="1:58" ht="12.75">
      <c r="A353" s="2" t="str">
        <f>HYPERLINK("https://ibp.a2mac1.com/costing(costing:projects/details/8191/part/5381722)","Differential gear")</f>
        <v>Differential gear</v>
      </c>
      <c r="B353">
        <v>5381722</v>
      </c>
      <c r="C353">
        <v>5381698</v>
      </c>
      <c r="D353" t="s">
        <v>1413</v>
      </c>
      <c r="E353">
        <v>1.2233954333333332</v>
      </c>
      <c r="F353">
        <v>0</v>
      </c>
      <c r="G353">
        <v>0</v>
      </c>
      <c r="H353">
        <v>0.0065161904133333335</v>
      </c>
      <c r="I353" t="s">
        <v>137</v>
      </c>
      <c r="J353">
        <v>0.045072463333333333</v>
      </c>
      <c r="K353">
        <v>1.27498408708</v>
      </c>
      <c r="L353">
        <v>1.2855242297726945</v>
      </c>
      <c r="M353">
        <v>7.7131453786361668</v>
      </c>
      <c r="N353">
        <v>8.9881294657161668</v>
      </c>
      <c r="O353" t="s">
        <v>138</v>
      </c>
      <c r="P353">
        <v>0.0764990452248</v>
      </c>
      <c r="Q353" t="s">
        <v>138</v>
      </c>
      <c r="R353">
        <v>0.46278872271817001</v>
      </c>
      <c r="S353" t="s">
        <v>139</v>
      </c>
      <c r="T353">
        <v>1.0785755358859401</v>
      </c>
      <c r="U353" t="s">
        <v>90</v>
      </c>
      <c r="V353">
        <v>0</v>
      </c>
      <c r="W353" t="s">
        <v>90</v>
      </c>
      <c r="X353">
        <v>0</v>
      </c>
      <c r="Y353">
        <v>10.605992769545077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154</v>
      </c>
      <c r="AF353">
        <v>154</v>
      </c>
      <c r="AG353">
        <v>38</v>
      </c>
      <c r="AH353">
        <v>0</v>
      </c>
      <c r="AI353">
        <v>1.675</v>
      </c>
      <c r="AK353" t="s">
        <v>75</v>
      </c>
      <c r="AM353">
        <v>200000</v>
      </c>
      <c r="AN353" t="s">
        <v>76</v>
      </c>
      <c r="AO353">
        <v>1</v>
      </c>
      <c r="AP353">
        <v>0</v>
      </c>
      <c r="AQ353">
        <v>16666.666666666668</v>
      </c>
      <c r="AR353" t="s">
        <v>1414</v>
      </c>
      <c r="AS353" t="s">
        <v>78</v>
      </c>
      <c r="AX353" t="s">
        <v>79</v>
      </c>
      <c r="AY353" t="s">
        <v>137</v>
      </c>
      <c r="AZ353">
        <v>0</v>
      </c>
      <c r="BA353" t="s">
        <v>137</v>
      </c>
      <c r="BB353">
        <v>0</v>
      </c>
      <c r="BE353">
        <v>0</v>
      </c>
    </row>
    <row r="354" spans="1:58" ht="12.75">
      <c r="A354" s="2" t="str">
        <f>HYPERLINK("https://ibp.a2mac1.com/costing(costing:projects/details/8191/part/5381723)","Differential case")</f>
        <v>Differential case</v>
      </c>
      <c r="B354">
        <v>5381723</v>
      </c>
      <c r="C354">
        <v>5381698</v>
      </c>
      <c r="D354" t="s">
        <v>1419</v>
      </c>
      <c r="E354">
        <v>0.91191578947368424</v>
      </c>
      <c r="F354">
        <v>0</v>
      </c>
      <c r="G354">
        <v>0</v>
      </c>
      <c r="H354">
        <v>0.0047084631578947368</v>
      </c>
      <c r="I354" t="s">
        <v>137</v>
      </c>
      <c r="J354">
        <v>0.03256842105263158</v>
      </c>
      <c r="K354">
        <v>0.94919267368421056</v>
      </c>
      <c r="L354">
        <v>0.33623679379450949</v>
      </c>
      <c r="M354">
        <v>2.0174207627670571</v>
      </c>
      <c r="N354">
        <v>2.9666134364512677</v>
      </c>
      <c r="O354" t="s">
        <v>138</v>
      </c>
      <c r="P354">
        <v>0.056951560421052629</v>
      </c>
      <c r="Q354" t="s">
        <v>138</v>
      </c>
      <c r="R354">
        <v>0.12104524576602342</v>
      </c>
      <c r="S354" t="s">
        <v>139</v>
      </c>
      <c r="T354">
        <v>0.35599361237415211</v>
      </c>
      <c r="U354" t="s">
        <v>216</v>
      </c>
      <c r="V354">
        <v>0.014833067182256339</v>
      </c>
      <c r="W354" t="s">
        <v>217</v>
      </c>
      <c r="X354">
        <v>0.059332268729025354</v>
      </c>
      <c r="Y354">
        <v>3.5747691909237775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105</v>
      </c>
      <c r="AF354">
        <v>105</v>
      </c>
      <c r="AG354">
        <v>127</v>
      </c>
      <c r="AH354">
        <v>0</v>
      </c>
      <c r="AI354">
        <v>1.70</v>
      </c>
      <c r="AK354" t="s">
        <v>218</v>
      </c>
      <c r="AM354">
        <v>200000</v>
      </c>
      <c r="AN354" t="s">
        <v>76</v>
      </c>
      <c r="AO354">
        <v>1</v>
      </c>
      <c r="AP354">
        <v>0</v>
      </c>
      <c r="AQ354">
        <v>16666.666666666668</v>
      </c>
      <c r="AR354" t="s">
        <v>9</v>
      </c>
      <c r="AS354" t="s">
        <v>78</v>
      </c>
      <c r="AX354" t="s">
        <v>79</v>
      </c>
      <c r="AY354" t="s">
        <v>137</v>
      </c>
      <c r="AZ354">
        <v>0</v>
      </c>
      <c r="BA354" t="s">
        <v>137</v>
      </c>
      <c r="BB354">
        <v>0</v>
      </c>
      <c r="BE354">
        <v>0</v>
      </c>
    </row>
    <row r="355" spans="1:58" ht="12.75">
      <c r="A355" s="2" t="str">
        <f>HYPERLINK("https://ibp.a2mac1.com/costing(costing:projects/details/8191/part/5381724)","Sun gear")</f>
        <v>Sun gear</v>
      </c>
      <c r="B355">
        <v>5381724</v>
      </c>
      <c r="C355">
        <v>5381698</v>
      </c>
      <c r="D355" t="s">
        <v>1424</v>
      </c>
      <c r="E355">
        <v>0.43680800914285717</v>
      </c>
      <c r="F355">
        <v>0</v>
      </c>
      <c r="G355">
        <v>0</v>
      </c>
      <c r="H355">
        <v>0.0023373875382857144</v>
      </c>
      <c r="I355" t="s">
        <v>137</v>
      </c>
      <c r="J355">
        <v>0.016264127999999999</v>
      </c>
      <c r="K355">
        <v>0.45540952468114287</v>
      </c>
      <c r="L355">
        <v>0.21532993409425069</v>
      </c>
      <c r="M355">
        <v>1.2919796045655041</v>
      </c>
      <c r="N355">
        <v>1.747389129246647</v>
      </c>
      <c r="O355" t="s">
        <v>138</v>
      </c>
      <c r="P355">
        <v>0.027324571480868573</v>
      </c>
      <c r="Q355" t="s">
        <v>138</v>
      </c>
      <c r="R355">
        <v>0.077518776273930251</v>
      </c>
      <c r="S355" t="s">
        <v>139</v>
      </c>
      <c r="T355">
        <v>0.20968669550959765</v>
      </c>
      <c r="U355" t="s">
        <v>216</v>
      </c>
      <c r="V355">
        <v>0.0087369456462332348</v>
      </c>
      <c r="W355" t="s">
        <v>217</v>
      </c>
      <c r="X355">
        <v>0.034947782584932939</v>
      </c>
      <c r="Y355">
        <v>2.1056039007422096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63</v>
      </c>
      <c r="AF355">
        <v>63</v>
      </c>
      <c r="AG355">
        <v>24</v>
      </c>
      <c r="AH355">
        <v>0</v>
      </c>
      <c r="AI355">
        <v>0.23200000000000001</v>
      </c>
      <c r="AK355" t="s">
        <v>218</v>
      </c>
      <c r="AM355">
        <v>400000</v>
      </c>
      <c r="AN355" t="s">
        <v>76</v>
      </c>
      <c r="AO355">
        <v>2</v>
      </c>
      <c r="AP355">
        <v>0</v>
      </c>
      <c r="AQ355">
        <v>33333.333333333336</v>
      </c>
      <c r="AR355" t="s">
        <v>9</v>
      </c>
      <c r="AS355" t="s">
        <v>78</v>
      </c>
      <c r="AX355" t="s">
        <v>79</v>
      </c>
      <c r="AY355" t="s">
        <v>137</v>
      </c>
      <c r="AZ355">
        <v>0</v>
      </c>
      <c r="BA355" t="s">
        <v>137</v>
      </c>
      <c r="BB355">
        <v>0</v>
      </c>
      <c r="BE355">
        <v>0</v>
      </c>
    </row>
    <row r="356" spans="1:58" ht="12.75">
      <c r="A356" s="2" t="str">
        <f>HYPERLINK("https://ibp.a2mac1.com/costing(costing:projects/details/8191/part/5381725)","Sun gear shim")</f>
        <v>Sun gear shim</v>
      </c>
      <c r="B356">
        <v>5381725</v>
      </c>
      <c r="C356">
        <v>5381698</v>
      </c>
      <c r="D356" t="s">
        <v>1425</v>
      </c>
      <c r="E356">
        <v>0.26</v>
      </c>
      <c r="F356">
        <v>0</v>
      </c>
      <c r="G356">
        <v>0</v>
      </c>
      <c r="H356">
        <v>0</v>
      </c>
      <c r="I356" t="s">
        <v>74</v>
      </c>
      <c r="J356">
        <v>0</v>
      </c>
      <c r="K356">
        <v>0.26</v>
      </c>
      <c r="L356">
        <v>0</v>
      </c>
      <c r="M356">
        <v>0</v>
      </c>
      <c r="N356">
        <v>0.26</v>
      </c>
      <c r="O356" t="s">
        <v>74</v>
      </c>
      <c r="P356">
        <v>0</v>
      </c>
      <c r="Q356" t="s">
        <v>74</v>
      </c>
      <c r="R356">
        <v>0</v>
      </c>
      <c r="S356" t="s">
        <v>74</v>
      </c>
      <c r="T356">
        <v>0</v>
      </c>
      <c r="U356" t="s">
        <v>74</v>
      </c>
      <c r="V356">
        <v>0</v>
      </c>
      <c r="W356" t="s">
        <v>74</v>
      </c>
      <c r="X356">
        <v>0</v>
      </c>
      <c r="Y356">
        <v>0.26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60</v>
      </c>
      <c r="AF356">
        <v>60</v>
      </c>
      <c r="AG356">
        <v>10</v>
      </c>
      <c r="AH356">
        <v>0</v>
      </c>
      <c r="AI356">
        <v>0.012</v>
      </c>
      <c r="AK356" t="s">
        <v>218</v>
      </c>
      <c r="AM356">
        <v>400000</v>
      </c>
      <c r="AN356" t="s">
        <v>92</v>
      </c>
      <c r="AO356">
        <v>2</v>
      </c>
      <c r="AP356">
        <v>0</v>
      </c>
      <c r="AQ356">
        <v>33333.333333333336</v>
      </c>
      <c r="AR356" t="s">
        <v>9</v>
      </c>
      <c r="AS356" t="s">
        <v>78</v>
      </c>
      <c r="AX356" t="s">
        <v>79</v>
      </c>
      <c r="AY356" t="s">
        <v>74</v>
      </c>
      <c r="AZ356">
        <v>0</v>
      </c>
      <c r="BA356" t="s">
        <v>74</v>
      </c>
      <c r="BB356">
        <v>0</v>
      </c>
      <c r="BD356">
        <v>0.13</v>
      </c>
      <c r="BE356">
        <v>0</v>
      </c>
    </row>
    <row r="357" spans="1:58" ht="12.75">
      <c r="A357" s="2" t="str">
        <f>HYPERLINK("https://ibp.a2mac1.com/costing(costing:projects/details/8191/part/5381726)","Planet gear")</f>
        <v>Planet gear</v>
      </c>
      <c r="B357">
        <v>5381726</v>
      </c>
      <c r="C357">
        <v>5381698</v>
      </c>
      <c r="D357" t="s">
        <v>1430</v>
      </c>
      <c r="E357">
        <v>0.21463841828571428</v>
      </c>
      <c r="F357">
        <v>0</v>
      </c>
      <c r="G357">
        <v>0</v>
      </c>
      <c r="H357">
        <v>0.0011485438765714286</v>
      </c>
      <c r="I357" t="s">
        <v>137</v>
      </c>
      <c r="J357">
        <v>0.0079918560000000003</v>
      </c>
      <c r="K357">
        <v>0.2237788181622857</v>
      </c>
      <c r="L357">
        <v>0.22458267850902969</v>
      </c>
      <c r="M357">
        <v>1.3474960710541781</v>
      </c>
      <c r="N357">
        <v>1.5712748892164639</v>
      </c>
      <c r="O357" t="s">
        <v>138</v>
      </c>
      <c r="P357">
        <v>0.013426729089737143</v>
      </c>
      <c r="Q357" t="s">
        <v>138</v>
      </c>
      <c r="R357">
        <v>0.08084976426325069</v>
      </c>
      <c r="S357" t="s">
        <v>139</v>
      </c>
      <c r="T357">
        <v>0.18855298670597567</v>
      </c>
      <c r="U357" t="s">
        <v>216</v>
      </c>
      <c r="V357">
        <v>0.0078563744460823197</v>
      </c>
      <c r="W357" t="s">
        <v>217</v>
      </c>
      <c r="X357">
        <v>0.031425497784329279</v>
      </c>
      <c r="Y357">
        <v>1.8933862415058389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48</v>
      </c>
      <c r="AF357">
        <v>48</v>
      </c>
      <c r="AG357">
        <v>20</v>
      </c>
      <c r="AH357">
        <v>0</v>
      </c>
      <c r="AI357">
        <v>0.114</v>
      </c>
      <c r="AK357" t="s">
        <v>218</v>
      </c>
      <c r="AM357">
        <v>400000</v>
      </c>
      <c r="AN357" t="s">
        <v>76</v>
      </c>
      <c r="AO357">
        <v>2</v>
      </c>
      <c r="AP357">
        <v>0</v>
      </c>
      <c r="AQ357">
        <v>33333.333333333336</v>
      </c>
      <c r="AR357" t="s">
        <v>9</v>
      </c>
      <c r="AS357" t="s">
        <v>78</v>
      </c>
      <c r="AX357" t="s">
        <v>79</v>
      </c>
      <c r="AY357" t="s">
        <v>137</v>
      </c>
      <c r="AZ357">
        <v>0</v>
      </c>
      <c r="BA357" t="s">
        <v>137</v>
      </c>
      <c r="BB357">
        <v>0</v>
      </c>
      <c r="BE357">
        <v>0</v>
      </c>
    </row>
    <row r="358" spans="1:58" ht="12.75">
      <c r="A358" s="2" t="str">
        <f>HYPERLINK("https://ibp.a2mac1.com/costing(costing:projects/details/8191/part/5381727)","Planet gear axle")</f>
        <v>Planet gear axle</v>
      </c>
      <c r="B358">
        <v>5381727</v>
      </c>
      <c r="C358">
        <v>5381698</v>
      </c>
      <c r="D358" t="s">
        <v>1431</v>
      </c>
      <c r="E358">
        <v>0.78</v>
      </c>
      <c r="F358">
        <v>0</v>
      </c>
      <c r="G358">
        <v>0</v>
      </c>
      <c r="H358">
        <v>0</v>
      </c>
      <c r="I358" t="s">
        <v>74</v>
      </c>
      <c r="J358">
        <v>0</v>
      </c>
      <c r="K358">
        <v>0.78</v>
      </c>
      <c r="L358">
        <v>0</v>
      </c>
      <c r="M358">
        <v>0</v>
      </c>
      <c r="N358">
        <v>0.78</v>
      </c>
      <c r="O358" t="s">
        <v>74</v>
      </c>
      <c r="P358">
        <v>0</v>
      </c>
      <c r="Q358" t="s">
        <v>74</v>
      </c>
      <c r="R358">
        <v>0</v>
      </c>
      <c r="S358" t="s">
        <v>74</v>
      </c>
      <c r="T358">
        <v>0</v>
      </c>
      <c r="U358" t="s">
        <v>74</v>
      </c>
      <c r="V358">
        <v>0</v>
      </c>
      <c r="W358" t="s">
        <v>74</v>
      </c>
      <c r="X358">
        <v>0</v>
      </c>
      <c r="Y358">
        <v>0.78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97</v>
      </c>
      <c r="AF358">
        <v>15</v>
      </c>
      <c r="AG358">
        <v>16</v>
      </c>
      <c r="AH358">
        <v>0</v>
      </c>
      <c r="AI358">
        <v>0.048000000000000001</v>
      </c>
      <c r="AK358" t="s">
        <v>218</v>
      </c>
      <c r="AM358">
        <v>200000</v>
      </c>
      <c r="AN358" t="s">
        <v>92</v>
      </c>
      <c r="AO358">
        <v>1</v>
      </c>
      <c r="AP358">
        <v>0</v>
      </c>
      <c r="AQ358">
        <v>16666.666666666668</v>
      </c>
      <c r="AR358" t="s">
        <v>9</v>
      </c>
      <c r="AS358" t="s">
        <v>78</v>
      </c>
      <c r="AX358" t="s">
        <v>79</v>
      </c>
      <c r="AY358" t="s">
        <v>74</v>
      </c>
      <c r="AZ358">
        <v>0</v>
      </c>
      <c r="BA358" t="s">
        <v>74</v>
      </c>
      <c r="BB358">
        <v>0</v>
      </c>
      <c r="BD358">
        <v>0.78</v>
      </c>
      <c r="BE358">
        <v>0</v>
      </c>
    </row>
    <row r="359" spans="1:58" ht="12.75">
      <c r="A359" s="2" t="str">
        <f>HYPERLINK("https://ibp.a2mac1.com/costing(costing:projects/details/8191/part/5381728)","Pin")</f>
        <v>Pin</v>
      </c>
      <c r="B359">
        <v>5381728</v>
      </c>
      <c r="C359">
        <v>5381698</v>
      </c>
      <c r="D359" t="s">
        <v>1432</v>
      </c>
      <c r="E359">
        <v>0.04</v>
      </c>
      <c r="F359">
        <v>0</v>
      </c>
      <c r="G359">
        <v>0</v>
      </c>
      <c r="H359">
        <v>0</v>
      </c>
      <c r="I359" t="s">
        <v>74</v>
      </c>
      <c r="J359">
        <v>0</v>
      </c>
      <c r="K359">
        <v>0.04</v>
      </c>
      <c r="L359">
        <v>0</v>
      </c>
      <c r="M359">
        <v>0</v>
      </c>
      <c r="N359">
        <v>0.04</v>
      </c>
      <c r="O359" t="s">
        <v>74</v>
      </c>
      <c r="P359">
        <v>0</v>
      </c>
      <c r="Q359" t="s">
        <v>74</v>
      </c>
      <c r="R359">
        <v>0</v>
      </c>
      <c r="S359" t="s">
        <v>74</v>
      </c>
      <c r="T359">
        <v>0</v>
      </c>
      <c r="U359" t="s">
        <v>74</v>
      </c>
      <c r="V359">
        <v>0</v>
      </c>
      <c r="W359" t="s">
        <v>74</v>
      </c>
      <c r="X359">
        <v>0</v>
      </c>
      <c r="Y359">
        <v>0.04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5</v>
      </c>
      <c r="AF359">
        <v>5</v>
      </c>
      <c r="AG359">
        <v>24</v>
      </c>
      <c r="AH359">
        <v>0</v>
      </c>
      <c r="AI359">
        <v>0.002</v>
      </c>
      <c r="AK359" t="s">
        <v>218</v>
      </c>
      <c r="AM359">
        <v>200000</v>
      </c>
      <c r="AN359" t="s">
        <v>92</v>
      </c>
      <c r="AO359">
        <v>1</v>
      </c>
      <c r="AP359">
        <v>0</v>
      </c>
      <c r="AQ359">
        <v>16666.666666666668</v>
      </c>
      <c r="AR359" t="s">
        <v>9</v>
      </c>
      <c r="AS359" t="s">
        <v>78</v>
      </c>
      <c r="AX359" t="s">
        <v>79</v>
      </c>
      <c r="AY359" t="s">
        <v>74</v>
      </c>
      <c r="AZ359">
        <v>0</v>
      </c>
      <c r="BA359" t="s">
        <v>74</v>
      </c>
      <c r="BB359">
        <v>0</v>
      </c>
      <c r="BD359">
        <v>0.04</v>
      </c>
      <c r="BE359">
        <v>0</v>
      </c>
    </row>
    <row r="360" spans="1:58" ht="12.75">
      <c r="A360" s="2" t="str">
        <f>HYPERLINK("https://ibp.a2mac1.com/costing(costing:projects/details/8191/part/5381729)","Planet gear shim")</f>
        <v>Planet gear shim</v>
      </c>
      <c r="B360">
        <v>5381729</v>
      </c>
      <c r="C360">
        <v>5381698</v>
      </c>
      <c r="D360" t="s">
        <v>1433</v>
      </c>
      <c r="E360">
        <v>0.26</v>
      </c>
      <c r="F360">
        <v>0</v>
      </c>
      <c r="G360">
        <v>0</v>
      </c>
      <c r="H360">
        <v>0</v>
      </c>
      <c r="I360" t="s">
        <v>74</v>
      </c>
      <c r="J360">
        <v>0</v>
      </c>
      <c r="K360">
        <v>0.26</v>
      </c>
      <c r="L360">
        <v>0</v>
      </c>
      <c r="M360">
        <v>0</v>
      </c>
      <c r="N360">
        <v>0.26</v>
      </c>
      <c r="O360" t="s">
        <v>74</v>
      </c>
      <c r="P360">
        <v>0</v>
      </c>
      <c r="Q360" t="s">
        <v>74</v>
      </c>
      <c r="R360">
        <v>0</v>
      </c>
      <c r="S360" t="s">
        <v>74</v>
      </c>
      <c r="T360">
        <v>0</v>
      </c>
      <c r="U360" t="s">
        <v>74</v>
      </c>
      <c r="V360">
        <v>0</v>
      </c>
      <c r="W360" t="s">
        <v>74</v>
      </c>
      <c r="X360">
        <v>0</v>
      </c>
      <c r="Y360">
        <v>0.26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34</v>
      </c>
      <c r="AF360">
        <v>34</v>
      </c>
      <c r="AG360">
        <v>3</v>
      </c>
      <c r="AH360">
        <v>0</v>
      </c>
      <c r="AI360">
        <v>0.0040000000000000001</v>
      </c>
      <c r="AK360" t="s">
        <v>218</v>
      </c>
      <c r="AM360">
        <v>400000</v>
      </c>
      <c r="AN360" t="s">
        <v>92</v>
      </c>
      <c r="AO360">
        <v>2</v>
      </c>
      <c r="AP360">
        <v>0</v>
      </c>
      <c r="AQ360">
        <v>33333.333333333336</v>
      </c>
      <c r="AR360" t="s">
        <v>9</v>
      </c>
      <c r="AS360" t="s">
        <v>78</v>
      </c>
      <c r="AX360" t="s">
        <v>79</v>
      </c>
      <c r="AY360" t="s">
        <v>74</v>
      </c>
      <c r="AZ360">
        <v>0</v>
      </c>
      <c r="BA360" t="s">
        <v>74</v>
      </c>
      <c r="BB360">
        <v>0</v>
      </c>
      <c r="BD360">
        <v>0.13</v>
      </c>
      <c r="BE360">
        <v>0</v>
      </c>
    </row>
    <row r="361" spans="1:58" ht="12.75">
      <c r="A361" s="2" t="str">
        <f>HYPERLINK("https://ibp.a2mac1.com/costing(costing:projects/details/8191/part/5381730)","Bearing #1")</f>
        <v>Bearing #1</v>
      </c>
      <c r="B361">
        <v>5381730</v>
      </c>
      <c r="C361">
        <v>5381698</v>
      </c>
      <c r="D361" t="s">
        <v>1434</v>
      </c>
      <c r="E361">
        <v>2</v>
      </c>
      <c r="F361">
        <v>0</v>
      </c>
      <c r="G361">
        <v>0</v>
      </c>
      <c r="H361">
        <v>0</v>
      </c>
      <c r="I361" t="s">
        <v>74</v>
      </c>
      <c r="J361">
        <v>0</v>
      </c>
      <c r="K361">
        <v>2</v>
      </c>
      <c r="L361">
        <v>0</v>
      </c>
      <c r="M361">
        <v>0</v>
      </c>
      <c r="N361">
        <v>2</v>
      </c>
      <c r="O361" t="s">
        <v>74</v>
      </c>
      <c r="P361">
        <v>0</v>
      </c>
      <c r="Q361" t="s">
        <v>74</v>
      </c>
      <c r="R361">
        <v>0</v>
      </c>
      <c r="S361" t="s">
        <v>74</v>
      </c>
      <c r="T361">
        <v>0</v>
      </c>
      <c r="U361" t="s">
        <v>74</v>
      </c>
      <c r="V361">
        <v>0</v>
      </c>
      <c r="W361" t="s">
        <v>74</v>
      </c>
      <c r="X361">
        <v>0</v>
      </c>
      <c r="Y361">
        <v>2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80</v>
      </c>
      <c r="AF361">
        <v>80</v>
      </c>
      <c r="AG361">
        <v>21</v>
      </c>
      <c r="AH361">
        <v>0</v>
      </c>
      <c r="AI361">
        <v>0.439</v>
      </c>
      <c r="AK361" t="s">
        <v>75</v>
      </c>
      <c r="AM361">
        <v>200000</v>
      </c>
      <c r="AN361" t="s">
        <v>76</v>
      </c>
      <c r="AO361">
        <v>1</v>
      </c>
      <c r="AP361">
        <v>0</v>
      </c>
      <c r="AQ361">
        <v>16666.666666666668</v>
      </c>
      <c r="AR361" t="s">
        <v>1435</v>
      </c>
      <c r="AS361" t="s">
        <v>78</v>
      </c>
      <c r="AX361" t="s">
        <v>79</v>
      </c>
      <c r="AY361" t="s">
        <v>74</v>
      </c>
      <c r="AZ361">
        <v>0</v>
      </c>
      <c r="BA361" t="s">
        <v>74</v>
      </c>
      <c r="BB361">
        <v>0</v>
      </c>
      <c r="BD361">
        <v>2</v>
      </c>
      <c r="BE361">
        <v>0</v>
      </c>
    </row>
    <row r="362" spans="1:58" ht="12.75">
      <c r="A362" s="2" t="str">
        <f>HYPERLINK("https://ibp.a2mac1.com/costing(costing:projects/details/8191/part/5381731)","Bearing #2")</f>
        <v>Bearing #2</v>
      </c>
      <c r="B362">
        <v>5381731</v>
      </c>
      <c r="C362">
        <v>5381698</v>
      </c>
      <c r="D362" t="s">
        <v>1436</v>
      </c>
      <c r="E362">
        <v>3.21</v>
      </c>
      <c r="F362">
        <v>0</v>
      </c>
      <c r="G362">
        <v>0</v>
      </c>
      <c r="H362">
        <v>0</v>
      </c>
      <c r="I362" t="s">
        <v>74</v>
      </c>
      <c r="J362">
        <v>0</v>
      </c>
      <c r="K362">
        <v>3.21</v>
      </c>
      <c r="L362">
        <v>0</v>
      </c>
      <c r="M362">
        <v>0</v>
      </c>
      <c r="N362">
        <v>3.21</v>
      </c>
      <c r="O362" t="s">
        <v>74</v>
      </c>
      <c r="P362">
        <v>0</v>
      </c>
      <c r="Q362" t="s">
        <v>74</v>
      </c>
      <c r="R362">
        <v>0</v>
      </c>
      <c r="S362" t="s">
        <v>74</v>
      </c>
      <c r="T362">
        <v>0</v>
      </c>
      <c r="U362" t="s">
        <v>74</v>
      </c>
      <c r="V362">
        <v>0</v>
      </c>
      <c r="W362" t="s">
        <v>74</v>
      </c>
      <c r="X362">
        <v>0</v>
      </c>
      <c r="Y362">
        <v>3.21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100</v>
      </c>
      <c r="AF362">
        <v>100</v>
      </c>
      <c r="AG362">
        <v>21</v>
      </c>
      <c r="AH362">
        <v>0</v>
      </c>
      <c r="AI362">
        <v>0.605</v>
      </c>
      <c r="AK362" t="s">
        <v>75</v>
      </c>
      <c r="AM362">
        <v>200000</v>
      </c>
      <c r="AN362" t="s">
        <v>76</v>
      </c>
      <c r="AO362">
        <v>1</v>
      </c>
      <c r="AP362">
        <v>0</v>
      </c>
      <c r="AQ362">
        <v>16666.666666666668</v>
      </c>
      <c r="AR362" t="s">
        <v>1437</v>
      </c>
      <c r="AS362" t="s">
        <v>78</v>
      </c>
      <c r="AX362" t="s">
        <v>79</v>
      </c>
      <c r="AY362" t="s">
        <v>74</v>
      </c>
      <c r="AZ362">
        <v>0</v>
      </c>
      <c r="BA362" t="s">
        <v>74</v>
      </c>
      <c r="BB362">
        <v>0</v>
      </c>
      <c r="BD362">
        <v>3.21</v>
      </c>
      <c r="BE362">
        <v>0</v>
      </c>
    </row>
    <row r="363" spans="1:58" ht="12.75">
      <c r="A363" s="2" t="str">
        <f>HYPERLINK("https://ibp.a2mac1.com/costing(costing:projects/details/8191/part/5381732)","Input shaft")</f>
        <v>Input shaft</v>
      </c>
      <c r="B363">
        <v>5381732</v>
      </c>
      <c r="C363">
        <v>5381699</v>
      </c>
      <c r="D363" t="s">
        <v>1447</v>
      </c>
      <c r="E363">
        <v>1.3061691756923077</v>
      </c>
      <c r="F363">
        <v>0</v>
      </c>
      <c r="G363">
        <v>0</v>
      </c>
      <c r="H363">
        <v>0.0071066839021538463</v>
      </c>
      <c r="I363" t="s">
        <v>137</v>
      </c>
      <c r="J363">
        <v>0.049156904461538461</v>
      </c>
      <c r="K363">
        <v>1.3624327640559999</v>
      </c>
      <c r="L363">
        <v>0.51992005376402428</v>
      </c>
      <c r="M363">
        <v>3.1195203225841457</v>
      </c>
      <c r="N363">
        <v>4.4819530866401456</v>
      </c>
      <c r="O363" t="s">
        <v>138</v>
      </c>
      <c r="P363">
        <v>0.081745965843359997</v>
      </c>
      <c r="Q363" t="s">
        <v>138</v>
      </c>
      <c r="R363">
        <v>0.18717121935504874</v>
      </c>
      <c r="S363" t="s">
        <v>139</v>
      </c>
      <c r="T363">
        <v>0.53783437039681747</v>
      </c>
      <c r="U363" t="s">
        <v>90</v>
      </c>
      <c r="V363">
        <v>0</v>
      </c>
      <c r="W363" t="s">
        <v>90</v>
      </c>
      <c r="X363">
        <v>0</v>
      </c>
      <c r="Y363">
        <v>5.2887046422353725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320</v>
      </c>
      <c r="AF363">
        <v>40</v>
      </c>
      <c r="AG363">
        <v>45</v>
      </c>
      <c r="AH363">
        <v>0</v>
      </c>
      <c r="AI363">
        <v>1.5129999999999999</v>
      </c>
      <c r="AK363" t="s">
        <v>75</v>
      </c>
      <c r="AM363">
        <v>200000</v>
      </c>
      <c r="AN363" t="s">
        <v>76</v>
      </c>
      <c r="AO363">
        <v>1</v>
      </c>
      <c r="AP363">
        <v>0</v>
      </c>
      <c r="AQ363">
        <v>16666.666666666668</v>
      </c>
      <c r="AR363" t="s">
        <v>1448</v>
      </c>
      <c r="AS363" t="s">
        <v>78</v>
      </c>
      <c r="AX363" t="s">
        <v>79</v>
      </c>
      <c r="AY363" t="s">
        <v>137</v>
      </c>
      <c r="AZ363">
        <v>0</v>
      </c>
      <c r="BA363" t="s">
        <v>137</v>
      </c>
      <c r="BB363">
        <v>0</v>
      </c>
      <c r="BE363">
        <v>0</v>
      </c>
    </row>
    <row r="364" spans="1:58" ht="12.75">
      <c r="A364" s="2" t="str">
        <f>HYPERLINK("https://ibp.a2mac1.com/costing(costing:projects/details/8191/part/5381733)","Snap ring")</f>
        <v>Snap ring</v>
      </c>
      <c r="B364">
        <v>5381733</v>
      </c>
      <c r="C364">
        <v>5381699</v>
      </c>
      <c r="D364" t="s">
        <v>1449</v>
      </c>
      <c r="E364">
        <v>0.13</v>
      </c>
      <c r="F364">
        <v>0</v>
      </c>
      <c r="G364">
        <v>0</v>
      </c>
      <c r="H364">
        <v>0</v>
      </c>
      <c r="I364" t="s">
        <v>74</v>
      </c>
      <c r="J364">
        <v>0</v>
      </c>
      <c r="K364">
        <v>0.13</v>
      </c>
      <c r="L364">
        <v>0</v>
      </c>
      <c r="M364">
        <v>0</v>
      </c>
      <c r="N364">
        <v>0.13</v>
      </c>
      <c r="O364" t="s">
        <v>74</v>
      </c>
      <c r="P364">
        <v>0</v>
      </c>
      <c r="Q364" t="s">
        <v>74</v>
      </c>
      <c r="R364">
        <v>0</v>
      </c>
      <c r="S364" t="s">
        <v>74</v>
      </c>
      <c r="T364">
        <v>0</v>
      </c>
      <c r="U364" t="s">
        <v>74</v>
      </c>
      <c r="V364">
        <v>0</v>
      </c>
      <c r="W364" t="s">
        <v>74</v>
      </c>
      <c r="X364">
        <v>0</v>
      </c>
      <c r="Y364">
        <v>0.13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43</v>
      </c>
      <c r="AF364">
        <v>43</v>
      </c>
      <c r="AG364">
        <v>2</v>
      </c>
      <c r="AH364">
        <v>0</v>
      </c>
      <c r="AI364">
        <v>0.0060000000000000001</v>
      </c>
      <c r="AK364" t="s">
        <v>218</v>
      </c>
      <c r="AM364">
        <v>200000</v>
      </c>
      <c r="AN364" t="s">
        <v>92</v>
      </c>
      <c r="AO364">
        <v>1</v>
      </c>
      <c r="AP364">
        <v>0</v>
      </c>
      <c r="AQ364">
        <v>16666.666666666668</v>
      </c>
      <c r="AR364" t="s">
        <v>9</v>
      </c>
      <c r="AS364" t="s">
        <v>78</v>
      </c>
      <c r="AX364" t="s">
        <v>79</v>
      </c>
      <c r="AY364" t="s">
        <v>74</v>
      </c>
      <c r="AZ364">
        <v>0</v>
      </c>
      <c r="BA364" t="s">
        <v>74</v>
      </c>
      <c r="BB364">
        <v>0</v>
      </c>
      <c r="BD364">
        <v>0.13</v>
      </c>
      <c r="BE364">
        <v>0</v>
      </c>
    </row>
    <row r="365" spans="1:58" ht="12.75">
      <c r="A365" s="2" t="str">
        <f>HYPERLINK("https://ibp.a2mac1.com/costing(costing:projects/details/8191/part/5381734)","Bearing")</f>
        <v>Bearing</v>
      </c>
      <c r="B365">
        <v>5381734</v>
      </c>
      <c r="C365">
        <v>5381699</v>
      </c>
      <c r="D365" t="s">
        <v>1450</v>
      </c>
      <c r="E365">
        <v>1.47</v>
      </c>
      <c r="F365">
        <v>0</v>
      </c>
      <c r="G365">
        <v>0</v>
      </c>
      <c r="H365">
        <v>0</v>
      </c>
      <c r="I365" t="s">
        <v>74</v>
      </c>
      <c r="J365">
        <v>0</v>
      </c>
      <c r="K365">
        <v>1.47</v>
      </c>
      <c r="L365">
        <v>0</v>
      </c>
      <c r="M365">
        <v>0</v>
      </c>
      <c r="N365">
        <v>1.47</v>
      </c>
      <c r="O365" t="s">
        <v>74</v>
      </c>
      <c r="P365">
        <v>0</v>
      </c>
      <c r="Q365" t="s">
        <v>74</v>
      </c>
      <c r="R365">
        <v>0</v>
      </c>
      <c r="S365" t="s">
        <v>74</v>
      </c>
      <c r="T365">
        <v>0</v>
      </c>
      <c r="U365" t="s">
        <v>74</v>
      </c>
      <c r="V365">
        <v>0</v>
      </c>
      <c r="W365" t="s">
        <v>74</v>
      </c>
      <c r="X365">
        <v>0</v>
      </c>
      <c r="Y365">
        <v>1.47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68</v>
      </c>
      <c r="AF365">
        <v>68</v>
      </c>
      <c r="AG365">
        <v>9</v>
      </c>
      <c r="AH365">
        <v>0</v>
      </c>
      <c r="AI365">
        <v>0.129</v>
      </c>
      <c r="AK365" t="s">
        <v>75</v>
      </c>
      <c r="AM365">
        <v>200000</v>
      </c>
      <c r="AN365" t="s">
        <v>76</v>
      </c>
      <c r="AO365">
        <v>1</v>
      </c>
      <c r="AP365">
        <v>0</v>
      </c>
      <c r="AQ365">
        <v>16666.666666666668</v>
      </c>
      <c r="AR365" t="s">
        <v>1451</v>
      </c>
      <c r="AS365" t="s">
        <v>78</v>
      </c>
      <c r="AX365" t="s">
        <v>79</v>
      </c>
      <c r="AY365" t="s">
        <v>74</v>
      </c>
      <c r="AZ365">
        <v>0</v>
      </c>
      <c r="BA365" t="s">
        <v>74</v>
      </c>
      <c r="BB365">
        <v>0</v>
      </c>
      <c r="BD365">
        <v>1.47</v>
      </c>
      <c r="BE365">
        <v>0</v>
      </c>
    </row>
    <row r="366" spans="1:58" ht="12.75">
      <c r="A366" s="2" t="str">
        <f>HYPERLINK("https://ibp.a2mac1.com/costing(costing:projects/details/8191/part/5381735)","Gear")</f>
        <v>Gear</v>
      </c>
      <c r="B366">
        <v>5381735</v>
      </c>
      <c r="C366">
        <v>5381700</v>
      </c>
      <c r="D366" t="s">
        <v>1457</v>
      </c>
      <c r="E366">
        <v>2.0282800706666668</v>
      </c>
      <c r="F366">
        <v>0</v>
      </c>
      <c r="G366">
        <v>0</v>
      </c>
      <c r="H366">
        <v>0.010803260165866666</v>
      </c>
      <c r="I366" t="s">
        <v>137</v>
      </c>
      <c r="J366">
        <v>0.074726107866666669</v>
      </c>
      <c r="K366">
        <v>2.1138094386991999</v>
      </c>
      <c r="L366">
        <v>1.8705322594254026</v>
      </c>
      <c r="M366">
        <v>11.223193556552415</v>
      </c>
      <c r="N366">
        <v>13.337002995251616</v>
      </c>
      <c r="O366" t="s">
        <v>138</v>
      </c>
      <c r="P366">
        <v>0.126828566321952</v>
      </c>
      <c r="Q366" t="s">
        <v>138</v>
      </c>
      <c r="R366">
        <v>0.67339161339314491</v>
      </c>
      <c r="S366" t="s">
        <v>139</v>
      </c>
      <c r="T366">
        <v>1.6004403594301939</v>
      </c>
      <c r="U366" t="s">
        <v>90</v>
      </c>
      <c r="V366">
        <v>0</v>
      </c>
      <c r="W366" t="s">
        <v>90</v>
      </c>
      <c r="X366">
        <v>0</v>
      </c>
      <c r="Y366">
        <v>15.737663534396907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100</v>
      </c>
      <c r="AF366">
        <v>163</v>
      </c>
      <c r="AG366">
        <v>163</v>
      </c>
      <c r="AH366">
        <v>0</v>
      </c>
      <c r="AI366">
        <v>2.7770000000000001</v>
      </c>
      <c r="AK366" t="s">
        <v>75</v>
      </c>
      <c r="AM366">
        <v>200000</v>
      </c>
      <c r="AN366" t="s">
        <v>76</v>
      </c>
      <c r="AO366">
        <v>1</v>
      </c>
      <c r="AP366">
        <v>0</v>
      </c>
      <c r="AQ366">
        <v>16666.666666666668</v>
      </c>
      <c r="AR366" t="s">
        <v>1458</v>
      </c>
      <c r="AS366" t="s">
        <v>78</v>
      </c>
      <c r="AX366" t="s">
        <v>79</v>
      </c>
      <c r="AY366" t="s">
        <v>137</v>
      </c>
      <c r="AZ366">
        <v>0</v>
      </c>
      <c r="BA366" t="s">
        <v>137</v>
      </c>
      <c r="BB366">
        <v>0</v>
      </c>
      <c r="BE366">
        <v>0</v>
      </c>
    </row>
    <row r="367" spans="1:58" ht="12.75">
      <c r="A367" s="2" t="str">
        <f>HYPERLINK("https://ibp.a2mac1.com/costing(costing:projects/details/8191/part/5381736)","Bearing #1")</f>
        <v>Bearing #1</v>
      </c>
      <c r="B367">
        <v>5381736</v>
      </c>
      <c r="C367">
        <v>5381700</v>
      </c>
      <c r="D367" t="s">
        <v>1459</v>
      </c>
      <c r="E367">
        <v>1.80</v>
      </c>
      <c r="F367">
        <v>0</v>
      </c>
      <c r="G367">
        <v>0</v>
      </c>
      <c r="H367">
        <v>0</v>
      </c>
      <c r="I367" t="s">
        <v>74</v>
      </c>
      <c r="J367">
        <v>0</v>
      </c>
      <c r="K367">
        <v>1.80</v>
      </c>
      <c r="L367">
        <v>0</v>
      </c>
      <c r="M367">
        <v>0</v>
      </c>
      <c r="N367">
        <v>1.80</v>
      </c>
      <c r="O367" t="s">
        <v>74</v>
      </c>
      <c r="P367">
        <v>0</v>
      </c>
      <c r="Q367" t="s">
        <v>74</v>
      </c>
      <c r="R367">
        <v>0</v>
      </c>
      <c r="S367" t="s">
        <v>74</v>
      </c>
      <c r="T367">
        <v>0</v>
      </c>
      <c r="U367" t="s">
        <v>74</v>
      </c>
      <c r="V367">
        <v>0</v>
      </c>
      <c r="W367" t="s">
        <v>74</v>
      </c>
      <c r="X367">
        <v>0</v>
      </c>
      <c r="Y367">
        <v>1.80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80</v>
      </c>
      <c r="AF367">
        <v>80</v>
      </c>
      <c r="AG367">
        <v>15</v>
      </c>
      <c r="AH367">
        <v>0</v>
      </c>
      <c r="AI367">
        <v>0.36</v>
      </c>
      <c r="AK367" t="s">
        <v>75</v>
      </c>
      <c r="AM367">
        <v>200000</v>
      </c>
      <c r="AN367" t="s">
        <v>76</v>
      </c>
      <c r="AO367">
        <v>1</v>
      </c>
      <c r="AP367">
        <v>0</v>
      </c>
      <c r="AQ367">
        <v>16666.666666666668</v>
      </c>
      <c r="AR367" t="s">
        <v>1460</v>
      </c>
      <c r="AS367" t="s">
        <v>78</v>
      </c>
      <c r="AX367" t="s">
        <v>79</v>
      </c>
      <c r="AY367" t="s">
        <v>74</v>
      </c>
      <c r="AZ367">
        <v>0</v>
      </c>
      <c r="BA367" t="s">
        <v>74</v>
      </c>
      <c r="BB367">
        <v>0</v>
      </c>
      <c r="BD367">
        <v>1.80</v>
      </c>
      <c r="BE367">
        <v>0</v>
      </c>
    </row>
    <row r="368" spans="1:58" ht="12.75">
      <c r="A368" s="2" t="str">
        <f>HYPERLINK("https://ibp.a2mac1.com/costing(costing:projects/details/8191/part/5381737)","Bearing #2")</f>
        <v>Bearing #2</v>
      </c>
      <c r="B368">
        <v>5381737</v>
      </c>
      <c r="C368">
        <v>5381700</v>
      </c>
      <c r="D368" t="s">
        <v>1461</v>
      </c>
      <c r="E368">
        <v>2.73</v>
      </c>
      <c r="F368">
        <v>0</v>
      </c>
      <c r="G368">
        <v>0</v>
      </c>
      <c r="H368">
        <v>0</v>
      </c>
      <c r="I368" t="s">
        <v>74</v>
      </c>
      <c r="J368">
        <v>0</v>
      </c>
      <c r="K368">
        <v>2.73</v>
      </c>
      <c r="L368">
        <v>0</v>
      </c>
      <c r="M368">
        <v>0</v>
      </c>
      <c r="N368">
        <v>2.73</v>
      </c>
      <c r="O368" t="s">
        <v>74</v>
      </c>
      <c r="P368">
        <v>0</v>
      </c>
      <c r="Q368" t="s">
        <v>74</v>
      </c>
      <c r="R368">
        <v>0</v>
      </c>
      <c r="S368" t="s">
        <v>74</v>
      </c>
      <c r="T368">
        <v>0</v>
      </c>
      <c r="U368" t="s">
        <v>74</v>
      </c>
      <c r="V368">
        <v>0</v>
      </c>
      <c r="W368" t="s">
        <v>74</v>
      </c>
      <c r="X368">
        <v>0</v>
      </c>
      <c r="Y368">
        <v>2.73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100</v>
      </c>
      <c r="AF368">
        <v>100</v>
      </c>
      <c r="AG368">
        <v>16</v>
      </c>
      <c r="AH368">
        <v>0</v>
      </c>
      <c r="AI368">
        <v>0.34</v>
      </c>
      <c r="AK368" t="s">
        <v>75</v>
      </c>
      <c r="AM368">
        <v>200000</v>
      </c>
      <c r="AN368" t="s">
        <v>76</v>
      </c>
      <c r="AO368">
        <v>1</v>
      </c>
      <c r="AP368">
        <v>0</v>
      </c>
      <c r="AQ368">
        <v>16666.666666666668</v>
      </c>
      <c r="AR368" t="s">
        <v>1462</v>
      </c>
      <c r="AS368" t="s">
        <v>78</v>
      </c>
      <c r="AX368" t="s">
        <v>79</v>
      </c>
      <c r="AY368" t="s">
        <v>74</v>
      </c>
      <c r="AZ368">
        <v>0</v>
      </c>
      <c r="BA368" t="s">
        <v>74</v>
      </c>
      <c r="BB368">
        <v>0</v>
      </c>
      <c r="BD368">
        <v>2.73</v>
      </c>
      <c r="BE368">
        <v>0</v>
      </c>
    </row>
    <row r="369" spans="1:58" ht="12.75">
      <c r="A369" s="2" t="str">
        <f>HYPERLINK("https://ibp.a2mac1.com/costing(costing:projects/details/8191/part/5381738)","Oil pump")</f>
        <v>Oil pump</v>
      </c>
      <c r="B369">
        <v>5381738</v>
      </c>
      <c r="C369">
        <v>5381701</v>
      </c>
      <c r="D369" t="s">
        <v>1466</v>
      </c>
      <c r="E369">
        <v>9.78</v>
      </c>
      <c r="F369">
        <v>0</v>
      </c>
      <c r="G369">
        <v>0</v>
      </c>
      <c r="H369">
        <v>0</v>
      </c>
      <c r="I369" t="s">
        <v>74</v>
      </c>
      <c r="J369">
        <v>0</v>
      </c>
      <c r="K369">
        <v>9.78</v>
      </c>
      <c r="L369">
        <v>0</v>
      </c>
      <c r="M369">
        <v>0</v>
      </c>
      <c r="N369">
        <v>9.78</v>
      </c>
      <c r="O369" t="s">
        <v>74</v>
      </c>
      <c r="P369">
        <v>0</v>
      </c>
      <c r="Q369" t="s">
        <v>74</v>
      </c>
      <c r="R369">
        <v>0</v>
      </c>
      <c r="S369" t="s">
        <v>74</v>
      </c>
      <c r="T369">
        <v>0</v>
      </c>
      <c r="U369" t="s">
        <v>74</v>
      </c>
      <c r="V369">
        <v>0</v>
      </c>
      <c r="W369" t="s">
        <v>74</v>
      </c>
      <c r="X369">
        <v>0</v>
      </c>
      <c r="Y369">
        <v>9.78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47</v>
      </c>
      <c r="AF369">
        <v>46</v>
      </c>
      <c r="AG369">
        <v>82</v>
      </c>
      <c r="AH369">
        <v>0</v>
      </c>
      <c r="AI369">
        <v>0.112</v>
      </c>
      <c r="AK369" t="s">
        <v>213</v>
      </c>
      <c r="AM369">
        <v>200000</v>
      </c>
      <c r="AN369" t="s">
        <v>76</v>
      </c>
      <c r="AO369">
        <v>1</v>
      </c>
      <c r="AP369">
        <v>0</v>
      </c>
      <c r="AQ369">
        <v>16666.666666666668</v>
      </c>
      <c r="AR369" t="s">
        <v>1467</v>
      </c>
      <c r="AS369" t="s">
        <v>78</v>
      </c>
      <c r="AX369" t="s">
        <v>79</v>
      </c>
      <c r="AY369" t="s">
        <v>74</v>
      </c>
      <c r="AZ369">
        <v>0</v>
      </c>
      <c r="BA369" t="s">
        <v>74</v>
      </c>
      <c r="BB369">
        <v>0</v>
      </c>
      <c r="BD369">
        <v>9.78</v>
      </c>
      <c r="BE369">
        <v>0</v>
      </c>
    </row>
    <row r="370" spans="1:58" ht="12.75">
      <c r="A370" s="2" t="str">
        <f>HYPERLINK("https://ibp.a2mac1.com/costing(costing:projects/details/8191/part/5381739)","Internal pipe")</f>
        <v>Internal pipe</v>
      </c>
      <c r="B370">
        <v>5381739</v>
      </c>
      <c r="C370">
        <v>5381701</v>
      </c>
      <c r="D370" t="s">
        <v>1468</v>
      </c>
      <c r="E370">
        <v>0.11</v>
      </c>
      <c r="F370">
        <v>0</v>
      </c>
      <c r="G370">
        <v>0</v>
      </c>
      <c r="H370">
        <v>0</v>
      </c>
      <c r="I370" t="s">
        <v>74</v>
      </c>
      <c r="J370">
        <v>0</v>
      </c>
      <c r="K370">
        <v>0.11</v>
      </c>
      <c r="L370">
        <v>0</v>
      </c>
      <c r="M370">
        <v>0</v>
      </c>
      <c r="N370">
        <v>0.11</v>
      </c>
      <c r="O370" t="s">
        <v>74</v>
      </c>
      <c r="P370">
        <v>0</v>
      </c>
      <c r="Q370" t="s">
        <v>74</v>
      </c>
      <c r="R370">
        <v>0</v>
      </c>
      <c r="S370" t="s">
        <v>74</v>
      </c>
      <c r="T370">
        <v>0</v>
      </c>
      <c r="U370" t="s">
        <v>74</v>
      </c>
      <c r="V370">
        <v>0</v>
      </c>
      <c r="W370" t="s">
        <v>74</v>
      </c>
      <c r="X370">
        <v>0</v>
      </c>
      <c r="Y370">
        <v>0.11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248</v>
      </c>
      <c r="AI370">
        <v>0.037999999999999999</v>
      </c>
      <c r="AK370" t="s">
        <v>75</v>
      </c>
      <c r="AM370">
        <v>200000</v>
      </c>
      <c r="AN370" t="s">
        <v>76</v>
      </c>
      <c r="AO370">
        <v>1</v>
      </c>
      <c r="AP370">
        <v>0</v>
      </c>
      <c r="AQ370">
        <v>16666.666666666668</v>
      </c>
      <c r="AR370" t="s">
        <v>1469</v>
      </c>
      <c r="AS370" t="s">
        <v>78</v>
      </c>
      <c r="AX370" t="s">
        <v>79</v>
      </c>
      <c r="AY370" t="s">
        <v>74</v>
      </c>
      <c r="AZ370">
        <v>0</v>
      </c>
      <c r="BA370" t="s">
        <v>74</v>
      </c>
      <c r="BB370">
        <v>0</v>
      </c>
      <c r="BD370">
        <v>0.11</v>
      </c>
      <c r="BE370">
        <v>0</v>
      </c>
    </row>
    <row r="371" spans="1:58" ht="12.75">
      <c r="A371" s="2" t="str">
        <f>HYPERLINK("https://ibp.a2mac1.com/costing(costing:projects/details/8191/part/5381740)","Lubrication screen")</f>
        <v>Lubrication screen</v>
      </c>
      <c r="B371">
        <v>5381740</v>
      </c>
      <c r="C371">
        <v>5381701</v>
      </c>
      <c r="D371" t="s">
        <v>1474</v>
      </c>
      <c r="E371">
        <v>0.3409199074468085</v>
      </c>
      <c r="F371">
        <v>0</v>
      </c>
      <c r="G371">
        <v>0</v>
      </c>
      <c r="H371">
        <v>0.0017302454680851063</v>
      </c>
      <c r="I371" t="s">
        <v>137</v>
      </c>
      <c r="J371">
        <v>0.011968101063829787</v>
      </c>
      <c r="K371">
        <v>0.35461825397872343</v>
      </c>
      <c r="L371">
        <v>0.03524321653334362</v>
      </c>
      <c r="M371">
        <v>0.21145929920006173</v>
      </c>
      <c r="N371">
        <v>0.56607755317878516</v>
      </c>
      <c r="O371" t="s">
        <v>138</v>
      </c>
      <c r="P371">
        <v>0.021277095238723405</v>
      </c>
      <c r="Q371" t="s">
        <v>138</v>
      </c>
      <c r="R371">
        <v>0.012687557952003704</v>
      </c>
      <c r="S371" t="s">
        <v>139</v>
      </c>
      <c r="T371">
        <v>0.06792930638145421</v>
      </c>
      <c r="U371" t="s">
        <v>90</v>
      </c>
      <c r="V371">
        <v>0</v>
      </c>
      <c r="W371" t="s">
        <v>90</v>
      </c>
      <c r="X371">
        <v>0</v>
      </c>
      <c r="Y371">
        <v>0.66797151275096645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275</v>
      </c>
      <c r="AF371">
        <v>200</v>
      </c>
      <c r="AG371">
        <v>110</v>
      </c>
      <c r="AH371">
        <v>0</v>
      </c>
      <c r="AI371">
        <v>0.15</v>
      </c>
      <c r="AK371" t="s">
        <v>75</v>
      </c>
      <c r="AM371">
        <v>200000</v>
      </c>
      <c r="AN371" t="s">
        <v>76</v>
      </c>
      <c r="AO371">
        <v>1</v>
      </c>
      <c r="AP371">
        <v>0</v>
      </c>
      <c r="AQ371">
        <v>16666.666666666668</v>
      </c>
      <c r="AR371" t="s">
        <v>1475</v>
      </c>
      <c r="AS371" t="s">
        <v>78</v>
      </c>
      <c r="AX371" t="s">
        <v>79</v>
      </c>
      <c r="AY371" t="s">
        <v>137</v>
      </c>
      <c r="AZ371">
        <v>0</v>
      </c>
      <c r="BA371" t="s">
        <v>137</v>
      </c>
      <c r="BB371">
        <v>0</v>
      </c>
      <c r="BE371">
        <v>0</v>
      </c>
    </row>
    <row r="372" spans="1:58" ht="12.75">
      <c r="A372" s="2" t="str">
        <f>HYPERLINK("https://ibp.a2mac1.com/costing(costing:projects/details/8191/part/5381741)","Magnet")</f>
        <v>Magnet</v>
      </c>
      <c r="B372">
        <v>5381741</v>
      </c>
      <c r="C372">
        <v>5381701</v>
      </c>
      <c r="E372">
        <v>0.04</v>
      </c>
      <c r="F372">
        <v>0</v>
      </c>
      <c r="G372">
        <v>0</v>
      </c>
      <c r="H372">
        <v>0</v>
      </c>
      <c r="I372" t="s">
        <v>74</v>
      </c>
      <c r="J372">
        <v>0</v>
      </c>
      <c r="K372">
        <v>0.04</v>
      </c>
      <c r="L372">
        <v>0</v>
      </c>
      <c r="M372">
        <v>0</v>
      </c>
      <c r="N372">
        <v>0.04</v>
      </c>
      <c r="O372" t="s">
        <v>74</v>
      </c>
      <c r="P372">
        <v>0</v>
      </c>
      <c r="Q372" t="s">
        <v>74</v>
      </c>
      <c r="R372">
        <v>0</v>
      </c>
      <c r="S372" t="s">
        <v>74</v>
      </c>
      <c r="T372">
        <v>0</v>
      </c>
      <c r="U372" t="s">
        <v>74</v>
      </c>
      <c r="V372">
        <v>0</v>
      </c>
      <c r="W372" t="s">
        <v>74</v>
      </c>
      <c r="X372">
        <v>0</v>
      </c>
      <c r="Y372">
        <v>0.04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0.0060000000000000001</v>
      </c>
      <c r="AK372" t="s">
        <v>218</v>
      </c>
      <c r="AM372">
        <v>200000</v>
      </c>
      <c r="AN372" t="s">
        <v>76</v>
      </c>
      <c r="AO372">
        <v>1</v>
      </c>
      <c r="AP372">
        <v>0</v>
      </c>
      <c r="AQ372">
        <v>16666.666666666668</v>
      </c>
      <c r="AR372" t="s">
        <v>9</v>
      </c>
      <c r="AS372" t="s">
        <v>78</v>
      </c>
      <c r="AV372">
        <v>0</v>
      </c>
      <c r="AW372">
        <v>0</v>
      </c>
      <c r="AX372" t="s">
        <v>79</v>
      </c>
      <c r="AY372" t="s">
        <v>74</v>
      </c>
      <c r="AZ372">
        <v>0</v>
      </c>
      <c r="BA372" t="s">
        <v>74</v>
      </c>
      <c r="BB372">
        <v>0</v>
      </c>
      <c r="BD372">
        <v>0.04</v>
      </c>
      <c r="BE372">
        <v>0</v>
      </c>
    </row>
    <row r="373" spans="1:58" ht="12.75">
      <c r="A373" s="2" t="str">
        <f>HYPERLINK("https://ibp.a2mac1.com/costing(costing:projects/details/8191/part/5381695)","Access cover")</f>
        <v>Access cover</v>
      </c>
      <c r="B373">
        <v>5381695</v>
      </c>
      <c r="C373">
        <v>5381610</v>
      </c>
      <c r="D373" t="s">
        <v>1480</v>
      </c>
      <c r="E373">
        <v>1.7684627399999999</v>
      </c>
      <c r="F373">
        <v>0</v>
      </c>
      <c r="G373">
        <v>0</v>
      </c>
      <c r="H373">
        <v>0.0090388095599999996</v>
      </c>
      <c r="I373" t="s">
        <v>137</v>
      </c>
      <c r="J373">
        <v>0.062521409999999999</v>
      </c>
      <c r="K373">
        <v>1.8400229595599999</v>
      </c>
      <c r="L373">
        <v>0.17570688592172382</v>
      </c>
      <c r="M373">
        <v>1.0542413155303429</v>
      </c>
      <c r="N373">
        <v>2.8942642750903431</v>
      </c>
      <c r="O373" t="s">
        <v>138</v>
      </c>
      <c r="P373">
        <v>0.1104013775736</v>
      </c>
      <c r="Q373" t="s">
        <v>138</v>
      </c>
      <c r="R373">
        <v>0.063254478931820582</v>
      </c>
      <c r="S373" t="s">
        <v>139</v>
      </c>
      <c r="T373">
        <v>0.34731171301084113</v>
      </c>
      <c r="U373" t="s">
        <v>90</v>
      </c>
      <c r="V373">
        <v>0</v>
      </c>
      <c r="W373" t="s">
        <v>90</v>
      </c>
      <c r="X373">
        <v>0</v>
      </c>
      <c r="Y373">
        <v>3.4152318446066046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195</v>
      </c>
      <c r="AF373">
        <v>170</v>
      </c>
      <c r="AG373">
        <v>30</v>
      </c>
      <c r="AH373">
        <v>0</v>
      </c>
      <c r="AI373">
        <v>0.71399999999999997</v>
      </c>
      <c r="AK373" t="s">
        <v>75</v>
      </c>
      <c r="AM373">
        <v>200000</v>
      </c>
      <c r="AN373" t="s">
        <v>76</v>
      </c>
      <c r="AO373">
        <v>1</v>
      </c>
      <c r="AP373">
        <v>0</v>
      </c>
      <c r="AQ373">
        <v>16666.666666666668</v>
      </c>
      <c r="AR373" t="s">
        <v>1481</v>
      </c>
      <c r="AS373" t="s">
        <v>78</v>
      </c>
      <c r="AX373" t="s">
        <v>79</v>
      </c>
      <c r="AY373" t="s">
        <v>137</v>
      </c>
      <c r="AZ373">
        <v>0</v>
      </c>
      <c r="BA373" t="s">
        <v>137</v>
      </c>
      <c r="BB373">
        <v>0</v>
      </c>
      <c r="BE373">
        <v>0</v>
      </c>
    </row>
    <row r="374" spans="1:58" ht="12.75">
      <c r="A374" s="2" t="str">
        <f>HYPERLINK("https://ibp.a2mac1.com/costing(costing:projects/details/8191/part/5381696)","Radial shaft seal")</f>
        <v>Radial shaft seal</v>
      </c>
      <c r="B374">
        <v>5381696</v>
      </c>
      <c r="C374">
        <v>5381610</v>
      </c>
      <c r="D374" t="s">
        <v>1482</v>
      </c>
      <c r="E374">
        <v>1.63</v>
      </c>
      <c r="F374">
        <v>0</v>
      </c>
      <c r="G374">
        <v>0</v>
      </c>
      <c r="H374">
        <v>0</v>
      </c>
      <c r="I374" t="s">
        <v>74</v>
      </c>
      <c r="J374">
        <v>0</v>
      </c>
      <c r="K374">
        <v>1.63</v>
      </c>
      <c r="L374">
        <v>0</v>
      </c>
      <c r="M374">
        <v>0</v>
      </c>
      <c r="N374">
        <v>1.63</v>
      </c>
      <c r="O374" t="s">
        <v>74</v>
      </c>
      <c r="P374">
        <v>0</v>
      </c>
      <c r="Q374" t="s">
        <v>74</v>
      </c>
      <c r="R374">
        <v>0</v>
      </c>
      <c r="S374" t="s">
        <v>74</v>
      </c>
      <c r="T374">
        <v>0</v>
      </c>
      <c r="U374" t="s">
        <v>74</v>
      </c>
      <c r="V374">
        <v>0</v>
      </c>
      <c r="W374" t="s">
        <v>74</v>
      </c>
      <c r="X374">
        <v>0</v>
      </c>
      <c r="Y374">
        <v>1.63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63</v>
      </c>
      <c r="AF374">
        <v>63</v>
      </c>
      <c r="AG374">
        <v>7</v>
      </c>
      <c r="AH374">
        <v>0</v>
      </c>
      <c r="AI374">
        <v>0.02</v>
      </c>
      <c r="AK374" t="s">
        <v>75</v>
      </c>
      <c r="AM374">
        <v>200000</v>
      </c>
      <c r="AN374" t="s">
        <v>76</v>
      </c>
      <c r="AO374">
        <v>1</v>
      </c>
      <c r="AP374">
        <v>0</v>
      </c>
      <c r="AQ374">
        <v>16666.666666666668</v>
      </c>
      <c r="AR374" t="s">
        <v>1483</v>
      </c>
      <c r="AS374" t="s">
        <v>78</v>
      </c>
      <c r="AX374" t="s">
        <v>79</v>
      </c>
      <c r="AY374" t="s">
        <v>74</v>
      </c>
      <c r="AZ374">
        <v>0</v>
      </c>
      <c r="BA374" t="s">
        <v>74</v>
      </c>
      <c r="BB374">
        <v>0</v>
      </c>
      <c r="BD374">
        <v>1.63</v>
      </c>
      <c r="BE374">
        <v>0</v>
      </c>
    </row>
    <row r="375" spans="1:58" ht="12.75">
      <c r="A375" s="2" t="str">
        <f>HYPERLINK("https://ibp.a2mac1.com/costing(costing:projects/details/8191/part/5381697)","Housing")</f>
        <v>Housing</v>
      </c>
      <c r="B375">
        <v>5381697</v>
      </c>
      <c r="C375">
        <v>5381610</v>
      </c>
      <c r="D375" t="s">
        <v>1488</v>
      </c>
      <c r="E375">
        <v>7.2695212071428568</v>
      </c>
      <c r="F375">
        <v>0</v>
      </c>
      <c r="G375">
        <v>0</v>
      </c>
      <c r="H375">
        <v>0.037155330614285713</v>
      </c>
      <c r="I375" t="s">
        <v>137</v>
      </c>
      <c r="J375">
        <v>0.25700327499999998</v>
      </c>
      <c r="K375">
        <v>7.563679812757143</v>
      </c>
      <c r="L375">
        <v>0.68662418886268639</v>
      </c>
      <c r="M375">
        <v>4.1197451331761181</v>
      </c>
      <c r="N375">
        <v>11.683424945933261</v>
      </c>
      <c r="O375" t="s">
        <v>138</v>
      </c>
      <c r="P375">
        <v>0.45382078876542858</v>
      </c>
      <c r="Q375" t="s">
        <v>138</v>
      </c>
      <c r="R375">
        <v>0.2471847079905671</v>
      </c>
      <c r="S375" t="s">
        <v>139</v>
      </c>
      <c r="T375">
        <v>1.4020109935119913</v>
      </c>
      <c r="U375" t="s">
        <v>90</v>
      </c>
      <c r="V375">
        <v>0</v>
      </c>
      <c r="W375" t="s">
        <v>90</v>
      </c>
      <c r="X375">
        <v>0</v>
      </c>
      <c r="Y375">
        <v>13.786441436201248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260</v>
      </c>
      <c r="AF375">
        <v>335</v>
      </c>
      <c r="AG375">
        <v>150</v>
      </c>
      <c r="AH375">
        <v>0</v>
      </c>
      <c r="AI375">
        <v>2.935</v>
      </c>
      <c r="AK375" t="s">
        <v>75</v>
      </c>
      <c r="AM375">
        <v>200000</v>
      </c>
      <c r="AN375" t="s">
        <v>76</v>
      </c>
      <c r="AO375">
        <v>1</v>
      </c>
      <c r="AP375">
        <v>0</v>
      </c>
      <c r="AQ375">
        <v>16666.666666666668</v>
      </c>
      <c r="AR375" t="s">
        <v>1489</v>
      </c>
      <c r="AS375" t="s">
        <v>78</v>
      </c>
      <c r="AX375" t="s">
        <v>79</v>
      </c>
      <c r="AY375" t="s">
        <v>137</v>
      </c>
      <c r="AZ375">
        <v>0</v>
      </c>
      <c r="BA375" t="s">
        <v>137</v>
      </c>
      <c r="BB375">
        <v>0</v>
      </c>
      <c r="BE375">
        <v>0</v>
      </c>
    </row>
    <row r="376" spans="1:58" ht="12.75">
      <c r="A376" s="2" t="str">
        <f>HYPERLINK("https://ibp.a2mac1.com/costing(costing:projects/details/8191/part/5381606)","Left drive shaft")</f>
        <v>Left drive shaft</v>
      </c>
      <c r="B376">
        <v>5381606</v>
      </c>
      <c r="C376">
        <v>5381596</v>
      </c>
      <c r="D376" t="s">
        <v>1493</v>
      </c>
      <c r="E376">
        <v>69.50</v>
      </c>
      <c r="F376">
        <v>0</v>
      </c>
      <c r="G376">
        <v>0</v>
      </c>
      <c r="H376">
        <v>0</v>
      </c>
      <c r="I376" t="s">
        <v>74</v>
      </c>
      <c r="J376">
        <v>0</v>
      </c>
      <c r="K376">
        <v>69.50</v>
      </c>
      <c r="L376">
        <v>0</v>
      </c>
      <c r="M376">
        <v>0</v>
      </c>
      <c r="N376">
        <v>69.50</v>
      </c>
      <c r="O376" t="s">
        <v>74</v>
      </c>
      <c r="P376">
        <v>0</v>
      </c>
      <c r="Q376" t="s">
        <v>74</v>
      </c>
      <c r="R376">
        <v>0</v>
      </c>
      <c r="S376" t="s">
        <v>74</v>
      </c>
      <c r="T376">
        <v>0</v>
      </c>
      <c r="U376" t="s">
        <v>74</v>
      </c>
      <c r="V376">
        <v>0</v>
      </c>
      <c r="W376" t="s">
        <v>74</v>
      </c>
      <c r="X376">
        <v>0</v>
      </c>
      <c r="Y376">
        <v>69.50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698</v>
      </c>
      <c r="AF376">
        <v>100</v>
      </c>
      <c r="AG376">
        <v>97</v>
      </c>
      <c r="AH376">
        <v>0</v>
      </c>
      <c r="AI376">
        <v>6.2789999999999999</v>
      </c>
      <c r="AK376" t="s">
        <v>213</v>
      </c>
      <c r="AM376">
        <v>200000</v>
      </c>
      <c r="AN376" t="s">
        <v>76</v>
      </c>
      <c r="AO376">
        <v>1</v>
      </c>
      <c r="AP376">
        <v>0</v>
      </c>
      <c r="AQ376">
        <v>16666.666666666668</v>
      </c>
      <c r="AR376" t="s">
        <v>1494</v>
      </c>
      <c r="AS376" t="s">
        <v>78</v>
      </c>
      <c r="AX376" t="s">
        <v>79</v>
      </c>
      <c r="AY376" t="s">
        <v>74</v>
      </c>
      <c r="AZ376">
        <v>0</v>
      </c>
      <c r="BA376" t="s">
        <v>74</v>
      </c>
      <c r="BB376">
        <v>0</v>
      </c>
      <c r="BD376">
        <v>69.50</v>
      </c>
      <c r="BE376">
        <v>0</v>
      </c>
    </row>
    <row r="377" spans="1:58" ht="12.75">
      <c r="A377" s="2" t="str">
        <f>HYPERLINK("https://ibp.a2mac1.com/costing(costing:projects/details/8191/part/5381608)","Right drive shaft")</f>
        <v>Right drive shaft</v>
      </c>
      <c r="B377">
        <v>5381608</v>
      </c>
      <c r="C377">
        <v>5381596</v>
      </c>
      <c r="D377" t="s">
        <v>1495</v>
      </c>
      <c r="E377">
        <v>69.50</v>
      </c>
      <c r="F377">
        <v>0</v>
      </c>
      <c r="G377">
        <v>0</v>
      </c>
      <c r="H377">
        <v>0</v>
      </c>
      <c r="I377" t="s">
        <v>74</v>
      </c>
      <c r="J377">
        <v>0</v>
      </c>
      <c r="K377">
        <v>69.50</v>
      </c>
      <c r="L377">
        <v>0</v>
      </c>
      <c r="M377">
        <v>0</v>
      </c>
      <c r="N377">
        <v>69.50</v>
      </c>
      <c r="O377" t="s">
        <v>74</v>
      </c>
      <c r="P377">
        <v>0</v>
      </c>
      <c r="Q377" t="s">
        <v>74</v>
      </c>
      <c r="R377">
        <v>0</v>
      </c>
      <c r="S377" t="s">
        <v>74</v>
      </c>
      <c r="T377">
        <v>0</v>
      </c>
      <c r="U377" t="s">
        <v>74</v>
      </c>
      <c r="V377">
        <v>0</v>
      </c>
      <c r="W377" t="s">
        <v>74</v>
      </c>
      <c r="X377">
        <v>0</v>
      </c>
      <c r="Y377">
        <v>69.50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697</v>
      </c>
      <c r="AF377">
        <v>101</v>
      </c>
      <c r="AG377">
        <v>100</v>
      </c>
      <c r="AH377">
        <v>0</v>
      </c>
      <c r="AI377">
        <v>6.1029999999999998</v>
      </c>
      <c r="AK377" t="s">
        <v>213</v>
      </c>
      <c r="AM377">
        <v>200000</v>
      </c>
      <c r="AN377" t="s">
        <v>76</v>
      </c>
      <c r="AO377">
        <v>1</v>
      </c>
      <c r="AP377">
        <v>0</v>
      </c>
      <c r="AQ377">
        <v>16666.666666666668</v>
      </c>
      <c r="AR377" t="s">
        <v>1496</v>
      </c>
      <c r="AS377" t="s">
        <v>78</v>
      </c>
      <c r="AX377" t="s">
        <v>79</v>
      </c>
      <c r="AY377" t="s">
        <v>74</v>
      </c>
      <c r="AZ377">
        <v>0</v>
      </c>
      <c r="BA377" t="s">
        <v>74</v>
      </c>
      <c r="BB377">
        <v>0</v>
      </c>
      <c r="BD377">
        <v>69.50</v>
      </c>
      <c r="BE377">
        <v>0</v>
      </c>
    </row>
    <row r="378" spans="1:58" ht="12.75">
      <c r="A378" s="2" t="str">
        <f>HYPERLINK("https://ibp.a2mac1.com/costing(costing:projects/details/8191/part/5381612)","Fastener")</f>
        <v>Fastener</v>
      </c>
      <c r="B378">
        <v>5381612</v>
      </c>
      <c r="C378">
        <v>5381596</v>
      </c>
      <c r="E378">
        <v>4.86</v>
      </c>
      <c r="F378">
        <v>0</v>
      </c>
      <c r="G378">
        <v>0</v>
      </c>
      <c r="H378">
        <v>0</v>
      </c>
      <c r="I378" t="s">
        <v>74</v>
      </c>
      <c r="J378">
        <v>0</v>
      </c>
      <c r="K378">
        <v>4.86</v>
      </c>
      <c r="L378">
        <v>0</v>
      </c>
      <c r="M378">
        <v>0</v>
      </c>
      <c r="N378">
        <v>4.86</v>
      </c>
      <c r="O378" t="s">
        <v>74</v>
      </c>
      <c r="P378">
        <v>0</v>
      </c>
      <c r="Q378" t="s">
        <v>74</v>
      </c>
      <c r="R378">
        <v>0</v>
      </c>
      <c r="S378" t="s">
        <v>74</v>
      </c>
      <c r="T378">
        <v>0</v>
      </c>
      <c r="U378" t="s">
        <v>74</v>
      </c>
      <c r="V378">
        <v>0</v>
      </c>
      <c r="W378" t="s">
        <v>74</v>
      </c>
      <c r="X378">
        <v>0</v>
      </c>
      <c r="Y378">
        <v>4.86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0.03</v>
      </c>
      <c r="AK378" t="s">
        <v>218</v>
      </c>
      <c r="AM378">
        <v>5400000</v>
      </c>
      <c r="AN378" t="s">
        <v>92</v>
      </c>
      <c r="AO378">
        <v>27</v>
      </c>
      <c r="AP378">
        <v>0</v>
      </c>
      <c r="AQ378">
        <v>450000</v>
      </c>
      <c r="AR378" t="s">
        <v>9</v>
      </c>
      <c r="AS378" t="s">
        <v>78</v>
      </c>
      <c r="AX378" t="s">
        <v>79</v>
      </c>
      <c r="AY378" t="s">
        <v>74</v>
      </c>
      <c r="AZ378">
        <v>0</v>
      </c>
      <c r="BA378" t="s">
        <v>74</v>
      </c>
      <c r="BB378">
        <v>0</v>
      </c>
      <c r="BD378">
        <v>0.18</v>
      </c>
      <c r="BE378">
        <v>0</v>
      </c>
    </row>
    <row r="379" spans="1:58" ht="12.75">
      <c r="A379" s="2" t="str">
        <f>HYPERLINK("https://ibp.a2mac1.com/costing(costing:projects/details/8191/part/5381742)","Differential case")</f>
        <v>Differential case</v>
      </c>
      <c r="B379">
        <v>5381742</v>
      </c>
      <c r="C379">
        <v>5381706</v>
      </c>
      <c r="D379" t="s">
        <v>1506</v>
      </c>
      <c r="E379">
        <v>1.9643738947368421</v>
      </c>
      <c r="F379">
        <v>0</v>
      </c>
      <c r="G379">
        <v>0</v>
      </c>
      <c r="H379">
        <v>0.010142583578947368</v>
      </c>
      <c r="I379" t="s">
        <v>137</v>
      </c>
      <c r="J379">
        <v>0.070156210526315793</v>
      </c>
      <c r="K379">
        <v>2.0446726888421054</v>
      </c>
      <c r="L379">
        <v>0.50602804250672428</v>
      </c>
      <c r="M379">
        <v>3.0361682550403457</v>
      </c>
      <c r="N379">
        <v>5.0808409438824507</v>
      </c>
      <c r="O379" t="s">
        <v>138</v>
      </c>
      <c r="P379">
        <v>0.12268036133052632</v>
      </c>
      <c r="Q379" t="s">
        <v>138</v>
      </c>
      <c r="R379">
        <v>0.18217009530242073</v>
      </c>
      <c r="S379" t="s">
        <v>139</v>
      </c>
      <c r="T379">
        <v>0.60970091326589415</v>
      </c>
      <c r="U379" t="s">
        <v>90</v>
      </c>
      <c r="V379">
        <v>0</v>
      </c>
      <c r="W379" t="s">
        <v>90</v>
      </c>
      <c r="X379">
        <v>0</v>
      </c>
      <c r="Y379">
        <v>5.9953923137812923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161</v>
      </c>
      <c r="AF379">
        <v>176</v>
      </c>
      <c r="AG379">
        <v>176</v>
      </c>
      <c r="AH379">
        <v>0</v>
      </c>
      <c r="AI379">
        <v>3.6619999999999999</v>
      </c>
      <c r="AK379" t="s">
        <v>75</v>
      </c>
      <c r="AM379">
        <v>200000</v>
      </c>
      <c r="AN379" t="s">
        <v>76</v>
      </c>
      <c r="AO379">
        <v>1</v>
      </c>
      <c r="AP379">
        <v>0</v>
      </c>
      <c r="AQ379">
        <v>16666.666666666668</v>
      </c>
      <c r="AR379" t="s">
        <v>1507</v>
      </c>
      <c r="AS379" t="s">
        <v>78</v>
      </c>
      <c r="AX379" t="s">
        <v>79</v>
      </c>
      <c r="AY379" t="s">
        <v>137</v>
      </c>
      <c r="AZ379">
        <v>0</v>
      </c>
      <c r="BA379" t="s">
        <v>137</v>
      </c>
      <c r="BB379">
        <v>0</v>
      </c>
      <c r="BE379">
        <v>0</v>
      </c>
    </row>
    <row r="380" spans="1:58" ht="12.75">
      <c r="A380" s="2" t="str">
        <f>HYPERLINK("https://ibp.a2mac1.com/costing(costing:projects/details/8191/part/5381743)","Sun gear")</f>
        <v>Sun gear</v>
      </c>
      <c r="B380">
        <v>5381743</v>
      </c>
      <c r="C380">
        <v>5381706</v>
      </c>
      <c r="D380" t="s">
        <v>1512</v>
      </c>
      <c r="E380">
        <v>1.0232980731428571</v>
      </c>
      <c r="F380">
        <v>0</v>
      </c>
      <c r="G380">
        <v>0</v>
      </c>
      <c r="H380">
        <v>0.0054757333062857147</v>
      </c>
      <c r="I380" t="s">
        <v>137</v>
      </c>
      <c r="J380">
        <v>0.038101523999999998</v>
      </c>
      <c r="K380">
        <v>1.066875330449143</v>
      </c>
      <c r="L380">
        <v>0.27393064872445888</v>
      </c>
      <c r="M380">
        <v>1.6435838923467534</v>
      </c>
      <c r="N380">
        <v>2.7104592227958961</v>
      </c>
      <c r="O380" t="s">
        <v>138</v>
      </c>
      <c r="P380">
        <v>0.064012519826948569</v>
      </c>
      <c r="Q380" t="s">
        <v>138</v>
      </c>
      <c r="R380">
        <v>0.098615033540805197</v>
      </c>
      <c r="S380" t="s">
        <v>139</v>
      </c>
      <c r="T380">
        <v>0.32525510673550756</v>
      </c>
      <c r="U380" t="s">
        <v>90</v>
      </c>
      <c r="V380">
        <v>0</v>
      </c>
      <c r="W380" t="s">
        <v>90</v>
      </c>
      <c r="X380">
        <v>0</v>
      </c>
      <c r="Y380">
        <v>3.1983418828991574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80</v>
      </c>
      <c r="AF380">
        <v>80</v>
      </c>
      <c r="AG380">
        <v>31</v>
      </c>
      <c r="AH380">
        <v>0</v>
      </c>
      <c r="AI380">
        <v>0.54349999999999998</v>
      </c>
      <c r="AK380" t="s">
        <v>75</v>
      </c>
      <c r="AM380">
        <v>400000</v>
      </c>
      <c r="AN380" t="s">
        <v>76</v>
      </c>
      <c r="AO380">
        <v>2</v>
      </c>
      <c r="AP380">
        <v>0</v>
      </c>
      <c r="AQ380">
        <v>33333.333333333336</v>
      </c>
      <c r="AR380" t="s">
        <v>1513</v>
      </c>
      <c r="AS380" t="s">
        <v>78</v>
      </c>
      <c r="AX380" t="s">
        <v>79</v>
      </c>
      <c r="AY380" t="s">
        <v>137</v>
      </c>
      <c r="AZ380">
        <v>0</v>
      </c>
      <c r="BA380" t="s">
        <v>137</v>
      </c>
      <c r="BB380">
        <v>0</v>
      </c>
      <c r="BE380">
        <v>0</v>
      </c>
    </row>
    <row r="381" spans="1:58" ht="12.75">
      <c r="A381" s="2" t="str">
        <f>HYPERLINK("https://ibp.a2mac1.com/costing(costing:projects/details/8191/part/5381744)","Planet gear")</f>
        <v>Planet gear</v>
      </c>
      <c r="B381">
        <v>5381744</v>
      </c>
      <c r="C381">
        <v>5381706</v>
      </c>
      <c r="D381" t="s">
        <v>1518</v>
      </c>
      <c r="E381">
        <v>0.45657733714285714</v>
      </c>
      <c r="F381">
        <v>0</v>
      </c>
      <c r="G381">
        <v>0</v>
      </c>
      <c r="H381">
        <v>0.0024431744742857142</v>
      </c>
      <c r="I381" t="s">
        <v>137</v>
      </c>
      <c r="J381">
        <v>0.01700022</v>
      </c>
      <c r="K381">
        <v>0.47602073161714287</v>
      </c>
      <c r="L381">
        <v>0.15981346760066489</v>
      </c>
      <c r="M381">
        <v>0.95888080560398936</v>
      </c>
      <c r="N381">
        <v>1.4349015372211322</v>
      </c>
      <c r="O381" t="s">
        <v>138</v>
      </c>
      <c r="P381">
        <v>0.028561243897028573</v>
      </c>
      <c r="Q381" t="s">
        <v>138</v>
      </c>
      <c r="R381">
        <v>0.05753284833623936</v>
      </c>
      <c r="S381" t="s">
        <v>139</v>
      </c>
      <c r="T381">
        <v>0.17218818446653586</v>
      </c>
      <c r="U381" t="s">
        <v>90</v>
      </c>
      <c r="V381">
        <v>0</v>
      </c>
      <c r="W381" t="s">
        <v>90</v>
      </c>
      <c r="X381">
        <v>0</v>
      </c>
      <c r="Y381">
        <v>1.6931838139209361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61</v>
      </c>
      <c r="AF381">
        <v>61</v>
      </c>
      <c r="AG381">
        <v>27</v>
      </c>
      <c r="AH381">
        <v>0</v>
      </c>
      <c r="AI381">
        <v>0.2425</v>
      </c>
      <c r="AK381" t="s">
        <v>75</v>
      </c>
      <c r="AM381">
        <v>400000</v>
      </c>
      <c r="AN381" t="s">
        <v>76</v>
      </c>
      <c r="AO381">
        <v>2</v>
      </c>
      <c r="AP381">
        <v>0</v>
      </c>
      <c r="AQ381">
        <v>33333.333333333336</v>
      </c>
      <c r="AR381" t="s">
        <v>1519</v>
      </c>
      <c r="AS381" t="s">
        <v>78</v>
      </c>
      <c r="AX381" t="s">
        <v>79</v>
      </c>
      <c r="AY381" t="s">
        <v>137</v>
      </c>
      <c r="AZ381">
        <v>0</v>
      </c>
      <c r="BA381" t="s">
        <v>137</v>
      </c>
      <c r="BB381">
        <v>0</v>
      </c>
      <c r="BE381">
        <v>0</v>
      </c>
    </row>
    <row r="382" spans="1:58" ht="12.75">
      <c r="A382" s="2" t="str">
        <f>HYPERLINK("https://ibp.a2mac1.com/costing(costing:projects/details/8191/part/5381745)","Differential gear")</f>
        <v>Differential gear</v>
      </c>
      <c r="B382">
        <v>5381745</v>
      </c>
      <c r="C382">
        <v>5381706</v>
      </c>
      <c r="D382" t="s">
        <v>1524</v>
      </c>
      <c r="E382">
        <v>2.6301175853333332</v>
      </c>
      <c r="F382">
        <v>0</v>
      </c>
      <c r="G382">
        <v>0</v>
      </c>
      <c r="H382">
        <v>0.014008836822933333</v>
      </c>
      <c r="I382" t="s">
        <v>137</v>
      </c>
      <c r="J382">
        <v>0.096899068933333332</v>
      </c>
      <c r="K382">
        <v>2.7410254910896001</v>
      </c>
      <c r="L382">
        <v>1.8442917937151206</v>
      </c>
      <c r="M382">
        <v>11.065750762290724</v>
      </c>
      <c r="N382">
        <v>13.806776253380324</v>
      </c>
      <c r="O382" t="s">
        <v>138</v>
      </c>
      <c r="P382">
        <v>0.16446152946537601</v>
      </c>
      <c r="Q382" t="s">
        <v>138</v>
      </c>
      <c r="R382">
        <v>0.66394504573744351</v>
      </c>
      <c r="S382" t="s">
        <v>139</v>
      </c>
      <c r="T382">
        <v>1.6568131504056389</v>
      </c>
      <c r="U382" t="s">
        <v>90</v>
      </c>
      <c r="V382">
        <v>0</v>
      </c>
      <c r="W382" t="s">
        <v>90</v>
      </c>
      <c r="X382">
        <v>0</v>
      </c>
      <c r="Y382">
        <v>16.291995978988783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218</v>
      </c>
      <c r="AF382">
        <v>218</v>
      </c>
      <c r="AG382">
        <v>45</v>
      </c>
      <c r="AH382">
        <v>0</v>
      </c>
      <c r="AI382">
        <v>3.601</v>
      </c>
      <c r="AK382" t="s">
        <v>75</v>
      </c>
      <c r="AM382">
        <v>200000</v>
      </c>
      <c r="AN382" t="s">
        <v>76</v>
      </c>
      <c r="AO382">
        <v>1</v>
      </c>
      <c r="AP382">
        <v>0</v>
      </c>
      <c r="AQ382">
        <v>16666.666666666668</v>
      </c>
      <c r="AR382" t="s">
        <v>1525</v>
      </c>
      <c r="AS382" t="s">
        <v>78</v>
      </c>
      <c r="AX382" t="s">
        <v>79</v>
      </c>
      <c r="AY382" t="s">
        <v>137</v>
      </c>
      <c r="AZ382">
        <v>0</v>
      </c>
      <c r="BA382" t="s">
        <v>137</v>
      </c>
      <c r="BB382">
        <v>0</v>
      </c>
      <c r="BE382">
        <v>0</v>
      </c>
    </row>
    <row r="383" spans="1:58" ht="12.75">
      <c r="A383" s="2" t="str">
        <f>HYPERLINK("https://ibp.a2mac1.com/costing(costing:projects/details/8191/part/5381746)","Planet gear axle")</f>
        <v>Planet gear axle</v>
      </c>
      <c r="B383">
        <v>5381746</v>
      </c>
      <c r="C383">
        <v>5381706</v>
      </c>
      <c r="D383" t="s">
        <v>1533</v>
      </c>
      <c r="E383">
        <v>0.28043288571428571</v>
      </c>
      <c r="F383">
        <v>0</v>
      </c>
      <c r="G383">
        <v>0</v>
      </c>
      <c r="H383">
        <v>0.0014189904017142857</v>
      </c>
      <c r="I383" t="s">
        <v>137</v>
      </c>
      <c r="J383">
        <v>0.0098151509999999994</v>
      </c>
      <c r="K383">
        <v>0.29166702711600001</v>
      </c>
      <c r="L383">
        <v>0.038330330145667266</v>
      </c>
      <c r="M383">
        <v>0.22998198087400357</v>
      </c>
      <c r="N383">
        <v>0.52164900799000358</v>
      </c>
      <c r="O383" t="s">
        <v>138</v>
      </c>
      <c r="P383">
        <v>0.017500021626959999</v>
      </c>
      <c r="Q383" t="s">
        <v>138</v>
      </c>
      <c r="R383">
        <v>0.013798918852440214</v>
      </c>
      <c r="S383" t="s">
        <v>139</v>
      </c>
      <c r="T383">
        <v>0.062597880958800423</v>
      </c>
      <c r="U383" t="s">
        <v>90</v>
      </c>
      <c r="V383">
        <v>0</v>
      </c>
      <c r="W383" t="s">
        <v>90</v>
      </c>
      <c r="X383">
        <v>0</v>
      </c>
      <c r="Y383">
        <v>0.61554582942820424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20</v>
      </c>
      <c r="AF383">
        <v>125</v>
      </c>
      <c r="AG383">
        <v>20</v>
      </c>
      <c r="AH383">
        <v>0</v>
      </c>
      <c r="AI383">
        <v>0.30199999999999999</v>
      </c>
      <c r="AK383" t="s">
        <v>75</v>
      </c>
      <c r="AM383">
        <v>200000</v>
      </c>
      <c r="AN383" t="s">
        <v>76</v>
      </c>
      <c r="AO383">
        <v>1</v>
      </c>
      <c r="AP383">
        <v>0</v>
      </c>
      <c r="AQ383">
        <v>16666.666666666668</v>
      </c>
      <c r="AR383" t="s">
        <v>1534</v>
      </c>
      <c r="AS383" t="s">
        <v>78</v>
      </c>
      <c r="AX383" t="s">
        <v>79</v>
      </c>
      <c r="AY383" t="s">
        <v>137</v>
      </c>
      <c r="AZ383">
        <v>0</v>
      </c>
      <c r="BA383" t="s">
        <v>137</v>
      </c>
      <c r="BB383">
        <v>0</v>
      </c>
      <c r="BE383">
        <v>0</v>
      </c>
    </row>
    <row r="384" spans="1:58" ht="12.75">
      <c r="A384" s="2" t="str">
        <f>HYPERLINK("https://ibp.a2mac1.com/costing(costing:projects/details/8191/part/5381747)","Tapered roller bearing")</f>
        <v>Tapered roller bearing</v>
      </c>
      <c r="B384">
        <v>5381747</v>
      </c>
      <c r="C384">
        <v>5381706</v>
      </c>
      <c r="D384" t="s">
        <v>1535</v>
      </c>
      <c r="E384">
        <v>5.92</v>
      </c>
      <c r="F384">
        <v>0</v>
      </c>
      <c r="G384">
        <v>0</v>
      </c>
      <c r="H384">
        <v>0</v>
      </c>
      <c r="I384" t="s">
        <v>74</v>
      </c>
      <c r="J384">
        <v>0</v>
      </c>
      <c r="K384">
        <v>5.92</v>
      </c>
      <c r="L384">
        <v>0</v>
      </c>
      <c r="M384">
        <v>0</v>
      </c>
      <c r="N384">
        <v>5.92</v>
      </c>
      <c r="O384" t="s">
        <v>74</v>
      </c>
      <c r="P384">
        <v>0</v>
      </c>
      <c r="Q384" t="s">
        <v>74</v>
      </c>
      <c r="R384">
        <v>0</v>
      </c>
      <c r="S384" t="s">
        <v>74</v>
      </c>
      <c r="T384">
        <v>0</v>
      </c>
      <c r="U384" t="s">
        <v>74</v>
      </c>
      <c r="V384">
        <v>0</v>
      </c>
      <c r="W384" t="s">
        <v>74</v>
      </c>
      <c r="X384">
        <v>0</v>
      </c>
      <c r="Y384">
        <v>5.92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69</v>
      </c>
      <c r="AF384">
        <v>69</v>
      </c>
      <c r="AG384">
        <v>19</v>
      </c>
      <c r="AH384">
        <v>0</v>
      </c>
      <c r="AI384">
        <v>0.20</v>
      </c>
      <c r="AK384" t="s">
        <v>75</v>
      </c>
      <c r="AM384">
        <v>400000</v>
      </c>
      <c r="AN384" t="s">
        <v>76</v>
      </c>
      <c r="AO384">
        <v>2</v>
      </c>
      <c r="AP384">
        <v>0</v>
      </c>
      <c r="AQ384">
        <v>33333.333333333336</v>
      </c>
      <c r="AR384" t="s">
        <v>1536</v>
      </c>
      <c r="AS384" t="s">
        <v>78</v>
      </c>
      <c r="AX384" t="s">
        <v>79</v>
      </c>
      <c r="AY384" t="s">
        <v>74</v>
      </c>
      <c r="AZ384">
        <v>0</v>
      </c>
      <c r="BA384" t="s">
        <v>74</v>
      </c>
      <c r="BB384">
        <v>0</v>
      </c>
      <c r="BD384">
        <v>2.96</v>
      </c>
      <c r="BE384">
        <v>0</v>
      </c>
    </row>
    <row r="385" spans="1:58" ht="12.75">
      <c r="A385" s="2" t="str">
        <f>HYPERLINK("https://ibp.a2mac1.com/costing(costing:projects/details/8191/part/5381748)","Adjustment spacer")</f>
        <v>Adjustment spacer</v>
      </c>
      <c r="B385">
        <v>5381748</v>
      </c>
      <c r="C385">
        <v>5381706</v>
      </c>
      <c r="D385" t="s">
        <v>1537</v>
      </c>
      <c r="E385">
        <v>0.50</v>
      </c>
      <c r="F385">
        <v>0</v>
      </c>
      <c r="G385">
        <v>0</v>
      </c>
      <c r="H385">
        <v>0</v>
      </c>
      <c r="I385" t="s">
        <v>74</v>
      </c>
      <c r="J385">
        <v>0</v>
      </c>
      <c r="K385">
        <v>0.50</v>
      </c>
      <c r="L385">
        <v>0</v>
      </c>
      <c r="M385">
        <v>0</v>
      </c>
      <c r="N385">
        <v>0.50</v>
      </c>
      <c r="O385" t="s">
        <v>74</v>
      </c>
      <c r="P385">
        <v>0</v>
      </c>
      <c r="Q385" t="s">
        <v>74</v>
      </c>
      <c r="R385">
        <v>0</v>
      </c>
      <c r="S385" t="s">
        <v>74</v>
      </c>
      <c r="T385">
        <v>0</v>
      </c>
      <c r="U385" t="s">
        <v>74</v>
      </c>
      <c r="V385">
        <v>0</v>
      </c>
      <c r="W385" t="s">
        <v>74</v>
      </c>
      <c r="X385">
        <v>0</v>
      </c>
      <c r="Y385">
        <v>0.50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75</v>
      </c>
      <c r="AF385">
        <v>75</v>
      </c>
      <c r="AG385">
        <v>1</v>
      </c>
      <c r="AH385">
        <v>0</v>
      </c>
      <c r="AI385">
        <v>0.01</v>
      </c>
      <c r="AK385" t="s">
        <v>75</v>
      </c>
      <c r="AM385">
        <v>200000</v>
      </c>
      <c r="AN385" t="s">
        <v>76</v>
      </c>
      <c r="AO385">
        <v>1</v>
      </c>
      <c r="AP385">
        <v>0</v>
      </c>
      <c r="AQ385">
        <v>16666.666666666668</v>
      </c>
      <c r="AR385" t="s">
        <v>1538</v>
      </c>
      <c r="AS385" t="s">
        <v>78</v>
      </c>
      <c r="AX385" t="s">
        <v>79</v>
      </c>
      <c r="AY385" t="s">
        <v>74</v>
      </c>
      <c r="AZ385">
        <v>0</v>
      </c>
      <c r="BA385" t="s">
        <v>74</v>
      </c>
      <c r="BB385">
        <v>0</v>
      </c>
      <c r="BD385">
        <v>0.50</v>
      </c>
      <c r="BE385">
        <v>0</v>
      </c>
    </row>
    <row r="386" spans="1:58" ht="12.75">
      <c r="A386" s="2" t="str">
        <f>HYPERLINK("https://ibp.a2mac1.com/costing(costing:projects/details/8191/part/5381749)","Magnet")</f>
        <v>Magnet</v>
      </c>
      <c r="B386">
        <v>5381749</v>
      </c>
      <c r="C386">
        <v>5381706</v>
      </c>
      <c r="D386" t="s">
        <v>1539</v>
      </c>
      <c r="E386">
        <v>0.11</v>
      </c>
      <c r="F386">
        <v>0</v>
      </c>
      <c r="G386">
        <v>0</v>
      </c>
      <c r="H386">
        <v>0</v>
      </c>
      <c r="I386" t="s">
        <v>74</v>
      </c>
      <c r="J386">
        <v>0</v>
      </c>
      <c r="K386">
        <v>0.11</v>
      </c>
      <c r="L386">
        <v>0</v>
      </c>
      <c r="M386">
        <v>0</v>
      </c>
      <c r="N386">
        <v>0.11</v>
      </c>
      <c r="O386" t="s">
        <v>74</v>
      </c>
      <c r="P386">
        <v>0</v>
      </c>
      <c r="Q386" t="s">
        <v>74</v>
      </c>
      <c r="R386">
        <v>0</v>
      </c>
      <c r="S386" t="s">
        <v>74</v>
      </c>
      <c r="T386">
        <v>0</v>
      </c>
      <c r="U386" t="s">
        <v>74</v>
      </c>
      <c r="V386">
        <v>0</v>
      </c>
      <c r="W386" t="s">
        <v>74</v>
      </c>
      <c r="X386">
        <v>0</v>
      </c>
      <c r="Y386">
        <v>0.11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31</v>
      </c>
      <c r="AF386">
        <v>18</v>
      </c>
      <c r="AG386">
        <v>10</v>
      </c>
      <c r="AH386">
        <v>0</v>
      </c>
      <c r="AI386">
        <v>0.025</v>
      </c>
      <c r="AK386" t="s">
        <v>75</v>
      </c>
      <c r="AM386">
        <v>200000</v>
      </c>
      <c r="AN386" t="s">
        <v>76</v>
      </c>
      <c r="AO386">
        <v>1</v>
      </c>
      <c r="AP386">
        <v>0</v>
      </c>
      <c r="AQ386">
        <v>16666.666666666668</v>
      </c>
      <c r="AR386" t="s">
        <v>1540</v>
      </c>
      <c r="AS386" t="s">
        <v>78</v>
      </c>
      <c r="AX386" t="s">
        <v>79</v>
      </c>
      <c r="AY386" t="s">
        <v>74</v>
      </c>
      <c r="AZ386">
        <v>0</v>
      </c>
      <c r="BA386" t="s">
        <v>74</v>
      </c>
      <c r="BB386">
        <v>0</v>
      </c>
      <c r="BD386">
        <v>0.11</v>
      </c>
      <c r="BE386">
        <v>0</v>
      </c>
    </row>
    <row r="387" spans="1:58" ht="12.75">
      <c r="A387" s="2" t="str">
        <f>HYPERLINK("https://ibp.a2mac1.com/costing(costing:projects/details/8191/part/5381750)","Bearing race")</f>
        <v>Bearing race</v>
      </c>
      <c r="B387">
        <v>5381750</v>
      </c>
      <c r="C387">
        <v>5381706</v>
      </c>
      <c r="D387" t="s">
        <v>1541</v>
      </c>
      <c r="E387">
        <v>3.60</v>
      </c>
      <c r="F387">
        <v>0</v>
      </c>
      <c r="G387">
        <v>0</v>
      </c>
      <c r="H387">
        <v>0</v>
      </c>
      <c r="I387" t="s">
        <v>74</v>
      </c>
      <c r="J387">
        <v>0</v>
      </c>
      <c r="K387">
        <v>3.60</v>
      </c>
      <c r="L387">
        <v>0</v>
      </c>
      <c r="M387">
        <v>0</v>
      </c>
      <c r="N387">
        <v>3.60</v>
      </c>
      <c r="O387" t="s">
        <v>74</v>
      </c>
      <c r="P387">
        <v>0</v>
      </c>
      <c r="Q387" t="s">
        <v>74</v>
      </c>
      <c r="R387">
        <v>0</v>
      </c>
      <c r="S387" t="s">
        <v>74</v>
      </c>
      <c r="T387">
        <v>0</v>
      </c>
      <c r="U387" t="s">
        <v>74</v>
      </c>
      <c r="V387">
        <v>0</v>
      </c>
      <c r="W387" t="s">
        <v>74</v>
      </c>
      <c r="X387">
        <v>0</v>
      </c>
      <c r="Y387">
        <v>3.60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75</v>
      </c>
      <c r="AF387">
        <v>75</v>
      </c>
      <c r="AG387">
        <v>15</v>
      </c>
      <c r="AH387">
        <v>0</v>
      </c>
      <c r="AI387">
        <v>0.094</v>
      </c>
      <c r="AK387" t="s">
        <v>75</v>
      </c>
      <c r="AM387">
        <v>400000</v>
      </c>
      <c r="AN387" t="s">
        <v>76</v>
      </c>
      <c r="AO387">
        <v>2</v>
      </c>
      <c r="AP387">
        <v>0</v>
      </c>
      <c r="AQ387">
        <v>33333.333333333336</v>
      </c>
      <c r="AR387" t="s">
        <v>1542</v>
      </c>
      <c r="AS387" t="s">
        <v>78</v>
      </c>
      <c r="AV387">
        <v>0</v>
      </c>
      <c r="AW387">
        <v>0</v>
      </c>
      <c r="AX387" t="s">
        <v>79</v>
      </c>
      <c r="AY387" t="s">
        <v>74</v>
      </c>
      <c r="AZ387">
        <v>0</v>
      </c>
      <c r="BA387" t="s">
        <v>74</v>
      </c>
      <c r="BB387">
        <v>0</v>
      </c>
      <c r="BD387">
        <v>1.80</v>
      </c>
      <c r="BE387">
        <v>0</v>
      </c>
    </row>
    <row r="388" spans="1:58" ht="12.75">
      <c r="A388" s="2" t="str">
        <f>HYPERLINK("https://ibp.a2mac1.com/costing(costing:projects/details/8191/part/5381751)","Input shaft")</f>
        <v>Input shaft</v>
      </c>
      <c r="B388">
        <v>5381751</v>
      </c>
      <c r="C388">
        <v>5381707</v>
      </c>
      <c r="D388" t="s">
        <v>1551</v>
      </c>
      <c r="E388">
        <v>0.7940883053333333</v>
      </c>
      <c r="F388">
        <v>0</v>
      </c>
      <c r="G388">
        <v>0</v>
      </c>
      <c r="H388">
        <v>0.0042295650789333332</v>
      </c>
      <c r="I388" t="s">
        <v>137</v>
      </c>
      <c r="J388">
        <v>0.029255884933333334</v>
      </c>
      <c r="K388">
        <v>0.82757375534559996</v>
      </c>
      <c r="L388">
        <v>0.78232471086438471</v>
      </c>
      <c r="M388">
        <v>4.6939482651863083</v>
      </c>
      <c r="N388">
        <v>5.5215220205319078</v>
      </c>
      <c r="O388" t="s">
        <v>138</v>
      </c>
      <c r="P388">
        <v>0.049654425320736002</v>
      </c>
      <c r="Q388" t="s">
        <v>138</v>
      </c>
      <c r="R388">
        <v>0.28163689591117846</v>
      </c>
      <c r="S388" t="s">
        <v>139</v>
      </c>
      <c r="T388">
        <v>0.66258264246382892</v>
      </c>
      <c r="U388" t="s">
        <v>90</v>
      </c>
      <c r="V388">
        <v>0</v>
      </c>
      <c r="W388" t="s">
        <v>90</v>
      </c>
      <c r="X388">
        <v>0</v>
      </c>
      <c r="Y388">
        <v>6.5153959842276512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50</v>
      </c>
      <c r="AF388">
        <v>50</v>
      </c>
      <c r="AG388">
        <v>191</v>
      </c>
      <c r="AH388">
        <v>0</v>
      </c>
      <c r="AI388">
        <v>1.0389999999999999</v>
      </c>
      <c r="AK388" t="s">
        <v>75</v>
      </c>
      <c r="AM388">
        <v>200000</v>
      </c>
      <c r="AN388" t="s">
        <v>76</v>
      </c>
      <c r="AO388">
        <v>1</v>
      </c>
      <c r="AP388">
        <v>0</v>
      </c>
      <c r="AQ388">
        <v>16666.666666666668</v>
      </c>
      <c r="AR388" t="s">
        <v>1552</v>
      </c>
      <c r="AS388" t="s">
        <v>78</v>
      </c>
      <c r="AX388" t="s">
        <v>79</v>
      </c>
      <c r="AY388" t="s">
        <v>137</v>
      </c>
      <c r="AZ388">
        <v>0</v>
      </c>
      <c r="BA388" t="s">
        <v>137</v>
      </c>
      <c r="BB388">
        <v>0</v>
      </c>
      <c r="BE388">
        <v>0</v>
      </c>
    </row>
    <row r="389" spans="1:58" ht="12.75">
      <c r="A389" s="2" t="str">
        <f>HYPERLINK("https://ibp.a2mac1.com/costing(costing:projects/details/8191/part/5381752)","Roller bearing")</f>
        <v>Roller bearing</v>
      </c>
      <c r="B389">
        <v>5381752</v>
      </c>
      <c r="C389">
        <v>5381707</v>
      </c>
      <c r="D389" t="s">
        <v>1553</v>
      </c>
      <c r="E389">
        <v>1.10</v>
      </c>
      <c r="F389">
        <v>0</v>
      </c>
      <c r="G389">
        <v>0</v>
      </c>
      <c r="H389">
        <v>0</v>
      </c>
      <c r="I389" t="s">
        <v>74</v>
      </c>
      <c r="J389">
        <v>0</v>
      </c>
      <c r="K389">
        <v>1.10</v>
      </c>
      <c r="L389">
        <v>0</v>
      </c>
      <c r="M389">
        <v>0</v>
      </c>
      <c r="N389">
        <v>1.10</v>
      </c>
      <c r="O389" t="s">
        <v>74</v>
      </c>
      <c r="P389">
        <v>0</v>
      </c>
      <c r="Q389" t="s">
        <v>74</v>
      </c>
      <c r="R389">
        <v>0</v>
      </c>
      <c r="S389" t="s">
        <v>74</v>
      </c>
      <c r="T389">
        <v>0</v>
      </c>
      <c r="U389" t="s">
        <v>74</v>
      </c>
      <c r="V389">
        <v>0</v>
      </c>
      <c r="W389" t="s">
        <v>74</v>
      </c>
      <c r="X389">
        <v>0</v>
      </c>
      <c r="Y389">
        <v>1.10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72</v>
      </c>
      <c r="AF389">
        <v>72</v>
      </c>
      <c r="AG389">
        <v>17</v>
      </c>
      <c r="AH389">
        <v>0</v>
      </c>
      <c r="AI389">
        <v>0.27900000000000003</v>
      </c>
      <c r="AK389" t="s">
        <v>75</v>
      </c>
      <c r="AM389">
        <v>200000</v>
      </c>
      <c r="AN389" t="s">
        <v>76</v>
      </c>
      <c r="AO389">
        <v>1</v>
      </c>
      <c r="AP389">
        <v>0</v>
      </c>
      <c r="AQ389">
        <v>16666.666666666668</v>
      </c>
      <c r="AR389" t="s">
        <v>1554</v>
      </c>
      <c r="AS389" t="s">
        <v>78</v>
      </c>
      <c r="AX389" t="s">
        <v>79</v>
      </c>
      <c r="AY389" t="s">
        <v>74</v>
      </c>
      <c r="AZ389">
        <v>0</v>
      </c>
      <c r="BA389" t="s">
        <v>74</v>
      </c>
      <c r="BB389">
        <v>0</v>
      </c>
      <c r="BD389">
        <v>1.10</v>
      </c>
      <c r="BE389">
        <v>0</v>
      </c>
    </row>
    <row r="390" spans="1:58" ht="12.75">
      <c r="A390" s="2" t="str">
        <f>HYPERLINK("https://ibp.a2mac1.com/costing(costing:projects/details/8191/part/5381753)","Fasteners cover")</f>
        <v>Fasteners cover</v>
      </c>
      <c r="B390">
        <v>5381753</v>
      </c>
      <c r="C390">
        <v>5381707</v>
      </c>
      <c r="D390" t="s">
        <v>1555</v>
      </c>
      <c r="E390">
        <v>1.30</v>
      </c>
      <c r="F390">
        <v>0</v>
      </c>
      <c r="G390">
        <v>0</v>
      </c>
      <c r="H390">
        <v>0</v>
      </c>
      <c r="I390" t="s">
        <v>74</v>
      </c>
      <c r="J390">
        <v>0</v>
      </c>
      <c r="K390">
        <v>1.30</v>
      </c>
      <c r="L390">
        <v>0</v>
      </c>
      <c r="M390">
        <v>0</v>
      </c>
      <c r="N390">
        <v>1.30</v>
      </c>
      <c r="O390" t="s">
        <v>74</v>
      </c>
      <c r="P390">
        <v>0</v>
      </c>
      <c r="Q390" t="s">
        <v>74</v>
      </c>
      <c r="R390">
        <v>0</v>
      </c>
      <c r="S390" t="s">
        <v>74</v>
      </c>
      <c r="T390">
        <v>0</v>
      </c>
      <c r="U390" t="s">
        <v>74</v>
      </c>
      <c r="V390">
        <v>0</v>
      </c>
      <c r="W390" t="s">
        <v>74</v>
      </c>
      <c r="X390">
        <v>0</v>
      </c>
      <c r="Y390">
        <v>1.30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51</v>
      </c>
      <c r="AF390">
        <v>51</v>
      </c>
      <c r="AG390">
        <v>9</v>
      </c>
      <c r="AH390">
        <v>0</v>
      </c>
      <c r="AI390">
        <v>0.02</v>
      </c>
      <c r="AK390" t="s">
        <v>75</v>
      </c>
      <c r="AM390">
        <v>200000</v>
      </c>
      <c r="AN390" t="s">
        <v>76</v>
      </c>
      <c r="AO390">
        <v>1</v>
      </c>
      <c r="AP390">
        <v>0</v>
      </c>
      <c r="AQ390">
        <v>16666.666666666668</v>
      </c>
      <c r="AR390" t="s">
        <v>1556</v>
      </c>
      <c r="AS390" t="s">
        <v>78</v>
      </c>
      <c r="AX390" t="s">
        <v>79</v>
      </c>
      <c r="AY390" t="s">
        <v>74</v>
      </c>
      <c r="AZ390">
        <v>0</v>
      </c>
      <c r="BA390" t="s">
        <v>74</v>
      </c>
      <c r="BB390">
        <v>0</v>
      </c>
      <c r="BD390">
        <v>1.30</v>
      </c>
      <c r="BE390">
        <v>0</v>
      </c>
    </row>
    <row r="391" spans="1:58" ht="12.75">
      <c r="A391" s="2" t="str">
        <f>HYPERLINK("https://ibp.a2mac1.com/costing(costing:projects/details/8191/part/5381754)","Shaft")</f>
        <v>Shaft</v>
      </c>
      <c r="B391">
        <v>5381754</v>
      </c>
      <c r="C391">
        <v>5381708</v>
      </c>
      <c r="D391" t="s">
        <v>1564</v>
      </c>
      <c r="E391">
        <v>5.0665677419354838</v>
      </c>
      <c r="F391">
        <v>0</v>
      </c>
      <c r="G391">
        <v>0</v>
      </c>
      <c r="H391">
        <v>0.025636832774193548</v>
      </c>
      <c r="I391" t="s">
        <v>137</v>
      </c>
      <c r="J391">
        <v>0.17732987096774194</v>
      </c>
      <c r="K391">
        <v>5.2695344456774196</v>
      </c>
      <c r="L391">
        <v>0.7452793475091265</v>
      </c>
      <c r="M391">
        <v>4.4716760850547583</v>
      </c>
      <c r="N391">
        <v>9.7412105307321788</v>
      </c>
      <c r="O391" t="s">
        <v>138</v>
      </c>
      <c r="P391">
        <v>0.31617206674064519</v>
      </c>
      <c r="Q391" t="s">
        <v>138</v>
      </c>
      <c r="R391">
        <v>0.26830056510328554</v>
      </c>
      <c r="S391" t="s">
        <v>139</v>
      </c>
      <c r="T391">
        <v>1.1689452636878614</v>
      </c>
      <c r="U391" t="s">
        <v>90</v>
      </c>
      <c r="V391">
        <v>0</v>
      </c>
      <c r="W391" t="s">
        <v>90</v>
      </c>
      <c r="X391">
        <v>0</v>
      </c>
      <c r="Y391">
        <v>11.49462842626397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63</v>
      </c>
      <c r="AF391">
        <v>63</v>
      </c>
      <c r="AG391">
        <v>148</v>
      </c>
      <c r="AH391">
        <v>0</v>
      </c>
      <c r="AI391">
        <v>1.4930000000000001</v>
      </c>
      <c r="AK391" t="s">
        <v>75</v>
      </c>
      <c r="AM391">
        <v>200000</v>
      </c>
      <c r="AN391" t="s">
        <v>76</v>
      </c>
      <c r="AO391">
        <v>1</v>
      </c>
      <c r="AP391">
        <v>0</v>
      </c>
      <c r="AQ391">
        <v>16666.666666666668</v>
      </c>
      <c r="AR391" t="s">
        <v>1565</v>
      </c>
      <c r="AS391" t="s">
        <v>78</v>
      </c>
      <c r="AX391" t="s">
        <v>79</v>
      </c>
      <c r="AY391" t="s">
        <v>137</v>
      </c>
      <c r="AZ391">
        <v>0</v>
      </c>
      <c r="BA391" t="s">
        <v>137</v>
      </c>
      <c r="BB391">
        <v>0</v>
      </c>
      <c r="BE391">
        <v>0</v>
      </c>
    </row>
    <row r="392" spans="1:58" ht="12.75">
      <c r="A392" s="2" t="str">
        <f>HYPERLINK("https://ibp.a2mac1.com/costing(costing:projects/details/8191/part/5381755)","Gear")</f>
        <v>Gear</v>
      </c>
      <c r="B392">
        <v>5381755</v>
      </c>
      <c r="C392">
        <v>5381708</v>
      </c>
      <c r="D392" t="s">
        <v>1570</v>
      </c>
      <c r="E392">
        <v>1.5148811834838709</v>
      </c>
      <c r="F392">
        <v>0</v>
      </c>
      <c r="G392">
        <v>0</v>
      </c>
      <c r="H392">
        <v>0.0080264908779354837</v>
      </c>
      <c r="I392" t="s">
        <v>137</v>
      </c>
      <c r="J392">
        <v>0.055519205677419352</v>
      </c>
      <c r="K392">
        <v>1.5784268800392258</v>
      </c>
      <c r="L392">
        <v>1.7277672359496472</v>
      </c>
      <c r="M392">
        <v>10.366603415697883</v>
      </c>
      <c r="N392">
        <v>11.945030295737109</v>
      </c>
      <c r="O392" t="s">
        <v>138</v>
      </c>
      <c r="P392">
        <v>0.094705612802353553</v>
      </c>
      <c r="Q392" t="s">
        <v>138</v>
      </c>
      <c r="R392">
        <v>0.62199620494187291</v>
      </c>
      <c r="S392" t="s">
        <v>139</v>
      </c>
      <c r="T392">
        <v>1.433403635488453</v>
      </c>
      <c r="U392" t="s">
        <v>90</v>
      </c>
      <c r="V392">
        <v>0</v>
      </c>
      <c r="W392" t="s">
        <v>90</v>
      </c>
      <c r="X392">
        <v>0</v>
      </c>
      <c r="Y392">
        <v>14.095135748969788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135</v>
      </c>
      <c r="AF392">
        <v>135</v>
      </c>
      <c r="AG392">
        <v>45</v>
      </c>
      <c r="AH392">
        <v>0</v>
      </c>
      <c r="AI392">
        <v>2.1320000000000001</v>
      </c>
      <c r="AK392" t="s">
        <v>75</v>
      </c>
      <c r="AM392">
        <v>200000</v>
      </c>
      <c r="AN392" t="s">
        <v>76</v>
      </c>
      <c r="AO392">
        <v>1</v>
      </c>
      <c r="AP392">
        <v>0</v>
      </c>
      <c r="AQ392">
        <v>16666.666666666668</v>
      </c>
      <c r="AR392" t="s">
        <v>1571</v>
      </c>
      <c r="AS392" t="s">
        <v>78</v>
      </c>
      <c r="AX392" t="s">
        <v>79</v>
      </c>
      <c r="AY392" t="s">
        <v>137</v>
      </c>
      <c r="AZ392">
        <v>0</v>
      </c>
      <c r="BA392" t="s">
        <v>137</v>
      </c>
      <c r="BB392">
        <v>0</v>
      </c>
      <c r="BE392">
        <v>0</v>
      </c>
    </row>
    <row r="393" spans="1:58" ht="12.75">
      <c r="A393" s="2" t="str">
        <f>HYPERLINK("https://ibp.a2mac1.com/costing(costing:projects/details/8191/part/5381756)","Ball bearing #1")</f>
        <v>Ball bearing #1</v>
      </c>
      <c r="B393">
        <v>5381756</v>
      </c>
      <c r="C393">
        <v>5381708</v>
      </c>
      <c r="D393" t="s">
        <v>1572</v>
      </c>
      <c r="E393">
        <v>1.44</v>
      </c>
      <c r="F393">
        <v>0</v>
      </c>
      <c r="G393">
        <v>0</v>
      </c>
      <c r="H393">
        <v>0</v>
      </c>
      <c r="I393" t="s">
        <v>74</v>
      </c>
      <c r="J393">
        <v>0</v>
      </c>
      <c r="K393">
        <v>1.44</v>
      </c>
      <c r="L393">
        <v>0</v>
      </c>
      <c r="M393">
        <v>0</v>
      </c>
      <c r="N393">
        <v>1.44</v>
      </c>
      <c r="O393" t="s">
        <v>74</v>
      </c>
      <c r="P393">
        <v>0</v>
      </c>
      <c r="Q393" t="s">
        <v>74</v>
      </c>
      <c r="R393">
        <v>0</v>
      </c>
      <c r="S393" t="s">
        <v>74</v>
      </c>
      <c r="T393">
        <v>0</v>
      </c>
      <c r="U393" t="s">
        <v>74</v>
      </c>
      <c r="V393">
        <v>0</v>
      </c>
      <c r="W393" t="s">
        <v>74</v>
      </c>
      <c r="X393">
        <v>0</v>
      </c>
      <c r="Y393">
        <v>1.44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72</v>
      </c>
      <c r="AF393">
        <v>72</v>
      </c>
      <c r="AG393">
        <v>21</v>
      </c>
      <c r="AH393">
        <v>0</v>
      </c>
      <c r="AI393">
        <v>0.365</v>
      </c>
      <c r="AK393" t="s">
        <v>75</v>
      </c>
      <c r="AM393">
        <v>200000</v>
      </c>
      <c r="AN393" t="s">
        <v>76</v>
      </c>
      <c r="AO393">
        <v>1</v>
      </c>
      <c r="AP393">
        <v>0</v>
      </c>
      <c r="AQ393">
        <v>16666.666666666668</v>
      </c>
      <c r="AR393" t="s">
        <v>1573</v>
      </c>
      <c r="AS393" t="s">
        <v>78</v>
      </c>
      <c r="AX393" t="s">
        <v>79</v>
      </c>
      <c r="AY393" t="s">
        <v>74</v>
      </c>
      <c r="AZ393">
        <v>0</v>
      </c>
      <c r="BA393" t="s">
        <v>74</v>
      </c>
      <c r="BB393">
        <v>0</v>
      </c>
      <c r="BD393">
        <v>1.44</v>
      </c>
      <c r="BE393">
        <v>0</v>
      </c>
    </row>
    <row r="394" spans="1:58" ht="12.75">
      <c r="A394" s="2" t="str">
        <f>HYPERLINK("https://ibp.a2mac1.com/costing(costing:projects/details/8191/part/5381757)","Ball bearing #2")</f>
        <v>Ball bearing #2</v>
      </c>
      <c r="B394">
        <v>5381757</v>
      </c>
      <c r="C394">
        <v>5381708</v>
      </c>
      <c r="D394" t="s">
        <v>1574</v>
      </c>
      <c r="E394">
        <v>0.52</v>
      </c>
      <c r="F394">
        <v>0</v>
      </c>
      <c r="G394">
        <v>0</v>
      </c>
      <c r="H394">
        <v>0</v>
      </c>
      <c r="I394" t="s">
        <v>74</v>
      </c>
      <c r="J394">
        <v>0</v>
      </c>
      <c r="K394">
        <v>0.52</v>
      </c>
      <c r="L394">
        <v>0</v>
      </c>
      <c r="M394">
        <v>0</v>
      </c>
      <c r="N394">
        <v>0.52</v>
      </c>
      <c r="O394" t="s">
        <v>74</v>
      </c>
      <c r="P394">
        <v>0</v>
      </c>
      <c r="Q394" t="s">
        <v>74</v>
      </c>
      <c r="R394">
        <v>0</v>
      </c>
      <c r="S394" t="s">
        <v>74</v>
      </c>
      <c r="T394">
        <v>0</v>
      </c>
      <c r="U394" t="s">
        <v>74</v>
      </c>
      <c r="V394">
        <v>0</v>
      </c>
      <c r="W394" t="s">
        <v>74</v>
      </c>
      <c r="X394">
        <v>0</v>
      </c>
      <c r="Y394">
        <v>0.52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40</v>
      </c>
      <c r="AF394">
        <v>40</v>
      </c>
      <c r="AG394">
        <v>20</v>
      </c>
      <c r="AH394">
        <v>0</v>
      </c>
      <c r="AI394">
        <v>0.073999999999999996</v>
      </c>
      <c r="AK394" t="s">
        <v>75</v>
      </c>
      <c r="AM394">
        <v>200000</v>
      </c>
      <c r="AN394" t="s">
        <v>76</v>
      </c>
      <c r="AO394">
        <v>1</v>
      </c>
      <c r="AP394">
        <v>0</v>
      </c>
      <c r="AQ394">
        <v>16666.666666666668</v>
      </c>
      <c r="AR394" t="s">
        <v>1575</v>
      </c>
      <c r="AS394" t="s">
        <v>78</v>
      </c>
      <c r="AX394" t="s">
        <v>79</v>
      </c>
      <c r="AY394" t="s">
        <v>74</v>
      </c>
      <c r="AZ394">
        <v>0</v>
      </c>
      <c r="BA394" t="s">
        <v>74</v>
      </c>
      <c r="BB394">
        <v>0</v>
      </c>
      <c r="BD394">
        <v>0.52</v>
      </c>
      <c r="BE394">
        <v>0</v>
      </c>
    </row>
    <row r="395" spans="1:58" ht="12.75">
      <c r="A395" s="2" t="str">
        <f>HYPERLINK("https://ibp.a2mac1.com/costing(costing:projects/details/8191/part/5381758)","Fasteners cover")</f>
        <v>Fasteners cover</v>
      </c>
      <c r="B395">
        <v>5381758</v>
      </c>
      <c r="C395">
        <v>5381708</v>
      </c>
      <c r="D395" t="s">
        <v>1576</v>
      </c>
      <c r="E395">
        <v>1.30</v>
      </c>
      <c r="F395">
        <v>0</v>
      </c>
      <c r="G395">
        <v>0</v>
      </c>
      <c r="H395">
        <v>0</v>
      </c>
      <c r="I395" t="s">
        <v>74</v>
      </c>
      <c r="J395">
        <v>0</v>
      </c>
      <c r="K395">
        <v>1.30</v>
      </c>
      <c r="L395">
        <v>0</v>
      </c>
      <c r="M395">
        <v>0</v>
      </c>
      <c r="N395">
        <v>1.30</v>
      </c>
      <c r="O395" t="s">
        <v>74</v>
      </c>
      <c r="P395">
        <v>0</v>
      </c>
      <c r="Q395" t="s">
        <v>74</v>
      </c>
      <c r="R395">
        <v>0</v>
      </c>
      <c r="S395" t="s">
        <v>74</v>
      </c>
      <c r="T395">
        <v>0</v>
      </c>
      <c r="U395" t="s">
        <v>74</v>
      </c>
      <c r="V395">
        <v>0</v>
      </c>
      <c r="W395" t="s">
        <v>74</v>
      </c>
      <c r="X395">
        <v>0</v>
      </c>
      <c r="Y395">
        <v>1.30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51</v>
      </c>
      <c r="AF395">
        <v>51</v>
      </c>
      <c r="AG395">
        <v>9</v>
      </c>
      <c r="AH395">
        <v>0</v>
      </c>
      <c r="AI395">
        <v>0.02</v>
      </c>
      <c r="AK395" t="s">
        <v>75</v>
      </c>
      <c r="AM395">
        <v>200000</v>
      </c>
      <c r="AN395" t="s">
        <v>76</v>
      </c>
      <c r="AO395">
        <v>1</v>
      </c>
      <c r="AP395">
        <v>0</v>
      </c>
      <c r="AQ395">
        <v>16666.666666666668</v>
      </c>
      <c r="AR395" t="s">
        <v>1577</v>
      </c>
      <c r="AS395" t="s">
        <v>78</v>
      </c>
      <c r="AX395" t="s">
        <v>79</v>
      </c>
      <c r="AY395" t="s">
        <v>74</v>
      </c>
      <c r="AZ395">
        <v>0</v>
      </c>
      <c r="BA395" t="s">
        <v>74</v>
      </c>
      <c r="BB395">
        <v>0</v>
      </c>
      <c r="BD395">
        <v>1.30</v>
      </c>
      <c r="BE395">
        <v>0</v>
      </c>
    </row>
    <row r="396" spans="1:58" ht="12.75">
      <c r="A396" s="2" t="str">
        <f>HYPERLINK("https://ibp.a2mac1.com/costing(costing:projects/details/8191/part/5381759)","Oil drain plug")</f>
        <v>Oil drain plug</v>
      </c>
      <c r="B396">
        <v>5381759</v>
      </c>
      <c r="C396">
        <v>5381709</v>
      </c>
      <c r="D396" t="s">
        <v>1581</v>
      </c>
      <c r="E396">
        <v>1.22</v>
      </c>
      <c r="F396">
        <v>0</v>
      </c>
      <c r="G396">
        <v>0</v>
      </c>
      <c r="H396">
        <v>0</v>
      </c>
      <c r="I396" t="s">
        <v>74</v>
      </c>
      <c r="J396">
        <v>0</v>
      </c>
      <c r="K396">
        <v>1.22</v>
      </c>
      <c r="L396">
        <v>0</v>
      </c>
      <c r="M396">
        <v>0</v>
      </c>
      <c r="N396">
        <v>1.22</v>
      </c>
      <c r="O396" t="s">
        <v>74</v>
      </c>
      <c r="P396">
        <v>0</v>
      </c>
      <c r="Q396" t="s">
        <v>74</v>
      </c>
      <c r="R396">
        <v>0</v>
      </c>
      <c r="S396" t="s">
        <v>74</v>
      </c>
      <c r="T396">
        <v>0</v>
      </c>
      <c r="U396" t="s">
        <v>74</v>
      </c>
      <c r="V396">
        <v>0</v>
      </c>
      <c r="W396" t="s">
        <v>74</v>
      </c>
      <c r="X396">
        <v>0</v>
      </c>
      <c r="Y396">
        <v>1.22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27</v>
      </c>
      <c r="AF396">
        <v>27</v>
      </c>
      <c r="AG396">
        <v>12</v>
      </c>
      <c r="AH396">
        <v>0</v>
      </c>
      <c r="AI396">
        <v>0.032000000000000001</v>
      </c>
      <c r="AK396" t="s">
        <v>75</v>
      </c>
      <c r="AM396">
        <v>400000</v>
      </c>
      <c r="AN396" t="s">
        <v>76</v>
      </c>
      <c r="AO396">
        <v>2</v>
      </c>
      <c r="AP396">
        <v>0</v>
      </c>
      <c r="AQ396">
        <v>33333.333333333336</v>
      </c>
      <c r="AR396" t="s">
        <v>1582</v>
      </c>
      <c r="AS396" t="s">
        <v>78</v>
      </c>
      <c r="AX396" t="s">
        <v>79</v>
      </c>
      <c r="AY396" t="s">
        <v>74</v>
      </c>
      <c r="AZ396">
        <v>0</v>
      </c>
      <c r="BA396" t="s">
        <v>74</v>
      </c>
      <c r="BB396">
        <v>0</v>
      </c>
      <c r="BD396">
        <v>0.61</v>
      </c>
      <c r="BE396">
        <v>0</v>
      </c>
    </row>
    <row r="397" spans="1:58" ht="12.75">
      <c r="A397" s="2" t="str">
        <f>HYPERLINK("https://ibp.a2mac1.com/costing(costing:projects/details/8191/part/5381760)","Lubrication screen")</f>
        <v>Lubrication screen</v>
      </c>
      <c r="B397">
        <v>5381760</v>
      </c>
      <c r="C397">
        <v>5381709</v>
      </c>
      <c r="D397" t="s">
        <v>1583</v>
      </c>
      <c r="E397">
        <v>0.88</v>
      </c>
      <c r="F397">
        <v>0</v>
      </c>
      <c r="G397">
        <v>0</v>
      </c>
      <c r="H397">
        <v>0</v>
      </c>
      <c r="I397" t="s">
        <v>74</v>
      </c>
      <c r="J397">
        <v>0</v>
      </c>
      <c r="K397">
        <v>0.88</v>
      </c>
      <c r="L397">
        <v>0</v>
      </c>
      <c r="M397">
        <v>0</v>
      </c>
      <c r="N397">
        <v>0.88</v>
      </c>
      <c r="O397" t="s">
        <v>74</v>
      </c>
      <c r="P397">
        <v>0</v>
      </c>
      <c r="Q397" t="s">
        <v>74</v>
      </c>
      <c r="R397">
        <v>0</v>
      </c>
      <c r="S397" t="s">
        <v>74</v>
      </c>
      <c r="T397">
        <v>0</v>
      </c>
      <c r="U397" t="s">
        <v>74</v>
      </c>
      <c r="V397">
        <v>0</v>
      </c>
      <c r="W397" t="s">
        <v>74</v>
      </c>
      <c r="X397">
        <v>0</v>
      </c>
      <c r="Y397">
        <v>0.88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195</v>
      </c>
      <c r="AF397">
        <v>47</v>
      </c>
      <c r="AG397">
        <v>135</v>
      </c>
      <c r="AH397">
        <v>0</v>
      </c>
      <c r="AI397">
        <v>0.106</v>
      </c>
      <c r="AK397" t="s">
        <v>75</v>
      </c>
      <c r="AM397">
        <v>200000</v>
      </c>
      <c r="AN397" t="s">
        <v>76</v>
      </c>
      <c r="AO397">
        <v>1</v>
      </c>
      <c r="AP397">
        <v>0</v>
      </c>
      <c r="AQ397">
        <v>16666.666666666668</v>
      </c>
      <c r="AR397" t="s">
        <v>1584</v>
      </c>
      <c r="AS397" t="s">
        <v>78</v>
      </c>
      <c r="AX397" t="s">
        <v>79</v>
      </c>
      <c r="AY397" t="s">
        <v>74</v>
      </c>
      <c r="AZ397">
        <v>0</v>
      </c>
      <c r="BA397" t="s">
        <v>74</v>
      </c>
      <c r="BB397">
        <v>0</v>
      </c>
      <c r="BD397">
        <v>0.88</v>
      </c>
      <c r="BE397">
        <v>0</v>
      </c>
    </row>
    <row r="398" spans="1:58" ht="12.75">
      <c r="A398" s="2" t="str">
        <f>HYPERLINK("https://ibp.a2mac1.com/costing(costing:projects/details/8191/part/5381761)","Degasser valve")</f>
        <v>Degasser valve</v>
      </c>
      <c r="B398">
        <v>5381761</v>
      </c>
      <c r="C398">
        <v>5381709</v>
      </c>
      <c r="D398" t="s">
        <v>1585</v>
      </c>
      <c r="E398">
        <v>0.27</v>
      </c>
      <c r="F398">
        <v>0</v>
      </c>
      <c r="G398">
        <v>0</v>
      </c>
      <c r="H398">
        <v>0</v>
      </c>
      <c r="I398" t="s">
        <v>74</v>
      </c>
      <c r="J398">
        <v>0</v>
      </c>
      <c r="K398">
        <v>0.27</v>
      </c>
      <c r="L398">
        <v>0</v>
      </c>
      <c r="M398">
        <v>0</v>
      </c>
      <c r="N398">
        <v>0.27</v>
      </c>
      <c r="O398" t="s">
        <v>74</v>
      </c>
      <c r="P398">
        <v>0</v>
      </c>
      <c r="Q398" t="s">
        <v>74</v>
      </c>
      <c r="R398">
        <v>0</v>
      </c>
      <c r="S398" t="s">
        <v>74</v>
      </c>
      <c r="T398">
        <v>0</v>
      </c>
      <c r="U398" t="s">
        <v>74</v>
      </c>
      <c r="V398">
        <v>0</v>
      </c>
      <c r="W398" t="s">
        <v>74</v>
      </c>
      <c r="X398">
        <v>0</v>
      </c>
      <c r="Y398">
        <v>0.27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17</v>
      </c>
      <c r="AF398">
        <v>13</v>
      </c>
      <c r="AG398">
        <v>17</v>
      </c>
      <c r="AH398">
        <v>0</v>
      </c>
      <c r="AI398">
        <v>0.001</v>
      </c>
      <c r="AK398" t="s">
        <v>75</v>
      </c>
      <c r="AM398">
        <v>200000</v>
      </c>
      <c r="AN398" t="s">
        <v>76</v>
      </c>
      <c r="AO398">
        <v>1</v>
      </c>
      <c r="AP398">
        <v>0</v>
      </c>
      <c r="AQ398">
        <v>16666.666666666668</v>
      </c>
      <c r="AR398" t="s">
        <v>1586</v>
      </c>
      <c r="AS398" t="s">
        <v>78</v>
      </c>
      <c r="AX398" t="s">
        <v>79</v>
      </c>
      <c r="AY398" t="s">
        <v>74</v>
      </c>
      <c r="AZ398">
        <v>0</v>
      </c>
      <c r="BA398" t="s">
        <v>74</v>
      </c>
      <c r="BB398">
        <v>0</v>
      </c>
      <c r="BD398">
        <v>0.27</v>
      </c>
      <c r="BE398">
        <v>0</v>
      </c>
    </row>
    <row r="399" spans="1:58" ht="12.75">
      <c r="A399" s="2" t="str">
        <f>HYPERLINK("https://ibp.a2mac1.com/costing(costing:projects/details/8191/part/5381804)","Pressure release hose")</f>
        <v>Pressure release hose</v>
      </c>
      <c r="B399">
        <v>5381804</v>
      </c>
      <c r="C399">
        <v>5381709</v>
      </c>
      <c r="D399" t="s">
        <v>1587</v>
      </c>
      <c r="E399">
        <v>1.17</v>
      </c>
      <c r="F399">
        <v>0</v>
      </c>
      <c r="G399">
        <v>0</v>
      </c>
      <c r="H399">
        <v>0</v>
      </c>
      <c r="I399" t="s">
        <v>74</v>
      </c>
      <c r="J399">
        <v>0</v>
      </c>
      <c r="K399">
        <v>1.17</v>
      </c>
      <c r="L399">
        <v>0</v>
      </c>
      <c r="M399">
        <v>0</v>
      </c>
      <c r="N399">
        <v>1.17</v>
      </c>
      <c r="O399" t="s">
        <v>74</v>
      </c>
      <c r="P399">
        <v>0</v>
      </c>
      <c r="Q399" t="s">
        <v>74</v>
      </c>
      <c r="R399">
        <v>0</v>
      </c>
      <c r="S399" t="s">
        <v>74</v>
      </c>
      <c r="T399">
        <v>0</v>
      </c>
      <c r="U399" t="s">
        <v>74</v>
      </c>
      <c r="V399">
        <v>0</v>
      </c>
      <c r="W399" t="s">
        <v>74</v>
      </c>
      <c r="X399">
        <v>0</v>
      </c>
      <c r="Y399">
        <v>1.17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940</v>
      </c>
      <c r="AI399">
        <v>0.025999999999999999</v>
      </c>
      <c r="AK399" t="s">
        <v>75</v>
      </c>
      <c r="AM399">
        <v>200000</v>
      </c>
      <c r="AN399" t="s">
        <v>76</v>
      </c>
      <c r="AO399">
        <v>1</v>
      </c>
      <c r="AP399">
        <v>0</v>
      </c>
      <c r="AQ399">
        <v>16666.666666666668</v>
      </c>
      <c r="AR399" t="s">
        <v>1588</v>
      </c>
      <c r="AS399" t="s">
        <v>78</v>
      </c>
      <c r="AX399" t="s">
        <v>79</v>
      </c>
      <c r="AY399" t="s">
        <v>74</v>
      </c>
      <c r="AZ399">
        <v>0</v>
      </c>
      <c r="BA399" t="s">
        <v>74</v>
      </c>
      <c r="BB399">
        <v>0</v>
      </c>
      <c r="BD399">
        <v>1.17</v>
      </c>
      <c r="BE399">
        <v>0</v>
      </c>
    </row>
    <row r="400" spans="1:58" ht="12.75">
      <c r="A400" s="2" t="str">
        <f>HYPERLINK("https://ibp.a2mac1.com/costing(costing:projects/details/8191/part/5381805)","Support pressure release hose")</f>
        <v>Support pressure release hose</v>
      </c>
      <c r="B400">
        <v>5381805</v>
      </c>
      <c r="C400">
        <v>5381709</v>
      </c>
      <c r="D400" t="s">
        <v>1589</v>
      </c>
      <c r="E400">
        <v>0.35</v>
      </c>
      <c r="F400">
        <v>0</v>
      </c>
      <c r="G400">
        <v>0</v>
      </c>
      <c r="H400">
        <v>0</v>
      </c>
      <c r="I400" t="s">
        <v>74</v>
      </c>
      <c r="J400">
        <v>0</v>
      </c>
      <c r="K400">
        <v>0.35</v>
      </c>
      <c r="L400">
        <v>0</v>
      </c>
      <c r="M400">
        <v>0</v>
      </c>
      <c r="N400">
        <v>0.35</v>
      </c>
      <c r="O400" t="s">
        <v>74</v>
      </c>
      <c r="P400">
        <v>0</v>
      </c>
      <c r="Q400" t="s">
        <v>74</v>
      </c>
      <c r="R400">
        <v>0</v>
      </c>
      <c r="S400" t="s">
        <v>74</v>
      </c>
      <c r="T400">
        <v>0</v>
      </c>
      <c r="U400" t="s">
        <v>74</v>
      </c>
      <c r="V400">
        <v>0</v>
      </c>
      <c r="W400" t="s">
        <v>74</v>
      </c>
      <c r="X400">
        <v>0</v>
      </c>
      <c r="Y400">
        <v>0.35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12</v>
      </c>
      <c r="AF400">
        <v>23</v>
      </c>
      <c r="AG400">
        <v>12</v>
      </c>
      <c r="AH400">
        <v>0</v>
      </c>
      <c r="AI400">
        <v>0.010999999999999999</v>
      </c>
      <c r="AK400" t="s">
        <v>75</v>
      </c>
      <c r="AM400">
        <v>200000</v>
      </c>
      <c r="AN400" t="s">
        <v>76</v>
      </c>
      <c r="AO400">
        <v>1</v>
      </c>
      <c r="AP400">
        <v>0</v>
      </c>
      <c r="AQ400">
        <v>16666.666666666668</v>
      </c>
      <c r="AR400" t="s">
        <v>1590</v>
      </c>
      <c r="AS400" t="s">
        <v>78</v>
      </c>
      <c r="AX400" t="s">
        <v>79</v>
      </c>
      <c r="AY400" t="s">
        <v>74</v>
      </c>
      <c r="AZ400">
        <v>0</v>
      </c>
      <c r="BA400" t="s">
        <v>74</v>
      </c>
      <c r="BB400">
        <v>0</v>
      </c>
      <c r="BD400">
        <v>0.35</v>
      </c>
      <c r="BE400">
        <v>0</v>
      </c>
    </row>
    <row r="401" spans="1:58" ht="12.75">
      <c r="A401" s="2" t="str">
        <f>HYPERLINK("https://ibp.a2mac1.com/costing(costing:projects/details/8191/part/5381702)","Radial shaft seal #1")</f>
        <v>Radial shaft seal #1</v>
      </c>
      <c r="B401">
        <v>5381702</v>
      </c>
      <c r="C401">
        <v>5381620</v>
      </c>
      <c r="D401" t="s">
        <v>1591</v>
      </c>
      <c r="E401">
        <v>2.82</v>
      </c>
      <c r="F401">
        <v>0</v>
      </c>
      <c r="G401">
        <v>0</v>
      </c>
      <c r="H401">
        <v>0</v>
      </c>
      <c r="I401" t="s">
        <v>74</v>
      </c>
      <c r="J401">
        <v>0</v>
      </c>
      <c r="K401">
        <v>2.82</v>
      </c>
      <c r="L401">
        <v>0</v>
      </c>
      <c r="M401">
        <v>0</v>
      </c>
      <c r="N401">
        <v>2.82</v>
      </c>
      <c r="O401" t="s">
        <v>74</v>
      </c>
      <c r="P401">
        <v>0</v>
      </c>
      <c r="Q401" t="s">
        <v>74</v>
      </c>
      <c r="R401">
        <v>0</v>
      </c>
      <c r="S401" t="s">
        <v>74</v>
      </c>
      <c r="T401">
        <v>0</v>
      </c>
      <c r="U401" t="s">
        <v>74</v>
      </c>
      <c r="V401">
        <v>0</v>
      </c>
      <c r="W401" t="s">
        <v>74</v>
      </c>
      <c r="X401">
        <v>0</v>
      </c>
      <c r="Y401">
        <v>2.82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52</v>
      </c>
      <c r="AF401">
        <v>52</v>
      </c>
      <c r="AG401">
        <v>9</v>
      </c>
      <c r="AH401">
        <v>0</v>
      </c>
      <c r="AI401">
        <v>0.0125</v>
      </c>
      <c r="AK401" t="s">
        <v>75</v>
      </c>
      <c r="AM401">
        <v>400000</v>
      </c>
      <c r="AN401" t="s">
        <v>76</v>
      </c>
      <c r="AO401">
        <v>2</v>
      </c>
      <c r="AP401">
        <v>0</v>
      </c>
      <c r="AQ401">
        <v>33333.333333333336</v>
      </c>
      <c r="AR401" t="s">
        <v>1592</v>
      </c>
      <c r="AS401" t="s">
        <v>78</v>
      </c>
      <c r="AX401" t="s">
        <v>79</v>
      </c>
      <c r="AY401" t="s">
        <v>74</v>
      </c>
      <c r="AZ401">
        <v>0</v>
      </c>
      <c r="BA401" t="s">
        <v>74</v>
      </c>
      <c r="BB401">
        <v>0</v>
      </c>
      <c r="BD401">
        <v>1.41</v>
      </c>
      <c r="BE401">
        <v>0</v>
      </c>
    </row>
    <row r="402" spans="1:58" ht="12.75">
      <c r="A402" s="2" t="str">
        <f>HYPERLINK("https://ibp.a2mac1.com/costing(costing:projects/details/8191/part/5381703)","Radial shaft seal #2")</f>
        <v>Radial shaft seal #2</v>
      </c>
      <c r="B402">
        <v>5381703</v>
      </c>
      <c r="C402">
        <v>5381620</v>
      </c>
      <c r="D402" t="s">
        <v>1593</v>
      </c>
      <c r="E402">
        <v>1.57</v>
      </c>
      <c r="F402">
        <v>0</v>
      </c>
      <c r="G402">
        <v>0</v>
      </c>
      <c r="H402">
        <v>0</v>
      </c>
      <c r="I402" t="s">
        <v>74</v>
      </c>
      <c r="J402">
        <v>0</v>
      </c>
      <c r="K402">
        <v>1.57</v>
      </c>
      <c r="L402">
        <v>0</v>
      </c>
      <c r="M402">
        <v>0</v>
      </c>
      <c r="N402">
        <v>1.57</v>
      </c>
      <c r="O402" t="s">
        <v>74</v>
      </c>
      <c r="P402">
        <v>0</v>
      </c>
      <c r="Q402" t="s">
        <v>74</v>
      </c>
      <c r="R402">
        <v>0</v>
      </c>
      <c r="S402" t="s">
        <v>74</v>
      </c>
      <c r="T402">
        <v>0</v>
      </c>
      <c r="U402" t="s">
        <v>74</v>
      </c>
      <c r="V402">
        <v>0</v>
      </c>
      <c r="W402" t="s">
        <v>74</v>
      </c>
      <c r="X402">
        <v>0</v>
      </c>
      <c r="Y402">
        <v>1.57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70</v>
      </c>
      <c r="AF402">
        <v>70</v>
      </c>
      <c r="AG402">
        <v>8</v>
      </c>
      <c r="AH402">
        <v>0</v>
      </c>
      <c r="AI402">
        <v>0.021999999999999999</v>
      </c>
      <c r="AK402" t="s">
        <v>75</v>
      </c>
      <c r="AM402">
        <v>200000</v>
      </c>
      <c r="AN402" t="s">
        <v>76</v>
      </c>
      <c r="AO402">
        <v>1</v>
      </c>
      <c r="AP402">
        <v>0</v>
      </c>
      <c r="AQ402">
        <v>16666.666666666668</v>
      </c>
      <c r="AR402" t="s">
        <v>1594</v>
      </c>
      <c r="AS402" t="s">
        <v>78</v>
      </c>
      <c r="AX402" t="s">
        <v>79</v>
      </c>
      <c r="AY402" t="s">
        <v>74</v>
      </c>
      <c r="AZ402">
        <v>0</v>
      </c>
      <c r="BA402" t="s">
        <v>74</v>
      </c>
      <c r="BB402">
        <v>0</v>
      </c>
      <c r="BD402">
        <v>1.57</v>
      </c>
      <c r="BE402">
        <v>0</v>
      </c>
    </row>
    <row r="403" spans="1:58" ht="12.75">
      <c r="A403" s="2" t="str">
        <f>HYPERLINK("https://ibp.a2mac1.com/costing(costing:projects/details/8191/part/5381704)","Main housing")</f>
        <v>Main housing</v>
      </c>
      <c r="B403">
        <v>5381704</v>
      </c>
      <c r="C403">
        <v>5381620</v>
      </c>
      <c r="D403" t="s">
        <v>1599</v>
      </c>
      <c r="E403">
        <v>10.207051752857144</v>
      </c>
      <c r="F403">
        <v>0</v>
      </c>
      <c r="G403">
        <v>0</v>
      </c>
      <c r="H403">
        <v>0.052169375625714283</v>
      </c>
      <c r="I403" t="s">
        <v>137</v>
      </c>
      <c r="J403">
        <v>0.36085536499999998</v>
      </c>
      <c r="K403">
        <v>10.620076493482857</v>
      </c>
      <c r="L403">
        <v>0.65420949592775723</v>
      </c>
      <c r="M403">
        <v>3.9252569755665432</v>
      </c>
      <c r="N403">
        <v>14.545333469049401</v>
      </c>
      <c r="O403" t="s">
        <v>138</v>
      </c>
      <c r="P403">
        <v>0.63720458960897142</v>
      </c>
      <c r="Q403" t="s">
        <v>138</v>
      </c>
      <c r="R403">
        <v>0.2355154185339926</v>
      </c>
      <c r="S403" t="s">
        <v>139</v>
      </c>
      <c r="T403">
        <v>1.745440016285928</v>
      </c>
      <c r="U403" t="s">
        <v>90</v>
      </c>
      <c r="V403">
        <v>0</v>
      </c>
      <c r="W403" t="s">
        <v>90</v>
      </c>
      <c r="X403">
        <v>0</v>
      </c>
      <c r="Y403">
        <v>17.163493493478292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120</v>
      </c>
      <c r="AF403">
        <v>276</v>
      </c>
      <c r="AG403">
        <v>439</v>
      </c>
      <c r="AH403">
        <v>0</v>
      </c>
      <c r="AI403">
        <v>4.1210000000000004</v>
      </c>
      <c r="AK403" t="s">
        <v>75</v>
      </c>
      <c r="AM403">
        <v>200000</v>
      </c>
      <c r="AN403" t="s">
        <v>76</v>
      </c>
      <c r="AO403">
        <v>1</v>
      </c>
      <c r="AP403">
        <v>0</v>
      </c>
      <c r="AQ403">
        <v>16666.666666666668</v>
      </c>
      <c r="AR403" t="s">
        <v>1600</v>
      </c>
      <c r="AS403" t="s">
        <v>78</v>
      </c>
      <c r="AX403" t="s">
        <v>79</v>
      </c>
      <c r="AY403" t="s">
        <v>137</v>
      </c>
      <c r="AZ403">
        <v>0</v>
      </c>
      <c r="BA403" t="s">
        <v>137</v>
      </c>
      <c r="BB403">
        <v>0</v>
      </c>
      <c r="BE403">
        <v>0</v>
      </c>
    </row>
    <row r="404" spans="1:58" ht="12.75">
      <c r="A404" s="2" t="str">
        <f>HYPERLINK("https://ibp.a2mac1.com/costing(costing:projects/details/8191/part/5381705)","Right housing")</f>
        <v>Right housing</v>
      </c>
      <c r="B404">
        <v>5381705</v>
      </c>
      <c r="C404">
        <v>5381620</v>
      </c>
      <c r="D404" t="s">
        <v>1605</v>
      </c>
      <c r="E404">
        <v>13.696917300000001</v>
      </c>
      <c r="F404">
        <v>0</v>
      </c>
      <c r="G404">
        <v>0</v>
      </c>
      <c r="H404">
        <v>0.070006466200000006</v>
      </c>
      <c r="I404" t="s">
        <v>137</v>
      </c>
      <c r="J404">
        <v>0.48423444999999998</v>
      </c>
      <c r="K404">
        <v>14.2511582162</v>
      </c>
      <c r="L404">
        <v>0.71749532499206825</v>
      </c>
      <c r="M404">
        <v>4.3049719499524093</v>
      </c>
      <c r="N404">
        <v>18.556130166152411</v>
      </c>
      <c r="O404" t="s">
        <v>138</v>
      </c>
      <c r="P404">
        <v>0.85506949297199997</v>
      </c>
      <c r="Q404" t="s">
        <v>138</v>
      </c>
      <c r="R404">
        <v>0.25829831699714456</v>
      </c>
      <c r="S404" t="s">
        <v>139</v>
      </c>
      <c r="T404">
        <v>2.2267356199382893</v>
      </c>
      <c r="U404" t="s">
        <v>90</v>
      </c>
      <c r="V404">
        <v>0</v>
      </c>
      <c r="W404" t="s">
        <v>90</v>
      </c>
      <c r="X404">
        <v>0</v>
      </c>
      <c r="Y404">
        <v>21.896233596059844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140</v>
      </c>
      <c r="AF404">
        <v>280</v>
      </c>
      <c r="AG404">
        <v>445</v>
      </c>
      <c r="AH404">
        <v>0</v>
      </c>
      <c r="AI404">
        <v>5.53</v>
      </c>
      <c r="AK404" t="s">
        <v>75</v>
      </c>
      <c r="AM404">
        <v>200000</v>
      </c>
      <c r="AN404" t="s">
        <v>76</v>
      </c>
      <c r="AO404">
        <v>1</v>
      </c>
      <c r="AP404">
        <v>0</v>
      </c>
      <c r="AQ404">
        <v>16666.666666666668</v>
      </c>
      <c r="AR404" t="s">
        <v>1606</v>
      </c>
      <c r="AS404" t="s">
        <v>78</v>
      </c>
      <c r="AX404" t="s">
        <v>79</v>
      </c>
      <c r="AY404" t="s">
        <v>137</v>
      </c>
      <c r="AZ404">
        <v>0</v>
      </c>
      <c r="BA404" t="s">
        <v>137</v>
      </c>
      <c r="BB404">
        <v>0</v>
      </c>
      <c r="BE404">
        <v>0</v>
      </c>
    </row>
    <row r="405" spans="1:58" ht="12.75">
      <c r="A405" s="2" t="str">
        <f>HYPERLINK("https://ibp.a2mac1.com/costing(costing:projects/details/8191/part/5381710)","Magnet")</f>
        <v>Magnet</v>
      </c>
      <c r="B405">
        <v>5381710</v>
      </c>
      <c r="C405">
        <v>5381620</v>
      </c>
      <c r="E405">
        <v>0.11</v>
      </c>
      <c r="F405">
        <v>0</v>
      </c>
      <c r="G405">
        <v>0</v>
      </c>
      <c r="H405">
        <v>0</v>
      </c>
      <c r="I405" t="s">
        <v>74</v>
      </c>
      <c r="J405">
        <v>0</v>
      </c>
      <c r="K405">
        <v>0.11</v>
      </c>
      <c r="L405">
        <v>0</v>
      </c>
      <c r="M405">
        <v>0</v>
      </c>
      <c r="N405">
        <v>0.11</v>
      </c>
      <c r="O405" t="s">
        <v>74</v>
      </c>
      <c r="P405">
        <v>0</v>
      </c>
      <c r="Q405" t="s">
        <v>74</v>
      </c>
      <c r="R405">
        <v>0</v>
      </c>
      <c r="S405" t="s">
        <v>74</v>
      </c>
      <c r="T405">
        <v>0</v>
      </c>
      <c r="U405" t="s">
        <v>74</v>
      </c>
      <c r="V405">
        <v>0</v>
      </c>
      <c r="W405" t="s">
        <v>74</v>
      </c>
      <c r="X405">
        <v>0</v>
      </c>
      <c r="Y405">
        <v>0.11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31</v>
      </c>
      <c r="AF405">
        <v>18</v>
      </c>
      <c r="AG405">
        <v>10</v>
      </c>
      <c r="AH405">
        <v>0</v>
      </c>
      <c r="AI405">
        <v>0.025</v>
      </c>
      <c r="AK405" t="s">
        <v>218</v>
      </c>
      <c r="AM405">
        <v>200000</v>
      </c>
      <c r="AN405" t="s">
        <v>76</v>
      </c>
      <c r="AO405">
        <v>1</v>
      </c>
      <c r="AP405">
        <v>0</v>
      </c>
      <c r="AQ405">
        <v>16666.666666666668</v>
      </c>
      <c r="AR405" t="s">
        <v>9</v>
      </c>
      <c r="AS405" t="s">
        <v>78</v>
      </c>
      <c r="AV405">
        <v>0</v>
      </c>
      <c r="AW405">
        <v>0</v>
      </c>
      <c r="AX405" t="s">
        <v>79</v>
      </c>
      <c r="AY405" t="s">
        <v>74</v>
      </c>
      <c r="AZ405">
        <v>0</v>
      </c>
      <c r="BA405" t="s">
        <v>74</v>
      </c>
      <c r="BB405">
        <v>0</v>
      </c>
      <c r="BD405">
        <v>0.11</v>
      </c>
      <c r="BE405">
        <v>0</v>
      </c>
    </row>
    <row r="406" spans="1:58" ht="12.75">
      <c r="A406" s="2" t="str">
        <f>HYPERLINK("https://ibp.a2mac1.com/costing(costing:projects/details/8191/part/5381614)","Left drive shaft")</f>
        <v>Left drive shaft</v>
      </c>
      <c r="B406">
        <v>5381614</v>
      </c>
      <c r="C406">
        <v>5381597</v>
      </c>
      <c r="D406" t="s">
        <v>1610</v>
      </c>
      <c r="E406">
        <v>74.50</v>
      </c>
      <c r="F406">
        <v>0</v>
      </c>
      <c r="G406">
        <v>0</v>
      </c>
      <c r="H406">
        <v>0</v>
      </c>
      <c r="I406" t="s">
        <v>74</v>
      </c>
      <c r="J406">
        <v>0</v>
      </c>
      <c r="K406">
        <v>74.50</v>
      </c>
      <c r="L406">
        <v>0</v>
      </c>
      <c r="M406">
        <v>0</v>
      </c>
      <c r="N406">
        <v>74.50</v>
      </c>
      <c r="O406" t="s">
        <v>74</v>
      </c>
      <c r="P406">
        <v>0</v>
      </c>
      <c r="Q406" t="s">
        <v>74</v>
      </c>
      <c r="R406">
        <v>0</v>
      </c>
      <c r="S406" t="s">
        <v>74</v>
      </c>
      <c r="T406">
        <v>0</v>
      </c>
      <c r="U406" t="s">
        <v>74</v>
      </c>
      <c r="V406">
        <v>0</v>
      </c>
      <c r="W406" t="s">
        <v>74</v>
      </c>
      <c r="X406">
        <v>0</v>
      </c>
      <c r="Y406">
        <v>74.50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657</v>
      </c>
      <c r="AF406">
        <v>98</v>
      </c>
      <c r="AG406">
        <v>98</v>
      </c>
      <c r="AH406">
        <v>0</v>
      </c>
      <c r="AI406">
        <v>7.0410000000000004</v>
      </c>
      <c r="AK406" t="s">
        <v>213</v>
      </c>
      <c r="AM406">
        <v>200000</v>
      </c>
      <c r="AN406" t="s">
        <v>76</v>
      </c>
      <c r="AO406">
        <v>1</v>
      </c>
      <c r="AP406">
        <v>0</v>
      </c>
      <c r="AQ406">
        <v>16666.666666666668</v>
      </c>
      <c r="AR406" t="s">
        <v>1611</v>
      </c>
      <c r="AS406" t="s">
        <v>78</v>
      </c>
      <c r="AX406" t="s">
        <v>79</v>
      </c>
      <c r="AY406" t="s">
        <v>74</v>
      </c>
      <c r="AZ406">
        <v>0</v>
      </c>
      <c r="BA406" t="s">
        <v>74</v>
      </c>
      <c r="BB406">
        <v>0</v>
      </c>
      <c r="BD406">
        <v>74.50</v>
      </c>
      <c r="BE406">
        <v>0</v>
      </c>
    </row>
    <row r="407" spans="1:58" ht="12.75">
      <c r="A407" s="2" t="str">
        <f>HYPERLINK("https://ibp.a2mac1.com/costing(costing:projects/details/8191/part/5381616)","Right drive shaft")</f>
        <v>Right drive shaft</v>
      </c>
      <c r="B407">
        <v>5381616</v>
      </c>
      <c r="C407">
        <v>5381597</v>
      </c>
      <c r="D407" t="s">
        <v>1612</v>
      </c>
      <c r="E407">
        <v>74.50</v>
      </c>
      <c r="F407">
        <v>0</v>
      </c>
      <c r="G407">
        <v>0</v>
      </c>
      <c r="H407">
        <v>0</v>
      </c>
      <c r="I407" t="s">
        <v>74</v>
      </c>
      <c r="J407">
        <v>0</v>
      </c>
      <c r="K407">
        <v>74.50</v>
      </c>
      <c r="L407">
        <v>0</v>
      </c>
      <c r="M407">
        <v>0</v>
      </c>
      <c r="N407">
        <v>74.50</v>
      </c>
      <c r="O407" t="s">
        <v>74</v>
      </c>
      <c r="P407">
        <v>0</v>
      </c>
      <c r="Q407" t="s">
        <v>74</v>
      </c>
      <c r="R407">
        <v>0</v>
      </c>
      <c r="S407" t="s">
        <v>74</v>
      </c>
      <c r="T407">
        <v>0</v>
      </c>
      <c r="U407" t="s">
        <v>74</v>
      </c>
      <c r="V407">
        <v>0</v>
      </c>
      <c r="W407" t="s">
        <v>74</v>
      </c>
      <c r="X407">
        <v>0</v>
      </c>
      <c r="Y407">
        <v>74.50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892</v>
      </c>
      <c r="AF407">
        <v>98</v>
      </c>
      <c r="AG407">
        <v>98</v>
      </c>
      <c r="AH407">
        <v>0</v>
      </c>
      <c r="AI407">
        <v>8.3559999999999999</v>
      </c>
      <c r="AK407" t="s">
        <v>213</v>
      </c>
      <c r="AM407">
        <v>200000</v>
      </c>
      <c r="AN407" t="s">
        <v>76</v>
      </c>
      <c r="AO407">
        <v>1</v>
      </c>
      <c r="AP407">
        <v>0</v>
      </c>
      <c r="AQ407">
        <v>16666.666666666668</v>
      </c>
      <c r="AR407" t="s">
        <v>1613</v>
      </c>
      <c r="AS407" t="s">
        <v>78</v>
      </c>
      <c r="AX407" t="s">
        <v>79</v>
      </c>
      <c r="AY407" t="s">
        <v>74</v>
      </c>
      <c r="AZ407">
        <v>0</v>
      </c>
      <c r="BA407" t="s">
        <v>74</v>
      </c>
      <c r="BB407">
        <v>0</v>
      </c>
      <c r="BD407">
        <v>74.50</v>
      </c>
      <c r="BE407">
        <v>0</v>
      </c>
    </row>
    <row r="408" spans="1:58" ht="12.75">
      <c r="A408" s="2" t="str">
        <f>HYPERLINK("https://ibp.a2mac1.com/costing(costing:projects/details/8191/part/5381618)","Fastener")</f>
        <v>Fastener</v>
      </c>
      <c r="B408">
        <v>5381618</v>
      </c>
      <c r="C408">
        <v>5381597</v>
      </c>
      <c r="D408" t="s">
        <v>603</v>
      </c>
      <c r="E408">
        <v>7.02</v>
      </c>
      <c r="F408">
        <v>0</v>
      </c>
      <c r="G408">
        <v>0</v>
      </c>
      <c r="H408">
        <v>0</v>
      </c>
      <c r="I408" t="s">
        <v>74</v>
      </c>
      <c r="J408">
        <v>0</v>
      </c>
      <c r="K408">
        <v>7.02</v>
      </c>
      <c r="L408">
        <v>0</v>
      </c>
      <c r="M408">
        <v>0</v>
      </c>
      <c r="N408">
        <v>7.02</v>
      </c>
      <c r="O408" t="s">
        <v>74</v>
      </c>
      <c r="P408">
        <v>0</v>
      </c>
      <c r="Q408" t="s">
        <v>74</v>
      </c>
      <c r="R408">
        <v>0</v>
      </c>
      <c r="S408" t="s">
        <v>74</v>
      </c>
      <c r="T408">
        <v>0</v>
      </c>
      <c r="U408" t="s">
        <v>74</v>
      </c>
      <c r="V408">
        <v>0</v>
      </c>
      <c r="W408" t="s">
        <v>74</v>
      </c>
      <c r="X408">
        <v>0</v>
      </c>
      <c r="Y408">
        <v>7.02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K408" t="s">
        <v>218</v>
      </c>
      <c r="AM408">
        <v>7800000</v>
      </c>
      <c r="AN408" t="s">
        <v>92</v>
      </c>
      <c r="AO408">
        <v>39</v>
      </c>
      <c r="AP408">
        <v>0</v>
      </c>
      <c r="AQ408">
        <v>650000</v>
      </c>
      <c r="AR408" t="s">
        <v>9</v>
      </c>
      <c r="AS408" t="s">
        <v>78</v>
      </c>
      <c r="AX408" t="s">
        <v>79</v>
      </c>
      <c r="AY408" t="s">
        <v>74</v>
      </c>
      <c r="AZ408">
        <v>0</v>
      </c>
      <c r="BA408" t="s">
        <v>74</v>
      </c>
      <c r="BB408">
        <v>0</v>
      </c>
      <c r="BD408">
        <v>0.18</v>
      </c>
      <c r="BE408">
        <v>0</v>
      </c>
    </row>
    <row r="409" spans="1:58" ht="12.75">
      <c r="A409" s="2" t="str">
        <f>HYPERLINK("https://ibp.a2mac1.com/costing(costing:projects/details/8191/part/5381762)","Battery")</f>
        <v>Battery</v>
      </c>
      <c r="B409">
        <v>5381762</v>
      </c>
      <c r="C409">
        <v>5381712</v>
      </c>
      <c r="E409">
        <v>47.059739999999998</v>
      </c>
      <c r="F409">
        <v>0</v>
      </c>
      <c r="G409">
        <v>0</v>
      </c>
      <c r="H409">
        <v>0</v>
      </c>
      <c r="I409" t="s">
        <v>74</v>
      </c>
      <c r="J409">
        <v>0</v>
      </c>
      <c r="K409">
        <v>47.059739999999998</v>
      </c>
      <c r="L409">
        <v>0</v>
      </c>
      <c r="M409">
        <v>0</v>
      </c>
      <c r="N409">
        <v>47.059739999999998</v>
      </c>
      <c r="O409" t="s">
        <v>74</v>
      </c>
      <c r="P409">
        <v>0</v>
      </c>
      <c r="Q409" t="s">
        <v>74</v>
      </c>
      <c r="R409">
        <v>0</v>
      </c>
      <c r="S409" t="s">
        <v>74</v>
      </c>
      <c r="T409">
        <v>0</v>
      </c>
      <c r="U409" t="s">
        <v>74</v>
      </c>
      <c r="V409">
        <v>0</v>
      </c>
      <c r="W409" t="s">
        <v>74</v>
      </c>
      <c r="X409">
        <v>0</v>
      </c>
      <c r="Y409">
        <v>47.059739999999998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173</v>
      </c>
      <c r="AF409">
        <v>206</v>
      </c>
      <c r="AG409">
        <v>190</v>
      </c>
      <c r="AI409">
        <v>14.487</v>
      </c>
      <c r="AJ409" t="s">
        <v>1623</v>
      </c>
      <c r="AK409" t="s">
        <v>686</v>
      </c>
      <c r="AL409" t="s">
        <v>1624</v>
      </c>
      <c r="AM409">
        <v>200000</v>
      </c>
      <c r="AN409" t="s">
        <v>76</v>
      </c>
      <c r="AO409">
        <v>1</v>
      </c>
      <c r="AP409">
        <v>0</v>
      </c>
      <c r="AQ409">
        <v>16666.666666666668</v>
      </c>
      <c r="AR409" t="s">
        <v>1625</v>
      </c>
      <c r="AS409" t="s">
        <v>78</v>
      </c>
      <c r="AX409" t="s">
        <v>79</v>
      </c>
      <c r="AY409" t="s">
        <v>74</v>
      </c>
      <c r="AZ409">
        <v>0</v>
      </c>
      <c r="BA409" t="s">
        <v>74</v>
      </c>
      <c r="BB409">
        <v>0</v>
      </c>
      <c r="BD409">
        <v>47.059739999999998</v>
      </c>
      <c r="BE409">
        <v>0</v>
      </c>
    </row>
    <row r="410" spans="1:58" ht="12.75">
      <c r="A410" s="2" t="str">
        <f>HYPERLINK("https://ibp.a2mac1.com/costing(costing:projects/details/8191/part/5381763)","Battery Support")</f>
        <v>Battery Support</v>
      </c>
      <c r="B410">
        <v>5381763</v>
      </c>
      <c r="C410">
        <v>5381712</v>
      </c>
      <c r="E410">
        <v>2.25149</v>
      </c>
      <c r="F410">
        <v>0</v>
      </c>
      <c r="G410">
        <v>0</v>
      </c>
      <c r="H410">
        <v>0</v>
      </c>
      <c r="I410" t="s">
        <v>74</v>
      </c>
      <c r="J410">
        <v>0</v>
      </c>
      <c r="K410">
        <v>2.25149</v>
      </c>
      <c r="L410">
        <v>0</v>
      </c>
      <c r="M410">
        <v>0</v>
      </c>
      <c r="N410">
        <v>2.25149</v>
      </c>
      <c r="O410" t="s">
        <v>74</v>
      </c>
      <c r="P410">
        <v>0</v>
      </c>
      <c r="Q410" t="s">
        <v>74</v>
      </c>
      <c r="R410">
        <v>0</v>
      </c>
      <c r="S410" t="s">
        <v>74</v>
      </c>
      <c r="T410">
        <v>0</v>
      </c>
      <c r="U410" t="s">
        <v>74</v>
      </c>
      <c r="V410">
        <v>0</v>
      </c>
      <c r="W410" t="s">
        <v>74</v>
      </c>
      <c r="X410">
        <v>0</v>
      </c>
      <c r="Y410">
        <v>2.25149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262</v>
      </c>
      <c r="AF410">
        <v>196</v>
      </c>
      <c r="AG410">
        <v>44</v>
      </c>
      <c r="AI410">
        <v>1.1359999999999999</v>
      </c>
      <c r="AJ410" t="s">
        <v>685</v>
      </c>
      <c r="AK410" t="s">
        <v>598</v>
      </c>
      <c r="AL410" t="s">
        <v>1626</v>
      </c>
      <c r="AM410">
        <v>200000</v>
      </c>
      <c r="AN410" t="s">
        <v>76</v>
      </c>
      <c r="AO410">
        <v>1</v>
      </c>
      <c r="AP410">
        <v>0</v>
      </c>
      <c r="AQ410">
        <v>16666.666666666668</v>
      </c>
      <c r="AR410" t="s">
        <v>1627</v>
      </c>
      <c r="AS410" t="s">
        <v>78</v>
      </c>
      <c r="AX410" t="s">
        <v>79</v>
      </c>
      <c r="AY410" t="s">
        <v>74</v>
      </c>
      <c r="AZ410">
        <v>0</v>
      </c>
      <c r="BA410" t="s">
        <v>74</v>
      </c>
      <c r="BB410">
        <v>0</v>
      </c>
      <c r="BD410">
        <v>2.25149</v>
      </c>
      <c r="BE410">
        <v>0</v>
      </c>
    </row>
    <row r="411" spans="1:58" ht="12.75">
      <c r="A411" s="2" t="str">
        <f>HYPERLINK("https://ibp.a2mac1.com/costing(costing:projects/details/8191/part/5381764)","Battery Fastener")</f>
        <v>Battery Fastener</v>
      </c>
      <c r="B411">
        <v>5381764</v>
      </c>
      <c r="C411">
        <v>5381712</v>
      </c>
      <c r="E411">
        <v>0.57210000000000005</v>
      </c>
      <c r="F411">
        <v>0</v>
      </c>
      <c r="G411">
        <v>0</v>
      </c>
      <c r="H411">
        <v>0</v>
      </c>
      <c r="I411" t="s">
        <v>74</v>
      </c>
      <c r="J411">
        <v>0</v>
      </c>
      <c r="K411">
        <v>0.57210000000000005</v>
      </c>
      <c r="L411">
        <v>0</v>
      </c>
      <c r="M411">
        <v>0</v>
      </c>
      <c r="N411">
        <v>0.57210000000000005</v>
      </c>
      <c r="O411" t="s">
        <v>74</v>
      </c>
      <c r="P411">
        <v>0</v>
      </c>
      <c r="Q411" t="s">
        <v>74</v>
      </c>
      <c r="R411">
        <v>0</v>
      </c>
      <c r="S411" t="s">
        <v>74</v>
      </c>
      <c r="T411">
        <v>0</v>
      </c>
      <c r="U411" t="s">
        <v>74</v>
      </c>
      <c r="V411">
        <v>0</v>
      </c>
      <c r="W411" t="s">
        <v>74</v>
      </c>
      <c r="X411">
        <v>0</v>
      </c>
      <c r="Y411">
        <v>0.57210000000000005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120</v>
      </c>
      <c r="AF411">
        <v>169</v>
      </c>
      <c r="AG411">
        <v>35</v>
      </c>
      <c r="AI411">
        <v>0.193</v>
      </c>
      <c r="AJ411" t="s">
        <v>685</v>
      </c>
      <c r="AK411" t="s">
        <v>598</v>
      </c>
      <c r="AL411" t="s">
        <v>720</v>
      </c>
      <c r="AM411">
        <v>200000</v>
      </c>
      <c r="AN411" t="s">
        <v>76</v>
      </c>
      <c r="AO411">
        <v>1</v>
      </c>
      <c r="AP411">
        <v>0</v>
      </c>
      <c r="AQ411">
        <v>16666.666666666668</v>
      </c>
      <c r="AR411" t="s">
        <v>1628</v>
      </c>
      <c r="AS411" t="s">
        <v>78</v>
      </c>
      <c r="AX411" t="s">
        <v>79</v>
      </c>
      <c r="AY411" t="s">
        <v>74</v>
      </c>
      <c r="AZ411">
        <v>0</v>
      </c>
      <c r="BA411" t="s">
        <v>74</v>
      </c>
      <c r="BB411">
        <v>0</v>
      </c>
      <c r="BD411">
        <v>0.57210000000000005</v>
      </c>
      <c r="BE411">
        <v>0</v>
      </c>
    </row>
    <row r="412" spans="1:58" ht="12.75">
      <c r="A412" s="2" t="str">
        <f>HYPERLINK("https://ibp.a2mac1.com/costing(costing:projects/details/8191/part/5381765)","Battery Terminal +")</f>
        <v>Battery Terminal +</v>
      </c>
      <c r="B412">
        <v>5381765</v>
      </c>
      <c r="C412">
        <v>5381712</v>
      </c>
      <c r="E412">
        <v>3.7463199999999999</v>
      </c>
      <c r="F412">
        <v>0</v>
      </c>
      <c r="G412">
        <v>0</v>
      </c>
      <c r="H412">
        <v>0</v>
      </c>
      <c r="I412" t="s">
        <v>74</v>
      </c>
      <c r="J412">
        <v>0</v>
      </c>
      <c r="K412">
        <v>3.7463199999999999</v>
      </c>
      <c r="L412">
        <v>0</v>
      </c>
      <c r="M412">
        <v>0</v>
      </c>
      <c r="N412">
        <v>3.7463199999999999</v>
      </c>
      <c r="O412" t="s">
        <v>74</v>
      </c>
      <c r="P412">
        <v>0</v>
      </c>
      <c r="Q412" t="s">
        <v>74</v>
      </c>
      <c r="R412">
        <v>0</v>
      </c>
      <c r="S412" t="s">
        <v>74</v>
      </c>
      <c r="T412">
        <v>0</v>
      </c>
      <c r="U412" t="s">
        <v>74</v>
      </c>
      <c r="V412">
        <v>0</v>
      </c>
      <c r="W412" t="s">
        <v>74</v>
      </c>
      <c r="X412">
        <v>0</v>
      </c>
      <c r="Y412">
        <v>3.7463199999999999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17</v>
      </c>
      <c r="AF412">
        <v>49</v>
      </c>
      <c r="AG412">
        <v>34</v>
      </c>
      <c r="AI412">
        <v>0.073999999999999996</v>
      </c>
      <c r="AK412" t="s">
        <v>686</v>
      </c>
      <c r="AL412" t="s">
        <v>1629</v>
      </c>
      <c r="AM412">
        <v>200000</v>
      </c>
      <c r="AN412" t="s">
        <v>76</v>
      </c>
      <c r="AO412">
        <v>1</v>
      </c>
      <c r="AP412">
        <v>0</v>
      </c>
      <c r="AQ412">
        <v>16666.666666666668</v>
      </c>
      <c r="AR412" t="s">
        <v>1630</v>
      </c>
      <c r="AS412" t="s">
        <v>78</v>
      </c>
      <c r="AX412" t="s">
        <v>79</v>
      </c>
      <c r="AY412" t="s">
        <v>74</v>
      </c>
      <c r="AZ412">
        <v>0</v>
      </c>
      <c r="BA412" t="s">
        <v>74</v>
      </c>
      <c r="BB412">
        <v>0</v>
      </c>
      <c r="BD412">
        <v>3.7463199999999999</v>
      </c>
      <c r="BE412">
        <v>0</v>
      </c>
    </row>
    <row r="413" spans="1:58" ht="12.75">
      <c r="A413" s="2" t="str">
        <f>HYPERLINK("https://ibp.a2mac1.com/costing(costing:projects/details/8191/part/5381766)","Battery Terminal -")</f>
        <v>Battery Terminal -</v>
      </c>
      <c r="B413">
        <v>5381766</v>
      </c>
      <c r="C413">
        <v>5381712</v>
      </c>
      <c r="E413">
        <v>6.0347200000000001</v>
      </c>
      <c r="F413">
        <v>0</v>
      </c>
      <c r="G413">
        <v>0</v>
      </c>
      <c r="H413">
        <v>0</v>
      </c>
      <c r="I413" t="s">
        <v>74</v>
      </c>
      <c r="J413">
        <v>0</v>
      </c>
      <c r="K413">
        <v>6.0347200000000001</v>
      </c>
      <c r="L413">
        <v>0</v>
      </c>
      <c r="M413">
        <v>0</v>
      </c>
      <c r="N413">
        <v>6.0347200000000001</v>
      </c>
      <c r="O413" t="s">
        <v>74</v>
      </c>
      <c r="P413">
        <v>0</v>
      </c>
      <c r="Q413" t="s">
        <v>74</v>
      </c>
      <c r="R413">
        <v>0</v>
      </c>
      <c r="S413" t="s">
        <v>74</v>
      </c>
      <c r="T413">
        <v>0</v>
      </c>
      <c r="U413" t="s">
        <v>74</v>
      </c>
      <c r="V413">
        <v>0</v>
      </c>
      <c r="W413" t="s">
        <v>74</v>
      </c>
      <c r="X413">
        <v>0</v>
      </c>
      <c r="Y413">
        <v>6.0347200000000001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20</v>
      </c>
      <c r="AF413">
        <v>68</v>
      </c>
      <c r="AG413">
        <v>64</v>
      </c>
      <c r="AI413">
        <v>0.217</v>
      </c>
      <c r="AJ413" t="s">
        <v>685</v>
      </c>
      <c r="AK413" t="s">
        <v>686</v>
      </c>
      <c r="AL413" t="s">
        <v>1631</v>
      </c>
      <c r="AM413">
        <v>200000</v>
      </c>
      <c r="AN413" t="s">
        <v>76</v>
      </c>
      <c r="AO413">
        <v>1</v>
      </c>
      <c r="AP413">
        <v>0</v>
      </c>
      <c r="AQ413">
        <v>16666.666666666668</v>
      </c>
      <c r="AR413" t="s">
        <v>1632</v>
      </c>
      <c r="AS413" t="s">
        <v>78</v>
      </c>
      <c r="AX413" t="s">
        <v>79</v>
      </c>
      <c r="AY413" t="s">
        <v>74</v>
      </c>
      <c r="AZ413">
        <v>0</v>
      </c>
      <c r="BA413" t="s">
        <v>74</v>
      </c>
      <c r="BB413">
        <v>0</v>
      </c>
      <c r="BD413">
        <v>6.0347200000000001</v>
      </c>
      <c r="BE413">
        <v>0</v>
      </c>
    </row>
    <row r="414" spans="1:58" ht="12.75">
      <c r="A414" s="2" t="str">
        <f>HYPERLINK("https://ibp.a2mac1.com/costing(costing:projects/details/8191/part/5381767)","Battery Terminal + Auxiliary Starter")</f>
        <v>Battery Terminal + Auxiliary Starter</v>
      </c>
      <c r="B414">
        <v>5381767</v>
      </c>
      <c r="C414">
        <v>5381712</v>
      </c>
      <c r="E414">
        <v>0.12917999999999999</v>
      </c>
      <c r="F414">
        <v>0</v>
      </c>
      <c r="G414">
        <v>0</v>
      </c>
      <c r="H414">
        <v>0</v>
      </c>
      <c r="I414" t="s">
        <v>74</v>
      </c>
      <c r="J414">
        <v>0</v>
      </c>
      <c r="K414">
        <v>0.12917999999999999</v>
      </c>
      <c r="L414">
        <v>0</v>
      </c>
      <c r="M414">
        <v>0</v>
      </c>
      <c r="N414">
        <v>0.12917999999999999</v>
      </c>
      <c r="O414" t="s">
        <v>74</v>
      </c>
      <c r="P414">
        <v>0</v>
      </c>
      <c r="Q414" t="s">
        <v>74</v>
      </c>
      <c r="R414">
        <v>0</v>
      </c>
      <c r="S414" t="s">
        <v>74</v>
      </c>
      <c r="T414">
        <v>0</v>
      </c>
      <c r="U414" t="s">
        <v>74</v>
      </c>
      <c r="V414">
        <v>0</v>
      </c>
      <c r="W414" t="s">
        <v>74</v>
      </c>
      <c r="X414">
        <v>0</v>
      </c>
      <c r="Y414">
        <v>0.12917999999999999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18</v>
      </c>
      <c r="AF414">
        <v>18</v>
      </c>
      <c r="AG414">
        <v>21</v>
      </c>
      <c r="AI414">
        <v>0.023</v>
      </c>
      <c r="AK414" t="s">
        <v>598</v>
      </c>
      <c r="AL414" t="s">
        <v>754</v>
      </c>
      <c r="AM414">
        <v>200000</v>
      </c>
      <c r="AN414" t="s">
        <v>76</v>
      </c>
      <c r="AO414">
        <v>1</v>
      </c>
      <c r="AP414">
        <v>0</v>
      </c>
      <c r="AQ414">
        <v>16666.666666666668</v>
      </c>
      <c r="AR414" t="s">
        <v>1633</v>
      </c>
      <c r="AS414" t="s">
        <v>78</v>
      </c>
      <c r="AX414" t="s">
        <v>79</v>
      </c>
      <c r="AY414" t="s">
        <v>74</v>
      </c>
      <c r="AZ414">
        <v>0</v>
      </c>
      <c r="BA414" t="s">
        <v>74</v>
      </c>
      <c r="BB414">
        <v>0</v>
      </c>
      <c r="BD414">
        <v>0.12917999999999999</v>
      </c>
      <c r="BE414">
        <v>0</v>
      </c>
    </row>
    <row r="415" spans="1:58" ht="12.75">
      <c r="A415" s="2" t="str">
        <f>HYPERLINK("https://ibp.a2mac1.com/costing(costing:projects/details/8191/part/5381768)","Battery Terminal - Auxiliary Starter")</f>
        <v>Battery Terminal - Auxiliary Starter</v>
      </c>
      <c r="B415">
        <v>5381768</v>
      </c>
      <c r="C415">
        <v>5381712</v>
      </c>
      <c r="E415">
        <v>0.16608999999999999</v>
      </c>
      <c r="F415">
        <v>0</v>
      </c>
      <c r="G415">
        <v>0</v>
      </c>
      <c r="H415">
        <v>0</v>
      </c>
      <c r="I415" t="s">
        <v>74</v>
      </c>
      <c r="J415">
        <v>0</v>
      </c>
      <c r="K415">
        <v>0.16608999999999999</v>
      </c>
      <c r="L415">
        <v>0</v>
      </c>
      <c r="M415">
        <v>0</v>
      </c>
      <c r="N415">
        <v>0.16608999999999999</v>
      </c>
      <c r="O415" t="s">
        <v>74</v>
      </c>
      <c r="P415">
        <v>0</v>
      </c>
      <c r="Q415" t="s">
        <v>74</v>
      </c>
      <c r="R415">
        <v>0</v>
      </c>
      <c r="S415" t="s">
        <v>74</v>
      </c>
      <c r="T415">
        <v>0</v>
      </c>
      <c r="U415" t="s">
        <v>74</v>
      </c>
      <c r="V415">
        <v>0</v>
      </c>
      <c r="W415" t="s">
        <v>74</v>
      </c>
      <c r="X415">
        <v>0</v>
      </c>
      <c r="Y415">
        <v>0.16608999999999999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17</v>
      </c>
      <c r="AF415">
        <v>17</v>
      </c>
      <c r="AG415">
        <v>31</v>
      </c>
      <c r="AI415">
        <v>0.03</v>
      </c>
      <c r="AK415" t="s">
        <v>598</v>
      </c>
      <c r="AL415" t="s">
        <v>754</v>
      </c>
      <c r="AM415">
        <v>200000</v>
      </c>
      <c r="AN415" t="s">
        <v>76</v>
      </c>
      <c r="AO415">
        <v>1</v>
      </c>
      <c r="AP415">
        <v>0</v>
      </c>
      <c r="AQ415">
        <v>16666.666666666668</v>
      </c>
      <c r="AR415" t="s">
        <v>1634</v>
      </c>
      <c r="AS415" t="s">
        <v>78</v>
      </c>
      <c r="AX415" t="s">
        <v>79</v>
      </c>
      <c r="AY415" t="s">
        <v>74</v>
      </c>
      <c r="AZ415">
        <v>0</v>
      </c>
      <c r="BA415" t="s">
        <v>74</v>
      </c>
      <c r="BB415">
        <v>0</v>
      </c>
      <c r="BD415">
        <v>0.16608999999999999</v>
      </c>
      <c r="BE415">
        <v>0</v>
      </c>
    </row>
    <row r="416" spans="1:58" ht="12.75">
      <c r="A416" s="2" t="str">
        <f>HYPERLINK("https://ibp.a2mac1.com/costing(costing:projects/details/8191/part/5381770)","Power Distribution Module Support")</f>
        <v>Power Distribution Module Support</v>
      </c>
      <c r="B416">
        <v>5381770</v>
      </c>
      <c r="C416">
        <v>5381712</v>
      </c>
      <c r="E416">
        <v>0.80278000000000005</v>
      </c>
      <c r="F416">
        <v>0</v>
      </c>
      <c r="G416">
        <v>0</v>
      </c>
      <c r="H416">
        <v>0</v>
      </c>
      <c r="I416" t="s">
        <v>74</v>
      </c>
      <c r="J416">
        <v>0</v>
      </c>
      <c r="K416">
        <v>0.80278000000000005</v>
      </c>
      <c r="L416">
        <v>0</v>
      </c>
      <c r="M416">
        <v>0</v>
      </c>
      <c r="N416">
        <v>0.80278000000000005</v>
      </c>
      <c r="O416" t="s">
        <v>74</v>
      </c>
      <c r="P416">
        <v>0</v>
      </c>
      <c r="Q416" t="s">
        <v>74</v>
      </c>
      <c r="R416">
        <v>0</v>
      </c>
      <c r="S416" t="s">
        <v>74</v>
      </c>
      <c r="T416">
        <v>0</v>
      </c>
      <c r="U416" t="s">
        <v>74</v>
      </c>
      <c r="V416">
        <v>0</v>
      </c>
      <c r="W416" t="s">
        <v>74</v>
      </c>
      <c r="X416">
        <v>0</v>
      </c>
      <c r="Y416">
        <v>0.80278000000000005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136</v>
      </c>
      <c r="AF416">
        <v>192</v>
      </c>
      <c r="AG416">
        <v>138</v>
      </c>
      <c r="AI416">
        <v>0.112</v>
      </c>
      <c r="AJ416" t="s">
        <v>1621</v>
      </c>
      <c r="AK416" t="s">
        <v>598</v>
      </c>
      <c r="AL416" t="s">
        <v>1261</v>
      </c>
      <c r="AM416">
        <v>200000</v>
      </c>
      <c r="AN416" t="s">
        <v>76</v>
      </c>
      <c r="AO416">
        <v>1</v>
      </c>
      <c r="AP416">
        <v>0</v>
      </c>
      <c r="AQ416">
        <v>16666.666666666668</v>
      </c>
      <c r="AR416" t="s">
        <v>1635</v>
      </c>
      <c r="AS416" t="s">
        <v>78</v>
      </c>
      <c r="AX416" t="s">
        <v>79</v>
      </c>
      <c r="AY416" t="s">
        <v>74</v>
      </c>
      <c r="AZ416">
        <v>0</v>
      </c>
      <c r="BA416" t="s">
        <v>74</v>
      </c>
      <c r="BB416">
        <v>0</v>
      </c>
      <c r="BD416">
        <v>0.80278000000000005</v>
      </c>
      <c r="BE416">
        <v>0</v>
      </c>
    </row>
    <row r="417" spans="1:58" ht="12.75">
      <c r="A417" s="2" t="str">
        <f>HYPERLINK("https://ibp.a2mac1.com/costing(costing:projects/details/8191/part/5381771)","Power Distribution Module Cover")</f>
        <v>Power Distribution Module Cover</v>
      </c>
      <c r="B417">
        <v>5381771</v>
      </c>
      <c r="C417">
        <v>5381712</v>
      </c>
      <c r="E417">
        <v>0.40600999999999998</v>
      </c>
      <c r="F417">
        <v>0</v>
      </c>
      <c r="G417">
        <v>0</v>
      </c>
      <c r="H417">
        <v>0</v>
      </c>
      <c r="I417" t="s">
        <v>74</v>
      </c>
      <c r="J417">
        <v>0</v>
      </c>
      <c r="K417">
        <v>0.40600999999999998</v>
      </c>
      <c r="L417">
        <v>0</v>
      </c>
      <c r="M417">
        <v>0</v>
      </c>
      <c r="N417">
        <v>0.40600999999999998</v>
      </c>
      <c r="O417" t="s">
        <v>74</v>
      </c>
      <c r="P417">
        <v>0</v>
      </c>
      <c r="Q417" t="s">
        <v>74</v>
      </c>
      <c r="R417">
        <v>0</v>
      </c>
      <c r="S417" t="s">
        <v>74</v>
      </c>
      <c r="T417">
        <v>0</v>
      </c>
      <c r="U417" t="s">
        <v>74</v>
      </c>
      <c r="V417">
        <v>0</v>
      </c>
      <c r="W417" t="s">
        <v>74</v>
      </c>
      <c r="X417">
        <v>0</v>
      </c>
      <c r="Y417">
        <v>0.40600999999999998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100</v>
      </c>
      <c r="AF417">
        <v>151</v>
      </c>
      <c r="AG417">
        <v>36</v>
      </c>
      <c r="AI417">
        <v>0.042000000000000003</v>
      </c>
      <c r="AJ417" t="s">
        <v>1621</v>
      </c>
      <c r="AK417" t="s">
        <v>598</v>
      </c>
      <c r="AL417" t="s">
        <v>1261</v>
      </c>
      <c r="AM417">
        <v>200000</v>
      </c>
      <c r="AN417" t="s">
        <v>76</v>
      </c>
      <c r="AO417">
        <v>1</v>
      </c>
      <c r="AP417">
        <v>0</v>
      </c>
      <c r="AQ417">
        <v>16666.666666666668</v>
      </c>
      <c r="AR417" t="s">
        <v>1636</v>
      </c>
      <c r="AS417" t="s">
        <v>78</v>
      </c>
      <c r="AX417" t="s">
        <v>79</v>
      </c>
      <c r="AY417" t="s">
        <v>74</v>
      </c>
      <c r="AZ417">
        <v>0</v>
      </c>
      <c r="BA417" t="s">
        <v>74</v>
      </c>
      <c r="BB417">
        <v>0</v>
      </c>
      <c r="BD417">
        <v>0.40600999999999998</v>
      </c>
      <c r="BE417">
        <v>0</v>
      </c>
    </row>
    <row r="418" spans="1:58" ht="12.75">
      <c r="A418" s="2" t="str">
        <f>HYPERLINK("https://ibp.a2mac1.com/costing(costing:projects/details/8191/part/5381779)","Steering Wheel Airbag Harness")</f>
        <v>Steering Wheel Airbag Harness</v>
      </c>
      <c r="B418">
        <v>5381779</v>
      </c>
      <c r="C418">
        <v>5381713</v>
      </c>
      <c r="D418" t="s">
        <v>1657</v>
      </c>
      <c r="E418">
        <v>1.19</v>
      </c>
      <c r="F418">
        <v>0</v>
      </c>
      <c r="G418">
        <v>0</v>
      </c>
      <c r="H418">
        <v>0</v>
      </c>
      <c r="I418" t="s">
        <v>74</v>
      </c>
      <c r="J418">
        <v>0</v>
      </c>
      <c r="K418">
        <v>1.19</v>
      </c>
      <c r="L418">
        <v>0</v>
      </c>
      <c r="M418">
        <v>0</v>
      </c>
      <c r="N418">
        <v>1.19</v>
      </c>
      <c r="O418" t="s">
        <v>74</v>
      </c>
      <c r="P418">
        <v>0</v>
      </c>
      <c r="Q418" t="s">
        <v>74</v>
      </c>
      <c r="R418">
        <v>0</v>
      </c>
      <c r="S418" t="s">
        <v>74</v>
      </c>
      <c r="T418">
        <v>0</v>
      </c>
      <c r="U418" t="s">
        <v>74</v>
      </c>
      <c r="V418">
        <v>0</v>
      </c>
      <c r="W418" t="s">
        <v>74</v>
      </c>
      <c r="X418">
        <v>0</v>
      </c>
      <c r="Y418">
        <v>1.19</v>
      </c>
      <c r="Z418">
        <v>0</v>
      </c>
      <c r="AA418">
        <v>0</v>
      </c>
      <c r="AB418">
        <v>0</v>
      </c>
      <c r="AC418">
        <v>0</v>
      </c>
      <c r="AD418">
        <v>0</v>
      </c>
      <c r="AI418">
        <v>0.023</v>
      </c>
      <c r="AK418" t="s">
        <v>1645</v>
      </c>
      <c r="AL418" t="s">
        <v>1658</v>
      </c>
      <c r="AM418">
        <v>200000</v>
      </c>
      <c r="AN418" t="s">
        <v>76</v>
      </c>
      <c r="AO418">
        <v>1</v>
      </c>
      <c r="AP418">
        <v>0</v>
      </c>
      <c r="AQ418">
        <v>16666.666666666668</v>
      </c>
      <c r="AR418" t="s">
        <v>1659</v>
      </c>
      <c r="AS418" t="s">
        <v>78</v>
      </c>
      <c r="AX418" t="s">
        <v>79</v>
      </c>
      <c r="AY418" t="s">
        <v>74</v>
      </c>
      <c r="AZ418">
        <v>0</v>
      </c>
      <c r="BA418" t="s">
        <v>74</v>
      </c>
      <c r="BB418">
        <v>0</v>
      </c>
      <c r="BD418">
        <v>1.19</v>
      </c>
      <c r="BE418">
        <v>0</v>
      </c>
    </row>
    <row r="419" spans="1:58" ht="12.75">
      <c r="A419" s="2" t="str">
        <f>HYPERLINK("https://ibp.a2mac1.com/costing(costing:projects/details/8191/part/5381780)","Second Pin +  Power Distribution Module")</f>
        <v>Second Pin +  Power Distribution Module</v>
      </c>
      <c r="B419">
        <v>5381780</v>
      </c>
      <c r="C419">
        <v>5381713</v>
      </c>
      <c r="E419">
        <v>4.72</v>
      </c>
      <c r="F419">
        <v>0</v>
      </c>
      <c r="G419">
        <v>0</v>
      </c>
      <c r="H419">
        <v>0</v>
      </c>
      <c r="I419" t="s">
        <v>74</v>
      </c>
      <c r="J419">
        <v>0</v>
      </c>
      <c r="K419">
        <v>4.72</v>
      </c>
      <c r="L419">
        <v>0</v>
      </c>
      <c r="M419">
        <v>0</v>
      </c>
      <c r="N419">
        <v>4.72</v>
      </c>
      <c r="O419" t="s">
        <v>74</v>
      </c>
      <c r="P419">
        <v>0</v>
      </c>
      <c r="Q419" t="s">
        <v>74</v>
      </c>
      <c r="R419">
        <v>0</v>
      </c>
      <c r="S419" t="s">
        <v>74</v>
      </c>
      <c r="T419">
        <v>0</v>
      </c>
      <c r="U419" t="s">
        <v>74</v>
      </c>
      <c r="V419">
        <v>0</v>
      </c>
      <c r="W419" t="s">
        <v>74</v>
      </c>
      <c r="X419">
        <v>0</v>
      </c>
      <c r="Y419">
        <v>4.72</v>
      </c>
      <c r="Z419">
        <v>0</v>
      </c>
      <c r="AA419">
        <v>0</v>
      </c>
      <c r="AB419">
        <v>0</v>
      </c>
      <c r="AC419">
        <v>0</v>
      </c>
      <c r="AD419">
        <v>0</v>
      </c>
      <c r="AI419">
        <v>0.096000000000000002</v>
      </c>
      <c r="AK419" t="s">
        <v>1645</v>
      </c>
      <c r="AL419" t="s">
        <v>1658</v>
      </c>
      <c r="AM419">
        <v>200000</v>
      </c>
      <c r="AN419" t="s">
        <v>76</v>
      </c>
      <c r="AO419">
        <v>1</v>
      </c>
      <c r="AP419">
        <v>0</v>
      </c>
      <c r="AQ419">
        <v>16666.666666666668</v>
      </c>
      <c r="AR419" t="s">
        <v>1660</v>
      </c>
      <c r="AS419" t="s">
        <v>78</v>
      </c>
      <c r="AX419" t="s">
        <v>79</v>
      </c>
      <c r="AY419" t="s">
        <v>74</v>
      </c>
      <c r="AZ419">
        <v>0</v>
      </c>
      <c r="BA419" t="s">
        <v>74</v>
      </c>
      <c r="BB419">
        <v>0</v>
      </c>
      <c r="BD419">
        <v>4.72</v>
      </c>
      <c r="BE419">
        <v>0</v>
      </c>
    </row>
    <row r="420" spans="1:58" ht="12.75">
      <c r="A420" s="2" t="str">
        <f>HYPERLINK("https://ibp.a2mac1.com/costing(costing:projects/details/8191/part/5381781)","Coolant Temperature Sensor Harness")</f>
        <v>Coolant Temperature Sensor Harness</v>
      </c>
      <c r="B420">
        <v>5381781</v>
      </c>
      <c r="C420">
        <v>5381713</v>
      </c>
      <c r="E420">
        <v>2.3991199999999999</v>
      </c>
      <c r="F420">
        <v>0</v>
      </c>
      <c r="G420">
        <v>0</v>
      </c>
      <c r="H420">
        <v>0</v>
      </c>
      <c r="I420" t="s">
        <v>74</v>
      </c>
      <c r="J420">
        <v>0</v>
      </c>
      <c r="K420">
        <v>2.3991199999999999</v>
      </c>
      <c r="L420">
        <v>0</v>
      </c>
      <c r="M420">
        <v>0</v>
      </c>
      <c r="N420">
        <v>2.3991199999999999</v>
      </c>
      <c r="O420" t="s">
        <v>74</v>
      </c>
      <c r="P420">
        <v>0</v>
      </c>
      <c r="Q420" t="s">
        <v>74</v>
      </c>
      <c r="R420">
        <v>0</v>
      </c>
      <c r="S420" t="s">
        <v>74</v>
      </c>
      <c r="T420">
        <v>0</v>
      </c>
      <c r="U420" t="s">
        <v>74</v>
      </c>
      <c r="V420">
        <v>0</v>
      </c>
      <c r="W420" t="s">
        <v>74</v>
      </c>
      <c r="X420">
        <v>0</v>
      </c>
      <c r="Y420">
        <v>2.3991199999999999</v>
      </c>
      <c r="Z420">
        <v>0</v>
      </c>
      <c r="AA420">
        <v>0</v>
      </c>
      <c r="AB420">
        <v>0</v>
      </c>
      <c r="AC420">
        <v>0</v>
      </c>
      <c r="AD420">
        <v>0</v>
      </c>
      <c r="AI420">
        <v>0.027</v>
      </c>
      <c r="AJ420" t="s">
        <v>1644</v>
      </c>
      <c r="AK420" t="s">
        <v>1645</v>
      </c>
      <c r="AL420" t="s">
        <v>1658</v>
      </c>
      <c r="AM420">
        <v>200000</v>
      </c>
      <c r="AN420" t="s">
        <v>76</v>
      </c>
      <c r="AO420">
        <v>1</v>
      </c>
      <c r="AP420">
        <v>0</v>
      </c>
      <c r="AQ420">
        <v>16666.666666666668</v>
      </c>
      <c r="AR420" t="s">
        <v>1661</v>
      </c>
      <c r="AS420" t="s">
        <v>78</v>
      </c>
      <c r="AX420" t="s">
        <v>79</v>
      </c>
      <c r="AY420" t="s">
        <v>74</v>
      </c>
      <c r="AZ420">
        <v>0</v>
      </c>
      <c r="BA420" t="s">
        <v>74</v>
      </c>
      <c r="BB420">
        <v>0</v>
      </c>
      <c r="BD420">
        <v>2.3991199999999999</v>
      </c>
      <c r="BE420">
        <v>0</v>
      </c>
    </row>
    <row r="421" spans="1:58" ht="12.75">
      <c r="A421" s="2" t="str">
        <f>HYPERLINK("https://ibp.a2mac1.com/costing(costing:projects/details/8191/part/5381782)","Trailer Hitch Wire Harness")</f>
        <v>Trailer Hitch Wire Harness</v>
      </c>
      <c r="B421">
        <v>5381782</v>
      </c>
      <c r="C421">
        <v>5381713</v>
      </c>
      <c r="E421">
        <v>12.44</v>
      </c>
      <c r="F421">
        <v>0</v>
      </c>
      <c r="G421">
        <v>0</v>
      </c>
      <c r="H421">
        <v>0</v>
      </c>
      <c r="I421" t="s">
        <v>74</v>
      </c>
      <c r="J421">
        <v>0</v>
      </c>
      <c r="K421">
        <v>12.44</v>
      </c>
      <c r="L421">
        <v>0</v>
      </c>
      <c r="M421">
        <v>0</v>
      </c>
      <c r="N421">
        <v>12.44</v>
      </c>
      <c r="O421" t="s">
        <v>74</v>
      </c>
      <c r="P421">
        <v>0</v>
      </c>
      <c r="Q421" t="s">
        <v>74</v>
      </c>
      <c r="R421">
        <v>0</v>
      </c>
      <c r="S421" t="s">
        <v>74</v>
      </c>
      <c r="T421">
        <v>0</v>
      </c>
      <c r="U421" t="s">
        <v>74</v>
      </c>
      <c r="V421">
        <v>0</v>
      </c>
      <c r="W421" t="s">
        <v>74</v>
      </c>
      <c r="X421">
        <v>0</v>
      </c>
      <c r="Y421">
        <v>12.44</v>
      </c>
      <c r="Z421">
        <v>0</v>
      </c>
      <c r="AA421">
        <v>0</v>
      </c>
      <c r="AB421">
        <v>0</v>
      </c>
      <c r="AC421">
        <v>0</v>
      </c>
      <c r="AD421">
        <v>0</v>
      </c>
      <c r="AI421">
        <v>0.38400000000000001</v>
      </c>
      <c r="AJ421" t="s">
        <v>1644</v>
      </c>
      <c r="AK421" t="s">
        <v>1645</v>
      </c>
      <c r="AL421" t="s">
        <v>1658</v>
      </c>
      <c r="AM421">
        <v>200000</v>
      </c>
      <c r="AN421" t="s">
        <v>76</v>
      </c>
      <c r="AO421">
        <v>1</v>
      </c>
      <c r="AP421">
        <v>0</v>
      </c>
      <c r="AQ421">
        <v>16666.666666666668</v>
      </c>
      <c r="AR421" t="s">
        <v>1662</v>
      </c>
      <c r="AS421" t="s">
        <v>78</v>
      </c>
      <c r="AX421" t="s">
        <v>79</v>
      </c>
      <c r="AY421" t="s">
        <v>74</v>
      </c>
      <c r="AZ421">
        <v>0</v>
      </c>
      <c r="BA421" t="s">
        <v>74</v>
      </c>
      <c r="BB421">
        <v>0</v>
      </c>
      <c r="BD421">
        <v>12.44</v>
      </c>
      <c r="BE421">
        <v>0</v>
      </c>
    </row>
    <row r="422" spans="1:58" ht="12.75">
      <c r="A422" s="2" t="str">
        <f>HYPERLINK("https://ibp.a2mac1.com/costing(costing:projects/details/8191/part/5381783)","Driver Communication Light Bar Harness")</f>
        <v>Driver Communication Light Bar Harness</v>
      </c>
      <c r="B422">
        <v>5381783</v>
      </c>
      <c r="C422">
        <v>5381713</v>
      </c>
      <c r="E422">
        <v>0.18454999999999999</v>
      </c>
      <c r="F422">
        <v>0</v>
      </c>
      <c r="G422">
        <v>0</v>
      </c>
      <c r="H422">
        <v>0</v>
      </c>
      <c r="I422" t="s">
        <v>74</v>
      </c>
      <c r="J422">
        <v>0</v>
      </c>
      <c r="K422">
        <v>0.18454999999999999</v>
      </c>
      <c r="L422">
        <v>0</v>
      </c>
      <c r="M422">
        <v>0</v>
      </c>
      <c r="N422">
        <v>0.18454999999999999</v>
      </c>
      <c r="O422" t="s">
        <v>74</v>
      </c>
      <c r="P422">
        <v>0</v>
      </c>
      <c r="Q422" t="s">
        <v>74</v>
      </c>
      <c r="R422">
        <v>0</v>
      </c>
      <c r="S422" t="s">
        <v>74</v>
      </c>
      <c r="T422">
        <v>0</v>
      </c>
      <c r="U422" t="s">
        <v>74</v>
      </c>
      <c r="V422">
        <v>0</v>
      </c>
      <c r="W422" t="s">
        <v>74</v>
      </c>
      <c r="X422">
        <v>0</v>
      </c>
      <c r="Y422">
        <v>0.18454999999999999</v>
      </c>
      <c r="Z422">
        <v>0</v>
      </c>
      <c r="AA422">
        <v>0</v>
      </c>
      <c r="AB422">
        <v>0</v>
      </c>
      <c r="AC422">
        <v>0</v>
      </c>
      <c r="AD422">
        <v>0</v>
      </c>
      <c r="AI422">
        <v>0.0080000000000000002</v>
      </c>
      <c r="AJ422" t="s">
        <v>685</v>
      </c>
      <c r="AK422" t="s">
        <v>1645</v>
      </c>
      <c r="AL422" t="s">
        <v>1658</v>
      </c>
      <c r="AM422">
        <v>200000</v>
      </c>
      <c r="AN422" t="s">
        <v>76</v>
      </c>
      <c r="AO422">
        <v>1</v>
      </c>
      <c r="AP422">
        <v>0</v>
      </c>
      <c r="AQ422">
        <v>16666.666666666668</v>
      </c>
      <c r="AR422" t="s">
        <v>1663</v>
      </c>
      <c r="AS422" t="s">
        <v>78</v>
      </c>
      <c r="AX422" t="s">
        <v>79</v>
      </c>
      <c r="AY422" t="s">
        <v>74</v>
      </c>
      <c r="AZ422">
        <v>0</v>
      </c>
      <c r="BA422" t="s">
        <v>74</v>
      </c>
      <c r="BB422">
        <v>0</v>
      </c>
      <c r="BD422">
        <v>0.18454999999999999</v>
      </c>
      <c r="BE422">
        <v>0</v>
      </c>
    </row>
    <row r="423" spans="1:58" ht="12.75">
      <c r="A423" s="2" t="str">
        <f>HYPERLINK("https://ibp.a2mac1.com/costing(costing:projects/details/8191/part/5381784)","Driver Communication Light Bar 2nd Harness")</f>
        <v>Driver Communication Light Bar 2nd Harness</v>
      </c>
      <c r="B423">
        <v>5381784</v>
      </c>
      <c r="C423">
        <v>5381713</v>
      </c>
      <c r="E423">
        <v>0.55364999999999998</v>
      </c>
      <c r="F423">
        <v>0</v>
      </c>
      <c r="G423">
        <v>0</v>
      </c>
      <c r="H423">
        <v>0</v>
      </c>
      <c r="I423" t="s">
        <v>74</v>
      </c>
      <c r="J423">
        <v>0</v>
      </c>
      <c r="K423">
        <v>0.55364999999999998</v>
      </c>
      <c r="L423">
        <v>0</v>
      </c>
      <c r="M423">
        <v>0</v>
      </c>
      <c r="N423">
        <v>0.55364999999999998</v>
      </c>
      <c r="O423" t="s">
        <v>74</v>
      </c>
      <c r="P423">
        <v>0</v>
      </c>
      <c r="Q423" t="s">
        <v>74</v>
      </c>
      <c r="R423">
        <v>0</v>
      </c>
      <c r="S423" t="s">
        <v>74</v>
      </c>
      <c r="T423">
        <v>0</v>
      </c>
      <c r="U423" t="s">
        <v>74</v>
      </c>
      <c r="V423">
        <v>0</v>
      </c>
      <c r="W423" t="s">
        <v>74</v>
      </c>
      <c r="X423">
        <v>0</v>
      </c>
      <c r="Y423">
        <v>0.55364999999999998</v>
      </c>
      <c r="Z423">
        <v>0</v>
      </c>
      <c r="AA423">
        <v>0</v>
      </c>
      <c r="AB423">
        <v>0</v>
      </c>
      <c r="AC423">
        <v>0</v>
      </c>
      <c r="AD423">
        <v>0</v>
      </c>
      <c r="AI423">
        <v>0.0040000000000000001</v>
      </c>
      <c r="AJ423" t="s">
        <v>685</v>
      </c>
      <c r="AK423" t="s">
        <v>1645</v>
      </c>
      <c r="AL423" t="s">
        <v>1658</v>
      </c>
      <c r="AM423">
        <v>600000</v>
      </c>
      <c r="AN423" t="s">
        <v>76</v>
      </c>
      <c r="AO423">
        <v>3</v>
      </c>
      <c r="AP423">
        <v>0</v>
      </c>
      <c r="AQ423">
        <v>50000</v>
      </c>
      <c r="AR423" t="s">
        <v>1664</v>
      </c>
      <c r="AS423" t="s">
        <v>78</v>
      </c>
      <c r="AX423" t="s">
        <v>79</v>
      </c>
      <c r="AY423" t="s">
        <v>74</v>
      </c>
      <c r="AZ423">
        <v>0</v>
      </c>
      <c r="BA423" t="s">
        <v>74</v>
      </c>
      <c r="BB423">
        <v>0</v>
      </c>
      <c r="BD423">
        <v>0.18454999999999999</v>
      </c>
      <c r="BE423">
        <v>0</v>
      </c>
    </row>
    <row r="424" spans="1:58" ht="12.75">
      <c r="A424" s="2" t="str">
        <f>HYPERLINK("https://ibp.a2mac1.com/costing(costing:projects/details/8191/part/5381816)","Network ECU BCM")</f>
        <v>Network ECU BCM</v>
      </c>
      <c r="B424">
        <v>5381816</v>
      </c>
      <c r="C424">
        <v>5381786</v>
      </c>
      <c r="E424">
        <v>0</v>
      </c>
      <c r="F424">
        <v>38.792584308836354</v>
      </c>
      <c r="G424">
        <v>0</v>
      </c>
      <c r="H424">
        <v>0</v>
      </c>
      <c r="I424" t="s">
        <v>137</v>
      </c>
      <c r="J424">
        <v>0</v>
      </c>
      <c r="K424">
        <v>40.150324759645621</v>
      </c>
      <c r="L424">
        <v>1.940292745876109</v>
      </c>
      <c r="M424">
        <v>6.7910246105663816</v>
      </c>
      <c r="N424">
        <v>46.941349370212002</v>
      </c>
      <c r="O424" t="s">
        <v>138</v>
      </c>
      <c r="P424">
        <v>2.4090194855787375</v>
      </c>
      <c r="Q424" t="s">
        <v>138</v>
      </c>
      <c r="R424">
        <v>0.40746147663398286</v>
      </c>
      <c r="S424" t="s">
        <v>139</v>
      </c>
      <c r="T424">
        <v>5.6329619244254401</v>
      </c>
      <c r="U424" t="s">
        <v>90</v>
      </c>
      <c r="V424">
        <v>0</v>
      </c>
      <c r="W424" t="s">
        <v>90</v>
      </c>
      <c r="X424">
        <v>0</v>
      </c>
      <c r="Y424">
        <v>55.390792256850162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36</v>
      </c>
      <c r="AF424">
        <v>200</v>
      </c>
      <c r="AG424">
        <v>182</v>
      </c>
      <c r="AI424">
        <v>0.33900000000000002</v>
      </c>
      <c r="AJ424" t="s">
        <v>1355</v>
      </c>
      <c r="AK424" t="s">
        <v>576</v>
      </c>
      <c r="AM424">
        <v>200000</v>
      </c>
      <c r="AN424" t="s">
        <v>76</v>
      </c>
      <c r="AO424">
        <v>1</v>
      </c>
      <c r="AP424">
        <v>0</v>
      </c>
      <c r="AQ424">
        <v>16666.666666666668</v>
      </c>
      <c r="AR424" t="s">
        <v>1670</v>
      </c>
      <c r="AS424" t="s">
        <v>78</v>
      </c>
      <c r="AX424" t="s">
        <v>79</v>
      </c>
      <c r="AY424" t="s">
        <v>137</v>
      </c>
      <c r="AZ424">
        <v>1.3577404508092723</v>
      </c>
      <c r="BA424" t="s">
        <v>137</v>
      </c>
      <c r="BB424">
        <v>0</v>
      </c>
      <c r="BE424">
        <v>0</v>
      </c>
    </row>
    <row r="425" spans="1:58" ht="12.75">
      <c r="A425" s="2" t="str">
        <f>HYPERLINK("https://ibp.a2mac1.com/costing(costing:projects/details/8191/part/5381817)","Network ECU BCM Support")</f>
        <v>Network ECU BCM Support</v>
      </c>
      <c r="B425">
        <v>5381817</v>
      </c>
      <c r="C425">
        <v>5381786</v>
      </c>
      <c r="E425">
        <v>0.46137</v>
      </c>
      <c r="F425">
        <v>0</v>
      </c>
      <c r="G425">
        <v>0</v>
      </c>
      <c r="H425">
        <v>0</v>
      </c>
      <c r="I425" t="s">
        <v>74</v>
      </c>
      <c r="J425">
        <v>0</v>
      </c>
      <c r="K425">
        <v>0.46137</v>
      </c>
      <c r="L425">
        <v>0</v>
      </c>
      <c r="M425">
        <v>0</v>
      </c>
      <c r="N425">
        <v>0.46137</v>
      </c>
      <c r="O425" t="s">
        <v>74</v>
      </c>
      <c r="P425">
        <v>0</v>
      </c>
      <c r="Q425" t="s">
        <v>74</v>
      </c>
      <c r="R425">
        <v>0</v>
      </c>
      <c r="S425" t="s">
        <v>74</v>
      </c>
      <c r="T425">
        <v>0</v>
      </c>
      <c r="U425" t="s">
        <v>74</v>
      </c>
      <c r="V425">
        <v>0</v>
      </c>
      <c r="W425" t="s">
        <v>74</v>
      </c>
      <c r="X425">
        <v>0</v>
      </c>
      <c r="Y425">
        <v>0.46137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165</v>
      </c>
      <c r="AF425">
        <v>287</v>
      </c>
      <c r="AG425">
        <v>272</v>
      </c>
      <c r="AI425">
        <v>0.21099999999999999</v>
      </c>
      <c r="AJ425" t="s">
        <v>685</v>
      </c>
      <c r="AK425" t="s">
        <v>598</v>
      </c>
      <c r="AL425" t="s">
        <v>1182</v>
      </c>
      <c r="AM425">
        <v>200000</v>
      </c>
      <c r="AN425" t="s">
        <v>76</v>
      </c>
      <c r="AO425">
        <v>1</v>
      </c>
      <c r="AP425">
        <v>0</v>
      </c>
      <c r="AQ425">
        <v>16666.666666666668</v>
      </c>
      <c r="AR425" t="s">
        <v>1671</v>
      </c>
      <c r="AS425" t="s">
        <v>78</v>
      </c>
      <c r="AX425" t="s">
        <v>79</v>
      </c>
      <c r="AY425" t="s">
        <v>74</v>
      </c>
      <c r="AZ425">
        <v>0</v>
      </c>
      <c r="BA425" t="s">
        <v>74</v>
      </c>
      <c r="BB425">
        <v>0</v>
      </c>
      <c r="BD425">
        <v>0.46137</v>
      </c>
      <c r="BE425">
        <v>0</v>
      </c>
    </row>
    <row r="426" spans="1:58" ht="12.75">
      <c r="A426" s="2" t="str">
        <f>HYPERLINK("https://ibp.a2mac1.com/costing(costing:projects/details/8191/part/5381818)","Trailer Hitch ECU")</f>
        <v>Trailer Hitch ECU</v>
      </c>
      <c r="B426">
        <v>5381818</v>
      </c>
      <c r="C426">
        <v>5381787</v>
      </c>
      <c r="E426">
        <v>0</v>
      </c>
      <c r="F426">
        <v>6.2527493604053284</v>
      </c>
      <c r="G426">
        <v>0</v>
      </c>
      <c r="H426">
        <v>0</v>
      </c>
      <c r="I426" t="s">
        <v>137</v>
      </c>
      <c r="J426">
        <v>0</v>
      </c>
      <c r="K426">
        <v>6.4715955880195146</v>
      </c>
      <c r="L426">
        <v>0.3081885422746638</v>
      </c>
      <c r="M426">
        <v>1.0786598979613233</v>
      </c>
      <c r="N426">
        <v>7.5502554859808377</v>
      </c>
      <c r="O426" t="s">
        <v>138</v>
      </c>
      <c r="P426">
        <v>0.38829573528117084</v>
      </c>
      <c r="Q426" t="s">
        <v>138</v>
      </c>
      <c r="R426">
        <v>0.064719593877679393</v>
      </c>
      <c r="S426" t="s">
        <v>139</v>
      </c>
      <c r="T426">
        <v>0.90603065831770058</v>
      </c>
      <c r="U426" t="s">
        <v>90</v>
      </c>
      <c r="V426">
        <v>0</v>
      </c>
      <c r="W426" t="s">
        <v>90</v>
      </c>
      <c r="X426">
        <v>0</v>
      </c>
      <c r="Y426">
        <v>8.9093014734573881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32</v>
      </c>
      <c r="AF426">
        <v>161</v>
      </c>
      <c r="AG426">
        <v>111</v>
      </c>
      <c r="AI426">
        <v>0.186</v>
      </c>
      <c r="AJ426" t="s">
        <v>1299</v>
      </c>
      <c r="AK426" t="s">
        <v>576</v>
      </c>
      <c r="AL426" t="s">
        <v>1676</v>
      </c>
      <c r="AM426">
        <v>200000</v>
      </c>
      <c r="AN426" t="s">
        <v>76</v>
      </c>
      <c r="AO426">
        <v>1</v>
      </c>
      <c r="AP426">
        <v>0</v>
      </c>
      <c r="AQ426">
        <v>16666.666666666668</v>
      </c>
      <c r="AR426" t="s">
        <v>1677</v>
      </c>
      <c r="AS426" t="s">
        <v>78</v>
      </c>
      <c r="AX426" t="s">
        <v>79</v>
      </c>
      <c r="AY426" t="s">
        <v>137</v>
      </c>
      <c r="AZ426">
        <v>0.21884622761418648</v>
      </c>
      <c r="BA426" t="s">
        <v>137</v>
      </c>
      <c r="BB426">
        <v>0</v>
      </c>
      <c r="BE426">
        <v>0</v>
      </c>
    </row>
    <row r="427" spans="1:58" ht="12.75">
      <c r="A427" s="2" t="str">
        <f>HYPERLINK("https://ibp.a2mac1.com/costing(costing:projects/details/8191/part/5381819)","Gateway ECU")</f>
        <v>Gateway ECU</v>
      </c>
      <c r="B427">
        <v>5381819</v>
      </c>
      <c r="C427">
        <v>5381788</v>
      </c>
      <c r="E427">
        <v>0</v>
      </c>
      <c r="F427">
        <v>95.718981720491428</v>
      </c>
      <c r="G427">
        <v>0</v>
      </c>
      <c r="H427">
        <v>0</v>
      </c>
      <c r="I427" t="s">
        <v>137</v>
      </c>
      <c r="J427">
        <v>0</v>
      </c>
      <c r="K427">
        <v>99.06914608070862</v>
      </c>
      <c r="L427">
        <v>4.7936217731513624</v>
      </c>
      <c r="M427">
        <v>16.777676206029771</v>
      </c>
      <c r="N427">
        <v>115.84682228673839</v>
      </c>
      <c r="O427" t="s">
        <v>138</v>
      </c>
      <c r="P427">
        <v>5.9441487648425175</v>
      </c>
      <c r="Q427" t="s">
        <v>138</v>
      </c>
      <c r="R427">
        <v>1.0066605723617861</v>
      </c>
      <c r="S427" t="s">
        <v>139</v>
      </c>
      <c r="T427">
        <v>13.901618674408606</v>
      </c>
      <c r="U427" t="s">
        <v>90</v>
      </c>
      <c r="V427">
        <v>0</v>
      </c>
      <c r="W427" t="s">
        <v>90</v>
      </c>
      <c r="X427">
        <v>0</v>
      </c>
      <c r="Y427">
        <v>136.6992502983513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29</v>
      </c>
      <c r="AF427">
        <v>177</v>
      </c>
      <c r="AG427">
        <v>182</v>
      </c>
      <c r="AI427">
        <v>0.605</v>
      </c>
      <c r="AJ427" t="s">
        <v>1355</v>
      </c>
      <c r="AK427" t="s">
        <v>576</v>
      </c>
      <c r="AM427">
        <v>200000</v>
      </c>
      <c r="AN427" t="s">
        <v>76</v>
      </c>
      <c r="AO427">
        <v>1</v>
      </c>
      <c r="AP427">
        <v>0</v>
      </c>
      <c r="AQ427">
        <v>16666.666666666668</v>
      </c>
      <c r="AR427" t="s">
        <v>1682</v>
      </c>
      <c r="AS427" t="s">
        <v>78</v>
      </c>
      <c r="AX427" t="s">
        <v>79</v>
      </c>
      <c r="AY427" t="s">
        <v>137</v>
      </c>
      <c r="AZ427">
        <v>3.3501643602172</v>
      </c>
      <c r="BA427" t="s">
        <v>137</v>
      </c>
      <c r="BB427">
        <v>0</v>
      </c>
      <c r="BE427">
        <v>0</v>
      </c>
    </row>
    <row r="428" spans="1:58" ht="12.75">
      <c r="A428" s="2" t="str">
        <f>HYPERLINK("https://ibp.a2mac1.com/costing(costing:projects/details/8191/part/5381820)","Gateway ECU Support")</f>
        <v>Gateway ECU Support</v>
      </c>
      <c r="B428">
        <v>5381820</v>
      </c>
      <c r="C428">
        <v>5381788</v>
      </c>
      <c r="E428">
        <v>0.47982000000000002</v>
      </c>
      <c r="F428">
        <v>0</v>
      </c>
      <c r="G428">
        <v>0</v>
      </c>
      <c r="H428">
        <v>0</v>
      </c>
      <c r="I428" t="s">
        <v>74</v>
      </c>
      <c r="J428">
        <v>0</v>
      </c>
      <c r="K428">
        <v>0.47982000000000002</v>
      </c>
      <c r="L428">
        <v>0</v>
      </c>
      <c r="M428">
        <v>0</v>
      </c>
      <c r="N428">
        <v>0.47982000000000002</v>
      </c>
      <c r="O428" t="s">
        <v>74</v>
      </c>
      <c r="P428">
        <v>0</v>
      </c>
      <c r="Q428" t="s">
        <v>74</v>
      </c>
      <c r="R428">
        <v>0</v>
      </c>
      <c r="S428" t="s">
        <v>74</v>
      </c>
      <c r="T428">
        <v>0</v>
      </c>
      <c r="U428" t="s">
        <v>74</v>
      </c>
      <c r="V428">
        <v>0</v>
      </c>
      <c r="W428" t="s">
        <v>74</v>
      </c>
      <c r="X428">
        <v>0</v>
      </c>
      <c r="Y428">
        <v>0.47982000000000002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222</v>
      </c>
      <c r="AF428">
        <v>72</v>
      </c>
      <c r="AG428">
        <v>204</v>
      </c>
      <c r="AI428">
        <v>0.128</v>
      </c>
      <c r="AK428" t="s">
        <v>598</v>
      </c>
      <c r="AL428" t="s">
        <v>1182</v>
      </c>
      <c r="AM428">
        <v>200000</v>
      </c>
      <c r="AN428" t="s">
        <v>76</v>
      </c>
      <c r="AO428">
        <v>1</v>
      </c>
      <c r="AP428">
        <v>0</v>
      </c>
      <c r="AQ428">
        <v>16666.666666666668</v>
      </c>
      <c r="AR428" t="s">
        <v>1683</v>
      </c>
      <c r="AS428" t="s">
        <v>78</v>
      </c>
      <c r="AX428" t="s">
        <v>79</v>
      </c>
      <c r="AY428" t="s">
        <v>74</v>
      </c>
      <c r="AZ428">
        <v>0</v>
      </c>
      <c r="BA428" t="s">
        <v>74</v>
      </c>
      <c r="BB428">
        <v>0</v>
      </c>
      <c r="BD428">
        <v>0.47982000000000002</v>
      </c>
      <c r="BE428">
        <v>0</v>
      </c>
    </row>
    <row r="429" spans="1:58" ht="12.75">
      <c r="A429" s="2" t="str">
        <f>HYPERLINK("https://ibp.a2mac1.com/costing(costing:projects/details/8191/part/5381821)","Blower Unit")</f>
        <v>Blower Unit</v>
      </c>
      <c r="B429">
        <v>5381821</v>
      </c>
      <c r="C429">
        <v>5381788</v>
      </c>
      <c r="E429">
        <v>3.22959</v>
      </c>
      <c r="F429">
        <v>0</v>
      </c>
      <c r="G429">
        <v>0</v>
      </c>
      <c r="H429">
        <v>0</v>
      </c>
      <c r="I429" t="s">
        <v>74</v>
      </c>
      <c r="J429">
        <v>0</v>
      </c>
      <c r="K429">
        <v>3.22959</v>
      </c>
      <c r="L429">
        <v>0</v>
      </c>
      <c r="M429">
        <v>0</v>
      </c>
      <c r="N429">
        <v>3.22959</v>
      </c>
      <c r="O429" t="s">
        <v>74</v>
      </c>
      <c r="P429">
        <v>0</v>
      </c>
      <c r="Q429" t="s">
        <v>74</v>
      </c>
      <c r="R429">
        <v>0</v>
      </c>
      <c r="S429" t="s">
        <v>74</v>
      </c>
      <c r="T429">
        <v>0</v>
      </c>
      <c r="U429" t="s">
        <v>74</v>
      </c>
      <c r="V429">
        <v>0</v>
      </c>
      <c r="W429" t="s">
        <v>74</v>
      </c>
      <c r="X429">
        <v>0</v>
      </c>
      <c r="Y429">
        <v>3.22959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31</v>
      </c>
      <c r="AF429">
        <v>92</v>
      </c>
      <c r="AG429">
        <v>81</v>
      </c>
      <c r="AI429">
        <v>0.035999999999999997</v>
      </c>
      <c r="AJ429" t="s">
        <v>685</v>
      </c>
      <c r="AK429" t="s">
        <v>598</v>
      </c>
      <c r="AL429" t="s">
        <v>1309</v>
      </c>
      <c r="AM429">
        <v>200000</v>
      </c>
      <c r="AN429" t="s">
        <v>76</v>
      </c>
      <c r="AO429">
        <v>1</v>
      </c>
      <c r="AP429">
        <v>0</v>
      </c>
      <c r="AQ429">
        <v>16666.666666666668</v>
      </c>
      <c r="AR429" t="s">
        <v>1684</v>
      </c>
      <c r="AS429" t="s">
        <v>78</v>
      </c>
      <c r="AX429" t="s">
        <v>79</v>
      </c>
      <c r="AY429" t="s">
        <v>74</v>
      </c>
      <c r="AZ429">
        <v>0</v>
      </c>
      <c r="BA429" t="s">
        <v>74</v>
      </c>
      <c r="BB429">
        <v>0</v>
      </c>
      <c r="BD429">
        <v>3.22959</v>
      </c>
      <c r="BE429">
        <v>0</v>
      </c>
    </row>
    <row r="430" spans="1:58" ht="12.75">
      <c r="A430" s="2" t="str">
        <f>HYPERLINK("https://ibp.a2mac1.com/costing(costing:projects/details/8191/part/5381822)","Climate Control ECU")</f>
        <v>Climate Control ECU</v>
      </c>
      <c r="B430">
        <v>5381822</v>
      </c>
      <c r="C430">
        <v>5381789</v>
      </c>
      <c r="E430">
        <v>0</v>
      </c>
      <c r="F430">
        <v>10.048453753355677</v>
      </c>
      <c r="G430">
        <v>0</v>
      </c>
      <c r="H430">
        <v>0</v>
      </c>
      <c r="I430" t="s">
        <v>137</v>
      </c>
      <c r="J430">
        <v>0</v>
      </c>
      <c r="K430">
        <v>10.400149634723126</v>
      </c>
      <c r="L430">
        <v>0.38808175503837089</v>
      </c>
      <c r="M430">
        <v>1.3582861426342983</v>
      </c>
      <c r="N430">
        <v>11.758435777357423</v>
      </c>
      <c r="O430" t="s">
        <v>138</v>
      </c>
      <c r="P430">
        <v>0.62400897808338751</v>
      </c>
      <c r="Q430" t="s">
        <v>138</v>
      </c>
      <c r="R430">
        <v>0.081497168558057886</v>
      </c>
      <c r="S430" t="s">
        <v>139</v>
      </c>
      <c r="T430">
        <v>1.4110122932828908</v>
      </c>
      <c r="U430" t="s">
        <v>90</v>
      </c>
      <c r="V430">
        <v>0</v>
      </c>
      <c r="W430" t="s">
        <v>90</v>
      </c>
      <c r="X430">
        <v>0</v>
      </c>
      <c r="Y430">
        <v>13.874954217281759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36</v>
      </c>
      <c r="AF430">
        <v>227</v>
      </c>
      <c r="AG430">
        <v>92</v>
      </c>
      <c r="AI430">
        <v>0.18099999999999999</v>
      </c>
      <c r="AJ430" t="s">
        <v>1689</v>
      </c>
      <c r="AK430" t="s">
        <v>576</v>
      </c>
      <c r="AL430" t="s">
        <v>1690</v>
      </c>
      <c r="AM430">
        <v>200000</v>
      </c>
      <c r="AN430" t="s">
        <v>76</v>
      </c>
      <c r="AO430">
        <v>1</v>
      </c>
      <c r="AP430">
        <v>0</v>
      </c>
      <c r="AQ430">
        <v>16666.666666666668</v>
      </c>
      <c r="AR430" t="s">
        <v>1691</v>
      </c>
      <c r="AS430" t="s">
        <v>78</v>
      </c>
      <c r="AX430" t="s">
        <v>79</v>
      </c>
      <c r="AY430" t="s">
        <v>137</v>
      </c>
      <c r="AZ430">
        <v>0.35169588136744867</v>
      </c>
      <c r="BA430" t="s">
        <v>137</v>
      </c>
      <c r="BB430">
        <v>0</v>
      </c>
      <c r="BE430">
        <v>0</v>
      </c>
    </row>
    <row r="431" spans="1:58" ht="12.75">
      <c r="A431" s="2" t="str">
        <f>HYPERLINK("https://ibp.a2mac1.com/costing(costing:projects/details/8191/part/5381823)","Trunk Lid   Tailgate Lifting ECU")</f>
        <v>Trunk Lid   Tailgate Lifting ECU</v>
      </c>
      <c r="B431">
        <v>5381823</v>
      </c>
      <c r="C431">
        <v>5381790</v>
      </c>
      <c r="E431">
        <v>0</v>
      </c>
      <c r="F431">
        <v>13.139006283907735</v>
      </c>
      <c r="G431">
        <v>0</v>
      </c>
      <c r="H431">
        <v>0</v>
      </c>
      <c r="I431" t="s">
        <v>137</v>
      </c>
      <c r="J431">
        <v>0</v>
      </c>
      <c r="K431">
        <v>13.598871503844506</v>
      </c>
      <c r="L431">
        <v>0.65058802554769424</v>
      </c>
      <c r="M431">
        <v>2.2770580894169301</v>
      </c>
      <c r="N431">
        <v>15.875929593261436</v>
      </c>
      <c r="O431" t="s">
        <v>138</v>
      </c>
      <c r="P431">
        <v>0.81593229023067038</v>
      </c>
      <c r="Q431" t="s">
        <v>138</v>
      </c>
      <c r="R431">
        <v>0.13662348536501578</v>
      </c>
      <c r="S431" t="s">
        <v>139</v>
      </c>
      <c r="T431">
        <v>1.9051115511913723</v>
      </c>
      <c r="U431" t="s">
        <v>90</v>
      </c>
      <c r="V431">
        <v>0</v>
      </c>
      <c r="W431" t="s">
        <v>90</v>
      </c>
      <c r="X431">
        <v>0</v>
      </c>
      <c r="Y431">
        <v>18.733596920048495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33</v>
      </c>
      <c r="AF431">
        <v>61</v>
      </c>
      <c r="AG431">
        <v>174</v>
      </c>
      <c r="AI431">
        <v>0.109</v>
      </c>
      <c r="AJ431" t="s">
        <v>1355</v>
      </c>
      <c r="AK431" t="s">
        <v>576</v>
      </c>
      <c r="AL431" t="s">
        <v>1382</v>
      </c>
      <c r="AM431">
        <v>200000</v>
      </c>
      <c r="AN431" t="s">
        <v>76</v>
      </c>
      <c r="AO431">
        <v>1</v>
      </c>
      <c r="AP431">
        <v>0</v>
      </c>
      <c r="AQ431">
        <v>16666.666666666668</v>
      </c>
      <c r="AR431" t="s">
        <v>1696</v>
      </c>
      <c r="AS431" t="s">
        <v>78</v>
      </c>
      <c r="AX431" t="s">
        <v>79</v>
      </c>
      <c r="AY431" t="s">
        <v>137</v>
      </c>
      <c r="AZ431">
        <v>0.45986521993677071</v>
      </c>
      <c r="BA431" t="s">
        <v>137</v>
      </c>
      <c r="BB431">
        <v>0</v>
      </c>
      <c r="BE431">
        <v>0</v>
      </c>
    </row>
    <row r="432" spans="1:58" ht="12.75">
      <c r="A432" s="2" t="str">
        <f>HYPERLINK("https://ibp.a2mac1.com/costing(costing:projects/details/8191/part/5381824)","Trunk Lid   Tailgate Lifting ECU Support")</f>
        <v>Trunk Lid   Tailgate Lifting ECU Support</v>
      </c>
      <c r="B432">
        <v>5381824</v>
      </c>
      <c r="C432">
        <v>5381790</v>
      </c>
      <c r="E432">
        <v>0.27682000000000001</v>
      </c>
      <c r="F432">
        <v>0</v>
      </c>
      <c r="G432">
        <v>0</v>
      </c>
      <c r="H432">
        <v>0</v>
      </c>
      <c r="I432" t="s">
        <v>74</v>
      </c>
      <c r="J432">
        <v>0</v>
      </c>
      <c r="K432">
        <v>0.27682000000000001</v>
      </c>
      <c r="L432">
        <v>0</v>
      </c>
      <c r="M432">
        <v>0</v>
      </c>
      <c r="N432">
        <v>0.27682000000000001</v>
      </c>
      <c r="O432" t="s">
        <v>74</v>
      </c>
      <c r="P432">
        <v>0</v>
      </c>
      <c r="Q432" t="s">
        <v>74</v>
      </c>
      <c r="R432">
        <v>0</v>
      </c>
      <c r="S432" t="s">
        <v>74</v>
      </c>
      <c r="T432">
        <v>0</v>
      </c>
      <c r="U432" t="s">
        <v>74</v>
      </c>
      <c r="V432">
        <v>0</v>
      </c>
      <c r="W432" t="s">
        <v>74</v>
      </c>
      <c r="X432">
        <v>0</v>
      </c>
      <c r="Y432">
        <v>0.27682000000000001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11</v>
      </c>
      <c r="AF432">
        <v>61</v>
      </c>
      <c r="AG432">
        <v>163</v>
      </c>
      <c r="AI432">
        <v>0.025999999999999999</v>
      </c>
      <c r="AJ432" t="s">
        <v>685</v>
      </c>
      <c r="AK432" t="s">
        <v>598</v>
      </c>
      <c r="AL432" t="s">
        <v>1261</v>
      </c>
      <c r="AM432">
        <v>200000</v>
      </c>
      <c r="AN432" t="s">
        <v>76</v>
      </c>
      <c r="AO432">
        <v>1</v>
      </c>
      <c r="AP432">
        <v>0</v>
      </c>
      <c r="AQ432">
        <v>16666.666666666668</v>
      </c>
      <c r="AR432" t="s">
        <v>1697</v>
      </c>
      <c r="AS432" t="s">
        <v>78</v>
      </c>
      <c r="AX432" t="s">
        <v>79</v>
      </c>
      <c r="AY432" t="s">
        <v>74</v>
      </c>
      <c r="AZ432">
        <v>0</v>
      </c>
      <c r="BA432" t="s">
        <v>74</v>
      </c>
      <c r="BB432">
        <v>0</v>
      </c>
      <c r="BD432">
        <v>0.27682000000000001</v>
      </c>
      <c r="BE432">
        <v>0</v>
      </c>
    </row>
    <row r="433" spans="1:58" ht="12.75">
      <c r="A433" s="2" t="str">
        <f>HYPERLINK("https://ibp.a2mac1.com/costing(costing:projects/details/8191/part/5381785)","ECU Driver Communication Light Bar")</f>
        <v>ECU Driver Communication Light Bar</v>
      </c>
      <c r="B433">
        <v>5381785</v>
      </c>
      <c r="C433">
        <v>5381714</v>
      </c>
      <c r="E433">
        <v>3.69096</v>
      </c>
      <c r="F433">
        <v>0</v>
      </c>
      <c r="G433">
        <v>0</v>
      </c>
      <c r="H433">
        <v>0</v>
      </c>
      <c r="I433" t="s">
        <v>74</v>
      </c>
      <c r="J433">
        <v>0</v>
      </c>
      <c r="K433">
        <v>3.69096</v>
      </c>
      <c r="L433">
        <v>0</v>
      </c>
      <c r="M433">
        <v>0</v>
      </c>
      <c r="N433">
        <v>3.69096</v>
      </c>
      <c r="O433" t="s">
        <v>74</v>
      </c>
      <c r="P433">
        <v>0</v>
      </c>
      <c r="Q433" t="s">
        <v>74</v>
      </c>
      <c r="R433">
        <v>0</v>
      </c>
      <c r="S433" t="s">
        <v>74</v>
      </c>
      <c r="T433">
        <v>0</v>
      </c>
      <c r="U433" t="s">
        <v>74</v>
      </c>
      <c r="V433">
        <v>0</v>
      </c>
      <c r="W433" t="s">
        <v>74</v>
      </c>
      <c r="X433">
        <v>0</v>
      </c>
      <c r="Y433">
        <v>3.69096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12</v>
      </c>
      <c r="AF433">
        <v>125</v>
      </c>
      <c r="AG433">
        <v>30</v>
      </c>
      <c r="AI433">
        <v>0.017999999999999999</v>
      </c>
      <c r="AJ433" t="s">
        <v>1699</v>
      </c>
      <c r="AK433" t="s">
        <v>576</v>
      </c>
      <c r="AL433" t="s">
        <v>1700</v>
      </c>
      <c r="AM433">
        <v>200000</v>
      </c>
      <c r="AN433" t="s">
        <v>76</v>
      </c>
      <c r="AO433">
        <v>1</v>
      </c>
      <c r="AP433">
        <v>0</v>
      </c>
      <c r="AQ433">
        <v>16666.666666666668</v>
      </c>
      <c r="AR433" t="s">
        <v>1701</v>
      </c>
      <c r="AS433" t="s">
        <v>78</v>
      </c>
      <c r="AX433" t="s">
        <v>79</v>
      </c>
      <c r="AY433" t="s">
        <v>74</v>
      </c>
      <c r="AZ433">
        <v>0</v>
      </c>
      <c r="BA433" t="s">
        <v>74</v>
      </c>
      <c r="BB433">
        <v>0</v>
      </c>
      <c r="BD433">
        <v>3.69096</v>
      </c>
      <c r="BE433">
        <v>0</v>
      </c>
    </row>
    <row r="434" spans="1:58" ht="12.75">
      <c r="A434" s="2" t="str">
        <f>HYPERLINK("https://ibp.a2mac1.com/costing(costing:projects/details/8191/part/5381791)","Powertrain Ground Cable")</f>
        <v>Powertrain Ground Cable</v>
      </c>
      <c r="B434">
        <v>5381791</v>
      </c>
      <c r="C434">
        <v>5381715</v>
      </c>
      <c r="E434">
        <v>9.6887699999999999</v>
      </c>
      <c r="F434">
        <v>0</v>
      </c>
      <c r="G434">
        <v>0</v>
      </c>
      <c r="H434">
        <v>0</v>
      </c>
      <c r="I434" t="s">
        <v>74</v>
      </c>
      <c r="J434">
        <v>0</v>
      </c>
      <c r="K434">
        <v>9.6887699999999999</v>
      </c>
      <c r="L434">
        <v>0</v>
      </c>
      <c r="M434">
        <v>0</v>
      </c>
      <c r="N434">
        <v>9.6887699999999999</v>
      </c>
      <c r="O434" t="s">
        <v>74</v>
      </c>
      <c r="P434">
        <v>0</v>
      </c>
      <c r="Q434" t="s">
        <v>74</v>
      </c>
      <c r="R434">
        <v>0</v>
      </c>
      <c r="S434" t="s">
        <v>74</v>
      </c>
      <c r="T434">
        <v>0</v>
      </c>
      <c r="U434" t="s">
        <v>74</v>
      </c>
      <c r="V434">
        <v>0</v>
      </c>
      <c r="W434" t="s">
        <v>74</v>
      </c>
      <c r="X434">
        <v>0</v>
      </c>
      <c r="Y434">
        <v>9.6887699999999999</v>
      </c>
      <c r="Z434">
        <v>0</v>
      </c>
      <c r="AA434">
        <v>0</v>
      </c>
      <c r="AB434">
        <v>0</v>
      </c>
      <c r="AC434">
        <v>0</v>
      </c>
      <c r="AD434">
        <v>0</v>
      </c>
      <c r="AI434">
        <v>0.16</v>
      </c>
      <c r="AJ434" t="s">
        <v>1704</v>
      </c>
      <c r="AK434" t="s">
        <v>1645</v>
      </c>
      <c r="AL434" t="s">
        <v>1658</v>
      </c>
      <c r="AM434">
        <v>200000</v>
      </c>
      <c r="AN434" t="s">
        <v>76</v>
      </c>
      <c r="AO434">
        <v>1</v>
      </c>
      <c r="AP434">
        <v>0</v>
      </c>
      <c r="AQ434">
        <v>16666.666666666668</v>
      </c>
      <c r="AR434" t="s">
        <v>1705</v>
      </c>
      <c r="AS434" t="s">
        <v>78</v>
      </c>
      <c r="AX434" t="s">
        <v>79</v>
      </c>
      <c r="AY434" t="s">
        <v>74</v>
      </c>
      <c r="AZ434">
        <v>0</v>
      </c>
      <c r="BA434" t="s">
        <v>74</v>
      </c>
      <c r="BB434">
        <v>0</v>
      </c>
      <c r="BD434">
        <v>9.6887699999999999</v>
      </c>
      <c r="BE434">
        <v>0</v>
      </c>
    </row>
    <row r="435" spans="1:58" ht="12.75">
      <c r="A435" s="2" t="str">
        <f>HYPERLINK("https://ibp.a2mac1.com/costing(costing:projects/details/8191/part/5381825)","Support")</f>
        <v>Support</v>
      </c>
      <c r="B435">
        <v>5381825</v>
      </c>
      <c r="C435">
        <v>5381792</v>
      </c>
      <c r="E435">
        <v>0.92274</v>
      </c>
      <c r="F435">
        <v>0</v>
      </c>
      <c r="G435">
        <v>0</v>
      </c>
      <c r="H435">
        <v>0</v>
      </c>
      <c r="I435" t="s">
        <v>74</v>
      </c>
      <c r="J435">
        <v>0</v>
      </c>
      <c r="K435">
        <v>0.92274</v>
      </c>
      <c r="L435">
        <v>0</v>
      </c>
      <c r="M435">
        <v>0</v>
      </c>
      <c r="N435">
        <v>0.92274</v>
      </c>
      <c r="O435" t="s">
        <v>74</v>
      </c>
      <c r="P435">
        <v>0</v>
      </c>
      <c r="Q435" t="s">
        <v>74</v>
      </c>
      <c r="R435">
        <v>0</v>
      </c>
      <c r="S435" t="s">
        <v>74</v>
      </c>
      <c r="T435">
        <v>0</v>
      </c>
      <c r="U435" t="s">
        <v>74</v>
      </c>
      <c r="V435">
        <v>0</v>
      </c>
      <c r="W435" t="s">
        <v>74</v>
      </c>
      <c r="X435">
        <v>0</v>
      </c>
      <c r="Y435">
        <v>0.92274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144</v>
      </c>
      <c r="AF435">
        <v>232</v>
      </c>
      <c r="AG435">
        <v>175</v>
      </c>
      <c r="AI435">
        <v>0.20699999999999999</v>
      </c>
      <c r="AJ435" t="s">
        <v>685</v>
      </c>
      <c r="AK435" t="s">
        <v>598</v>
      </c>
      <c r="AL435" t="s">
        <v>769</v>
      </c>
      <c r="AM435">
        <v>200000</v>
      </c>
      <c r="AN435" t="s">
        <v>76</v>
      </c>
      <c r="AO435">
        <v>1</v>
      </c>
      <c r="AP435">
        <v>0</v>
      </c>
      <c r="AQ435">
        <v>16666.666666666668</v>
      </c>
      <c r="AR435" t="s">
        <v>1709</v>
      </c>
      <c r="AS435" t="s">
        <v>78</v>
      </c>
      <c r="AX435" t="s">
        <v>79</v>
      </c>
      <c r="AY435" t="s">
        <v>74</v>
      </c>
      <c r="AZ435">
        <v>0</v>
      </c>
      <c r="BA435" t="s">
        <v>74</v>
      </c>
      <c r="BB435">
        <v>0</v>
      </c>
      <c r="BD435">
        <v>0.92274</v>
      </c>
      <c r="BE435">
        <v>0</v>
      </c>
    </row>
    <row r="436" spans="1:58" ht="12.75">
      <c r="A436" s="2" t="str">
        <f>HYPERLINK("https://ibp.a2mac1.com/costing(costing:projects/details/8191/part/5381826)","Cover")</f>
        <v>Cover</v>
      </c>
      <c r="B436">
        <v>5381826</v>
      </c>
      <c r="C436">
        <v>5381792</v>
      </c>
      <c r="E436">
        <v>0.73819000000000001</v>
      </c>
      <c r="F436">
        <v>0</v>
      </c>
      <c r="G436">
        <v>0</v>
      </c>
      <c r="H436">
        <v>0</v>
      </c>
      <c r="I436" t="s">
        <v>74</v>
      </c>
      <c r="J436">
        <v>0</v>
      </c>
      <c r="K436">
        <v>0.73819000000000001</v>
      </c>
      <c r="L436">
        <v>0</v>
      </c>
      <c r="M436">
        <v>0</v>
      </c>
      <c r="N436">
        <v>0.73819000000000001</v>
      </c>
      <c r="O436" t="s">
        <v>74</v>
      </c>
      <c r="P436">
        <v>0</v>
      </c>
      <c r="Q436" t="s">
        <v>74</v>
      </c>
      <c r="R436">
        <v>0</v>
      </c>
      <c r="S436" t="s">
        <v>74</v>
      </c>
      <c r="T436">
        <v>0</v>
      </c>
      <c r="U436" t="s">
        <v>74</v>
      </c>
      <c r="V436">
        <v>0</v>
      </c>
      <c r="W436" t="s">
        <v>74</v>
      </c>
      <c r="X436">
        <v>0</v>
      </c>
      <c r="Y436">
        <v>0.73819000000000001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124</v>
      </c>
      <c r="AF436">
        <v>232</v>
      </c>
      <c r="AG436">
        <v>54</v>
      </c>
      <c r="AI436">
        <v>0.106</v>
      </c>
      <c r="AJ436" t="s">
        <v>685</v>
      </c>
      <c r="AK436" t="s">
        <v>598</v>
      </c>
      <c r="AL436" t="s">
        <v>1182</v>
      </c>
      <c r="AM436">
        <v>200000</v>
      </c>
      <c r="AN436" t="s">
        <v>76</v>
      </c>
      <c r="AO436">
        <v>1</v>
      </c>
      <c r="AP436">
        <v>0</v>
      </c>
      <c r="AQ436">
        <v>16666.666666666668</v>
      </c>
      <c r="AR436" t="s">
        <v>1710</v>
      </c>
      <c r="AS436" t="s">
        <v>78</v>
      </c>
      <c r="AX436" t="s">
        <v>79</v>
      </c>
      <c r="AY436" t="s">
        <v>74</v>
      </c>
      <c r="AZ436">
        <v>0</v>
      </c>
      <c r="BA436" t="s">
        <v>74</v>
      </c>
      <c r="BB436">
        <v>0</v>
      </c>
      <c r="BD436">
        <v>0.73819000000000001</v>
      </c>
      <c r="BE436">
        <v>0</v>
      </c>
    </row>
    <row r="437" spans="1:58" ht="12.75">
      <c r="A437" s="2" t="str">
        <f>HYPERLINK("https://ibp.a2mac1.com/costing(costing:projects/details/8191/part/5381827)","Lower Cover")</f>
        <v>Lower Cover</v>
      </c>
      <c r="B437">
        <v>5381827</v>
      </c>
      <c r="C437">
        <v>5381792</v>
      </c>
      <c r="E437">
        <v>0.055359999999999999</v>
      </c>
      <c r="F437">
        <v>0</v>
      </c>
      <c r="G437">
        <v>0</v>
      </c>
      <c r="H437">
        <v>0</v>
      </c>
      <c r="I437" t="s">
        <v>74</v>
      </c>
      <c r="J437">
        <v>0</v>
      </c>
      <c r="K437">
        <v>0.055359999999999999</v>
      </c>
      <c r="L437">
        <v>0</v>
      </c>
      <c r="M437">
        <v>0</v>
      </c>
      <c r="N437">
        <v>0.055359999999999999</v>
      </c>
      <c r="O437" t="s">
        <v>74</v>
      </c>
      <c r="P437">
        <v>0</v>
      </c>
      <c r="Q437" t="s">
        <v>74</v>
      </c>
      <c r="R437">
        <v>0</v>
      </c>
      <c r="S437" t="s">
        <v>74</v>
      </c>
      <c r="T437">
        <v>0</v>
      </c>
      <c r="U437" t="s">
        <v>74</v>
      </c>
      <c r="V437">
        <v>0</v>
      </c>
      <c r="W437" t="s">
        <v>74</v>
      </c>
      <c r="X437">
        <v>0</v>
      </c>
      <c r="Y437">
        <v>0.055359999999999999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6</v>
      </c>
      <c r="AF437">
        <v>38</v>
      </c>
      <c r="AG437">
        <v>91</v>
      </c>
      <c r="AI437">
        <v>0.0060000000000000001</v>
      </c>
      <c r="AJ437" t="s">
        <v>685</v>
      </c>
      <c r="AK437" t="s">
        <v>598</v>
      </c>
      <c r="AL437" t="s">
        <v>1182</v>
      </c>
      <c r="AM437">
        <v>200000</v>
      </c>
      <c r="AN437" t="s">
        <v>76</v>
      </c>
      <c r="AO437">
        <v>1</v>
      </c>
      <c r="AP437">
        <v>0</v>
      </c>
      <c r="AQ437">
        <v>16666.666666666668</v>
      </c>
      <c r="AR437" t="s">
        <v>1711</v>
      </c>
      <c r="AS437" t="s">
        <v>78</v>
      </c>
      <c r="AX437" t="s">
        <v>79</v>
      </c>
      <c r="AY437" t="s">
        <v>74</v>
      </c>
      <c r="AZ437">
        <v>0</v>
      </c>
      <c r="BA437" t="s">
        <v>74</v>
      </c>
      <c r="BB437">
        <v>0</v>
      </c>
      <c r="BD437">
        <v>0.055359999999999999</v>
      </c>
      <c r="BE437">
        <v>0</v>
      </c>
    </row>
    <row r="438" spans="1:58" ht="12.75">
      <c r="A438" s="2" t="str">
        <f>HYPERLINK("https://ibp.a2mac1.com/costing(costing:projects/details/8191/part/5381828)","Support")</f>
        <v>Support</v>
      </c>
      <c r="B438">
        <v>5381828</v>
      </c>
      <c r="C438">
        <v>5381793</v>
      </c>
      <c r="E438">
        <v>0.21223</v>
      </c>
      <c r="F438">
        <v>0</v>
      </c>
      <c r="G438">
        <v>0</v>
      </c>
      <c r="H438">
        <v>0</v>
      </c>
      <c r="I438" t="s">
        <v>74</v>
      </c>
      <c r="J438">
        <v>0</v>
      </c>
      <c r="K438">
        <v>0.21223</v>
      </c>
      <c r="L438">
        <v>0</v>
      </c>
      <c r="M438">
        <v>0</v>
      </c>
      <c r="N438">
        <v>0.21223</v>
      </c>
      <c r="O438" t="s">
        <v>74</v>
      </c>
      <c r="P438">
        <v>0</v>
      </c>
      <c r="Q438" t="s">
        <v>74</v>
      </c>
      <c r="R438">
        <v>0</v>
      </c>
      <c r="S438" t="s">
        <v>74</v>
      </c>
      <c r="T438">
        <v>0</v>
      </c>
      <c r="U438" t="s">
        <v>74</v>
      </c>
      <c r="V438">
        <v>0</v>
      </c>
      <c r="W438" t="s">
        <v>74</v>
      </c>
      <c r="X438">
        <v>0</v>
      </c>
      <c r="Y438">
        <v>0.21223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112</v>
      </c>
      <c r="AF438">
        <v>138</v>
      </c>
      <c r="AG438">
        <v>150</v>
      </c>
      <c r="AI438">
        <v>0.09</v>
      </c>
      <c r="AJ438" t="s">
        <v>685</v>
      </c>
      <c r="AK438" t="s">
        <v>598</v>
      </c>
      <c r="AL438" t="s">
        <v>1182</v>
      </c>
      <c r="AM438">
        <v>200000</v>
      </c>
      <c r="AN438" t="s">
        <v>76</v>
      </c>
      <c r="AO438">
        <v>1</v>
      </c>
      <c r="AP438">
        <v>0</v>
      </c>
      <c r="AQ438">
        <v>16666.666666666668</v>
      </c>
      <c r="AR438" t="s">
        <v>1715</v>
      </c>
      <c r="AS438" t="s">
        <v>78</v>
      </c>
      <c r="AX438" t="s">
        <v>79</v>
      </c>
      <c r="AY438" t="s">
        <v>74</v>
      </c>
      <c r="AZ438">
        <v>0</v>
      </c>
      <c r="BA438" t="s">
        <v>74</v>
      </c>
      <c r="BB438">
        <v>0</v>
      </c>
      <c r="BD438">
        <v>0.21223</v>
      </c>
      <c r="BE438">
        <v>0</v>
      </c>
    </row>
    <row r="439" spans="1:58" ht="12.75">
      <c r="A439" s="2" t="str">
        <f>HYPERLINK("https://ibp.a2mac1.com/costing(costing:projects/details/8191/part/5381829)","Support 1")</f>
        <v>Support 1</v>
      </c>
      <c r="B439">
        <v>5381829</v>
      </c>
      <c r="C439">
        <v>5381797</v>
      </c>
      <c r="E439">
        <v>0.22145999999999999</v>
      </c>
      <c r="F439">
        <v>0</v>
      </c>
      <c r="G439">
        <v>0</v>
      </c>
      <c r="H439">
        <v>0</v>
      </c>
      <c r="I439" t="s">
        <v>74</v>
      </c>
      <c r="J439">
        <v>0</v>
      </c>
      <c r="K439">
        <v>0.22145999999999999</v>
      </c>
      <c r="L439">
        <v>0</v>
      </c>
      <c r="M439">
        <v>0</v>
      </c>
      <c r="N439">
        <v>0.22145999999999999</v>
      </c>
      <c r="O439" t="s">
        <v>74</v>
      </c>
      <c r="P439">
        <v>0</v>
      </c>
      <c r="Q439" t="s">
        <v>74</v>
      </c>
      <c r="R439">
        <v>0</v>
      </c>
      <c r="S439" t="s">
        <v>74</v>
      </c>
      <c r="T439">
        <v>0</v>
      </c>
      <c r="U439" t="s">
        <v>74</v>
      </c>
      <c r="V439">
        <v>0</v>
      </c>
      <c r="W439" t="s">
        <v>74</v>
      </c>
      <c r="X439">
        <v>0</v>
      </c>
      <c r="Y439">
        <v>0.22145999999999999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24</v>
      </c>
      <c r="AF439">
        <v>86</v>
      </c>
      <c r="AG439">
        <v>49</v>
      </c>
      <c r="AI439">
        <v>0.0040000000000000001</v>
      </c>
      <c r="AJ439" t="s">
        <v>685</v>
      </c>
      <c r="AK439" t="s">
        <v>598</v>
      </c>
      <c r="AL439" t="s">
        <v>1721</v>
      </c>
      <c r="AM439">
        <v>400000</v>
      </c>
      <c r="AN439" t="s">
        <v>76</v>
      </c>
      <c r="AO439">
        <v>2</v>
      </c>
      <c r="AP439">
        <v>0</v>
      </c>
      <c r="AQ439">
        <v>33333.333333333336</v>
      </c>
      <c r="AR439" t="s">
        <v>1722</v>
      </c>
      <c r="AS439" t="s">
        <v>78</v>
      </c>
      <c r="AX439" t="s">
        <v>79</v>
      </c>
      <c r="AY439" t="s">
        <v>74</v>
      </c>
      <c r="AZ439">
        <v>0</v>
      </c>
      <c r="BA439" t="s">
        <v>74</v>
      </c>
      <c r="BB439">
        <v>0</v>
      </c>
      <c r="BD439">
        <v>0.11073</v>
      </c>
      <c r="BE439">
        <v>0</v>
      </c>
    </row>
    <row r="440" spans="1:58" ht="12.75">
      <c r="A440" s="2" t="str">
        <f>HYPERLINK("https://ibp.a2mac1.com/costing(costing:projects/details/8191/part/5381794)","Support On Front Axle")</f>
        <v>Support On Front Axle</v>
      </c>
      <c r="B440">
        <v>5381794</v>
      </c>
      <c r="C440">
        <v>5381717</v>
      </c>
      <c r="E440">
        <v>0.11073</v>
      </c>
      <c r="F440">
        <v>0</v>
      </c>
      <c r="G440">
        <v>0</v>
      </c>
      <c r="H440">
        <v>0</v>
      </c>
      <c r="I440" t="s">
        <v>74</v>
      </c>
      <c r="J440">
        <v>0</v>
      </c>
      <c r="K440">
        <v>0.11073</v>
      </c>
      <c r="L440">
        <v>0</v>
      </c>
      <c r="M440">
        <v>0</v>
      </c>
      <c r="N440">
        <v>0.11073</v>
      </c>
      <c r="O440" t="s">
        <v>74</v>
      </c>
      <c r="P440">
        <v>0</v>
      </c>
      <c r="Q440" t="s">
        <v>74</v>
      </c>
      <c r="R440">
        <v>0</v>
      </c>
      <c r="S440" t="s">
        <v>74</v>
      </c>
      <c r="T440">
        <v>0</v>
      </c>
      <c r="U440" t="s">
        <v>74</v>
      </c>
      <c r="V440">
        <v>0</v>
      </c>
      <c r="W440" t="s">
        <v>74</v>
      </c>
      <c r="X440">
        <v>0</v>
      </c>
      <c r="Y440">
        <v>0.11073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25</v>
      </c>
      <c r="AF440">
        <v>44</v>
      </c>
      <c r="AG440">
        <v>35</v>
      </c>
      <c r="AI440">
        <v>0.015</v>
      </c>
      <c r="AK440" t="s">
        <v>598</v>
      </c>
      <c r="AL440" t="s">
        <v>720</v>
      </c>
      <c r="AM440">
        <v>200000</v>
      </c>
      <c r="AN440" t="s">
        <v>76</v>
      </c>
      <c r="AO440">
        <v>1</v>
      </c>
      <c r="AP440">
        <v>0</v>
      </c>
      <c r="AQ440">
        <v>16666.666666666668</v>
      </c>
      <c r="AR440" t="s">
        <v>1724</v>
      </c>
      <c r="AS440" t="s">
        <v>78</v>
      </c>
      <c r="AX440" t="s">
        <v>79</v>
      </c>
      <c r="AY440" t="s">
        <v>74</v>
      </c>
      <c r="AZ440">
        <v>0</v>
      </c>
      <c r="BA440" t="s">
        <v>74</v>
      </c>
      <c r="BB440">
        <v>0</v>
      </c>
      <c r="BD440">
        <v>0.11073</v>
      </c>
      <c r="BE440">
        <v>0</v>
      </c>
    </row>
    <row r="441" spans="1:58" ht="12.75">
      <c r="A441" s="2" t="str">
        <f>HYPERLINK("https://ibp.a2mac1.com/costing(costing:projects/details/8191/part/5381795)","Support on Rear Differential")</f>
        <v>Support on Rear Differential</v>
      </c>
      <c r="B441">
        <v>5381795</v>
      </c>
      <c r="C441">
        <v>5381717</v>
      </c>
      <c r="E441">
        <v>0.19378000000000001</v>
      </c>
      <c r="F441">
        <v>0</v>
      </c>
      <c r="G441">
        <v>0</v>
      </c>
      <c r="H441">
        <v>0</v>
      </c>
      <c r="I441" t="s">
        <v>74</v>
      </c>
      <c r="J441">
        <v>0</v>
      </c>
      <c r="K441">
        <v>0.19378000000000001</v>
      </c>
      <c r="L441">
        <v>0</v>
      </c>
      <c r="M441">
        <v>0</v>
      </c>
      <c r="N441">
        <v>0.19378000000000001</v>
      </c>
      <c r="O441" t="s">
        <v>74</v>
      </c>
      <c r="P441">
        <v>0</v>
      </c>
      <c r="Q441" t="s">
        <v>74</v>
      </c>
      <c r="R441">
        <v>0</v>
      </c>
      <c r="S441" t="s">
        <v>74</v>
      </c>
      <c r="T441">
        <v>0</v>
      </c>
      <c r="U441" t="s">
        <v>74</v>
      </c>
      <c r="V441">
        <v>0</v>
      </c>
      <c r="W441" t="s">
        <v>74</v>
      </c>
      <c r="X441">
        <v>0</v>
      </c>
      <c r="Y441">
        <v>0.19378000000000001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73</v>
      </c>
      <c r="AF441">
        <v>40</v>
      </c>
      <c r="AG441">
        <v>37</v>
      </c>
      <c r="AI441">
        <v>0.035999999999999997</v>
      </c>
      <c r="AJ441" t="s">
        <v>685</v>
      </c>
      <c r="AK441" t="s">
        <v>598</v>
      </c>
      <c r="AL441" t="s">
        <v>720</v>
      </c>
      <c r="AM441">
        <v>200000</v>
      </c>
      <c r="AN441" t="s">
        <v>76</v>
      </c>
      <c r="AO441">
        <v>1</v>
      </c>
      <c r="AP441">
        <v>0</v>
      </c>
      <c r="AQ441">
        <v>16666.666666666668</v>
      </c>
      <c r="AR441" t="s">
        <v>1725</v>
      </c>
      <c r="AS441" t="s">
        <v>78</v>
      </c>
      <c r="AX441" t="s">
        <v>79</v>
      </c>
      <c r="AY441" t="s">
        <v>74</v>
      </c>
      <c r="AZ441">
        <v>0</v>
      </c>
      <c r="BA441" t="s">
        <v>74</v>
      </c>
      <c r="BB441">
        <v>0</v>
      </c>
      <c r="BD441">
        <v>0.19378000000000001</v>
      </c>
      <c r="BE441">
        <v>0</v>
      </c>
    </row>
    <row r="442" spans="1:58" ht="12.75">
      <c r="A442" s="2" t="str">
        <f>HYPERLINK("https://ibp.a2mac1.com/costing(costing:projects/details/8191/part/5381796)","Support on front body panel")</f>
        <v>Support on front body panel</v>
      </c>
      <c r="B442">
        <v>5381796</v>
      </c>
      <c r="C442">
        <v>5381717</v>
      </c>
      <c r="E442">
        <v>0.083049999999999999</v>
      </c>
      <c r="F442">
        <v>0</v>
      </c>
      <c r="G442">
        <v>0</v>
      </c>
      <c r="H442">
        <v>0</v>
      </c>
      <c r="I442" t="s">
        <v>74</v>
      </c>
      <c r="J442">
        <v>0</v>
      </c>
      <c r="K442">
        <v>0.083049999999999999</v>
      </c>
      <c r="L442">
        <v>0</v>
      </c>
      <c r="M442">
        <v>0</v>
      </c>
      <c r="N442">
        <v>0.083049999999999999</v>
      </c>
      <c r="O442" t="s">
        <v>74</v>
      </c>
      <c r="P442">
        <v>0</v>
      </c>
      <c r="Q442" t="s">
        <v>74</v>
      </c>
      <c r="R442">
        <v>0</v>
      </c>
      <c r="S442" t="s">
        <v>74</v>
      </c>
      <c r="T442">
        <v>0</v>
      </c>
      <c r="U442" t="s">
        <v>74</v>
      </c>
      <c r="V442">
        <v>0</v>
      </c>
      <c r="W442" t="s">
        <v>74</v>
      </c>
      <c r="X442">
        <v>0</v>
      </c>
      <c r="Y442">
        <v>0.083049999999999999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74</v>
      </c>
      <c r="AF442">
        <v>20</v>
      </c>
      <c r="AG442">
        <v>20</v>
      </c>
      <c r="AI442">
        <v>0.0089999999999999993</v>
      </c>
      <c r="AJ442" t="s">
        <v>685</v>
      </c>
      <c r="AK442" t="s">
        <v>598</v>
      </c>
      <c r="AL442" t="s">
        <v>1332</v>
      </c>
      <c r="AM442">
        <v>200000</v>
      </c>
      <c r="AN442" t="s">
        <v>76</v>
      </c>
      <c r="AO442">
        <v>1</v>
      </c>
      <c r="AP442">
        <v>0</v>
      </c>
      <c r="AQ442">
        <v>16666.666666666668</v>
      </c>
      <c r="AR442" t="s">
        <v>1726</v>
      </c>
      <c r="AS442" t="s">
        <v>78</v>
      </c>
      <c r="AX442" t="s">
        <v>79</v>
      </c>
      <c r="AY442" t="s">
        <v>74</v>
      </c>
      <c r="AZ442">
        <v>0</v>
      </c>
      <c r="BA442" t="s">
        <v>74</v>
      </c>
      <c r="BB442">
        <v>0</v>
      </c>
      <c r="BD442">
        <v>0.083049999999999999</v>
      </c>
      <c r="BE442">
        <v>0</v>
      </c>
    </row>
    <row r="443" spans="1:58" ht="12.75">
      <c r="A443" s="2" t="str">
        <f>HYPERLINK("https://ibp.a2mac1.com/costing(costing:projects/details/8191/part/5381830)","Front")</f>
        <v>Front</v>
      </c>
      <c r="B443">
        <v>5381830</v>
      </c>
      <c r="C443">
        <v>5381813</v>
      </c>
      <c r="E443">
        <v>1.8178000000000001</v>
      </c>
      <c r="F443">
        <v>0</v>
      </c>
      <c r="G443">
        <v>0</v>
      </c>
      <c r="H443">
        <v>0</v>
      </c>
      <c r="I443" t="s">
        <v>74</v>
      </c>
      <c r="J443">
        <v>0</v>
      </c>
      <c r="K443">
        <v>1.8178000000000001</v>
      </c>
      <c r="L443">
        <v>0</v>
      </c>
      <c r="M443">
        <v>0</v>
      </c>
      <c r="N443">
        <v>1.8178000000000001</v>
      </c>
      <c r="O443" t="s">
        <v>74</v>
      </c>
      <c r="P443">
        <v>0</v>
      </c>
      <c r="Q443" t="s">
        <v>74</v>
      </c>
      <c r="R443">
        <v>0</v>
      </c>
      <c r="S443" t="s">
        <v>74</v>
      </c>
      <c r="T443">
        <v>0</v>
      </c>
      <c r="U443" t="s">
        <v>74</v>
      </c>
      <c r="V443">
        <v>0</v>
      </c>
      <c r="W443" t="s">
        <v>74</v>
      </c>
      <c r="X443">
        <v>0</v>
      </c>
      <c r="Y443">
        <v>1.8178000000000001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975</v>
      </c>
      <c r="AF443">
        <v>725</v>
      </c>
      <c r="AG443">
        <v>142</v>
      </c>
      <c r="AI443">
        <v>0.94</v>
      </c>
      <c r="AJ443" t="s">
        <v>685</v>
      </c>
      <c r="AK443" t="s">
        <v>598</v>
      </c>
      <c r="AL443" t="s">
        <v>784</v>
      </c>
      <c r="AM443">
        <v>200000</v>
      </c>
      <c r="AN443" t="s">
        <v>76</v>
      </c>
      <c r="AO443">
        <v>1</v>
      </c>
      <c r="AP443">
        <v>0</v>
      </c>
      <c r="AQ443">
        <v>16666.666666666668</v>
      </c>
      <c r="AR443" t="s">
        <v>1730</v>
      </c>
      <c r="AS443" t="s">
        <v>78</v>
      </c>
      <c r="AX443" t="s">
        <v>79</v>
      </c>
      <c r="AY443" t="s">
        <v>74</v>
      </c>
      <c r="AZ443">
        <v>0</v>
      </c>
      <c r="BA443" t="s">
        <v>74</v>
      </c>
      <c r="BB443">
        <v>0</v>
      </c>
      <c r="BD443">
        <v>1.8178000000000001</v>
      </c>
      <c r="BE443">
        <v>0</v>
      </c>
    </row>
    <row r="444" spans="1:58" ht="12.75">
      <c r="A444" s="2" t="str">
        <f>HYPERLINK("https://ibp.a2mac1.com/costing(costing:projects/details/8191/part/5381831)","Rear")</f>
        <v>Rear</v>
      </c>
      <c r="B444">
        <v>5381831</v>
      </c>
      <c r="C444">
        <v>5381813</v>
      </c>
      <c r="E444">
        <v>1.8178000000000001</v>
      </c>
      <c r="F444">
        <v>0</v>
      </c>
      <c r="G444">
        <v>0</v>
      </c>
      <c r="H444">
        <v>0</v>
      </c>
      <c r="I444" t="s">
        <v>74</v>
      </c>
      <c r="J444">
        <v>0</v>
      </c>
      <c r="K444">
        <v>1.8178000000000001</v>
      </c>
      <c r="L444">
        <v>0</v>
      </c>
      <c r="M444">
        <v>0</v>
      </c>
      <c r="N444">
        <v>1.8178000000000001</v>
      </c>
      <c r="O444" t="s">
        <v>74</v>
      </c>
      <c r="P444">
        <v>0</v>
      </c>
      <c r="Q444" t="s">
        <v>74</v>
      </c>
      <c r="R444">
        <v>0</v>
      </c>
      <c r="S444" t="s">
        <v>74</v>
      </c>
      <c r="T444">
        <v>0</v>
      </c>
      <c r="U444" t="s">
        <v>74</v>
      </c>
      <c r="V444">
        <v>0</v>
      </c>
      <c r="W444" t="s">
        <v>74</v>
      </c>
      <c r="X444">
        <v>0</v>
      </c>
      <c r="Y444">
        <v>1.8178000000000001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980</v>
      </c>
      <c r="AF444">
        <v>512</v>
      </c>
      <c r="AG444">
        <v>95</v>
      </c>
      <c r="AI444">
        <v>0.98399999999999999</v>
      </c>
      <c r="AJ444" t="s">
        <v>685</v>
      </c>
      <c r="AK444" t="s">
        <v>598</v>
      </c>
      <c r="AL444" t="s">
        <v>1731</v>
      </c>
      <c r="AM444">
        <v>200000</v>
      </c>
      <c r="AN444" t="s">
        <v>76</v>
      </c>
      <c r="AO444">
        <v>1</v>
      </c>
      <c r="AP444">
        <v>0</v>
      </c>
      <c r="AQ444">
        <v>16666.666666666668</v>
      </c>
      <c r="AR444" t="s">
        <v>1732</v>
      </c>
      <c r="AS444" t="s">
        <v>78</v>
      </c>
      <c r="AX444" t="s">
        <v>79</v>
      </c>
      <c r="AY444" t="s">
        <v>74</v>
      </c>
      <c r="AZ444">
        <v>0</v>
      </c>
      <c r="BA444" t="s">
        <v>74</v>
      </c>
      <c r="BB444">
        <v>0</v>
      </c>
      <c r="BD444">
        <v>1.8178000000000001</v>
      </c>
      <c r="BE444">
        <v>0</v>
      </c>
    </row>
    <row r="445" spans="1:58" ht="12.75">
      <c r="A445" s="2" t="str">
        <f>HYPERLINK("https://ibp.a2mac1.com/costing(costing:projects/details/8191/part/5381832)","2nd Rear")</f>
        <v>2nd Rear</v>
      </c>
      <c r="B445">
        <v>5381832</v>
      </c>
      <c r="C445">
        <v>5381813</v>
      </c>
      <c r="E445">
        <v>5.9147600000000002</v>
      </c>
      <c r="F445">
        <v>0</v>
      </c>
      <c r="G445">
        <v>0</v>
      </c>
      <c r="H445">
        <v>0</v>
      </c>
      <c r="I445" t="s">
        <v>74</v>
      </c>
      <c r="J445">
        <v>0</v>
      </c>
      <c r="K445">
        <v>5.9147600000000002</v>
      </c>
      <c r="L445">
        <v>0</v>
      </c>
      <c r="M445">
        <v>0</v>
      </c>
      <c r="N445">
        <v>5.9147600000000002</v>
      </c>
      <c r="O445" t="s">
        <v>74</v>
      </c>
      <c r="P445">
        <v>0</v>
      </c>
      <c r="Q445" t="s">
        <v>74</v>
      </c>
      <c r="R445">
        <v>0</v>
      </c>
      <c r="S445" t="s">
        <v>74</v>
      </c>
      <c r="T445">
        <v>0</v>
      </c>
      <c r="U445" t="s">
        <v>74</v>
      </c>
      <c r="V445">
        <v>0</v>
      </c>
      <c r="W445" t="s">
        <v>74</v>
      </c>
      <c r="X445">
        <v>0</v>
      </c>
      <c r="Y445">
        <v>5.9147600000000002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148</v>
      </c>
      <c r="AF445">
        <v>823</v>
      </c>
      <c r="AG445">
        <v>150</v>
      </c>
      <c r="AI445">
        <v>1.0580000000000001</v>
      </c>
      <c r="AJ445" t="s">
        <v>685</v>
      </c>
      <c r="AK445" t="s">
        <v>598</v>
      </c>
      <c r="AL445" t="s">
        <v>720</v>
      </c>
      <c r="AM445">
        <v>200000</v>
      </c>
      <c r="AN445" t="s">
        <v>76</v>
      </c>
      <c r="AO445">
        <v>1</v>
      </c>
      <c r="AP445">
        <v>0</v>
      </c>
      <c r="AQ445">
        <v>16666.666666666668</v>
      </c>
      <c r="AR445" t="s">
        <v>1733</v>
      </c>
      <c r="AS445" t="s">
        <v>78</v>
      </c>
      <c r="AX445" t="s">
        <v>79</v>
      </c>
      <c r="AY445" t="s">
        <v>74</v>
      </c>
      <c r="AZ445">
        <v>0</v>
      </c>
      <c r="BA445" t="s">
        <v>74</v>
      </c>
      <c r="BB445">
        <v>0</v>
      </c>
      <c r="BD445">
        <v>5.9147600000000002</v>
      </c>
      <c r="BE445">
        <v>0</v>
      </c>
    </row>
    <row r="446" spans="1:58" ht="12.75">
      <c r="A446" s="2" t="str">
        <f>HYPERLINK("https://ibp.a2mac1.com/costing(costing:projects/details/8191/part/5381798)","On Right Side Roll Rail")</f>
        <v>On Right Side Roll Rail</v>
      </c>
      <c r="B446">
        <v>5381798</v>
      </c>
      <c r="C446">
        <v>5381718</v>
      </c>
      <c r="E446">
        <v>0.16608999999999999</v>
      </c>
      <c r="F446">
        <v>0</v>
      </c>
      <c r="G446">
        <v>0</v>
      </c>
      <c r="H446">
        <v>0</v>
      </c>
      <c r="I446" t="s">
        <v>74</v>
      </c>
      <c r="J446">
        <v>0</v>
      </c>
      <c r="K446">
        <v>0.16608999999999999</v>
      </c>
      <c r="L446">
        <v>0</v>
      </c>
      <c r="M446">
        <v>0</v>
      </c>
      <c r="N446">
        <v>0.16608999999999999</v>
      </c>
      <c r="O446" t="s">
        <v>74</v>
      </c>
      <c r="P446">
        <v>0</v>
      </c>
      <c r="Q446" t="s">
        <v>74</v>
      </c>
      <c r="R446">
        <v>0</v>
      </c>
      <c r="S446" t="s">
        <v>74</v>
      </c>
      <c r="T446">
        <v>0</v>
      </c>
      <c r="U446" t="s">
        <v>74</v>
      </c>
      <c r="V446">
        <v>0</v>
      </c>
      <c r="W446" t="s">
        <v>74</v>
      </c>
      <c r="X446">
        <v>0</v>
      </c>
      <c r="Y446">
        <v>0.16608999999999999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65</v>
      </c>
      <c r="AF446">
        <v>175</v>
      </c>
      <c r="AG446">
        <v>110</v>
      </c>
      <c r="AI446">
        <v>0.027</v>
      </c>
      <c r="AJ446" t="s">
        <v>685</v>
      </c>
      <c r="AK446" t="s">
        <v>598</v>
      </c>
      <c r="AL446" t="s">
        <v>1261</v>
      </c>
      <c r="AM446">
        <v>200000</v>
      </c>
      <c r="AN446" t="s">
        <v>76</v>
      </c>
      <c r="AO446">
        <v>1</v>
      </c>
      <c r="AP446">
        <v>0</v>
      </c>
      <c r="AQ446">
        <v>16666.666666666668</v>
      </c>
      <c r="AR446" t="s">
        <v>1735</v>
      </c>
      <c r="AS446" t="s">
        <v>78</v>
      </c>
      <c r="AX446" t="s">
        <v>79</v>
      </c>
      <c r="AY446" t="s">
        <v>74</v>
      </c>
      <c r="AZ446">
        <v>0</v>
      </c>
      <c r="BA446" t="s">
        <v>74</v>
      </c>
      <c r="BB446">
        <v>0</v>
      </c>
      <c r="BD446">
        <v>0.16608999999999999</v>
      </c>
      <c r="BE446">
        <v>0</v>
      </c>
    </row>
    <row r="447" spans="1:58" ht="12.75">
      <c r="A447" s="2" t="str">
        <f>HYPERLINK("https://ibp.a2mac1.com/costing(costing:projects/details/8191/part/5381799)","On Front Left Floor")</f>
        <v>On Front Left Floor</v>
      </c>
      <c r="B447">
        <v>5381799</v>
      </c>
      <c r="C447">
        <v>5381718</v>
      </c>
      <c r="E447">
        <v>0.18454999999999999</v>
      </c>
      <c r="F447">
        <v>0</v>
      </c>
      <c r="G447">
        <v>0</v>
      </c>
      <c r="H447">
        <v>0</v>
      </c>
      <c r="I447" t="s">
        <v>74</v>
      </c>
      <c r="J447">
        <v>0</v>
      </c>
      <c r="K447">
        <v>0.18454999999999999</v>
      </c>
      <c r="L447">
        <v>0</v>
      </c>
      <c r="M447">
        <v>0</v>
      </c>
      <c r="N447">
        <v>0.18454999999999999</v>
      </c>
      <c r="O447" t="s">
        <v>74</v>
      </c>
      <c r="P447">
        <v>0</v>
      </c>
      <c r="Q447" t="s">
        <v>74</v>
      </c>
      <c r="R447">
        <v>0</v>
      </c>
      <c r="S447" t="s">
        <v>74</v>
      </c>
      <c r="T447">
        <v>0</v>
      </c>
      <c r="U447" t="s">
        <v>74</v>
      </c>
      <c r="V447">
        <v>0</v>
      </c>
      <c r="W447" t="s">
        <v>74</v>
      </c>
      <c r="X447">
        <v>0</v>
      </c>
      <c r="Y447">
        <v>0.18454999999999999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99</v>
      </c>
      <c r="AF447">
        <v>74</v>
      </c>
      <c r="AG447">
        <v>34</v>
      </c>
      <c r="AI447">
        <v>0.019</v>
      </c>
      <c r="AJ447" t="s">
        <v>685</v>
      </c>
      <c r="AK447" t="s">
        <v>598</v>
      </c>
      <c r="AL447" t="s">
        <v>1261</v>
      </c>
      <c r="AM447">
        <v>200000</v>
      </c>
      <c r="AN447" t="s">
        <v>76</v>
      </c>
      <c r="AO447">
        <v>1</v>
      </c>
      <c r="AP447">
        <v>0</v>
      </c>
      <c r="AQ447">
        <v>16666.666666666668</v>
      </c>
      <c r="AR447" t="s">
        <v>1736</v>
      </c>
      <c r="AS447" t="s">
        <v>78</v>
      </c>
      <c r="AX447" t="s">
        <v>79</v>
      </c>
      <c r="AY447" t="s">
        <v>74</v>
      </c>
      <c r="AZ447">
        <v>0</v>
      </c>
      <c r="BA447" t="s">
        <v>74</v>
      </c>
      <c r="BB447">
        <v>0</v>
      </c>
      <c r="BD447">
        <v>0.18454999999999999</v>
      </c>
      <c r="BE447">
        <v>0</v>
      </c>
    </row>
    <row r="448" spans="1:58" ht="12.75">
      <c r="A448" s="2" t="str">
        <f>HYPERLINK("https://ibp.a2mac1.com/costing(costing:projects/details/8191/part/5381800)","On Front Right Floor")</f>
        <v>On Front Right Floor</v>
      </c>
      <c r="B448">
        <v>5381800</v>
      </c>
      <c r="C448">
        <v>5381718</v>
      </c>
      <c r="E448">
        <v>0.18454999999999999</v>
      </c>
      <c r="F448">
        <v>0</v>
      </c>
      <c r="G448">
        <v>0</v>
      </c>
      <c r="H448">
        <v>0</v>
      </c>
      <c r="I448" t="s">
        <v>74</v>
      </c>
      <c r="J448">
        <v>0</v>
      </c>
      <c r="K448">
        <v>0.18454999999999999</v>
      </c>
      <c r="L448">
        <v>0</v>
      </c>
      <c r="M448">
        <v>0</v>
      </c>
      <c r="N448">
        <v>0.18454999999999999</v>
      </c>
      <c r="O448" t="s">
        <v>74</v>
      </c>
      <c r="P448">
        <v>0</v>
      </c>
      <c r="Q448" t="s">
        <v>74</v>
      </c>
      <c r="R448">
        <v>0</v>
      </c>
      <c r="S448" t="s">
        <v>74</v>
      </c>
      <c r="T448">
        <v>0</v>
      </c>
      <c r="U448" t="s">
        <v>74</v>
      </c>
      <c r="V448">
        <v>0</v>
      </c>
      <c r="W448" t="s">
        <v>74</v>
      </c>
      <c r="X448">
        <v>0</v>
      </c>
      <c r="Y448">
        <v>0.18454999999999999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99</v>
      </c>
      <c r="AF448">
        <v>74</v>
      </c>
      <c r="AG448">
        <v>34</v>
      </c>
      <c r="AI448">
        <v>0.019</v>
      </c>
      <c r="AJ448" t="s">
        <v>685</v>
      </c>
      <c r="AK448" t="s">
        <v>598</v>
      </c>
      <c r="AL448" t="s">
        <v>1261</v>
      </c>
      <c r="AM448">
        <v>200000</v>
      </c>
      <c r="AN448" t="s">
        <v>76</v>
      </c>
      <c r="AO448">
        <v>1</v>
      </c>
      <c r="AP448">
        <v>0</v>
      </c>
      <c r="AQ448">
        <v>16666.666666666668</v>
      </c>
      <c r="AR448" t="s">
        <v>1737</v>
      </c>
      <c r="AS448" t="s">
        <v>78</v>
      </c>
      <c r="AX448" t="s">
        <v>79</v>
      </c>
      <c r="AY448" t="s">
        <v>74</v>
      </c>
      <c r="AZ448">
        <v>0</v>
      </c>
      <c r="BA448" t="s">
        <v>74</v>
      </c>
      <c r="BB448">
        <v>0</v>
      </c>
      <c r="BD448">
        <v>0.18454999999999999</v>
      </c>
      <c r="BE448">
        <v>0</v>
      </c>
    </row>
    <row r="449" spans="1:58" ht="12.75">
      <c r="A449" s="2" t="str">
        <f>HYPERLINK("https://ibp.a2mac1.com/costing(costing:projects/details/8191/part/5381801)","On Side on Rear Parcel Shelf")</f>
        <v>On Side on Rear Parcel Shelf</v>
      </c>
      <c r="B449">
        <v>5381801</v>
      </c>
      <c r="C449">
        <v>5381718</v>
      </c>
      <c r="E449">
        <v>0.10150000000000001</v>
      </c>
      <c r="F449">
        <v>0</v>
      </c>
      <c r="G449">
        <v>0</v>
      </c>
      <c r="H449">
        <v>0</v>
      </c>
      <c r="I449" t="s">
        <v>74</v>
      </c>
      <c r="J449">
        <v>0</v>
      </c>
      <c r="K449">
        <v>0.10150000000000001</v>
      </c>
      <c r="L449">
        <v>0</v>
      </c>
      <c r="M449">
        <v>0</v>
      </c>
      <c r="N449">
        <v>0.10150000000000001</v>
      </c>
      <c r="O449" t="s">
        <v>74</v>
      </c>
      <c r="P449">
        <v>0</v>
      </c>
      <c r="Q449" t="s">
        <v>74</v>
      </c>
      <c r="R449">
        <v>0</v>
      </c>
      <c r="S449" t="s">
        <v>74</v>
      </c>
      <c r="T449">
        <v>0</v>
      </c>
      <c r="U449" t="s">
        <v>74</v>
      </c>
      <c r="V449">
        <v>0</v>
      </c>
      <c r="W449" t="s">
        <v>74</v>
      </c>
      <c r="X449">
        <v>0</v>
      </c>
      <c r="Y449">
        <v>0.10150000000000001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87</v>
      </c>
      <c r="AF449">
        <v>40</v>
      </c>
      <c r="AG449">
        <v>24</v>
      </c>
      <c r="AI449">
        <v>0.015</v>
      </c>
      <c r="AJ449" t="s">
        <v>685</v>
      </c>
      <c r="AK449" t="s">
        <v>598</v>
      </c>
      <c r="AL449" t="s">
        <v>1738</v>
      </c>
      <c r="AM449">
        <v>200000</v>
      </c>
      <c r="AN449" t="s">
        <v>76</v>
      </c>
      <c r="AO449">
        <v>1</v>
      </c>
      <c r="AP449">
        <v>0</v>
      </c>
      <c r="AQ449">
        <v>16666.666666666668</v>
      </c>
      <c r="AR449" t="s">
        <v>1739</v>
      </c>
      <c r="AS449" t="s">
        <v>78</v>
      </c>
      <c r="AX449" t="s">
        <v>79</v>
      </c>
      <c r="AY449" t="s">
        <v>74</v>
      </c>
      <c r="AZ449">
        <v>0</v>
      </c>
      <c r="BA449" t="s">
        <v>74</v>
      </c>
      <c r="BB449">
        <v>0</v>
      </c>
      <c r="BD449">
        <v>0.10150000000000001</v>
      </c>
      <c r="BE449">
        <v>0</v>
      </c>
    </row>
    <row r="450" spans="1:58" ht="12.75">
      <c r="A450" s="2" t="str">
        <f>HYPERLINK("https://ibp.a2mac1.com/costing(costing:projects/details/8191/part/5381802)","On Right A Pillar")</f>
        <v>On Right A Pillar</v>
      </c>
      <c r="B450">
        <v>5381802</v>
      </c>
      <c r="C450">
        <v>5381718</v>
      </c>
      <c r="E450">
        <v>0.083049999999999999</v>
      </c>
      <c r="F450">
        <v>0</v>
      </c>
      <c r="G450">
        <v>0</v>
      </c>
      <c r="H450">
        <v>0</v>
      </c>
      <c r="I450" t="s">
        <v>74</v>
      </c>
      <c r="J450">
        <v>0</v>
      </c>
      <c r="K450">
        <v>0.083049999999999999</v>
      </c>
      <c r="L450">
        <v>0</v>
      </c>
      <c r="M450">
        <v>0</v>
      </c>
      <c r="N450">
        <v>0.083049999999999999</v>
      </c>
      <c r="O450" t="s">
        <v>74</v>
      </c>
      <c r="P450">
        <v>0</v>
      </c>
      <c r="Q450" t="s">
        <v>74</v>
      </c>
      <c r="R450">
        <v>0</v>
      </c>
      <c r="S450" t="s">
        <v>74</v>
      </c>
      <c r="T450">
        <v>0</v>
      </c>
      <c r="U450" t="s">
        <v>74</v>
      </c>
      <c r="V450">
        <v>0</v>
      </c>
      <c r="W450" t="s">
        <v>74</v>
      </c>
      <c r="X450">
        <v>0</v>
      </c>
      <c r="Y450">
        <v>0.083049999999999999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28</v>
      </c>
      <c r="AF450">
        <v>72</v>
      </c>
      <c r="AG450">
        <v>37</v>
      </c>
      <c r="AI450">
        <v>0.01</v>
      </c>
      <c r="AJ450" t="s">
        <v>685</v>
      </c>
      <c r="AK450" t="s">
        <v>598</v>
      </c>
      <c r="AL450" t="s">
        <v>1261</v>
      </c>
      <c r="AM450">
        <v>200000</v>
      </c>
      <c r="AN450" t="s">
        <v>76</v>
      </c>
      <c r="AO450">
        <v>1</v>
      </c>
      <c r="AP450">
        <v>0</v>
      </c>
      <c r="AQ450">
        <v>16666.666666666668</v>
      </c>
      <c r="AR450" t="s">
        <v>1740</v>
      </c>
      <c r="AS450" t="s">
        <v>78</v>
      </c>
      <c r="AX450" t="s">
        <v>79</v>
      </c>
      <c r="AY450" t="s">
        <v>74</v>
      </c>
      <c r="AZ450">
        <v>0</v>
      </c>
      <c r="BA450" t="s">
        <v>74</v>
      </c>
      <c r="BB450">
        <v>0</v>
      </c>
      <c r="BD450">
        <v>0.083049999999999999</v>
      </c>
      <c r="BE450">
        <v>0</v>
      </c>
    </row>
    <row r="451" spans="1:58" ht="12.75">
      <c r="A451" s="2" t="str">
        <f>HYPERLINK("https://ibp.a2mac1.com/costing(costing:projects/details/8191/part/5381803)","Guide on Dashboard")</f>
        <v>Guide on Dashboard</v>
      </c>
      <c r="B451">
        <v>5381803</v>
      </c>
      <c r="C451">
        <v>5381718</v>
      </c>
      <c r="E451">
        <v>0.52595999999999998</v>
      </c>
      <c r="F451">
        <v>0</v>
      </c>
      <c r="G451">
        <v>0</v>
      </c>
      <c r="H451">
        <v>0</v>
      </c>
      <c r="I451" t="s">
        <v>74</v>
      </c>
      <c r="J451">
        <v>0</v>
      </c>
      <c r="K451">
        <v>0.52595999999999998</v>
      </c>
      <c r="L451">
        <v>0</v>
      </c>
      <c r="M451">
        <v>0</v>
      </c>
      <c r="N451">
        <v>0.52595999999999998</v>
      </c>
      <c r="O451" t="s">
        <v>74</v>
      </c>
      <c r="P451">
        <v>0</v>
      </c>
      <c r="Q451" t="s">
        <v>74</v>
      </c>
      <c r="R451">
        <v>0</v>
      </c>
      <c r="S451" t="s">
        <v>74</v>
      </c>
      <c r="T451">
        <v>0</v>
      </c>
      <c r="U451" t="s">
        <v>74</v>
      </c>
      <c r="V451">
        <v>0</v>
      </c>
      <c r="W451" t="s">
        <v>74</v>
      </c>
      <c r="X451">
        <v>0</v>
      </c>
      <c r="Y451">
        <v>0.52595999999999998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185</v>
      </c>
      <c r="AF451">
        <v>458</v>
      </c>
      <c r="AG451">
        <v>80</v>
      </c>
      <c r="AI451">
        <v>0.135</v>
      </c>
      <c r="AJ451" t="s">
        <v>685</v>
      </c>
      <c r="AK451" t="s">
        <v>598</v>
      </c>
      <c r="AL451" t="s">
        <v>1261</v>
      </c>
      <c r="AM451">
        <v>200000</v>
      </c>
      <c r="AN451" t="s">
        <v>76</v>
      </c>
      <c r="AO451">
        <v>1</v>
      </c>
      <c r="AP451">
        <v>0</v>
      </c>
      <c r="AQ451">
        <v>16666.666666666668</v>
      </c>
      <c r="AR451" t="s">
        <v>1741</v>
      </c>
      <c r="AS451" t="s">
        <v>78</v>
      </c>
      <c r="AX451" t="s">
        <v>79</v>
      </c>
      <c r="AY451" t="s">
        <v>74</v>
      </c>
      <c r="AZ451">
        <v>0</v>
      </c>
      <c r="BA451" t="s">
        <v>74</v>
      </c>
      <c r="BB451">
        <v>0</v>
      </c>
      <c r="BD451">
        <v>0.52595999999999998</v>
      </c>
      <c r="BE451">
        <v>0</v>
      </c>
    </row>
    <row r="452" spans="1:58" ht="12.75">
      <c r="A452" s="2" t="str">
        <f>HYPERLINK("https://ibp.a2mac1.com/costing(costing:projects/details/8191/part/5381806)","2nd Wiring Harness Guide on Dashboard")</f>
        <v>2nd Wiring Harness Guide on Dashboard</v>
      </c>
      <c r="B452">
        <v>5381806</v>
      </c>
      <c r="C452">
        <v>5381718</v>
      </c>
      <c r="E452">
        <v>0.58133000000000001</v>
      </c>
      <c r="F452">
        <v>0</v>
      </c>
      <c r="G452">
        <v>0</v>
      </c>
      <c r="H452">
        <v>0</v>
      </c>
      <c r="I452" t="s">
        <v>74</v>
      </c>
      <c r="J452">
        <v>0</v>
      </c>
      <c r="K452">
        <v>0.58133000000000001</v>
      </c>
      <c r="L452">
        <v>0</v>
      </c>
      <c r="M452">
        <v>0</v>
      </c>
      <c r="N452">
        <v>0.58133000000000001</v>
      </c>
      <c r="O452" t="s">
        <v>74</v>
      </c>
      <c r="P452">
        <v>0</v>
      </c>
      <c r="Q452" t="s">
        <v>74</v>
      </c>
      <c r="R452">
        <v>0</v>
      </c>
      <c r="S452" t="s">
        <v>74</v>
      </c>
      <c r="T452">
        <v>0</v>
      </c>
      <c r="U452" t="s">
        <v>74</v>
      </c>
      <c r="V452">
        <v>0</v>
      </c>
      <c r="W452" t="s">
        <v>74</v>
      </c>
      <c r="X452">
        <v>0</v>
      </c>
      <c r="Y452">
        <v>0.58133000000000001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150</v>
      </c>
      <c r="AF452">
        <v>137</v>
      </c>
      <c r="AG452">
        <v>272</v>
      </c>
      <c r="AI452">
        <v>0.152</v>
      </c>
      <c r="AJ452" t="s">
        <v>685</v>
      </c>
      <c r="AK452" t="s">
        <v>598</v>
      </c>
      <c r="AL452" t="s">
        <v>1261</v>
      </c>
      <c r="AM452">
        <v>200000</v>
      </c>
      <c r="AN452" t="s">
        <v>76</v>
      </c>
      <c r="AO452">
        <v>1</v>
      </c>
      <c r="AP452">
        <v>0</v>
      </c>
      <c r="AQ452">
        <v>16666.666666666668</v>
      </c>
      <c r="AR452" t="s">
        <v>1742</v>
      </c>
      <c r="AS452" t="s">
        <v>78</v>
      </c>
      <c r="AX452" t="s">
        <v>79</v>
      </c>
      <c r="AY452" t="s">
        <v>74</v>
      </c>
      <c r="AZ452">
        <v>0</v>
      </c>
      <c r="BA452" t="s">
        <v>74</v>
      </c>
      <c r="BB452">
        <v>0</v>
      </c>
      <c r="BD452">
        <v>0.58133000000000001</v>
      </c>
      <c r="BE452">
        <v>0</v>
      </c>
    </row>
    <row r="453" spans="1:58" ht="12.75">
      <c r="A453" s="2" t="str">
        <f>HYPERLINK("https://ibp.a2mac1.com/costing(costing:projects/details/8191/part/5381807)","Guide on K-Frame")</f>
        <v>Guide on K-Frame</v>
      </c>
      <c r="B453">
        <v>5381807</v>
      </c>
      <c r="C453">
        <v>5381718</v>
      </c>
      <c r="E453">
        <v>0.73819000000000001</v>
      </c>
      <c r="F453">
        <v>0</v>
      </c>
      <c r="G453">
        <v>0</v>
      </c>
      <c r="H453">
        <v>0</v>
      </c>
      <c r="I453" t="s">
        <v>74</v>
      </c>
      <c r="J453">
        <v>0</v>
      </c>
      <c r="K453">
        <v>0.73819000000000001</v>
      </c>
      <c r="L453">
        <v>0</v>
      </c>
      <c r="M453">
        <v>0</v>
      </c>
      <c r="N453">
        <v>0.73819000000000001</v>
      </c>
      <c r="O453" t="s">
        <v>74</v>
      </c>
      <c r="P453">
        <v>0</v>
      </c>
      <c r="Q453" t="s">
        <v>74</v>
      </c>
      <c r="R453">
        <v>0</v>
      </c>
      <c r="S453" t="s">
        <v>74</v>
      </c>
      <c r="T453">
        <v>0</v>
      </c>
      <c r="U453" t="s">
        <v>74</v>
      </c>
      <c r="V453">
        <v>0</v>
      </c>
      <c r="W453" t="s">
        <v>74</v>
      </c>
      <c r="X453">
        <v>0</v>
      </c>
      <c r="Y453">
        <v>0.73819000000000001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470</v>
      </c>
      <c r="AF453">
        <v>115</v>
      </c>
      <c r="AG453">
        <v>197</v>
      </c>
      <c r="AI453">
        <v>0.165</v>
      </c>
      <c r="AJ453" t="s">
        <v>685</v>
      </c>
      <c r="AK453" t="s">
        <v>598</v>
      </c>
      <c r="AL453" t="s">
        <v>1743</v>
      </c>
      <c r="AM453">
        <v>200000</v>
      </c>
      <c r="AN453" t="s">
        <v>76</v>
      </c>
      <c r="AO453">
        <v>1</v>
      </c>
      <c r="AP453">
        <v>0</v>
      </c>
      <c r="AQ453">
        <v>16666.666666666668</v>
      </c>
      <c r="AR453" t="s">
        <v>1744</v>
      </c>
      <c r="AS453" t="s">
        <v>78</v>
      </c>
      <c r="AX453" t="s">
        <v>79</v>
      </c>
      <c r="AY453" t="s">
        <v>74</v>
      </c>
      <c r="AZ453">
        <v>0</v>
      </c>
      <c r="BA453" t="s">
        <v>74</v>
      </c>
      <c r="BB453">
        <v>0</v>
      </c>
      <c r="BD453">
        <v>0.73819000000000001</v>
      </c>
      <c r="BE453">
        <v>0</v>
      </c>
    </row>
    <row r="454" spans="1:58" ht="12.75">
      <c r="A454" s="2" t="str">
        <f>HYPERLINK("https://ibp.a2mac1.com/costing(costing:projects/details/8191/part/5381808)","Guide Rear axle")</f>
        <v>Guide Rear axle</v>
      </c>
      <c r="B454">
        <v>5381808</v>
      </c>
      <c r="C454">
        <v>5381718</v>
      </c>
      <c r="E454">
        <v>0.18454999999999999</v>
      </c>
      <c r="F454">
        <v>0</v>
      </c>
      <c r="G454">
        <v>0</v>
      </c>
      <c r="H454">
        <v>0</v>
      </c>
      <c r="I454" t="s">
        <v>74</v>
      </c>
      <c r="J454">
        <v>0</v>
      </c>
      <c r="K454">
        <v>0.18454999999999999</v>
      </c>
      <c r="L454">
        <v>0</v>
      </c>
      <c r="M454">
        <v>0</v>
      </c>
      <c r="N454">
        <v>0.18454999999999999</v>
      </c>
      <c r="O454" t="s">
        <v>74</v>
      </c>
      <c r="P454">
        <v>0</v>
      </c>
      <c r="Q454" t="s">
        <v>74</v>
      </c>
      <c r="R454">
        <v>0</v>
      </c>
      <c r="S454" t="s">
        <v>74</v>
      </c>
      <c r="T454">
        <v>0</v>
      </c>
      <c r="U454" t="s">
        <v>74</v>
      </c>
      <c r="V454">
        <v>0</v>
      </c>
      <c r="W454" t="s">
        <v>74</v>
      </c>
      <c r="X454">
        <v>0</v>
      </c>
      <c r="Y454">
        <v>0.18454999999999999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369</v>
      </c>
      <c r="AF454">
        <v>83</v>
      </c>
      <c r="AG454">
        <v>62</v>
      </c>
      <c r="AI454">
        <v>0.064000000000000001</v>
      </c>
      <c r="AJ454" t="s">
        <v>685</v>
      </c>
      <c r="AK454" t="s">
        <v>598</v>
      </c>
      <c r="AL454" t="s">
        <v>769</v>
      </c>
      <c r="AM454">
        <v>200000</v>
      </c>
      <c r="AN454" t="s">
        <v>76</v>
      </c>
      <c r="AO454">
        <v>1</v>
      </c>
      <c r="AP454">
        <v>0</v>
      </c>
      <c r="AQ454">
        <v>16666.666666666668</v>
      </c>
      <c r="AR454" t="s">
        <v>1745</v>
      </c>
      <c r="AS454" t="s">
        <v>78</v>
      </c>
      <c r="AX454" t="s">
        <v>79</v>
      </c>
      <c r="AY454" t="s">
        <v>74</v>
      </c>
      <c r="AZ454">
        <v>0</v>
      </c>
      <c r="BA454" t="s">
        <v>74</v>
      </c>
      <c r="BB454">
        <v>0</v>
      </c>
      <c r="BD454">
        <v>0.18454999999999999</v>
      </c>
      <c r="BE454">
        <v>0</v>
      </c>
    </row>
    <row r="455" spans="1:58" ht="12.75">
      <c r="A455" s="2" t="str">
        <f>HYPERLINK("https://ibp.a2mac1.com/costing(costing:projects/details/8191/part/5381809)","2nd Guide Rear Axle")</f>
        <v>2nd Guide Rear Axle</v>
      </c>
      <c r="B455">
        <v>5381809</v>
      </c>
      <c r="C455">
        <v>5381718</v>
      </c>
      <c r="E455">
        <v>0.18454999999999999</v>
      </c>
      <c r="F455">
        <v>0</v>
      </c>
      <c r="G455">
        <v>0</v>
      </c>
      <c r="H455">
        <v>0</v>
      </c>
      <c r="I455" t="s">
        <v>74</v>
      </c>
      <c r="J455">
        <v>0</v>
      </c>
      <c r="K455">
        <v>0.18454999999999999</v>
      </c>
      <c r="L455">
        <v>0</v>
      </c>
      <c r="M455">
        <v>0</v>
      </c>
      <c r="N455">
        <v>0.18454999999999999</v>
      </c>
      <c r="O455" t="s">
        <v>74</v>
      </c>
      <c r="P455">
        <v>0</v>
      </c>
      <c r="Q455" t="s">
        <v>74</v>
      </c>
      <c r="R455">
        <v>0</v>
      </c>
      <c r="S455" t="s">
        <v>74</v>
      </c>
      <c r="T455">
        <v>0</v>
      </c>
      <c r="U455" t="s">
        <v>74</v>
      </c>
      <c r="V455">
        <v>0</v>
      </c>
      <c r="W455" t="s">
        <v>74</v>
      </c>
      <c r="X455">
        <v>0</v>
      </c>
      <c r="Y455">
        <v>0.18454999999999999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375</v>
      </c>
      <c r="AF455">
        <v>115</v>
      </c>
      <c r="AG455">
        <v>147</v>
      </c>
      <c r="AI455">
        <v>0.069000000000000006</v>
      </c>
      <c r="AJ455" t="s">
        <v>685</v>
      </c>
      <c r="AK455" t="s">
        <v>598</v>
      </c>
      <c r="AL455" t="s">
        <v>1182</v>
      </c>
      <c r="AM455">
        <v>200000</v>
      </c>
      <c r="AN455" t="s">
        <v>76</v>
      </c>
      <c r="AO455">
        <v>1</v>
      </c>
      <c r="AP455">
        <v>0</v>
      </c>
      <c r="AQ455">
        <v>16666.666666666668</v>
      </c>
      <c r="AR455" t="s">
        <v>1746</v>
      </c>
      <c r="AS455" t="s">
        <v>78</v>
      </c>
      <c r="AX455" t="s">
        <v>79</v>
      </c>
      <c r="AY455" t="s">
        <v>74</v>
      </c>
      <c r="AZ455">
        <v>0</v>
      </c>
      <c r="BA455" t="s">
        <v>74</v>
      </c>
      <c r="BB455">
        <v>0</v>
      </c>
      <c r="BD455">
        <v>0.18454999999999999</v>
      </c>
      <c r="BE455">
        <v>0</v>
      </c>
    </row>
    <row r="456" spans="1:58" ht="12.75">
      <c r="A456" s="2" t="str">
        <f>HYPERLINK("https://ibp.a2mac1.com/costing(costing:projects/details/8191/part/5381810)","Guide on Steering Wheel")</f>
        <v>Guide on Steering Wheel</v>
      </c>
      <c r="B456">
        <v>5381810</v>
      </c>
      <c r="C456">
        <v>5381718</v>
      </c>
      <c r="E456">
        <v>0.055359999999999999</v>
      </c>
      <c r="F456">
        <v>0</v>
      </c>
      <c r="G456">
        <v>0</v>
      </c>
      <c r="H456">
        <v>0</v>
      </c>
      <c r="I456" t="s">
        <v>74</v>
      </c>
      <c r="J456">
        <v>0</v>
      </c>
      <c r="K456">
        <v>0.055359999999999999</v>
      </c>
      <c r="L456">
        <v>0</v>
      </c>
      <c r="M456">
        <v>0</v>
      </c>
      <c r="N456">
        <v>0.055359999999999999</v>
      </c>
      <c r="O456" t="s">
        <v>74</v>
      </c>
      <c r="P456">
        <v>0</v>
      </c>
      <c r="Q456" t="s">
        <v>74</v>
      </c>
      <c r="R456">
        <v>0</v>
      </c>
      <c r="S456" t="s">
        <v>74</v>
      </c>
      <c r="T456">
        <v>0</v>
      </c>
      <c r="U456" t="s">
        <v>74</v>
      </c>
      <c r="V456">
        <v>0</v>
      </c>
      <c r="W456" t="s">
        <v>74</v>
      </c>
      <c r="X456">
        <v>0</v>
      </c>
      <c r="Y456">
        <v>0.055359999999999999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15</v>
      </c>
      <c r="AF456">
        <v>86</v>
      </c>
      <c r="AG456">
        <v>64</v>
      </c>
      <c r="AI456">
        <v>0.0040000000000000001</v>
      </c>
      <c r="AJ456" t="s">
        <v>696</v>
      </c>
      <c r="AK456" t="s">
        <v>598</v>
      </c>
      <c r="AL456" t="s">
        <v>1182</v>
      </c>
      <c r="AM456">
        <v>200000</v>
      </c>
      <c r="AN456" t="s">
        <v>76</v>
      </c>
      <c r="AO456">
        <v>1</v>
      </c>
      <c r="AP456">
        <v>0</v>
      </c>
      <c r="AQ456">
        <v>16666.666666666668</v>
      </c>
      <c r="AR456" t="s">
        <v>1747</v>
      </c>
      <c r="AS456" t="s">
        <v>78</v>
      </c>
      <c r="AX456" t="s">
        <v>79</v>
      </c>
      <c r="AY456" t="s">
        <v>74</v>
      </c>
      <c r="AZ456">
        <v>0</v>
      </c>
      <c r="BA456" t="s">
        <v>74</v>
      </c>
      <c r="BB456">
        <v>0</v>
      </c>
      <c r="BD456">
        <v>0.055359999999999999</v>
      </c>
      <c r="BE456">
        <v>0</v>
      </c>
    </row>
    <row r="457" spans="1:58" ht="12.75">
      <c r="A457" s="2" t="str">
        <f>HYPERLINK("https://ibp.a2mac1.com/costing(costing:projects/details/8191/part/5381811)","On Tailgate")</f>
        <v>On Tailgate</v>
      </c>
      <c r="B457">
        <v>5381811</v>
      </c>
      <c r="C457">
        <v>5381718</v>
      </c>
      <c r="E457">
        <v>0.055359999999999999</v>
      </c>
      <c r="F457">
        <v>0</v>
      </c>
      <c r="G457">
        <v>0</v>
      </c>
      <c r="H457">
        <v>0</v>
      </c>
      <c r="I457" t="s">
        <v>74</v>
      </c>
      <c r="J457">
        <v>0</v>
      </c>
      <c r="K457">
        <v>0.055359999999999999</v>
      </c>
      <c r="L457">
        <v>0</v>
      </c>
      <c r="M457">
        <v>0</v>
      </c>
      <c r="N457">
        <v>0.055359999999999999</v>
      </c>
      <c r="O457" t="s">
        <v>74</v>
      </c>
      <c r="P457">
        <v>0</v>
      </c>
      <c r="Q457" t="s">
        <v>74</v>
      </c>
      <c r="R457">
        <v>0</v>
      </c>
      <c r="S457" t="s">
        <v>74</v>
      </c>
      <c r="T457">
        <v>0</v>
      </c>
      <c r="U457" t="s">
        <v>74</v>
      </c>
      <c r="V457">
        <v>0</v>
      </c>
      <c r="W457" t="s">
        <v>74</v>
      </c>
      <c r="X457">
        <v>0</v>
      </c>
      <c r="Y457">
        <v>0.055359999999999999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26</v>
      </c>
      <c r="AF457">
        <v>33</v>
      </c>
      <c r="AG457">
        <v>75</v>
      </c>
      <c r="AI457">
        <v>0.0070000000000000001</v>
      </c>
      <c r="AJ457" t="s">
        <v>685</v>
      </c>
      <c r="AK457" t="s">
        <v>598</v>
      </c>
      <c r="AL457" t="s">
        <v>1182</v>
      </c>
      <c r="AM457">
        <v>200000</v>
      </c>
      <c r="AN457" t="s">
        <v>76</v>
      </c>
      <c r="AO457">
        <v>1</v>
      </c>
      <c r="AP457">
        <v>0</v>
      </c>
      <c r="AQ457">
        <v>16666.666666666668</v>
      </c>
      <c r="AR457" t="s">
        <v>1748</v>
      </c>
      <c r="AS457" t="s">
        <v>78</v>
      </c>
      <c r="AX457" t="s">
        <v>79</v>
      </c>
      <c r="AY457" t="s">
        <v>74</v>
      </c>
      <c r="AZ457">
        <v>0</v>
      </c>
      <c r="BA457" t="s">
        <v>74</v>
      </c>
      <c r="BB457">
        <v>0</v>
      </c>
      <c r="BD457">
        <v>0.055359999999999999</v>
      </c>
      <c r="BE457">
        <v>0</v>
      </c>
    </row>
    <row r="458" spans="1:58" ht="12.75">
      <c r="A458" s="2" t="str">
        <f>HYPERLINK("https://ibp.a2mac1.com/costing(costing:projects/details/8191/part/5381812)","Second On Tailgate")</f>
        <v>Second On Tailgate</v>
      </c>
      <c r="B458">
        <v>5381812</v>
      </c>
      <c r="C458">
        <v>5381718</v>
      </c>
      <c r="E458">
        <v>0.055359999999999999</v>
      </c>
      <c r="F458">
        <v>0</v>
      </c>
      <c r="G458">
        <v>0</v>
      </c>
      <c r="H458">
        <v>0</v>
      </c>
      <c r="I458" t="s">
        <v>74</v>
      </c>
      <c r="J458">
        <v>0</v>
      </c>
      <c r="K458">
        <v>0.055359999999999999</v>
      </c>
      <c r="L458">
        <v>0</v>
      </c>
      <c r="M458">
        <v>0</v>
      </c>
      <c r="N458">
        <v>0.055359999999999999</v>
      </c>
      <c r="O458" t="s">
        <v>74</v>
      </c>
      <c r="P458">
        <v>0</v>
      </c>
      <c r="Q458" t="s">
        <v>74</v>
      </c>
      <c r="R458">
        <v>0</v>
      </c>
      <c r="S458" t="s">
        <v>74</v>
      </c>
      <c r="T458">
        <v>0</v>
      </c>
      <c r="U458" t="s">
        <v>74</v>
      </c>
      <c r="V458">
        <v>0</v>
      </c>
      <c r="W458" t="s">
        <v>74</v>
      </c>
      <c r="X458">
        <v>0</v>
      </c>
      <c r="Y458">
        <v>0.055359999999999999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26</v>
      </c>
      <c r="AF458">
        <v>33</v>
      </c>
      <c r="AG458">
        <v>75</v>
      </c>
      <c r="AI458">
        <v>0.0070000000000000001</v>
      </c>
      <c r="AJ458" t="s">
        <v>685</v>
      </c>
      <c r="AK458" t="s">
        <v>598</v>
      </c>
      <c r="AL458" t="s">
        <v>1182</v>
      </c>
      <c r="AM458">
        <v>200000</v>
      </c>
      <c r="AN458" t="s">
        <v>76</v>
      </c>
      <c r="AO458">
        <v>1</v>
      </c>
      <c r="AP458">
        <v>0</v>
      </c>
      <c r="AQ458">
        <v>16666.666666666668</v>
      </c>
      <c r="AR458" t="s">
        <v>1749</v>
      </c>
      <c r="AS458" t="s">
        <v>78</v>
      </c>
      <c r="AX458" t="s">
        <v>79</v>
      </c>
      <c r="AY458" t="s">
        <v>74</v>
      </c>
      <c r="AZ458">
        <v>0</v>
      </c>
      <c r="BA458" t="s">
        <v>74</v>
      </c>
      <c r="BB458">
        <v>0</v>
      </c>
      <c r="BD458">
        <v>0.055359999999999999</v>
      </c>
      <c r="BE458">
        <v>0</v>
      </c>
    </row>
    <row r="459" spans="1:58" ht="12.75">
      <c r="A459" s="2" t="str">
        <f>HYPERLINK("https://ibp.a2mac1.com/costing(costing:projects/details/8191/part/5381814)","Plugs Support Engine Compartment")</f>
        <v>Plugs Support Engine Compartment</v>
      </c>
      <c r="B459">
        <v>5381814</v>
      </c>
      <c r="C459">
        <v>5381719</v>
      </c>
      <c r="E459">
        <v>0.044730215748219525</v>
      </c>
      <c r="F459">
        <v>0</v>
      </c>
      <c r="G459">
        <v>0</v>
      </c>
      <c r="H459">
        <v>0.00091689855515646602</v>
      </c>
      <c r="I459" t="s">
        <v>137</v>
      </c>
      <c r="J459">
        <v>0.0015715695117765088</v>
      </c>
      <c r="K459">
        <v>0.047218683815152505</v>
      </c>
      <c r="L459">
        <v>0.0024970068644123394</v>
      </c>
      <c r="M459">
        <v>0.014982041186474036</v>
      </c>
      <c r="N459">
        <v>0.062200725001626538</v>
      </c>
      <c r="O459" t="s">
        <v>138</v>
      </c>
      <c r="P459">
        <v>0.0028331210289091503</v>
      </c>
      <c r="Q459" t="s">
        <v>138</v>
      </c>
      <c r="R459">
        <v>0.00089892247118844213</v>
      </c>
      <c r="S459" t="s">
        <v>139</v>
      </c>
      <c r="T459">
        <v>0.0074640870001951845</v>
      </c>
      <c r="U459" t="s">
        <v>90</v>
      </c>
      <c r="V459">
        <v>0</v>
      </c>
      <c r="W459" t="s">
        <v>90</v>
      </c>
      <c r="X459">
        <v>0</v>
      </c>
      <c r="Y459">
        <v>0.073396855501919323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39</v>
      </c>
      <c r="AF459">
        <v>116</v>
      </c>
      <c r="AG459">
        <v>202</v>
      </c>
      <c r="AH459">
        <v>1.50</v>
      </c>
      <c r="AI459">
        <v>0.041000000000000002</v>
      </c>
      <c r="AJ459" t="s">
        <v>685</v>
      </c>
      <c r="AK459" t="s">
        <v>598</v>
      </c>
      <c r="AL459" t="s">
        <v>1743</v>
      </c>
      <c r="AM459">
        <v>200000</v>
      </c>
      <c r="AN459" t="s">
        <v>76</v>
      </c>
      <c r="AO459">
        <v>1</v>
      </c>
      <c r="AP459">
        <v>0</v>
      </c>
      <c r="AQ459">
        <v>16666.666666666668</v>
      </c>
      <c r="AR459" t="s">
        <v>1756</v>
      </c>
      <c r="AS459" t="s">
        <v>78</v>
      </c>
      <c r="AX459" t="s">
        <v>79</v>
      </c>
      <c r="AY459" t="s">
        <v>137</v>
      </c>
      <c r="AZ459">
        <v>0</v>
      </c>
      <c r="BA459" t="s">
        <v>137</v>
      </c>
      <c r="BB459">
        <v>0</v>
      </c>
      <c r="BE459">
        <v>0</v>
      </c>
    </row>
    <row r="460" spans="1:58" ht="12.75">
      <c r="A460" s="2" t="str">
        <f>HYPERLINK("https://ibp.a2mac1.com/costing(costing:projects/details/8191/part/5381815)","Shunt Plug")</f>
        <v>Shunt Plug</v>
      </c>
      <c r="B460">
        <v>5381815</v>
      </c>
      <c r="C460">
        <v>5381720</v>
      </c>
      <c r="E460">
        <v>0.10</v>
      </c>
      <c r="F460">
        <v>0</v>
      </c>
      <c r="G460">
        <v>0</v>
      </c>
      <c r="H460">
        <v>0</v>
      </c>
      <c r="I460" t="s">
        <v>74</v>
      </c>
      <c r="J460">
        <v>0</v>
      </c>
      <c r="K460">
        <v>0.10</v>
      </c>
      <c r="L460">
        <v>0</v>
      </c>
      <c r="M460">
        <v>0</v>
      </c>
      <c r="N460">
        <v>0.10</v>
      </c>
      <c r="O460" t="s">
        <v>74</v>
      </c>
      <c r="P460">
        <v>0</v>
      </c>
      <c r="Q460" t="s">
        <v>74</v>
      </c>
      <c r="R460">
        <v>0</v>
      </c>
      <c r="S460" t="s">
        <v>74</v>
      </c>
      <c r="T460">
        <v>0</v>
      </c>
      <c r="U460" t="s">
        <v>74</v>
      </c>
      <c r="V460">
        <v>0</v>
      </c>
      <c r="W460" t="s">
        <v>74</v>
      </c>
      <c r="X460">
        <v>0</v>
      </c>
      <c r="Y460">
        <v>0.10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22</v>
      </c>
      <c r="AF460">
        <v>31</v>
      </c>
      <c r="AG460">
        <v>29</v>
      </c>
      <c r="AI460">
        <v>0.0060000000000000001</v>
      </c>
      <c r="AJ460" t="s">
        <v>1759</v>
      </c>
      <c r="AK460" t="s">
        <v>686</v>
      </c>
      <c r="AL460" t="s">
        <v>1760</v>
      </c>
      <c r="AM460">
        <v>200000</v>
      </c>
      <c r="AN460" t="s">
        <v>76</v>
      </c>
      <c r="AO460">
        <v>1</v>
      </c>
      <c r="AP460">
        <v>0</v>
      </c>
      <c r="AQ460">
        <v>16666.666666666668</v>
      </c>
      <c r="AR460" t="s">
        <v>1761</v>
      </c>
      <c r="AS460" t="s">
        <v>78</v>
      </c>
      <c r="AX460" t="s">
        <v>79</v>
      </c>
      <c r="AY460" t="s">
        <v>74</v>
      </c>
      <c r="AZ460">
        <v>0</v>
      </c>
      <c r="BA460" t="s">
        <v>74</v>
      </c>
      <c r="BB460">
        <v>0</v>
      </c>
      <c r="BD460">
        <v>0.10</v>
      </c>
      <c r="BE460">
        <v>0</v>
      </c>
    </row>
    <row r="461" spans="1:58" ht="12.75">
      <c r="A461" s="2" t="str">
        <f>HYPERLINK("https://ibp.a2mac1.com/costing(costing:projects/details/8191/part/5383694)"," Busbar Assembly 1")</f>
        <v xml:space="preserve"> Busbar Assembly 1</v>
      </c>
      <c r="B461">
        <v>5383694</v>
      </c>
      <c r="C461">
        <v>5383235</v>
      </c>
      <c r="D461" t="s">
        <v>1781</v>
      </c>
      <c r="E461">
        <v>5.6342578819782387</v>
      </c>
      <c r="F461">
        <v>0</v>
      </c>
      <c r="G461">
        <v>0</v>
      </c>
      <c r="H461">
        <v>0.031021142447944492</v>
      </c>
      <c r="I461" t="s">
        <v>137</v>
      </c>
      <c r="J461">
        <v>0.2145731196992208</v>
      </c>
      <c r="K461">
        <v>5.8798521441254046</v>
      </c>
      <c r="L461">
        <v>0.044967624413453637</v>
      </c>
      <c r="M461">
        <v>0.26980574648072181</v>
      </c>
      <c r="N461">
        <v>6.1496578906061261</v>
      </c>
      <c r="O461" t="s">
        <v>138</v>
      </c>
      <c r="P461">
        <v>0.35279112864752427</v>
      </c>
      <c r="Q461" t="s">
        <v>138</v>
      </c>
      <c r="R461">
        <v>0.01618834478884331</v>
      </c>
      <c r="S461" t="s">
        <v>139</v>
      </c>
      <c r="T461">
        <v>0.73795894687273511</v>
      </c>
      <c r="U461" t="s">
        <v>216</v>
      </c>
      <c r="V461">
        <v>0.030748289453030628</v>
      </c>
      <c r="W461" t="s">
        <v>217</v>
      </c>
      <c r="X461">
        <v>0.12299315781212251</v>
      </c>
      <c r="Y461">
        <v>7.4103377581803818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0.63300000000000001</v>
      </c>
      <c r="AK461" t="s">
        <v>218</v>
      </c>
      <c r="AM461">
        <v>200000</v>
      </c>
      <c r="AN461" t="s">
        <v>76</v>
      </c>
      <c r="AO461">
        <v>1</v>
      </c>
      <c r="AP461">
        <v>0</v>
      </c>
      <c r="AQ461">
        <v>16666.666666666668</v>
      </c>
      <c r="AR461" t="s">
        <v>9</v>
      </c>
      <c r="AS461" t="s">
        <v>78</v>
      </c>
      <c r="AX461" t="s">
        <v>79</v>
      </c>
      <c r="AY461" t="s">
        <v>137</v>
      </c>
      <c r="AZ461">
        <v>0</v>
      </c>
      <c r="BA461" t="s">
        <v>137</v>
      </c>
      <c r="BB461">
        <v>0</v>
      </c>
      <c r="BE461">
        <v>0</v>
      </c>
    </row>
    <row r="462" spans="1:58" ht="12.75">
      <c r="A462" s="2" t="str">
        <f>HYPERLINK("https://ibp.a2mac1.com/costing(costing:projects/details/8191/part/5383695)"," Busbar Assembly 2")</f>
        <v xml:space="preserve"> Busbar Assembly 2</v>
      </c>
      <c r="B462">
        <v>5383695</v>
      </c>
      <c r="C462">
        <v>5383235</v>
      </c>
      <c r="D462" t="s">
        <v>1791</v>
      </c>
      <c r="E462">
        <v>2.887555412287734</v>
      </c>
      <c r="F462">
        <v>0</v>
      </c>
      <c r="G462">
        <v>0</v>
      </c>
      <c r="H462">
        <v>0.01544517507875875</v>
      </c>
      <c r="I462" t="s">
        <v>137</v>
      </c>
      <c r="J462">
        <v>0.10683421497165142</v>
      </c>
      <c r="K462">
        <v>3.009834802338144</v>
      </c>
      <c r="L462">
        <v>0.049443939152736371</v>
      </c>
      <c r="M462">
        <v>0.29666363491641823</v>
      </c>
      <c r="N462">
        <v>3.3064984372545623</v>
      </c>
      <c r="O462" t="s">
        <v>138</v>
      </c>
      <c r="P462">
        <v>0.18059008814028865</v>
      </c>
      <c r="Q462" t="s">
        <v>138</v>
      </c>
      <c r="R462">
        <v>0.017799818094985095</v>
      </c>
      <c r="S462" t="s">
        <v>139</v>
      </c>
      <c r="T462">
        <v>0.3967798124705475</v>
      </c>
      <c r="U462" t="s">
        <v>216</v>
      </c>
      <c r="V462">
        <v>0.016532492186272812</v>
      </c>
      <c r="W462" t="s">
        <v>217</v>
      </c>
      <c r="X462">
        <v>0.06612996874509125</v>
      </c>
      <c r="Y462">
        <v>3.9843306168917478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99</v>
      </c>
      <c r="AF462">
        <v>220</v>
      </c>
      <c r="AG462">
        <v>44</v>
      </c>
      <c r="AH462">
        <v>0</v>
      </c>
      <c r="AI462">
        <v>0.26100000000000001</v>
      </c>
      <c r="AK462" t="s">
        <v>218</v>
      </c>
      <c r="AM462">
        <v>200000</v>
      </c>
      <c r="AN462" t="s">
        <v>76</v>
      </c>
      <c r="AO462">
        <v>1</v>
      </c>
      <c r="AP462">
        <v>0</v>
      </c>
      <c r="AQ462">
        <v>16666.666666666668</v>
      </c>
      <c r="AR462" t="s">
        <v>9</v>
      </c>
      <c r="AS462" t="s">
        <v>78</v>
      </c>
      <c r="AX462" t="s">
        <v>79</v>
      </c>
      <c r="AY462" t="s">
        <v>137</v>
      </c>
      <c r="AZ462">
        <v>0</v>
      </c>
      <c r="BA462" t="s">
        <v>137</v>
      </c>
      <c r="BB462">
        <v>0</v>
      </c>
      <c r="BE462">
        <v>0</v>
      </c>
    </row>
    <row r="463" spans="1:58" ht="12.75">
      <c r="A463" s="2" t="str">
        <f>HYPERLINK("https://ibp.a2mac1.com/costing(costing:projects/details/8191/part/5383971)"," HV Connector 1")</f>
        <v xml:space="preserve"> HV Connector 1</v>
      </c>
      <c r="B463">
        <v>5383971</v>
      </c>
      <c r="C463">
        <v>5383696</v>
      </c>
      <c r="D463" t="s">
        <v>1795</v>
      </c>
      <c r="E463">
        <v>3.47</v>
      </c>
      <c r="F463">
        <v>0</v>
      </c>
      <c r="G463">
        <v>0</v>
      </c>
      <c r="H463">
        <v>0</v>
      </c>
      <c r="I463" t="s">
        <v>74</v>
      </c>
      <c r="J463">
        <v>0</v>
      </c>
      <c r="K463">
        <v>3.47</v>
      </c>
      <c r="L463">
        <v>0</v>
      </c>
      <c r="M463">
        <v>0</v>
      </c>
      <c r="N463">
        <v>3.47</v>
      </c>
      <c r="O463" t="s">
        <v>74</v>
      </c>
      <c r="P463">
        <v>0</v>
      </c>
      <c r="Q463" t="s">
        <v>74</v>
      </c>
      <c r="R463">
        <v>0</v>
      </c>
      <c r="S463" t="s">
        <v>74</v>
      </c>
      <c r="T463">
        <v>0</v>
      </c>
      <c r="U463" t="s">
        <v>74</v>
      </c>
      <c r="V463">
        <v>0</v>
      </c>
      <c r="W463" t="s">
        <v>74</v>
      </c>
      <c r="X463">
        <v>0</v>
      </c>
      <c r="Y463">
        <v>3.47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63</v>
      </c>
      <c r="AF463">
        <v>104</v>
      </c>
      <c r="AG463">
        <v>35</v>
      </c>
      <c r="AH463">
        <v>0</v>
      </c>
      <c r="AI463">
        <v>0.086999999999999994</v>
      </c>
      <c r="AK463" t="s">
        <v>218</v>
      </c>
      <c r="AM463">
        <v>200000</v>
      </c>
      <c r="AN463" t="s">
        <v>76</v>
      </c>
      <c r="AO463">
        <v>1</v>
      </c>
      <c r="AP463">
        <v>0</v>
      </c>
      <c r="AQ463">
        <v>16666.666666666668</v>
      </c>
      <c r="AR463" t="s">
        <v>9</v>
      </c>
      <c r="AS463" t="s">
        <v>78</v>
      </c>
      <c r="AX463" t="s">
        <v>79</v>
      </c>
      <c r="AY463" t="s">
        <v>74</v>
      </c>
      <c r="AZ463">
        <v>0</v>
      </c>
      <c r="BA463" t="s">
        <v>74</v>
      </c>
      <c r="BB463">
        <v>0</v>
      </c>
      <c r="BD463">
        <v>3.47</v>
      </c>
      <c r="BE463">
        <v>0</v>
      </c>
    </row>
    <row r="464" spans="1:58" ht="12.75">
      <c r="A464" s="2" t="str">
        <f>HYPERLINK("https://ibp.a2mac1.com/costing(costing:projects/details/8191/part/5383697)"," DC-Link Capacitor 1")</f>
        <v xml:space="preserve"> DC-Link Capacitor 1</v>
      </c>
      <c r="B464">
        <v>5383697</v>
      </c>
      <c r="C464">
        <v>5383237</v>
      </c>
      <c r="D464" t="s">
        <v>1801</v>
      </c>
      <c r="E464">
        <v>29.95</v>
      </c>
      <c r="F464">
        <v>0</v>
      </c>
      <c r="G464">
        <v>0</v>
      </c>
      <c r="H464">
        <v>0</v>
      </c>
      <c r="I464" t="s">
        <v>74</v>
      </c>
      <c r="J464">
        <v>0</v>
      </c>
      <c r="K464">
        <v>29.95</v>
      </c>
      <c r="L464">
        <v>0</v>
      </c>
      <c r="M464">
        <v>0</v>
      </c>
      <c r="N464">
        <v>29.95</v>
      </c>
      <c r="O464" t="s">
        <v>74</v>
      </c>
      <c r="P464">
        <v>0</v>
      </c>
      <c r="Q464" t="s">
        <v>74</v>
      </c>
      <c r="R464">
        <v>0</v>
      </c>
      <c r="S464" t="s">
        <v>74</v>
      </c>
      <c r="T464">
        <v>0</v>
      </c>
      <c r="U464" t="s">
        <v>74</v>
      </c>
      <c r="V464">
        <v>0</v>
      </c>
      <c r="W464" t="s">
        <v>74</v>
      </c>
      <c r="X464">
        <v>0</v>
      </c>
      <c r="Y464">
        <v>29.95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190</v>
      </c>
      <c r="AF464">
        <v>200</v>
      </c>
      <c r="AG464">
        <v>70</v>
      </c>
      <c r="AH464">
        <v>0</v>
      </c>
      <c r="AI464">
        <v>1.1579999999999999</v>
      </c>
      <c r="AK464" t="s">
        <v>1802</v>
      </c>
      <c r="AM464">
        <v>200000</v>
      </c>
      <c r="AN464" t="s">
        <v>76</v>
      </c>
      <c r="AO464">
        <v>1</v>
      </c>
      <c r="AP464">
        <v>0</v>
      </c>
      <c r="AQ464">
        <v>16666.666666666668</v>
      </c>
      <c r="AR464" t="s">
        <v>9</v>
      </c>
      <c r="AS464" t="s">
        <v>78</v>
      </c>
      <c r="AX464" t="s">
        <v>79</v>
      </c>
      <c r="AY464" t="s">
        <v>74</v>
      </c>
      <c r="AZ464">
        <v>0</v>
      </c>
      <c r="BA464" t="s">
        <v>74</v>
      </c>
      <c r="BB464">
        <v>0</v>
      </c>
      <c r="BD464">
        <v>29.95</v>
      </c>
      <c r="BE464">
        <v>0</v>
      </c>
    </row>
    <row r="465" spans="1:58" ht="12.75">
      <c r="A465" s="2" t="str">
        <f>HYPERLINK("https://ibp.a2mac1.com/costing(costing:projects/details/8191/part/5383698)"," Ferrite 1")</f>
        <v xml:space="preserve"> Ferrite 1</v>
      </c>
      <c r="B465">
        <v>5383698</v>
      </c>
      <c r="C465">
        <v>5383238</v>
      </c>
      <c r="D465" t="s">
        <v>1805</v>
      </c>
      <c r="E465">
        <v>1.1240000000000001</v>
      </c>
      <c r="F465">
        <v>0</v>
      </c>
      <c r="G465">
        <v>0</v>
      </c>
      <c r="H465">
        <v>0</v>
      </c>
      <c r="I465" t="s">
        <v>74</v>
      </c>
      <c r="J465">
        <v>0</v>
      </c>
      <c r="K465">
        <v>1.1240000000000001</v>
      </c>
      <c r="L465">
        <v>0</v>
      </c>
      <c r="M465">
        <v>0</v>
      </c>
      <c r="N465">
        <v>1.1240000000000001</v>
      </c>
      <c r="O465" t="s">
        <v>74</v>
      </c>
      <c r="P465">
        <v>0</v>
      </c>
      <c r="Q465" t="s">
        <v>74</v>
      </c>
      <c r="R465">
        <v>0</v>
      </c>
      <c r="S465" t="s">
        <v>74</v>
      </c>
      <c r="T465">
        <v>0</v>
      </c>
      <c r="U465" t="s">
        <v>74</v>
      </c>
      <c r="V465">
        <v>0</v>
      </c>
      <c r="W465" t="s">
        <v>74</v>
      </c>
      <c r="X465">
        <v>0</v>
      </c>
      <c r="Y465">
        <v>1.1240000000000001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K465" t="s">
        <v>218</v>
      </c>
      <c r="AM465">
        <v>200000</v>
      </c>
      <c r="AN465" t="s">
        <v>76</v>
      </c>
      <c r="AO465">
        <v>1</v>
      </c>
      <c r="AP465">
        <v>0</v>
      </c>
      <c r="AQ465">
        <v>16666.666666666668</v>
      </c>
      <c r="AR465" t="s">
        <v>9</v>
      </c>
      <c r="AS465" t="s">
        <v>78</v>
      </c>
      <c r="AX465" t="s">
        <v>79</v>
      </c>
      <c r="AY465" t="s">
        <v>74</v>
      </c>
      <c r="AZ465">
        <v>0</v>
      </c>
      <c r="BA465" t="s">
        <v>74</v>
      </c>
      <c r="BB465">
        <v>0</v>
      </c>
      <c r="BD465">
        <v>1.1240000000000001</v>
      </c>
      <c r="BE465">
        <v>0</v>
      </c>
    </row>
    <row r="466" spans="1:58" ht="12.75">
      <c r="A466" s="2" t="str">
        <f>HYPERLINK("https://ibp.a2mac1.com/costing(costing:projects/details/8191/part/5383699)"," Ferrite 2")</f>
        <v xml:space="preserve"> Ferrite 2</v>
      </c>
      <c r="B466">
        <v>5383699</v>
      </c>
      <c r="C466">
        <v>5383238</v>
      </c>
      <c r="D466" t="s">
        <v>1806</v>
      </c>
      <c r="E466">
        <v>4.8869999999999996</v>
      </c>
      <c r="F466">
        <v>0</v>
      </c>
      <c r="G466">
        <v>0</v>
      </c>
      <c r="H466">
        <v>0</v>
      </c>
      <c r="I466" t="s">
        <v>74</v>
      </c>
      <c r="J466">
        <v>0</v>
      </c>
      <c r="K466">
        <v>4.8869999999999996</v>
      </c>
      <c r="L466">
        <v>0</v>
      </c>
      <c r="M466">
        <v>0</v>
      </c>
      <c r="N466">
        <v>4.8869999999999996</v>
      </c>
      <c r="O466" t="s">
        <v>74</v>
      </c>
      <c r="P466">
        <v>0</v>
      </c>
      <c r="Q466" t="s">
        <v>74</v>
      </c>
      <c r="R466">
        <v>0</v>
      </c>
      <c r="S466" t="s">
        <v>74</v>
      </c>
      <c r="T466">
        <v>0</v>
      </c>
      <c r="U466" t="s">
        <v>74</v>
      </c>
      <c r="V466">
        <v>0</v>
      </c>
      <c r="W466" t="s">
        <v>74</v>
      </c>
      <c r="X466">
        <v>0</v>
      </c>
      <c r="Y466">
        <v>4.8869999999999996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K466" t="s">
        <v>218</v>
      </c>
      <c r="AM466">
        <v>200000</v>
      </c>
      <c r="AN466" t="s">
        <v>76</v>
      </c>
      <c r="AO466">
        <v>1</v>
      </c>
      <c r="AP466">
        <v>0</v>
      </c>
      <c r="AQ466">
        <v>16666.666666666668</v>
      </c>
      <c r="AR466" t="s">
        <v>9</v>
      </c>
      <c r="AS466" t="s">
        <v>78</v>
      </c>
      <c r="AX466" t="s">
        <v>79</v>
      </c>
      <c r="AY466" t="s">
        <v>74</v>
      </c>
      <c r="AZ466">
        <v>0</v>
      </c>
      <c r="BA466" t="s">
        <v>74</v>
      </c>
      <c r="BB466">
        <v>0</v>
      </c>
      <c r="BD466">
        <v>4.8869999999999996</v>
      </c>
      <c r="BE466">
        <v>0</v>
      </c>
    </row>
    <row r="467" spans="1:58" ht="12.75">
      <c r="A467" s="2" t="str">
        <f>HYPERLINK("https://ibp.a2mac1.com/costing(costing:projects/details/8191/part/5383700)"," Power Module 1")</f>
        <v xml:space="preserve"> Power Module 1</v>
      </c>
      <c r="B467">
        <v>5383700</v>
      </c>
      <c r="C467">
        <v>5383239</v>
      </c>
      <c r="D467" t="s">
        <v>1809</v>
      </c>
      <c r="E467">
        <v>132.43</v>
      </c>
      <c r="F467">
        <v>0</v>
      </c>
      <c r="G467">
        <v>0</v>
      </c>
      <c r="H467">
        <v>0</v>
      </c>
      <c r="I467" t="s">
        <v>74</v>
      </c>
      <c r="J467">
        <v>0</v>
      </c>
      <c r="K467">
        <v>132.43</v>
      </c>
      <c r="L467">
        <v>0</v>
      </c>
      <c r="M467">
        <v>0</v>
      </c>
      <c r="N467">
        <v>132.43</v>
      </c>
      <c r="O467" t="s">
        <v>74</v>
      </c>
      <c r="P467">
        <v>0</v>
      </c>
      <c r="Q467" t="s">
        <v>74</v>
      </c>
      <c r="R467">
        <v>0</v>
      </c>
      <c r="S467" t="s">
        <v>74</v>
      </c>
      <c r="T467">
        <v>0</v>
      </c>
      <c r="U467" t="s">
        <v>74</v>
      </c>
      <c r="V467">
        <v>0</v>
      </c>
      <c r="W467" t="s">
        <v>74</v>
      </c>
      <c r="X467">
        <v>0</v>
      </c>
      <c r="Y467">
        <v>132.43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127</v>
      </c>
      <c r="AF467">
        <v>155</v>
      </c>
      <c r="AG467">
        <v>32</v>
      </c>
      <c r="AH467">
        <v>0</v>
      </c>
      <c r="AI467">
        <v>0.72599999999999998</v>
      </c>
      <c r="AK467" t="s">
        <v>1810</v>
      </c>
      <c r="AM467">
        <v>200000</v>
      </c>
      <c r="AN467" t="s">
        <v>76</v>
      </c>
      <c r="AO467">
        <v>1</v>
      </c>
      <c r="AP467">
        <v>0</v>
      </c>
      <c r="AQ467">
        <v>16666.666666666668</v>
      </c>
      <c r="AR467" t="s">
        <v>9</v>
      </c>
      <c r="AS467" t="s">
        <v>78</v>
      </c>
      <c r="AX467" t="s">
        <v>79</v>
      </c>
      <c r="AY467" t="s">
        <v>74</v>
      </c>
      <c r="AZ467">
        <v>0</v>
      </c>
      <c r="BA467" t="s">
        <v>74</v>
      </c>
      <c r="BB467">
        <v>0</v>
      </c>
      <c r="BD467">
        <v>132.43</v>
      </c>
      <c r="BE467">
        <v>0</v>
      </c>
    </row>
    <row r="468" spans="1:58" ht="12.75">
      <c r="A468" s="2" t="str">
        <f>HYPERLINK("https://ibp.a2mac1.com/costing(costing:projects/details/8191/part/5383701)"," Discharge Resistor 1")</f>
        <v xml:space="preserve"> Discharge Resistor 1</v>
      </c>
      <c r="B468">
        <v>5383701</v>
      </c>
      <c r="C468">
        <v>5383240</v>
      </c>
      <c r="D468" t="s">
        <v>1813</v>
      </c>
      <c r="E468">
        <v>2.6669999999999998</v>
      </c>
      <c r="F468">
        <v>0</v>
      </c>
      <c r="G468">
        <v>0</v>
      </c>
      <c r="H468">
        <v>0</v>
      </c>
      <c r="I468" t="s">
        <v>74</v>
      </c>
      <c r="J468">
        <v>0</v>
      </c>
      <c r="K468">
        <v>2.6669999999999998</v>
      </c>
      <c r="L468">
        <v>0</v>
      </c>
      <c r="M468">
        <v>0</v>
      </c>
      <c r="N468">
        <v>2.6669999999999998</v>
      </c>
      <c r="O468" t="s">
        <v>74</v>
      </c>
      <c r="P468">
        <v>0</v>
      </c>
      <c r="Q468" t="s">
        <v>74</v>
      </c>
      <c r="R468">
        <v>0</v>
      </c>
      <c r="S468" t="s">
        <v>74</v>
      </c>
      <c r="T468">
        <v>0</v>
      </c>
      <c r="U468" t="s">
        <v>74</v>
      </c>
      <c r="V468">
        <v>0</v>
      </c>
      <c r="W468" t="s">
        <v>74</v>
      </c>
      <c r="X468">
        <v>0</v>
      </c>
      <c r="Y468">
        <v>2.6669999999999998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17</v>
      </c>
      <c r="AF468">
        <v>35</v>
      </c>
      <c r="AG468">
        <v>13</v>
      </c>
      <c r="AH468">
        <v>0</v>
      </c>
      <c r="AI468">
        <v>0.0060000000000000001</v>
      </c>
      <c r="AK468" t="s">
        <v>218</v>
      </c>
      <c r="AM468">
        <v>200000</v>
      </c>
      <c r="AN468" t="s">
        <v>76</v>
      </c>
      <c r="AO468">
        <v>1</v>
      </c>
      <c r="AP468">
        <v>0</v>
      </c>
      <c r="AQ468">
        <v>16666.666666666668</v>
      </c>
      <c r="AR468" t="s">
        <v>9</v>
      </c>
      <c r="AS468" t="s">
        <v>78</v>
      </c>
      <c r="AX468" t="s">
        <v>79</v>
      </c>
      <c r="AY468" t="s">
        <v>74</v>
      </c>
      <c r="AZ468">
        <v>0</v>
      </c>
      <c r="BA468" t="s">
        <v>74</v>
      </c>
      <c r="BB468">
        <v>0</v>
      </c>
      <c r="BD468">
        <v>2.6669999999999998</v>
      </c>
      <c r="BE468">
        <v>0</v>
      </c>
    </row>
    <row r="469" spans="1:58" ht="12.75">
      <c r="A469" s="2" t="str">
        <f>HYPERLINK("https://ibp.a2mac1.com/costing(costing:projects/details/8191/part/5383241)"," PCB 1")</f>
        <v xml:space="preserve"> PCB 1</v>
      </c>
      <c r="B469">
        <v>5383241</v>
      </c>
      <c r="C469">
        <v>5382994</v>
      </c>
      <c r="D469" t="s">
        <v>1817</v>
      </c>
      <c r="E469">
        <v>35.74</v>
      </c>
      <c r="F469">
        <v>0</v>
      </c>
      <c r="G469">
        <v>0</v>
      </c>
      <c r="H469">
        <v>0</v>
      </c>
      <c r="I469" t="s">
        <v>74</v>
      </c>
      <c r="J469">
        <v>0</v>
      </c>
      <c r="K469">
        <v>35.74</v>
      </c>
      <c r="L469">
        <v>0</v>
      </c>
      <c r="M469">
        <v>0</v>
      </c>
      <c r="N469">
        <v>35.74</v>
      </c>
      <c r="O469" t="s">
        <v>74</v>
      </c>
      <c r="P469">
        <v>0</v>
      </c>
      <c r="Q469" t="s">
        <v>74</v>
      </c>
      <c r="R469">
        <v>0</v>
      </c>
      <c r="S469" t="s">
        <v>74</v>
      </c>
      <c r="T469">
        <v>0</v>
      </c>
      <c r="U469" t="s">
        <v>74</v>
      </c>
      <c r="V469">
        <v>0</v>
      </c>
      <c r="W469" t="s">
        <v>74</v>
      </c>
      <c r="X469">
        <v>0</v>
      </c>
      <c r="Y469">
        <v>35.74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240</v>
      </c>
      <c r="AF469">
        <v>300</v>
      </c>
      <c r="AG469">
        <v>70</v>
      </c>
      <c r="AH469">
        <v>0</v>
      </c>
      <c r="AI469">
        <v>0.22800000000000001</v>
      </c>
      <c r="AK469" t="s">
        <v>218</v>
      </c>
      <c r="AM469">
        <v>200000</v>
      </c>
      <c r="AN469" t="s">
        <v>76</v>
      </c>
      <c r="AO469">
        <v>1</v>
      </c>
      <c r="AP469">
        <v>0</v>
      </c>
      <c r="AQ469">
        <v>16666.666666666668</v>
      </c>
      <c r="AR469" t="s">
        <v>9</v>
      </c>
      <c r="AS469" t="s">
        <v>78</v>
      </c>
      <c r="AX469" t="s">
        <v>79</v>
      </c>
      <c r="AY469" t="s">
        <v>74</v>
      </c>
      <c r="AZ469">
        <v>0</v>
      </c>
      <c r="BA469" t="s">
        <v>74</v>
      </c>
      <c r="BB469">
        <v>0</v>
      </c>
      <c r="BD469">
        <v>35.74</v>
      </c>
      <c r="BE469">
        <v>0</v>
      </c>
    </row>
    <row r="470" spans="1:58" ht="12.75">
      <c r="A470" s="2" t="str">
        <f>HYPERLINK("https://ibp.a2mac1.com/costing(costing:projects/details/8191/part/5383242)"," PCB 2")</f>
        <v xml:space="preserve"> PCB 2</v>
      </c>
      <c r="B470">
        <v>5383242</v>
      </c>
      <c r="C470">
        <v>5382994</v>
      </c>
      <c r="D470" t="s">
        <v>1818</v>
      </c>
      <c r="E470">
        <v>32.53</v>
      </c>
      <c r="F470">
        <v>0</v>
      </c>
      <c r="G470">
        <v>0</v>
      </c>
      <c r="H470">
        <v>0</v>
      </c>
      <c r="I470" t="s">
        <v>74</v>
      </c>
      <c r="J470">
        <v>0</v>
      </c>
      <c r="K470">
        <v>32.53</v>
      </c>
      <c r="L470">
        <v>0</v>
      </c>
      <c r="M470">
        <v>0</v>
      </c>
      <c r="N470">
        <v>32.53</v>
      </c>
      <c r="O470" t="s">
        <v>74</v>
      </c>
      <c r="P470">
        <v>0</v>
      </c>
      <c r="Q470" t="s">
        <v>74</v>
      </c>
      <c r="R470">
        <v>0</v>
      </c>
      <c r="S470" t="s">
        <v>74</v>
      </c>
      <c r="T470">
        <v>0</v>
      </c>
      <c r="U470" t="s">
        <v>74</v>
      </c>
      <c r="V470">
        <v>0</v>
      </c>
      <c r="W470" t="s">
        <v>74</v>
      </c>
      <c r="X470">
        <v>0</v>
      </c>
      <c r="Y470">
        <v>32.53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140</v>
      </c>
      <c r="AF470">
        <v>230</v>
      </c>
      <c r="AG470">
        <v>20</v>
      </c>
      <c r="AH470">
        <v>0</v>
      </c>
      <c r="AI470">
        <v>0.17199999999999999</v>
      </c>
      <c r="AK470" t="s">
        <v>218</v>
      </c>
      <c r="AM470">
        <v>200000</v>
      </c>
      <c r="AN470" t="s">
        <v>76</v>
      </c>
      <c r="AO470">
        <v>1</v>
      </c>
      <c r="AP470">
        <v>0</v>
      </c>
      <c r="AQ470">
        <v>16666.666666666668</v>
      </c>
      <c r="AR470" t="s">
        <v>9</v>
      </c>
      <c r="AS470" t="s">
        <v>78</v>
      </c>
      <c r="AX470" t="s">
        <v>79</v>
      </c>
      <c r="AY470" t="s">
        <v>74</v>
      </c>
      <c r="AZ470">
        <v>0</v>
      </c>
      <c r="BA470" t="s">
        <v>74</v>
      </c>
      <c r="BB470">
        <v>0</v>
      </c>
      <c r="BD470">
        <v>32.53</v>
      </c>
      <c r="BE470">
        <v>0</v>
      </c>
    </row>
    <row r="471" spans="1:58" ht="12.75">
      <c r="A471" s="2" t="str">
        <f>HYPERLINK("https://ibp.a2mac1.com/costing(costing:projects/details/8191/part/5383243)"," PCB 3")</f>
        <v xml:space="preserve"> PCB 3</v>
      </c>
      <c r="B471">
        <v>5383243</v>
      </c>
      <c r="C471">
        <v>5382994</v>
      </c>
      <c r="D471" t="s">
        <v>1819</v>
      </c>
      <c r="E471">
        <v>5.12</v>
      </c>
      <c r="F471">
        <v>0</v>
      </c>
      <c r="G471">
        <v>0</v>
      </c>
      <c r="H471">
        <v>0</v>
      </c>
      <c r="I471" t="s">
        <v>74</v>
      </c>
      <c r="J471">
        <v>0</v>
      </c>
      <c r="K471">
        <v>5.12</v>
      </c>
      <c r="L471">
        <v>0</v>
      </c>
      <c r="M471">
        <v>0</v>
      </c>
      <c r="N471">
        <v>5.12</v>
      </c>
      <c r="O471" t="s">
        <v>74</v>
      </c>
      <c r="P471">
        <v>0</v>
      </c>
      <c r="Q471" t="s">
        <v>74</v>
      </c>
      <c r="R471">
        <v>0</v>
      </c>
      <c r="S471" t="s">
        <v>74</v>
      </c>
      <c r="T471">
        <v>0</v>
      </c>
      <c r="U471" t="s">
        <v>74</v>
      </c>
      <c r="V471">
        <v>0</v>
      </c>
      <c r="W471" t="s">
        <v>74</v>
      </c>
      <c r="X471">
        <v>0</v>
      </c>
      <c r="Y471">
        <v>5.12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100</v>
      </c>
      <c r="AF471">
        <v>127</v>
      </c>
      <c r="AG471">
        <v>32</v>
      </c>
      <c r="AH471">
        <v>0</v>
      </c>
      <c r="AI471">
        <v>0.112</v>
      </c>
      <c r="AK471" t="s">
        <v>218</v>
      </c>
      <c r="AM471">
        <v>200000</v>
      </c>
      <c r="AN471" t="s">
        <v>76</v>
      </c>
      <c r="AO471">
        <v>1</v>
      </c>
      <c r="AP471">
        <v>0</v>
      </c>
      <c r="AQ471">
        <v>16666.666666666668</v>
      </c>
      <c r="AR471" t="s">
        <v>9</v>
      </c>
      <c r="AS471" t="s">
        <v>78</v>
      </c>
      <c r="AX471" t="s">
        <v>79</v>
      </c>
      <c r="AY471" t="s">
        <v>74</v>
      </c>
      <c r="AZ471">
        <v>0</v>
      </c>
      <c r="BA471" t="s">
        <v>74</v>
      </c>
      <c r="BB471">
        <v>0</v>
      </c>
      <c r="BD471">
        <v>5.12</v>
      </c>
      <c r="BE471">
        <v>0</v>
      </c>
    </row>
    <row r="472" spans="1:58" ht="12.75">
      <c r="A472" s="2" t="str">
        <f>HYPERLINK("https://ibp.a2mac1.com/costing(costing:projects/details/8191/part/5383702)"," PCB Cover 1")</f>
        <v xml:space="preserve"> PCB Cover 1</v>
      </c>
      <c r="B472">
        <v>5383702</v>
      </c>
      <c r="C472">
        <v>5383244</v>
      </c>
      <c r="D472" t="s">
        <v>1823</v>
      </c>
      <c r="E472">
        <v>0.221</v>
      </c>
      <c r="F472">
        <v>0</v>
      </c>
      <c r="G472">
        <v>0</v>
      </c>
      <c r="H472">
        <v>0</v>
      </c>
      <c r="I472" t="s">
        <v>74</v>
      </c>
      <c r="J472">
        <v>0</v>
      </c>
      <c r="K472">
        <v>0.221</v>
      </c>
      <c r="L472">
        <v>0</v>
      </c>
      <c r="M472">
        <v>0</v>
      </c>
      <c r="N472">
        <v>0.221</v>
      </c>
      <c r="O472" t="s">
        <v>74</v>
      </c>
      <c r="P472">
        <v>0</v>
      </c>
      <c r="Q472" t="s">
        <v>74</v>
      </c>
      <c r="R472">
        <v>0</v>
      </c>
      <c r="S472" t="s">
        <v>74</v>
      </c>
      <c r="T472">
        <v>0</v>
      </c>
      <c r="U472" t="s">
        <v>74</v>
      </c>
      <c r="V472">
        <v>0</v>
      </c>
      <c r="W472" t="s">
        <v>74</v>
      </c>
      <c r="X472">
        <v>0</v>
      </c>
      <c r="Y472">
        <v>0.221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100</v>
      </c>
      <c r="AF472">
        <v>85</v>
      </c>
      <c r="AG472">
        <v>23</v>
      </c>
      <c r="AH472">
        <v>0</v>
      </c>
      <c r="AI472">
        <v>0.025999999999999999</v>
      </c>
      <c r="AK472" t="s">
        <v>218</v>
      </c>
      <c r="AM472">
        <v>200000</v>
      </c>
      <c r="AN472" t="s">
        <v>76</v>
      </c>
      <c r="AO472">
        <v>1</v>
      </c>
      <c r="AP472">
        <v>0</v>
      </c>
      <c r="AQ472">
        <v>16666.666666666668</v>
      </c>
      <c r="AR472" t="s">
        <v>9</v>
      </c>
      <c r="AS472" t="s">
        <v>78</v>
      </c>
      <c r="AX472" t="s">
        <v>79</v>
      </c>
      <c r="AY472" t="s">
        <v>74</v>
      </c>
      <c r="AZ472">
        <v>0</v>
      </c>
      <c r="BA472" t="s">
        <v>74</v>
      </c>
      <c r="BB472">
        <v>0</v>
      </c>
      <c r="BD472">
        <v>0.221</v>
      </c>
      <c r="BE472">
        <v>0</v>
      </c>
    </row>
    <row r="473" spans="1:58" ht="12.75">
      <c r="A473" s="2" t="str">
        <f>HYPERLINK("https://ibp.a2mac1.com/costing(costing:projects/details/8191/part/5383703)"," Current Sensor Protection on PCB")</f>
        <v xml:space="preserve"> Current Sensor Protection on PCB</v>
      </c>
      <c r="B473">
        <v>5383703</v>
      </c>
      <c r="C473">
        <v>5383244</v>
      </c>
      <c r="D473" t="s">
        <v>1824</v>
      </c>
      <c r="E473">
        <v>0.042000000000000003</v>
      </c>
      <c r="F473">
        <v>0</v>
      </c>
      <c r="G473">
        <v>0</v>
      </c>
      <c r="H473">
        <v>0</v>
      </c>
      <c r="I473" t="s">
        <v>74</v>
      </c>
      <c r="J473">
        <v>0</v>
      </c>
      <c r="K473">
        <v>0.042000000000000003</v>
      </c>
      <c r="L473">
        <v>0</v>
      </c>
      <c r="M473">
        <v>0</v>
      </c>
      <c r="N473">
        <v>0.042000000000000003</v>
      </c>
      <c r="O473" t="s">
        <v>74</v>
      </c>
      <c r="P473">
        <v>0</v>
      </c>
      <c r="Q473" t="s">
        <v>74</v>
      </c>
      <c r="R473">
        <v>0</v>
      </c>
      <c r="S473" t="s">
        <v>74</v>
      </c>
      <c r="T473">
        <v>0</v>
      </c>
      <c r="U473" t="s">
        <v>74</v>
      </c>
      <c r="V473">
        <v>0</v>
      </c>
      <c r="W473" t="s">
        <v>74</v>
      </c>
      <c r="X473">
        <v>0</v>
      </c>
      <c r="Y473">
        <v>0.042000000000000003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110</v>
      </c>
      <c r="AG473">
        <v>10</v>
      </c>
      <c r="AH473">
        <v>0</v>
      </c>
      <c r="AI473">
        <v>0.0030000000000000001</v>
      </c>
      <c r="AK473" t="s">
        <v>218</v>
      </c>
      <c r="AM473">
        <v>200000</v>
      </c>
      <c r="AN473" t="s">
        <v>76</v>
      </c>
      <c r="AO473">
        <v>1</v>
      </c>
      <c r="AP473">
        <v>0</v>
      </c>
      <c r="AQ473">
        <v>16666.666666666668</v>
      </c>
      <c r="AR473" t="s">
        <v>9</v>
      </c>
      <c r="AS473" t="s">
        <v>78</v>
      </c>
      <c r="AX473" t="s">
        <v>79</v>
      </c>
      <c r="AY473" t="s">
        <v>74</v>
      </c>
      <c r="AZ473">
        <v>0</v>
      </c>
      <c r="BA473" t="s">
        <v>74</v>
      </c>
      <c r="BB473">
        <v>0</v>
      </c>
      <c r="BD473">
        <v>0.042000000000000003</v>
      </c>
      <c r="BE473">
        <v>0</v>
      </c>
    </row>
    <row r="474" spans="1:58" ht="12.75">
      <c r="A474" s="2" t="str">
        <f>HYPERLINK("https://ibp.a2mac1.com/costing(costing:projects/details/8191/part/5383704)"," Main Housing")</f>
        <v xml:space="preserve"> Main Housing</v>
      </c>
      <c r="B474">
        <v>5383704</v>
      </c>
      <c r="C474">
        <v>5383245</v>
      </c>
      <c r="D474" t="s">
        <v>1831</v>
      </c>
      <c r="E474">
        <v>5.9909350494923856</v>
      </c>
      <c r="F474">
        <v>0</v>
      </c>
      <c r="G474">
        <v>0</v>
      </c>
      <c r="H474">
        <v>0.030543205390862943</v>
      </c>
      <c r="I474" t="s">
        <v>137</v>
      </c>
      <c r="J474">
        <v>0.21126723096446701</v>
      </c>
      <c r="K474">
        <v>6.2327454858477154</v>
      </c>
      <c r="L474">
        <v>2.3428606881649978</v>
      </c>
      <c r="M474">
        <v>14.057164128989987</v>
      </c>
      <c r="N474">
        <v>20.289909614837704</v>
      </c>
      <c r="O474" t="s">
        <v>138</v>
      </c>
      <c r="P474">
        <v>0.37396472915086293</v>
      </c>
      <c r="Q474" t="s">
        <v>138</v>
      </c>
      <c r="R474">
        <v>0.84342984773939922</v>
      </c>
      <c r="S474" t="s">
        <v>139</v>
      </c>
      <c r="T474">
        <v>2.4347891537805242</v>
      </c>
      <c r="U474" t="s">
        <v>216</v>
      </c>
      <c r="V474">
        <v>0.10144954807418852</v>
      </c>
      <c r="W474" t="s">
        <v>217</v>
      </c>
      <c r="X474">
        <v>0.40579819229675407</v>
      </c>
      <c r="Y474">
        <v>24.449341085879432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390</v>
      </c>
      <c r="AF474">
        <v>350</v>
      </c>
      <c r="AG474">
        <v>110</v>
      </c>
      <c r="AH474">
        <v>0</v>
      </c>
      <c r="AI474">
        <v>2.425</v>
      </c>
      <c r="AK474" t="s">
        <v>218</v>
      </c>
      <c r="AM474">
        <v>200000</v>
      </c>
      <c r="AN474" t="s">
        <v>76</v>
      </c>
      <c r="AO474">
        <v>1</v>
      </c>
      <c r="AP474">
        <v>0</v>
      </c>
      <c r="AQ474">
        <v>16666.666666666668</v>
      </c>
      <c r="AR474" t="s">
        <v>9</v>
      </c>
      <c r="AS474" t="s">
        <v>78</v>
      </c>
      <c r="AX474" t="s">
        <v>79</v>
      </c>
      <c r="AY474" t="s">
        <v>137</v>
      </c>
      <c r="AZ474">
        <v>0</v>
      </c>
      <c r="BA474" t="s">
        <v>137</v>
      </c>
      <c r="BB474">
        <v>0</v>
      </c>
      <c r="BE474">
        <v>0</v>
      </c>
    </row>
    <row r="475" spans="1:58" ht="12.75">
      <c r="A475" s="2" t="str">
        <f>HYPERLINK("https://ibp.a2mac1.com/costing(costing:projects/details/8191/part/5383705)"," Top Lid")</f>
        <v xml:space="preserve"> Top Lid</v>
      </c>
      <c r="B475">
        <v>5383705</v>
      </c>
      <c r="C475">
        <v>5383245</v>
      </c>
      <c r="D475" t="s">
        <v>1836</v>
      </c>
      <c r="E475">
        <v>2.9756577276674259</v>
      </c>
      <c r="F475">
        <v>0</v>
      </c>
      <c r="G475">
        <v>0</v>
      </c>
      <c r="H475">
        <v>0.015628843784510252</v>
      </c>
      <c r="I475" t="s">
        <v>137</v>
      </c>
      <c r="J475">
        <v>0.1081046506833713</v>
      </c>
      <c r="K475">
        <v>3.0993912221353077</v>
      </c>
      <c r="L475">
        <v>0.03524321653334362</v>
      </c>
      <c r="M475">
        <v>0.21145929920006173</v>
      </c>
      <c r="N475">
        <v>3.3108505213353694</v>
      </c>
      <c r="O475" t="s">
        <v>138</v>
      </c>
      <c r="P475">
        <v>0.18596347332811844</v>
      </c>
      <c r="Q475" t="s">
        <v>138</v>
      </c>
      <c r="R475">
        <v>0.012687557952003704</v>
      </c>
      <c r="S475" t="s">
        <v>139</v>
      </c>
      <c r="T475">
        <v>0.39730206256024431</v>
      </c>
      <c r="U475" t="s">
        <v>216</v>
      </c>
      <c r="V475">
        <v>0.016554252606676846</v>
      </c>
      <c r="W475" t="s">
        <v>217</v>
      </c>
      <c r="X475">
        <v>0.066217010426707384</v>
      </c>
      <c r="Y475">
        <v>3.9895748782091198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370</v>
      </c>
      <c r="AF475">
        <v>310</v>
      </c>
      <c r="AG475">
        <v>4</v>
      </c>
      <c r="AH475">
        <v>0</v>
      </c>
      <c r="AI475">
        <v>0.77800000000000002</v>
      </c>
      <c r="AK475" t="s">
        <v>218</v>
      </c>
      <c r="AM475">
        <v>200000</v>
      </c>
      <c r="AN475" t="s">
        <v>76</v>
      </c>
      <c r="AO475">
        <v>1</v>
      </c>
      <c r="AP475">
        <v>0</v>
      </c>
      <c r="AQ475">
        <v>16666.666666666668</v>
      </c>
      <c r="AR475" t="s">
        <v>9</v>
      </c>
      <c r="AS475" t="s">
        <v>78</v>
      </c>
      <c r="AX475" t="s">
        <v>79</v>
      </c>
      <c r="AY475" t="s">
        <v>137</v>
      </c>
      <c r="AZ475">
        <v>0</v>
      </c>
      <c r="BA475" t="s">
        <v>137</v>
      </c>
      <c r="BB475">
        <v>0</v>
      </c>
      <c r="BE475">
        <v>0</v>
      </c>
    </row>
    <row r="476" spans="1:58" ht="12.75">
      <c r="A476" s="2" t="str">
        <f>HYPERLINK("https://ibp.a2mac1.com/costing(costing:projects/details/8191/part/5383706)"," Coolant Channel Bottom/Single")</f>
        <v xml:space="preserve"> Coolant Channel Bottom/Single</v>
      </c>
      <c r="B476">
        <v>5383706</v>
      </c>
      <c r="C476">
        <v>5383245</v>
      </c>
      <c r="D476" t="s">
        <v>1841</v>
      </c>
      <c r="E476">
        <v>0.8770234814720812</v>
      </c>
      <c r="F476">
        <v>0</v>
      </c>
      <c r="G476">
        <v>0</v>
      </c>
      <c r="H476">
        <v>0.0044712733664974622</v>
      </c>
      <c r="I476" t="s">
        <v>137</v>
      </c>
      <c r="J476">
        <v>0.030927780203045686</v>
      </c>
      <c r="K476">
        <v>0.91242253504162441</v>
      </c>
      <c r="L476">
        <v>0.42113240511916866</v>
      </c>
      <c r="M476">
        <v>2.5267944307150119</v>
      </c>
      <c r="N476">
        <v>3.4392169657566365</v>
      </c>
      <c r="O476" t="s">
        <v>138</v>
      </c>
      <c r="P476">
        <v>0.054745352102497459</v>
      </c>
      <c r="Q476" t="s">
        <v>138</v>
      </c>
      <c r="R476">
        <v>0.15160766584290072</v>
      </c>
      <c r="S476" t="s">
        <v>139</v>
      </c>
      <c r="T476">
        <v>0.41270603589079635</v>
      </c>
      <c r="U476" t="s">
        <v>216</v>
      </c>
      <c r="V476">
        <v>0.017196084828783181</v>
      </c>
      <c r="W476" t="s">
        <v>217</v>
      </c>
      <c r="X476">
        <v>0.068784339315132725</v>
      </c>
      <c r="Y476">
        <v>4.1442564437367464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130</v>
      </c>
      <c r="AF476">
        <v>230</v>
      </c>
      <c r="AG476">
        <v>16</v>
      </c>
      <c r="AH476">
        <v>0</v>
      </c>
      <c r="AI476">
        <v>0.355</v>
      </c>
      <c r="AK476" t="s">
        <v>218</v>
      </c>
      <c r="AM476">
        <v>200000</v>
      </c>
      <c r="AN476" t="s">
        <v>76</v>
      </c>
      <c r="AO476">
        <v>1</v>
      </c>
      <c r="AP476">
        <v>0</v>
      </c>
      <c r="AQ476">
        <v>16666.666666666668</v>
      </c>
      <c r="AR476" t="s">
        <v>9</v>
      </c>
      <c r="AS476" t="s">
        <v>78</v>
      </c>
      <c r="AX476" t="s">
        <v>79</v>
      </c>
      <c r="AY476" t="s">
        <v>137</v>
      </c>
      <c r="AZ476">
        <v>0</v>
      </c>
      <c r="BA476" t="s">
        <v>137</v>
      </c>
      <c r="BB476">
        <v>0</v>
      </c>
      <c r="BE476">
        <v>0</v>
      </c>
    </row>
    <row r="477" spans="1:58" ht="12.75">
      <c r="A477" s="2" t="str">
        <f>HYPERLINK("https://ibp.a2mac1.com/costing(costing:projects/details/8191/part/5383707)"," Bracket 1")</f>
        <v xml:space="preserve"> Bracket 1</v>
      </c>
      <c r="B477">
        <v>5383707</v>
      </c>
      <c r="C477">
        <v>5383245</v>
      </c>
      <c r="D477" t="s">
        <v>1842</v>
      </c>
      <c r="E477">
        <v>3.5760000000000001</v>
      </c>
      <c r="F477">
        <v>0</v>
      </c>
      <c r="G477">
        <v>0</v>
      </c>
      <c r="H477">
        <v>0</v>
      </c>
      <c r="I477" t="s">
        <v>74</v>
      </c>
      <c r="J477">
        <v>0</v>
      </c>
      <c r="K477">
        <v>3.5760000000000001</v>
      </c>
      <c r="L477">
        <v>0</v>
      </c>
      <c r="M477">
        <v>0</v>
      </c>
      <c r="N477">
        <v>3.5760000000000001</v>
      </c>
      <c r="O477" t="s">
        <v>74</v>
      </c>
      <c r="P477">
        <v>0</v>
      </c>
      <c r="Q477" t="s">
        <v>74</v>
      </c>
      <c r="R477">
        <v>0</v>
      </c>
      <c r="S477" t="s">
        <v>74</v>
      </c>
      <c r="T477">
        <v>0</v>
      </c>
      <c r="U477" t="s">
        <v>74</v>
      </c>
      <c r="V477">
        <v>0</v>
      </c>
      <c r="W477" t="s">
        <v>74</v>
      </c>
      <c r="X477">
        <v>0</v>
      </c>
      <c r="Y477">
        <v>3.5760000000000001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330</v>
      </c>
      <c r="AF477">
        <v>260</v>
      </c>
      <c r="AG477">
        <v>22</v>
      </c>
      <c r="AH477">
        <v>0</v>
      </c>
      <c r="AI477">
        <v>0.55</v>
      </c>
      <c r="AK477" t="s">
        <v>218</v>
      </c>
      <c r="AM477">
        <v>200000</v>
      </c>
      <c r="AN477" t="s">
        <v>76</v>
      </c>
      <c r="AO477">
        <v>1</v>
      </c>
      <c r="AP477">
        <v>0</v>
      </c>
      <c r="AQ477">
        <v>16666.666666666668</v>
      </c>
      <c r="AR477" t="s">
        <v>9</v>
      </c>
      <c r="AS477" t="s">
        <v>78</v>
      </c>
      <c r="AX477" t="s">
        <v>79</v>
      </c>
      <c r="AY477" t="s">
        <v>74</v>
      </c>
      <c r="AZ477">
        <v>0</v>
      </c>
      <c r="BA477" t="s">
        <v>74</v>
      </c>
      <c r="BB477">
        <v>0</v>
      </c>
      <c r="BD477">
        <v>3.5760000000000001</v>
      </c>
      <c r="BE477">
        <v>0</v>
      </c>
    </row>
    <row r="478" spans="1:58" ht="12.75">
      <c r="A478" s="2" t="str">
        <f>HYPERLINK("https://ibp.a2mac1.com/costing(costing:projects/details/8191/part/5383708)"," Pressure Vent 1")</f>
        <v xml:space="preserve"> Pressure Vent 1</v>
      </c>
      <c r="B478">
        <v>5383708</v>
      </c>
      <c r="C478">
        <v>5383246</v>
      </c>
      <c r="D478" t="s">
        <v>1845</v>
      </c>
      <c r="E478">
        <v>0.39100000000000001</v>
      </c>
      <c r="F478">
        <v>0</v>
      </c>
      <c r="G478">
        <v>0</v>
      </c>
      <c r="H478">
        <v>0</v>
      </c>
      <c r="I478" t="s">
        <v>74</v>
      </c>
      <c r="J478">
        <v>0</v>
      </c>
      <c r="K478">
        <v>0.39100000000000001</v>
      </c>
      <c r="L478">
        <v>0</v>
      </c>
      <c r="M478">
        <v>0</v>
      </c>
      <c r="N478">
        <v>0.39100000000000001</v>
      </c>
      <c r="O478" t="s">
        <v>74</v>
      </c>
      <c r="P478">
        <v>0</v>
      </c>
      <c r="Q478" t="s">
        <v>74</v>
      </c>
      <c r="R478">
        <v>0</v>
      </c>
      <c r="S478" t="s">
        <v>74</v>
      </c>
      <c r="T478">
        <v>0</v>
      </c>
      <c r="U478" t="s">
        <v>74</v>
      </c>
      <c r="V478">
        <v>0</v>
      </c>
      <c r="W478" t="s">
        <v>74</v>
      </c>
      <c r="X478">
        <v>0</v>
      </c>
      <c r="Y478">
        <v>0.39100000000000001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17</v>
      </c>
      <c r="AF478">
        <v>17</v>
      </c>
      <c r="AG478">
        <v>13</v>
      </c>
      <c r="AH478">
        <v>0</v>
      </c>
      <c r="AI478">
        <v>0.001</v>
      </c>
      <c r="AK478" t="s">
        <v>218</v>
      </c>
      <c r="AM478">
        <v>200000</v>
      </c>
      <c r="AN478" t="s">
        <v>76</v>
      </c>
      <c r="AO478">
        <v>1</v>
      </c>
      <c r="AP478">
        <v>0</v>
      </c>
      <c r="AQ478">
        <v>16666.666666666668</v>
      </c>
      <c r="AR478" t="s">
        <v>9</v>
      </c>
      <c r="AS478" t="s">
        <v>78</v>
      </c>
      <c r="AX478" t="s">
        <v>79</v>
      </c>
      <c r="AY478" t="s">
        <v>74</v>
      </c>
      <c r="AZ478">
        <v>0</v>
      </c>
      <c r="BA478" t="s">
        <v>74</v>
      </c>
      <c r="BB478">
        <v>0</v>
      </c>
      <c r="BD478">
        <v>0.39100000000000001</v>
      </c>
      <c r="BE478">
        <v>0</v>
      </c>
    </row>
    <row r="479" spans="1:58" ht="12.75">
      <c r="A479" s="2" t="str">
        <f>HYPERLINK("https://ibp.a2mac1.com/costing(costing:projects/details/8191/part/5383709)"," EMI Shield 1")</f>
        <v xml:space="preserve"> EMI Shield 1</v>
      </c>
      <c r="B479">
        <v>5383709</v>
      </c>
      <c r="C479">
        <v>5383247</v>
      </c>
      <c r="D479" t="s">
        <v>1848</v>
      </c>
      <c r="E479">
        <v>0.126</v>
      </c>
      <c r="F479">
        <v>0</v>
      </c>
      <c r="G479">
        <v>0</v>
      </c>
      <c r="H479">
        <v>0</v>
      </c>
      <c r="I479" t="s">
        <v>74</v>
      </c>
      <c r="J479">
        <v>0</v>
      </c>
      <c r="K479">
        <v>0.126</v>
      </c>
      <c r="L479">
        <v>0</v>
      </c>
      <c r="M479">
        <v>0</v>
      </c>
      <c r="N479">
        <v>0.126</v>
      </c>
      <c r="O479" t="s">
        <v>74</v>
      </c>
      <c r="P479">
        <v>0</v>
      </c>
      <c r="Q479" t="s">
        <v>74</v>
      </c>
      <c r="R479">
        <v>0</v>
      </c>
      <c r="S479" t="s">
        <v>74</v>
      </c>
      <c r="T479">
        <v>0</v>
      </c>
      <c r="U479" t="s">
        <v>74</v>
      </c>
      <c r="V479">
        <v>0</v>
      </c>
      <c r="W479" t="s">
        <v>74</v>
      </c>
      <c r="X479">
        <v>0</v>
      </c>
      <c r="Y479">
        <v>0.126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129</v>
      </c>
      <c r="AF479">
        <v>108</v>
      </c>
      <c r="AG479">
        <v>4</v>
      </c>
      <c r="AH479">
        <v>0</v>
      </c>
      <c r="AI479">
        <v>0.09</v>
      </c>
      <c r="AK479" t="s">
        <v>218</v>
      </c>
      <c r="AM479">
        <v>200000</v>
      </c>
      <c r="AN479" t="s">
        <v>76</v>
      </c>
      <c r="AO479">
        <v>1</v>
      </c>
      <c r="AP479">
        <v>0</v>
      </c>
      <c r="AQ479">
        <v>16666.666666666668</v>
      </c>
      <c r="AR479" t="s">
        <v>9</v>
      </c>
      <c r="AS479" t="s">
        <v>78</v>
      </c>
      <c r="AX479" t="s">
        <v>79</v>
      </c>
      <c r="AY479" t="s">
        <v>74</v>
      </c>
      <c r="AZ479">
        <v>0</v>
      </c>
      <c r="BA479" t="s">
        <v>74</v>
      </c>
      <c r="BB479">
        <v>0</v>
      </c>
      <c r="BD479">
        <v>0.126</v>
      </c>
      <c r="BE479">
        <v>0</v>
      </c>
    </row>
    <row r="480" spans="1:58" ht="12.75">
      <c r="A480" s="2" t="str">
        <f>HYPERLINK("https://ibp.a2mac1.com/costing(costing:projects/details/8191/part/5383710)","Adhesive Pad 1")</f>
        <v>Adhesive Pad 1</v>
      </c>
      <c r="B480">
        <v>5383710</v>
      </c>
      <c r="C480">
        <v>5383248</v>
      </c>
      <c r="D480" t="s">
        <v>1851</v>
      </c>
      <c r="E480">
        <v>0.42</v>
      </c>
      <c r="F480">
        <v>0</v>
      </c>
      <c r="G480">
        <v>0</v>
      </c>
      <c r="H480">
        <v>0</v>
      </c>
      <c r="I480" t="s">
        <v>74</v>
      </c>
      <c r="J480">
        <v>0</v>
      </c>
      <c r="K480">
        <v>0.42</v>
      </c>
      <c r="L480">
        <v>0</v>
      </c>
      <c r="M480">
        <v>0</v>
      </c>
      <c r="N480">
        <v>0.42</v>
      </c>
      <c r="O480" t="s">
        <v>74</v>
      </c>
      <c r="P480">
        <v>0</v>
      </c>
      <c r="Q480" t="s">
        <v>74</v>
      </c>
      <c r="R480">
        <v>0</v>
      </c>
      <c r="S480" t="s">
        <v>74</v>
      </c>
      <c r="T480">
        <v>0</v>
      </c>
      <c r="U480" t="s">
        <v>74</v>
      </c>
      <c r="V480">
        <v>0</v>
      </c>
      <c r="W480" t="s">
        <v>74</v>
      </c>
      <c r="X480">
        <v>0</v>
      </c>
      <c r="Y480">
        <v>0.42</v>
      </c>
      <c r="Z480">
        <v>0</v>
      </c>
      <c r="AA480">
        <v>0</v>
      </c>
      <c r="AB480">
        <v>0</v>
      </c>
      <c r="AC480">
        <v>0</v>
      </c>
      <c r="AD480">
        <v>0</v>
      </c>
      <c r="AH480">
        <v>0</v>
      </c>
      <c r="AI480">
        <v>0.0070000000000000001</v>
      </c>
      <c r="AK480" t="s">
        <v>218</v>
      </c>
      <c r="AM480">
        <v>200000</v>
      </c>
      <c r="AN480" t="s">
        <v>76</v>
      </c>
      <c r="AO480">
        <v>1</v>
      </c>
      <c r="AP480">
        <v>0</v>
      </c>
      <c r="AQ480">
        <v>16666.666666666668</v>
      </c>
      <c r="AR480" t="s">
        <v>9</v>
      </c>
      <c r="AS480" t="s">
        <v>78</v>
      </c>
      <c r="AX480" t="s">
        <v>79</v>
      </c>
      <c r="AY480" t="s">
        <v>74</v>
      </c>
      <c r="AZ480">
        <v>0</v>
      </c>
      <c r="BA480" t="s">
        <v>74</v>
      </c>
      <c r="BB480">
        <v>0</v>
      </c>
      <c r="BD480">
        <v>0.42</v>
      </c>
      <c r="BE480">
        <v>0</v>
      </c>
    </row>
    <row r="481" spans="1:58" ht="12.75">
      <c r="A481" s="2" t="str">
        <f>HYPERLINK("https://ibp.a2mac1.com/costing(costing:projects/details/8191/part/5383711)"," Thermal Paste/Gap Pad #2")</f>
        <v xml:space="preserve"> Thermal Paste/Gap Pad #2</v>
      </c>
      <c r="B481">
        <v>5383711</v>
      </c>
      <c r="C481">
        <v>5383248</v>
      </c>
      <c r="D481" t="s">
        <v>1852</v>
      </c>
      <c r="E481">
        <v>0.70399999999999996</v>
      </c>
      <c r="F481">
        <v>0</v>
      </c>
      <c r="G481">
        <v>0</v>
      </c>
      <c r="H481">
        <v>0</v>
      </c>
      <c r="I481" t="s">
        <v>74</v>
      </c>
      <c r="J481">
        <v>0</v>
      </c>
      <c r="K481">
        <v>0.70399999999999996</v>
      </c>
      <c r="L481">
        <v>0</v>
      </c>
      <c r="M481">
        <v>0</v>
      </c>
      <c r="N481">
        <v>0.70399999999999996</v>
      </c>
      <c r="O481" t="s">
        <v>74</v>
      </c>
      <c r="P481">
        <v>0</v>
      </c>
      <c r="Q481" t="s">
        <v>74</v>
      </c>
      <c r="R481">
        <v>0</v>
      </c>
      <c r="S481" t="s">
        <v>74</v>
      </c>
      <c r="T481">
        <v>0</v>
      </c>
      <c r="U481" t="s">
        <v>74</v>
      </c>
      <c r="V481">
        <v>0</v>
      </c>
      <c r="W481" t="s">
        <v>74</v>
      </c>
      <c r="X481">
        <v>0</v>
      </c>
      <c r="Y481">
        <v>0.70399999999999996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55</v>
      </c>
      <c r="AF481">
        <v>50</v>
      </c>
      <c r="AG481">
        <v>2</v>
      </c>
      <c r="AH481">
        <v>0</v>
      </c>
      <c r="AI481">
        <v>0.088999999999999996</v>
      </c>
      <c r="AK481" t="s">
        <v>218</v>
      </c>
      <c r="AM481">
        <v>200000</v>
      </c>
      <c r="AN481" t="s">
        <v>76</v>
      </c>
      <c r="AO481">
        <v>1</v>
      </c>
      <c r="AP481">
        <v>0</v>
      </c>
      <c r="AQ481">
        <v>16666.666666666668</v>
      </c>
      <c r="AR481" t="s">
        <v>9</v>
      </c>
      <c r="AS481" t="s">
        <v>78</v>
      </c>
      <c r="AX481" t="s">
        <v>79</v>
      </c>
      <c r="AY481" t="s">
        <v>74</v>
      </c>
      <c r="AZ481">
        <v>0</v>
      </c>
      <c r="BA481" t="s">
        <v>74</v>
      </c>
      <c r="BB481">
        <v>0</v>
      </c>
      <c r="BD481">
        <v>0.70399999999999996</v>
      </c>
      <c r="BE481">
        <v>0</v>
      </c>
    </row>
    <row r="482" spans="1:58" ht="12.75">
      <c r="A482" s="2" t="str">
        <f>HYPERLINK("https://ibp.a2mac1.com/costing(costing:projects/details/8191/part/5383712)","Adhesive Pad 2")</f>
        <v>Adhesive Pad 2</v>
      </c>
      <c r="B482">
        <v>5383712</v>
      </c>
      <c r="C482">
        <v>5383248</v>
      </c>
      <c r="D482" t="s">
        <v>1853</v>
      </c>
      <c r="E482">
        <v>0.42</v>
      </c>
      <c r="F482">
        <v>0</v>
      </c>
      <c r="G482">
        <v>0</v>
      </c>
      <c r="H482">
        <v>0</v>
      </c>
      <c r="I482" t="s">
        <v>74</v>
      </c>
      <c r="J482">
        <v>0</v>
      </c>
      <c r="K482">
        <v>0.42</v>
      </c>
      <c r="L482">
        <v>0</v>
      </c>
      <c r="M482">
        <v>0</v>
      </c>
      <c r="N482">
        <v>0.42</v>
      </c>
      <c r="O482" t="s">
        <v>74</v>
      </c>
      <c r="P482">
        <v>0</v>
      </c>
      <c r="Q482" t="s">
        <v>74</v>
      </c>
      <c r="R482">
        <v>0</v>
      </c>
      <c r="S482" t="s">
        <v>74</v>
      </c>
      <c r="T482">
        <v>0</v>
      </c>
      <c r="U482" t="s">
        <v>74</v>
      </c>
      <c r="V482">
        <v>0</v>
      </c>
      <c r="W482" t="s">
        <v>74</v>
      </c>
      <c r="X482">
        <v>0</v>
      </c>
      <c r="Y482">
        <v>0.42</v>
      </c>
      <c r="Z482">
        <v>0</v>
      </c>
      <c r="AA482">
        <v>0</v>
      </c>
      <c r="AB482">
        <v>0</v>
      </c>
      <c r="AC482">
        <v>0</v>
      </c>
      <c r="AD482">
        <v>0</v>
      </c>
      <c r="AH482">
        <v>0</v>
      </c>
      <c r="AI482">
        <v>0.0070000000000000001</v>
      </c>
      <c r="AK482" t="s">
        <v>218</v>
      </c>
      <c r="AM482">
        <v>200000</v>
      </c>
      <c r="AN482" t="s">
        <v>76</v>
      </c>
      <c r="AO482">
        <v>1</v>
      </c>
      <c r="AP482">
        <v>0</v>
      </c>
      <c r="AQ482">
        <v>16666.666666666668</v>
      </c>
      <c r="AR482" t="s">
        <v>9</v>
      </c>
      <c r="AS482" t="s">
        <v>78</v>
      </c>
      <c r="AX482" t="s">
        <v>79</v>
      </c>
      <c r="AY482" t="s">
        <v>74</v>
      </c>
      <c r="AZ482">
        <v>0</v>
      </c>
      <c r="BA482" t="s">
        <v>74</v>
      </c>
      <c r="BB482">
        <v>0</v>
      </c>
      <c r="BD482">
        <v>0.42</v>
      </c>
      <c r="BE482">
        <v>0</v>
      </c>
    </row>
    <row r="483" spans="1:58" ht="12.75">
      <c r="A483" s="2" t="str">
        <f>HYPERLINK("https://ibp.a2mac1.com/costing(costing:projects/details/8191/part/5383713)","Adhesive Pad 3")</f>
        <v>Adhesive Pad 3</v>
      </c>
      <c r="B483">
        <v>5383713</v>
      </c>
      <c r="C483">
        <v>5383248</v>
      </c>
      <c r="D483" t="s">
        <v>1854</v>
      </c>
      <c r="E483">
        <v>0.60</v>
      </c>
      <c r="F483">
        <v>0</v>
      </c>
      <c r="G483">
        <v>0</v>
      </c>
      <c r="H483">
        <v>0</v>
      </c>
      <c r="I483" t="s">
        <v>74</v>
      </c>
      <c r="J483">
        <v>0</v>
      </c>
      <c r="K483">
        <v>0.60</v>
      </c>
      <c r="L483">
        <v>0</v>
      </c>
      <c r="M483">
        <v>0</v>
      </c>
      <c r="N483">
        <v>0.60</v>
      </c>
      <c r="O483" t="s">
        <v>74</v>
      </c>
      <c r="P483">
        <v>0</v>
      </c>
      <c r="Q483" t="s">
        <v>74</v>
      </c>
      <c r="R483">
        <v>0</v>
      </c>
      <c r="S483" t="s">
        <v>74</v>
      </c>
      <c r="T483">
        <v>0</v>
      </c>
      <c r="U483" t="s">
        <v>74</v>
      </c>
      <c r="V483">
        <v>0</v>
      </c>
      <c r="W483" t="s">
        <v>74</v>
      </c>
      <c r="X483">
        <v>0</v>
      </c>
      <c r="Y483">
        <v>0.60</v>
      </c>
      <c r="Z483">
        <v>0</v>
      </c>
      <c r="AA483">
        <v>0</v>
      </c>
      <c r="AB483">
        <v>0</v>
      </c>
      <c r="AC483">
        <v>0</v>
      </c>
      <c r="AD483">
        <v>0</v>
      </c>
      <c r="AH483">
        <v>0</v>
      </c>
      <c r="AI483">
        <v>0.01</v>
      </c>
      <c r="AK483" t="s">
        <v>218</v>
      </c>
      <c r="AM483">
        <v>200000</v>
      </c>
      <c r="AN483" t="s">
        <v>76</v>
      </c>
      <c r="AO483">
        <v>1</v>
      </c>
      <c r="AP483">
        <v>0</v>
      </c>
      <c r="AQ483">
        <v>16666.666666666668</v>
      </c>
      <c r="AR483" t="s">
        <v>9</v>
      </c>
      <c r="AS483" t="s">
        <v>78</v>
      </c>
      <c r="AX483" t="s">
        <v>79</v>
      </c>
      <c r="AY483" t="s">
        <v>74</v>
      </c>
      <c r="AZ483">
        <v>0</v>
      </c>
      <c r="BA483" t="s">
        <v>74</v>
      </c>
      <c r="BB483">
        <v>0</v>
      </c>
      <c r="BD483">
        <v>0.60</v>
      </c>
      <c r="BE483">
        <v>0</v>
      </c>
    </row>
    <row r="484" spans="1:58" ht="12.75">
      <c r="A484" s="2" t="str">
        <f>HYPERLINK("https://ibp.a2mac1.com/costing(costing:projects/details/8191/part/5383714)","Adhesive Pad 4")</f>
        <v>Adhesive Pad 4</v>
      </c>
      <c r="B484">
        <v>5383714</v>
      </c>
      <c r="C484">
        <v>5383248</v>
      </c>
      <c r="D484" t="s">
        <v>1855</v>
      </c>
      <c r="E484">
        <v>0.54</v>
      </c>
      <c r="F484">
        <v>0</v>
      </c>
      <c r="G484">
        <v>0</v>
      </c>
      <c r="H484">
        <v>0</v>
      </c>
      <c r="I484" t="s">
        <v>74</v>
      </c>
      <c r="J484">
        <v>0</v>
      </c>
      <c r="K484">
        <v>0.54</v>
      </c>
      <c r="L484">
        <v>0</v>
      </c>
      <c r="M484">
        <v>0</v>
      </c>
      <c r="N484">
        <v>0.54</v>
      </c>
      <c r="O484" t="s">
        <v>74</v>
      </c>
      <c r="P484">
        <v>0</v>
      </c>
      <c r="Q484" t="s">
        <v>74</v>
      </c>
      <c r="R484">
        <v>0</v>
      </c>
      <c r="S484" t="s">
        <v>74</v>
      </c>
      <c r="T484">
        <v>0</v>
      </c>
      <c r="U484" t="s">
        <v>74</v>
      </c>
      <c r="V484">
        <v>0</v>
      </c>
      <c r="W484" t="s">
        <v>74</v>
      </c>
      <c r="X484">
        <v>0</v>
      </c>
      <c r="Y484">
        <v>0.54</v>
      </c>
      <c r="Z484">
        <v>0</v>
      </c>
      <c r="AA484">
        <v>0</v>
      </c>
      <c r="AB484">
        <v>0</v>
      </c>
      <c r="AC484">
        <v>0</v>
      </c>
      <c r="AD484">
        <v>0</v>
      </c>
      <c r="AH484">
        <v>0</v>
      </c>
      <c r="AI484">
        <v>0.0089999999999999993</v>
      </c>
      <c r="AK484" t="s">
        <v>218</v>
      </c>
      <c r="AM484">
        <v>200000</v>
      </c>
      <c r="AN484" t="s">
        <v>76</v>
      </c>
      <c r="AO484">
        <v>1</v>
      </c>
      <c r="AP484">
        <v>0</v>
      </c>
      <c r="AQ484">
        <v>16666.666666666668</v>
      </c>
      <c r="AR484" t="s">
        <v>9</v>
      </c>
      <c r="AS484" t="s">
        <v>78</v>
      </c>
      <c r="AX484" t="s">
        <v>79</v>
      </c>
      <c r="AY484" t="s">
        <v>74</v>
      </c>
      <c r="AZ484">
        <v>0</v>
      </c>
      <c r="BA484" t="s">
        <v>74</v>
      </c>
      <c r="BB484">
        <v>0</v>
      </c>
      <c r="BD484">
        <v>0.54</v>
      </c>
      <c r="BE484">
        <v>0</v>
      </c>
    </row>
    <row r="485" spans="1:58" ht="12.75">
      <c r="A485" s="2" t="str">
        <f>HYPERLINK("https://ibp.a2mac1.com/costing(costing:projects/details/8191/part/5383715)","Adhesive Pad 5")</f>
        <v>Adhesive Pad 5</v>
      </c>
      <c r="B485">
        <v>5383715</v>
      </c>
      <c r="C485">
        <v>5383248</v>
      </c>
      <c r="D485" t="s">
        <v>1856</v>
      </c>
      <c r="E485">
        <v>0.60</v>
      </c>
      <c r="F485">
        <v>0</v>
      </c>
      <c r="G485">
        <v>0</v>
      </c>
      <c r="H485">
        <v>0</v>
      </c>
      <c r="I485" t="s">
        <v>74</v>
      </c>
      <c r="J485">
        <v>0</v>
      </c>
      <c r="K485">
        <v>0.60</v>
      </c>
      <c r="L485">
        <v>0</v>
      </c>
      <c r="M485">
        <v>0</v>
      </c>
      <c r="N485">
        <v>0.60</v>
      </c>
      <c r="O485" t="s">
        <v>74</v>
      </c>
      <c r="P485">
        <v>0</v>
      </c>
      <c r="Q485" t="s">
        <v>74</v>
      </c>
      <c r="R485">
        <v>0</v>
      </c>
      <c r="S485" t="s">
        <v>74</v>
      </c>
      <c r="T485">
        <v>0</v>
      </c>
      <c r="U485" t="s">
        <v>74</v>
      </c>
      <c r="V485">
        <v>0</v>
      </c>
      <c r="W485" t="s">
        <v>74</v>
      </c>
      <c r="X485">
        <v>0</v>
      </c>
      <c r="Y485">
        <v>0.60</v>
      </c>
      <c r="Z485">
        <v>0</v>
      </c>
      <c r="AA485">
        <v>0</v>
      </c>
      <c r="AB485">
        <v>0</v>
      </c>
      <c r="AC485">
        <v>0</v>
      </c>
      <c r="AD485">
        <v>0</v>
      </c>
      <c r="AH485">
        <v>0</v>
      </c>
      <c r="AI485">
        <v>0.01</v>
      </c>
      <c r="AK485" t="s">
        <v>218</v>
      </c>
      <c r="AM485">
        <v>200000</v>
      </c>
      <c r="AN485" t="s">
        <v>76</v>
      </c>
      <c r="AO485">
        <v>1</v>
      </c>
      <c r="AP485">
        <v>0</v>
      </c>
      <c r="AQ485">
        <v>16666.666666666668</v>
      </c>
      <c r="AR485" t="s">
        <v>9</v>
      </c>
      <c r="AS485" t="s">
        <v>78</v>
      </c>
      <c r="AX485" t="s">
        <v>79</v>
      </c>
      <c r="AY485" t="s">
        <v>74</v>
      </c>
      <c r="AZ485">
        <v>0</v>
      </c>
      <c r="BA485" t="s">
        <v>74</v>
      </c>
      <c r="BB485">
        <v>0</v>
      </c>
      <c r="BD485">
        <v>0.60</v>
      </c>
      <c r="BE485">
        <v>0</v>
      </c>
    </row>
    <row r="486" spans="1:58" ht="12.75">
      <c r="A486" s="2" t="str">
        <f>HYPERLINK("https://ibp.a2mac1.com/costing(costing:projects/details/8191/part/5383716)","Adhesive Pad 6")</f>
        <v>Adhesive Pad 6</v>
      </c>
      <c r="B486">
        <v>5383716</v>
      </c>
      <c r="C486">
        <v>5383248</v>
      </c>
      <c r="D486" t="s">
        <v>1857</v>
      </c>
      <c r="E486">
        <v>0.18</v>
      </c>
      <c r="F486">
        <v>0</v>
      </c>
      <c r="G486">
        <v>0</v>
      </c>
      <c r="H486">
        <v>0</v>
      </c>
      <c r="I486" t="s">
        <v>74</v>
      </c>
      <c r="J486">
        <v>0</v>
      </c>
      <c r="K486">
        <v>0.18</v>
      </c>
      <c r="L486">
        <v>0</v>
      </c>
      <c r="M486">
        <v>0</v>
      </c>
      <c r="N486">
        <v>0.18</v>
      </c>
      <c r="O486" t="s">
        <v>74</v>
      </c>
      <c r="P486">
        <v>0</v>
      </c>
      <c r="Q486" t="s">
        <v>74</v>
      </c>
      <c r="R486">
        <v>0</v>
      </c>
      <c r="S486" t="s">
        <v>74</v>
      </c>
      <c r="T486">
        <v>0</v>
      </c>
      <c r="U486" t="s">
        <v>74</v>
      </c>
      <c r="V486">
        <v>0</v>
      </c>
      <c r="W486" t="s">
        <v>74</v>
      </c>
      <c r="X486">
        <v>0</v>
      </c>
      <c r="Y486">
        <v>0.18</v>
      </c>
      <c r="Z486">
        <v>0</v>
      </c>
      <c r="AA486">
        <v>0</v>
      </c>
      <c r="AB486">
        <v>0</v>
      </c>
      <c r="AC486">
        <v>0</v>
      </c>
      <c r="AD486">
        <v>0</v>
      </c>
      <c r="AH486">
        <v>0</v>
      </c>
      <c r="AI486">
        <v>0.0030000000000000001</v>
      </c>
      <c r="AK486" t="s">
        <v>218</v>
      </c>
      <c r="AM486">
        <v>200000</v>
      </c>
      <c r="AN486" t="s">
        <v>76</v>
      </c>
      <c r="AO486">
        <v>1</v>
      </c>
      <c r="AP486">
        <v>0</v>
      </c>
      <c r="AQ486">
        <v>16666.666666666668</v>
      </c>
      <c r="AR486" t="s">
        <v>9</v>
      </c>
      <c r="AS486" t="s">
        <v>78</v>
      </c>
      <c r="AX486" t="s">
        <v>79</v>
      </c>
      <c r="AY486" t="s">
        <v>74</v>
      </c>
      <c r="AZ486">
        <v>0</v>
      </c>
      <c r="BA486" t="s">
        <v>74</v>
      </c>
      <c r="BB486">
        <v>0</v>
      </c>
      <c r="BD486">
        <v>0.18</v>
      </c>
      <c r="BE486">
        <v>0</v>
      </c>
    </row>
    <row r="487" spans="1:58" ht="12.75">
      <c r="A487" s="2" t="str">
        <f>HYPERLINK("https://ibp.a2mac1.com/costing(costing:projects/details/8191/part/5383717)","Adhesive Pad 7")</f>
        <v>Adhesive Pad 7</v>
      </c>
      <c r="B487">
        <v>5383717</v>
      </c>
      <c r="C487">
        <v>5383248</v>
      </c>
      <c r="D487" t="s">
        <v>1858</v>
      </c>
      <c r="E487">
        <v>0.12</v>
      </c>
      <c r="F487">
        <v>0</v>
      </c>
      <c r="G487">
        <v>0</v>
      </c>
      <c r="H487">
        <v>0</v>
      </c>
      <c r="I487" t="s">
        <v>74</v>
      </c>
      <c r="J487">
        <v>0</v>
      </c>
      <c r="K487">
        <v>0.12</v>
      </c>
      <c r="L487">
        <v>0</v>
      </c>
      <c r="M487">
        <v>0</v>
      </c>
      <c r="N487">
        <v>0.12</v>
      </c>
      <c r="O487" t="s">
        <v>74</v>
      </c>
      <c r="P487">
        <v>0</v>
      </c>
      <c r="Q487" t="s">
        <v>74</v>
      </c>
      <c r="R487">
        <v>0</v>
      </c>
      <c r="S487" t="s">
        <v>74</v>
      </c>
      <c r="T487">
        <v>0</v>
      </c>
      <c r="U487" t="s">
        <v>74</v>
      </c>
      <c r="V487">
        <v>0</v>
      </c>
      <c r="W487" t="s">
        <v>74</v>
      </c>
      <c r="X487">
        <v>0</v>
      </c>
      <c r="Y487">
        <v>0.12</v>
      </c>
      <c r="Z487">
        <v>0</v>
      </c>
      <c r="AA487">
        <v>0</v>
      </c>
      <c r="AB487">
        <v>0</v>
      </c>
      <c r="AC487">
        <v>0</v>
      </c>
      <c r="AD487">
        <v>0</v>
      </c>
      <c r="AH487">
        <v>0</v>
      </c>
      <c r="AI487">
        <v>0.002</v>
      </c>
      <c r="AK487" t="s">
        <v>218</v>
      </c>
      <c r="AM487">
        <v>200000</v>
      </c>
      <c r="AN487" t="s">
        <v>76</v>
      </c>
      <c r="AO487">
        <v>1</v>
      </c>
      <c r="AP487">
        <v>0</v>
      </c>
      <c r="AQ487">
        <v>16666.666666666668</v>
      </c>
      <c r="AR487" t="s">
        <v>9</v>
      </c>
      <c r="AS487" t="s">
        <v>78</v>
      </c>
      <c r="AX487" t="s">
        <v>79</v>
      </c>
      <c r="AY487" t="s">
        <v>74</v>
      </c>
      <c r="AZ487">
        <v>0</v>
      </c>
      <c r="BA487" t="s">
        <v>74</v>
      </c>
      <c r="BB487">
        <v>0</v>
      </c>
      <c r="BD487">
        <v>0.12</v>
      </c>
      <c r="BE487">
        <v>0</v>
      </c>
    </row>
    <row r="488" spans="1:58" ht="12.75">
      <c r="A488" s="2" t="str">
        <f>HYPERLINK("https://ibp.a2mac1.com/costing(costing:projects/details/8191/part/5383718)","Adhesive Pad 8")</f>
        <v>Adhesive Pad 8</v>
      </c>
      <c r="B488">
        <v>5383718</v>
      </c>
      <c r="C488">
        <v>5383248</v>
      </c>
      <c r="D488" t="s">
        <v>1859</v>
      </c>
      <c r="E488">
        <v>2.88</v>
      </c>
      <c r="F488">
        <v>0</v>
      </c>
      <c r="G488">
        <v>0</v>
      </c>
      <c r="H488">
        <v>0</v>
      </c>
      <c r="I488" t="s">
        <v>74</v>
      </c>
      <c r="J488">
        <v>0</v>
      </c>
      <c r="K488">
        <v>2.88</v>
      </c>
      <c r="L488">
        <v>0</v>
      </c>
      <c r="M488">
        <v>0</v>
      </c>
      <c r="N488">
        <v>2.88</v>
      </c>
      <c r="O488" t="s">
        <v>74</v>
      </c>
      <c r="P488">
        <v>0</v>
      </c>
      <c r="Q488" t="s">
        <v>74</v>
      </c>
      <c r="R488">
        <v>0</v>
      </c>
      <c r="S488" t="s">
        <v>74</v>
      </c>
      <c r="T488">
        <v>0</v>
      </c>
      <c r="U488" t="s">
        <v>74</v>
      </c>
      <c r="V488">
        <v>0</v>
      </c>
      <c r="W488" t="s">
        <v>74</v>
      </c>
      <c r="X488">
        <v>0</v>
      </c>
      <c r="Y488">
        <v>2.88</v>
      </c>
      <c r="Z488">
        <v>0</v>
      </c>
      <c r="AA488">
        <v>0</v>
      </c>
      <c r="AB488">
        <v>0</v>
      </c>
      <c r="AC488">
        <v>0</v>
      </c>
      <c r="AD488">
        <v>0</v>
      </c>
      <c r="AH488">
        <v>0</v>
      </c>
      <c r="AI488">
        <v>0.048000000000000001</v>
      </c>
      <c r="AK488" t="s">
        <v>218</v>
      </c>
      <c r="AM488">
        <v>200000</v>
      </c>
      <c r="AN488" t="s">
        <v>76</v>
      </c>
      <c r="AO488">
        <v>1</v>
      </c>
      <c r="AP488">
        <v>0</v>
      </c>
      <c r="AQ488">
        <v>16666.666666666668</v>
      </c>
      <c r="AR488" t="s">
        <v>9</v>
      </c>
      <c r="AS488" t="s">
        <v>78</v>
      </c>
      <c r="AX488" t="s">
        <v>79</v>
      </c>
      <c r="AY488" t="s">
        <v>74</v>
      </c>
      <c r="AZ488">
        <v>0</v>
      </c>
      <c r="BA488" t="s">
        <v>74</v>
      </c>
      <c r="BB488">
        <v>0</v>
      </c>
      <c r="BD488">
        <v>2.88</v>
      </c>
      <c r="BE488">
        <v>0</v>
      </c>
    </row>
    <row r="489" spans="1:58" ht="12.75">
      <c r="A489" s="2" t="str">
        <f>HYPERLINK("https://ibp.a2mac1.com/costing(costing:projects/details/8191/part/5383719)","Adhesive Pad 9")</f>
        <v>Adhesive Pad 9</v>
      </c>
      <c r="B489">
        <v>5383719</v>
      </c>
      <c r="C489">
        <v>5383248</v>
      </c>
      <c r="D489" t="s">
        <v>1860</v>
      </c>
      <c r="E489">
        <v>0.84</v>
      </c>
      <c r="F489">
        <v>0</v>
      </c>
      <c r="G489">
        <v>0</v>
      </c>
      <c r="H489">
        <v>0</v>
      </c>
      <c r="I489" t="s">
        <v>74</v>
      </c>
      <c r="J489">
        <v>0</v>
      </c>
      <c r="K489">
        <v>0.84</v>
      </c>
      <c r="L489">
        <v>0</v>
      </c>
      <c r="M489">
        <v>0</v>
      </c>
      <c r="N489">
        <v>0.84</v>
      </c>
      <c r="O489" t="s">
        <v>74</v>
      </c>
      <c r="P489">
        <v>0</v>
      </c>
      <c r="Q489" t="s">
        <v>74</v>
      </c>
      <c r="R489">
        <v>0</v>
      </c>
      <c r="S489" t="s">
        <v>74</v>
      </c>
      <c r="T489">
        <v>0</v>
      </c>
      <c r="U489" t="s">
        <v>74</v>
      </c>
      <c r="V489">
        <v>0</v>
      </c>
      <c r="W489" t="s">
        <v>74</v>
      </c>
      <c r="X489">
        <v>0</v>
      </c>
      <c r="Y489">
        <v>0.84</v>
      </c>
      <c r="Z489">
        <v>0</v>
      </c>
      <c r="AA489">
        <v>0</v>
      </c>
      <c r="AB489">
        <v>0</v>
      </c>
      <c r="AC489">
        <v>0</v>
      </c>
      <c r="AD489">
        <v>0</v>
      </c>
      <c r="AH489">
        <v>0</v>
      </c>
      <c r="AI489">
        <v>0.014</v>
      </c>
      <c r="AK489" t="s">
        <v>218</v>
      </c>
      <c r="AM489">
        <v>200000</v>
      </c>
      <c r="AN489" t="s">
        <v>76</v>
      </c>
      <c r="AO489">
        <v>1</v>
      </c>
      <c r="AP489">
        <v>0</v>
      </c>
      <c r="AQ489">
        <v>16666.666666666668</v>
      </c>
      <c r="AR489" t="s">
        <v>9</v>
      </c>
      <c r="AS489" t="s">
        <v>78</v>
      </c>
      <c r="AX489" t="s">
        <v>79</v>
      </c>
      <c r="AY489" t="s">
        <v>74</v>
      </c>
      <c r="AZ489">
        <v>0</v>
      </c>
      <c r="BA489" t="s">
        <v>74</v>
      </c>
      <c r="BB489">
        <v>0</v>
      </c>
      <c r="BD489">
        <v>0.84</v>
      </c>
      <c r="BE489">
        <v>0</v>
      </c>
    </row>
    <row r="490" spans="1:58" ht="12.75">
      <c r="A490" s="2" t="str">
        <f>HYPERLINK("https://ibp.a2mac1.com/costing(costing:projects/details/8191/part/5383720)","Seal 1")</f>
        <v>Seal 1</v>
      </c>
      <c r="B490">
        <v>5383720</v>
      </c>
      <c r="C490">
        <v>5383249</v>
      </c>
      <c r="E490">
        <v>0.066000000000000003</v>
      </c>
      <c r="F490">
        <v>0</v>
      </c>
      <c r="G490">
        <v>0</v>
      </c>
      <c r="H490">
        <v>0</v>
      </c>
      <c r="I490" t="s">
        <v>74</v>
      </c>
      <c r="J490">
        <v>0</v>
      </c>
      <c r="K490">
        <v>0.066000000000000003</v>
      </c>
      <c r="L490">
        <v>0</v>
      </c>
      <c r="M490">
        <v>0</v>
      </c>
      <c r="N490">
        <v>0.066000000000000003</v>
      </c>
      <c r="O490" t="s">
        <v>74</v>
      </c>
      <c r="P490">
        <v>0</v>
      </c>
      <c r="Q490" t="s">
        <v>74</v>
      </c>
      <c r="R490">
        <v>0</v>
      </c>
      <c r="S490" t="s">
        <v>74</v>
      </c>
      <c r="T490">
        <v>0</v>
      </c>
      <c r="U490" t="s">
        <v>74</v>
      </c>
      <c r="V490">
        <v>0</v>
      </c>
      <c r="W490" t="s">
        <v>74</v>
      </c>
      <c r="X490">
        <v>0</v>
      </c>
      <c r="Y490">
        <v>0.066000000000000003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K490" t="s">
        <v>218</v>
      </c>
      <c r="AM490">
        <v>200000</v>
      </c>
      <c r="AN490" t="s">
        <v>76</v>
      </c>
      <c r="AO490">
        <v>1</v>
      </c>
      <c r="AP490">
        <v>0</v>
      </c>
      <c r="AQ490">
        <v>16666.666666666668</v>
      </c>
      <c r="AR490" t="s">
        <v>9</v>
      </c>
      <c r="AS490" t="s">
        <v>78</v>
      </c>
      <c r="AX490" t="s">
        <v>79</v>
      </c>
      <c r="AY490" t="s">
        <v>74</v>
      </c>
      <c r="AZ490">
        <v>0</v>
      </c>
      <c r="BA490" t="s">
        <v>74</v>
      </c>
      <c r="BB490">
        <v>0</v>
      </c>
      <c r="BD490">
        <v>0.066000000000000003</v>
      </c>
      <c r="BE490">
        <v>0</v>
      </c>
    </row>
    <row r="491" spans="1:58" ht="12.75">
      <c r="A491" s="2" t="str">
        <f>HYPERLINK("https://ibp.a2mac1.com/costing(costing:projects/details/8191/part/5383721)","Seal 2")</f>
        <v>Seal 2</v>
      </c>
      <c r="B491">
        <v>5383721</v>
      </c>
      <c r="C491">
        <v>5383249</v>
      </c>
      <c r="E491">
        <v>0.060999999999999999</v>
      </c>
      <c r="F491">
        <v>0</v>
      </c>
      <c r="G491">
        <v>0</v>
      </c>
      <c r="H491">
        <v>0</v>
      </c>
      <c r="I491" t="s">
        <v>74</v>
      </c>
      <c r="J491">
        <v>0</v>
      </c>
      <c r="K491">
        <v>0.060999999999999999</v>
      </c>
      <c r="L491">
        <v>0</v>
      </c>
      <c r="M491">
        <v>0</v>
      </c>
      <c r="N491">
        <v>0.060999999999999999</v>
      </c>
      <c r="O491" t="s">
        <v>74</v>
      </c>
      <c r="P491">
        <v>0</v>
      </c>
      <c r="Q491" t="s">
        <v>74</v>
      </c>
      <c r="R491">
        <v>0</v>
      </c>
      <c r="S491" t="s">
        <v>74</v>
      </c>
      <c r="T491">
        <v>0</v>
      </c>
      <c r="U491" t="s">
        <v>74</v>
      </c>
      <c r="V491">
        <v>0</v>
      </c>
      <c r="W491" t="s">
        <v>74</v>
      </c>
      <c r="X491">
        <v>0</v>
      </c>
      <c r="Y491">
        <v>0.060999999999999999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K491" t="s">
        <v>218</v>
      </c>
      <c r="AM491">
        <v>200000</v>
      </c>
      <c r="AN491" t="s">
        <v>76</v>
      </c>
      <c r="AO491">
        <v>1</v>
      </c>
      <c r="AP491">
        <v>0</v>
      </c>
      <c r="AQ491">
        <v>16666.666666666668</v>
      </c>
      <c r="AR491" t="s">
        <v>9</v>
      </c>
      <c r="AS491" t="s">
        <v>78</v>
      </c>
      <c r="AX491" t="s">
        <v>79</v>
      </c>
      <c r="AY491" t="s">
        <v>74</v>
      </c>
      <c r="AZ491">
        <v>0</v>
      </c>
      <c r="BA491" t="s">
        <v>74</v>
      </c>
      <c r="BB491">
        <v>0</v>
      </c>
      <c r="BD491">
        <v>0.060999999999999999</v>
      </c>
      <c r="BE491">
        <v>0</v>
      </c>
    </row>
    <row r="492" spans="1:58" ht="12.75">
      <c r="A492" s="2" t="str">
        <f>HYPERLINK("https://ibp.a2mac1.com/costing(costing:projects/details/8191/part/5383722)","Seal 3")</f>
        <v>Seal 3</v>
      </c>
      <c r="B492">
        <v>5383722</v>
      </c>
      <c r="C492">
        <v>5383249</v>
      </c>
      <c r="E492">
        <v>0.07</v>
      </c>
      <c r="F492">
        <v>0</v>
      </c>
      <c r="G492">
        <v>0</v>
      </c>
      <c r="H492">
        <v>0</v>
      </c>
      <c r="I492" t="s">
        <v>74</v>
      </c>
      <c r="J492">
        <v>0</v>
      </c>
      <c r="K492">
        <v>0.07</v>
      </c>
      <c r="L492">
        <v>0</v>
      </c>
      <c r="M492">
        <v>0</v>
      </c>
      <c r="N492">
        <v>0.07</v>
      </c>
      <c r="O492" t="s">
        <v>74</v>
      </c>
      <c r="P492">
        <v>0</v>
      </c>
      <c r="Q492" t="s">
        <v>74</v>
      </c>
      <c r="R492">
        <v>0</v>
      </c>
      <c r="S492" t="s">
        <v>74</v>
      </c>
      <c r="T492">
        <v>0</v>
      </c>
      <c r="U492" t="s">
        <v>74</v>
      </c>
      <c r="V492">
        <v>0</v>
      </c>
      <c r="W492" t="s">
        <v>74</v>
      </c>
      <c r="X492">
        <v>0</v>
      </c>
      <c r="Y492">
        <v>0.07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K492" t="s">
        <v>218</v>
      </c>
      <c r="AM492">
        <v>200000</v>
      </c>
      <c r="AN492" t="s">
        <v>76</v>
      </c>
      <c r="AO492">
        <v>1</v>
      </c>
      <c r="AP492">
        <v>0</v>
      </c>
      <c r="AQ492">
        <v>16666.666666666668</v>
      </c>
      <c r="AR492" t="s">
        <v>9</v>
      </c>
      <c r="AS492" t="s">
        <v>78</v>
      </c>
      <c r="AX492" t="s">
        <v>79</v>
      </c>
      <c r="AY492" t="s">
        <v>74</v>
      </c>
      <c r="AZ492">
        <v>0</v>
      </c>
      <c r="BA492" t="s">
        <v>74</v>
      </c>
      <c r="BB492">
        <v>0</v>
      </c>
      <c r="BD492">
        <v>0.07</v>
      </c>
      <c r="BE492">
        <v>0</v>
      </c>
    </row>
    <row r="493" spans="1:58" ht="12.75">
      <c r="A493" s="2" t="str">
        <f>HYPERLINK("https://ibp.a2mac1.com/costing(costing:projects/details/8191/part/5383723)","Seal 4")</f>
        <v>Seal 4</v>
      </c>
      <c r="B493">
        <v>5383723</v>
      </c>
      <c r="C493">
        <v>5383249</v>
      </c>
      <c r="E493">
        <v>0.075</v>
      </c>
      <c r="F493">
        <v>0</v>
      </c>
      <c r="G493">
        <v>0</v>
      </c>
      <c r="H493">
        <v>0</v>
      </c>
      <c r="I493" t="s">
        <v>74</v>
      </c>
      <c r="J493">
        <v>0</v>
      </c>
      <c r="K493">
        <v>0.075</v>
      </c>
      <c r="L493">
        <v>0</v>
      </c>
      <c r="M493">
        <v>0</v>
      </c>
      <c r="N493">
        <v>0.075</v>
      </c>
      <c r="O493" t="s">
        <v>74</v>
      </c>
      <c r="P493">
        <v>0</v>
      </c>
      <c r="Q493" t="s">
        <v>74</v>
      </c>
      <c r="R493">
        <v>0</v>
      </c>
      <c r="S493" t="s">
        <v>74</v>
      </c>
      <c r="T493">
        <v>0</v>
      </c>
      <c r="U493" t="s">
        <v>74</v>
      </c>
      <c r="V493">
        <v>0</v>
      </c>
      <c r="W493" t="s">
        <v>74</v>
      </c>
      <c r="X493">
        <v>0</v>
      </c>
      <c r="Y493">
        <v>0.075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K493" t="s">
        <v>218</v>
      </c>
      <c r="AM493">
        <v>200000</v>
      </c>
      <c r="AN493" t="s">
        <v>76</v>
      </c>
      <c r="AO493">
        <v>1</v>
      </c>
      <c r="AP493">
        <v>0</v>
      </c>
      <c r="AQ493">
        <v>16666.666666666668</v>
      </c>
      <c r="AR493" t="s">
        <v>9</v>
      </c>
      <c r="AS493" t="s">
        <v>78</v>
      </c>
      <c r="AX493" t="s">
        <v>79</v>
      </c>
      <c r="AY493" t="s">
        <v>74</v>
      </c>
      <c r="AZ493">
        <v>0</v>
      </c>
      <c r="BA493" t="s">
        <v>74</v>
      </c>
      <c r="BB493">
        <v>0</v>
      </c>
      <c r="BD493">
        <v>0.075</v>
      </c>
      <c r="BE493">
        <v>0</v>
      </c>
    </row>
    <row r="494" spans="1:58" ht="12.75">
      <c r="A494" s="2" t="str">
        <f>HYPERLINK("https://ibp.a2mac1.com/costing(costing:projects/details/8191/part/5383250)"," Busbar 1")</f>
        <v xml:space="preserve"> Busbar 1</v>
      </c>
      <c r="B494">
        <v>5383250</v>
      </c>
      <c r="C494">
        <v>5382996</v>
      </c>
      <c r="D494" t="s">
        <v>1869</v>
      </c>
      <c r="E494">
        <v>0.58299999999999996</v>
      </c>
      <c r="F494">
        <v>0</v>
      </c>
      <c r="G494">
        <v>0</v>
      </c>
      <c r="H494">
        <v>0</v>
      </c>
      <c r="I494" t="s">
        <v>74</v>
      </c>
      <c r="J494">
        <v>0</v>
      </c>
      <c r="K494">
        <v>0.58299999999999996</v>
      </c>
      <c r="L494">
        <v>0</v>
      </c>
      <c r="M494">
        <v>0</v>
      </c>
      <c r="N494">
        <v>0.58299999999999996</v>
      </c>
      <c r="O494" t="s">
        <v>74</v>
      </c>
      <c r="P494">
        <v>0</v>
      </c>
      <c r="Q494" t="s">
        <v>74</v>
      </c>
      <c r="R494">
        <v>0</v>
      </c>
      <c r="S494" t="s">
        <v>74</v>
      </c>
      <c r="T494">
        <v>0</v>
      </c>
      <c r="U494" t="s">
        <v>74</v>
      </c>
      <c r="V494">
        <v>0</v>
      </c>
      <c r="W494" t="s">
        <v>74</v>
      </c>
      <c r="X494">
        <v>0</v>
      </c>
      <c r="Y494">
        <v>0.58299999999999996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31</v>
      </c>
      <c r="AF494">
        <v>2</v>
      </c>
      <c r="AG494">
        <v>201</v>
      </c>
      <c r="AH494">
        <v>0</v>
      </c>
      <c r="AI494">
        <v>0.041000000000000002</v>
      </c>
      <c r="AK494" t="s">
        <v>218</v>
      </c>
      <c r="AM494">
        <v>200000</v>
      </c>
      <c r="AN494" t="s">
        <v>76</v>
      </c>
      <c r="AO494">
        <v>1</v>
      </c>
      <c r="AP494">
        <v>0</v>
      </c>
      <c r="AQ494">
        <v>16666.666666666668</v>
      </c>
      <c r="AR494" t="s">
        <v>9</v>
      </c>
      <c r="AS494" t="s">
        <v>78</v>
      </c>
      <c r="AX494" t="s">
        <v>79</v>
      </c>
      <c r="AY494" t="s">
        <v>74</v>
      </c>
      <c r="AZ494">
        <v>0</v>
      </c>
      <c r="BA494" t="s">
        <v>74</v>
      </c>
      <c r="BB494">
        <v>0</v>
      </c>
      <c r="BD494">
        <v>0.58299999999999996</v>
      </c>
      <c r="BE494">
        <v>0</v>
      </c>
    </row>
    <row r="495" spans="1:58" ht="12.75">
      <c r="A495" s="2" t="str">
        <f>HYPERLINK("https://ibp.a2mac1.com/costing(costing:projects/details/8191/part/5383251)"," Busbar 2")</f>
        <v xml:space="preserve"> Busbar 2</v>
      </c>
      <c r="B495">
        <v>5383251</v>
      </c>
      <c r="C495">
        <v>5382996</v>
      </c>
      <c r="D495" t="s">
        <v>1870</v>
      </c>
      <c r="E495">
        <v>0.535</v>
      </c>
      <c r="F495">
        <v>0</v>
      </c>
      <c r="G495">
        <v>0</v>
      </c>
      <c r="H495">
        <v>0</v>
      </c>
      <c r="I495" t="s">
        <v>74</v>
      </c>
      <c r="J495">
        <v>0</v>
      </c>
      <c r="K495">
        <v>0.535</v>
      </c>
      <c r="L495">
        <v>0</v>
      </c>
      <c r="M495">
        <v>0</v>
      </c>
      <c r="N495">
        <v>0.535</v>
      </c>
      <c r="O495" t="s">
        <v>74</v>
      </c>
      <c r="P495">
        <v>0</v>
      </c>
      <c r="Q495" t="s">
        <v>74</v>
      </c>
      <c r="R495">
        <v>0</v>
      </c>
      <c r="S495" t="s">
        <v>74</v>
      </c>
      <c r="T495">
        <v>0</v>
      </c>
      <c r="U495" t="s">
        <v>74</v>
      </c>
      <c r="V495">
        <v>0</v>
      </c>
      <c r="W495" t="s">
        <v>74</v>
      </c>
      <c r="X495">
        <v>0</v>
      </c>
      <c r="Y495">
        <v>0.535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37</v>
      </c>
      <c r="AF495">
        <v>2</v>
      </c>
      <c r="AG495">
        <v>189</v>
      </c>
      <c r="AH495">
        <v>0</v>
      </c>
      <c r="AI495">
        <v>0.039</v>
      </c>
      <c r="AK495" t="s">
        <v>218</v>
      </c>
      <c r="AM495">
        <v>200000</v>
      </c>
      <c r="AN495" t="s">
        <v>76</v>
      </c>
      <c r="AO495">
        <v>1</v>
      </c>
      <c r="AP495">
        <v>0</v>
      </c>
      <c r="AQ495">
        <v>16666.666666666668</v>
      </c>
      <c r="AR495" t="s">
        <v>9</v>
      </c>
      <c r="AS495" t="s">
        <v>78</v>
      </c>
      <c r="AX495" t="s">
        <v>79</v>
      </c>
      <c r="AY495" t="s">
        <v>74</v>
      </c>
      <c r="AZ495">
        <v>0</v>
      </c>
      <c r="BA495" t="s">
        <v>74</v>
      </c>
      <c r="BB495">
        <v>0</v>
      </c>
      <c r="BD495">
        <v>0.535</v>
      </c>
      <c r="BE495">
        <v>0</v>
      </c>
    </row>
    <row r="496" spans="1:58" ht="12.75">
      <c r="A496" s="2" t="str">
        <f>HYPERLINK("https://ibp.a2mac1.com/costing(costing:projects/details/8191/part/5383252)"," HV Connector")</f>
        <v xml:space="preserve"> HV Connector</v>
      </c>
      <c r="B496">
        <v>5383252</v>
      </c>
      <c r="C496">
        <v>5382996</v>
      </c>
      <c r="D496" t="s">
        <v>1871</v>
      </c>
      <c r="E496">
        <v>4.30</v>
      </c>
      <c r="F496">
        <v>0</v>
      </c>
      <c r="G496">
        <v>0</v>
      </c>
      <c r="H496">
        <v>0</v>
      </c>
      <c r="I496" t="s">
        <v>74</v>
      </c>
      <c r="J496">
        <v>0</v>
      </c>
      <c r="K496">
        <v>4.30</v>
      </c>
      <c r="L496">
        <v>0</v>
      </c>
      <c r="M496">
        <v>0</v>
      </c>
      <c r="N496">
        <v>4.30</v>
      </c>
      <c r="O496" t="s">
        <v>74</v>
      </c>
      <c r="P496">
        <v>0</v>
      </c>
      <c r="Q496" t="s">
        <v>74</v>
      </c>
      <c r="R496">
        <v>0</v>
      </c>
      <c r="S496" t="s">
        <v>74</v>
      </c>
      <c r="T496">
        <v>0</v>
      </c>
      <c r="U496" t="s">
        <v>74</v>
      </c>
      <c r="V496">
        <v>0</v>
      </c>
      <c r="W496" t="s">
        <v>74</v>
      </c>
      <c r="X496">
        <v>0</v>
      </c>
      <c r="Y496">
        <v>4.30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90</v>
      </c>
      <c r="AF496">
        <v>99</v>
      </c>
      <c r="AG496">
        <v>36</v>
      </c>
      <c r="AH496">
        <v>0</v>
      </c>
      <c r="AI496">
        <v>0.13900000000000001</v>
      </c>
      <c r="AK496" t="s">
        <v>218</v>
      </c>
      <c r="AM496">
        <v>200000</v>
      </c>
      <c r="AN496" t="s">
        <v>76</v>
      </c>
      <c r="AO496">
        <v>1</v>
      </c>
      <c r="AP496">
        <v>0</v>
      </c>
      <c r="AQ496">
        <v>16666.666666666668</v>
      </c>
      <c r="AR496" t="s">
        <v>9</v>
      </c>
      <c r="AS496" t="s">
        <v>78</v>
      </c>
      <c r="AX496" t="s">
        <v>79</v>
      </c>
      <c r="AY496" t="s">
        <v>74</v>
      </c>
      <c r="AZ496">
        <v>0</v>
      </c>
      <c r="BA496" t="s">
        <v>74</v>
      </c>
      <c r="BB496">
        <v>0</v>
      </c>
      <c r="BD496">
        <v>4.30</v>
      </c>
      <c r="BE496">
        <v>0</v>
      </c>
    </row>
    <row r="497" spans="1:58" ht="12.75">
      <c r="A497" s="2" t="str">
        <f>HYPERLINK("https://ibp.a2mac1.com/costing(costing:projects/details/8191/part/5383253)"," Connector Housing ")</f>
        <v xml:space="preserve"> Connector Housing </v>
      </c>
      <c r="B497">
        <v>5383253</v>
      </c>
      <c r="C497">
        <v>5382996</v>
      </c>
      <c r="D497" t="s">
        <v>1872</v>
      </c>
      <c r="E497">
        <v>0.21</v>
      </c>
      <c r="F497">
        <v>0</v>
      </c>
      <c r="G497">
        <v>0</v>
      </c>
      <c r="H497">
        <v>0</v>
      </c>
      <c r="I497" t="s">
        <v>74</v>
      </c>
      <c r="J497">
        <v>0</v>
      </c>
      <c r="K497">
        <v>0.21</v>
      </c>
      <c r="L497">
        <v>0</v>
      </c>
      <c r="M497">
        <v>0</v>
      </c>
      <c r="N497">
        <v>0.21</v>
      </c>
      <c r="O497" t="s">
        <v>74</v>
      </c>
      <c r="P497">
        <v>0</v>
      </c>
      <c r="Q497" t="s">
        <v>74</v>
      </c>
      <c r="R497">
        <v>0</v>
      </c>
      <c r="S497" t="s">
        <v>74</v>
      </c>
      <c r="T497">
        <v>0</v>
      </c>
      <c r="U497" t="s">
        <v>74</v>
      </c>
      <c r="V497">
        <v>0</v>
      </c>
      <c r="W497" t="s">
        <v>74</v>
      </c>
      <c r="X497">
        <v>0</v>
      </c>
      <c r="Y497">
        <v>0.21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48</v>
      </c>
      <c r="AF497">
        <v>35</v>
      </c>
      <c r="AG497">
        <v>38</v>
      </c>
      <c r="AH497">
        <v>0</v>
      </c>
      <c r="AI497">
        <v>0.010999999999999999</v>
      </c>
      <c r="AK497" t="s">
        <v>218</v>
      </c>
      <c r="AM497">
        <v>200000</v>
      </c>
      <c r="AN497" t="s">
        <v>76</v>
      </c>
      <c r="AO497">
        <v>1</v>
      </c>
      <c r="AP497">
        <v>0</v>
      </c>
      <c r="AQ497">
        <v>16666.666666666668</v>
      </c>
      <c r="AR497" t="s">
        <v>9</v>
      </c>
      <c r="AS497" t="s">
        <v>78</v>
      </c>
      <c r="AX497" t="s">
        <v>79</v>
      </c>
      <c r="AY497" t="s">
        <v>74</v>
      </c>
      <c r="AZ497">
        <v>0</v>
      </c>
      <c r="BA497" t="s">
        <v>74</v>
      </c>
      <c r="BB497">
        <v>0</v>
      </c>
      <c r="BD497">
        <v>0.21</v>
      </c>
      <c r="BE497">
        <v>0</v>
      </c>
    </row>
    <row r="498" spans="1:58" ht="12.75">
      <c r="A498" s="2" t="str">
        <f>HYPERLINK("https://ibp.a2mac1.com/costing(costing:projects/details/8191/part/5383254)"," Wire Harness ")</f>
        <v xml:space="preserve"> Wire Harness </v>
      </c>
      <c r="B498">
        <v>5383254</v>
      </c>
      <c r="C498">
        <v>5382996</v>
      </c>
      <c r="D498" t="s">
        <v>1873</v>
      </c>
      <c r="E498">
        <v>1.621</v>
      </c>
      <c r="F498">
        <v>0</v>
      </c>
      <c r="G498">
        <v>0</v>
      </c>
      <c r="H498">
        <v>0</v>
      </c>
      <c r="I498" t="s">
        <v>74</v>
      </c>
      <c r="J498">
        <v>0</v>
      </c>
      <c r="K498">
        <v>1.621</v>
      </c>
      <c r="L498">
        <v>0</v>
      </c>
      <c r="M498">
        <v>0</v>
      </c>
      <c r="N498">
        <v>1.621</v>
      </c>
      <c r="O498" t="s">
        <v>74</v>
      </c>
      <c r="P498">
        <v>0</v>
      </c>
      <c r="Q498" t="s">
        <v>74</v>
      </c>
      <c r="R498">
        <v>0</v>
      </c>
      <c r="S498" t="s">
        <v>74</v>
      </c>
      <c r="T498">
        <v>0</v>
      </c>
      <c r="U498" t="s">
        <v>74</v>
      </c>
      <c r="V498">
        <v>0</v>
      </c>
      <c r="W498" t="s">
        <v>74</v>
      </c>
      <c r="X498">
        <v>0</v>
      </c>
      <c r="Y498">
        <v>1.621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156</v>
      </c>
      <c r="AI498">
        <v>0.017999999999999999</v>
      </c>
      <c r="AK498" t="s">
        <v>218</v>
      </c>
      <c r="AM498">
        <v>200000</v>
      </c>
      <c r="AN498" t="s">
        <v>76</v>
      </c>
      <c r="AO498">
        <v>1</v>
      </c>
      <c r="AP498">
        <v>0</v>
      </c>
      <c r="AQ498">
        <v>16666.666666666668</v>
      </c>
      <c r="AR498" t="s">
        <v>9</v>
      </c>
      <c r="AS498" t="s">
        <v>78</v>
      </c>
      <c r="AX498" t="s">
        <v>79</v>
      </c>
      <c r="AY498" t="s">
        <v>74</v>
      </c>
      <c r="AZ498">
        <v>0</v>
      </c>
      <c r="BA498" t="s">
        <v>74</v>
      </c>
      <c r="BB498">
        <v>0</v>
      </c>
      <c r="BD498">
        <v>1.621</v>
      </c>
      <c r="BE498">
        <v>0</v>
      </c>
    </row>
    <row r="499" spans="1:58" ht="12.75">
      <c r="A499" s="2" t="str">
        <f>HYPERLINK("https://ibp.a2mac1.com/costing(costing:projects/details/8191/part/5383255)"," Busbar Assembly 1")</f>
        <v xml:space="preserve"> Busbar Assembly 1</v>
      </c>
      <c r="B499">
        <v>5383255</v>
      </c>
      <c r="C499">
        <v>5382996</v>
      </c>
      <c r="D499" t="s">
        <v>1880</v>
      </c>
      <c r="E499">
        <v>2.0918445362136717</v>
      </c>
      <c r="F499">
        <v>0</v>
      </c>
      <c r="G499">
        <v>0</v>
      </c>
      <c r="H499">
        <v>0.010590216021540819</v>
      </c>
      <c r="I499" t="s">
        <v>137</v>
      </c>
      <c r="J499">
        <v>0.073252482362436505</v>
      </c>
      <c r="K499">
        <v>2.1756872345976492</v>
      </c>
      <c r="L499">
        <v>0.075859086626975242</v>
      </c>
      <c r="M499">
        <v>0.26550680319441333</v>
      </c>
      <c r="N499">
        <v>2.4411940377920627</v>
      </c>
      <c r="O499" t="s">
        <v>138</v>
      </c>
      <c r="P499">
        <v>0.13054123407585896</v>
      </c>
      <c r="Q499" t="s">
        <v>138</v>
      </c>
      <c r="R499">
        <v>0.015930408191664802</v>
      </c>
      <c r="S499" t="s">
        <v>139</v>
      </c>
      <c r="T499">
        <v>0.29294328453504753</v>
      </c>
      <c r="U499" t="s">
        <v>90</v>
      </c>
      <c r="V499">
        <v>0</v>
      </c>
      <c r="W499" t="s">
        <v>90</v>
      </c>
      <c r="X499">
        <v>0</v>
      </c>
      <c r="Y499">
        <v>2.880608964594634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40</v>
      </c>
      <c r="AF499">
        <v>66</v>
      </c>
      <c r="AG499">
        <v>178</v>
      </c>
      <c r="AH499">
        <v>0</v>
      </c>
      <c r="AI499">
        <v>0.217</v>
      </c>
      <c r="AK499" t="s">
        <v>1866</v>
      </c>
      <c r="AM499">
        <v>200000</v>
      </c>
      <c r="AN499" t="s">
        <v>76</v>
      </c>
      <c r="AO499">
        <v>1</v>
      </c>
      <c r="AP499">
        <v>0</v>
      </c>
      <c r="AQ499">
        <v>16666.666666666668</v>
      </c>
      <c r="AR499" t="s">
        <v>9</v>
      </c>
      <c r="AS499" t="s">
        <v>78</v>
      </c>
      <c r="AX499" t="s">
        <v>79</v>
      </c>
      <c r="AY499" t="s">
        <v>137</v>
      </c>
      <c r="AZ499">
        <v>0</v>
      </c>
      <c r="BA499" t="s">
        <v>137</v>
      </c>
      <c r="BB499">
        <v>0</v>
      </c>
      <c r="BE499">
        <v>0</v>
      </c>
    </row>
    <row r="500" spans="1:58" ht="12.75">
      <c r="A500" s="2" t="str">
        <f>HYPERLINK("https://ibp.a2mac1.com/costing(costing:projects/details/8191/part/5383256)"," Busbar Assembly 2")</f>
        <v xml:space="preserve"> Busbar Assembly 2</v>
      </c>
      <c r="B500">
        <v>5383256</v>
      </c>
      <c r="C500">
        <v>5382996</v>
      </c>
      <c r="D500" t="s">
        <v>1887</v>
      </c>
      <c r="E500">
        <v>1.7111357575757575</v>
      </c>
      <c r="F500">
        <v>0</v>
      </c>
      <c r="G500">
        <v>0</v>
      </c>
      <c r="H500">
        <v>0.0086583469333333333</v>
      </c>
      <c r="I500" t="s">
        <v>137</v>
      </c>
      <c r="J500">
        <v>0.059889751515151517</v>
      </c>
      <c r="K500">
        <v>1.7796838560242425</v>
      </c>
      <c r="L500">
        <v>0.049197508000374</v>
      </c>
      <c r="M500">
        <v>0.29518504800224399</v>
      </c>
      <c r="N500">
        <v>2.0748689040264865</v>
      </c>
      <c r="O500" t="s">
        <v>138</v>
      </c>
      <c r="P500">
        <v>0.10678103136145455</v>
      </c>
      <c r="Q500" t="s">
        <v>138</v>
      </c>
      <c r="R500">
        <v>0.017711102880134642</v>
      </c>
      <c r="S500" t="s">
        <v>139</v>
      </c>
      <c r="T500">
        <v>0.24898426848317837</v>
      </c>
      <c r="U500" t="s">
        <v>216</v>
      </c>
      <c r="V500">
        <v>0.010374344520132433</v>
      </c>
      <c r="W500" t="s">
        <v>217</v>
      </c>
      <c r="X500">
        <v>0.04149737808052973</v>
      </c>
      <c r="Y500">
        <v>2.5002170293519161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38</v>
      </c>
      <c r="AF500">
        <v>85</v>
      </c>
      <c r="AG500">
        <v>109</v>
      </c>
      <c r="AH500">
        <v>0</v>
      </c>
      <c r="AI500">
        <v>0.14399999999999999</v>
      </c>
      <c r="AK500" t="s">
        <v>218</v>
      </c>
      <c r="AM500">
        <v>200000</v>
      </c>
      <c r="AN500" t="s">
        <v>76</v>
      </c>
      <c r="AO500">
        <v>1</v>
      </c>
      <c r="AP500">
        <v>0</v>
      </c>
      <c r="AQ500">
        <v>16666.666666666668</v>
      </c>
      <c r="AR500" t="s">
        <v>9</v>
      </c>
      <c r="AS500" t="s">
        <v>78</v>
      </c>
      <c r="AX500" t="s">
        <v>79</v>
      </c>
      <c r="AY500" t="s">
        <v>137</v>
      </c>
      <c r="AZ500">
        <v>0</v>
      </c>
      <c r="BA500" t="s">
        <v>137</v>
      </c>
      <c r="BB500">
        <v>0</v>
      </c>
      <c r="BE500">
        <v>0</v>
      </c>
    </row>
    <row r="501" spans="1:58" ht="12.75">
      <c r="A501" s="2" t="str">
        <f>HYPERLINK("https://ibp.a2mac1.com/costing(costing:projects/details/8191/part/5383257)"," Capacitor Assembly 1")</f>
        <v xml:space="preserve"> Capacitor Assembly 1</v>
      </c>
      <c r="B501">
        <v>5383257</v>
      </c>
      <c r="C501">
        <v>5382997</v>
      </c>
      <c r="D501" t="s">
        <v>1890</v>
      </c>
      <c r="E501">
        <v>13.302</v>
      </c>
      <c r="F501">
        <v>0</v>
      </c>
      <c r="G501">
        <v>0</v>
      </c>
      <c r="H501">
        <v>0</v>
      </c>
      <c r="I501" t="s">
        <v>74</v>
      </c>
      <c r="J501">
        <v>0</v>
      </c>
      <c r="K501">
        <v>13.302</v>
      </c>
      <c r="L501">
        <v>0</v>
      </c>
      <c r="M501">
        <v>0</v>
      </c>
      <c r="N501">
        <v>13.302</v>
      </c>
      <c r="O501" t="s">
        <v>74</v>
      </c>
      <c r="P501">
        <v>0</v>
      </c>
      <c r="Q501" t="s">
        <v>74</v>
      </c>
      <c r="R501">
        <v>0</v>
      </c>
      <c r="S501" t="s">
        <v>74</v>
      </c>
      <c r="T501">
        <v>0</v>
      </c>
      <c r="U501" t="s">
        <v>74</v>
      </c>
      <c r="V501">
        <v>0</v>
      </c>
      <c r="W501" t="s">
        <v>74</v>
      </c>
      <c r="X501">
        <v>0</v>
      </c>
      <c r="Y501">
        <v>13.302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95</v>
      </c>
      <c r="AF501">
        <v>40</v>
      </c>
      <c r="AG501">
        <v>177</v>
      </c>
      <c r="AH501">
        <v>0</v>
      </c>
      <c r="AI501">
        <v>0.56</v>
      </c>
      <c r="AK501" t="s">
        <v>1802</v>
      </c>
      <c r="AM501">
        <v>200000</v>
      </c>
      <c r="AN501" t="s">
        <v>76</v>
      </c>
      <c r="AO501">
        <v>1</v>
      </c>
      <c r="AP501">
        <v>0</v>
      </c>
      <c r="AQ501">
        <v>16666.666666666668</v>
      </c>
      <c r="AR501" t="s">
        <v>9</v>
      </c>
      <c r="AS501" t="s">
        <v>78</v>
      </c>
      <c r="AX501" t="s">
        <v>79</v>
      </c>
      <c r="AY501" t="s">
        <v>74</v>
      </c>
      <c r="AZ501">
        <v>0</v>
      </c>
      <c r="BA501" t="s">
        <v>74</v>
      </c>
      <c r="BB501">
        <v>0</v>
      </c>
      <c r="BD501">
        <v>13.302</v>
      </c>
      <c r="BE501">
        <v>0</v>
      </c>
    </row>
    <row r="502" spans="1:58" ht="12.75">
      <c r="A502" s="2" t="str">
        <f>HYPERLINK("https://ibp.a2mac1.com/costing(costing:projects/details/8191/part/5383258)"," Ferrite 1")</f>
        <v xml:space="preserve"> Ferrite 1</v>
      </c>
      <c r="B502">
        <v>5383258</v>
      </c>
      <c r="C502">
        <v>5382997</v>
      </c>
      <c r="D502" t="s">
        <v>1891</v>
      </c>
      <c r="E502">
        <v>1.5129999999999999</v>
      </c>
      <c r="F502">
        <v>0</v>
      </c>
      <c r="G502">
        <v>0</v>
      </c>
      <c r="H502">
        <v>0</v>
      </c>
      <c r="I502" t="s">
        <v>74</v>
      </c>
      <c r="J502">
        <v>0</v>
      </c>
      <c r="K502">
        <v>1.5129999999999999</v>
      </c>
      <c r="L502">
        <v>0</v>
      </c>
      <c r="M502">
        <v>0</v>
      </c>
      <c r="N502">
        <v>1.5129999999999999</v>
      </c>
      <c r="O502" t="s">
        <v>74</v>
      </c>
      <c r="P502">
        <v>0</v>
      </c>
      <c r="Q502" t="s">
        <v>74</v>
      </c>
      <c r="R502">
        <v>0</v>
      </c>
      <c r="S502" t="s">
        <v>74</v>
      </c>
      <c r="T502">
        <v>0</v>
      </c>
      <c r="U502" t="s">
        <v>74</v>
      </c>
      <c r="V502">
        <v>0</v>
      </c>
      <c r="W502" t="s">
        <v>74</v>
      </c>
      <c r="X502">
        <v>0</v>
      </c>
      <c r="Y502">
        <v>1.5129999999999999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32</v>
      </c>
      <c r="AF502">
        <v>29</v>
      </c>
      <c r="AG502">
        <v>30</v>
      </c>
      <c r="AH502">
        <v>0</v>
      </c>
      <c r="AI502">
        <v>0.095</v>
      </c>
      <c r="AK502" t="s">
        <v>218</v>
      </c>
      <c r="AM502">
        <v>200000</v>
      </c>
      <c r="AN502" t="s">
        <v>76</v>
      </c>
      <c r="AO502">
        <v>1</v>
      </c>
      <c r="AP502">
        <v>0</v>
      </c>
      <c r="AQ502">
        <v>16666.666666666668</v>
      </c>
      <c r="AR502" t="s">
        <v>9</v>
      </c>
      <c r="AS502" t="s">
        <v>78</v>
      </c>
      <c r="AX502" t="s">
        <v>79</v>
      </c>
      <c r="AY502" t="s">
        <v>74</v>
      </c>
      <c r="AZ502">
        <v>0</v>
      </c>
      <c r="BA502" t="s">
        <v>74</v>
      </c>
      <c r="BB502">
        <v>0</v>
      </c>
      <c r="BD502">
        <v>1.5129999999999999</v>
      </c>
      <c r="BE502">
        <v>0</v>
      </c>
    </row>
    <row r="503" spans="1:58" ht="12.75">
      <c r="A503" s="2" t="str">
        <f>HYPERLINK("https://ibp.a2mac1.com/costing(costing:projects/details/8191/part/5383259)"," Ferrite 2")</f>
        <v xml:space="preserve"> Ferrite 2</v>
      </c>
      <c r="B503">
        <v>5383259</v>
      </c>
      <c r="C503">
        <v>5382997</v>
      </c>
      <c r="D503" t="s">
        <v>1892</v>
      </c>
      <c r="E503">
        <v>2.065</v>
      </c>
      <c r="F503">
        <v>0</v>
      </c>
      <c r="G503">
        <v>0</v>
      </c>
      <c r="H503">
        <v>0</v>
      </c>
      <c r="I503" t="s">
        <v>74</v>
      </c>
      <c r="J503">
        <v>0</v>
      </c>
      <c r="K503">
        <v>2.065</v>
      </c>
      <c r="L503">
        <v>0</v>
      </c>
      <c r="M503">
        <v>0</v>
      </c>
      <c r="N503">
        <v>2.065</v>
      </c>
      <c r="O503" t="s">
        <v>74</v>
      </c>
      <c r="P503">
        <v>0</v>
      </c>
      <c r="Q503" t="s">
        <v>74</v>
      </c>
      <c r="R503">
        <v>0</v>
      </c>
      <c r="S503" t="s">
        <v>74</v>
      </c>
      <c r="T503">
        <v>0</v>
      </c>
      <c r="U503" t="s">
        <v>74</v>
      </c>
      <c r="V503">
        <v>0</v>
      </c>
      <c r="W503" t="s">
        <v>74</v>
      </c>
      <c r="X503">
        <v>0</v>
      </c>
      <c r="Y503">
        <v>2.065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32</v>
      </c>
      <c r="AF503">
        <v>28</v>
      </c>
      <c r="AG503">
        <v>43</v>
      </c>
      <c r="AH503">
        <v>0</v>
      </c>
      <c r="AI503">
        <v>0.13300000000000001</v>
      </c>
      <c r="AK503" t="s">
        <v>218</v>
      </c>
      <c r="AM503">
        <v>200000</v>
      </c>
      <c r="AN503" t="s">
        <v>76</v>
      </c>
      <c r="AO503">
        <v>1</v>
      </c>
      <c r="AP503">
        <v>0</v>
      </c>
      <c r="AQ503">
        <v>16666.666666666668</v>
      </c>
      <c r="AR503" t="s">
        <v>9</v>
      </c>
      <c r="AS503" t="s">
        <v>78</v>
      </c>
      <c r="AX503" t="s">
        <v>79</v>
      </c>
      <c r="AY503" t="s">
        <v>74</v>
      </c>
      <c r="AZ503">
        <v>0</v>
      </c>
      <c r="BA503" t="s">
        <v>74</v>
      </c>
      <c r="BB503">
        <v>0</v>
      </c>
      <c r="BD503">
        <v>2.065</v>
      </c>
      <c r="BE503">
        <v>0</v>
      </c>
    </row>
    <row r="504" spans="1:58" ht="12.75">
      <c r="A504" s="2" t="str">
        <f>HYPERLINK("https://ibp.a2mac1.com/costing(costing:projects/details/8191/part/5383260)"," Power Module 1")</f>
        <v xml:space="preserve"> Power Module 1</v>
      </c>
      <c r="B504">
        <v>5383260</v>
      </c>
      <c r="C504">
        <v>5382997</v>
      </c>
      <c r="D504" t="s">
        <v>1893</v>
      </c>
      <c r="E504">
        <v>130.88900000000001</v>
      </c>
      <c r="F504">
        <v>0</v>
      </c>
      <c r="G504">
        <v>0</v>
      </c>
      <c r="H504">
        <v>0</v>
      </c>
      <c r="I504" t="s">
        <v>74</v>
      </c>
      <c r="J504">
        <v>0</v>
      </c>
      <c r="K504">
        <v>130.88900000000001</v>
      </c>
      <c r="L504">
        <v>0</v>
      </c>
      <c r="M504">
        <v>0</v>
      </c>
      <c r="N504">
        <v>130.88900000000001</v>
      </c>
      <c r="O504" t="s">
        <v>74</v>
      </c>
      <c r="P504">
        <v>0</v>
      </c>
      <c r="Q504" t="s">
        <v>74</v>
      </c>
      <c r="R504">
        <v>0</v>
      </c>
      <c r="S504" t="s">
        <v>74</v>
      </c>
      <c r="T504">
        <v>0</v>
      </c>
      <c r="U504" t="s">
        <v>74</v>
      </c>
      <c r="V504">
        <v>0</v>
      </c>
      <c r="W504" t="s">
        <v>74</v>
      </c>
      <c r="X504">
        <v>0</v>
      </c>
      <c r="Y504">
        <v>130.88900000000001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143</v>
      </c>
      <c r="AF504">
        <v>32</v>
      </c>
      <c r="AG504">
        <v>155</v>
      </c>
      <c r="AH504">
        <v>0</v>
      </c>
      <c r="AI504">
        <v>0.60</v>
      </c>
      <c r="AK504" t="s">
        <v>1810</v>
      </c>
      <c r="AM504">
        <v>200000</v>
      </c>
      <c r="AN504" t="s">
        <v>76</v>
      </c>
      <c r="AO504">
        <v>1</v>
      </c>
      <c r="AP504">
        <v>0</v>
      </c>
      <c r="AQ504">
        <v>16666.666666666668</v>
      </c>
      <c r="AR504" t="s">
        <v>9</v>
      </c>
      <c r="AS504" t="s">
        <v>78</v>
      </c>
      <c r="AX504" t="s">
        <v>79</v>
      </c>
      <c r="AY504" t="s">
        <v>74</v>
      </c>
      <c r="AZ504">
        <v>0</v>
      </c>
      <c r="BA504" t="s">
        <v>74</v>
      </c>
      <c r="BB504">
        <v>0</v>
      </c>
      <c r="BD504">
        <v>130.88900000000001</v>
      </c>
      <c r="BE504">
        <v>0</v>
      </c>
    </row>
    <row r="505" spans="1:58" ht="12.75">
      <c r="A505" s="2" t="str">
        <f>HYPERLINK("https://ibp.a2mac1.com/costing(costing:projects/details/8191/part/5383261)"," Current Sensor 1")</f>
        <v xml:space="preserve"> Current Sensor 1</v>
      </c>
      <c r="B505">
        <v>5383261</v>
      </c>
      <c r="C505">
        <v>5382997</v>
      </c>
      <c r="D505" t="s">
        <v>1894</v>
      </c>
      <c r="E505">
        <v>7.68</v>
      </c>
      <c r="F505">
        <v>0</v>
      </c>
      <c r="G505">
        <v>0</v>
      </c>
      <c r="H505">
        <v>0</v>
      </c>
      <c r="I505" t="s">
        <v>74</v>
      </c>
      <c r="J505">
        <v>0</v>
      </c>
      <c r="K505">
        <v>7.68</v>
      </c>
      <c r="L505">
        <v>0</v>
      </c>
      <c r="M505">
        <v>0</v>
      </c>
      <c r="N505">
        <v>7.68</v>
      </c>
      <c r="O505" t="s">
        <v>74</v>
      </c>
      <c r="P505">
        <v>0</v>
      </c>
      <c r="Q505" t="s">
        <v>74</v>
      </c>
      <c r="R505">
        <v>0</v>
      </c>
      <c r="S505" t="s">
        <v>74</v>
      </c>
      <c r="T505">
        <v>0</v>
      </c>
      <c r="U505" t="s">
        <v>74</v>
      </c>
      <c r="V505">
        <v>0</v>
      </c>
      <c r="W505" t="s">
        <v>74</v>
      </c>
      <c r="X505">
        <v>0</v>
      </c>
      <c r="Y505">
        <v>7.68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30</v>
      </c>
      <c r="AF505">
        <v>24</v>
      </c>
      <c r="AG505">
        <v>125</v>
      </c>
      <c r="AH505">
        <v>0</v>
      </c>
      <c r="AI505">
        <v>0.08</v>
      </c>
      <c r="AK505" t="s">
        <v>218</v>
      </c>
      <c r="AM505">
        <v>200000</v>
      </c>
      <c r="AN505" t="s">
        <v>76</v>
      </c>
      <c r="AO505">
        <v>1</v>
      </c>
      <c r="AP505">
        <v>0</v>
      </c>
      <c r="AQ505">
        <v>16666.666666666668</v>
      </c>
      <c r="AR505" t="s">
        <v>9</v>
      </c>
      <c r="AS505" t="s">
        <v>78</v>
      </c>
      <c r="AX505" t="s">
        <v>79</v>
      </c>
      <c r="AY505" t="s">
        <v>74</v>
      </c>
      <c r="AZ505">
        <v>0</v>
      </c>
      <c r="BA505" t="s">
        <v>74</v>
      </c>
      <c r="BB505">
        <v>0</v>
      </c>
      <c r="BD505">
        <v>7.68</v>
      </c>
      <c r="BE505">
        <v>0</v>
      </c>
    </row>
    <row r="506" spans="1:58" ht="12.75">
      <c r="A506" s="2" t="str">
        <f>HYPERLINK("https://ibp.a2mac1.com/costing(costing:projects/details/8191/part/5383262)"," Filter PCB")</f>
        <v xml:space="preserve"> Filter PCB</v>
      </c>
      <c r="B506">
        <v>5383262</v>
      </c>
      <c r="C506">
        <v>5382997</v>
      </c>
      <c r="D506" t="s">
        <v>1895</v>
      </c>
      <c r="E506">
        <v>4.61</v>
      </c>
      <c r="F506">
        <v>0</v>
      </c>
      <c r="G506">
        <v>0</v>
      </c>
      <c r="H506">
        <v>0</v>
      </c>
      <c r="I506" t="s">
        <v>74</v>
      </c>
      <c r="J506">
        <v>0</v>
      </c>
      <c r="K506">
        <v>4.61</v>
      </c>
      <c r="L506">
        <v>0</v>
      </c>
      <c r="M506">
        <v>0</v>
      </c>
      <c r="N506">
        <v>4.61</v>
      </c>
      <c r="O506" t="s">
        <v>74</v>
      </c>
      <c r="P506">
        <v>0</v>
      </c>
      <c r="Q506" t="s">
        <v>74</v>
      </c>
      <c r="R506">
        <v>0</v>
      </c>
      <c r="S506" t="s">
        <v>74</v>
      </c>
      <c r="T506">
        <v>0</v>
      </c>
      <c r="U506" t="s">
        <v>74</v>
      </c>
      <c r="V506">
        <v>0</v>
      </c>
      <c r="W506" t="s">
        <v>74</v>
      </c>
      <c r="X506">
        <v>0</v>
      </c>
      <c r="Y506">
        <v>4.61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111</v>
      </c>
      <c r="AF506">
        <v>26</v>
      </c>
      <c r="AG506">
        <v>165</v>
      </c>
      <c r="AH506">
        <v>0</v>
      </c>
      <c r="AI506">
        <v>0.085999999999999993</v>
      </c>
      <c r="AK506" t="s">
        <v>218</v>
      </c>
      <c r="AM506">
        <v>200000</v>
      </c>
      <c r="AN506" t="s">
        <v>76</v>
      </c>
      <c r="AO506">
        <v>1</v>
      </c>
      <c r="AP506">
        <v>0</v>
      </c>
      <c r="AQ506">
        <v>16666.666666666668</v>
      </c>
      <c r="AR506" t="s">
        <v>9</v>
      </c>
      <c r="AS506" t="s">
        <v>78</v>
      </c>
      <c r="AX506" t="s">
        <v>79</v>
      </c>
      <c r="AY506" t="s">
        <v>74</v>
      </c>
      <c r="AZ506">
        <v>0</v>
      </c>
      <c r="BA506" t="s">
        <v>74</v>
      </c>
      <c r="BB506">
        <v>0</v>
      </c>
      <c r="BD506">
        <v>4.61</v>
      </c>
      <c r="BE506">
        <v>0</v>
      </c>
    </row>
    <row r="507" spans="1:58" ht="12.75">
      <c r="A507" s="2" t="str">
        <f>HYPERLINK("https://ibp.a2mac1.com/costing(costing:projects/details/8191/part/5383263)","Control PCBA")</f>
        <v>Control PCBA</v>
      </c>
      <c r="B507">
        <v>5383263</v>
      </c>
      <c r="C507">
        <v>5382997</v>
      </c>
      <c r="D507" t="s">
        <v>1896</v>
      </c>
      <c r="E507">
        <v>34.08</v>
      </c>
      <c r="F507">
        <v>0</v>
      </c>
      <c r="G507">
        <v>0</v>
      </c>
      <c r="H507">
        <v>0</v>
      </c>
      <c r="I507" t="s">
        <v>74</v>
      </c>
      <c r="J507">
        <v>0</v>
      </c>
      <c r="K507">
        <v>34.08</v>
      </c>
      <c r="L507">
        <v>0</v>
      </c>
      <c r="M507">
        <v>0</v>
      </c>
      <c r="N507">
        <v>34.08</v>
      </c>
      <c r="O507" t="s">
        <v>74</v>
      </c>
      <c r="P507">
        <v>0</v>
      </c>
      <c r="Q507" t="s">
        <v>74</v>
      </c>
      <c r="R507">
        <v>0</v>
      </c>
      <c r="S507" t="s">
        <v>74</v>
      </c>
      <c r="T507">
        <v>0</v>
      </c>
      <c r="U507" t="s">
        <v>74</v>
      </c>
      <c r="V507">
        <v>0</v>
      </c>
      <c r="W507" t="s">
        <v>74</v>
      </c>
      <c r="X507">
        <v>0</v>
      </c>
      <c r="Y507">
        <v>34.08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143</v>
      </c>
      <c r="AF507">
        <v>52</v>
      </c>
      <c r="AG507">
        <v>208</v>
      </c>
      <c r="AH507">
        <v>0</v>
      </c>
      <c r="AI507">
        <v>0.159</v>
      </c>
      <c r="AK507" t="s">
        <v>218</v>
      </c>
      <c r="AM507">
        <v>200000</v>
      </c>
      <c r="AN507" t="s">
        <v>92</v>
      </c>
      <c r="AO507">
        <v>1</v>
      </c>
      <c r="AP507">
        <v>0</v>
      </c>
      <c r="AQ507">
        <v>16666.666666666668</v>
      </c>
      <c r="AR507" t="s">
        <v>9</v>
      </c>
      <c r="AS507" t="s">
        <v>78</v>
      </c>
      <c r="AX507" t="s">
        <v>79</v>
      </c>
      <c r="AY507" t="s">
        <v>74</v>
      </c>
      <c r="AZ507">
        <v>0</v>
      </c>
      <c r="BA507" t="s">
        <v>74</v>
      </c>
      <c r="BB507">
        <v>0</v>
      </c>
      <c r="BD507">
        <v>34.08</v>
      </c>
      <c r="BE507">
        <v>0</v>
      </c>
    </row>
    <row r="508" spans="1:58" ht="12.75">
      <c r="A508" s="2" t="str">
        <f>HYPERLINK("https://ibp.a2mac1.com/costing(costing:projects/details/8191/part/5383354)","Gate Driver PCBA")</f>
        <v>Gate Driver PCBA</v>
      </c>
      <c r="B508">
        <v>5383354</v>
      </c>
      <c r="C508">
        <v>5382997</v>
      </c>
      <c r="D508" t="s">
        <v>1897</v>
      </c>
      <c r="E508">
        <v>32.10</v>
      </c>
      <c r="F508">
        <v>0</v>
      </c>
      <c r="G508">
        <v>0</v>
      </c>
      <c r="H508">
        <v>0</v>
      </c>
      <c r="I508" t="s">
        <v>74</v>
      </c>
      <c r="J508">
        <v>0</v>
      </c>
      <c r="K508">
        <v>32.10</v>
      </c>
      <c r="L508">
        <v>0</v>
      </c>
      <c r="M508">
        <v>0</v>
      </c>
      <c r="N508">
        <v>32.10</v>
      </c>
      <c r="O508" t="s">
        <v>74</v>
      </c>
      <c r="P508">
        <v>0</v>
      </c>
      <c r="Q508" t="s">
        <v>74</v>
      </c>
      <c r="R508">
        <v>0</v>
      </c>
      <c r="S508" t="s">
        <v>74</v>
      </c>
      <c r="T508">
        <v>0</v>
      </c>
      <c r="U508" t="s">
        <v>74</v>
      </c>
      <c r="V508">
        <v>0</v>
      </c>
      <c r="W508" t="s">
        <v>74</v>
      </c>
      <c r="X508">
        <v>0</v>
      </c>
      <c r="Y508">
        <v>32.10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111</v>
      </c>
      <c r="AF508">
        <v>20</v>
      </c>
      <c r="AG508">
        <v>175</v>
      </c>
      <c r="AH508">
        <v>0</v>
      </c>
      <c r="AI508">
        <v>0.10299999999999999</v>
      </c>
      <c r="AK508" t="s">
        <v>218</v>
      </c>
      <c r="AM508">
        <v>200000</v>
      </c>
      <c r="AN508" t="s">
        <v>92</v>
      </c>
      <c r="AO508">
        <v>1</v>
      </c>
      <c r="AP508">
        <v>0</v>
      </c>
      <c r="AQ508">
        <v>16666.666666666668</v>
      </c>
      <c r="AR508" t="s">
        <v>9</v>
      </c>
      <c r="AS508" t="s">
        <v>78</v>
      </c>
      <c r="AX508" t="s">
        <v>79</v>
      </c>
      <c r="AY508" t="s">
        <v>74</v>
      </c>
      <c r="AZ508">
        <v>0</v>
      </c>
      <c r="BA508" t="s">
        <v>74</v>
      </c>
      <c r="BB508">
        <v>0</v>
      </c>
      <c r="BD508">
        <v>32.10</v>
      </c>
      <c r="BE508">
        <v>0</v>
      </c>
    </row>
    <row r="509" spans="1:58" ht="12.75">
      <c r="A509" s="2" t="str">
        <f>HYPERLINK("https://ibp.a2mac1.com/costing(costing:projects/details/8191/part/5383356)"," Busbar Cover 1")</f>
        <v xml:space="preserve"> Busbar Cover 1</v>
      </c>
      <c r="B509">
        <v>5383356</v>
      </c>
      <c r="C509">
        <v>5382998</v>
      </c>
      <c r="D509" t="s">
        <v>1900</v>
      </c>
      <c r="E509">
        <v>0.14699999999999999</v>
      </c>
      <c r="F509">
        <v>0</v>
      </c>
      <c r="G509">
        <v>0</v>
      </c>
      <c r="H509">
        <v>0</v>
      </c>
      <c r="I509" t="s">
        <v>74</v>
      </c>
      <c r="J509">
        <v>0</v>
      </c>
      <c r="K509">
        <v>0.14699999999999999</v>
      </c>
      <c r="L509">
        <v>0</v>
      </c>
      <c r="M509">
        <v>0</v>
      </c>
      <c r="N509">
        <v>0.14699999999999999</v>
      </c>
      <c r="O509" t="s">
        <v>74</v>
      </c>
      <c r="P509">
        <v>0</v>
      </c>
      <c r="Q509" t="s">
        <v>74</v>
      </c>
      <c r="R509">
        <v>0</v>
      </c>
      <c r="S509" t="s">
        <v>74</v>
      </c>
      <c r="T509">
        <v>0</v>
      </c>
      <c r="U509" t="s">
        <v>74</v>
      </c>
      <c r="V509">
        <v>0</v>
      </c>
      <c r="W509" t="s">
        <v>74</v>
      </c>
      <c r="X509">
        <v>0</v>
      </c>
      <c r="Y509">
        <v>0.14699999999999999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31</v>
      </c>
      <c r="AF509">
        <v>26</v>
      </c>
      <c r="AG509">
        <v>132</v>
      </c>
      <c r="AH509">
        <v>0</v>
      </c>
      <c r="AI509">
        <v>0.021000000000000001</v>
      </c>
      <c r="AK509" t="s">
        <v>218</v>
      </c>
      <c r="AM509">
        <v>200000</v>
      </c>
      <c r="AN509" t="s">
        <v>76</v>
      </c>
      <c r="AO509">
        <v>1</v>
      </c>
      <c r="AP509">
        <v>0</v>
      </c>
      <c r="AQ509">
        <v>16666.666666666668</v>
      </c>
      <c r="AR509" t="s">
        <v>9</v>
      </c>
      <c r="AS509" t="s">
        <v>78</v>
      </c>
      <c r="AX509" t="s">
        <v>79</v>
      </c>
      <c r="AY509" t="s">
        <v>74</v>
      </c>
      <c r="AZ509">
        <v>0</v>
      </c>
      <c r="BA509" t="s">
        <v>74</v>
      </c>
      <c r="BB509">
        <v>0</v>
      </c>
      <c r="BD509">
        <v>0.14699999999999999</v>
      </c>
      <c r="BE509">
        <v>0</v>
      </c>
    </row>
    <row r="510" spans="1:58" ht="12.75">
      <c r="A510" s="2" t="str">
        <f>HYPERLINK("https://ibp.a2mac1.com/costing(costing:projects/details/8191/part/5383358)"," Filter PCB Protection")</f>
        <v xml:space="preserve"> Filter PCB Protection</v>
      </c>
      <c r="B510">
        <v>5383358</v>
      </c>
      <c r="C510">
        <v>5382998</v>
      </c>
      <c r="D510" t="s">
        <v>1901</v>
      </c>
      <c r="E510">
        <v>0.70</v>
      </c>
      <c r="F510">
        <v>0</v>
      </c>
      <c r="G510">
        <v>0</v>
      </c>
      <c r="H510">
        <v>0</v>
      </c>
      <c r="I510" t="s">
        <v>74</v>
      </c>
      <c r="J510">
        <v>0</v>
      </c>
      <c r="K510">
        <v>0.70</v>
      </c>
      <c r="L510">
        <v>0</v>
      </c>
      <c r="M510">
        <v>0</v>
      </c>
      <c r="N510">
        <v>0.70</v>
      </c>
      <c r="O510" t="s">
        <v>74</v>
      </c>
      <c r="P510">
        <v>0</v>
      </c>
      <c r="Q510" t="s">
        <v>74</v>
      </c>
      <c r="R510">
        <v>0</v>
      </c>
      <c r="S510" t="s">
        <v>74</v>
      </c>
      <c r="T510">
        <v>0</v>
      </c>
      <c r="U510" t="s">
        <v>74</v>
      </c>
      <c r="V510">
        <v>0</v>
      </c>
      <c r="W510" t="s">
        <v>74</v>
      </c>
      <c r="X510">
        <v>0</v>
      </c>
      <c r="Y510">
        <v>0.70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119</v>
      </c>
      <c r="AF510">
        <v>26</v>
      </c>
      <c r="AG510">
        <v>175</v>
      </c>
      <c r="AH510">
        <v>0</v>
      </c>
      <c r="AI510">
        <v>0.075</v>
      </c>
      <c r="AK510" t="s">
        <v>218</v>
      </c>
      <c r="AM510">
        <v>200000</v>
      </c>
      <c r="AN510" t="s">
        <v>76</v>
      </c>
      <c r="AO510">
        <v>1</v>
      </c>
      <c r="AP510">
        <v>0</v>
      </c>
      <c r="AQ510">
        <v>16666.666666666668</v>
      </c>
      <c r="AR510" t="s">
        <v>9</v>
      </c>
      <c r="AS510" t="s">
        <v>78</v>
      </c>
      <c r="AX510" t="s">
        <v>79</v>
      </c>
      <c r="AY510" t="s">
        <v>74</v>
      </c>
      <c r="AZ510">
        <v>0</v>
      </c>
      <c r="BA510" t="s">
        <v>74</v>
      </c>
      <c r="BB510">
        <v>0</v>
      </c>
      <c r="BD510">
        <v>0.70</v>
      </c>
      <c r="BE510">
        <v>0</v>
      </c>
    </row>
    <row r="511" spans="1:58" ht="12.75">
      <c r="A511" s="2" t="str">
        <f>HYPERLINK("https://ibp.a2mac1.com/costing(costing:projects/details/8191/part/5383360)"," Pressure Vent 1")</f>
        <v xml:space="preserve"> Pressure Vent 1</v>
      </c>
      <c r="B511">
        <v>5383360</v>
      </c>
      <c r="C511">
        <v>5382998</v>
      </c>
      <c r="D511" t="s">
        <v>1902</v>
      </c>
      <c r="E511">
        <v>0.19600000000000001</v>
      </c>
      <c r="F511">
        <v>0</v>
      </c>
      <c r="G511">
        <v>0</v>
      </c>
      <c r="H511">
        <v>0</v>
      </c>
      <c r="I511" t="s">
        <v>74</v>
      </c>
      <c r="J511">
        <v>0</v>
      </c>
      <c r="K511">
        <v>0.19600000000000001</v>
      </c>
      <c r="L511">
        <v>0</v>
      </c>
      <c r="M511">
        <v>0</v>
      </c>
      <c r="N511">
        <v>0.19600000000000001</v>
      </c>
      <c r="O511" t="s">
        <v>74</v>
      </c>
      <c r="P511">
        <v>0</v>
      </c>
      <c r="Q511" t="s">
        <v>74</v>
      </c>
      <c r="R511">
        <v>0</v>
      </c>
      <c r="S511" t="s">
        <v>74</v>
      </c>
      <c r="T511">
        <v>0</v>
      </c>
      <c r="U511" t="s">
        <v>74</v>
      </c>
      <c r="V511">
        <v>0</v>
      </c>
      <c r="W511" t="s">
        <v>74</v>
      </c>
      <c r="X511">
        <v>0</v>
      </c>
      <c r="Y511">
        <v>0.19600000000000001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13</v>
      </c>
      <c r="AF511">
        <v>17</v>
      </c>
      <c r="AG511">
        <v>17</v>
      </c>
      <c r="AH511">
        <v>0</v>
      </c>
      <c r="AI511">
        <v>0.001</v>
      </c>
      <c r="AK511" t="s">
        <v>218</v>
      </c>
      <c r="AM511">
        <v>200000</v>
      </c>
      <c r="AN511" t="s">
        <v>76</v>
      </c>
      <c r="AO511">
        <v>1</v>
      </c>
      <c r="AP511">
        <v>0</v>
      </c>
      <c r="AQ511">
        <v>16666.666666666668</v>
      </c>
      <c r="AR511" t="s">
        <v>9</v>
      </c>
      <c r="AS511" t="s">
        <v>78</v>
      </c>
      <c r="AX511" t="s">
        <v>79</v>
      </c>
      <c r="AY511" t="s">
        <v>74</v>
      </c>
      <c r="AZ511">
        <v>0</v>
      </c>
      <c r="BA511" t="s">
        <v>74</v>
      </c>
      <c r="BB511">
        <v>0</v>
      </c>
      <c r="BD511">
        <v>0.19600000000000001</v>
      </c>
      <c r="BE511">
        <v>0</v>
      </c>
    </row>
    <row r="512" spans="1:58" ht="12.75">
      <c r="A512" s="2" t="str">
        <f>HYPERLINK("https://ibp.a2mac1.com/costing(costing:projects/details/8191/part/5383361)"," Thermal Paste/Gap Pad #1")</f>
        <v xml:space="preserve"> Thermal Paste/Gap Pad #1</v>
      </c>
      <c r="B512">
        <v>5383361</v>
      </c>
      <c r="C512">
        <v>5382998</v>
      </c>
      <c r="D512" t="s">
        <v>1903</v>
      </c>
      <c r="E512">
        <v>0.10</v>
      </c>
      <c r="F512">
        <v>0</v>
      </c>
      <c r="G512">
        <v>0</v>
      </c>
      <c r="H512">
        <v>0</v>
      </c>
      <c r="I512" t="s">
        <v>74</v>
      </c>
      <c r="J512">
        <v>0</v>
      </c>
      <c r="K512">
        <v>0.10</v>
      </c>
      <c r="L512">
        <v>0</v>
      </c>
      <c r="M512">
        <v>0</v>
      </c>
      <c r="N512">
        <v>0.10</v>
      </c>
      <c r="O512" t="s">
        <v>74</v>
      </c>
      <c r="P512">
        <v>0</v>
      </c>
      <c r="Q512" t="s">
        <v>74</v>
      </c>
      <c r="R512">
        <v>0</v>
      </c>
      <c r="S512" t="s">
        <v>74</v>
      </c>
      <c r="T512">
        <v>0</v>
      </c>
      <c r="U512" t="s">
        <v>74</v>
      </c>
      <c r="V512">
        <v>0</v>
      </c>
      <c r="W512" t="s">
        <v>74</v>
      </c>
      <c r="X512">
        <v>0</v>
      </c>
      <c r="Y512">
        <v>0.10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0.015</v>
      </c>
      <c r="AK512" t="s">
        <v>218</v>
      </c>
      <c r="AM512">
        <v>200000</v>
      </c>
      <c r="AN512" t="s">
        <v>76</v>
      </c>
      <c r="AO512">
        <v>1</v>
      </c>
      <c r="AP512">
        <v>0</v>
      </c>
      <c r="AQ512">
        <v>16666.666666666668</v>
      </c>
      <c r="AR512" t="s">
        <v>9</v>
      </c>
      <c r="AS512" t="s">
        <v>78</v>
      </c>
      <c r="AX512" t="s">
        <v>79</v>
      </c>
      <c r="AY512" t="s">
        <v>74</v>
      </c>
      <c r="AZ512">
        <v>0</v>
      </c>
      <c r="BA512" t="s">
        <v>74</v>
      </c>
      <c r="BB512">
        <v>0</v>
      </c>
      <c r="BD512">
        <v>0.10</v>
      </c>
      <c r="BE512">
        <v>0</v>
      </c>
    </row>
    <row r="513" spans="1:58" ht="12.75">
      <c r="A513" s="2" t="str">
        <f>HYPERLINK("https://ibp.a2mac1.com/costing(costing:projects/details/8191/part/5383362)"," Main Housing")</f>
        <v xml:space="preserve"> Main Housing</v>
      </c>
      <c r="B513">
        <v>5383362</v>
      </c>
      <c r="C513">
        <v>5382998</v>
      </c>
      <c r="D513" t="s">
        <v>1908</v>
      </c>
      <c r="E513">
        <v>6.248523808765432</v>
      </c>
      <c r="F513">
        <v>0</v>
      </c>
      <c r="G513">
        <v>0</v>
      </c>
      <c r="H513">
        <v>0.03493649775950617</v>
      </c>
      <c r="I513" t="s">
        <v>137</v>
      </c>
      <c r="J513">
        <v>0.24165561691358026</v>
      </c>
      <c r="K513">
        <v>6.5251159234385181</v>
      </c>
      <c r="L513">
        <v>2.6928472504403276</v>
      </c>
      <c r="M513">
        <v>16.157083502641967</v>
      </c>
      <c r="N513">
        <v>22.682199426080484</v>
      </c>
      <c r="O513" t="s">
        <v>138</v>
      </c>
      <c r="P513">
        <v>0.39150695540631109</v>
      </c>
      <c r="Q513" t="s">
        <v>138</v>
      </c>
      <c r="R513">
        <v>0.96942501015851801</v>
      </c>
      <c r="S513" t="s">
        <v>139</v>
      </c>
      <c r="T513">
        <v>2.7218639311296582</v>
      </c>
      <c r="U513" t="s">
        <v>216</v>
      </c>
      <c r="V513">
        <v>0.11341099713040242</v>
      </c>
      <c r="W513" t="s">
        <v>217</v>
      </c>
      <c r="X513">
        <v>0.4536439885216097</v>
      </c>
      <c r="Y513">
        <v>27.332050308426986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282</v>
      </c>
      <c r="AF513">
        <v>115</v>
      </c>
      <c r="AG513">
        <v>259</v>
      </c>
      <c r="AH513">
        <v>0</v>
      </c>
      <c r="AI513">
        <v>2.2810000000000001</v>
      </c>
      <c r="AK513" t="s">
        <v>218</v>
      </c>
      <c r="AM513">
        <v>200000</v>
      </c>
      <c r="AN513" t="s">
        <v>76</v>
      </c>
      <c r="AO513">
        <v>1</v>
      </c>
      <c r="AP513">
        <v>0</v>
      </c>
      <c r="AQ513">
        <v>16666.666666666668</v>
      </c>
      <c r="AR513" t="s">
        <v>9</v>
      </c>
      <c r="AS513" t="s">
        <v>78</v>
      </c>
      <c r="AX513" t="s">
        <v>79</v>
      </c>
      <c r="AY513" t="s">
        <v>137</v>
      </c>
      <c r="AZ513">
        <v>0</v>
      </c>
      <c r="BA513" t="s">
        <v>137</v>
      </c>
      <c r="BB513">
        <v>0</v>
      </c>
      <c r="BE513">
        <v>0</v>
      </c>
    </row>
    <row r="514" spans="1:58" ht="12.75">
      <c r="A514" s="2" t="str">
        <f>HYPERLINK("https://ibp.a2mac1.com/costing(costing:projects/details/8191/part/5383363)"," Top Lid")</f>
        <v xml:space="preserve"> Top Lid</v>
      </c>
      <c r="B514">
        <v>5383363</v>
      </c>
      <c r="C514">
        <v>5382998</v>
      </c>
      <c r="D514" t="s">
        <v>1913</v>
      </c>
      <c r="E514">
        <v>2.3420232688324871</v>
      </c>
      <c r="F514">
        <v>0</v>
      </c>
      <c r="G514">
        <v>0</v>
      </c>
      <c r="H514">
        <v>0.011940189158984772</v>
      </c>
      <c r="I514" t="s">
        <v>137</v>
      </c>
      <c r="J514">
        <v>0.082590241218274116</v>
      </c>
      <c r="K514">
        <v>2.4365536992097461</v>
      </c>
      <c r="L514">
        <v>1.1492904439712346</v>
      </c>
      <c r="M514">
        <v>6.8957426638274075</v>
      </c>
      <c r="N514">
        <v>9.3322963630371536</v>
      </c>
      <c r="O514" t="s">
        <v>138</v>
      </c>
      <c r="P514">
        <v>0.14619322195258477</v>
      </c>
      <c r="Q514" t="s">
        <v>138</v>
      </c>
      <c r="R514">
        <v>0.41374455982964448</v>
      </c>
      <c r="S514" t="s">
        <v>139</v>
      </c>
      <c r="T514">
        <v>1.1198755635644584</v>
      </c>
      <c r="U514" t="s">
        <v>216</v>
      </c>
      <c r="V514">
        <v>0.046661481815185771</v>
      </c>
      <c r="W514" t="s">
        <v>217</v>
      </c>
      <c r="X514">
        <v>0.18664592726074308</v>
      </c>
      <c r="Y514">
        <v>11.245417117459771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291</v>
      </c>
      <c r="AF514">
        <v>21</v>
      </c>
      <c r="AG514">
        <v>263</v>
      </c>
      <c r="AH514">
        <v>0</v>
      </c>
      <c r="AI514">
        <v>0.94799999999999995</v>
      </c>
      <c r="AK514" t="s">
        <v>218</v>
      </c>
      <c r="AM514">
        <v>200000</v>
      </c>
      <c r="AN514" t="s">
        <v>76</v>
      </c>
      <c r="AO514">
        <v>1</v>
      </c>
      <c r="AP514">
        <v>0</v>
      </c>
      <c r="AQ514">
        <v>16666.666666666668</v>
      </c>
      <c r="AR514" t="s">
        <v>9</v>
      </c>
      <c r="AS514" t="s">
        <v>78</v>
      </c>
      <c r="AX514" t="s">
        <v>79</v>
      </c>
      <c r="AY514" t="s">
        <v>137</v>
      </c>
      <c r="AZ514">
        <v>0</v>
      </c>
      <c r="BA514" t="s">
        <v>137</v>
      </c>
      <c r="BB514">
        <v>0</v>
      </c>
      <c r="BE514">
        <v>0</v>
      </c>
    </row>
    <row r="515" spans="1:58" ht="12.75">
      <c r="A515" s="2" t="str">
        <f>HYPERLINK("https://ibp.a2mac1.com/costing(costing:projects/details/8191/part/5383364)"," EMI Shield 1")</f>
        <v xml:space="preserve"> EMI Shield 1</v>
      </c>
      <c r="B515">
        <v>5383364</v>
      </c>
      <c r="C515">
        <v>5382998</v>
      </c>
      <c r="D515" t="s">
        <v>1917</v>
      </c>
      <c r="E515">
        <v>1.1734821230964467</v>
      </c>
      <c r="F515">
        <v>0</v>
      </c>
      <c r="G515">
        <v>0</v>
      </c>
      <c r="H515">
        <v>0.005982689715736041</v>
      </c>
      <c r="I515" t="s">
        <v>137</v>
      </c>
      <c r="J515">
        <v>0.041382241116751269</v>
      </c>
      <c r="K515">
        <v>1.220847053928934</v>
      </c>
      <c r="L515">
        <v>0.64763448186847217</v>
      </c>
      <c r="M515">
        <v>3.8858068912108328</v>
      </c>
      <c r="N515">
        <v>5.106653945139767</v>
      </c>
      <c r="O515" t="s">
        <v>138</v>
      </c>
      <c r="P515">
        <v>0.073250823235736034</v>
      </c>
      <c r="Q515" t="s">
        <v>138</v>
      </c>
      <c r="R515">
        <v>0.23314841347264997</v>
      </c>
      <c r="S515" t="s">
        <v>139</v>
      </c>
      <c r="T515">
        <v>0.61279847341677196</v>
      </c>
      <c r="U515" t="s">
        <v>216</v>
      </c>
      <c r="V515">
        <v>0.025533269725698835</v>
      </c>
      <c r="W515" t="s">
        <v>217</v>
      </c>
      <c r="X515">
        <v>0.10213307890279534</v>
      </c>
      <c r="Y515">
        <v>6.153518003893419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240</v>
      </c>
      <c r="AF515">
        <v>28</v>
      </c>
      <c r="AG515">
        <v>203</v>
      </c>
      <c r="AH515">
        <v>0</v>
      </c>
      <c r="AI515">
        <v>0.475</v>
      </c>
      <c r="AK515" t="s">
        <v>218</v>
      </c>
      <c r="AM515">
        <v>200000</v>
      </c>
      <c r="AN515" t="s">
        <v>76</v>
      </c>
      <c r="AO515">
        <v>1</v>
      </c>
      <c r="AP515">
        <v>0</v>
      </c>
      <c r="AQ515">
        <v>16666.666666666668</v>
      </c>
      <c r="AR515" t="s">
        <v>9</v>
      </c>
      <c r="AS515" t="s">
        <v>78</v>
      </c>
      <c r="AX515" t="s">
        <v>79</v>
      </c>
      <c r="AY515" t="s">
        <v>137</v>
      </c>
      <c r="AZ515">
        <v>0</v>
      </c>
      <c r="BA515" t="s">
        <v>137</v>
      </c>
      <c r="BB515">
        <v>0</v>
      </c>
      <c r="BE515">
        <v>0</v>
      </c>
    </row>
    <row r="516" spans="1:58" ht="12.75">
      <c r="A516" s="2" t="str">
        <f>HYPERLINK("https://ibp.a2mac1.com/costing(costing:projects/details/8191/part/5383365)","Lamination stack")</f>
        <v>Lamination stack</v>
      </c>
      <c r="B516">
        <v>5383365</v>
      </c>
      <c r="C516">
        <v>5383015</v>
      </c>
      <c r="D516" t="s">
        <v>1929</v>
      </c>
      <c r="E516">
        <v>27.981020307692308</v>
      </c>
      <c r="F516">
        <v>0</v>
      </c>
      <c r="G516">
        <v>0</v>
      </c>
      <c r="H516">
        <v>0.15256892538461539</v>
      </c>
      <c r="I516" t="s">
        <v>137</v>
      </c>
      <c r="J516">
        <v>1.0553186538461539</v>
      </c>
      <c r="K516">
        <v>29.188907886923076</v>
      </c>
      <c r="L516">
        <v>0.567770314765488</v>
      </c>
      <c r="M516">
        <v>3.406621888592928</v>
      </c>
      <c r="N516">
        <v>32.595529775516006</v>
      </c>
      <c r="O516" t="s">
        <v>138</v>
      </c>
      <c r="P516">
        <v>1.7513344732153846</v>
      </c>
      <c r="Q516" t="s">
        <v>138</v>
      </c>
      <c r="R516">
        <v>0.20439731331557567</v>
      </c>
      <c r="S516" t="s">
        <v>139</v>
      </c>
      <c r="T516">
        <v>3.9114635730619205</v>
      </c>
      <c r="U516" t="s">
        <v>216</v>
      </c>
      <c r="V516">
        <v>0.16297764887758001</v>
      </c>
      <c r="W516" t="s">
        <v>217</v>
      </c>
      <c r="X516">
        <v>0.65191059551032005</v>
      </c>
      <c r="Y516">
        <v>39.277613379496785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200</v>
      </c>
      <c r="AF516">
        <v>200</v>
      </c>
      <c r="AG516">
        <v>0.30</v>
      </c>
      <c r="AH516">
        <v>0</v>
      </c>
      <c r="AI516">
        <v>11.76</v>
      </c>
      <c r="AK516" t="s">
        <v>218</v>
      </c>
      <c r="AM516">
        <v>200000</v>
      </c>
      <c r="AN516" t="s">
        <v>76</v>
      </c>
      <c r="AO516">
        <v>1</v>
      </c>
      <c r="AP516">
        <v>0</v>
      </c>
      <c r="AQ516">
        <v>16666.666666666668</v>
      </c>
      <c r="AR516" t="s">
        <v>9</v>
      </c>
      <c r="AS516" t="s">
        <v>78</v>
      </c>
      <c r="AX516" t="s">
        <v>79</v>
      </c>
      <c r="AY516" t="s">
        <v>137</v>
      </c>
      <c r="AZ516">
        <v>0</v>
      </c>
      <c r="BA516" t="s">
        <v>137</v>
      </c>
      <c r="BB516">
        <v>0</v>
      </c>
      <c r="BE516">
        <v>0</v>
      </c>
    </row>
    <row r="517" spans="1:58" ht="12.75">
      <c r="A517" s="2" t="str">
        <f>HYPERLINK("https://ibp.a2mac1.com/costing(costing:projects/details/8191/part/5383366)","Wire winding")</f>
        <v>Wire winding</v>
      </c>
      <c r="B517">
        <v>5383366</v>
      </c>
      <c r="C517">
        <v>5383015</v>
      </c>
      <c r="D517" t="s">
        <v>1930</v>
      </c>
      <c r="E517">
        <v>51.06</v>
      </c>
      <c r="F517">
        <v>0</v>
      </c>
      <c r="G517">
        <v>0</v>
      </c>
      <c r="H517">
        <v>0</v>
      </c>
      <c r="I517" t="s">
        <v>74</v>
      </c>
      <c r="J517">
        <v>0</v>
      </c>
      <c r="K517">
        <v>51.06</v>
      </c>
      <c r="L517">
        <v>0</v>
      </c>
      <c r="M517">
        <v>0</v>
      </c>
      <c r="N517">
        <v>51.06</v>
      </c>
      <c r="O517" t="s">
        <v>74</v>
      </c>
      <c r="P517">
        <v>0</v>
      </c>
      <c r="Q517" t="s">
        <v>74</v>
      </c>
      <c r="R517">
        <v>0</v>
      </c>
      <c r="S517" t="s">
        <v>74</v>
      </c>
      <c r="T517">
        <v>0</v>
      </c>
      <c r="U517" t="s">
        <v>74</v>
      </c>
      <c r="V517">
        <v>0</v>
      </c>
      <c r="W517" t="s">
        <v>74</v>
      </c>
      <c r="X517">
        <v>0</v>
      </c>
      <c r="Y517">
        <v>51.06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5.35</v>
      </c>
      <c r="AK517" t="s">
        <v>218</v>
      </c>
      <c r="AM517">
        <v>200000</v>
      </c>
      <c r="AN517" t="s">
        <v>92</v>
      </c>
      <c r="AO517">
        <v>1</v>
      </c>
      <c r="AP517">
        <v>0</v>
      </c>
      <c r="AQ517">
        <v>16666.666666666668</v>
      </c>
      <c r="AR517" t="s">
        <v>9</v>
      </c>
      <c r="AS517" t="s">
        <v>78</v>
      </c>
      <c r="AX517" t="s">
        <v>79</v>
      </c>
      <c r="AY517" t="s">
        <v>74</v>
      </c>
      <c r="AZ517">
        <v>0</v>
      </c>
      <c r="BA517" t="s">
        <v>74</v>
      </c>
      <c r="BB517">
        <v>0</v>
      </c>
      <c r="BD517">
        <v>51.06</v>
      </c>
      <c r="BE517">
        <v>0</v>
      </c>
    </row>
    <row r="518" spans="1:58" ht="12.75">
      <c r="A518" s="2" t="str">
        <f>HYPERLINK("https://ibp.a2mac1.com/costing(costing:projects/details/8191/part/5383367)","Slot insulation")</f>
        <v>Slot insulation</v>
      </c>
      <c r="B518">
        <v>5383367</v>
      </c>
      <c r="C518">
        <v>5383015</v>
      </c>
      <c r="D518" t="s">
        <v>1931</v>
      </c>
      <c r="E518">
        <v>5.76</v>
      </c>
      <c r="F518">
        <v>0</v>
      </c>
      <c r="G518">
        <v>0</v>
      </c>
      <c r="H518">
        <v>0</v>
      </c>
      <c r="I518" t="s">
        <v>74</v>
      </c>
      <c r="J518">
        <v>0</v>
      </c>
      <c r="K518">
        <v>5.76</v>
      </c>
      <c r="L518">
        <v>0</v>
      </c>
      <c r="M518">
        <v>0</v>
      </c>
      <c r="N518">
        <v>5.76</v>
      </c>
      <c r="O518" t="s">
        <v>74</v>
      </c>
      <c r="P518">
        <v>0</v>
      </c>
      <c r="Q518" t="s">
        <v>74</v>
      </c>
      <c r="R518">
        <v>0</v>
      </c>
      <c r="S518" t="s">
        <v>74</v>
      </c>
      <c r="T518">
        <v>0</v>
      </c>
      <c r="U518" t="s">
        <v>74</v>
      </c>
      <c r="V518">
        <v>0</v>
      </c>
      <c r="W518" t="s">
        <v>74</v>
      </c>
      <c r="X518">
        <v>0</v>
      </c>
      <c r="Y518">
        <v>5.76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K518" t="s">
        <v>218</v>
      </c>
      <c r="AM518">
        <v>9600000</v>
      </c>
      <c r="AN518" t="s">
        <v>92</v>
      </c>
      <c r="AO518">
        <v>48</v>
      </c>
      <c r="AP518">
        <v>0</v>
      </c>
      <c r="AQ518">
        <v>800000</v>
      </c>
      <c r="AR518" t="s">
        <v>9</v>
      </c>
      <c r="AS518" t="s">
        <v>78</v>
      </c>
      <c r="AX518" t="s">
        <v>79</v>
      </c>
      <c r="AY518" t="s">
        <v>74</v>
      </c>
      <c r="AZ518">
        <v>0</v>
      </c>
      <c r="BA518" t="s">
        <v>74</v>
      </c>
      <c r="BB518">
        <v>0</v>
      </c>
      <c r="BD518">
        <v>0.12</v>
      </c>
      <c r="BE518">
        <v>0</v>
      </c>
    </row>
    <row r="519" spans="1:58" ht="12.75">
      <c r="A519" s="2" t="str">
        <f>HYPERLINK("https://ibp.a2mac1.com/costing(costing:projects/details/8191/part/5383368)","Sleeves on the winding end")</f>
        <v>Sleeves on the winding end</v>
      </c>
      <c r="B519">
        <v>5383368</v>
      </c>
      <c r="C519">
        <v>5383015</v>
      </c>
      <c r="D519" t="s">
        <v>1932</v>
      </c>
      <c r="E519">
        <v>1.20</v>
      </c>
      <c r="F519">
        <v>0</v>
      </c>
      <c r="G519">
        <v>0</v>
      </c>
      <c r="H519">
        <v>0</v>
      </c>
      <c r="I519" t="s">
        <v>74</v>
      </c>
      <c r="J519">
        <v>0</v>
      </c>
      <c r="K519">
        <v>1.20</v>
      </c>
      <c r="L519">
        <v>0</v>
      </c>
      <c r="M519">
        <v>0</v>
      </c>
      <c r="N519">
        <v>1.20</v>
      </c>
      <c r="O519" t="s">
        <v>74</v>
      </c>
      <c r="P519">
        <v>0</v>
      </c>
      <c r="Q519" t="s">
        <v>74</v>
      </c>
      <c r="R519">
        <v>0</v>
      </c>
      <c r="S519" t="s">
        <v>74</v>
      </c>
      <c r="T519">
        <v>0</v>
      </c>
      <c r="U519" t="s">
        <v>74</v>
      </c>
      <c r="V519">
        <v>0</v>
      </c>
      <c r="W519" t="s">
        <v>74</v>
      </c>
      <c r="X519">
        <v>0</v>
      </c>
      <c r="Y519">
        <v>1.20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K519" t="s">
        <v>218</v>
      </c>
      <c r="AM519">
        <v>1200000</v>
      </c>
      <c r="AN519" t="s">
        <v>92</v>
      </c>
      <c r="AO519">
        <v>6</v>
      </c>
      <c r="AP519">
        <v>0</v>
      </c>
      <c r="AQ519">
        <v>100000</v>
      </c>
      <c r="AR519" t="s">
        <v>9</v>
      </c>
      <c r="AS519" t="s">
        <v>78</v>
      </c>
      <c r="AX519" t="s">
        <v>79</v>
      </c>
      <c r="AY519" t="s">
        <v>74</v>
      </c>
      <c r="AZ519">
        <v>0</v>
      </c>
      <c r="BA519" t="s">
        <v>74</v>
      </c>
      <c r="BB519">
        <v>0</v>
      </c>
      <c r="BD519">
        <v>0.20</v>
      </c>
      <c r="BE519">
        <v>0</v>
      </c>
    </row>
    <row r="520" spans="1:58" ht="12.75">
      <c r="A520" s="2" t="str">
        <f>HYPERLINK("https://ibp.a2mac1.com/costing(costing:projects/details/8191/part/5383369)","Copper lugs")</f>
        <v>Copper lugs</v>
      </c>
      <c r="B520">
        <v>5383369</v>
      </c>
      <c r="C520">
        <v>5383015</v>
      </c>
      <c r="D520" t="s">
        <v>1933</v>
      </c>
      <c r="E520">
        <v>1.80</v>
      </c>
      <c r="F520">
        <v>0</v>
      </c>
      <c r="G520">
        <v>0</v>
      </c>
      <c r="H520">
        <v>0</v>
      </c>
      <c r="I520" t="s">
        <v>74</v>
      </c>
      <c r="J520">
        <v>0</v>
      </c>
      <c r="K520">
        <v>1.80</v>
      </c>
      <c r="L520">
        <v>0</v>
      </c>
      <c r="M520">
        <v>0</v>
      </c>
      <c r="N520">
        <v>1.80</v>
      </c>
      <c r="O520" t="s">
        <v>74</v>
      </c>
      <c r="P520">
        <v>0</v>
      </c>
      <c r="Q520" t="s">
        <v>74</v>
      </c>
      <c r="R520">
        <v>0</v>
      </c>
      <c r="S520" t="s">
        <v>74</v>
      </c>
      <c r="T520">
        <v>0</v>
      </c>
      <c r="U520" t="s">
        <v>74</v>
      </c>
      <c r="V520">
        <v>0</v>
      </c>
      <c r="W520" t="s">
        <v>74</v>
      </c>
      <c r="X520">
        <v>0</v>
      </c>
      <c r="Y520">
        <v>1.80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K520" t="s">
        <v>218</v>
      </c>
      <c r="AM520">
        <v>600000</v>
      </c>
      <c r="AN520" t="s">
        <v>92</v>
      </c>
      <c r="AO520">
        <v>3</v>
      </c>
      <c r="AP520">
        <v>0</v>
      </c>
      <c r="AQ520">
        <v>50000</v>
      </c>
      <c r="AR520" t="s">
        <v>9</v>
      </c>
      <c r="AS520" t="s">
        <v>78</v>
      </c>
      <c r="AX520" t="s">
        <v>79</v>
      </c>
      <c r="AY520" t="s">
        <v>74</v>
      </c>
      <c r="AZ520">
        <v>0</v>
      </c>
      <c r="BA520" t="s">
        <v>74</v>
      </c>
      <c r="BB520">
        <v>0</v>
      </c>
      <c r="BD520">
        <v>0.60</v>
      </c>
      <c r="BE520">
        <v>0</v>
      </c>
    </row>
    <row r="521" spans="1:58" ht="12.75">
      <c r="A521" s="2" t="str">
        <f>HYPERLINK("https://ibp.a2mac1.com/costing(costing:projects/details/8191/part/5383370)","Winding stich")</f>
        <v>Winding stich</v>
      </c>
      <c r="B521">
        <v>5383370</v>
      </c>
      <c r="C521">
        <v>5383015</v>
      </c>
      <c r="D521" t="s">
        <v>1934</v>
      </c>
      <c r="E521">
        <v>0.60</v>
      </c>
      <c r="F521">
        <v>0</v>
      </c>
      <c r="G521">
        <v>0</v>
      </c>
      <c r="H521">
        <v>0</v>
      </c>
      <c r="I521" t="s">
        <v>74</v>
      </c>
      <c r="J521">
        <v>0</v>
      </c>
      <c r="K521">
        <v>0.60</v>
      </c>
      <c r="L521">
        <v>0</v>
      </c>
      <c r="M521">
        <v>0</v>
      </c>
      <c r="N521">
        <v>0.60</v>
      </c>
      <c r="O521" t="s">
        <v>74</v>
      </c>
      <c r="P521">
        <v>0</v>
      </c>
      <c r="Q521" t="s">
        <v>74</v>
      </c>
      <c r="R521">
        <v>0</v>
      </c>
      <c r="S521" t="s">
        <v>74</v>
      </c>
      <c r="T521">
        <v>0</v>
      </c>
      <c r="U521" t="s">
        <v>74</v>
      </c>
      <c r="V521">
        <v>0</v>
      </c>
      <c r="W521" t="s">
        <v>74</v>
      </c>
      <c r="X521">
        <v>0</v>
      </c>
      <c r="Y521">
        <v>0.60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K521" t="s">
        <v>218</v>
      </c>
      <c r="AM521">
        <v>600000</v>
      </c>
      <c r="AN521" t="s">
        <v>92</v>
      </c>
      <c r="AO521">
        <v>3</v>
      </c>
      <c r="AP521">
        <v>0</v>
      </c>
      <c r="AQ521">
        <v>50000</v>
      </c>
      <c r="AR521" t="s">
        <v>9</v>
      </c>
      <c r="AS521" t="s">
        <v>78</v>
      </c>
      <c r="AX521" t="s">
        <v>79</v>
      </c>
      <c r="AY521" t="s">
        <v>74</v>
      </c>
      <c r="AZ521">
        <v>0</v>
      </c>
      <c r="BA521" t="s">
        <v>74</v>
      </c>
      <c r="BB521">
        <v>0</v>
      </c>
      <c r="BD521">
        <v>0.20</v>
      </c>
      <c r="BE521">
        <v>0</v>
      </c>
    </row>
    <row r="522" spans="1:58" ht="12.75">
      <c r="A522" s="2" t="str">
        <f>HYPERLINK("https://ibp.a2mac1.com/costing(costing:projects/details/8191/part/5383371)","Rotor shaft")</f>
        <v>Rotor shaft</v>
      </c>
      <c r="B522">
        <v>5383371</v>
      </c>
      <c r="C522">
        <v>5383016</v>
      </c>
      <c r="D522" t="s">
        <v>1943</v>
      </c>
      <c r="E522">
        <v>1.6537528429629629</v>
      </c>
      <c r="F522">
        <v>0</v>
      </c>
      <c r="G522">
        <v>0</v>
      </c>
      <c r="H522">
        <v>0.0092158473407407404</v>
      </c>
      <c r="I522" t="s">
        <v>137</v>
      </c>
      <c r="J522">
        <v>0.063745979629629634</v>
      </c>
      <c r="K522">
        <v>1.7267146699333333</v>
      </c>
      <c r="L522">
        <v>1.3058008739085378</v>
      </c>
      <c r="M522">
        <v>7.8348052434512265</v>
      </c>
      <c r="N522">
        <v>9.5615199133845596</v>
      </c>
      <c r="O522" t="s">
        <v>138</v>
      </c>
      <c r="P522">
        <v>0.103602880196</v>
      </c>
      <c r="Q522" t="s">
        <v>138</v>
      </c>
      <c r="R522">
        <v>0.47008831460707362</v>
      </c>
      <c r="S522" t="s">
        <v>139</v>
      </c>
      <c r="T522">
        <v>1.1473823896061472</v>
      </c>
      <c r="U522" t="s">
        <v>216</v>
      </c>
      <c r="V522">
        <v>0.0478075995669228</v>
      </c>
      <c r="W522" t="s">
        <v>217</v>
      </c>
      <c r="X522">
        <v>0.1912303982676912</v>
      </c>
      <c r="Y522">
        <v>11.521631495628395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228</v>
      </c>
      <c r="AF522">
        <v>55</v>
      </c>
      <c r="AG522">
        <v>55</v>
      </c>
      <c r="AH522">
        <v>0</v>
      </c>
      <c r="AI522">
        <v>1.63</v>
      </c>
      <c r="AK522" t="s">
        <v>218</v>
      </c>
      <c r="AM522">
        <v>200000</v>
      </c>
      <c r="AN522" t="s">
        <v>76</v>
      </c>
      <c r="AO522">
        <v>1</v>
      </c>
      <c r="AP522">
        <v>0</v>
      </c>
      <c r="AQ522">
        <v>16666.666666666668</v>
      </c>
      <c r="AR522" t="s">
        <v>9</v>
      </c>
      <c r="AS522" t="s">
        <v>78</v>
      </c>
      <c r="AX522" t="s">
        <v>79</v>
      </c>
      <c r="AY522" t="s">
        <v>137</v>
      </c>
      <c r="AZ522">
        <v>0</v>
      </c>
      <c r="BA522" t="s">
        <v>137</v>
      </c>
      <c r="BB522">
        <v>0</v>
      </c>
      <c r="BE522">
        <v>0</v>
      </c>
    </row>
    <row r="523" spans="1:58" ht="12.75">
      <c r="A523" s="2" t="str">
        <f>HYPERLINK("https://ibp.a2mac1.com/costing(costing:projects/details/8191/part/5383372)","Squirrel cage")</f>
        <v>Squirrel cage</v>
      </c>
      <c r="B523">
        <v>5383372</v>
      </c>
      <c r="C523">
        <v>5383016</v>
      </c>
      <c r="D523" t="s">
        <v>1948</v>
      </c>
      <c r="E523">
        <v>13.956137787878788</v>
      </c>
      <c r="F523">
        <v>0</v>
      </c>
      <c r="G523">
        <v>0</v>
      </c>
      <c r="H523">
        <v>0.074413126666666662</v>
      </c>
      <c r="I523" t="s">
        <v>137</v>
      </c>
      <c r="J523">
        <v>0.514715303030303</v>
      </c>
      <c r="K523">
        <v>14.545266217575758</v>
      </c>
      <c r="L523">
        <v>0.78232471086438471</v>
      </c>
      <c r="M523">
        <v>4.6939482651863083</v>
      </c>
      <c r="N523">
        <v>19.239214482762065</v>
      </c>
      <c r="O523" t="s">
        <v>138</v>
      </c>
      <c r="P523">
        <v>0.8727159730545454</v>
      </c>
      <c r="Q523" t="s">
        <v>138</v>
      </c>
      <c r="R523">
        <v>0.28163689591117846</v>
      </c>
      <c r="S523" t="s">
        <v>139</v>
      </c>
      <c r="T523">
        <v>2.3087057379314477</v>
      </c>
      <c r="U523" t="s">
        <v>216</v>
      </c>
      <c r="V523">
        <v>0.096196072413810327</v>
      </c>
      <c r="W523" t="s">
        <v>217</v>
      </c>
      <c r="X523">
        <v>0.38478428965524131</v>
      </c>
      <c r="Y523">
        <v>23.183253451728291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125</v>
      </c>
      <c r="AF523">
        <v>107</v>
      </c>
      <c r="AG523">
        <v>0.30</v>
      </c>
      <c r="AH523">
        <v>0</v>
      </c>
      <c r="AI523">
        <v>7.28</v>
      </c>
      <c r="AK523" t="s">
        <v>218</v>
      </c>
      <c r="AM523">
        <v>200000</v>
      </c>
      <c r="AN523" t="s">
        <v>76</v>
      </c>
      <c r="AO523">
        <v>1</v>
      </c>
      <c r="AP523">
        <v>0</v>
      </c>
      <c r="AQ523">
        <v>16666.666666666668</v>
      </c>
      <c r="AR523" t="s">
        <v>9</v>
      </c>
      <c r="AS523" t="s">
        <v>78</v>
      </c>
      <c r="AX523" t="s">
        <v>79</v>
      </c>
      <c r="AY523" t="s">
        <v>137</v>
      </c>
      <c r="AZ523">
        <v>0</v>
      </c>
      <c r="BA523" t="s">
        <v>137</v>
      </c>
      <c r="BB523">
        <v>0</v>
      </c>
      <c r="BE523">
        <v>0</v>
      </c>
    </row>
    <row r="524" spans="1:58" ht="12.75">
      <c r="A524" s="2" t="str">
        <f>HYPERLINK("https://ibp.a2mac1.com/costing(costing:projects/details/8191/part/5383373)","Bearing #1")</f>
        <v>Bearing #1</v>
      </c>
      <c r="B524">
        <v>5383373</v>
      </c>
      <c r="C524">
        <v>5383016</v>
      </c>
      <c r="D524" t="s">
        <v>1949</v>
      </c>
      <c r="E524">
        <v>3.7280000000000002</v>
      </c>
      <c r="F524">
        <v>0</v>
      </c>
      <c r="G524">
        <v>0</v>
      </c>
      <c r="H524">
        <v>0</v>
      </c>
      <c r="I524" t="s">
        <v>74</v>
      </c>
      <c r="J524">
        <v>0</v>
      </c>
      <c r="K524">
        <v>3.7280000000000002</v>
      </c>
      <c r="L524">
        <v>0</v>
      </c>
      <c r="M524">
        <v>0</v>
      </c>
      <c r="N524">
        <v>3.7280000000000002</v>
      </c>
      <c r="O524" t="s">
        <v>74</v>
      </c>
      <c r="P524">
        <v>0</v>
      </c>
      <c r="Q524" t="s">
        <v>74</v>
      </c>
      <c r="R524">
        <v>0</v>
      </c>
      <c r="S524" t="s">
        <v>74</v>
      </c>
      <c r="T524">
        <v>0</v>
      </c>
      <c r="U524" t="s">
        <v>74</v>
      </c>
      <c r="V524">
        <v>0</v>
      </c>
      <c r="W524" t="s">
        <v>74</v>
      </c>
      <c r="X524">
        <v>0</v>
      </c>
      <c r="Y524">
        <v>3.7280000000000002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80</v>
      </c>
      <c r="AF524">
        <v>80</v>
      </c>
      <c r="AG524">
        <v>16</v>
      </c>
      <c r="AH524">
        <v>0</v>
      </c>
      <c r="AI524">
        <v>0.24399999999999999</v>
      </c>
      <c r="AK524" t="s">
        <v>218</v>
      </c>
      <c r="AM524">
        <v>200000</v>
      </c>
      <c r="AN524" t="s">
        <v>92</v>
      </c>
      <c r="AO524">
        <v>1</v>
      </c>
      <c r="AP524">
        <v>0</v>
      </c>
      <c r="AQ524">
        <v>16666.666666666668</v>
      </c>
      <c r="AR524" t="s">
        <v>9</v>
      </c>
      <c r="AS524" t="s">
        <v>78</v>
      </c>
      <c r="AX524" t="s">
        <v>79</v>
      </c>
      <c r="AY524" t="s">
        <v>74</v>
      </c>
      <c r="AZ524">
        <v>0</v>
      </c>
      <c r="BA524" t="s">
        <v>74</v>
      </c>
      <c r="BB524">
        <v>0</v>
      </c>
      <c r="BD524">
        <v>3.7280000000000002</v>
      </c>
      <c r="BE524">
        <v>0</v>
      </c>
    </row>
    <row r="525" spans="1:58" ht="12.75">
      <c r="A525" s="2" t="str">
        <f>HYPERLINK("https://ibp.a2mac1.com/costing(costing:projects/details/8191/part/5383374)","Bearing #2")</f>
        <v>Bearing #2</v>
      </c>
      <c r="B525">
        <v>5383374</v>
      </c>
      <c r="C525">
        <v>5383016</v>
      </c>
      <c r="D525" t="s">
        <v>1950</v>
      </c>
      <c r="E525">
        <v>3.456</v>
      </c>
      <c r="F525">
        <v>0</v>
      </c>
      <c r="G525">
        <v>0</v>
      </c>
      <c r="H525">
        <v>0</v>
      </c>
      <c r="I525" t="s">
        <v>74</v>
      </c>
      <c r="J525">
        <v>0</v>
      </c>
      <c r="K525">
        <v>3.456</v>
      </c>
      <c r="L525">
        <v>0</v>
      </c>
      <c r="M525">
        <v>0</v>
      </c>
      <c r="N525">
        <v>3.456</v>
      </c>
      <c r="O525" t="s">
        <v>74</v>
      </c>
      <c r="P525">
        <v>0</v>
      </c>
      <c r="Q525" t="s">
        <v>74</v>
      </c>
      <c r="R525">
        <v>0</v>
      </c>
      <c r="S525" t="s">
        <v>74</v>
      </c>
      <c r="T525">
        <v>0</v>
      </c>
      <c r="U525" t="s">
        <v>74</v>
      </c>
      <c r="V525">
        <v>0</v>
      </c>
      <c r="W525" t="s">
        <v>74</v>
      </c>
      <c r="X525">
        <v>0</v>
      </c>
      <c r="Y525">
        <v>3.456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90</v>
      </c>
      <c r="AF525">
        <v>90</v>
      </c>
      <c r="AG525">
        <v>20</v>
      </c>
      <c r="AH525">
        <v>0</v>
      </c>
      <c r="AI525">
        <v>0.445</v>
      </c>
      <c r="AK525" t="s">
        <v>218</v>
      </c>
      <c r="AM525">
        <v>200000</v>
      </c>
      <c r="AN525" t="s">
        <v>92</v>
      </c>
      <c r="AO525">
        <v>1</v>
      </c>
      <c r="AP525">
        <v>0</v>
      </c>
      <c r="AQ525">
        <v>16666.666666666668</v>
      </c>
      <c r="AR525" t="s">
        <v>9</v>
      </c>
      <c r="AS525" t="s">
        <v>78</v>
      </c>
      <c r="AX525" t="s">
        <v>79</v>
      </c>
      <c r="AY525" t="s">
        <v>74</v>
      </c>
      <c r="AZ525">
        <v>0</v>
      </c>
      <c r="BA525" t="s">
        <v>74</v>
      </c>
      <c r="BB525">
        <v>0</v>
      </c>
      <c r="BD525">
        <v>3.456</v>
      </c>
      <c r="BE525">
        <v>0</v>
      </c>
    </row>
    <row r="526" spans="1:58" ht="12.75">
      <c r="A526" s="2" t="str">
        <f>HYPERLINK("https://ibp.a2mac1.com/costing(costing:projects/details/8191/part/5383375)","Spacer")</f>
        <v>Spacer</v>
      </c>
      <c r="B526">
        <v>5383375</v>
      </c>
      <c r="C526">
        <v>5383016</v>
      </c>
      <c r="D526" t="s">
        <v>1951</v>
      </c>
      <c r="E526">
        <v>0.10</v>
      </c>
      <c r="F526">
        <v>0</v>
      </c>
      <c r="G526">
        <v>0</v>
      </c>
      <c r="H526">
        <v>0</v>
      </c>
      <c r="I526" t="s">
        <v>74</v>
      </c>
      <c r="J526">
        <v>0</v>
      </c>
      <c r="K526">
        <v>0.10</v>
      </c>
      <c r="L526">
        <v>0</v>
      </c>
      <c r="M526">
        <v>0</v>
      </c>
      <c r="N526">
        <v>0.10</v>
      </c>
      <c r="O526" t="s">
        <v>74</v>
      </c>
      <c r="P526">
        <v>0</v>
      </c>
      <c r="Q526" t="s">
        <v>74</v>
      </c>
      <c r="R526">
        <v>0</v>
      </c>
      <c r="S526" t="s">
        <v>74</v>
      </c>
      <c r="T526">
        <v>0</v>
      </c>
      <c r="U526" t="s">
        <v>74</v>
      </c>
      <c r="V526">
        <v>0</v>
      </c>
      <c r="W526" t="s">
        <v>74</v>
      </c>
      <c r="X526">
        <v>0</v>
      </c>
      <c r="Y526">
        <v>0.10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83</v>
      </c>
      <c r="AF526">
        <v>90</v>
      </c>
      <c r="AG526">
        <v>5</v>
      </c>
      <c r="AH526">
        <v>0</v>
      </c>
      <c r="AI526">
        <v>0.017999999999999999</v>
      </c>
      <c r="AK526" t="s">
        <v>75</v>
      </c>
      <c r="AM526">
        <v>200000</v>
      </c>
      <c r="AN526" t="s">
        <v>76</v>
      </c>
      <c r="AO526">
        <v>1</v>
      </c>
      <c r="AP526">
        <v>0</v>
      </c>
      <c r="AQ526">
        <v>16666.666666666668</v>
      </c>
      <c r="AR526" t="s">
        <v>1952</v>
      </c>
      <c r="AS526" t="s">
        <v>78</v>
      </c>
      <c r="AX526" t="s">
        <v>79</v>
      </c>
      <c r="AY526" t="s">
        <v>74</v>
      </c>
      <c r="AZ526">
        <v>0</v>
      </c>
      <c r="BA526" t="s">
        <v>74</v>
      </c>
      <c r="BB526">
        <v>0</v>
      </c>
      <c r="BD526">
        <v>0.10</v>
      </c>
      <c r="BE526">
        <v>0</v>
      </c>
    </row>
    <row r="527" spans="1:58" ht="12.75">
      <c r="A527" s="2" t="str">
        <f>HYPERLINK("https://ibp.a2mac1.com/costing(costing:projects/details/8191/part/5382999)","Stator housing")</f>
        <v>Stator housing</v>
      </c>
      <c r="B527">
        <v>5382999</v>
      </c>
      <c r="C527">
        <v>5382852</v>
      </c>
      <c r="D527" t="s">
        <v>1960</v>
      </c>
      <c r="E527">
        <v>17.248703811428573</v>
      </c>
      <c r="F527">
        <v>0</v>
      </c>
      <c r="G527">
        <v>0</v>
      </c>
      <c r="H527">
        <v>0.088160041702857142</v>
      </c>
      <c r="I527" t="s">
        <v>137</v>
      </c>
      <c r="J527">
        <v>0.60980266000000005</v>
      </c>
      <c r="K527">
        <v>17.946666513131429</v>
      </c>
      <c r="L527">
        <v>1.3873989790002692</v>
      </c>
      <c r="M527">
        <v>8.3243938740016148</v>
      </c>
      <c r="N527">
        <v>26.271060387133044</v>
      </c>
      <c r="O527" t="s">
        <v>138</v>
      </c>
      <c r="P527">
        <v>1.0767999907878858</v>
      </c>
      <c r="Q527" t="s">
        <v>138</v>
      </c>
      <c r="R527">
        <v>0.49946363244009689</v>
      </c>
      <c r="S527" t="s">
        <v>139</v>
      </c>
      <c r="T527">
        <v>3.152527246455965</v>
      </c>
      <c r="U527" t="s">
        <v>216</v>
      </c>
      <c r="V527">
        <v>0.13135530193566522</v>
      </c>
      <c r="W527" t="s">
        <v>217</v>
      </c>
      <c r="X527">
        <v>0.52542120774266088</v>
      </c>
      <c r="Y527">
        <v>31.656627766495319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240</v>
      </c>
      <c r="AF527">
        <v>295</v>
      </c>
      <c r="AG527">
        <v>337</v>
      </c>
      <c r="AH527">
        <v>0</v>
      </c>
      <c r="AI527">
        <v>6.9640000000000004</v>
      </c>
      <c r="AK527" t="s">
        <v>218</v>
      </c>
      <c r="AM527">
        <v>200000</v>
      </c>
      <c r="AN527" t="s">
        <v>76</v>
      </c>
      <c r="AO527">
        <v>1</v>
      </c>
      <c r="AP527">
        <v>0</v>
      </c>
      <c r="AQ527">
        <v>16666.666666666668</v>
      </c>
      <c r="AR527" t="s">
        <v>9</v>
      </c>
      <c r="AS527" t="s">
        <v>78</v>
      </c>
      <c r="AX527" t="s">
        <v>79</v>
      </c>
      <c r="AY527" t="s">
        <v>137</v>
      </c>
      <c r="AZ527">
        <v>0</v>
      </c>
      <c r="BA527" t="s">
        <v>137</v>
      </c>
      <c r="BB527">
        <v>0</v>
      </c>
      <c r="BE527">
        <v>0</v>
      </c>
    </row>
    <row r="528" spans="1:58" ht="12.75">
      <c r="A528" s="2" t="str">
        <f>HYPERLINK("https://ibp.a2mac1.com/costing(costing:projects/details/8191/part/5383000)","Left housing")</f>
        <v>Left housing</v>
      </c>
      <c r="B528">
        <v>5383000</v>
      </c>
      <c r="C528">
        <v>5382852</v>
      </c>
      <c r="D528" t="s">
        <v>1965</v>
      </c>
      <c r="E528">
        <v>4.2279634414285718</v>
      </c>
      <c r="F528">
        <v>0</v>
      </c>
      <c r="G528">
        <v>0</v>
      </c>
      <c r="H528">
        <v>0.021609590922857143</v>
      </c>
      <c r="I528" t="s">
        <v>137</v>
      </c>
      <c r="J528">
        <v>0.14947345500000001</v>
      </c>
      <c r="K528">
        <v>4.3990464873514288</v>
      </c>
      <c r="L528">
        <v>1.0462729247702924</v>
      </c>
      <c r="M528">
        <v>6.2776375486217537</v>
      </c>
      <c r="N528">
        <v>10.676684035973183</v>
      </c>
      <c r="O528" t="s">
        <v>138</v>
      </c>
      <c r="P528">
        <v>0.26394278924108572</v>
      </c>
      <c r="Q528" t="s">
        <v>138</v>
      </c>
      <c r="R528">
        <v>0.37665825291730526</v>
      </c>
      <c r="S528" t="s">
        <v>139</v>
      </c>
      <c r="T528">
        <v>1.281202084316782</v>
      </c>
      <c r="U528" t="s">
        <v>90</v>
      </c>
      <c r="V528">
        <v>0</v>
      </c>
      <c r="W528" t="s">
        <v>90</v>
      </c>
      <c r="X528">
        <v>0</v>
      </c>
      <c r="Y528">
        <v>12.598487162448356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276</v>
      </c>
      <c r="AF528">
        <v>258</v>
      </c>
      <c r="AG528">
        <v>96</v>
      </c>
      <c r="AH528">
        <v>0</v>
      </c>
      <c r="AI528">
        <v>1.7070000000000001</v>
      </c>
      <c r="AK528" t="s">
        <v>75</v>
      </c>
      <c r="AM528">
        <v>200000</v>
      </c>
      <c r="AN528" t="s">
        <v>76</v>
      </c>
      <c r="AO528">
        <v>1</v>
      </c>
      <c r="AP528">
        <v>0</v>
      </c>
      <c r="AQ528">
        <v>16666.666666666668</v>
      </c>
      <c r="AR528" t="s">
        <v>1966</v>
      </c>
      <c r="AS528" t="s">
        <v>78</v>
      </c>
      <c r="AX528" t="s">
        <v>79</v>
      </c>
      <c r="AY528" t="s">
        <v>137</v>
      </c>
      <c r="AZ528">
        <v>0</v>
      </c>
      <c r="BA528" t="s">
        <v>137</v>
      </c>
      <c r="BB528">
        <v>0</v>
      </c>
      <c r="BE528">
        <v>0</v>
      </c>
    </row>
    <row r="529" spans="1:58" ht="12.75">
      <c r="A529" s="2" t="str">
        <f>HYPERLINK("https://ibp.a2mac1.com/costing(costing:projects/details/8191/part/5383001)","Degasser valve")</f>
        <v>Degasser valve</v>
      </c>
      <c r="B529">
        <v>5383001</v>
      </c>
      <c r="C529">
        <v>5382852</v>
      </c>
      <c r="D529" t="s">
        <v>1967</v>
      </c>
      <c r="E529">
        <v>0.10</v>
      </c>
      <c r="F529">
        <v>0</v>
      </c>
      <c r="G529">
        <v>0</v>
      </c>
      <c r="H529">
        <v>0</v>
      </c>
      <c r="I529" t="s">
        <v>74</v>
      </c>
      <c r="J529">
        <v>0</v>
      </c>
      <c r="K529">
        <v>0.10</v>
      </c>
      <c r="L529">
        <v>0</v>
      </c>
      <c r="M529">
        <v>0</v>
      </c>
      <c r="N529">
        <v>0.10</v>
      </c>
      <c r="O529" t="s">
        <v>74</v>
      </c>
      <c r="P529">
        <v>0</v>
      </c>
      <c r="Q529" t="s">
        <v>74</v>
      </c>
      <c r="R529">
        <v>0</v>
      </c>
      <c r="S529" t="s">
        <v>74</v>
      </c>
      <c r="T529">
        <v>0</v>
      </c>
      <c r="U529" t="s">
        <v>74</v>
      </c>
      <c r="V529">
        <v>0</v>
      </c>
      <c r="W529" t="s">
        <v>74</v>
      </c>
      <c r="X529">
        <v>0</v>
      </c>
      <c r="Y529">
        <v>0.10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17</v>
      </c>
      <c r="AF529">
        <v>13</v>
      </c>
      <c r="AG529">
        <v>17</v>
      </c>
      <c r="AH529">
        <v>0</v>
      </c>
      <c r="AI529">
        <v>0.001</v>
      </c>
      <c r="AK529" t="s">
        <v>75</v>
      </c>
      <c r="AM529">
        <v>200000</v>
      </c>
      <c r="AN529" t="s">
        <v>76</v>
      </c>
      <c r="AO529">
        <v>1</v>
      </c>
      <c r="AP529">
        <v>0</v>
      </c>
      <c r="AQ529">
        <v>16666.666666666668</v>
      </c>
      <c r="AR529" t="s">
        <v>1968</v>
      </c>
      <c r="AS529" t="s">
        <v>78</v>
      </c>
      <c r="AX529" t="s">
        <v>79</v>
      </c>
      <c r="AY529" t="s">
        <v>74</v>
      </c>
      <c r="AZ529">
        <v>0</v>
      </c>
      <c r="BA529" t="s">
        <v>74</v>
      </c>
      <c r="BB529">
        <v>0</v>
      </c>
      <c r="BD529">
        <v>0.10</v>
      </c>
      <c r="BE529">
        <v>0</v>
      </c>
    </row>
    <row r="530" spans="1:58" ht="12.75">
      <c r="A530" s="2" t="str">
        <f>HYPERLINK("https://ibp.a2mac1.com/costing(costing:projects/details/8191/part/5383002)","Degasser valve pipe")</f>
        <v>Degasser valve pipe</v>
      </c>
      <c r="B530">
        <v>5383002</v>
      </c>
      <c r="C530">
        <v>5382852</v>
      </c>
      <c r="D530" t="s">
        <v>1969</v>
      </c>
      <c r="E530">
        <v>0.18</v>
      </c>
      <c r="F530">
        <v>0</v>
      </c>
      <c r="G530">
        <v>0</v>
      </c>
      <c r="H530">
        <v>0</v>
      </c>
      <c r="I530" t="s">
        <v>74</v>
      </c>
      <c r="J530">
        <v>0</v>
      </c>
      <c r="K530">
        <v>0.18</v>
      </c>
      <c r="L530">
        <v>0</v>
      </c>
      <c r="M530">
        <v>0</v>
      </c>
      <c r="N530">
        <v>0.18</v>
      </c>
      <c r="O530" t="s">
        <v>74</v>
      </c>
      <c r="P530">
        <v>0</v>
      </c>
      <c r="Q530" t="s">
        <v>74</v>
      </c>
      <c r="R530">
        <v>0</v>
      </c>
      <c r="S530" t="s">
        <v>74</v>
      </c>
      <c r="T530">
        <v>0</v>
      </c>
      <c r="U530" t="s">
        <v>74</v>
      </c>
      <c r="V530">
        <v>0</v>
      </c>
      <c r="W530" t="s">
        <v>74</v>
      </c>
      <c r="X530">
        <v>0</v>
      </c>
      <c r="Y530">
        <v>0.18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601</v>
      </c>
      <c r="AI530">
        <v>0.016</v>
      </c>
      <c r="AK530" t="s">
        <v>75</v>
      </c>
      <c r="AM530">
        <v>200000</v>
      </c>
      <c r="AN530" t="s">
        <v>76</v>
      </c>
      <c r="AO530">
        <v>1</v>
      </c>
      <c r="AP530">
        <v>0</v>
      </c>
      <c r="AQ530">
        <v>16666.666666666668</v>
      </c>
      <c r="AR530" t="s">
        <v>1970</v>
      </c>
      <c r="AS530" t="s">
        <v>78</v>
      </c>
      <c r="AX530" t="s">
        <v>79</v>
      </c>
      <c r="AY530" t="s">
        <v>74</v>
      </c>
      <c r="AZ530">
        <v>0</v>
      </c>
      <c r="BA530" t="s">
        <v>74</v>
      </c>
      <c r="BB530">
        <v>0</v>
      </c>
      <c r="BD530">
        <v>0.18</v>
      </c>
      <c r="BE530">
        <v>0</v>
      </c>
    </row>
    <row r="531" spans="1:58" ht="12.75">
      <c r="A531" s="2" t="str">
        <f>HYPERLINK("https://ibp.a2mac1.com/costing(costing:projects/details/8191/part/5383003)","Water inlet")</f>
        <v>Water inlet</v>
      </c>
      <c r="B531">
        <v>5383003</v>
      </c>
      <c r="C531">
        <v>5382852</v>
      </c>
      <c r="D531" t="s">
        <v>1971</v>
      </c>
      <c r="E531">
        <v>0.12</v>
      </c>
      <c r="F531">
        <v>0</v>
      </c>
      <c r="G531">
        <v>0</v>
      </c>
      <c r="H531">
        <v>0</v>
      </c>
      <c r="I531" t="s">
        <v>74</v>
      </c>
      <c r="J531">
        <v>0</v>
      </c>
      <c r="K531">
        <v>0.12</v>
      </c>
      <c r="L531">
        <v>0</v>
      </c>
      <c r="M531">
        <v>0</v>
      </c>
      <c r="N531">
        <v>0.12</v>
      </c>
      <c r="O531" t="s">
        <v>74</v>
      </c>
      <c r="P531">
        <v>0</v>
      </c>
      <c r="Q531" t="s">
        <v>74</v>
      </c>
      <c r="R531">
        <v>0</v>
      </c>
      <c r="S531" t="s">
        <v>74</v>
      </c>
      <c r="T531">
        <v>0</v>
      </c>
      <c r="U531" t="s">
        <v>74</v>
      </c>
      <c r="V531">
        <v>0</v>
      </c>
      <c r="W531" t="s">
        <v>74</v>
      </c>
      <c r="X531">
        <v>0</v>
      </c>
      <c r="Y531">
        <v>0.12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28</v>
      </c>
      <c r="AF531">
        <v>34</v>
      </c>
      <c r="AG531">
        <v>28</v>
      </c>
      <c r="AH531">
        <v>0</v>
      </c>
      <c r="AI531">
        <v>0.0080000000000000002</v>
      </c>
      <c r="AK531" t="s">
        <v>218</v>
      </c>
      <c r="AM531">
        <v>200000</v>
      </c>
      <c r="AN531" t="s">
        <v>92</v>
      </c>
      <c r="AO531">
        <v>1</v>
      </c>
      <c r="AP531">
        <v>0</v>
      </c>
      <c r="AQ531">
        <v>16666.666666666668</v>
      </c>
      <c r="AR531" t="s">
        <v>9</v>
      </c>
      <c r="AS531" t="s">
        <v>78</v>
      </c>
      <c r="AX531" t="s">
        <v>79</v>
      </c>
      <c r="AY531" t="s">
        <v>74</v>
      </c>
      <c r="AZ531">
        <v>0</v>
      </c>
      <c r="BA531" t="s">
        <v>74</v>
      </c>
      <c r="BB531">
        <v>0</v>
      </c>
      <c r="BD531">
        <v>0.12</v>
      </c>
      <c r="BE531">
        <v>0</v>
      </c>
    </row>
    <row r="532" spans="1:58" ht="12.75">
      <c r="A532" s="2" t="str">
        <f>HYPERLINK("https://ibp.a2mac1.com/costing(costing:projects/details/8191/part/5383004)","Water outlet")</f>
        <v>Water outlet</v>
      </c>
      <c r="B532">
        <v>5383004</v>
      </c>
      <c r="C532">
        <v>5382852</v>
      </c>
      <c r="D532" t="s">
        <v>1972</v>
      </c>
      <c r="E532">
        <v>0.39</v>
      </c>
      <c r="F532">
        <v>0</v>
      </c>
      <c r="G532">
        <v>0</v>
      </c>
      <c r="H532">
        <v>0</v>
      </c>
      <c r="I532" t="s">
        <v>74</v>
      </c>
      <c r="J532">
        <v>0</v>
      </c>
      <c r="K532">
        <v>0.39</v>
      </c>
      <c r="L532">
        <v>0</v>
      </c>
      <c r="M532">
        <v>0</v>
      </c>
      <c r="N532">
        <v>0.39</v>
      </c>
      <c r="O532" t="s">
        <v>74</v>
      </c>
      <c r="P532">
        <v>0</v>
      </c>
      <c r="Q532" t="s">
        <v>74</v>
      </c>
      <c r="R532">
        <v>0</v>
      </c>
      <c r="S532" t="s">
        <v>74</v>
      </c>
      <c r="T532">
        <v>0</v>
      </c>
      <c r="U532" t="s">
        <v>74</v>
      </c>
      <c r="V532">
        <v>0</v>
      </c>
      <c r="W532" t="s">
        <v>74</v>
      </c>
      <c r="X532">
        <v>0</v>
      </c>
      <c r="Y532">
        <v>0.39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105</v>
      </c>
      <c r="AF532">
        <v>41</v>
      </c>
      <c r="AG532">
        <v>53</v>
      </c>
      <c r="AH532">
        <v>0</v>
      </c>
      <c r="AI532">
        <v>0.029000000000000001</v>
      </c>
      <c r="AK532" t="s">
        <v>218</v>
      </c>
      <c r="AM532">
        <v>200000</v>
      </c>
      <c r="AN532" t="s">
        <v>92</v>
      </c>
      <c r="AO532">
        <v>1</v>
      </c>
      <c r="AP532">
        <v>0</v>
      </c>
      <c r="AQ532">
        <v>16666.666666666668</v>
      </c>
      <c r="AR532" t="s">
        <v>9</v>
      </c>
      <c r="AS532" t="s">
        <v>78</v>
      </c>
      <c r="AX532" t="s">
        <v>79</v>
      </c>
      <c r="AY532" t="s">
        <v>74</v>
      </c>
      <c r="AZ532">
        <v>0</v>
      </c>
      <c r="BA532" t="s">
        <v>74</v>
      </c>
      <c r="BB532">
        <v>0</v>
      </c>
      <c r="BD532">
        <v>0.39</v>
      </c>
      <c r="BE532">
        <v>0</v>
      </c>
    </row>
    <row r="533" spans="1:58" ht="12.75">
      <c r="A533" s="2" t="str">
        <f>HYPERLINK("https://ibp.a2mac1.com/costing(costing:projects/details/8191/part/5383005)","Resolver wire harness")</f>
        <v>Resolver wire harness</v>
      </c>
      <c r="B533">
        <v>5383005</v>
      </c>
      <c r="C533">
        <v>5382852</v>
      </c>
      <c r="D533" t="s">
        <v>1973</v>
      </c>
      <c r="E533">
        <v>0.69</v>
      </c>
      <c r="F533">
        <v>0</v>
      </c>
      <c r="G533">
        <v>0</v>
      </c>
      <c r="H533">
        <v>0</v>
      </c>
      <c r="I533" t="s">
        <v>74</v>
      </c>
      <c r="J533">
        <v>0</v>
      </c>
      <c r="K533">
        <v>0.69</v>
      </c>
      <c r="L533">
        <v>0</v>
      </c>
      <c r="M533">
        <v>0</v>
      </c>
      <c r="N533">
        <v>0.69</v>
      </c>
      <c r="O533" t="s">
        <v>74</v>
      </c>
      <c r="P533">
        <v>0</v>
      </c>
      <c r="Q533" t="s">
        <v>74</v>
      </c>
      <c r="R533">
        <v>0</v>
      </c>
      <c r="S533" t="s">
        <v>74</v>
      </c>
      <c r="T533">
        <v>0</v>
      </c>
      <c r="U533" t="s">
        <v>74</v>
      </c>
      <c r="V533">
        <v>0</v>
      </c>
      <c r="W533" t="s">
        <v>74</v>
      </c>
      <c r="X533">
        <v>0</v>
      </c>
      <c r="Y533">
        <v>0.69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0.017999999999999999</v>
      </c>
      <c r="AK533" t="s">
        <v>218</v>
      </c>
      <c r="AM533">
        <v>200000</v>
      </c>
      <c r="AN533" t="s">
        <v>92</v>
      </c>
      <c r="AO533">
        <v>1</v>
      </c>
      <c r="AP533">
        <v>0</v>
      </c>
      <c r="AQ533">
        <v>16666.666666666668</v>
      </c>
      <c r="AR533" t="s">
        <v>9</v>
      </c>
      <c r="AS533" t="s">
        <v>78</v>
      </c>
      <c r="AX533" t="s">
        <v>79</v>
      </c>
      <c r="AY533" t="s">
        <v>74</v>
      </c>
      <c r="AZ533">
        <v>0</v>
      </c>
      <c r="BA533" t="s">
        <v>74</v>
      </c>
      <c r="BB533">
        <v>0</v>
      </c>
      <c r="BD533">
        <v>0.69</v>
      </c>
      <c r="BE533">
        <v>0</v>
      </c>
    </row>
    <row r="534" spans="1:58" ht="12.75">
      <c r="A534" s="2" t="str">
        <f>HYPERLINK("https://ibp.a2mac1.com/costing(costing:projects/details/8191/part/5383006)","Busbar connector")</f>
        <v>Busbar connector</v>
      </c>
      <c r="B534">
        <v>5383006</v>
      </c>
      <c r="C534">
        <v>5382852</v>
      </c>
      <c r="D534" t="s">
        <v>1974</v>
      </c>
      <c r="E534">
        <v>0.56</v>
      </c>
      <c r="F534">
        <v>0</v>
      </c>
      <c r="G534">
        <v>0</v>
      </c>
      <c r="H534">
        <v>0</v>
      </c>
      <c r="I534" t="s">
        <v>74</v>
      </c>
      <c r="J534">
        <v>0</v>
      </c>
      <c r="K534">
        <v>0.56</v>
      </c>
      <c r="L534">
        <v>0</v>
      </c>
      <c r="M534">
        <v>0</v>
      </c>
      <c r="N534">
        <v>0.56</v>
      </c>
      <c r="O534" t="s">
        <v>74</v>
      </c>
      <c r="P534">
        <v>0</v>
      </c>
      <c r="Q534" t="s">
        <v>74</v>
      </c>
      <c r="R534">
        <v>0</v>
      </c>
      <c r="S534" t="s">
        <v>74</v>
      </c>
      <c r="T534">
        <v>0</v>
      </c>
      <c r="U534" t="s">
        <v>74</v>
      </c>
      <c r="V534">
        <v>0</v>
      </c>
      <c r="W534" t="s">
        <v>74</v>
      </c>
      <c r="X534">
        <v>0</v>
      </c>
      <c r="Y534">
        <v>0.56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88</v>
      </c>
      <c r="AF534">
        <v>43</v>
      </c>
      <c r="AG534">
        <v>24</v>
      </c>
      <c r="AH534">
        <v>0</v>
      </c>
      <c r="AI534">
        <v>0.035999999999999997</v>
      </c>
      <c r="AK534" t="s">
        <v>218</v>
      </c>
      <c r="AM534">
        <v>200000</v>
      </c>
      <c r="AN534" t="s">
        <v>92</v>
      </c>
      <c r="AO534">
        <v>1</v>
      </c>
      <c r="AP534">
        <v>0</v>
      </c>
      <c r="AQ534">
        <v>16666.666666666668</v>
      </c>
      <c r="AR534" t="s">
        <v>9</v>
      </c>
      <c r="AS534" t="s">
        <v>78</v>
      </c>
      <c r="AX534" t="s">
        <v>79</v>
      </c>
      <c r="AY534" t="s">
        <v>74</v>
      </c>
      <c r="AZ534">
        <v>0</v>
      </c>
      <c r="BA534" t="s">
        <v>74</v>
      </c>
      <c r="BB534">
        <v>0</v>
      </c>
      <c r="BD534">
        <v>0.56</v>
      </c>
      <c r="BE534">
        <v>0</v>
      </c>
    </row>
    <row r="535" spans="1:58" ht="12.75">
      <c r="A535" s="2" t="str">
        <f>HYPERLINK("https://ibp.a2mac1.com/costing(costing:projects/details/8191/part/5383007)","Connector ")</f>
        <v xml:space="preserve">Connector </v>
      </c>
      <c r="B535">
        <v>5383007</v>
      </c>
      <c r="C535">
        <v>5382852</v>
      </c>
      <c r="D535" t="s">
        <v>1975</v>
      </c>
      <c r="E535">
        <v>0.50</v>
      </c>
      <c r="F535">
        <v>0</v>
      </c>
      <c r="G535">
        <v>0</v>
      </c>
      <c r="H535">
        <v>0</v>
      </c>
      <c r="I535" t="s">
        <v>74</v>
      </c>
      <c r="J535">
        <v>0</v>
      </c>
      <c r="K535">
        <v>0.50</v>
      </c>
      <c r="L535">
        <v>0</v>
      </c>
      <c r="M535">
        <v>0</v>
      </c>
      <c r="N535">
        <v>0.50</v>
      </c>
      <c r="O535" t="s">
        <v>74</v>
      </c>
      <c r="P535">
        <v>0</v>
      </c>
      <c r="Q535" t="s">
        <v>74</v>
      </c>
      <c r="R535">
        <v>0</v>
      </c>
      <c r="S535" t="s">
        <v>74</v>
      </c>
      <c r="T535">
        <v>0</v>
      </c>
      <c r="U535" t="s">
        <v>74</v>
      </c>
      <c r="V535">
        <v>0</v>
      </c>
      <c r="W535" t="s">
        <v>74</v>
      </c>
      <c r="X535">
        <v>0</v>
      </c>
      <c r="Y535">
        <v>0.50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41</v>
      </c>
      <c r="AF535">
        <v>48</v>
      </c>
      <c r="AG535">
        <v>30</v>
      </c>
      <c r="AH535">
        <v>0</v>
      </c>
      <c r="AI535">
        <v>0.015</v>
      </c>
      <c r="AK535" t="s">
        <v>75</v>
      </c>
      <c r="AM535">
        <v>200000</v>
      </c>
      <c r="AN535" t="s">
        <v>76</v>
      </c>
      <c r="AO535">
        <v>1</v>
      </c>
      <c r="AP535">
        <v>0</v>
      </c>
      <c r="AQ535">
        <v>16666.666666666668</v>
      </c>
      <c r="AR535" t="s">
        <v>1976</v>
      </c>
      <c r="AS535" t="s">
        <v>78</v>
      </c>
      <c r="AX535" t="s">
        <v>79</v>
      </c>
      <c r="AY535" t="s">
        <v>74</v>
      </c>
      <c r="AZ535">
        <v>0</v>
      </c>
      <c r="BA535" t="s">
        <v>74</v>
      </c>
      <c r="BB535">
        <v>0</v>
      </c>
      <c r="BD535">
        <v>0.50</v>
      </c>
      <c r="BE535">
        <v>0</v>
      </c>
    </row>
    <row r="536" spans="1:58" ht="12.75">
      <c r="A536" s="2" t="str">
        <f>HYPERLINK("https://ibp.a2mac1.com/costing(costing:projects/details/8191/part/5383008)","Shim")</f>
        <v>Shim</v>
      </c>
      <c r="B536">
        <v>5383008</v>
      </c>
      <c r="C536">
        <v>5382852</v>
      </c>
      <c r="D536" t="s">
        <v>1977</v>
      </c>
      <c r="E536">
        <v>0.05</v>
      </c>
      <c r="F536">
        <v>0</v>
      </c>
      <c r="G536">
        <v>0</v>
      </c>
      <c r="H536">
        <v>0</v>
      </c>
      <c r="I536" t="s">
        <v>74</v>
      </c>
      <c r="J536">
        <v>0</v>
      </c>
      <c r="K536">
        <v>0.05</v>
      </c>
      <c r="L536">
        <v>0</v>
      </c>
      <c r="M536">
        <v>0</v>
      </c>
      <c r="N536">
        <v>0.05</v>
      </c>
      <c r="O536" t="s">
        <v>74</v>
      </c>
      <c r="P536">
        <v>0</v>
      </c>
      <c r="Q536" t="s">
        <v>74</v>
      </c>
      <c r="R536">
        <v>0</v>
      </c>
      <c r="S536" t="s">
        <v>74</v>
      </c>
      <c r="T536">
        <v>0</v>
      </c>
      <c r="U536" t="s">
        <v>74</v>
      </c>
      <c r="V536">
        <v>0</v>
      </c>
      <c r="W536" t="s">
        <v>74</v>
      </c>
      <c r="X536">
        <v>0</v>
      </c>
      <c r="Y536">
        <v>0.05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50</v>
      </c>
      <c r="AF536">
        <v>50</v>
      </c>
      <c r="AG536">
        <v>4</v>
      </c>
      <c r="AH536">
        <v>0</v>
      </c>
      <c r="AI536">
        <v>0.010999999999999999</v>
      </c>
      <c r="AK536" t="s">
        <v>75</v>
      </c>
      <c r="AM536">
        <v>200000</v>
      </c>
      <c r="AN536" t="s">
        <v>76</v>
      </c>
      <c r="AO536">
        <v>1</v>
      </c>
      <c r="AP536">
        <v>0</v>
      </c>
      <c r="AQ536">
        <v>16666.666666666668</v>
      </c>
      <c r="AR536" t="s">
        <v>1978</v>
      </c>
      <c r="AS536" t="s">
        <v>78</v>
      </c>
      <c r="AX536" t="s">
        <v>79</v>
      </c>
      <c r="AY536" t="s">
        <v>74</v>
      </c>
      <c r="AZ536">
        <v>0</v>
      </c>
      <c r="BA536" t="s">
        <v>74</v>
      </c>
      <c r="BB536">
        <v>0</v>
      </c>
      <c r="BD536">
        <v>0.05</v>
      </c>
      <c r="BE536">
        <v>0</v>
      </c>
    </row>
    <row r="537" spans="1:58" ht="12.75">
      <c r="A537" s="2" t="str">
        <f>HYPERLINK("https://ibp.a2mac1.com/costing(costing:projects/details/8191/part/5383009)","Shim 2")</f>
        <v>Shim 2</v>
      </c>
      <c r="B537">
        <v>5383009</v>
      </c>
      <c r="C537">
        <v>5382852</v>
      </c>
      <c r="D537" t="s">
        <v>1979</v>
      </c>
      <c r="E537">
        <v>0.20</v>
      </c>
      <c r="F537">
        <v>0</v>
      </c>
      <c r="G537">
        <v>0</v>
      </c>
      <c r="H537">
        <v>0</v>
      </c>
      <c r="I537" t="s">
        <v>74</v>
      </c>
      <c r="J537">
        <v>0</v>
      </c>
      <c r="K537">
        <v>0.20</v>
      </c>
      <c r="L537">
        <v>0</v>
      </c>
      <c r="M537">
        <v>0</v>
      </c>
      <c r="N537">
        <v>0.20</v>
      </c>
      <c r="O537" t="s">
        <v>74</v>
      </c>
      <c r="P537">
        <v>0</v>
      </c>
      <c r="Q537" t="s">
        <v>74</v>
      </c>
      <c r="R537">
        <v>0</v>
      </c>
      <c r="S537" t="s">
        <v>74</v>
      </c>
      <c r="T537">
        <v>0</v>
      </c>
      <c r="U537" t="s">
        <v>74</v>
      </c>
      <c r="V537">
        <v>0</v>
      </c>
      <c r="W537" t="s">
        <v>74</v>
      </c>
      <c r="X537">
        <v>0</v>
      </c>
      <c r="Y537">
        <v>0.20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83</v>
      </c>
      <c r="AF537">
        <v>83</v>
      </c>
      <c r="AG537">
        <v>2</v>
      </c>
      <c r="AH537">
        <v>0</v>
      </c>
      <c r="AI537">
        <v>0.05</v>
      </c>
      <c r="AK537" t="s">
        <v>75</v>
      </c>
      <c r="AM537">
        <v>200000</v>
      </c>
      <c r="AN537" t="s">
        <v>76</v>
      </c>
      <c r="AO537">
        <v>1</v>
      </c>
      <c r="AP537">
        <v>0</v>
      </c>
      <c r="AQ537">
        <v>16666.666666666668</v>
      </c>
      <c r="AR537" t="s">
        <v>1980</v>
      </c>
      <c r="AS537" t="s">
        <v>78</v>
      </c>
      <c r="AX537" t="s">
        <v>79</v>
      </c>
      <c r="AY537" t="s">
        <v>74</v>
      </c>
      <c r="AZ537">
        <v>0</v>
      </c>
      <c r="BA537" t="s">
        <v>74</v>
      </c>
      <c r="BB537">
        <v>0</v>
      </c>
      <c r="BD537">
        <v>0.20</v>
      </c>
      <c r="BE537">
        <v>0</v>
      </c>
    </row>
    <row r="538" spans="1:58" ht="12.75">
      <c r="A538" s="2" t="str">
        <f>HYPERLINK("https://ibp.a2mac1.com/costing(costing:projects/details/8191/part/5383010)","Drain plug")</f>
        <v>Drain plug</v>
      </c>
      <c r="B538">
        <v>5383010</v>
      </c>
      <c r="C538">
        <v>5382852</v>
      </c>
      <c r="D538" t="s">
        <v>1981</v>
      </c>
      <c r="E538">
        <v>0.42</v>
      </c>
      <c r="F538">
        <v>0</v>
      </c>
      <c r="G538">
        <v>0</v>
      </c>
      <c r="H538">
        <v>0</v>
      </c>
      <c r="I538" t="s">
        <v>74</v>
      </c>
      <c r="J538">
        <v>0</v>
      </c>
      <c r="K538">
        <v>0.42</v>
      </c>
      <c r="L538">
        <v>0</v>
      </c>
      <c r="M538">
        <v>0</v>
      </c>
      <c r="N538">
        <v>0.42</v>
      </c>
      <c r="O538" t="s">
        <v>74</v>
      </c>
      <c r="P538">
        <v>0</v>
      </c>
      <c r="Q538" t="s">
        <v>74</v>
      </c>
      <c r="R538">
        <v>0</v>
      </c>
      <c r="S538" t="s">
        <v>74</v>
      </c>
      <c r="T538">
        <v>0</v>
      </c>
      <c r="U538" t="s">
        <v>74</v>
      </c>
      <c r="V538">
        <v>0</v>
      </c>
      <c r="W538" t="s">
        <v>74</v>
      </c>
      <c r="X538">
        <v>0</v>
      </c>
      <c r="Y538">
        <v>0.42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14</v>
      </c>
      <c r="AF538">
        <v>14</v>
      </c>
      <c r="AG538">
        <v>13</v>
      </c>
      <c r="AH538">
        <v>0</v>
      </c>
      <c r="AI538">
        <v>0.0080000000000000002</v>
      </c>
      <c r="AK538" t="s">
        <v>75</v>
      </c>
      <c r="AM538">
        <v>400000</v>
      </c>
      <c r="AN538" t="s">
        <v>76</v>
      </c>
      <c r="AO538">
        <v>2</v>
      </c>
      <c r="AP538">
        <v>0</v>
      </c>
      <c r="AQ538">
        <v>33333.333333333336</v>
      </c>
      <c r="AR538" t="s">
        <v>1982</v>
      </c>
      <c r="AS538" t="s">
        <v>78</v>
      </c>
      <c r="AX538" t="s">
        <v>79</v>
      </c>
      <c r="AY538" t="s">
        <v>74</v>
      </c>
      <c r="AZ538">
        <v>0</v>
      </c>
      <c r="BA538" t="s">
        <v>74</v>
      </c>
      <c r="BB538">
        <v>0</v>
      </c>
      <c r="BD538">
        <v>0.21</v>
      </c>
      <c r="BE538">
        <v>0</v>
      </c>
    </row>
    <row r="539" spans="1:58" ht="12.75">
      <c r="A539" s="2" t="str">
        <f>HYPERLINK("https://ibp.a2mac1.com/costing(costing:projects/details/8191/part/5383011)","Target sensor")</f>
        <v>Target sensor</v>
      </c>
      <c r="B539">
        <v>5383011</v>
      </c>
      <c r="C539">
        <v>5382852</v>
      </c>
      <c r="D539" t="s">
        <v>1983</v>
      </c>
      <c r="E539">
        <v>0.24</v>
      </c>
      <c r="F539">
        <v>0</v>
      </c>
      <c r="G539">
        <v>0</v>
      </c>
      <c r="H539">
        <v>0</v>
      </c>
      <c r="I539" t="s">
        <v>74</v>
      </c>
      <c r="J539">
        <v>0</v>
      </c>
      <c r="K539">
        <v>0.24</v>
      </c>
      <c r="L539">
        <v>0</v>
      </c>
      <c r="M539">
        <v>0</v>
      </c>
      <c r="N539">
        <v>0.24</v>
      </c>
      <c r="O539" t="s">
        <v>74</v>
      </c>
      <c r="P539">
        <v>0</v>
      </c>
      <c r="Q539" t="s">
        <v>74</v>
      </c>
      <c r="R539">
        <v>0</v>
      </c>
      <c r="S539" t="s">
        <v>74</v>
      </c>
      <c r="T539">
        <v>0</v>
      </c>
      <c r="U539" t="s">
        <v>74</v>
      </c>
      <c r="V539">
        <v>0</v>
      </c>
      <c r="W539" t="s">
        <v>74</v>
      </c>
      <c r="X539">
        <v>0</v>
      </c>
      <c r="Y539">
        <v>0.24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56</v>
      </c>
      <c r="AF539">
        <v>55</v>
      </c>
      <c r="AG539">
        <v>4</v>
      </c>
      <c r="AH539">
        <v>0</v>
      </c>
      <c r="AI539">
        <v>0.027</v>
      </c>
      <c r="AK539" t="s">
        <v>218</v>
      </c>
      <c r="AM539">
        <v>200000</v>
      </c>
      <c r="AN539" t="s">
        <v>92</v>
      </c>
      <c r="AO539">
        <v>1</v>
      </c>
      <c r="AP539">
        <v>0</v>
      </c>
      <c r="AQ539">
        <v>16666.666666666668</v>
      </c>
      <c r="AR539" t="s">
        <v>9</v>
      </c>
      <c r="AS539" t="s">
        <v>78</v>
      </c>
      <c r="AX539" t="s">
        <v>79</v>
      </c>
      <c r="AY539" t="s">
        <v>74</v>
      </c>
      <c r="AZ539">
        <v>0</v>
      </c>
      <c r="BA539" t="s">
        <v>74</v>
      </c>
      <c r="BB539">
        <v>0</v>
      </c>
      <c r="BD539">
        <v>0.24</v>
      </c>
      <c r="BE539">
        <v>0</v>
      </c>
    </row>
    <row r="540" spans="1:58" ht="12.75">
      <c r="A540" s="2" t="str">
        <f>HYPERLINK("https://ibp.a2mac1.com/costing(costing:projects/details/8191/part/5383012)","Resolver")</f>
        <v>Resolver</v>
      </c>
      <c r="B540">
        <v>5383012</v>
      </c>
      <c r="C540">
        <v>5382852</v>
      </c>
      <c r="D540" t="s">
        <v>1984</v>
      </c>
      <c r="E540">
        <v>5.39</v>
      </c>
      <c r="F540">
        <v>0</v>
      </c>
      <c r="G540">
        <v>0</v>
      </c>
      <c r="H540">
        <v>0</v>
      </c>
      <c r="I540" t="s">
        <v>74</v>
      </c>
      <c r="J540">
        <v>0</v>
      </c>
      <c r="K540">
        <v>5.39</v>
      </c>
      <c r="L540">
        <v>0</v>
      </c>
      <c r="M540">
        <v>0</v>
      </c>
      <c r="N540">
        <v>5.39</v>
      </c>
      <c r="O540" t="s">
        <v>74</v>
      </c>
      <c r="P540">
        <v>0</v>
      </c>
      <c r="Q540" t="s">
        <v>74</v>
      </c>
      <c r="R540">
        <v>0</v>
      </c>
      <c r="S540" t="s">
        <v>74</v>
      </c>
      <c r="T540">
        <v>0</v>
      </c>
      <c r="U540" t="s">
        <v>74</v>
      </c>
      <c r="V540">
        <v>0</v>
      </c>
      <c r="W540" t="s">
        <v>74</v>
      </c>
      <c r="X540">
        <v>0</v>
      </c>
      <c r="Y540">
        <v>5.39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83</v>
      </c>
      <c r="AF540">
        <v>107</v>
      </c>
      <c r="AG540">
        <v>29</v>
      </c>
      <c r="AH540">
        <v>0</v>
      </c>
      <c r="AI540">
        <v>0.087999999999999995</v>
      </c>
      <c r="AK540" t="s">
        <v>218</v>
      </c>
      <c r="AM540">
        <v>200000</v>
      </c>
      <c r="AN540" t="s">
        <v>92</v>
      </c>
      <c r="AO540">
        <v>1</v>
      </c>
      <c r="AP540">
        <v>0</v>
      </c>
      <c r="AQ540">
        <v>16666.666666666668</v>
      </c>
      <c r="AR540" t="s">
        <v>9</v>
      </c>
      <c r="AS540" t="s">
        <v>78</v>
      </c>
      <c r="AX540" t="s">
        <v>79</v>
      </c>
      <c r="AY540" t="s">
        <v>74</v>
      </c>
      <c r="AZ540">
        <v>0</v>
      </c>
      <c r="BA540" t="s">
        <v>74</v>
      </c>
      <c r="BB540">
        <v>0</v>
      </c>
      <c r="BD540">
        <v>5.39</v>
      </c>
      <c r="BE540">
        <v>0</v>
      </c>
    </row>
    <row r="541" spans="1:58" ht="12.75">
      <c r="A541" s="2" t="str">
        <f>HYPERLINK("https://ibp.a2mac1.com/costing(costing:projects/details/8191/part/5383013)","Lubrication duct")</f>
        <v>Lubrication duct</v>
      </c>
      <c r="B541">
        <v>5383013</v>
      </c>
      <c r="C541">
        <v>5382852</v>
      </c>
      <c r="D541" t="s">
        <v>1985</v>
      </c>
      <c r="E541">
        <v>0.10</v>
      </c>
      <c r="F541">
        <v>0</v>
      </c>
      <c r="G541">
        <v>0</v>
      </c>
      <c r="H541">
        <v>0</v>
      </c>
      <c r="I541" t="s">
        <v>74</v>
      </c>
      <c r="J541">
        <v>0</v>
      </c>
      <c r="K541">
        <v>0.10</v>
      </c>
      <c r="L541">
        <v>0</v>
      </c>
      <c r="M541">
        <v>0</v>
      </c>
      <c r="N541">
        <v>0.10</v>
      </c>
      <c r="O541" t="s">
        <v>74</v>
      </c>
      <c r="P541">
        <v>0</v>
      </c>
      <c r="Q541" t="s">
        <v>74</v>
      </c>
      <c r="R541">
        <v>0</v>
      </c>
      <c r="S541" t="s">
        <v>74</v>
      </c>
      <c r="T541">
        <v>0</v>
      </c>
      <c r="U541" t="s">
        <v>74</v>
      </c>
      <c r="V541">
        <v>0</v>
      </c>
      <c r="W541" t="s">
        <v>74</v>
      </c>
      <c r="X541">
        <v>0</v>
      </c>
      <c r="Y541">
        <v>0.10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30</v>
      </c>
      <c r="AF541">
        <v>17</v>
      </c>
      <c r="AG541">
        <v>14</v>
      </c>
      <c r="AH541">
        <v>0</v>
      </c>
      <c r="AI541">
        <v>0.0040000000000000001</v>
      </c>
      <c r="AK541" t="s">
        <v>75</v>
      </c>
      <c r="AM541">
        <v>200000</v>
      </c>
      <c r="AN541" t="s">
        <v>76</v>
      </c>
      <c r="AO541">
        <v>1</v>
      </c>
      <c r="AP541">
        <v>0</v>
      </c>
      <c r="AQ541">
        <v>16666.666666666668</v>
      </c>
      <c r="AR541" t="s">
        <v>1986</v>
      </c>
      <c r="AS541" t="s">
        <v>78</v>
      </c>
      <c r="AX541" t="s">
        <v>79</v>
      </c>
      <c r="AY541" t="s">
        <v>74</v>
      </c>
      <c r="AZ541">
        <v>0</v>
      </c>
      <c r="BA541" t="s">
        <v>74</v>
      </c>
      <c r="BB541">
        <v>0</v>
      </c>
      <c r="BD541">
        <v>0.10</v>
      </c>
      <c r="BE541">
        <v>0</v>
      </c>
    </row>
    <row r="542" spans="1:58" ht="12.75">
      <c r="A542" s="2" t="str">
        <f>HYPERLINK("https://ibp.a2mac1.com/costing(costing:projects/details/8191/part/5383014)","Fastener")</f>
        <v>Fastener</v>
      </c>
      <c r="B542">
        <v>5383014</v>
      </c>
      <c r="C542">
        <v>5382852</v>
      </c>
      <c r="D542" t="s">
        <v>603</v>
      </c>
      <c r="E542">
        <v>4.20</v>
      </c>
      <c r="F542">
        <v>0</v>
      </c>
      <c r="G542">
        <v>0</v>
      </c>
      <c r="H542">
        <v>0</v>
      </c>
      <c r="I542" t="s">
        <v>74</v>
      </c>
      <c r="J542">
        <v>0</v>
      </c>
      <c r="K542">
        <v>4.20</v>
      </c>
      <c r="L542">
        <v>0</v>
      </c>
      <c r="M542">
        <v>0</v>
      </c>
      <c r="N542">
        <v>4.20</v>
      </c>
      <c r="O542" t="s">
        <v>74</v>
      </c>
      <c r="P542">
        <v>0</v>
      </c>
      <c r="Q542" t="s">
        <v>74</v>
      </c>
      <c r="R542">
        <v>0</v>
      </c>
      <c r="S542" t="s">
        <v>74</v>
      </c>
      <c r="T542">
        <v>0</v>
      </c>
      <c r="U542" t="s">
        <v>74</v>
      </c>
      <c r="V542">
        <v>0</v>
      </c>
      <c r="W542" t="s">
        <v>74</v>
      </c>
      <c r="X542">
        <v>0</v>
      </c>
      <c r="Y542">
        <v>4.20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0.015</v>
      </c>
      <c r="AK542" t="s">
        <v>218</v>
      </c>
      <c r="AM542">
        <v>8400000</v>
      </c>
      <c r="AN542" t="s">
        <v>92</v>
      </c>
      <c r="AO542">
        <v>42</v>
      </c>
      <c r="AP542">
        <v>0</v>
      </c>
      <c r="AQ542">
        <v>700000</v>
      </c>
      <c r="AR542" t="s">
        <v>9</v>
      </c>
      <c r="AS542" t="s">
        <v>78</v>
      </c>
      <c r="AX542" t="s">
        <v>79</v>
      </c>
      <c r="AY542" t="s">
        <v>74</v>
      </c>
      <c r="AZ542">
        <v>0</v>
      </c>
      <c r="BA542" t="s">
        <v>74</v>
      </c>
      <c r="BB542">
        <v>0</v>
      </c>
      <c r="BD542">
        <v>0.10</v>
      </c>
      <c r="BE542">
        <v>0</v>
      </c>
    </row>
    <row r="543" spans="1:58" ht="12.75">
      <c r="A543" s="2" t="str">
        <f>HYPERLINK("https://ibp.a2mac1.com/costing(costing:projects/details/8191/part/5383376)","Coupling busbar")</f>
        <v>Coupling busbar</v>
      </c>
      <c r="B543">
        <v>5383376</v>
      </c>
      <c r="C543">
        <v>5383070</v>
      </c>
      <c r="D543" t="s">
        <v>1995</v>
      </c>
      <c r="E543">
        <v>1.036538376</v>
      </c>
      <c r="F543">
        <v>0</v>
      </c>
      <c r="G543">
        <v>0</v>
      </c>
      <c r="H543">
        <v>0.0072845613646666668</v>
      </c>
      <c r="I543" t="s">
        <v>137</v>
      </c>
      <c r="J543">
        <v>0.050387282166666665</v>
      </c>
      <c r="K543">
        <v>1.0942102195313332</v>
      </c>
      <c r="L543">
        <v>0.03524321653334362</v>
      </c>
      <c r="M543">
        <v>0.21145929920006173</v>
      </c>
      <c r="N543">
        <v>1.3056695187313951</v>
      </c>
      <c r="O543" t="s">
        <v>138</v>
      </c>
      <c r="P543">
        <v>0.065652613171879995</v>
      </c>
      <c r="Q543" t="s">
        <v>138</v>
      </c>
      <c r="R543">
        <v>0.012687557952003704</v>
      </c>
      <c r="S543" t="s">
        <v>139</v>
      </c>
      <c r="T543">
        <v>0.15668034224776742</v>
      </c>
      <c r="U543" t="s">
        <v>216</v>
      </c>
      <c r="V543">
        <v>0.0065283475936569755</v>
      </c>
      <c r="W543" t="s">
        <v>217</v>
      </c>
      <c r="X543">
        <v>0.026113390374627902</v>
      </c>
      <c r="Y543">
        <v>1.573331770071331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173</v>
      </c>
      <c r="AF543">
        <v>59</v>
      </c>
      <c r="AG543">
        <v>9</v>
      </c>
      <c r="AH543">
        <v>0</v>
      </c>
      <c r="AI543">
        <v>0.047</v>
      </c>
      <c r="AK543" t="s">
        <v>218</v>
      </c>
      <c r="AM543">
        <v>200000</v>
      </c>
      <c r="AN543" t="s">
        <v>76</v>
      </c>
      <c r="AO543">
        <v>1</v>
      </c>
      <c r="AP543">
        <v>0</v>
      </c>
      <c r="AQ543">
        <v>16666.666666666668</v>
      </c>
      <c r="AR543" t="s">
        <v>9</v>
      </c>
      <c r="AS543" t="s">
        <v>78</v>
      </c>
      <c r="AX543" t="s">
        <v>79</v>
      </c>
      <c r="AY543" t="s">
        <v>137</v>
      </c>
      <c r="AZ543">
        <v>0</v>
      </c>
      <c r="BA543" t="s">
        <v>137</v>
      </c>
      <c r="BB543">
        <v>0</v>
      </c>
      <c r="BE543">
        <v>0</v>
      </c>
    </row>
    <row r="544" spans="1:58" ht="12.75">
      <c r="A544" s="2" t="str">
        <f>HYPERLINK("https://ibp.a2mac1.com/costing(costing:projects/details/8191/part/5383377)","Coupling busbar protection #1")</f>
        <v>Coupling busbar protection #1</v>
      </c>
      <c r="B544">
        <v>5383377</v>
      </c>
      <c r="C544">
        <v>5383070</v>
      </c>
      <c r="D544" t="s">
        <v>1996</v>
      </c>
      <c r="E544">
        <v>0.12</v>
      </c>
      <c r="F544">
        <v>0</v>
      </c>
      <c r="G544">
        <v>0</v>
      </c>
      <c r="H544">
        <v>0</v>
      </c>
      <c r="I544" t="s">
        <v>74</v>
      </c>
      <c r="J544">
        <v>0</v>
      </c>
      <c r="K544">
        <v>0.12</v>
      </c>
      <c r="L544">
        <v>0</v>
      </c>
      <c r="M544">
        <v>0</v>
      </c>
      <c r="N544">
        <v>0.12</v>
      </c>
      <c r="O544" t="s">
        <v>74</v>
      </c>
      <c r="P544">
        <v>0</v>
      </c>
      <c r="Q544" t="s">
        <v>74</v>
      </c>
      <c r="R544">
        <v>0</v>
      </c>
      <c r="S544" t="s">
        <v>74</v>
      </c>
      <c r="T544">
        <v>0</v>
      </c>
      <c r="U544" t="s">
        <v>74</v>
      </c>
      <c r="V544">
        <v>0</v>
      </c>
      <c r="W544" t="s">
        <v>74</v>
      </c>
      <c r="X544">
        <v>0</v>
      </c>
      <c r="Y544">
        <v>0.12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179</v>
      </c>
      <c r="AF544">
        <v>64</v>
      </c>
      <c r="AG544">
        <v>24</v>
      </c>
      <c r="AH544">
        <v>0</v>
      </c>
      <c r="AI544">
        <v>0.012999999999999999</v>
      </c>
      <c r="AK544" t="s">
        <v>218</v>
      </c>
      <c r="AM544">
        <v>200000</v>
      </c>
      <c r="AN544" t="s">
        <v>92</v>
      </c>
      <c r="AO544">
        <v>1</v>
      </c>
      <c r="AP544">
        <v>0</v>
      </c>
      <c r="AQ544">
        <v>16666.666666666668</v>
      </c>
      <c r="AR544" t="s">
        <v>9</v>
      </c>
      <c r="AS544" t="s">
        <v>78</v>
      </c>
      <c r="AX544" t="s">
        <v>79</v>
      </c>
      <c r="AY544" t="s">
        <v>74</v>
      </c>
      <c r="AZ544">
        <v>0</v>
      </c>
      <c r="BA544" t="s">
        <v>74</v>
      </c>
      <c r="BB544">
        <v>0</v>
      </c>
      <c r="BD544">
        <v>0.12</v>
      </c>
      <c r="BE544">
        <v>0</v>
      </c>
    </row>
    <row r="545" spans="1:58" ht="12.75">
      <c r="A545" s="2" t="str">
        <f>HYPERLINK("https://ibp.a2mac1.com/costing(costing:projects/details/8191/part/5383378)","Coupling busbar protection #2")</f>
        <v>Coupling busbar protection #2</v>
      </c>
      <c r="B545">
        <v>5383378</v>
      </c>
      <c r="C545">
        <v>5383070</v>
      </c>
      <c r="D545" t="s">
        <v>1997</v>
      </c>
      <c r="E545">
        <v>0.12</v>
      </c>
      <c r="F545">
        <v>0</v>
      </c>
      <c r="G545">
        <v>0</v>
      </c>
      <c r="H545">
        <v>0</v>
      </c>
      <c r="I545" t="s">
        <v>74</v>
      </c>
      <c r="J545">
        <v>0</v>
      </c>
      <c r="K545">
        <v>0.12</v>
      </c>
      <c r="L545">
        <v>0</v>
      </c>
      <c r="M545">
        <v>0</v>
      </c>
      <c r="N545">
        <v>0.12</v>
      </c>
      <c r="O545" t="s">
        <v>74</v>
      </c>
      <c r="P545">
        <v>0</v>
      </c>
      <c r="Q545" t="s">
        <v>74</v>
      </c>
      <c r="R545">
        <v>0</v>
      </c>
      <c r="S545" t="s">
        <v>74</v>
      </c>
      <c r="T545">
        <v>0</v>
      </c>
      <c r="U545" t="s">
        <v>74</v>
      </c>
      <c r="V545">
        <v>0</v>
      </c>
      <c r="W545" t="s">
        <v>74</v>
      </c>
      <c r="X545">
        <v>0</v>
      </c>
      <c r="Y545">
        <v>0.12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186</v>
      </c>
      <c r="AF545">
        <v>66</v>
      </c>
      <c r="AG545">
        <v>26</v>
      </c>
      <c r="AH545">
        <v>0</v>
      </c>
      <c r="AI545">
        <v>0.012</v>
      </c>
      <c r="AK545" t="s">
        <v>218</v>
      </c>
      <c r="AM545">
        <v>200000</v>
      </c>
      <c r="AN545" t="s">
        <v>92</v>
      </c>
      <c r="AO545">
        <v>1</v>
      </c>
      <c r="AP545">
        <v>0</v>
      </c>
      <c r="AQ545">
        <v>16666.666666666668</v>
      </c>
      <c r="AR545" t="s">
        <v>9</v>
      </c>
      <c r="AS545" t="s">
        <v>78</v>
      </c>
      <c r="AX545" t="s">
        <v>79</v>
      </c>
      <c r="AY545" t="s">
        <v>74</v>
      </c>
      <c r="AZ545">
        <v>0</v>
      </c>
      <c r="BA545" t="s">
        <v>74</v>
      </c>
      <c r="BB545">
        <v>0</v>
      </c>
      <c r="BD545">
        <v>0.12</v>
      </c>
      <c r="BE545">
        <v>0</v>
      </c>
    </row>
    <row r="546" spans="1:58" ht="12.75">
      <c r="A546" s="2" t="str">
        <f>HYPERLINK("https://ibp.a2mac1.com/costing(costing:projects/details/8191/part/5383379)","Connection cover")</f>
        <v>Connection cover</v>
      </c>
      <c r="B546">
        <v>5383379</v>
      </c>
      <c r="C546">
        <v>5383070</v>
      </c>
      <c r="D546" t="s">
        <v>1998</v>
      </c>
      <c r="E546">
        <v>0.05</v>
      </c>
      <c r="F546">
        <v>0</v>
      </c>
      <c r="G546">
        <v>0</v>
      </c>
      <c r="H546">
        <v>0</v>
      </c>
      <c r="I546" t="s">
        <v>74</v>
      </c>
      <c r="J546">
        <v>0</v>
      </c>
      <c r="K546">
        <v>0.05</v>
      </c>
      <c r="L546">
        <v>0</v>
      </c>
      <c r="M546">
        <v>0</v>
      </c>
      <c r="N546">
        <v>0.05</v>
      </c>
      <c r="O546" t="s">
        <v>74</v>
      </c>
      <c r="P546">
        <v>0</v>
      </c>
      <c r="Q546" t="s">
        <v>74</v>
      </c>
      <c r="R546">
        <v>0</v>
      </c>
      <c r="S546" t="s">
        <v>74</v>
      </c>
      <c r="T546">
        <v>0</v>
      </c>
      <c r="U546" t="s">
        <v>74</v>
      </c>
      <c r="V546">
        <v>0</v>
      </c>
      <c r="W546" t="s">
        <v>74</v>
      </c>
      <c r="X546">
        <v>0</v>
      </c>
      <c r="Y546">
        <v>0.05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38</v>
      </c>
      <c r="AF546">
        <v>25</v>
      </c>
      <c r="AG546">
        <v>28</v>
      </c>
      <c r="AH546">
        <v>0</v>
      </c>
      <c r="AI546">
        <v>0.002</v>
      </c>
      <c r="AK546" t="s">
        <v>218</v>
      </c>
      <c r="AM546">
        <v>200000</v>
      </c>
      <c r="AN546" t="s">
        <v>92</v>
      </c>
      <c r="AO546">
        <v>1</v>
      </c>
      <c r="AP546">
        <v>0</v>
      </c>
      <c r="AQ546">
        <v>16666.666666666668</v>
      </c>
      <c r="AR546" t="s">
        <v>9</v>
      </c>
      <c r="AS546" t="s">
        <v>78</v>
      </c>
      <c r="AX546" t="s">
        <v>79</v>
      </c>
      <c r="AY546" t="s">
        <v>74</v>
      </c>
      <c r="AZ546">
        <v>0</v>
      </c>
      <c r="BA546" t="s">
        <v>74</v>
      </c>
      <c r="BB546">
        <v>0</v>
      </c>
      <c r="BD546">
        <v>0.05</v>
      </c>
      <c r="BE546">
        <v>0</v>
      </c>
    </row>
    <row r="547" spans="1:58" ht="12.75">
      <c r="A547" s="2" t="str">
        <f>HYPERLINK("https://ibp.a2mac1.com/costing(costing:projects/details/8191/part/5383380)","Phase busbar #1")</f>
        <v>Phase busbar #1</v>
      </c>
      <c r="B547">
        <v>5383380</v>
      </c>
      <c r="C547">
        <v>5383070</v>
      </c>
      <c r="D547" t="s">
        <v>1999</v>
      </c>
      <c r="E547">
        <v>0.75</v>
      </c>
      <c r="F547">
        <v>0</v>
      </c>
      <c r="G547">
        <v>0</v>
      </c>
      <c r="H547">
        <v>0</v>
      </c>
      <c r="I547" t="s">
        <v>74</v>
      </c>
      <c r="J547">
        <v>0</v>
      </c>
      <c r="K547">
        <v>0.75</v>
      </c>
      <c r="L547">
        <v>0</v>
      </c>
      <c r="M547">
        <v>0</v>
      </c>
      <c r="N547">
        <v>0.75</v>
      </c>
      <c r="O547" t="s">
        <v>74</v>
      </c>
      <c r="P547">
        <v>0</v>
      </c>
      <c r="Q547" t="s">
        <v>74</v>
      </c>
      <c r="R547">
        <v>0</v>
      </c>
      <c r="S547" t="s">
        <v>74</v>
      </c>
      <c r="T547">
        <v>0</v>
      </c>
      <c r="U547" t="s">
        <v>74</v>
      </c>
      <c r="V547">
        <v>0</v>
      </c>
      <c r="W547" t="s">
        <v>74</v>
      </c>
      <c r="X547">
        <v>0</v>
      </c>
      <c r="Y547">
        <v>0.75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92</v>
      </c>
      <c r="AF547">
        <v>23</v>
      </c>
      <c r="AG547">
        <v>50</v>
      </c>
      <c r="AH547">
        <v>0</v>
      </c>
      <c r="AI547">
        <v>0.036999999999999998</v>
      </c>
      <c r="AK547" t="s">
        <v>218</v>
      </c>
      <c r="AM547">
        <v>200000</v>
      </c>
      <c r="AN547" t="s">
        <v>92</v>
      </c>
      <c r="AO547">
        <v>1</v>
      </c>
      <c r="AP547">
        <v>0</v>
      </c>
      <c r="AQ547">
        <v>16666.666666666668</v>
      </c>
      <c r="AR547" t="s">
        <v>9</v>
      </c>
      <c r="AS547" t="s">
        <v>78</v>
      </c>
      <c r="AX547" t="s">
        <v>79</v>
      </c>
      <c r="AY547" t="s">
        <v>74</v>
      </c>
      <c r="AZ547">
        <v>0</v>
      </c>
      <c r="BA547" t="s">
        <v>74</v>
      </c>
      <c r="BB547">
        <v>0</v>
      </c>
      <c r="BD547">
        <v>0.75</v>
      </c>
      <c r="BE547">
        <v>0</v>
      </c>
    </row>
    <row r="548" spans="1:58" ht="12.75">
      <c r="A548" s="2" t="str">
        <f>HYPERLINK("https://ibp.a2mac1.com/costing(costing:projects/details/8191/part/5383381)","Phase busbar #2")</f>
        <v>Phase busbar #2</v>
      </c>
      <c r="B548">
        <v>5383381</v>
      </c>
      <c r="C548">
        <v>5383070</v>
      </c>
      <c r="D548" t="s">
        <v>2000</v>
      </c>
      <c r="E548">
        <v>0.67</v>
      </c>
      <c r="F548">
        <v>0</v>
      </c>
      <c r="G548">
        <v>0</v>
      </c>
      <c r="H548">
        <v>0</v>
      </c>
      <c r="I548" t="s">
        <v>74</v>
      </c>
      <c r="J548">
        <v>0</v>
      </c>
      <c r="K548">
        <v>0.67</v>
      </c>
      <c r="L548">
        <v>0</v>
      </c>
      <c r="M548">
        <v>0</v>
      </c>
      <c r="N548">
        <v>0.67</v>
      </c>
      <c r="O548" t="s">
        <v>74</v>
      </c>
      <c r="P548">
        <v>0</v>
      </c>
      <c r="Q548" t="s">
        <v>74</v>
      </c>
      <c r="R548">
        <v>0</v>
      </c>
      <c r="S548" t="s">
        <v>74</v>
      </c>
      <c r="T548">
        <v>0</v>
      </c>
      <c r="U548" t="s">
        <v>74</v>
      </c>
      <c r="V548">
        <v>0</v>
      </c>
      <c r="W548" t="s">
        <v>74</v>
      </c>
      <c r="X548">
        <v>0</v>
      </c>
      <c r="Y548">
        <v>0.67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94</v>
      </c>
      <c r="AF548">
        <v>19</v>
      </c>
      <c r="AG548">
        <v>45</v>
      </c>
      <c r="AH548">
        <v>0</v>
      </c>
      <c r="AI548">
        <v>0.034000000000000002</v>
      </c>
      <c r="AK548" t="s">
        <v>218</v>
      </c>
      <c r="AM548">
        <v>200000</v>
      </c>
      <c r="AN548" t="s">
        <v>92</v>
      </c>
      <c r="AO548">
        <v>1</v>
      </c>
      <c r="AP548">
        <v>0</v>
      </c>
      <c r="AQ548">
        <v>16666.666666666668</v>
      </c>
      <c r="AR548" t="s">
        <v>9</v>
      </c>
      <c r="AS548" t="s">
        <v>78</v>
      </c>
      <c r="AX548" t="s">
        <v>79</v>
      </c>
      <c r="AY548" t="s">
        <v>74</v>
      </c>
      <c r="AZ548">
        <v>0</v>
      </c>
      <c r="BA548" t="s">
        <v>74</v>
      </c>
      <c r="BB548">
        <v>0</v>
      </c>
      <c r="BD548">
        <v>0.67</v>
      </c>
      <c r="BE548">
        <v>0</v>
      </c>
    </row>
    <row r="549" spans="1:58" ht="12.75">
      <c r="A549" s="2" t="str">
        <f>HYPERLINK("https://ibp.a2mac1.com/costing(costing:projects/details/8191/part/5383382)","Phase busbar #3")</f>
        <v>Phase busbar #3</v>
      </c>
      <c r="B549">
        <v>5383382</v>
      </c>
      <c r="C549">
        <v>5383070</v>
      </c>
      <c r="D549" t="s">
        <v>2001</v>
      </c>
      <c r="E549">
        <v>0.98</v>
      </c>
      <c r="F549">
        <v>0</v>
      </c>
      <c r="G549">
        <v>0</v>
      </c>
      <c r="H549">
        <v>0</v>
      </c>
      <c r="I549" t="s">
        <v>74</v>
      </c>
      <c r="J549">
        <v>0</v>
      </c>
      <c r="K549">
        <v>0.98</v>
      </c>
      <c r="L549">
        <v>0</v>
      </c>
      <c r="M549">
        <v>0</v>
      </c>
      <c r="N549">
        <v>0.98</v>
      </c>
      <c r="O549" t="s">
        <v>74</v>
      </c>
      <c r="P549">
        <v>0</v>
      </c>
      <c r="Q549" t="s">
        <v>74</v>
      </c>
      <c r="R549">
        <v>0</v>
      </c>
      <c r="S549" t="s">
        <v>74</v>
      </c>
      <c r="T549">
        <v>0</v>
      </c>
      <c r="U549" t="s">
        <v>74</v>
      </c>
      <c r="V549">
        <v>0</v>
      </c>
      <c r="W549" t="s">
        <v>74</v>
      </c>
      <c r="X549">
        <v>0</v>
      </c>
      <c r="Y549">
        <v>0.98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94</v>
      </c>
      <c r="AF549">
        <v>25</v>
      </c>
      <c r="AG549">
        <v>51</v>
      </c>
      <c r="AH549">
        <v>0</v>
      </c>
      <c r="AI549">
        <v>0.045</v>
      </c>
      <c r="AK549" t="s">
        <v>218</v>
      </c>
      <c r="AM549">
        <v>200000</v>
      </c>
      <c r="AN549" t="s">
        <v>92</v>
      </c>
      <c r="AO549">
        <v>1</v>
      </c>
      <c r="AP549">
        <v>0</v>
      </c>
      <c r="AQ549">
        <v>16666.666666666668</v>
      </c>
      <c r="AR549" t="s">
        <v>9</v>
      </c>
      <c r="AS549" t="s">
        <v>78</v>
      </c>
      <c r="AX549" t="s">
        <v>79</v>
      </c>
      <c r="AY549" t="s">
        <v>74</v>
      </c>
      <c r="AZ549">
        <v>0</v>
      </c>
      <c r="BA549" t="s">
        <v>74</v>
      </c>
      <c r="BB549">
        <v>0</v>
      </c>
      <c r="BD549">
        <v>0.98</v>
      </c>
      <c r="BE549">
        <v>0</v>
      </c>
    </row>
    <row r="550" spans="1:58" ht="12.75">
      <c r="A550" s="2" t="str">
        <f>HYPERLINK("https://ibp.a2mac1.com/costing(costing:projects/details/8191/part/5383383)","Hairpin winding")</f>
        <v>Hairpin winding</v>
      </c>
      <c r="B550">
        <v>5383383</v>
      </c>
      <c r="C550">
        <v>5383070</v>
      </c>
      <c r="D550" t="s">
        <v>2002</v>
      </c>
      <c r="E550">
        <v>116.06</v>
      </c>
      <c r="F550">
        <v>0</v>
      </c>
      <c r="G550">
        <v>0</v>
      </c>
      <c r="H550">
        <v>0</v>
      </c>
      <c r="I550" t="s">
        <v>74</v>
      </c>
      <c r="J550">
        <v>0</v>
      </c>
      <c r="K550">
        <v>116.06</v>
      </c>
      <c r="L550">
        <v>0</v>
      </c>
      <c r="M550">
        <v>0</v>
      </c>
      <c r="N550">
        <v>116.06</v>
      </c>
      <c r="O550" t="s">
        <v>74</v>
      </c>
      <c r="P550">
        <v>0</v>
      </c>
      <c r="Q550" t="s">
        <v>74</v>
      </c>
      <c r="R550">
        <v>0</v>
      </c>
      <c r="S550" t="s">
        <v>74</v>
      </c>
      <c r="T550">
        <v>0</v>
      </c>
      <c r="U550" t="s">
        <v>74</v>
      </c>
      <c r="V550">
        <v>0</v>
      </c>
      <c r="W550" t="s">
        <v>74</v>
      </c>
      <c r="X550">
        <v>0</v>
      </c>
      <c r="Y550">
        <v>116.06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7.16</v>
      </c>
      <c r="AK550" t="s">
        <v>218</v>
      </c>
      <c r="AM550">
        <v>200000</v>
      </c>
      <c r="AN550" t="s">
        <v>92</v>
      </c>
      <c r="AO550">
        <v>1</v>
      </c>
      <c r="AP550">
        <v>0</v>
      </c>
      <c r="AQ550">
        <v>16666.666666666668</v>
      </c>
      <c r="AR550" t="s">
        <v>9</v>
      </c>
      <c r="AS550" t="s">
        <v>78</v>
      </c>
      <c r="AX550" t="s">
        <v>79</v>
      </c>
      <c r="AY550" t="s">
        <v>74</v>
      </c>
      <c r="AZ550">
        <v>0</v>
      </c>
      <c r="BA550" t="s">
        <v>74</v>
      </c>
      <c r="BB550">
        <v>0</v>
      </c>
      <c r="BD550">
        <v>116.06</v>
      </c>
      <c r="BE550">
        <v>0</v>
      </c>
    </row>
    <row r="551" spans="1:58" ht="12.75">
      <c r="A551" s="2" t="str">
        <f>HYPERLINK("https://ibp.a2mac1.com/costing(costing:projects/details/8191/part/5383384)","Slot insulation")</f>
        <v>Slot insulation</v>
      </c>
      <c r="B551">
        <v>5383384</v>
      </c>
      <c r="C551">
        <v>5383070</v>
      </c>
      <c r="D551" t="s">
        <v>2003</v>
      </c>
      <c r="E551">
        <v>5.76</v>
      </c>
      <c r="F551">
        <v>0</v>
      </c>
      <c r="G551">
        <v>0</v>
      </c>
      <c r="H551">
        <v>0</v>
      </c>
      <c r="I551" t="s">
        <v>74</v>
      </c>
      <c r="J551">
        <v>0</v>
      </c>
      <c r="K551">
        <v>5.76</v>
      </c>
      <c r="L551">
        <v>0</v>
      </c>
      <c r="M551">
        <v>0</v>
      </c>
      <c r="N551">
        <v>5.76</v>
      </c>
      <c r="O551" t="s">
        <v>74</v>
      </c>
      <c r="P551">
        <v>0</v>
      </c>
      <c r="Q551" t="s">
        <v>74</v>
      </c>
      <c r="R551">
        <v>0</v>
      </c>
      <c r="S551" t="s">
        <v>74</v>
      </c>
      <c r="T551">
        <v>0</v>
      </c>
      <c r="U551" t="s">
        <v>74</v>
      </c>
      <c r="V551">
        <v>0</v>
      </c>
      <c r="W551" t="s">
        <v>74</v>
      </c>
      <c r="X551">
        <v>0</v>
      </c>
      <c r="Y551">
        <v>5.76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K551" t="s">
        <v>218</v>
      </c>
      <c r="AM551">
        <v>9600000</v>
      </c>
      <c r="AN551" t="s">
        <v>92</v>
      </c>
      <c r="AO551">
        <v>48</v>
      </c>
      <c r="AP551">
        <v>0</v>
      </c>
      <c r="AQ551">
        <v>800000</v>
      </c>
      <c r="AR551" t="s">
        <v>9</v>
      </c>
      <c r="AS551" t="s">
        <v>78</v>
      </c>
      <c r="AX551" t="s">
        <v>79</v>
      </c>
      <c r="AY551" t="s">
        <v>74</v>
      </c>
      <c r="AZ551">
        <v>0</v>
      </c>
      <c r="BA551" t="s">
        <v>74</v>
      </c>
      <c r="BB551">
        <v>0</v>
      </c>
      <c r="BD551">
        <v>0.12</v>
      </c>
      <c r="BE551">
        <v>0</v>
      </c>
    </row>
    <row r="552" spans="1:58" ht="12.75">
      <c r="A552" s="2" t="str">
        <f>HYPERLINK("https://ibp.a2mac1.com/costing(costing:projects/details/8191/part/5383385)","Lamination stack")</f>
        <v>Lamination stack</v>
      </c>
      <c r="B552">
        <v>5383385</v>
      </c>
      <c r="C552">
        <v>5383070</v>
      </c>
      <c r="D552" t="s">
        <v>2008</v>
      </c>
      <c r="E552">
        <v>41.098151264999998</v>
      </c>
      <c r="F552">
        <v>0</v>
      </c>
      <c r="G552">
        <v>0</v>
      </c>
      <c r="H552">
        <v>0.2273992842</v>
      </c>
      <c r="I552" t="s">
        <v>137</v>
      </c>
      <c r="J552">
        <v>1.57291995</v>
      </c>
      <c r="K552">
        <v>42.898470499200002</v>
      </c>
      <c r="L552">
        <v>0.81010873338021383</v>
      </c>
      <c r="M552">
        <v>4.8606524002812828</v>
      </c>
      <c r="N552">
        <v>47.759122899481284</v>
      </c>
      <c r="O552" t="s">
        <v>138</v>
      </c>
      <c r="P552">
        <v>2.573908229952</v>
      </c>
      <c r="Q552" t="s">
        <v>138</v>
      </c>
      <c r="R552">
        <v>0.29163914401687696</v>
      </c>
      <c r="S552" t="s">
        <v>139</v>
      </c>
      <c r="T552">
        <v>5.7310947479377541</v>
      </c>
      <c r="U552" t="s">
        <v>216</v>
      </c>
      <c r="V552">
        <v>0.23879561449740641</v>
      </c>
      <c r="W552" t="s">
        <v>217</v>
      </c>
      <c r="X552">
        <v>0.95518245798962564</v>
      </c>
      <c r="Y552">
        <v>57.549743093874945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220</v>
      </c>
      <c r="AF552">
        <v>220</v>
      </c>
      <c r="AG552">
        <v>0.27</v>
      </c>
      <c r="AH552">
        <v>0</v>
      </c>
      <c r="AI552">
        <v>15.91</v>
      </c>
      <c r="AK552" t="s">
        <v>218</v>
      </c>
      <c r="AM552">
        <v>200000</v>
      </c>
      <c r="AN552" t="s">
        <v>76</v>
      </c>
      <c r="AO552">
        <v>1</v>
      </c>
      <c r="AP552">
        <v>0</v>
      </c>
      <c r="AQ552">
        <v>16666.666666666668</v>
      </c>
      <c r="AR552" t="s">
        <v>9</v>
      </c>
      <c r="AS552" t="s">
        <v>78</v>
      </c>
      <c r="AX552" t="s">
        <v>79</v>
      </c>
      <c r="AY552" t="s">
        <v>137</v>
      </c>
      <c r="AZ552">
        <v>0</v>
      </c>
      <c r="BA552" t="s">
        <v>137</v>
      </c>
      <c r="BB552">
        <v>0</v>
      </c>
      <c r="BE552">
        <v>0</v>
      </c>
    </row>
    <row r="553" spans="1:58" ht="12.75">
      <c r="A553" s="2" t="str">
        <f>HYPERLINK("https://ibp.a2mac1.com/costing(costing:projects/details/8191/part/5383386)","End plates")</f>
        <v>End plates</v>
      </c>
      <c r="B553">
        <v>5383386</v>
      </c>
      <c r="C553">
        <v>5383072</v>
      </c>
      <c r="D553" t="s">
        <v>2017</v>
      </c>
      <c r="E553">
        <v>2.4074870914285715</v>
      </c>
      <c r="F553">
        <v>0</v>
      </c>
      <c r="G553">
        <v>0</v>
      </c>
      <c r="H553">
        <v>0.012231979868571429</v>
      </c>
      <c r="I553" t="s">
        <v>137</v>
      </c>
      <c r="J553">
        <v>0.085113179999999997</v>
      </c>
      <c r="K553">
        <v>2.504832251297143</v>
      </c>
      <c r="L553">
        <v>0.17523470829360049</v>
      </c>
      <c r="M553">
        <v>1.0514082497616029</v>
      </c>
      <c r="N553">
        <v>3.5562405010587459</v>
      </c>
      <c r="O553" t="s">
        <v>90</v>
      </c>
      <c r="P553">
        <v>0</v>
      </c>
      <c r="Q553" t="s">
        <v>90</v>
      </c>
      <c r="R553">
        <v>0</v>
      </c>
      <c r="S553" t="s">
        <v>90</v>
      </c>
      <c r="T553">
        <v>0</v>
      </c>
      <c r="U553" t="s">
        <v>216</v>
      </c>
      <c r="V553">
        <v>0.01778120250529373</v>
      </c>
      <c r="W553" t="s">
        <v>217</v>
      </c>
      <c r="X553">
        <v>0.07112481002117492</v>
      </c>
      <c r="Y553">
        <v>3.6451465135852144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160</v>
      </c>
      <c r="AF553">
        <v>160</v>
      </c>
      <c r="AG553">
        <v>18</v>
      </c>
      <c r="AH553">
        <v>0</v>
      </c>
      <c r="AI553">
        <v>0.48599999999999999</v>
      </c>
      <c r="AK553" t="s">
        <v>218</v>
      </c>
      <c r="AM553">
        <v>400000</v>
      </c>
      <c r="AN553" t="s">
        <v>92</v>
      </c>
      <c r="AO553">
        <v>2</v>
      </c>
      <c r="AP553">
        <v>0</v>
      </c>
      <c r="AQ553">
        <v>33333.333333333336</v>
      </c>
      <c r="AR553" t="s">
        <v>9</v>
      </c>
      <c r="AS553" t="s">
        <v>78</v>
      </c>
      <c r="AX553" t="s">
        <v>79</v>
      </c>
      <c r="AY553" t="s">
        <v>137</v>
      </c>
      <c r="AZ553">
        <v>0</v>
      </c>
      <c r="BA553" t="s">
        <v>137</v>
      </c>
      <c r="BB553">
        <v>0</v>
      </c>
      <c r="BE553">
        <v>0</v>
      </c>
    </row>
    <row r="554" spans="1:58" ht="12.75">
      <c r="A554" s="2" t="str">
        <f>HYPERLINK("https://ibp.a2mac1.com/costing(costing:projects/details/8191/part/5383387)","Magnet #1")</f>
        <v>Magnet #1</v>
      </c>
      <c r="B554">
        <v>5383387</v>
      </c>
      <c r="C554">
        <v>5383072</v>
      </c>
      <c r="D554" t="s">
        <v>2022</v>
      </c>
      <c r="E554">
        <v>16.491789473684211</v>
      </c>
      <c r="F554">
        <v>0</v>
      </c>
      <c r="G554">
        <v>0</v>
      </c>
      <c r="H554">
        <v>0.08289185684210526</v>
      </c>
      <c r="I554" t="s">
        <v>137</v>
      </c>
      <c r="J554">
        <v>0.57721263157894742</v>
      </c>
      <c r="K554">
        <v>17.151893962105262</v>
      </c>
      <c r="L554">
        <v>1.2100192353601267</v>
      </c>
      <c r="M554">
        <v>7.2601154121607605</v>
      </c>
      <c r="N554">
        <v>24.412009374266024</v>
      </c>
      <c r="O554" t="s">
        <v>138</v>
      </c>
      <c r="P554">
        <v>1.0291136377263157</v>
      </c>
      <c r="Q554" t="s">
        <v>138</v>
      </c>
      <c r="R554">
        <v>0.43560692472964563</v>
      </c>
      <c r="S554" t="s">
        <v>139</v>
      </c>
      <c r="T554">
        <v>2.9294411249119228</v>
      </c>
      <c r="U554" t="s">
        <v>216</v>
      </c>
      <c r="V554">
        <v>0.12206004687133012</v>
      </c>
      <c r="W554" t="s">
        <v>217</v>
      </c>
      <c r="X554">
        <v>0.4882401874853205</v>
      </c>
      <c r="Y554">
        <v>29.416471295990558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43</v>
      </c>
      <c r="AF554">
        <v>17</v>
      </c>
      <c r="AG554">
        <v>4</v>
      </c>
      <c r="AH554">
        <v>0</v>
      </c>
      <c r="AI554">
        <v>0.017999999999999999</v>
      </c>
      <c r="AK554" t="s">
        <v>218</v>
      </c>
      <c r="AM554">
        <v>6400000</v>
      </c>
      <c r="AN554" t="s">
        <v>76</v>
      </c>
      <c r="AO554">
        <v>32</v>
      </c>
      <c r="AP554">
        <v>0</v>
      </c>
      <c r="AQ554">
        <v>533333.33333333337</v>
      </c>
      <c r="AR554" t="s">
        <v>9</v>
      </c>
      <c r="AS554" t="s">
        <v>78</v>
      </c>
      <c r="AX554" t="s">
        <v>79</v>
      </c>
      <c r="AY554" t="s">
        <v>137</v>
      </c>
      <c r="AZ554">
        <v>0</v>
      </c>
      <c r="BA554" t="s">
        <v>137</v>
      </c>
      <c r="BB554">
        <v>0</v>
      </c>
      <c r="BE554">
        <v>0</v>
      </c>
    </row>
    <row r="555" spans="1:58" ht="12.75">
      <c r="A555" s="2" t="str">
        <f>HYPERLINK("https://ibp.a2mac1.com/costing(costing:projects/details/8191/part/5383388)","Magnet #2")</f>
        <v>Magnet #2</v>
      </c>
      <c r="B555">
        <v>5383388</v>
      </c>
      <c r="C555">
        <v>5383072</v>
      </c>
      <c r="D555" t="s">
        <v>2027</v>
      </c>
      <c r="E555">
        <v>56.805052631578945</v>
      </c>
      <c r="F555">
        <v>0</v>
      </c>
      <c r="G555">
        <v>0</v>
      </c>
      <c r="H555">
        <v>0.2854631410526316</v>
      </c>
      <c r="I555" t="s">
        <v>137</v>
      </c>
      <c r="J555">
        <v>1.9881768421052632</v>
      </c>
      <c r="K555">
        <v>59.078692614736845</v>
      </c>
      <c r="L555">
        <v>2.4199173297464256</v>
      </c>
      <c r="M555">
        <v>14.519503978478552</v>
      </c>
      <c r="N555">
        <v>73.598196593215391</v>
      </c>
      <c r="O555" t="s">
        <v>138</v>
      </c>
      <c r="P555">
        <v>3.5447215568842103</v>
      </c>
      <c r="Q555" t="s">
        <v>138</v>
      </c>
      <c r="R555">
        <v>0.87117023870871313</v>
      </c>
      <c r="S555" t="s">
        <v>139</v>
      </c>
      <c r="T555">
        <v>8.8317835911858467</v>
      </c>
      <c r="U555" t="s">
        <v>216</v>
      </c>
      <c r="V555">
        <v>0.36799098296607696</v>
      </c>
      <c r="W555" t="s">
        <v>217</v>
      </c>
      <c r="X555">
        <v>1.4719639318643079</v>
      </c>
      <c r="Y555">
        <v>88.685826894824544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43</v>
      </c>
      <c r="AF555">
        <v>18</v>
      </c>
      <c r="AG555">
        <v>6</v>
      </c>
      <c r="AH555">
        <v>0</v>
      </c>
      <c r="AI555">
        <v>0.031</v>
      </c>
      <c r="AK555" t="s">
        <v>218</v>
      </c>
      <c r="AM555">
        <v>12800000</v>
      </c>
      <c r="AN555" t="s">
        <v>76</v>
      </c>
      <c r="AO555">
        <v>64</v>
      </c>
      <c r="AP555">
        <v>0</v>
      </c>
      <c r="AQ555">
        <v>1066666.6666666667</v>
      </c>
      <c r="AR555" t="s">
        <v>9</v>
      </c>
      <c r="AS555" t="s">
        <v>78</v>
      </c>
      <c r="AX555" t="s">
        <v>79</v>
      </c>
      <c r="AY555" t="s">
        <v>137</v>
      </c>
      <c r="AZ555">
        <v>0</v>
      </c>
      <c r="BA555" t="s">
        <v>137</v>
      </c>
      <c r="BB555">
        <v>0</v>
      </c>
      <c r="BE555">
        <v>0</v>
      </c>
    </row>
    <row r="556" spans="1:58" ht="12.75">
      <c r="A556" s="2" t="str">
        <f>HYPERLINK("https://ibp.a2mac1.com/costing(costing:projects/details/8191/part/5383389)","Lamination stack")</f>
        <v>Lamination stack</v>
      </c>
      <c r="B556">
        <v>5383389</v>
      </c>
      <c r="C556">
        <v>5383072</v>
      </c>
      <c r="D556" t="s">
        <v>2032</v>
      </c>
      <c r="E556">
        <v>32.904345489230771</v>
      </c>
      <c r="F556">
        <v>0</v>
      </c>
      <c r="G556">
        <v>0</v>
      </c>
      <c r="H556">
        <v>0.17941378036153846</v>
      </c>
      <c r="I556" t="s">
        <v>137</v>
      </c>
      <c r="J556">
        <v>1.2410044096153847</v>
      </c>
      <c r="K556">
        <v>34.324763679207692</v>
      </c>
      <c r="L556">
        <v>0.85795899438167755</v>
      </c>
      <c r="M556">
        <v>5.1477539662900655</v>
      </c>
      <c r="N556">
        <v>39.47251764549776</v>
      </c>
      <c r="O556" t="s">
        <v>138</v>
      </c>
      <c r="P556">
        <v>2.0594858207524616</v>
      </c>
      <c r="Q556" t="s">
        <v>138</v>
      </c>
      <c r="R556">
        <v>0.30886523797740389</v>
      </c>
      <c r="S556" t="s">
        <v>139</v>
      </c>
      <c r="T556">
        <v>4.736702117459731</v>
      </c>
      <c r="U556" t="s">
        <v>216</v>
      </c>
      <c r="V556">
        <v>0.19736258822748878</v>
      </c>
      <c r="W556" t="s">
        <v>217</v>
      </c>
      <c r="X556">
        <v>0.78945035290995513</v>
      </c>
      <c r="Y556">
        <v>47.564383762824797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161</v>
      </c>
      <c r="AF556">
        <v>161</v>
      </c>
      <c r="AG556">
        <v>0.27</v>
      </c>
      <c r="AH556">
        <v>0</v>
      </c>
      <c r="AI556">
        <v>15.18</v>
      </c>
      <c r="AK556" t="s">
        <v>218</v>
      </c>
      <c r="AM556">
        <v>200000</v>
      </c>
      <c r="AN556" t="s">
        <v>76</v>
      </c>
      <c r="AO556">
        <v>1</v>
      </c>
      <c r="AP556">
        <v>0</v>
      </c>
      <c r="AQ556">
        <v>16666.666666666668</v>
      </c>
      <c r="AR556" t="s">
        <v>9</v>
      </c>
      <c r="AS556" t="s">
        <v>78</v>
      </c>
      <c r="AX556" t="s">
        <v>79</v>
      </c>
      <c r="AY556" t="s">
        <v>137</v>
      </c>
      <c r="AZ556">
        <v>0</v>
      </c>
      <c r="BA556" t="s">
        <v>137</v>
      </c>
      <c r="BB556">
        <v>0</v>
      </c>
      <c r="BE556">
        <v>0</v>
      </c>
    </row>
    <row r="557" spans="1:58" ht="12.75">
      <c r="A557" s="2" t="str">
        <f>HYPERLINK("https://ibp.a2mac1.com/costing(costing:projects/details/8191/part/5383390)","Rotor shaft")</f>
        <v>Rotor shaft</v>
      </c>
      <c r="B557">
        <v>5383390</v>
      </c>
      <c r="C557">
        <v>5383072</v>
      </c>
      <c r="D557" t="s">
        <v>2037</v>
      </c>
      <c r="E557">
        <v>8.739692307692307</v>
      </c>
      <c r="F557">
        <v>0</v>
      </c>
      <c r="G557">
        <v>0</v>
      </c>
      <c r="H557">
        <v>0.044222843076923077</v>
      </c>
      <c r="I557" t="s">
        <v>137</v>
      </c>
      <c r="J557">
        <v>0.30588923076923075</v>
      </c>
      <c r="K557">
        <v>9.0898043815384622</v>
      </c>
      <c r="L557">
        <v>0.64957882550742818</v>
      </c>
      <c r="M557">
        <v>3.8974729530445686</v>
      </c>
      <c r="N557">
        <v>12.98727733458303</v>
      </c>
      <c r="O557" t="s">
        <v>138</v>
      </c>
      <c r="P557">
        <v>0.54538826289230768</v>
      </c>
      <c r="Q557" t="s">
        <v>138</v>
      </c>
      <c r="R557">
        <v>0.23384837718267412</v>
      </c>
      <c r="S557" t="s">
        <v>139</v>
      </c>
      <c r="T557">
        <v>1.5584732801499637</v>
      </c>
      <c r="U557" t="s">
        <v>216</v>
      </c>
      <c r="V557">
        <v>0.064936386672915153</v>
      </c>
      <c r="W557" t="s">
        <v>217</v>
      </c>
      <c r="X557">
        <v>0.25974554669166061</v>
      </c>
      <c r="Y557">
        <v>15.649669188172551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333</v>
      </c>
      <c r="AF557">
        <v>63</v>
      </c>
      <c r="AG557">
        <v>63</v>
      </c>
      <c r="AH557">
        <v>0</v>
      </c>
      <c r="AI557">
        <v>2.16</v>
      </c>
      <c r="AK557" t="s">
        <v>218</v>
      </c>
      <c r="AM557">
        <v>200000</v>
      </c>
      <c r="AN557" t="s">
        <v>76</v>
      </c>
      <c r="AO557">
        <v>1</v>
      </c>
      <c r="AP557">
        <v>0</v>
      </c>
      <c r="AQ557">
        <v>16666.666666666668</v>
      </c>
      <c r="AR557" t="s">
        <v>9</v>
      </c>
      <c r="AS557" t="s">
        <v>78</v>
      </c>
      <c r="AX557" t="s">
        <v>79</v>
      </c>
      <c r="AY557" t="s">
        <v>137</v>
      </c>
      <c r="AZ557">
        <v>0</v>
      </c>
      <c r="BA557" t="s">
        <v>137</v>
      </c>
      <c r="BB557">
        <v>0</v>
      </c>
      <c r="BE557">
        <v>0</v>
      </c>
    </row>
    <row r="558" spans="1:58" ht="12.75">
      <c r="A558" s="2" t="str">
        <f>HYPERLINK("https://ibp.a2mac1.com/costing(costing:projects/details/8191/part/5383391)","Bearing #1")</f>
        <v>Bearing #1</v>
      </c>
      <c r="B558">
        <v>5383391</v>
      </c>
      <c r="C558">
        <v>5383072</v>
      </c>
      <c r="D558" t="s">
        <v>2038</v>
      </c>
      <c r="E558">
        <v>2.38</v>
      </c>
      <c r="F558">
        <v>0</v>
      </c>
      <c r="G558">
        <v>0</v>
      </c>
      <c r="H558">
        <v>0</v>
      </c>
      <c r="I558" t="s">
        <v>74</v>
      </c>
      <c r="J558">
        <v>0</v>
      </c>
      <c r="K558">
        <v>2.38</v>
      </c>
      <c r="L558">
        <v>0</v>
      </c>
      <c r="M558">
        <v>0</v>
      </c>
      <c r="N558">
        <v>2.38</v>
      </c>
      <c r="O558" t="s">
        <v>74</v>
      </c>
      <c r="P558">
        <v>0</v>
      </c>
      <c r="Q558" t="s">
        <v>74</v>
      </c>
      <c r="R558">
        <v>0</v>
      </c>
      <c r="S558" t="s">
        <v>74</v>
      </c>
      <c r="T558">
        <v>0</v>
      </c>
      <c r="U558" t="s">
        <v>74</v>
      </c>
      <c r="V558">
        <v>0</v>
      </c>
      <c r="W558" t="s">
        <v>74</v>
      </c>
      <c r="X558">
        <v>0</v>
      </c>
      <c r="Y558">
        <v>2.38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68</v>
      </c>
      <c r="AF558">
        <v>68</v>
      </c>
      <c r="AG558">
        <v>15</v>
      </c>
      <c r="AH558">
        <v>0</v>
      </c>
      <c r="AI558">
        <v>0.18</v>
      </c>
      <c r="AK558" t="s">
        <v>75</v>
      </c>
      <c r="AM558">
        <v>200000</v>
      </c>
      <c r="AN558" t="s">
        <v>76</v>
      </c>
      <c r="AO558">
        <v>1</v>
      </c>
      <c r="AP558">
        <v>0</v>
      </c>
      <c r="AQ558">
        <v>16666.666666666668</v>
      </c>
      <c r="AR558" t="s">
        <v>2039</v>
      </c>
      <c r="AS558" t="s">
        <v>78</v>
      </c>
      <c r="AX558" t="s">
        <v>79</v>
      </c>
      <c r="AY558" t="s">
        <v>74</v>
      </c>
      <c r="AZ558">
        <v>0</v>
      </c>
      <c r="BA558" t="s">
        <v>74</v>
      </c>
      <c r="BB558">
        <v>0</v>
      </c>
      <c r="BD558">
        <v>2.38</v>
      </c>
      <c r="BE558">
        <v>0</v>
      </c>
    </row>
    <row r="559" spans="1:58" ht="12.75">
      <c r="A559" s="2" t="str">
        <f>HYPERLINK("https://ibp.a2mac1.com/costing(costing:projects/details/8191/part/5383392)","Bearing #2")</f>
        <v>Bearing #2</v>
      </c>
      <c r="B559">
        <v>5383392</v>
      </c>
      <c r="C559">
        <v>5383072</v>
      </c>
      <c r="D559" t="s">
        <v>2040</v>
      </c>
      <c r="E559">
        <v>2.35</v>
      </c>
      <c r="F559">
        <v>0</v>
      </c>
      <c r="G559">
        <v>0</v>
      </c>
      <c r="H559">
        <v>0</v>
      </c>
      <c r="I559" t="s">
        <v>74</v>
      </c>
      <c r="J559">
        <v>0</v>
      </c>
      <c r="K559">
        <v>2.35</v>
      </c>
      <c r="L559">
        <v>0</v>
      </c>
      <c r="M559">
        <v>0</v>
      </c>
      <c r="N559">
        <v>2.35</v>
      </c>
      <c r="O559" t="s">
        <v>74</v>
      </c>
      <c r="P559">
        <v>0</v>
      </c>
      <c r="Q559" t="s">
        <v>74</v>
      </c>
      <c r="R559">
        <v>0</v>
      </c>
      <c r="S559" t="s">
        <v>74</v>
      </c>
      <c r="T559">
        <v>0</v>
      </c>
      <c r="U559" t="s">
        <v>74</v>
      </c>
      <c r="V559">
        <v>0</v>
      </c>
      <c r="W559" t="s">
        <v>74</v>
      </c>
      <c r="X559">
        <v>0</v>
      </c>
      <c r="Y559">
        <v>2.35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68</v>
      </c>
      <c r="AF559">
        <v>68</v>
      </c>
      <c r="AG559">
        <v>15</v>
      </c>
      <c r="AH559">
        <v>0</v>
      </c>
      <c r="AI559">
        <v>0.187</v>
      </c>
      <c r="AK559" t="s">
        <v>75</v>
      </c>
      <c r="AM559">
        <v>200000</v>
      </c>
      <c r="AN559" t="s">
        <v>76</v>
      </c>
      <c r="AO559">
        <v>1</v>
      </c>
      <c r="AP559">
        <v>0</v>
      </c>
      <c r="AQ559">
        <v>16666.666666666668</v>
      </c>
      <c r="AR559" t="s">
        <v>2041</v>
      </c>
      <c r="AS559" t="s">
        <v>78</v>
      </c>
      <c r="AX559" t="s">
        <v>79</v>
      </c>
      <c r="AY559" t="s">
        <v>74</v>
      </c>
      <c r="AZ559">
        <v>0</v>
      </c>
      <c r="BA559" t="s">
        <v>74</v>
      </c>
      <c r="BB559">
        <v>0</v>
      </c>
      <c r="BD559">
        <v>2.35</v>
      </c>
      <c r="BE559">
        <v>0</v>
      </c>
    </row>
    <row r="560" spans="1:58" ht="12.75">
      <c r="A560" s="2" t="str">
        <f>HYPERLINK("https://ibp.a2mac1.com/costing(costing:projects/details/8191/part/5383017)","Stator housing")</f>
        <v>Stator housing</v>
      </c>
      <c r="B560">
        <v>5383017</v>
      </c>
      <c r="C560">
        <v>5382853</v>
      </c>
      <c r="D560" t="s">
        <v>2049</v>
      </c>
      <c r="E560">
        <v>11.118528347142858</v>
      </c>
      <c r="F560">
        <v>0</v>
      </c>
      <c r="G560">
        <v>0</v>
      </c>
      <c r="H560">
        <v>0.056828033774285712</v>
      </c>
      <c r="I560" t="s">
        <v>137</v>
      </c>
      <c r="J560">
        <v>0.393079285</v>
      </c>
      <c r="K560">
        <v>11.568435665917143</v>
      </c>
      <c r="L560">
        <v>1.1296249923202379</v>
      </c>
      <c r="M560">
        <v>6.7777499539214272</v>
      </c>
      <c r="N560">
        <v>18.346185619838572</v>
      </c>
      <c r="O560" t="s">
        <v>138</v>
      </c>
      <c r="P560">
        <v>0.69410613995502857</v>
      </c>
      <c r="Q560" t="s">
        <v>138</v>
      </c>
      <c r="R560">
        <v>0.40666499723528565</v>
      </c>
      <c r="S560" t="s">
        <v>139</v>
      </c>
      <c r="T560">
        <v>2.2015422743806283</v>
      </c>
      <c r="U560" t="s">
        <v>216</v>
      </c>
      <c r="V560">
        <v>0.091730928099192852</v>
      </c>
      <c r="W560" t="s">
        <v>217</v>
      </c>
      <c r="X560">
        <v>0.36692371239677141</v>
      </c>
      <c r="Y560">
        <v>22.107153671905476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196</v>
      </c>
      <c r="AF560">
        <v>270</v>
      </c>
      <c r="AG560">
        <v>270</v>
      </c>
      <c r="AH560">
        <v>0</v>
      </c>
      <c r="AI560">
        <v>4.4889999999999999</v>
      </c>
      <c r="AK560" t="s">
        <v>218</v>
      </c>
      <c r="AM560">
        <v>200000</v>
      </c>
      <c r="AN560" t="s">
        <v>76</v>
      </c>
      <c r="AO560">
        <v>1</v>
      </c>
      <c r="AP560">
        <v>0</v>
      </c>
      <c r="AQ560">
        <v>16666.666666666668</v>
      </c>
      <c r="AR560" t="s">
        <v>9</v>
      </c>
      <c r="AS560" t="s">
        <v>78</v>
      </c>
      <c r="AX560" t="s">
        <v>79</v>
      </c>
      <c r="AY560" t="s">
        <v>137</v>
      </c>
      <c r="AZ560">
        <v>0</v>
      </c>
      <c r="BA560" t="s">
        <v>137</v>
      </c>
      <c r="BB560">
        <v>0</v>
      </c>
      <c r="BE560">
        <v>0</v>
      </c>
    </row>
    <row r="561" spans="1:58" ht="12.75">
      <c r="A561" s="2" t="str">
        <f>HYPERLINK("https://ibp.a2mac1.com/costing(costing:projects/details/8191/part/5383018)","Right housing")</f>
        <v>Right housing</v>
      </c>
      <c r="B561">
        <v>5383018</v>
      </c>
      <c r="C561">
        <v>5382853</v>
      </c>
      <c r="D561" t="s">
        <v>2054</v>
      </c>
      <c r="E561">
        <v>5.8973526385714283</v>
      </c>
      <c r="F561">
        <v>0</v>
      </c>
      <c r="G561">
        <v>0</v>
      </c>
      <c r="H561">
        <v>0.030142024597142856</v>
      </c>
      <c r="I561" t="s">
        <v>137</v>
      </c>
      <c r="J561">
        <v>0.20849226500000001</v>
      </c>
      <c r="K561">
        <v>6.1359869281685713</v>
      </c>
      <c r="L561">
        <v>0.63568681425012807</v>
      </c>
      <c r="M561">
        <v>3.8141208855007687</v>
      </c>
      <c r="N561">
        <v>9.9501078136693408</v>
      </c>
      <c r="O561" t="s">
        <v>138</v>
      </c>
      <c r="P561">
        <v>0.36815921569011428</v>
      </c>
      <c r="Q561" t="s">
        <v>138</v>
      </c>
      <c r="R561">
        <v>0.22884725313004611</v>
      </c>
      <c r="S561" t="s">
        <v>139</v>
      </c>
      <c r="T561">
        <v>1.1940129376403208</v>
      </c>
      <c r="U561" t="s">
        <v>216</v>
      </c>
      <c r="V561">
        <v>0.0497505390683467</v>
      </c>
      <c r="W561" t="s">
        <v>217</v>
      </c>
      <c r="X561">
        <v>0.1990021562733868</v>
      </c>
      <c r="Y561">
        <v>11.989879915471555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144</v>
      </c>
      <c r="AF561">
        <v>280</v>
      </c>
      <c r="AG561">
        <v>330</v>
      </c>
      <c r="AH561">
        <v>0</v>
      </c>
      <c r="AI561">
        <v>2.3809999999999998</v>
      </c>
      <c r="AK561" t="s">
        <v>218</v>
      </c>
      <c r="AM561">
        <v>200000</v>
      </c>
      <c r="AN561" t="s">
        <v>76</v>
      </c>
      <c r="AO561">
        <v>1</v>
      </c>
      <c r="AP561">
        <v>0</v>
      </c>
      <c r="AQ561">
        <v>16666.666666666668</v>
      </c>
      <c r="AR561" t="s">
        <v>9</v>
      </c>
      <c r="AS561" t="s">
        <v>78</v>
      </c>
      <c r="AX561" t="s">
        <v>79</v>
      </c>
      <c r="AY561" t="s">
        <v>137</v>
      </c>
      <c r="AZ561">
        <v>0</v>
      </c>
      <c r="BA561" t="s">
        <v>137</v>
      </c>
      <c r="BB561">
        <v>0</v>
      </c>
      <c r="BE561">
        <v>0</v>
      </c>
    </row>
    <row r="562" spans="1:58" ht="12.75">
      <c r="A562" s="2" t="str">
        <f>HYPERLINK("https://ibp.a2mac1.com/costing(costing:projects/details/8191/part/5383019)","Target sensor")</f>
        <v>Target sensor</v>
      </c>
      <c r="B562">
        <v>5383019</v>
      </c>
      <c r="C562">
        <v>5382853</v>
      </c>
      <c r="D562" t="s">
        <v>2055</v>
      </c>
      <c r="E562">
        <v>0.26</v>
      </c>
      <c r="F562">
        <v>0</v>
      </c>
      <c r="G562">
        <v>0</v>
      </c>
      <c r="H562">
        <v>0</v>
      </c>
      <c r="I562" t="s">
        <v>74</v>
      </c>
      <c r="J562">
        <v>0</v>
      </c>
      <c r="K562">
        <v>0.26</v>
      </c>
      <c r="L562">
        <v>0</v>
      </c>
      <c r="M562">
        <v>0</v>
      </c>
      <c r="N562">
        <v>0.26</v>
      </c>
      <c r="O562" t="s">
        <v>74</v>
      </c>
      <c r="P562">
        <v>0</v>
      </c>
      <c r="Q562" t="s">
        <v>74</v>
      </c>
      <c r="R562">
        <v>0</v>
      </c>
      <c r="S562" t="s">
        <v>74</v>
      </c>
      <c r="T562">
        <v>0</v>
      </c>
      <c r="U562" t="s">
        <v>74</v>
      </c>
      <c r="V562">
        <v>0</v>
      </c>
      <c r="W562" t="s">
        <v>74</v>
      </c>
      <c r="X562">
        <v>0</v>
      </c>
      <c r="Y562">
        <v>0.26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65</v>
      </c>
      <c r="AF562">
        <v>65</v>
      </c>
      <c r="AG562">
        <v>4</v>
      </c>
      <c r="AH562">
        <v>0</v>
      </c>
      <c r="AI562">
        <v>0.079000000000000001</v>
      </c>
      <c r="AK562" t="s">
        <v>218</v>
      </c>
      <c r="AM562">
        <v>200000</v>
      </c>
      <c r="AN562" t="s">
        <v>92</v>
      </c>
      <c r="AO562">
        <v>1</v>
      </c>
      <c r="AP562">
        <v>0</v>
      </c>
      <c r="AQ562">
        <v>16666.666666666668</v>
      </c>
      <c r="AR562" t="s">
        <v>9</v>
      </c>
      <c r="AS562" t="s">
        <v>78</v>
      </c>
      <c r="AX562" t="s">
        <v>79</v>
      </c>
      <c r="AY562" t="s">
        <v>74</v>
      </c>
      <c r="AZ562">
        <v>0</v>
      </c>
      <c r="BA562" t="s">
        <v>74</v>
      </c>
      <c r="BB562">
        <v>0</v>
      </c>
      <c r="BD562">
        <v>0.26</v>
      </c>
      <c r="BE562">
        <v>0</v>
      </c>
    </row>
    <row r="563" spans="1:58" ht="12.75">
      <c r="A563" s="2" t="str">
        <f>HYPERLINK("https://ibp.a2mac1.com/costing(costing:projects/details/8191/part/5383020)","Busbar connector ")</f>
        <v xml:space="preserve">Busbar connector </v>
      </c>
      <c r="B563">
        <v>5383020</v>
      </c>
      <c r="C563">
        <v>5382853</v>
      </c>
      <c r="D563" t="s">
        <v>2061</v>
      </c>
      <c r="E563">
        <v>0.079073933684210521</v>
      </c>
      <c r="F563">
        <v>0.30151800000000001</v>
      </c>
      <c r="G563">
        <v>0</v>
      </c>
      <c r="H563">
        <v>0.00040620721263157897</v>
      </c>
      <c r="I563" t="s">
        <v>137</v>
      </c>
      <c r="J563">
        <v>0.0028097336842105264</v>
      </c>
      <c r="K563">
        <v>0.39436100458105261</v>
      </c>
      <c r="L563">
        <v>0.03524321653334362</v>
      </c>
      <c r="M563">
        <v>0.21145929920006173</v>
      </c>
      <c r="N563">
        <v>0.6058203037811144</v>
      </c>
      <c r="O563" t="s">
        <v>138</v>
      </c>
      <c r="P563">
        <v>0.023661660274863158</v>
      </c>
      <c r="Q563" t="s">
        <v>138</v>
      </c>
      <c r="R563">
        <v>0.012687557952003704</v>
      </c>
      <c r="S563" t="s">
        <v>139</v>
      </c>
      <c r="T563">
        <v>0.072698436453733722</v>
      </c>
      <c r="U563" t="s">
        <v>216</v>
      </c>
      <c r="V563">
        <v>0.0030291015189055719</v>
      </c>
      <c r="W563" t="s">
        <v>217</v>
      </c>
      <c r="X563">
        <v>0.012116406075622288</v>
      </c>
      <c r="Y563">
        <v>0.73001346605624284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75</v>
      </c>
      <c r="AF563">
        <v>83</v>
      </c>
      <c r="AG563">
        <v>16</v>
      </c>
      <c r="AH563">
        <v>0</v>
      </c>
      <c r="AI563">
        <v>0.082000000000000003</v>
      </c>
      <c r="AK563" t="s">
        <v>218</v>
      </c>
      <c r="AM563">
        <v>200000</v>
      </c>
      <c r="AN563" t="s">
        <v>76</v>
      </c>
      <c r="AO563">
        <v>1</v>
      </c>
      <c r="AP563">
        <v>0</v>
      </c>
      <c r="AQ563">
        <v>16666.666666666668</v>
      </c>
      <c r="AR563" t="s">
        <v>9</v>
      </c>
      <c r="AS563" t="s">
        <v>78</v>
      </c>
      <c r="AX563" t="s">
        <v>79</v>
      </c>
      <c r="AY563" t="s">
        <v>137</v>
      </c>
      <c r="AZ563">
        <v>0.010553130000000001</v>
      </c>
      <c r="BA563" t="s">
        <v>137</v>
      </c>
      <c r="BB563">
        <v>0</v>
      </c>
      <c r="BE563">
        <v>0</v>
      </c>
    </row>
    <row r="564" spans="1:58" ht="12.75">
      <c r="A564" s="2" t="str">
        <f>HYPERLINK("https://ibp.a2mac1.com/costing(costing:projects/details/8191/part/5383021)","Degassing valve")</f>
        <v>Degassing valve</v>
      </c>
      <c r="B564">
        <v>5383021</v>
      </c>
      <c r="C564">
        <v>5382853</v>
      </c>
      <c r="D564" t="s">
        <v>2062</v>
      </c>
      <c r="E564">
        <v>0.16</v>
      </c>
      <c r="F564">
        <v>0</v>
      </c>
      <c r="G564">
        <v>0</v>
      </c>
      <c r="H564">
        <v>0</v>
      </c>
      <c r="I564" t="s">
        <v>74</v>
      </c>
      <c r="J564">
        <v>0</v>
      </c>
      <c r="K564">
        <v>0.16</v>
      </c>
      <c r="L564">
        <v>0</v>
      </c>
      <c r="M564">
        <v>0</v>
      </c>
      <c r="N564">
        <v>0.16</v>
      </c>
      <c r="O564" t="s">
        <v>74</v>
      </c>
      <c r="P564">
        <v>0</v>
      </c>
      <c r="Q564" t="s">
        <v>74</v>
      </c>
      <c r="R564">
        <v>0</v>
      </c>
      <c r="S564" t="s">
        <v>74</v>
      </c>
      <c r="T564">
        <v>0</v>
      </c>
      <c r="U564" t="s">
        <v>74</v>
      </c>
      <c r="V564">
        <v>0</v>
      </c>
      <c r="W564" t="s">
        <v>74</v>
      </c>
      <c r="X564">
        <v>0</v>
      </c>
      <c r="Y564">
        <v>0.16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17</v>
      </c>
      <c r="AF564">
        <v>13</v>
      </c>
      <c r="AG564">
        <v>17</v>
      </c>
      <c r="AH564">
        <v>0</v>
      </c>
      <c r="AI564">
        <v>0.002</v>
      </c>
      <c r="AK564" t="s">
        <v>75</v>
      </c>
      <c r="AM564">
        <v>200000</v>
      </c>
      <c r="AN564" t="s">
        <v>76</v>
      </c>
      <c r="AO564">
        <v>1</v>
      </c>
      <c r="AP564">
        <v>0</v>
      </c>
      <c r="AQ564">
        <v>16666.666666666668</v>
      </c>
      <c r="AR564" t="s">
        <v>2063</v>
      </c>
      <c r="AS564" t="s">
        <v>78</v>
      </c>
      <c r="AX564" t="s">
        <v>79</v>
      </c>
      <c r="AY564" t="s">
        <v>74</v>
      </c>
      <c r="AZ564">
        <v>0</v>
      </c>
      <c r="BA564" t="s">
        <v>74</v>
      </c>
      <c r="BB564">
        <v>0</v>
      </c>
      <c r="BD564">
        <v>0.16</v>
      </c>
      <c r="BE564">
        <v>0</v>
      </c>
    </row>
    <row r="565" spans="1:58" ht="12.75">
      <c r="A565" s="2" t="str">
        <f>HYPERLINK("https://ibp.a2mac1.com/costing(costing:projects/details/8191/part/5383022)","Water inlet")</f>
        <v>Water inlet</v>
      </c>
      <c r="B565">
        <v>5383022</v>
      </c>
      <c r="C565">
        <v>5382853</v>
      </c>
      <c r="D565" t="s">
        <v>2064</v>
      </c>
      <c r="E565">
        <v>0.31</v>
      </c>
      <c r="F565">
        <v>0</v>
      </c>
      <c r="G565">
        <v>0</v>
      </c>
      <c r="H565">
        <v>0</v>
      </c>
      <c r="I565" t="s">
        <v>74</v>
      </c>
      <c r="J565">
        <v>0</v>
      </c>
      <c r="K565">
        <v>0.31</v>
      </c>
      <c r="L565">
        <v>0</v>
      </c>
      <c r="M565">
        <v>0</v>
      </c>
      <c r="N565">
        <v>0.31</v>
      </c>
      <c r="O565" t="s">
        <v>74</v>
      </c>
      <c r="P565">
        <v>0</v>
      </c>
      <c r="Q565" t="s">
        <v>74</v>
      </c>
      <c r="R565">
        <v>0</v>
      </c>
      <c r="S565" t="s">
        <v>74</v>
      </c>
      <c r="T565">
        <v>0</v>
      </c>
      <c r="U565" t="s">
        <v>74</v>
      </c>
      <c r="V565">
        <v>0</v>
      </c>
      <c r="W565" t="s">
        <v>74</v>
      </c>
      <c r="X565">
        <v>0</v>
      </c>
      <c r="Y565">
        <v>0.31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54</v>
      </c>
      <c r="AF565">
        <v>42</v>
      </c>
      <c r="AG565">
        <v>76</v>
      </c>
      <c r="AH565">
        <v>0</v>
      </c>
      <c r="AI565">
        <v>0.035</v>
      </c>
      <c r="AK565" t="s">
        <v>218</v>
      </c>
      <c r="AM565">
        <v>200000</v>
      </c>
      <c r="AN565" t="s">
        <v>76</v>
      </c>
      <c r="AO565">
        <v>1</v>
      </c>
      <c r="AP565">
        <v>0</v>
      </c>
      <c r="AQ565">
        <v>16666.666666666668</v>
      </c>
      <c r="AR565" t="s">
        <v>9</v>
      </c>
      <c r="AS565" t="s">
        <v>78</v>
      </c>
      <c r="AX565" t="s">
        <v>79</v>
      </c>
      <c r="AY565" t="s">
        <v>74</v>
      </c>
      <c r="AZ565">
        <v>0</v>
      </c>
      <c r="BA565" t="s">
        <v>74</v>
      </c>
      <c r="BB565">
        <v>0</v>
      </c>
      <c r="BD565">
        <v>0.31</v>
      </c>
      <c r="BE565">
        <v>0</v>
      </c>
    </row>
    <row r="566" spans="1:58" ht="12.75">
      <c r="A566" s="2" t="str">
        <f>HYPERLINK("https://ibp.a2mac1.com/costing(costing:projects/details/8191/part/5383023)","Water outlet")</f>
        <v>Water outlet</v>
      </c>
      <c r="B566">
        <v>5383023</v>
      </c>
      <c r="C566">
        <v>5382853</v>
      </c>
      <c r="D566" t="s">
        <v>2065</v>
      </c>
      <c r="E566">
        <v>0.08</v>
      </c>
      <c r="F566">
        <v>0</v>
      </c>
      <c r="G566">
        <v>0</v>
      </c>
      <c r="H566">
        <v>0</v>
      </c>
      <c r="I566" t="s">
        <v>74</v>
      </c>
      <c r="J566">
        <v>0</v>
      </c>
      <c r="K566">
        <v>0.08</v>
      </c>
      <c r="L566">
        <v>0</v>
      </c>
      <c r="M566">
        <v>0</v>
      </c>
      <c r="N566">
        <v>0.08</v>
      </c>
      <c r="O566" t="s">
        <v>74</v>
      </c>
      <c r="P566">
        <v>0</v>
      </c>
      <c r="Q566" t="s">
        <v>74</v>
      </c>
      <c r="R566">
        <v>0</v>
      </c>
      <c r="S566" t="s">
        <v>74</v>
      </c>
      <c r="T566">
        <v>0</v>
      </c>
      <c r="U566" t="s">
        <v>74</v>
      </c>
      <c r="V566">
        <v>0</v>
      </c>
      <c r="W566" t="s">
        <v>74</v>
      </c>
      <c r="X566">
        <v>0</v>
      </c>
      <c r="Y566">
        <v>0.08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27</v>
      </c>
      <c r="AF566">
        <v>26</v>
      </c>
      <c r="AG566">
        <v>27</v>
      </c>
      <c r="AH566">
        <v>0</v>
      </c>
      <c r="AI566">
        <v>0.0089999999999999993</v>
      </c>
      <c r="AK566" t="s">
        <v>218</v>
      </c>
      <c r="AM566">
        <v>200000</v>
      </c>
      <c r="AN566" t="s">
        <v>92</v>
      </c>
      <c r="AO566">
        <v>1</v>
      </c>
      <c r="AP566">
        <v>0</v>
      </c>
      <c r="AQ566">
        <v>16666.666666666668</v>
      </c>
      <c r="AR566" t="s">
        <v>9</v>
      </c>
      <c r="AS566" t="s">
        <v>78</v>
      </c>
      <c r="AX566" t="s">
        <v>79</v>
      </c>
      <c r="AY566" t="s">
        <v>74</v>
      </c>
      <c r="AZ566">
        <v>0</v>
      </c>
      <c r="BA566" t="s">
        <v>74</v>
      </c>
      <c r="BB566">
        <v>0</v>
      </c>
      <c r="BD566">
        <v>0.08</v>
      </c>
      <c r="BE566">
        <v>0</v>
      </c>
    </row>
    <row r="567" spans="1:58" ht="12.75">
      <c r="A567" s="2" t="str">
        <f>HYPERLINK("https://ibp.a2mac1.com/costing(costing:projects/details/8191/part/5383024)","Spring")</f>
        <v>Spring</v>
      </c>
      <c r="B567">
        <v>5383024</v>
      </c>
      <c r="C567">
        <v>5382853</v>
      </c>
      <c r="D567" t="s">
        <v>2066</v>
      </c>
      <c r="E567">
        <v>0.03</v>
      </c>
      <c r="F567">
        <v>0</v>
      </c>
      <c r="G567">
        <v>0</v>
      </c>
      <c r="H567">
        <v>0</v>
      </c>
      <c r="I567" t="s">
        <v>74</v>
      </c>
      <c r="J567">
        <v>0</v>
      </c>
      <c r="K567">
        <v>0.03</v>
      </c>
      <c r="L567">
        <v>0</v>
      </c>
      <c r="M567">
        <v>0</v>
      </c>
      <c r="N567">
        <v>0.03</v>
      </c>
      <c r="O567" t="s">
        <v>74</v>
      </c>
      <c r="P567">
        <v>0</v>
      </c>
      <c r="Q567" t="s">
        <v>74</v>
      </c>
      <c r="R567">
        <v>0</v>
      </c>
      <c r="S567" t="s">
        <v>74</v>
      </c>
      <c r="T567">
        <v>0</v>
      </c>
      <c r="U567" t="s">
        <v>74</v>
      </c>
      <c r="V567">
        <v>0</v>
      </c>
      <c r="W567" t="s">
        <v>74</v>
      </c>
      <c r="X567">
        <v>0</v>
      </c>
      <c r="Y567">
        <v>0.03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67</v>
      </c>
      <c r="AF567">
        <v>68</v>
      </c>
      <c r="AG567">
        <v>4</v>
      </c>
      <c r="AH567">
        <v>0</v>
      </c>
      <c r="AI567">
        <v>0.0040000000000000001</v>
      </c>
      <c r="AK567" t="s">
        <v>75</v>
      </c>
      <c r="AM567">
        <v>200000</v>
      </c>
      <c r="AN567" t="s">
        <v>76</v>
      </c>
      <c r="AO567">
        <v>1</v>
      </c>
      <c r="AP567">
        <v>0</v>
      </c>
      <c r="AQ567">
        <v>16666.666666666668</v>
      </c>
      <c r="AR567" t="s">
        <v>2067</v>
      </c>
      <c r="AS567" t="s">
        <v>78</v>
      </c>
      <c r="AX567" t="s">
        <v>79</v>
      </c>
      <c r="AY567" t="s">
        <v>74</v>
      </c>
      <c r="AZ567">
        <v>0</v>
      </c>
      <c r="BA567" t="s">
        <v>74</v>
      </c>
      <c r="BB567">
        <v>0</v>
      </c>
      <c r="BD567">
        <v>0.03</v>
      </c>
      <c r="BE567">
        <v>0</v>
      </c>
    </row>
    <row r="568" spans="1:58" ht="12.75">
      <c r="A568" s="2" t="str">
        <f>HYPERLINK("https://ibp.a2mac1.com/costing(costing:projects/details/8191/part/5383057)","Shim")</f>
        <v>Shim</v>
      </c>
      <c r="B568">
        <v>5383057</v>
      </c>
      <c r="C568">
        <v>5382853</v>
      </c>
      <c r="D568" t="s">
        <v>2068</v>
      </c>
      <c r="E568">
        <v>0.07</v>
      </c>
      <c r="F568">
        <v>0</v>
      </c>
      <c r="G568">
        <v>0</v>
      </c>
      <c r="H568">
        <v>0</v>
      </c>
      <c r="I568" t="s">
        <v>74</v>
      </c>
      <c r="J568">
        <v>0</v>
      </c>
      <c r="K568">
        <v>0.07</v>
      </c>
      <c r="L568">
        <v>0</v>
      </c>
      <c r="M568">
        <v>0</v>
      </c>
      <c r="N568">
        <v>0.07</v>
      </c>
      <c r="O568" t="s">
        <v>74</v>
      </c>
      <c r="P568">
        <v>0</v>
      </c>
      <c r="Q568" t="s">
        <v>74</v>
      </c>
      <c r="R568">
        <v>0</v>
      </c>
      <c r="S568" t="s">
        <v>74</v>
      </c>
      <c r="T568">
        <v>0</v>
      </c>
      <c r="U568" t="s">
        <v>74</v>
      </c>
      <c r="V568">
        <v>0</v>
      </c>
      <c r="W568" t="s">
        <v>74</v>
      </c>
      <c r="X568">
        <v>0</v>
      </c>
      <c r="Y568">
        <v>0.07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56</v>
      </c>
      <c r="AF568">
        <v>56</v>
      </c>
      <c r="AG568">
        <v>4</v>
      </c>
      <c r="AH568">
        <v>0</v>
      </c>
      <c r="AI568">
        <v>0.012999999999999999</v>
      </c>
      <c r="AK568" t="s">
        <v>75</v>
      </c>
      <c r="AM568">
        <v>200000</v>
      </c>
      <c r="AN568" t="s">
        <v>76</v>
      </c>
      <c r="AO568">
        <v>1</v>
      </c>
      <c r="AP568">
        <v>0</v>
      </c>
      <c r="AQ568">
        <v>16666.666666666668</v>
      </c>
      <c r="AR568" t="s">
        <v>2069</v>
      </c>
      <c r="AS568" t="s">
        <v>78</v>
      </c>
      <c r="AX568" t="s">
        <v>79</v>
      </c>
      <c r="AY568" t="s">
        <v>74</v>
      </c>
      <c r="AZ568">
        <v>0</v>
      </c>
      <c r="BA568" t="s">
        <v>74</v>
      </c>
      <c r="BB568">
        <v>0</v>
      </c>
      <c r="BD568">
        <v>0.07</v>
      </c>
      <c r="BE568">
        <v>0</v>
      </c>
    </row>
    <row r="569" spans="1:58" ht="12.75">
      <c r="A569" s="2" t="str">
        <f>HYPERLINK("https://ibp.a2mac1.com/costing(costing:projects/details/8191/part/5383060)","Adjustment ring")</f>
        <v>Adjustment ring</v>
      </c>
      <c r="B569">
        <v>5383060</v>
      </c>
      <c r="C569">
        <v>5382853</v>
      </c>
      <c r="D569" t="s">
        <v>2070</v>
      </c>
      <c r="E569">
        <v>0.07</v>
      </c>
      <c r="F569">
        <v>0</v>
      </c>
      <c r="G569">
        <v>0</v>
      </c>
      <c r="H569">
        <v>0</v>
      </c>
      <c r="I569" t="s">
        <v>74</v>
      </c>
      <c r="J569">
        <v>0</v>
      </c>
      <c r="K569">
        <v>0.07</v>
      </c>
      <c r="L569">
        <v>0</v>
      </c>
      <c r="M569">
        <v>0</v>
      </c>
      <c r="N569">
        <v>0.07</v>
      </c>
      <c r="O569" t="s">
        <v>74</v>
      </c>
      <c r="P569">
        <v>0</v>
      </c>
      <c r="Q569" t="s">
        <v>74</v>
      </c>
      <c r="R569">
        <v>0</v>
      </c>
      <c r="S569" t="s">
        <v>74</v>
      </c>
      <c r="T569">
        <v>0</v>
      </c>
      <c r="U569" t="s">
        <v>74</v>
      </c>
      <c r="V569">
        <v>0</v>
      </c>
      <c r="W569" t="s">
        <v>74</v>
      </c>
      <c r="X569">
        <v>0</v>
      </c>
      <c r="Y569">
        <v>0.07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68</v>
      </c>
      <c r="AF569">
        <v>68</v>
      </c>
      <c r="AG569">
        <v>1</v>
      </c>
      <c r="AH569">
        <v>0</v>
      </c>
      <c r="AI569">
        <v>0.01</v>
      </c>
      <c r="AK569" t="s">
        <v>75</v>
      </c>
      <c r="AM569">
        <v>200000</v>
      </c>
      <c r="AN569" t="s">
        <v>76</v>
      </c>
      <c r="AO569">
        <v>1</v>
      </c>
      <c r="AP569">
        <v>0</v>
      </c>
      <c r="AQ569">
        <v>16666.666666666668</v>
      </c>
      <c r="AR569" t="s">
        <v>2071</v>
      </c>
      <c r="AS569" t="s">
        <v>78</v>
      </c>
      <c r="AX569" t="s">
        <v>79</v>
      </c>
      <c r="AY569" t="s">
        <v>74</v>
      </c>
      <c r="AZ569">
        <v>0</v>
      </c>
      <c r="BA569" t="s">
        <v>74</v>
      </c>
      <c r="BB569">
        <v>0</v>
      </c>
      <c r="BD569">
        <v>0.07</v>
      </c>
      <c r="BE569">
        <v>0</v>
      </c>
    </row>
    <row r="570" spans="1:58" ht="12.75">
      <c r="A570" s="2" t="str">
        <f>HYPERLINK("https://ibp.a2mac1.com/costing(costing:projects/details/8191/part/5383062)","Second adjustment ring")</f>
        <v>Second adjustment ring</v>
      </c>
      <c r="B570">
        <v>5383062</v>
      </c>
      <c r="C570">
        <v>5382853</v>
      </c>
      <c r="D570" t="s">
        <v>2072</v>
      </c>
      <c r="E570">
        <v>0.15</v>
      </c>
      <c r="F570">
        <v>0</v>
      </c>
      <c r="G570">
        <v>0</v>
      </c>
      <c r="H570">
        <v>0</v>
      </c>
      <c r="I570" t="s">
        <v>74</v>
      </c>
      <c r="J570">
        <v>0</v>
      </c>
      <c r="K570">
        <v>0.15</v>
      </c>
      <c r="L570">
        <v>0</v>
      </c>
      <c r="M570">
        <v>0</v>
      </c>
      <c r="N570">
        <v>0.15</v>
      </c>
      <c r="O570" t="s">
        <v>74</v>
      </c>
      <c r="P570">
        <v>0</v>
      </c>
      <c r="Q570" t="s">
        <v>74</v>
      </c>
      <c r="R570">
        <v>0</v>
      </c>
      <c r="S570" t="s">
        <v>74</v>
      </c>
      <c r="T570">
        <v>0</v>
      </c>
      <c r="U570" t="s">
        <v>74</v>
      </c>
      <c r="V570">
        <v>0</v>
      </c>
      <c r="W570" t="s">
        <v>74</v>
      </c>
      <c r="X570">
        <v>0</v>
      </c>
      <c r="Y570">
        <v>0.15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58</v>
      </c>
      <c r="AF570">
        <v>58</v>
      </c>
      <c r="AG570">
        <v>13</v>
      </c>
      <c r="AH570">
        <v>0</v>
      </c>
      <c r="AI570">
        <v>0.084000000000000005</v>
      </c>
      <c r="AK570" t="s">
        <v>218</v>
      </c>
      <c r="AM570">
        <v>200000</v>
      </c>
      <c r="AN570" t="s">
        <v>92</v>
      </c>
      <c r="AO570">
        <v>1</v>
      </c>
      <c r="AP570">
        <v>0</v>
      </c>
      <c r="AQ570">
        <v>16666.666666666668</v>
      </c>
      <c r="AR570" t="s">
        <v>9</v>
      </c>
      <c r="AS570" t="s">
        <v>78</v>
      </c>
      <c r="AX570" t="s">
        <v>79</v>
      </c>
      <c r="AY570" t="s">
        <v>74</v>
      </c>
      <c r="AZ570">
        <v>0</v>
      </c>
      <c r="BA570" t="s">
        <v>74</v>
      </c>
      <c r="BB570">
        <v>0</v>
      </c>
      <c r="BD570">
        <v>0.15</v>
      </c>
      <c r="BE570">
        <v>0</v>
      </c>
    </row>
    <row r="571" spans="1:58" ht="12.75">
      <c r="A571" s="2" t="str">
        <f>HYPERLINK("https://ibp.a2mac1.com/costing(costing:projects/details/8191/part/5383064)","Resolver")</f>
        <v>Resolver</v>
      </c>
      <c r="B571">
        <v>5383064</v>
      </c>
      <c r="C571">
        <v>5382853</v>
      </c>
      <c r="D571" t="s">
        <v>2073</v>
      </c>
      <c r="E571">
        <v>9</v>
      </c>
      <c r="F571">
        <v>0</v>
      </c>
      <c r="G571">
        <v>0</v>
      </c>
      <c r="H571">
        <v>0</v>
      </c>
      <c r="I571" t="s">
        <v>74</v>
      </c>
      <c r="J571">
        <v>0</v>
      </c>
      <c r="K571">
        <v>9</v>
      </c>
      <c r="L571">
        <v>0</v>
      </c>
      <c r="M571">
        <v>0</v>
      </c>
      <c r="N571">
        <v>9</v>
      </c>
      <c r="O571" t="s">
        <v>74</v>
      </c>
      <c r="P571">
        <v>0</v>
      </c>
      <c r="Q571" t="s">
        <v>74</v>
      </c>
      <c r="R571">
        <v>0</v>
      </c>
      <c r="S571" t="s">
        <v>74</v>
      </c>
      <c r="T571">
        <v>0</v>
      </c>
      <c r="U571" t="s">
        <v>74</v>
      </c>
      <c r="V571">
        <v>0</v>
      </c>
      <c r="W571" t="s">
        <v>74</v>
      </c>
      <c r="X571">
        <v>0</v>
      </c>
      <c r="Y571">
        <v>9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157</v>
      </c>
      <c r="AF571">
        <v>187</v>
      </c>
      <c r="AG571">
        <v>34</v>
      </c>
      <c r="AH571">
        <v>0</v>
      </c>
      <c r="AI571">
        <v>0.192</v>
      </c>
      <c r="AK571" t="s">
        <v>218</v>
      </c>
      <c r="AM571">
        <v>200000</v>
      </c>
      <c r="AN571" t="s">
        <v>92</v>
      </c>
      <c r="AO571">
        <v>1</v>
      </c>
      <c r="AP571">
        <v>0</v>
      </c>
      <c r="AQ571">
        <v>16666.666666666668</v>
      </c>
      <c r="AR571" t="s">
        <v>9</v>
      </c>
      <c r="AS571" t="s">
        <v>78</v>
      </c>
      <c r="AX571" t="s">
        <v>79</v>
      </c>
      <c r="AY571" t="s">
        <v>74</v>
      </c>
      <c r="AZ571">
        <v>0</v>
      </c>
      <c r="BA571" t="s">
        <v>74</v>
      </c>
      <c r="BB571">
        <v>0</v>
      </c>
      <c r="BD571">
        <v>9</v>
      </c>
      <c r="BE571">
        <v>0</v>
      </c>
    </row>
    <row r="572" spans="1:58" ht="12.75">
      <c r="A572" s="2" t="str">
        <f>HYPERLINK("https://ibp.a2mac1.com/costing(costing:projects/details/8191/part/5383066)","Housing cover")</f>
        <v>Housing cover</v>
      </c>
      <c r="B572">
        <v>5383066</v>
      </c>
      <c r="C572">
        <v>5382853</v>
      </c>
      <c r="D572" t="s">
        <v>2074</v>
      </c>
      <c r="E572">
        <v>0.93</v>
      </c>
      <c r="F572">
        <v>0</v>
      </c>
      <c r="G572">
        <v>0</v>
      </c>
      <c r="H572">
        <v>0</v>
      </c>
      <c r="I572" t="s">
        <v>74</v>
      </c>
      <c r="J572">
        <v>0</v>
      </c>
      <c r="K572">
        <v>0.93</v>
      </c>
      <c r="L572">
        <v>0</v>
      </c>
      <c r="M572">
        <v>0</v>
      </c>
      <c r="N572">
        <v>0.93</v>
      </c>
      <c r="O572" t="s">
        <v>74</v>
      </c>
      <c r="P572">
        <v>0</v>
      </c>
      <c r="Q572" t="s">
        <v>74</v>
      </c>
      <c r="R572">
        <v>0</v>
      </c>
      <c r="S572" t="s">
        <v>74</v>
      </c>
      <c r="T572">
        <v>0</v>
      </c>
      <c r="U572" t="s">
        <v>74</v>
      </c>
      <c r="V572">
        <v>0</v>
      </c>
      <c r="W572" t="s">
        <v>74</v>
      </c>
      <c r="X572">
        <v>0</v>
      </c>
      <c r="Y572">
        <v>0.93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243</v>
      </c>
      <c r="AF572">
        <v>210</v>
      </c>
      <c r="AG572">
        <v>8</v>
      </c>
      <c r="AH572">
        <v>0</v>
      </c>
      <c r="AI572">
        <v>0.21</v>
      </c>
      <c r="AK572" t="s">
        <v>218</v>
      </c>
      <c r="AM572">
        <v>200000</v>
      </c>
      <c r="AN572" t="s">
        <v>92</v>
      </c>
      <c r="AO572">
        <v>1</v>
      </c>
      <c r="AP572">
        <v>0</v>
      </c>
      <c r="AQ572">
        <v>16666.666666666668</v>
      </c>
      <c r="AR572" t="s">
        <v>9</v>
      </c>
      <c r="AS572" t="s">
        <v>78</v>
      </c>
      <c r="AX572" t="s">
        <v>79</v>
      </c>
      <c r="AY572" t="s">
        <v>74</v>
      </c>
      <c r="AZ572">
        <v>0</v>
      </c>
      <c r="BA572" t="s">
        <v>74</v>
      </c>
      <c r="BB572">
        <v>0</v>
      </c>
      <c r="BD572">
        <v>0.93</v>
      </c>
      <c r="BE572">
        <v>0</v>
      </c>
    </row>
    <row r="573" spans="1:58" ht="12.75">
      <c r="A573" s="2" t="str">
        <f>HYPERLINK("https://ibp.a2mac1.com/costing(costing:projects/details/8191/part/5383068)","Fastener")</f>
        <v>Fastener</v>
      </c>
      <c r="B573">
        <v>5383068</v>
      </c>
      <c r="C573">
        <v>5382853</v>
      </c>
      <c r="D573" t="s">
        <v>603</v>
      </c>
      <c r="E573">
        <v>6.46</v>
      </c>
      <c r="F573">
        <v>0</v>
      </c>
      <c r="G573">
        <v>0</v>
      </c>
      <c r="H573">
        <v>0</v>
      </c>
      <c r="I573" t="s">
        <v>74</v>
      </c>
      <c r="J573">
        <v>0</v>
      </c>
      <c r="K573">
        <v>6.46</v>
      </c>
      <c r="L573">
        <v>0</v>
      </c>
      <c r="M573">
        <v>0</v>
      </c>
      <c r="N573">
        <v>6.46</v>
      </c>
      <c r="O573" t="s">
        <v>74</v>
      </c>
      <c r="P573">
        <v>0</v>
      </c>
      <c r="Q573" t="s">
        <v>74</v>
      </c>
      <c r="R573">
        <v>0</v>
      </c>
      <c r="S573" t="s">
        <v>74</v>
      </c>
      <c r="T573">
        <v>0</v>
      </c>
      <c r="U573" t="s">
        <v>74</v>
      </c>
      <c r="V573">
        <v>0</v>
      </c>
      <c r="W573" t="s">
        <v>74</v>
      </c>
      <c r="X573">
        <v>0</v>
      </c>
      <c r="Y573">
        <v>6.46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K573" t="s">
        <v>218</v>
      </c>
      <c r="AM573">
        <v>6800000</v>
      </c>
      <c r="AN573" t="s">
        <v>92</v>
      </c>
      <c r="AO573">
        <v>34</v>
      </c>
      <c r="AP573">
        <v>0</v>
      </c>
      <c r="AQ573">
        <v>566666.66666666663</v>
      </c>
      <c r="AR573" t="s">
        <v>9</v>
      </c>
      <c r="AS573" t="s">
        <v>78</v>
      </c>
      <c r="AX573" t="s">
        <v>79</v>
      </c>
      <c r="AY573" t="s">
        <v>74</v>
      </c>
      <c r="AZ573">
        <v>0</v>
      </c>
      <c r="BA573" t="s">
        <v>74</v>
      </c>
      <c r="BB573">
        <v>0</v>
      </c>
      <c r="BD573">
        <v>0.19</v>
      </c>
      <c r="BE573">
        <v>0</v>
      </c>
    </row>
    <row r="574" spans="1:58" ht="12.75">
      <c r="A574" s="2" t="str">
        <f>HYPERLINK("https://ibp.a2mac1.com/costing(costing:projects/details/8191/part/5383393)"," Top Enclosure")</f>
        <v xml:space="preserve"> Top Enclosure</v>
      </c>
      <c r="B574">
        <v>5383393</v>
      </c>
      <c r="C574">
        <v>5383074</v>
      </c>
      <c r="D574" t="s">
        <v>2082</v>
      </c>
      <c r="E574">
        <v>0.47799999999999998</v>
      </c>
      <c r="F574">
        <v>0</v>
      </c>
      <c r="G574">
        <v>0</v>
      </c>
      <c r="H574">
        <v>0</v>
      </c>
      <c r="I574" t="s">
        <v>74</v>
      </c>
      <c r="J574">
        <v>0</v>
      </c>
      <c r="K574">
        <v>0.47799999999999998</v>
      </c>
      <c r="L574">
        <v>0</v>
      </c>
      <c r="M574">
        <v>0</v>
      </c>
      <c r="N574">
        <v>0.47799999999999998</v>
      </c>
      <c r="O574" t="s">
        <v>74</v>
      </c>
      <c r="P574">
        <v>0</v>
      </c>
      <c r="Q574" t="s">
        <v>74</v>
      </c>
      <c r="R574">
        <v>0</v>
      </c>
      <c r="S574" t="s">
        <v>74</v>
      </c>
      <c r="T574">
        <v>0</v>
      </c>
      <c r="U574" t="s">
        <v>74</v>
      </c>
      <c r="V574">
        <v>0</v>
      </c>
      <c r="W574" t="s">
        <v>74</v>
      </c>
      <c r="X574">
        <v>0</v>
      </c>
      <c r="Y574">
        <v>0.47799999999999998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178</v>
      </c>
      <c r="AF574">
        <v>92</v>
      </c>
      <c r="AG574">
        <v>28</v>
      </c>
      <c r="AH574">
        <v>0</v>
      </c>
      <c r="AI574">
        <v>0.11899999999999999</v>
      </c>
      <c r="AK574" t="s">
        <v>218</v>
      </c>
      <c r="AM574">
        <v>200000</v>
      </c>
      <c r="AN574" t="s">
        <v>76</v>
      </c>
      <c r="AO574">
        <v>1</v>
      </c>
      <c r="AP574">
        <v>0</v>
      </c>
      <c r="AQ574">
        <v>16666.666666666668</v>
      </c>
      <c r="AR574" t="s">
        <v>9</v>
      </c>
      <c r="AS574" t="s">
        <v>78</v>
      </c>
      <c r="AX574" t="s">
        <v>79</v>
      </c>
      <c r="AY574" t="s">
        <v>74</v>
      </c>
      <c r="AZ574">
        <v>0</v>
      </c>
      <c r="BA574" t="s">
        <v>74</v>
      </c>
      <c r="BB574">
        <v>0</v>
      </c>
      <c r="BD574">
        <v>0.47799999999999998</v>
      </c>
      <c r="BE574">
        <v>0</v>
      </c>
    </row>
    <row r="575" spans="1:58" ht="12.75">
      <c r="A575" s="2" t="str">
        <f>HYPERLINK("https://ibp.a2mac1.com/costing(costing:projects/details/8191/part/5383394)"," Circuit Board")</f>
        <v xml:space="preserve"> Circuit Board</v>
      </c>
      <c r="B575">
        <v>5383394</v>
      </c>
      <c r="C575">
        <v>5383076</v>
      </c>
      <c r="D575" t="s">
        <v>2085</v>
      </c>
      <c r="E575">
        <v>19.40</v>
      </c>
      <c r="F575">
        <v>0</v>
      </c>
      <c r="G575">
        <v>0</v>
      </c>
      <c r="H575">
        <v>0</v>
      </c>
      <c r="I575" t="s">
        <v>74</v>
      </c>
      <c r="J575">
        <v>0</v>
      </c>
      <c r="K575">
        <v>19.40</v>
      </c>
      <c r="L575">
        <v>0</v>
      </c>
      <c r="M575">
        <v>0</v>
      </c>
      <c r="N575">
        <v>19.40</v>
      </c>
      <c r="O575" t="s">
        <v>74</v>
      </c>
      <c r="P575">
        <v>0</v>
      </c>
      <c r="Q575" t="s">
        <v>74</v>
      </c>
      <c r="R575">
        <v>0</v>
      </c>
      <c r="S575" t="s">
        <v>74</v>
      </c>
      <c r="T575">
        <v>0</v>
      </c>
      <c r="U575" t="s">
        <v>74</v>
      </c>
      <c r="V575">
        <v>0</v>
      </c>
      <c r="W575" t="s">
        <v>74</v>
      </c>
      <c r="X575">
        <v>0</v>
      </c>
      <c r="Y575">
        <v>19.40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133</v>
      </c>
      <c r="AF575">
        <v>106</v>
      </c>
      <c r="AG575">
        <v>25</v>
      </c>
      <c r="AH575">
        <v>0</v>
      </c>
      <c r="AI575">
        <v>0.08</v>
      </c>
      <c r="AK575" t="s">
        <v>218</v>
      </c>
      <c r="AM575">
        <v>200000</v>
      </c>
      <c r="AN575" t="s">
        <v>76</v>
      </c>
      <c r="AO575">
        <v>1</v>
      </c>
      <c r="AP575">
        <v>0</v>
      </c>
      <c r="AQ575">
        <v>16666.666666666668</v>
      </c>
      <c r="AR575" t="s">
        <v>9</v>
      </c>
      <c r="AS575" t="s">
        <v>78</v>
      </c>
      <c r="AX575" t="s">
        <v>79</v>
      </c>
      <c r="AY575" t="s">
        <v>74</v>
      </c>
      <c r="AZ575">
        <v>0</v>
      </c>
      <c r="BA575" t="s">
        <v>74</v>
      </c>
      <c r="BB575">
        <v>0</v>
      </c>
      <c r="BD575">
        <v>19.40</v>
      </c>
      <c r="BE575">
        <v>0</v>
      </c>
    </row>
    <row r="576" spans="1:58" ht="12.75">
      <c r="A576" s="2" t="str">
        <f>HYPERLINK("https://ibp.a2mac1.com/costing(costing:projects/details/8191/part/5383077)"," Support")</f>
        <v xml:space="preserve"> Support</v>
      </c>
      <c r="B576">
        <v>5383077</v>
      </c>
      <c r="C576">
        <v>5382855</v>
      </c>
      <c r="D576" t="s">
        <v>2090</v>
      </c>
      <c r="E576">
        <v>0.63</v>
      </c>
      <c r="F576">
        <v>0</v>
      </c>
      <c r="G576">
        <v>0</v>
      </c>
      <c r="H576">
        <v>0</v>
      </c>
      <c r="I576" t="s">
        <v>74</v>
      </c>
      <c r="J576">
        <v>0</v>
      </c>
      <c r="K576">
        <v>0.63</v>
      </c>
      <c r="L576">
        <v>0</v>
      </c>
      <c r="M576">
        <v>0</v>
      </c>
      <c r="N576">
        <v>0.63</v>
      </c>
      <c r="O576" t="s">
        <v>74</v>
      </c>
      <c r="P576">
        <v>0</v>
      </c>
      <c r="Q576" t="s">
        <v>74</v>
      </c>
      <c r="R576">
        <v>0</v>
      </c>
      <c r="S576" t="s">
        <v>74</v>
      </c>
      <c r="T576">
        <v>0</v>
      </c>
      <c r="U576" t="s">
        <v>74</v>
      </c>
      <c r="V576">
        <v>0</v>
      </c>
      <c r="W576" t="s">
        <v>74</v>
      </c>
      <c r="X576">
        <v>0</v>
      </c>
      <c r="Y576">
        <v>0.63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197</v>
      </c>
      <c r="AF576">
        <v>111</v>
      </c>
      <c r="AG576">
        <v>63</v>
      </c>
      <c r="AH576">
        <v>0</v>
      </c>
      <c r="AI576">
        <v>0.071999999999999995</v>
      </c>
      <c r="AK576" t="s">
        <v>218</v>
      </c>
      <c r="AM576">
        <v>200000</v>
      </c>
      <c r="AN576" t="s">
        <v>92</v>
      </c>
      <c r="AO576">
        <v>1</v>
      </c>
      <c r="AP576">
        <v>0</v>
      </c>
      <c r="AQ576">
        <v>16666.666666666668</v>
      </c>
      <c r="AR576" t="s">
        <v>9</v>
      </c>
      <c r="AS576" t="s">
        <v>78</v>
      </c>
      <c r="AX576" t="s">
        <v>79</v>
      </c>
      <c r="AY576" t="s">
        <v>74</v>
      </c>
      <c r="AZ576">
        <v>0</v>
      </c>
      <c r="BA576" t="s">
        <v>74</v>
      </c>
      <c r="BB576">
        <v>0</v>
      </c>
      <c r="BD576">
        <v>0.63</v>
      </c>
      <c r="BE576">
        <v>0</v>
      </c>
    </row>
    <row r="577" spans="1:58" ht="12.75">
      <c r="A577" s="2" t="str">
        <f>HYPERLINK("https://ibp.a2mac1.com/costing(costing:projects/details/8191/part/5383395)","Busbar 1")</f>
        <v>Busbar 1</v>
      </c>
      <c r="B577">
        <v>5383395</v>
      </c>
      <c r="C577">
        <v>5383078</v>
      </c>
      <c r="D577" t="s">
        <v>2097</v>
      </c>
      <c r="E577">
        <v>0.25</v>
      </c>
      <c r="F577">
        <v>0</v>
      </c>
      <c r="G577">
        <v>0</v>
      </c>
      <c r="H577">
        <v>0</v>
      </c>
      <c r="I577" t="s">
        <v>74</v>
      </c>
      <c r="J577">
        <v>0</v>
      </c>
      <c r="K577">
        <v>0.25</v>
      </c>
      <c r="L577">
        <v>0</v>
      </c>
      <c r="M577">
        <v>0</v>
      </c>
      <c r="N577">
        <v>0.25</v>
      </c>
      <c r="O577" t="s">
        <v>74</v>
      </c>
      <c r="P577">
        <v>0</v>
      </c>
      <c r="Q577" t="s">
        <v>74</v>
      </c>
      <c r="R577">
        <v>0</v>
      </c>
      <c r="S577" t="s">
        <v>74</v>
      </c>
      <c r="T577">
        <v>0</v>
      </c>
      <c r="U577" t="s">
        <v>74</v>
      </c>
      <c r="V577">
        <v>0</v>
      </c>
      <c r="W577" t="s">
        <v>74</v>
      </c>
      <c r="X577">
        <v>0</v>
      </c>
      <c r="Y577">
        <v>0.25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175</v>
      </c>
      <c r="AF577">
        <v>15</v>
      </c>
      <c r="AG577">
        <v>10</v>
      </c>
      <c r="AH577">
        <v>0</v>
      </c>
      <c r="AI577">
        <v>0.010999999999999999</v>
      </c>
      <c r="AK577" t="s">
        <v>218</v>
      </c>
      <c r="AM577">
        <v>200000</v>
      </c>
      <c r="AN577" t="s">
        <v>76</v>
      </c>
      <c r="AO577">
        <v>1</v>
      </c>
      <c r="AP577">
        <v>0</v>
      </c>
      <c r="AQ577">
        <v>16666.666666666668</v>
      </c>
      <c r="AR577" t="s">
        <v>9</v>
      </c>
      <c r="AS577" t="s">
        <v>78</v>
      </c>
      <c r="AX577" t="s">
        <v>79</v>
      </c>
      <c r="AY577" t="s">
        <v>74</v>
      </c>
      <c r="AZ577">
        <v>0</v>
      </c>
      <c r="BA577" t="s">
        <v>74</v>
      </c>
      <c r="BB577">
        <v>0</v>
      </c>
      <c r="BD577">
        <v>0.25</v>
      </c>
      <c r="BE577">
        <v>0</v>
      </c>
    </row>
    <row r="578" spans="1:58" ht="12.75">
      <c r="A578" s="2" t="str">
        <f>HYPERLINK("https://ibp.a2mac1.com/costing(costing:projects/details/8191/part/5383396)","Busbar 2")</f>
        <v>Busbar 2</v>
      </c>
      <c r="B578">
        <v>5383396</v>
      </c>
      <c r="C578">
        <v>5383078</v>
      </c>
      <c r="D578" t="s">
        <v>2098</v>
      </c>
      <c r="E578">
        <v>0.28420000000000001</v>
      </c>
      <c r="F578">
        <v>0</v>
      </c>
      <c r="G578">
        <v>0</v>
      </c>
      <c r="H578">
        <v>0</v>
      </c>
      <c r="I578" t="s">
        <v>74</v>
      </c>
      <c r="J578">
        <v>0</v>
      </c>
      <c r="K578">
        <v>0.28420000000000001</v>
      </c>
      <c r="L578">
        <v>0</v>
      </c>
      <c r="M578">
        <v>0</v>
      </c>
      <c r="N578">
        <v>0.28420000000000001</v>
      </c>
      <c r="O578" t="s">
        <v>74</v>
      </c>
      <c r="P578">
        <v>0</v>
      </c>
      <c r="Q578" t="s">
        <v>74</v>
      </c>
      <c r="R578">
        <v>0</v>
      </c>
      <c r="S578" t="s">
        <v>74</v>
      </c>
      <c r="T578">
        <v>0</v>
      </c>
      <c r="U578" t="s">
        <v>74</v>
      </c>
      <c r="V578">
        <v>0</v>
      </c>
      <c r="W578" t="s">
        <v>74</v>
      </c>
      <c r="X578">
        <v>0</v>
      </c>
      <c r="Y578">
        <v>0.28420000000000001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49</v>
      </c>
      <c r="AF578">
        <v>22</v>
      </c>
      <c r="AG578">
        <v>25</v>
      </c>
      <c r="AH578">
        <v>0</v>
      </c>
      <c r="AI578">
        <v>0.028000000000000001</v>
      </c>
      <c r="AK578" t="s">
        <v>218</v>
      </c>
      <c r="AM578">
        <v>200000</v>
      </c>
      <c r="AN578" t="s">
        <v>76</v>
      </c>
      <c r="AO578">
        <v>1</v>
      </c>
      <c r="AP578">
        <v>0</v>
      </c>
      <c r="AQ578">
        <v>16666.666666666668</v>
      </c>
      <c r="AR578" t="s">
        <v>9</v>
      </c>
      <c r="AS578" t="s">
        <v>78</v>
      </c>
      <c r="AX578" t="s">
        <v>79</v>
      </c>
      <c r="AY578" t="s">
        <v>74</v>
      </c>
      <c r="AZ578">
        <v>0</v>
      </c>
      <c r="BA578" t="s">
        <v>74</v>
      </c>
      <c r="BB578">
        <v>0</v>
      </c>
      <c r="BD578">
        <v>0.28420000000000001</v>
      </c>
      <c r="BE578">
        <v>0</v>
      </c>
    </row>
    <row r="579" spans="1:58" ht="12.75">
      <c r="A579" s="2" t="str">
        <f>HYPERLINK("https://ibp.a2mac1.com/costing(costing:projects/details/8191/part/5383724)"," HV Connector 1")</f>
        <v xml:space="preserve"> HV Connector 1</v>
      </c>
      <c r="B579">
        <v>5383724</v>
      </c>
      <c r="C579">
        <v>5383397</v>
      </c>
      <c r="D579" t="s">
        <v>2102</v>
      </c>
      <c r="E579">
        <v>3.2679999999999998</v>
      </c>
      <c r="F579">
        <v>0</v>
      </c>
      <c r="G579">
        <v>0</v>
      </c>
      <c r="H579">
        <v>0</v>
      </c>
      <c r="I579" t="s">
        <v>74</v>
      </c>
      <c r="J579">
        <v>0</v>
      </c>
      <c r="K579">
        <v>3.2679999999999998</v>
      </c>
      <c r="L579">
        <v>0</v>
      </c>
      <c r="M579">
        <v>0</v>
      </c>
      <c r="N579">
        <v>3.2679999999999998</v>
      </c>
      <c r="O579" t="s">
        <v>74</v>
      </c>
      <c r="P579">
        <v>0</v>
      </c>
      <c r="Q579" t="s">
        <v>74</v>
      </c>
      <c r="R579">
        <v>0</v>
      </c>
      <c r="S579" t="s">
        <v>74</v>
      </c>
      <c r="T579">
        <v>0</v>
      </c>
      <c r="U579" t="s">
        <v>74</v>
      </c>
      <c r="V579">
        <v>0</v>
      </c>
      <c r="W579" t="s">
        <v>74</v>
      </c>
      <c r="X579">
        <v>0</v>
      </c>
      <c r="Y579">
        <v>3.2679999999999998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124</v>
      </c>
      <c r="AF579">
        <v>35</v>
      </c>
      <c r="AG579">
        <v>74</v>
      </c>
      <c r="AH579">
        <v>0</v>
      </c>
      <c r="AI579">
        <v>0.084000000000000005</v>
      </c>
      <c r="AK579" t="s">
        <v>218</v>
      </c>
      <c r="AM579">
        <v>200000</v>
      </c>
      <c r="AN579" t="s">
        <v>76</v>
      </c>
      <c r="AO579">
        <v>1</v>
      </c>
      <c r="AP579">
        <v>0</v>
      </c>
      <c r="AQ579">
        <v>16666.666666666668</v>
      </c>
      <c r="AR579" t="s">
        <v>9</v>
      </c>
      <c r="AS579" t="s">
        <v>78</v>
      </c>
      <c r="AX579" t="s">
        <v>79</v>
      </c>
      <c r="AY579" t="s">
        <v>74</v>
      </c>
      <c r="AZ579">
        <v>0</v>
      </c>
      <c r="BA579" t="s">
        <v>74</v>
      </c>
      <c r="BB579">
        <v>0</v>
      </c>
      <c r="BD579">
        <v>3.2679999999999998</v>
      </c>
      <c r="BE579">
        <v>0</v>
      </c>
    </row>
    <row r="580" spans="1:58" ht="12.75">
      <c r="A580" s="2" t="str">
        <f>HYPERLINK("https://ibp.a2mac1.com/costing(costing:projects/details/8191/part/5383398)"," Ferrite 1")</f>
        <v xml:space="preserve"> Ferrite 1</v>
      </c>
      <c r="B580">
        <v>5383398</v>
      </c>
      <c r="C580">
        <v>5383080</v>
      </c>
      <c r="D580" t="s">
        <v>2108</v>
      </c>
      <c r="E580">
        <v>1.734</v>
      </c>
      <c r="F580">
        <v>0</v>
      </c>
      <c r="G580">
        <v>0</v>
      </c>
      <c r="H580">
        <v>0</v>
      </c>
      <c r="I580" t="s">
        <v>74</v>
      </c>
      <c r="J580">
        <v>0</v>
      </c>
      <c r="K580">
        <v>1.734</v>
      </c>
      <c r="L580">
        <v>0</v>
      </c>
      <c r="M580">
        <v>0</v>
      </c>
      <c r="N580">
        <v>1.734</v>
      </c>
      <c r="O580" t="s">
        <v>74</v>
      </c>
      <c r="P580">
        <v>0</v>
      </c>
      <c r="Q580" t="s">
        <v>74</v>
      </c>
      <c r="R580">
        <v>0</v>
      </c>
      <c r="S580" t="s">
        <v>74</v>
      </c>
      <c r="T580">
        <v>0</v>
      </c>
      <c r="U580" t="s">
        <v>74</v>
      </c>
      <c r="V580">
        <v>0</v>
      </c>
      <c r="W580" t="s">
        <v>74</v>
      </c>
      <c r="X580">
        <v>0</v>
      </c>
      <c r="Y580">
        <v>1.734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41</v>
      </c>
      <c r="AF580">
        <v>28</v>
      </c>
      <c r="AG580">
        <v>14</v>
      </c>
      <c r="AH580">
        <v>0</v>
      </c>
      <c r="AI580">
        <v>0.05</v>
      </c>
      <c r="AK580" t="s">
        <v>218</v>
      </c>
      <c r="AM580">
        <v>400000</v>
      </c>
      <c r="AN580" t="s">
        <v>76</v>
      </c>
      <c r="AO580">
        <v>2</v>
      </c>
      <c r="AP580">
        <v>0</v>
      </c>
      <c r="AQ580">
        <v>33333.333333333336</v>
      </c>
      <c r="AR580" t="s">
        <v>9</v>
      </c>
      <c r="AS580" t="s">
        <v>78</v>
      </c>
      <c r="AX580" t="s">
        <v>79</v>
      </c>
      <c r="AY580" t="s">
        <v>74</v>
      </c>
      <c r="AZ580">
        <v>0</v>
      </c>
      <c r="BA580" t="s">
        <v>74</v>
      </c>
      <c r="BB580">
        <v>0</v>
      </c>
      <c r="BD580">
        <v>0.86699999999999999</v>
      </c>
      <c r="BE580">
        <v>0</v>
      </c>
    </row>
    <row r="581" spans="1:58" ht="12.75">
      <c r="A581" s="2" t="str">
        <f>HYPERLINK("https://ibp.a2mac1.com/costing(costing:projects/details/8191/part/5383402)"," Ferrite 2")</f>
        <v xml:space="preserve"> Ferrite 2</v>
      </c>
      <c r="B581">
        <v>5383402</v>
      </c>
      <c r="C581">
        <v>5383080</v>
      </c>
      <c r="D581" t="s">
        <v>2109</v>
      </c>
      <c r="E581">
        <v>0.86799999999999999</v>
      </c>
      <c r="F581">
        <v>0</v>
      </c>
      <c r="G581">
        <v>0</v>
      </c>
      <c r="H581">
        <v>0</v>
      </c>
      <c r="I581" t="s">
        <v>74</v>
      </c>
      <c r="J581">
        <v>0</v>
      </c>
      <c r="K581">
        <v>0.86799999999999999</v>
      </c>
      <c r="L581">
        <v>0</v>
      </c>
      <c r="M581">
        <v>0</v>
      </c>
      <c r="N581">
        <v>0.86799999999999999</v>
      </c>
      <c r="O581" t="s">
        <v>74</v>
      </c>
      <c r="P581">
        <v>0</v>
      </c>
      <c r="Q581" t="s">
        <v>74</v>
      </c>
      <c r="R581">
        <v>0</v>
      </c>
      <c r="S581" t="s">
        <v>74</v>
      </c>
      <c r="T581">
        <v>0</v>
      </c>
      <c r="U581" t="s">
        <v>74</v>
      </c>
      <c r="V581">
        <v>0</v>
      </c>
      <c r="W581" t="s">
        <v>74</v>
      </c>
      <c r="X581">
        <v>0</v>
      </c>
      <c r="Y581">
        <v>0.86799999999999999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28</v>
      </c>
      <c r="AF581">
        <v>26</v>
      </c>
      <c r="AG581">
        <v>16</v>
      </c>
      <c r="AH581">
        <v>0</v>
      </c>
      <c r="AI581">
        <v>0.05</v>
      </c>
      <c r="AK581" t="s">
        <v>218</v>
      </c>
      <c r="AM581">
        <v>200000</v>
      </c>
      <c r="AN581" t="s">
        <v>76</v>
      </c>
      <c r="AO581">
        <v>1</v>
      </c>
      <c r="AP581">
        <v>0</v>
      </c>
      <c r="AQ581">
        <v>16666.666666666668</v>
      </c>
      <c r="AR581" t="s">
        <v>9</v>
      </c>
      <c r="AS581" t="s">
        <v>78</v>
      </c>
      <c r="AX581" t="s">
        <v>79</v>
      </c>
      <c r="AY581" t="s">
        <v>74</v>
      </c>
      <c r="AZ581">
        <v>0</v>
      </c>
      <c r="BA581" t="s">
        <v>74</v>
      </c>
      <c r="BB581">
        <v>0</v>
      </c>
      <c r="BD581">
        <v>0.86799999999999999</v>
      </c>
      <c r="BE581">
        <v>0</v>
      </c>
    </row>
    <row r="582" spans="1:58" ht="12.75">
      <c r="A582" s="2" t="str">
        <f>HYPERLINK("https://ibp.a2mac1.com/costing(costing:projects/details/8191/part/5383403)"," Ferrite 5")</f>
        <v xml:space="preserve"> Ferrite 5</v>
      </c>
      <c r="B582">
        <v>5383403</v>
      </c>
      <c r="C582">
        <v>5383080</v>
      </c>
      <c r="D582" t="s">
        <v>2110</v>
      </c>
      <c r="E582">
        <v>0.35399999999999998</v>
      </c>
      <c r="F582">
        <v>0</v>
      </c>
      <c r="G582">
        <v>0</v>
      </c>
      <c r="H582">
        <v>0</v>
      </c>
      <c r="I582" t="s">
        <v>74</v>
      </c>
      <c r="J582">
        <v>0</v>
      </c>
      <c r="K582">
        <v>0.35399999999999998</v>
      </c>
      <c r="L582">
        <v>0</v>
      </c>
      <c r="M582">
        <v>0</v>
      </c>
      <c r="N582">
        <v>0.35399999999999998</v>
      </c>
      <c r="O582" t="s">
        <v>74</v>
      </c>
      <c r="P582">
        <v>0</v>
      </c>
      <c r="Q582" t="s">
        <v>74</v>
      </c>
      <c r="R582">
        <v>0</v>
      </c>
      <c r="S582" t="s">
        <v>74</v>
      </c>
      <c r="T582">
        <v>0</v>
      </c>
      <c r="U582" t="s">
        <v>74</v>
      </c>
      <c r="V582">
        <v>0</v>
      </c>
      <c r="W582" t="s">
        <v>74</v>
      </c>
      <c r="X582">
        <v>0</v>
      </c>
      <c r="Y582">
        <v>0.35399999999999998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24</v>
      </c>
      <c r="AF582">
        <v>14</v>
      </c>
      <c r="AG582">
        <v>13</v>
      </c>
      <c r="AH582">
        <v>0</v>
      </c>
      <c r="AI582">
        <v>0.012</v>
      </c>
      <c r="AK582" t="s">
        <v>218</v>
      </c>
      <c r="AM582">
        <v>200000</v>
      </c>
      <c r="AN582" t="s">
        <v>76</v>
      </c>
      <c r="AO582">
        <v>1</v>
      </c>
      <c r="AP582">
        <v>0</v>
      </c>
      <c r="AQ582">
        <v>16666.666666666668</v>
      </c>
      <c r="AR582" t="s">
        <v>9</v>
      </c>
      <c r="AS582" t="s">
        <v>78</v>
      </c>
      <c r="AX582" t="s">
        <v>79</v>
      </c>
      <c r="AY582" t="s">
        <v>74</v>
      </c>
      <c r="AZ582">
        <v>0</v>
      </c>
      <c r="BA582" t="s">
        <v>74</v>
      </c>
      <c r="BB582">
        <v>0</v>
      </c>
      <c r="BD582">
        <v>0.35399999999999998</v>
      </c>
      <c r="BE582">
        <v>0</v>
      </c>
    </row>
    <row r="583" spans="1:58" ht="12.75">
      <c r="A583" s="2" t="str">
        <f>HYPERLINK("https://ibp.a2mac1.com/costing(costing:projects/details/8191/part/5383404)"," Ferrite 4")</f>
        <v xml:space="preserve"> Ferrite 4</v>
      </c>
      <c r="B583">
        <v>5383404</v>
      </c>
      <c r="C583">
        <v>5383080</v>
      </c>
      <c r="D583" t="s">
        <v>2111</v>
      </c>
      <c r="E583">
        <v>0.52800000000000002</v>
      </c>
      <c r="F583">
        <v>0</v>
      </c>
      <c r="G583">
        <v>0</v>
      </c>
      <c r="H583">
        <v>0</v>
      </c>
      <c r="I583" t="s">
        <v>74</v>
      </c>
      <c r="J583">
        <v>0</v>
      </c>
      <c r="K583">
        <v>0.52800000000000002</v>
      </c>
      <c r="L583">
        <v>0</v>
      </c>
      <c r="M583">
        <v>0</v>
      </c>
      <c r="N583">
        <v>0.52800000000000002</v>
      </c>
      <c r="O583" t="s">
        <v>74</v>
      </c>
      <c r="P583">
        <v>0</v>
      </c>
      <c r="Q583" t="s">
        <v>74</v>
      </c>
      <c r="R583">
        <v>0</v>
      </c>
      <c r="S583" t="s">
        <v>74</v>
      </c>
      <c r="T583">
        <v>0</v>
      </c>
      <c r="U583" t="s">
        <v>74</v>
      </c>
      <c r="V583">
        <v>0</v>
      </c>
      <c r="W583" t="s">
        <v>74</v>
      </c>
      <c r="X583">
        <v>0</v>
      </c>
      <c r="Y583">
        <v>0.52800000000000002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14</v>
      </c>
      <c r="AF583">
        <v>6</v>
      </c>
      <c r="AG583">
        <v>15</v>
      </c>
      <c r="AH583">
        <v>0</v>
      </c>
      <c r="AI583">
        <v>0.005</v>
      </c>
      <c r="AK583" t="s">
        <v>218</v>
      </c>
      <c r="AM583">
        <v>400000</v>
      </c>
      <c r="AN583" t="s">
        <v>76</v>
      </c>
      <c r="AO583">
        <v>2</v>
      </c>
      <c r="AP583">
        <v>0</v>
      </c>
      <c r="AQ583">
        <v>33333.333333333336</v>
      </c>
      <c r="AR583" t="s">
        <v>9</v>
      </c>
      <c r="AS583" t="s">
        <v>78</v>
      </c>
      <c r="AX583" t="s">
        <v>79</v>
      </c>
      <c r="AY583" t="s">
        <v>74</v>
      </c>
      <c r="AZ583">
        <v>0</v>
      </c>
      <c r="BA583" t="s">
        <v>74</v>
      </c>
      <c r="BB583">
        <v>0</v>
      </c>
      <c r="BD583">
        <v>0.26400000000000001</v>
      </c>
      <c r="BE583">
        <v>0</v>
      </c>
    </row>
    <row r="584" spans="1:58" ht="12.75">
      <c r="A584" s="2" t="str">
        <f>HYPERLINK("https://ibp.a2mac1.com/costing(costing:projects/details/8191/part/5383405)"," Ferrite 3")</f>
        <v xml:space="preserve"> Ferrite 3</v>
      </c>
      <c r="B584">
        <v>5383405</v>
      </c>
      <c r="C584">
        <v>5383080</v>
      </c>
      <c r="D584" t="s">
        <v>2112</v>
      </c>
      <c r="E584">
        <v>1.292</v>
      </c>
      <c r="F584">
        <v>0</v>
      </c>
      <c r="G584">
        <v>0</v>
      </c>
      <c r="H584">
        <v>0</v>
      </c>
      <c r="I584" t="s">
        <v>74</v>
      </c>
      <c r="J584">
        <v>0</v>
      </c>
      <c r="K584">
        <v>1.292</v>
      </c>
      <c r="L584">
        <v>0</v>
      </c>
      <c r="M584">
        <v>0</v>
      </c>
      <c r="N584">
        <v>1.292</v>
      </c>
      <c r="O584" t="s">
        <v>74</v>
      </c>
      <c r="P584">
        <v>0</v>
      </c>
      <c r="Q584" t="s">
        <v>74</v>
      </c>
      <c r="R584">
        <v>0</v>
      </c>
      <c r="S584" t="s">
        <v>74</v>
      </c>
      <c r="T584">
        <v>0</v>
      </c>
      <c r="U584" t="s">
        <v>74</v>
      </c>
      <c r="V584">
        <v>0</v>
      </c>
      <c r="W584" t="s">
        <v>74</v>
      </c>
      <c r="X584">
        <v>0</v>
      </c>
      <c r="Y584">
        <v>1.292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15</v>
      </c>
      <c r="AF584">
        <v>46</v>
      </c>
      <c r="AG584">
        <v>13</v>
      </c>
      <c r="AH584">
        <v>0</v>
      </c>
      <c r="AI584">
        <v>0.070999999999999994</v>
      </c>
      <c r="AK584" t="s">
        <v>218</v>
      </c>
      <c r="AM584">
        <v>400000</v>
      </c>
      <c r="AN584" t="s">
        <v>76</v>
      </c>
      <c r="AO584">
        <v>2</v>
      </c>
      <c r="AP584">
        <v>0</v>
      </c>
      <c r="AQ584">
        <v>33333.333333333336</v>
      </c>
      <c r="AR584" t="s">
        <v>9</v>
      </c>
      <c r="AS584" t="s">
        <v>78</v>
      </c>
      <c r="AX584" t="s">
        <v>79</v>
      </c>
      <c r="AY584" t="s">
        <v>74</v>
      </c>
      <c r="AZ584">
        <v>0</v>
      </c>
      <c r="BA584" t="s">
        <v>74</v>
      </c>
      <c r="BB584">
        <v>0</v>
      </c>
      <c r="BD584">
        <v>0.64600000000000002</v>
      </c>
      <c r="BE584">
        <v>0</v>
      </c>
    </row>
    <row r="585" spans="1:58" ht="12.75">
      <c r="A585" s="2" t="str">
        <f>HYPERLINK("https://ibp.a2mac1.com/costing(costing:projects/details/8191/part/5383406)"," Ferrite 6")</f>
        <v xml:space="preserve"> Ferrite 6</v>
      </c>
      <c r="B585">
        <v>5383406</v>
      </c>
      <c r="C585">
        <v>5383080</v>
      </c>
      <c r="D585" t="s">
        <v>2113</v>
      </c>
      <c r="E585">
        <v>0.84699999999999998</v>
      </c>
      <c r="F585">
        <v>0</v>
      </c>
      <c r="G585">
        <v>0</v>
      </c>
      <c r="H585">
        <v>0</v>
      </c>
      <c r="I585" t="s">
        <v>74</v>
      </c>
      <c r="J585">
        <v>0</v>
      </c>
      <c r="K585">
        <v>0.84699999999999998</v>
      </c>
      <c r="L585">
        <v>0</v>
      </c>
      <c r="M585">
        <v>0</v>
      </c>
      <c r="N585">
        <v>0.84699999999999998</v>
      </c>
      <c r="O585" t="s">
        <v>74</v>
      </c>
      <c r="P585">
        <v>0</v>
      </c>
      <c r="Q585" t="s">
        <v>74</v>
      </c>
      <c r="R585">
        <v>0</v>
      </c>
      <c r="S585" t="s">
        <v>74</v>
      </c>
      <c r="T585">
        <v>0</v>
      </c>
      <c r="U585" t="s">
        <v>74</v>
      </c>
      <c r="V585">
        <v>0</v>
      </c>
      <c r="W585" t="s">
        <v>74</v>
      </c>
      <c r="X585">
        <v>0</v>
      </c>
      <c r="Y585">
        <v>0.84699999999999998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31</v>
      </c>
      <c r="AF585">
        <v>31</v>
      </c>
      <c r="AG585">
        <v>8</v>
      </c>
      <c r="AH585">
        <v>0</v>
      </c>
      <c r="AI585">
        <v>0.041000000000000002</v>
      </c>
      <c r="AK585" t="s">
        <v>218</v>
      </c>
      <c r="AM585">
        <v>200000</v>
      </c>
      <c r="AN585" t="s">
        <v>76</v>
      </c>
      <c r="AO585">
        <v>1</v>
      </c>
      <c r="AP585">
        <v>0</v>
      </c>
      <c r="AQ585">
        <v>16666.666666666668</v>
      </c>
      <c r="AR585" t="s">
        <v>9</v>
      </c>
      <c r="AS585" t="s">
        <v>78</v>
      </c>
      <c r="AX585" t="s">
        <v>79</v>
      </c>
      <c r="AY585" t="s">
        <v>74</v>
      </c>
      <c r="AZ585">
        <v>0</v>
      </c>
      <c r="BA585" t="s">
        <v>74</v>
      </c>
      <c r="BB585">
        <v>0</v>
      </c>
      <c r="BD585">
        <v>0.84699999999999998</v>
      </c>
      <c r="BE585">
        <v>0</v>
      </c>
    </row>
    <row r="586" spans="1:58" ht="12.75">
      <c r="A586" s="2" t="str">
        <f>HYPERLINK("https://ibp.a2mac1.com/costing(costing:projects/details/8191/part/5383407)"," Ferrite 7")</f>
        <v xml:space="preserve"> Ferrite 7</v>
      </c>
      <c r="B586">
        <v>5383407</v>
      </c>
      <c r="C586">
        <v>5383080</v>
      </c>
      <c r="D586" t="s">
        <v>2114</v>
      </c>
      <c r="E586">
        <v>0.35</v>
      </c>
      <c r="F586">
        <v>0</v>
      </c>
      <c r="G586">
        <v>0</v>
      </c>
      <c r="H586">
        <v>0</v>
      </c>
      <c r="I586" t="s">
        <v>74</v>
      </c>
      <c r="J586">
        <v>0</v>
      </c>
      <c r="K586">
        <v>0.35</v>
      </c>
      <c r="L586">
        <v>0</v>
      </c>
      <c r="M586">
        <v>0</v>
      </c>
      <c r="N586">
        <v>0.35</v>
      </c>
      <c r="O586" t="s">
        <v>74</v>
      </c>
      <c r="P586">
        <v>0</v>
      </c>
      <c r="Q586" t="s">
        <v>74</v>
      </c>
      <c r="R586">
        <v>0</v>
      </c>
      <c r="S586" t="s">
        <v>74</v>
      </c>
      <c r="T586">
        <v>0</v>
      </c>
      <c r="U586" t="s">
        <v>74</v>
      </c>
      <c r="V586">
        <v>0</v>
      </c>
      <c r="W586" t="s">
        <v>74</v>
      </c>
      <c r="X586">
        <v>0</v>
      </c>
      <c r="Y586">
        <v>0.35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18</v>
      </c>
      <c r="AF586">
        <v>11</v>
      </c>
      <c r="AG586">
        <v>4</v>
      </c>
      <c r="AH586">
        <v>0</v>
      </c>
      <c r="AI586">
        <v>0.0080000000000000002</v>
      </c>
      <c r="AK586" t="s">
        <v>218</v>
      </c>
      <c r="AM586">
        <v>400000</v>
      </c>
      <c r="AN586" t="s">
        <v>76</v>
      </c>
      <c r="AO586">
        <v>2</v>
      </c>
      <c r="AP586">
        <v>0</v>
      </c>
      <c r="AQ586">
        <v>33333.333333333336</v>
      </c>
      <c r="AR586" t="s">
        <v>9</v>
      </c>
      <c r="AS586" t="s">
        <v>78</v>
      </c>
      <c r="AX586" t="s">
        <v>79</v>
      </c>
      <c r="AY586" t="s">
        <v>74</v>
      </c>
      <c r="AZ586">
        <v>0</v>
      </c>
      <c r="BA586" t="s">
        <v>74</v>
      </c>
      <c r="BB586">
        <v>0</v>
      </c>
      <c r="BD586">
        <v>0.175</v>
      </c>
      <c r="BE586">
        <v>0</v>
      </c>
    </row>
    <row r="587" spans="1:58" ht="12.75">
      <c r="A587" s="2" t="str">
        <f>HYPERLINK("https://ibp.a2mac1.com/costing(costing:projects/details/8191/part/5383408)"," Ferrite 8")</f>
        <v xml:space="preserve"> Ferrite 8</v>
      </c>
      <c r="B587">
        <v>5383408</v>
      </c>
      <c r="C587">
        <v>5383080</v>
      </c>
      <c r="D587" t="s">
        <v>2115</v>
      </c>
      <c r="E587">
        <v>1.288</v>
      </c>
      <c r="F587">
        <v>0</v>
      </c>
      <c r="G587">
        <v>0</v>
      </c>
      <c r="H587">
        <v>0</v>
      </c>
      <c r="I587" t="s">
        <v>74</v>
      </c>
      <c r="J587">
        <v>0</v>
      </c>
      <c r="K587">
        <v>1.288</v>
      </c>
      <c r="L587">
        <v>0</v>
      </c>
      <c r="M587">
        <v>0</v>
      </c>
      <c r="N587">
        <v>1.288</v>
      </c>
      <c r="O587" t="s">
        <v>74</v>
      </c>
      <c r="P587">
        <v>0</v>
      </c>
      <c r="Q587" t="s">
        <v>74</v>
      </c>
      <c r="R587">
        <v>0</v>
      </c>
      <c r="S587" t="s">
        <v>74</v>
      </c>
      <c r="T587">
        <v>0</v>
      </c>
      <c r="U587" t="s">
        <v>74</v>
      </c>
      <c r="V587">
        <v>0</v>
      </c>
      <c r="W587" t="s">
        <v>74</v>
      </c>
      <c r="X587">
        <v>0</v>
      </c>
      <c r="Y587">
        <v>1.288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36</v>
      </c>
      <c r="AF587">
        <v>33</v>
      </c>
      <c r="AG587">
        <v>5</v>
      </c>
      <c r="AH587">
        <v>0</v>
      </c>
      <c r="AI587">
        <v>0.029000000000000001</v>
      </c>
      <c r="AK587" t="s">
        <v>218</v>
      </c>
      <c r="AM587">
        <v>400000</v>
      </c>
      <c r="AN587" t="s">
        <v>76</v>
      </c>
      <c r="AO587">
        <v>2</v>
      </c>
      <c r="AP587">
        <v>0</v>
      </c>
      <c r="AQ587">
        <v>33333.333333333336</v>
      </c>
      <c r="AR587" t="s">
        <v>9</v>
      </c>
      <c r="AS587" t="s">
        <v>78</v>
      </c>
      <c r="AX587" t="s">
        <v>79</v>
      </c>
      <c r="AY587" t="s">
        <v>74</v>
      </c>
      <c r="AZ587">
        <v>0</v>
      </c>
      <c r="BA587" t="s">
        <v>74</v>
      </c>
      <c r="BB587">
        <v>0</v>
      </c>
      <c r="BD587">
        <v>0.64400000000000002</v>
      </c>
      <c r="BE587">
        <v>0</v>
      </c>
    </row>
    <row r="588" spans="1:58" ht="12.75">
      <c r="A588" s="2" t="str">
        <f>HYPERLINK("https://ibp.a2mac1.com/costing(costing:projects/details/8191/part/5383409)"," Ferrite 9")</f>
        <v xml:space="preserve"> Ferrite 9</v>
      </c>
      <c r="B588">
        <v>5383409</v>
      </c>
      <c r="C588">
        <v>5383080</v>
      </c>
      <c r="D588" t="s">
        <v>2116</v>
      </c>
      <c r="E588">
        <v>1.208</v>
      </c>
      <c r="F588">
        <v>0</v>
      </c>
      <c r="G588">
        <v>0</v>
      </c>
      <c r="H588">
        <v>0</v>
      </c>
      <c r="I588" t="s">
        <v>74</v>
      </c>
      <c r="J588">
        <v>0</v>
      </c>
      <c r="K588">
        <v>1.208</v>
      </c>
      <c r="L588">
        <v>0</v>
      </c>
      <c r="M588">
        <v>0</v>
      </c>
      <c r="N588">
        <v>1.208</v>
      </c>
      <c r="O588" t="s">
        <v>74</v>
      </c>
      <c r="P588">
        <v>0</v>
      </c>
      <c r="Q588" t="s">
        <v>74</v>
      </c>
      <c r="R588">
        <v>0</v>
      </c>
      <c r="S588" t="s">
        <v>74</v>
      </c>
      <c r="T588">
        <v>0</v>
      </c>
      <c r="U588" t="s">
        <v>74</v>
      </c>
      <c r="V588">
        <v>0</v>
      </c>
      <c r="W588" t="s">
        <v>74</v>
      </c>
      <c r="X588">
        <v>0</v>
      </c>
      <c r="Y588">
        <v>1.208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52</v>
      </c>
      <c r="AF588">
        <v>21</v>
      </c>
      <c r="AG588">
        <v>5</v>
      </c>
      <c r="AH588">
        <v>0</v>
      </c>
      <c r="AI588">
        <v>0.027</v>
      </c>
      <c r="AK588" t="s">
        <v>218</v>
      </c>
      <c r="AM588">
        <v>400000</v>
      </c>
      <c r="AN588" t="s">
        <v>76</v>
      </c>
      <c r="AO588">
        <v>2</v>
      </c>
      <c r="AP588">
        <v>0</v>
      </c>
      <c r="AQ588">
        <v>33333.333333333336</v>
      </c>
      <c r="AR588" t="s">
        <v>9</v>
      </c>
      <c r="AS588" t="s">
        <v>78</v>
      </c>
      <c r="AX588" t="s">
        <v>79</v>
      </c>
      <c r="AY588" t="s">
        <v>74</v>
      </c>
      <c r="AZ588">
        <v>0</v>
      </c>
      <c r="BA588" t="s">
        <v>74</v>
      </c>
      <c r="BB588">
        <v>0</v>
      </c>
      <c r="BD588">
        <v>0.60399999999999998</v>
      </c>
      <c r="BE588">
        <v>0</v>
      </c>
    </row>
    <row r="589" spans="1:58" ht="12.75">
      <c r="A589" s="2" t="str">
        <f>HYPERLINK("https://ibp.a2mac1.com/costing(costing:projects/details/8191/part/5383410)"," Ferrite 10")</f>
        <v xml:space="preserve"> Ferrite 10</v>
      </c>
      <c r="B589">
        <v>5383410</v>
      </c>
      <c r="C589">
        <v>5383080</v>
      </c>
      <c r="D589" t="s">
        <v>2117</v>
      </c>
      <c r="E589">
        <v>0.39400000000000002</v>
      </c>
      <c r="F589">
        <v>0</v>
      </c>
      <c r="G589">
        <v>0</v>
      </c>
      <c r="H589">
        <v>0</v>
      </c>
      <c r="I589" t="s">
        <v>74</v>
      </c>
      <c r="J589">
        <v>0</v>
      </c>
      <c r="K589">
        <v>0.39400000000000002</v>
      </c>
      <c r="L589">
        <v>0</v>
      </c>
      <c r="M589">
        <v>0</v>
      </c>
      <c r="N589">
        <v>0.39400000000000002</v>
      </c>
      <c r="O589" t="s">
        <v>74</v>
      </c>
      <c r="P589">
        <v>0</v>
      </c>
      <c r="Q589" t="s">
        <v>74</v>
      </c>
      <c r="R589">
        <v>0</v>
      </c>
      <c r="S589" t="s">
        <v>74</v>
      </c>
      <c r="T589">
        <v>0</v>
      </c>
      <c r="U589" t="s">
        <v>74</v>
      </c>
      <c r="V589">
        <v>0</v>
      </c>
      <c r="W589" t="s">
        <v>74</v>
      </c>
      <c r="X589">
        <v>0</v>
      </c>
      <c r="Y589">
        <v>0.39400000000000002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20</v>
      </c>
      <c r="AF589">
        <v>29</v>
      </c>
      <c r="AG589">
        <v>5</v>
      </c>
      <c r="AH589">
        <v>0</v>
      </c>
      <c r="AI589">
        <v>0.014</v>
      </c>
      <c r="AK589" t="s">
        <v>218</v>
      </c>
      <c r="AM589">
        <v>200000</v>
      </c>
      <c r="AN589" t="s">
        <v>76</v>
      </c>
      <c r="AO589">
        <v>1</v>
      </c>
      <c r="AP589">
        <v>0</v>
      </c>
      <c r="AQ589">
        <v>16666.666666666668</v>
      </c>
      <c r="AR589" t="s">
        <v>9</v>
      </c>
      <c r="AS589" t="s">
        <v>78</v>
      </c>
      <c r="AX589" t="s">
        <v>79</v>
      </c>
      <c r="AY589" t="s">
        <v>74</v>
      </c>
      <c r="AZ589">
        <v>0</v>
      </c>
      <c r="BA589" t="s">
        <v>74</v>
      </c>
      <c r="BB589">
        <v>0</v>
      </c>
      <c r="BD589">
        <v>0.39400000000000002</v>
      </c>
      <c r="BE589">
        <v>0</v>
      </c>
    </row>
    <row r="590" spans="1:58" ht="12.75">
      <c r="A590" s="2" t="str">
        <f>HYPERLINK("https://ibp.a2mac1.com/costing(costing:projects/details/8191/part/5383081)"," PCB 1")</f>
        <v xml:space="preserve"> PCB 1</v>
      </c>
      <c r="B590">
        <v>5383081</v>
      </c>
      <c r="C590">
        <v>5382858</v>
      </c>
      <c r="D590" t="s">
        <v>2121</v>
      </c>
      <c r="E590">
        <v>65.64</v>
      </c>
      <c r="F590">
        <v>0</v>
      </c>
      <c r="G590">
        <v>0</v>
      </c>
      <c r="H590">
        <v>0</v>
      </c>
      <c r="I590" t="s">
        <v>74</v>
      </c>
      <c r="J590">
        <v>0</v>
      </c>
      <c r="K590">
        <v>65.64</v>
      </c>
      <c r="L590">
        <v>0</v>
      </c>
      <c r="M590">
        <v>0</v>
      </c>
      <c r="N590">
        <v>65.64</v>
      </c>
      <c r="O590" t="s">
        <v>74</v>
      </c>
      <c r="P590">
        <v>0</v>
      </c>
      <c r="Q590" t="s">
        <v>74</v>
      </c>
      <c r="R590">
        <v>0</v>
      </c>
      <c r="S590" t="s">
        <v>74</v>
      </c>
      <c r="T590">
        <v>0</v>
      </c>
      <c r="U590" t="s">
        <v>74</v>
      </c>
      <c r="V590">
        <v>0</v>
      </c>
      <c r="W590" t="s">
        <v>74</v>
      </c>
      <c r="X590">
        <v>0</v>
      </c>
      <c r="Y590">
        <v>65.64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245</v>
      </c>
      <c r="AF590">
        <v>174</v>
      </c>
      <c r="AG590">
        <v>43</v>
      </c>
      <c r="AH590">
        <v>0</v>
      </c>
      <c r="AI590">
        <v>0.40</v>
      </c>
      <c r="AK590" t="s">
        <v>218</v>
      </c>
      <c r="AM590">
        <v>200000</v>
      </c>
      <c r="AN590" t="s">
        <v>76</v>
      </c>
      <c r="AO590">
        <v>1</v>
      </c>
      <c r="AP590">
        <v>0</v>
      </c>
      <c r="AQ590">
        <v>16666.666666666668</v>
      </c>
      <c r="AR590" t="s">
        <v>9</v>
      </c>
      <c r="AS590" t="s">
        <v>78</v>
      </c>
      <c r="AX590" t="s">
        <v>79</v>
      </c>
      <c r="AY590" t="s">
        <v>74</v>
      </c>
      <c r="AZ590">
        <v>0</v>
      </c>
      <c r="BA590" t="s">
        <v>74</v>
      </c>
      <c r="BB590">
        <v>0</v>
      </c>
      <c r="BD590">
        <v>65.64</v>
      </c>
      <c r="BE590">
        <v>0</v>
      </c>
    </row>
    <row r="591" spans="1:58" ht="12.75">
      <c r="A591" s="2" t="str">
        <f>HYPERLINK("https://ibp.a2mac1.com/costing(costing:projects/details/8191/part/5383411)"," Foam Pad 1")</f>
        <v xml:space="preserve"> Foam Pad 1</v>
      </c>
      <c r="B591">
        <v>5383411</v>
      </c>
      <c r="C591">
        <v>5383082</v>
      </c>
      <c r="D591" t="s">
        <v>2125</v>
      </c>
      <c r="E591">
        <v>2.52</v>
      </c>
      <c r="F591">
        <v>0</v>
      </c>
      <c r="G591">
        <v>0</v>
      </c>
      <c r="H591">
        <v>0</v>
      </c>
      <c r="I591" t="s">
        <v>74</v>
      </c>
      <c r="J591">
        <v>0</v>
      </c>
      <c r="K591">
        <v>2.52</v>
      </c>
      <c r="L591">
        <v>0</v>
      </c>
      <c r="M591">
        <v>0</v>
      </c>
      <c r="N591">
        <v>2.52</v>
      </c>
      <c r="O591" t="s">
        <v>74</v>
      </c>
      <c r="P591">
        <v>0</v>
      </c>
      <c r="Q591" t="s">
        <v>74</v>
      </c>
      <c r="R591">
        <v>0</v>
      </c>
      <c r="S591" t="s">
        <v>74</v>
      </c>
      <c r="T591">
        <v>0</v>
      </c>
      <c r="U591" t="s">
        <v>74</v>
      </c>
      <c r="V591">
        <v>0</v>
      </c>
      <c r="W591" t="s">
        <v>74</v>
      </c>
      <c r="X591">
        <v>0</v>
      </c>
      <c r="Y591">
        <v>2.52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32</v>
      </c>
      <c r="AF591">
        <v>15</v>
      </c>
      <c r="AG591">
        <v>5</v>
      </c>
      <c r="AH591">
        <v>0</v>
      </c>
      <c r="AI591">
        <v>0.00071000000000000002</v>
      </c>
      <c r="AK591" t="s">
        <v>218</v>
      </c>
      <c r="AM591">
        <v>1400000</v>
      </c>
      <c r="AN591" t="s">
        <v>76</v>
      </c>
      <c r="AO591">
        <v>7</v>
      </c>
      <c r="AP591">
        <v>0</v>
      </c>
      <c r="AQ591">
        <v>116666.66666666667</v>
      </c>
      <c r="AR591" t="s">
        <v>9</v>
      </c>
      <c r="AS591" t="s">
        <v>78</v>
      </c>
      <c r="AX591" t="s">
        <v>79</v>
      </c>
      <c r="AY591" t="s">
        <v>74</v>
      </c>
      <c r="AZ591">
        <v>0</v>
      </c>
      <c r="BA591" t="s">
        <v>74</v>
      </c>
      <c r="BB591">
        <v>0</v>
      </c>
      <c r="BD591">
        <v>0.36</v>
      </c>
      <c r="BE591">
        <v>0</v>
      </c>
    </row>
    <row r="592" spans="1:58" ht="12.75">
      <c r="A592" s="2" t="str">
        <f>HYPERLINK("https://ibp.a2mac1.com/costing(costing:projects/details/8191/part/5383412)"," Foam Pad 2")</f>
        <v xml:space="preserve"> Foam Pad 2</v>
      </c>
      <c r="B592">
        <v>5383412</v>
      </c>
      <c r="C592">
        <v>5383082</v>
      </c>
      <c r="D592" t="s">
        <v>2126</v>
      </c>
      <c r="E592">
        <v>1.6559999999999999</v>
      </c>
      <c r="F592">
        <v>0</v>
      </c>
      <c r="G592">
        <v>0</v>
      </c>
      <c r="H592">
        <v>0</v>
      </c>
      <c r="I592" t="s">
        <v>74</v>
      </c>
      <c r="J592">
        <v>0</v>
      </c>
      <c r="K592">
        <v>1.6559999999999999</v>
      </c>
      <c r="L592">
        <v>0</v>
      </c>
      <c r="M592">
        <v>0</v>
      </c>
      <c r="N592">
        <v>1.6559999999999999</v>
      </c>
      <c r="O592" t="s">
        <v>74</v>
      </c>
      <c r="P592">
        <v>0</v>
      </c>
      <c r="Q592" t="s">
        <v>74</v>
      </c>
      <c r="R592">
        <v>0</v>
      </c>
      <c r="S592" t="s">
        <v>74</v>
      </c>
      <c r="T592">
        <v>0</v>
      </c>
      <c r="U592" t="s">
        <v>74</v>
      </c>
      <c r="V592">
        <v>0</v>
      </c>
      <c r="W592" t="s">
        <v>74</v>
      </c>
      <c r="X592">
        <v>0</v>
      </c>
      <c r="Y592">
        <v>1.6559999999999999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19</v>
      </c>
      <c r="AF592">
        <v>12</v>
      </c>
      <c r="AG592">
        <v>5</v>
      </c>
      <c r="AH592">
        <v>0</v>
      </c>
      <c r="AI592">
        <v>0.00050000000000000001</v>
      </c>
      <c r="AK592" t="s">
        <v>218</v>
      </c>
      <c r="AM592">
        <v>1200000</v>
      </c>
      <c r="AN592" t="s">
        <v>76</v>
      </c>
      <c r="AO592">
        <v>6</v>
      </c>
      <c r="AP592">
        <v>0</v>
      </c>
      <c r="AQ592">
        <v>100000</v>
      </c>
      <c r="AR592" t="s">
        <v>9</v>
      </c>
      <c r="AS592" t="s">
        <v>78</v>
      </c>
      <c r="AX592" t="s">
        <v>79</v>
      </c>
      <c r="AY592" t="s">
        <v>74</v>
      </c>
      <c r="AZ592">
        <v>0</v>
      </c>
      <c r="BA592" t="s">
        <v>74</v>
      </c>
      <c r="BB592">
        <v>0</v>
      </c>
      <c r="BD592">
        <v>0.27600000000000002</v>
      </c>
      <c r="BE592">
        <v>0</v>
      </c>
    </row>
    <row r="593" spans="1:58" ht="12.75">
      <c r="A593" s="2" t="str">
        <f>HYPERLINK("https://ibp.a2mac1.com/costing(costing:projects/details/8191/part/5383413)","Thermal Paste - Cooling Tube")</f>
        <v>Thermal Paste - Cooling Tube</v>
      </c>
      <c r="B593">
        <v>5383413</v>
      </c>
      <c r="C593">
        <v>5383082</v>
      </c>
      <c r="D593" t="s">
        <v>2127</v>
      </c>
      <c r="E593">
        <v>1.56</v>
      </c>
      <c r="F593">
        <v>0</v>
      </c>
      <c r="G593">
        <v>0</v>
      </c>
      <c r="H593">
        <v>0</v>
      </c>
      <c r="I593" t="s">
        <v>74</v>
      </c>
      <c r="J593">
        <v>0</v>
      </c>
      <c r="K593">
        <v>1.56</v>
      </c>
      <c r="L593">
        <v>0</v>
      </c>
      <c r="M593">
        <v>0</v>
      </c>
      <c r="N593">
        <v>1.56</v>
      </c>
      <c r="O593" t="s">
        <v>74</v>
      </c>
      <c r="P593">
        <v>0</v>
      </c>
      <c r="Q593" t="s">
        <v>74</v>
      </c>
      <c r="R593">
        <v>0</v>
      </c>
      <c r="S593" t="s">
        <v>74</v>
      </c>
      <c r="T593">
        <v>0</v>
      </c>
      <c r="U593" t="s">
        <v>74</v>
      </c>
      <c r="V593">
        <v>0</v>
      </c>
      <c r="W593" t="s">
        <v>74</v>
      </c>
      <c r="X593">
        <v>0</v>
      </c>
      <c r="Y593">
        <v>1.56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0.025999999999999999</v>
      </c>
      <c r="AK593" t="s">
        <v>218</v>
      </c>
      <c r="AM593">
        <v>200000</v>
      </c>
      <c r="AN593" t="s">
        <v>76</v>
      </c>
      <c r="AO593">
        <v>1</v>
      </c>
      <c r="AP593">
        <v>0</v>
      </c>
      <c r="AQ593">
        <v>16666.666666666668</v>
      </c>
      <c r="AR593" t="s">
        <v>9</v>
      </c>
      <c r="AS593" t="s">
        <v>78</v>
      </c>
      <c r="AX593" t="s">
        <v>79</v>
      </c>
      <c r="AY593" t="s">
        <v>74</v>
      </c>
      <c r="AZ593">
        <v>0</v>
      </c>
      <c r="BA593" t="s">
        <v>74</v>
      </c>
      <c r="BB593">
        <v>0</v>
      </c>
      <c r="BD593">
        <v>1.56</v>
      </c>
      <c r="BE593">
        <v>0</v>
      </c>
    </row>
    <row r="594" spans="1:58" ht="12.75">
      <c r="A594" s="2" t="str">
        <f>HYPERLINK("https://ibp.a2mac1.com/costing(costing:projects/details/8191/part/5383414)","Thermal Paste - Hosuing")</f>
        <v>Thermal Paste - Hosuing</v>
      </c>
      <c r="B594">
        <v>5383414</v>
      </c>
      <c r="C594">
        <v>5383082</v>
      </c>
      <c r="D594" t="s">
        <v>2128</v>
      </c>
      <c r="E594">
        <v>1.32</v>
      </c>
      <c r="F594">
        <v>0</v>
      </c>
      <c r="G594">
        <v>0</v>
      </c>
      <c r="H594">
        <v>0</v>
      </c>
      <c r="I594" t="s">
        <v>74</v>
      </c>
      <c r="J594">
        <v>0</v>
      </c>
      <c r="K594">
        <v>1.32</v>
      </c>
      <c r="L594">
        <v>0</v>
      </c>
      <c r="M594">
        <v>0</v>
      </c>
      <c r="N594">
        <v>1.32</v>
      </c>
      <c r="O594" t="s">
        <v>74</v>
      </c>
      <c r="P594">
        <v>0</v>
      </c>
      <c r="Q594" t="s">
        <v>74</v>
      </c>
      <c r="R594">
        <v>0</v>
      </c>
      <c r="S594" t="s">
        <v>74</v>
      </c>
      <c r="T594">
        <v>0</v>
      </c>
      <c r="U594" t="s">
        <v>74</v>
      </c>
      <c r="V594">
        <v>0</v>
      </c>
      <c r="W594" t="s">
        <v>74</v>
      </c>
      <c r="X594">
        <v>0</v>
      </c>
      <c r="Y594">
        <v>1.32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0.021999999999999999</v>
      </c>
      <c r="AK594" t="s">
        <v>218</v>
      </c>
      <c r="AM594">
        <v>200000</v>
      </c>
      <c r="AN594" t="s">
        <v>76</v>
      </c>
      <c r="AO594">
        <v>1</v>
      </c>
      <c r="AP594">
        <v>0</v>
      </c>
      <c r="AQ594">
        <v>16666.666666666668</v>
      </c>
      <c r="AR594" t="s">
        <v>9</v>
      </c>
      <c r="AS594" t="s">
        <v>78</v>
      </c>
      <c r="AX594" t="s">
        <v>79</v>
      </c>
      <c r="AY594" t="s">
        <v>74</v>
      </c>
      <c r="AZ594">
        <v>0</v>
      </c>
      <c r="BA594" t="s">
        <v>74</v>
      </c>
      <c r="BB594">
        <v>0</v>
      </c>
      <c r="BD594">
        <v>1.32</v>
      </c>
      <c r="BE594">
        <v>0</v>
      </c>
    </row>
    <row r="595" spans="1:58" ht="12.75">
      <c r="A595" s="2" t="str">
        <f>HYPERLINK("https://ibp.a2mac1.com/costing(costing:projects/details/8191/part/5383415)","Dispense Sealing")</f>
        <v>Dispense Sealing</v>
      </c>
      <c r="B595">
        <v>5383415</v>
      </c>
      <c r="C595">
        <v>5383082</v>
      </c>
      <c r="D595" t="s">
        <v>2129</v>
      </c>
      <c r="E595">
        <v>0.17699999999999999</v>
      </c>
      <c r="F595">
        <v>0</v>
      </c>
      <c r="G595">
        <v>0</v>
      </c>
      <c r="H595">
        <v>0</v>
      </c>
      <c r="I595" t="s">
        <v>74</v>
      </c>
      <c r="J595">
        <v>0</v>
      </c>
      <c r="K595">
        <v>0.17699999999999999</v>
      </c>
      <c r="L595">
        <v>0</v>
      </c>
      <c r="M595">
        <v>0</v>
      </c>
      <c r="N595">
        <v>0.17699999999999999</v>
      </c>
      <c r="O595" t="s">
        <v>74</v>
      </c>
      <c r="P595">
        <v>0</v>
      </c>
      <c r="Q595" t="s">
        <v>74</v>
      </c>
      <c r="R595">
        <v>0</v>
      </c>
      <c r="S595" t="s">
        <v>74</v>
      </c>
      <c r="T595">
        <v>0</v>
      </c>
      <c r="U595" t="s">
        <v>74</v>
      </c>
      <c r="V595">
        <v>0</v>
      </c>
      <c r="W595" t="s">
        <v>74</v>
      </c>
      <c r="X595">
        <v>0</v>
      </c>
      <c r="Y595">
        <v>0.17699999999999999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0.017000000000000001</v>
      </c>
      <c r="AK595" t="s">
        <v>218</v>
      </c>
      <c r="AM595">
        <v>200000</v>
      </c>
      <c r="AN595" t="s">
        <v>76</v>
      </c>
      <c r="AO595">
        <v>1</v>
      </c>
      <c r="AP595">
        <v>0</v>
      </c>
      <c r="AQ595">
        <v>16666.666666666668</v>
      </c>
      <c r="AR595" t="s">
        <v>9</v>
      </c>
      <c r="AS595" t="s">
        <v>78</v>
      </c>
      <c r="AX595" t="s">
        <v>79</v>
      </c>
      <c r="AY595" t="s">
        <v>74</v>
      </c>
      <c r="AZ595">
        <v>0</v>
      </c>
      <c r="BA595" t="s">
        <v>74</v>
      </c>
      <c r="BB595">
        <v>0</v>
      </c>
      <c r="BD595">
        <v>0.17699999999999999</v>
      </c>
      <c r="BE595">
        <v>0</v>
      </c>
    </row>
    <row r="596" spans="1:58" ht="12.75">
      <c r="A596" s="2" t="str">
        <f>HYPERLINK("https://ibp.a2mac1.com/costing(costing:projects/details/8191/part/5383416)"," Fuse Cover 1")</f>
        <v xml:space="preserve"> Fuse Cover 1</v>
      </c>
      <c r="B596">
        <v>5383416</v>
      </c>
      <c r="C596">
        <v>5383083</v>
      </c>
      <c r="D596" t="s">
        <v>2132</v>
      </c>
      <c r="E596">
        <v>0.058000000000000003</v>
      </c>
      <c r="F596">
        <v>0</v>
      </c>
      <c r="G596">
        <v>0</v>
      </c>
      <c r="H596">
        <v>0</v>
      </c>
      <c r="I596" t="s">
        <v>74</v>
      </c>
      <c r="J596">
        <v>0</v>
      </c>
      <c r="K596">
        <v>0.058000000000000003</v>
      </c>
      <c r="L596">
        <v>0</v>
      </c>
      <c r="M596">
        <v>0</v>
      </c>
      <c r="N596">
        <v>0.058000000000000003</v>
      </c>
      <c r="O596" t="s">
        <v>74</v>
      </c>
      <c r="P596">
        <v>0</v>
      </c>
      <c r="Q596" t="s">
        <v>74</v>
      </c>
      <c r="R596">
        <v>0</v>
      </c>
      <c r="S596" t="s">
        <v>74</v>
      </c>
      <c r="T596">
        <v>0</v>
      </c>
      <c r="U596" t="s">
        <v>74</v>
      </c>
      <c r="V596">
        <v>0</v>
      </c>
      <c r="W596" t="s">
        <v>74</v>
      </c>
      <c r="X596">
        <v>0</v>
      </c>
      <c r="Y596">
        <v>0.058000000000000003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59</v>
      </c>
      <c r="AF596">
        <v>17</v>
      </c>
      <c r="AG596">
        <v>16</v>
      </c>
      <c r="AH596">
        <v>0</v>
      </c>
      <c r="AI596">
        <v>0.0030000000000000001</v>
      </c>
      <c r="AK596" t="s">
        <v>218</v>
      </c>
      <c r="AM596">
        <v>200000</v>
      </c>
      <c r="AN596" t="s">
        <v>76</v>
      </c>
      <c r="AO596">
        <v>1</v>
      </c>
      <c r="AP596">
        <v>0</v>
      </c>
      <c r="AQ596">
        <v>16666.666666666668</v>
      </c>
      <c r="AR596" t="s">
        <v>9</v>
      </c>
      <c r="AS596" t="s">
        <v>78</v>
      </c>
      <c r="AX596" t="s">
        <v>79</v>
      </c>
      <c r="AY596" t="s">
        <v>74</v>
      </c>
      <c r="AZ596">
        <v>0</v>
      </c>
      <c r="BA596" t="s">
        <v>74</v>
      </c>
      <c r="BB596">
        <v>0</v>
      </c>
      <c r="BD596">
        <v>0.058000000000000003</v>
      </c>
      <c r="BE596">
        <v>0</v>
      </c>
    </row>
    <row r="597" spans="1:58" ht="12.75">
      <c r="A597" s="2" t="str">
        <f>HYPERLINK("https://ibp.a2mac1.com/costing(costing:projects/details/8191/part/5383417)"," Ferrite Cover 1")</f>
        <v xml:space="preserve"> Ferrite Cover 1</v>
      </c>
      <c r="B597">
        <v>5383417</v>
      </c>
      <c r="C597">
        <v>5383083</v>
      </c>
      <c r="D597" t="s">
        <v>2133</v>
      </c>
      <c r="E597">
        <v>0.033000000000000002</v>
      </c>
      <c r="F597">
        <v>0</v>
      </c>
      <c r="G597">
        <v>0</v>
      </c>
      <c r="H597">
        <v>0</v>
      </c>
      <c r="I597" t="s">
        <v>74</v>
      </c>
      <c r="J597">
        <v>0</v>
      </c>
      <c r="K597">
        <v>0.033000000000000002</v>
      </c>
      <c r="L597">
        <v>0</v>
      </c>
      <c r="M597">
        <v>0</v>
      </c>
      <c r="N597">
        <v>0.033000000000000002</v>
      </c>
      <c r="O597" t="s">
        <v>74</v>
      </c>
      <c r="P597">
        <v>0</v>
      </c>
      <c r="Q597" t="s">
        <v>74</v>
      </c>
      <c r="R597">
        <v>0</v>
      </c>
      <c r="S597" t="s">
        <v>74</v>
      </c>
      <c r="T597">
        <v>0</v>
      </c>
      <c r="U597" t="s">
        <v>74</v>
      </c>
      <c r="V597">
        <v>0</v>
      </c>
      <c r="W597" t="s">
        <v>74</v>
      </c>
      <c r="X597">
        <v>0</v>
      </c>
      <c r="Y597">
        <v>0.033000000000000002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35</v>
      </c>
      <c r="AF597">
        <v>35</v>
      </c>
      <c r="AG597">
        <v>5</v>
      </c>
      <c r="AH597">
        <v>0</v>
      </c>
      <c r="AI597">
        <v>0.001</v>
      </c>
      <c r="AK597" t="s">
        <v>218</v>
      </c>
      <c r="AM597">
        <v>200000</v>
      </c>
      <c r="AN597" t="s">
        <v>76</v>
      </c>
      <c r="AO597">
        <v>1</v>
      </c>
      <c r="AP597">
        <v>0</v>
      </c>
      <c r="AQ597">
        <v>16666.666666666668</v>
      </c>
      <c r="AR597" t="s">
        <v>9</v>
      </c>
      <c r="AS597" t="s">
        <v>78</v>
      </c>
      <c r="AX597" t="s">
        <v>79</v>
      </c>
      <c r="AY597" t="s">
        <v>74</v>
      </c>
      <c r="AZ597">
        <v>0</v>
      </c>
      <c r="BA597" t="s">
        <v>74</v>
      </c>
      <c r="BB597">
        <v>0</v>
      </c>
      <c r="BD597">
        <v>0.033000000000000002</v>
      </c>
      <c r="BE597">
        <v>0</v>
      </c>
    </row>
    <row r="598" spans="1:58" ht="12.75">
      <c r="A598" s="2" t="str">
        <f>HYPERLINK("https://ibp.a2mac1.com/costing(costing:projects/details/8191/part/5383418)"," Main Housing")</f>
        <v xml:space="preserve"> Main Housing</v>
      </c>
      <c r="B598">
        <v>5383418</v>
      </c>
      <c r="C598">
        <v>5383084</v>
      </c>
      <c r="D598" t="s">
        <v>2140</v>
      </c>
      <c r="E598">
        <v>4.1726553808629445</v>
      </c>
      <c r="F598">
        <v>0</v>
      </c>
      <c r="G598">
        <v>0</v>
      </c>
      <c r="H598">
        <v>0.021273185115532996</v>
      </c>
      <c r="I598" t="s">
        <v>137</v>
      </c>
      <c r="J598">
        <v>0.14714653736040609</v>
      </c>
      <c r="K598">
        <v>4.3410751033388832</v>
      </c>
      <c r="L598">
        <v>1.9179817874559575</v>
      </c>
      <c r="M598">
        <v>11.507890724735745</v>
      </c>
      <c r="N598">
        <v>15.848965828074629</v>
      </c>
      <c r="O598" t="s">
        <v>138</v>
      </c>
      <c r="P598">
        <v>0.26046450620033301</v>
      </c>
      <c r="Q598" t="s">
        <v>138</v>
      </c>
      <c r="R598">
        <v>0.69047344348414474</v>
      </c>
      <c r="S598" t="s">
        <v>139</v>
      </c>
      <c r="T598">
        <v>1.9018758993689555</v>
      </c>
      <c r="U598" t="s">
        <v>216</v>
      </c>
      <c r="V598">
        <v>0.079244829140373146</v>
      </c>
      <c r="W598" t="s">
        <v>217</v>
      </c>
      <c r="X598">
        <v>0.31697931656149259</v>
      </c>
      <c r="Y598">
        <v>19.098003822829927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316</v>
      </c>
      <c r="AF598">
        <v>252</v>
      </c>
      <c r="AG598">
        <v>43</v>
      </c>
      <c r="AH598">
        <v>0</v>
      </c>
      <c r="AI598">
        <v>1.6890000000000001</v>
      </c>
      <c r="AK598" t="s">
        <v>218</v>
      </c>
      <c r="AM598">
        <v>200000</v>
      </c>
      <c r="AN598" t="s">
        <v>76</v>
      </c>
      <c r="AO598">
        <v>1</v>
      </c>
      <c r="AP598">
        <v>0</v>
      </c>
      <c r="AQ598">
        <v>16666.666666666668</v>
      </c>
      <c r="AR598" t="s">
        <v>9</v>
      </c>
      <c r="AS598" t="s">
        <v>78</v>
      </c>
      <c r="AX598" t="s">
        <v>79</v>
      </c>
      <c r="AY598" t="s">
        <v>137</v>
      </c>
      <c r="AZ598">
        <v>0</v>
      </c>
      <c r="BA598" t="s">
        <v>137</v>
      </c>
      <c r="BB598">
        <v>0</v>
      </c>
      <c r="BE598">
        <v>0</v>
      </c>
    </row>
    <row r="599" spans="1:58" ht="12.75">
      <c r="A599" s="2" t="str">
        <f>HYPERLINK("https://ibp.a2mac1.com/costing(costing:projects/details/8191/part/5383419)"," Top Lid")</f>
        <v xml:space="preserve"> Top Lid</v>
      </c>
      <c r="B599">
        <v>5383419</v>
      </c>
      <c r="C599">
        <v>5383084</v>
      </c>
      <c r="D599" t="s">
        <v>2145</v>
      </c>
      <c r="E599">
        <v>1.0722884832538568</v>
      </c>
      <c r="F599">
        <v>0</v>
      </c>
      <c r="G599">
        <v>0</v>
      </c>
      <c r="H599">
        <v>0.0059369512258064519</v>
      </c>
      <c r="I599" t="s">
        <v>137</v>
      </c>
      <c r="J599">
        <v>0.041065868162692844</v>
      </c>
      <c r="K599">
        <v>1.1192913026423563</v>
      </c>
      <c r="L599">
        <v>0.037929543313487621</v>
      </c>
      <c r="M599">
        <v>0.22757725988092573</v>
      </c>
      <c r="N599">
        <v>1.3468685625232819</v>
      </c>
      <c r="O599" t="s">
        <v>138</v>
      </c>
      <c r="P599">
        <v>0.067157478158541381</v>
      </c>
      <c r="Q599" t="s">
        <v>138</v>
      </c>
      <c r="R599">
        <v>0.013654635592855544</v>
      </c>
      <c r="S599" t="s">
        <v>139</v>
      </c>
      <c r="T599">
        <v>0.16162422750279384</v>
      </c>
      <c r="U599" t="s">
        <v>216</v>
      </c>
      <c r="V599">
        <v>0.0067343428126164099</v>
      </c>
      <c r="W599" t="s">
        <v>217</v>
      </c>
      <c r="X599">
        <v>0.026937371250465639</v>
      </c>
      <c r="Y599">
        <v>1.6229766178405547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280</v>
      </c>
      <c r="AF599">
        <v>200</v>
      </c>
      <c r="AG599">
        <v>16</v>
      </c>
      <c r="AH599">
        <v>0</v>
      </c>
      <c r="AI599">
        <v>0.24</v>
      </c>
      <c r="AK599" t="s">
        <v>218</v>
      </c>
      <c r="AM599">
        <v>200000</v>
      </c>
      <c r="AN599" t="s">
        <v>76</v>
      </c>
      <c r="AO599">
        <v>1</v>
      </c>
      <c r="AP599">
        <v>0</v>
      </c>
      <c r="AQ599">
        <v>16666.666666666668</v>
      </c>
      <c r="AR599" t="s">
        <v>9</v>
      </c>
      <c r="AS599" t="s">
        <v>78</v>
      </c>
      <c r="AX599" t="s">
        <v>79</v>
      </c>
      <c r="AY599" t="s">
        <v>137</v>
      </c>
      <c r="AZ599">
        <v>0</v>
      </c>
      <c r="BA599" t="s">
        <v>137</v>
      </c>
      <c r="BB599">
        <v>0</v>
      </c>
      <c r="BE599">
        <v>0</v>
      </c>
    </row>
    <row r="600" spans="1:58" ht="12.75">
      <c r="A600" s="2" t="str">
        <f>HYPERLINK("https://ibp.a2mac1.com/costing(costing:projects/details/8191/part/5383420)"," Cooling Channel")</f>
        <v xml:space="preserve"> Cooling Channel</v>
      </c>
      <c r="B600">
        <v>5383420</v>
      </c>
      <c r="C600">
        <v>5383084</v>
      </c>
      <c r="D600" t="s">
        <v>2146</v>
      </c>
      <c r="E600">
        <v>1.0740000000000001</v>
      </c>
      <c r="F600">
        <v>0</v>
      </c>
      <c r="G600">
        <v>0</v>
      </c>
      <c r="H600">
        <v>0</v>
      </c>
      <c r="I600" t="s">
        <v>74</v>
      </c>
      <c r="J600">
        <v>0</v>
      </c>
      <c r="K600">
        <v>1.0740000000000001</v>
      </c>
      <c r="L600">
        <v>0</v>
      </c>
      <c r="M600">
        <v>0</v>
      </c>
      <c r="N600">
        <v>1.0740000000000001</v>
      </c>
      <c r="O600" t="s">
        <v>74</v>
      </c>
      <c r="P600">
        <v>0</v>
      </c>
      <c r="Q600" t="s">
        <v>74</v>
      </c>
      <c r="R600">
        <v>0</v>
      </c>
      <c r="S600" t="s">
        <v>74</v>
      </c>
      <c r="T600">
        <v>0</v>
      </c>
      <c r="U600" t="s">
        <v>74</v>
      </c>
      <c r="V600">
        <v>0</v>
      </c>
      <c r="W600" t="s">
        <v>74</v>
      </c>
      <c r="X600">
        <v>0</v>
      </c>
      <c r="Y600">
        <v>1.0740000000000001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238</v>
      </c>
      <c r="AF600">
        <v>164</v>
      </c>
      <c r="AG600">
        <v>18</v>
      </c>
      <c r="AH600">
        <v>768</v>
      </c>
      <c r="AI600">
        <v>0.094</v>
      </c>
      <c r="AK600" t="s">
        <v>218</v>
      </c>
      <c r="AM600">
        <v>200000</v>
      </c>
      <c r="AN600" t="s">
        <v>76</v>
      </c>
      <c r="AO600">
        <v>1</v>
      </c>
      <c r="AP600">
        <v>0</v>
      </c>
      <c r="AQ600">
        <v>16666.666666666668</v>
      </c>
      <c r="AR600" t="s">
        <v>9</v>
      </c>
      <c r="AS600" t="s">
        <v>78</v>
      </c>
      <c r="AX600" t="s">
        <v>79</v>
      </c>
      <c r="AY600" t="s">
        <v>74</v>
      </c>
      <c r="AZ600">
        <v>0</v>
      </c>
      <c r="BA600" t="s">
        <v>74</v>
      </c>
      <c r="BB600">
        <v>0</v>
      </c>
      <c r="BD600">
        <v>1.0740000000000001</v>
      </c>
      <c r="BE600">
        <v>0</v>
      </c>
    </row>
    <row r="601" spans="1:58" ht="12.75">
      <c r="A601" s="2" t="str">
        <f>HYPERLINK("https://ibp.a2mac1.com/costing(costing:projects/details/8191/part/5383725)"," HV Connector 1")</f>
        <v xml:space="preserve"> HV Connector 1</v>
      </c>
      <c r="B601">
        <v>5383725</v>
      </c>
      <c r="C601">
        <v>5383422</v>
      </c>
      <c r="D601" t="s">
        <v>2156</v>
      </c>
      <c r="E601">
        <v>6.4029999999999996</v>
      </c>
      <c r="F601">
        <v>0</v>
      </c>
      <c r="G601">
        <v>0</v>
      </c>
      <c r="H601">
        <v>0</v>
      </c>
      <c r="I601" t="s">
        <v>74</v>
      </c>
      <c r="J601">
        <v>0</v>
      </c>
      <c r="K601">
        <v>6.4029999999999996</v>
      </c>
      <c r="L601">
        <v>0</v>
      </c>
      <c r="M601">
        <v>0</v>
      </c>
      <c r="N601">
        <v>6.4029999999999996</v>
      </c>
      <c r="O601" t="s">
        <v>74</v>
      </c>
      <c r="P601">
        <v>0</v>
      </c>
      <c r="Q601" t="s">
        <v>74</v>
      </c>
      <c r="R601">
        <v>0</v>
      </c>
      <c r="S601" t="s">
        <v>74</v>
      </c>
      <c r="T601">
        <v>0</v>
      </c>
      <c r="U601" t="s">
        <v>74</v>
      </c>
      <c r="V601">
        <v>0</v>
      </c>
      <c r="W601" t="s">
        <v>74</v>
      </c>
      <c r="X601">
        <v>0</v>
      </c>
      <c r="Y601">
        <v>6.4029999999999996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62</v>
      </c>
      <c r="AF601">
        <v>62</v>
      </c>
      <c r="AG601">
        <v>66</v>
      </c>
      <c r="AH601">
        <v>0</v>
      </c>
      <c r="AI601">
        <v>0.056000000000000001</v>
      </c>
      <c r="AK601" t="s">
        <v>218</v>
      </c>
      <c r="AM601">
        <v>200000</v>
      </c>
      <c r="AN601" t="s">
        <v>92</v>
      </c>
      <c r="AO601">
        <v>1</v>
      </c>
      <c r="AP601">
        <v>0</v>
      </c>
      <c r="AQ601">
        <v>16666.666666666668</v>
      </c>
      <c r="AR601" t="s">
        <v>9</v>
      </c>
      <c r="AS601" t="s">
        <v>78</v>
      </c>
      <c r="AX601" t="s">
        <v>79</v>
      </c>
      <c r="AY601" t="s">
        <v>74</v>
      </c>
      <c r="AZ601">
        <v>0</v>
      </c>
      <c r="BA601" t="s">
        <v>74</v>
      </c>
      <c r="BB601">
        <v>0</v>
      </c>
      <c r="BD601">
        <v>6.4029999999999996</v>
      </c>
      <c r="BE601">
        <v>0</v>
      </c>
    </row>
    <row r="602" spans="1:58" ht="12.75">
      <c r="A602" s="2" t="str">
        <f>HYPERLINK("https://ibp.a2mac1.com/costing(costing:projects/details/8191/part/5383726)"," HV Connector 2")</f>
        <v xml:space="preserve"> HV Connector 2</v>
      </c>
      <c r="B602">
        <v>5383726</v>
      </c>
      <c r="C602">
        <v>5383422</v>
      </c>
      <c r="D602" t="s">
        <v>2157</v>
      </c>
      <c r="E602">
        <v>2.27</v>
      </c>
      <c r="F602">
        <v>0</v>
      </c>
      <c r="G602">
        <v>0</v>
      </c>
      <c r="H602">
        <v>0</v>
      </c>
      <c r="I602" t="s">
        <v>74</v>
      </c>
      <c r="J602">
        <v>0</v>
      </c>
      <c r="K602">
        <v>2.27</v>
      </c>
      <c r="L602">
        <v>0</v>
      </c>
      <c r="M602">
        <v>0</v>
      </c>
      <c r="N602">
        <v>2.27</v>
      </c>
      <c r="O602" t="s">
        <v>74</v>
      </c>
      <c r="P602">
        <v>0</v>
      </c>
      <c r="Q602" t="s">
        <v>74</v>
      </c>
      <c r="R602">
        <v>0</v>
      </c>
      <c r="S602" t="s">
        <v>74</v>
      </c>
      <c r="T602">
        <v>0</v>
      </c>
      <c r="U602" t="s">
        <v>74</v>
      </c>
      <c r="V602">
        <v>0</v>
      </c>
      <c r="W602" t="s">
        <v>74</v>
      </c>
      <c r="X602">
        <v>0</v>
      </c>
      <c r="Y602">
        <v>2.27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48</v>
      </c>
      <c r="AF602">
        <v>42</v>
      </c>
      <c r="AG602">
        <v>58</v>
      </c>
      <c r="AH602">
        <v>0</v>
      </c>
      <c r="AI602">
        <v>0.029000000000000001</v>
      </c>
      <c r="AK602" t="s">
        <v>218</v>
      </c>
      <c r="AM602">
        <v>200000</v>
      </c>
      <c r="AN602" t="s">
        <v>92</v>
      </c>
      <c r="AO602">
        <v>1</v>
      </c>
      <c r="AP602">
        <v>0</v>
      </c>
      <c r="AQ602">
        <v>16666.666666666668</v>
      </c>
      <c r="AR602" t="s">
        <v>9</v>
      </c>
      <c r="AS602" t="s">
        <v>78</v>
      </c>
      <c r="AX602" t="s">
        <v>79</v>
      </c>
      <c r="AY602" t="s">
        <v>74</v>
      </c>
      <c r="AZ602">
        <v>0</v>
      </c>
      <c r="BA602" t="s">
        <v>74</v>
      </c>
      <c r="BB602">
        <v>0</v>
      </c>
      <c r="BD602">
        <v>2.27</v>
      </c>
      <c r="BE602">
        <v>0</v>
      </c>
    </row>
    <row r="603" spans="1:58" ht="12.75">
      <c r="A603" s="2" t="str">
        <f>HYPERLINK("https://ibp.a2mac1.com/costing(costing:projects/details/8191/part/5383421)"," Board to Board Connectors")</f>
        <v xml:space="preserve"> Board to Board Connectors</v>
      </c>
      <c r="B603">
        <v>5383421</v>
      </c>
      <c r="C603">
        <v>5383085</v>
      </c>
      <c r="D603" t="s">
        <v>2159</v>
      </c>
      <c r="E603">
        <v>0.437</v>
      </c>
      <c r="F603">
        <v>0</v>
      </c>
      <c r="G603">
        <v>0</v>
      </c>
      <c r="H603">
        <v>0</v>
      </c>
      <c r="I603" t="s">
        <v>74</v>
      </c>
      <c r="J603">
        <v>0</v>
      </c>
      <c r="K603">
        <v>0.437</v>
      </c>
      <c r="L603">
        <v>0</v>
      </c>
      <c r="M603">
        <v>0</v>
      </c>
      <c r="N603">
        <v>0.437</v>
      </c>
      <c r="O603" t="s">
        <v>74</v>
      </c>
      <c r="P603">
        <v>0</v>
      </c>
      <c r="Q603" t="s">
        <v>74</v>
      </c>
      <c r="R603">
        <v>0</v>
      </c>
      <c r="S603" t="s">
        <v>74</v>
      </c>
      <c r="T603">
        <v>0</v>
      </c>
      <c r="U603" t="s">
        <v>74</v>
      </c>
      <c r="V603">
        <v>0</v>
      </c>
      <c r="W603" t="s">
        <v>74</v>
      </c>
      <c r="X603">
        <v>0</v>
      </c>
      <c r="Y603">
        <v>0.437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28</v>
      </c>
      <c r="AF603">
        <v>45</v>
      </c>
      <c r="AG603">
        <v>8</v>
      </c>
      <c r="AH603">
        <v>0</v>
      </c>
      <c r="AI603">
        <v>0.0040000000000000001</v>
      </c>
      <c r="AK603" t="s">
        <v>218</v>
      </c>
      <c r="AM603">
        <v>200000</v>
      </c>
      <c r="AN603" t="s">
        <v>92</v>
      </c>
      <c r="AO603">
        <v>1</v>
      </c>
      <c r="AP603">
        <v>0</v>
      </c>
      <c r="AQ603">
        <v>16666.666666666668</v>
      </c>
      <c r="AR603" t="s">
        <v>9</v>
      </c>
      <c r="AS603" t="s">
        <v>78</v>
      </c>
      <c r="AX603" t="s">
        <v>79</v>
      </c>
      <c r="AY603" t="s">
        <v>74</v>
      </c>
      <c r="AZ603">
        <v>0</v>
      </c>
      <c r="BA603" t="s">
        <v>74</v>
      </c>
      <c r="BB603">
        <v>0</v>
      </c>
      <c r="BD603">
        <v>0.437</v>
      </c>
      <c r="BE603">
        <v>0</v>
      </c>
    </row>
    <row r="604" spans="1:58" ht="12.75">
      <c r="A604" s="2" t="str">
        <f>HYPERLINK("https://ibp.a2mac1.com/costing(costing:projects/details/8191/part/5383423)","PFC Choke")</f>
        <v>PFC Choke</v>
      </c>
      <c r="B604">
        <v>5383423</v>
      </c>
      <c r="C604">
        <v>5383086</v>
      </c>
      <c r="D604" t="s">
        <v>2164</v>
      </c>
      <c r="E604">
        <v>14.825</v>
      </c>
      <c r="F604">
        <v>0</v>
      </c>
      <c r="G604">
        <v>0</v>
      </c>
      <c r="H604">
        <v>0</v>
      </c>
      <c r="I604" t="s">
        <v>74</v>
      </c>
      <c r="J604">
        <v>0</v>
      </c>
      <c r="K604">
        <v>14.825</v>
      </c>
      <c r="L604">
        <v>0</v>
      </c>
      <c r="M604">
        <v>0</v>
      </c>
      <c r="N604">
        <v>14.825</v>
      </c>
      <c r="O604" t="s">
        <v>74</v>
      </c>
      <c r="P604">
        <v>0</v>
      </c>
      <c r="Q604" t="s">
        <v>74</v>
      </c>
      <c r="R604">
        <v>0</v>
      </c>
      <c r="S604" t="s">
        <v>74</v>
      </c>
      <c r="T604">
        <v>0</v>
      </c>
      <c r="U604" t="s">
        <v>74</v>
      </c>
      <c r="V604">
        <v>0</v>
      </c>
      <c r="W604" t="s">
        <v>74</v>
      </c>
      <c r="X604">
        <v>0</v>
      </c>
      <c r="Y604">
        <v>14.825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230</v>
      </c>
      <c r="AF604">
        <v>47</v>
      </c>
      <c r="AG604">
        <v>49</v>
      </c>
      <c r="AH604">
        <v>0</v>
      </c>
      <c r="AI604">
        <v>0.995</v>
      </c>
      <c r="AK604" t="s">
        <v>218</v>
      </c>
      <c r="AM604">
        <v>200000</v>
      </c>
      <c r="AN604" t="s">
        <v>92</v>
      </c>
      <c r="AO604">
        <v>1</v>
      </c>
      <c r="AP604">
        <v>0</v>
      </c>
      <c r="AQ604">
        <v>16666.666666666668</v>
      </c>
      <c r="AR604" t="s">
        <v>9</v>
      </c>
      <c r="AS604" t="s">
        <v>78</v>
      </c>
      <c r="AX604" t="s">
        <v>79</v>
      </c>
      <c r="AY604" t="s">
        <v>74</v>
      </c>
      <c r="AZ604">
        <v>0</v>
      </c>
      <c r="BA604" t="s">
        <v>74</v>
      </c>
      <c r="BB604">
        <v>0</v>
      </c>
      <c r="BD604">
        <v>14.825</v>
      </c>
      <c r="BE604">
        <v>0</v>
      </c>
    </row>
    <row r="605" spans="1:58" ht="12.75">
      <c r="A605" s="2" t="str">
        <f>HYPERLINK("https://ibp.a2mac1.com/costing(costing:projects/details/8191/part/5383424)","HV Transformer")</f>
        <v>HV Transformer</v>
      </c>
      <c r="B605">
        <v>5383424</v>
      </c>
      <c r="C605">
        <v>5383086</v>
      </c>
      <c r="D605" t="s">
        <v>2165</v>
      </c>
      <c r="E605">
        <v>31.779</v>
      </c>
      <c r="F605">
        <v>0</v>
      </c>
      <c r="G605">
        <v>0</v>
      </c>
      <c r="H605">
        <v>0</v>
      </c>
      <c r="I605" t="s">
        <v>74</v>
      </c>
      <c r="J605">
        <v>0</v>
      </c>
      <c r="K605">
        <v>31.779</v>
      </c>
      <c r="L605">
        <v>0</v>
      </c>
      <c r="M605">
        <v>0</v>
      </c>
      <c r="N605">
        <v>31.779</v>
      </c>
      <c r="O605" t="s">
        <v>74</v>
      </c>
      <c r="P605">
        <v>0</v>
      </c>
      <c r="Q605" t="s">
        <v>74</v>
      </c>
      <c r="R605">
        <v>0</v>
      </c>
      <c r="S605" t="s">
        <v>74</v>
      </c>
      <c r="T605">
        <v>0</v>
      </c>
      <c r="U605" t="s">
        <v>74</v>
      </c>
      <c r="V605">
        <v>0</v>
      </c>
      <c r="W605" t="s">
        <v>74</v>
      </c>
      <c r="X605">
        <v>0</v>
      </c>
      <c r="Y605">
        <v>31.779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70</v>
      </c>
      <c r="AF605">
        <v>59</v>
      </c>
      <c r="AG605">
        <v>48</v>
      </c>
      <c r="AH605">
        <v>0</v>
      </c>
      <c r="AI605">
        <v>0.40799999999999997</v>
      </c>
      <c r="AK605" t="s">
        <v>218</v>
      </c>
      <c r="AM605">
        <v>600000</v>
      </c>
      <c r="AN605" t="s">
        <v>76</v>
      </c>
      <c r="AO605">
        <v>3</v>
      </c>
      <c r="AP605">
        <v>0</v>
      </c>
      <c r="AQ605">
        <v>50000</v>
      </c>
      <c r="AR605" t="s">
        <v>9</v>
      </c>
      <c r="AS605" t="s">
        <v>78</v>
      </c>
      <c r="AX605" t="s">
        <v>79</v>
      </c>
      <c r="AY605" t="s">
        <v>74</v>
      </c>
      <c r="AZ605">
        <v>0</v>
      </c>
      <c r="BA605" t="s">
        <v>74</v>
      </c>
      <c r="BB605">
        <v>0</v>
      </c>
      <c r="BD605">
        <v>10.593</v>
      </c>
      <c r="BE605">
        <v>0</v>
      </c>
    </row>
    <row r="606" spans="1:58" ht="12.75">
      <c r="A606" s="2" t="str">
        <f>HYPERLINK("https://ibp.a2mac1.com/costing(costing:projects/details/8191/part/5383087)","DC Link PCBA")</f>
        <v>DC Link PCBA</v>
      </c>
      <c r="B606">
        <v>5383087</v>
      </c>
      <c r="C606">
        <v>5382862</v>
      </c>
      <c r="D606" t="s">
        <v>2169</v>
      </c>
      <c r="E606">
        <v>36.38</v>
      </c>
      <c r="F606">
        <v>0</v>
      </c>
      <c r="G606">
        <v>0</v>
      </c>
      <c r="H606">
        <v>0</v>
      </c>
      <c r="I606" t="s">
        <v>74</v>
      </c>
      <c r="J606">
        <v>0</v>
      </c>
      <c r="K606">
        <v>36.38</v>
      </c>
      <c r="L606">
        <v>0</v>
      </c>
      <c r="M606">
        <v>0</v>
      </c>
      <c r="N606">
        <v>36.38</v>
      </c>
      <c r="O606" t="s">
        <v>74</v>
      </c>
      <c r="P606">
        <v>0</v>
      </c>
      <c r="Q606" t="s">
        <v>74</v>
      </c>
      <c r="R606">
        <v>0</v>
      </c>
      <c r="S606" t="s">
        <v>74</v>
      </c>
      <c r="T606">
        <v>0</v>
      </c>
      <c r="U606" t="s">
        <v>74</v>
      </c>
      <c r="V606">
        <v>0</v>
      </c>
      <c r="W606" t="s">
        <v>74</v>
      </c>
      <c r="X606">
        <v>0</v>
      </c>
      <c r="Y606">
        <v>36.38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265</v>
      </c>
      <c r="AF606">
        <v>278</v>
      </c>
      <c r="AG606">
        <v>40</v>
      </c>
      <c r="AH606">
        <v>0</v>
      </c>
      <c r="AI606">
        <v>0.99099999999999999</v>
      </c>
      <c r="AK606" t="s">
        <v>218</v>
      </c>
      <c r="AM606">
        <v>200000</v>
      </c>
      <c r="AN606" t="s">
        <v>92</v>
      </c>
      <c r="AO606">
        <v>1</v>
      </c>
      <c r="AP606">
        <v>0</v>
      </c>
      <c r="AQ606">
        <v>16666.666666666668</v>
      </c>
      <c r="AR606" t="s">
        <v>9</v>
      </c>
      <c r="AS606" t="s">
        <v>78</v>
      </c>
      <c r="AX606" t="s">
        <v>79</v>
      </c>
      <c r="AY606" t="s">
        <v>74</v>
      </c>
      <c r="AZ606">
        <v>0</v>
      </c>
      <c r="BA606" t="s">
        <v>74</v>
      </c>
      <c r="BB606">
        <v>0</v>
      </c>
      <c r="BD606">
        <v>36.38</v>
      </c>
      <c r="BE606">
        <v>0</v>
      </c>
    </row>
    <row r="607" spans="1:58" ht="12.75">
      <c r="A607" s="2" t="str">
        <f>HYPERLINK("https://ibp.a2mac1.com/costing(costing:projects/details/8191/part/5383088)","Power Switching PCBA")</f>
        <v>Power Switching PCBA</v>
      </c>
      <c r="B607">
        <v>5383088</v>
      </c>
      <c r="C607">
        <v>5382862</v>
      </c>
      <c r="D607" t="s">
        <v>2170</v>
      </c>
      <c r="E607">
        <v>62.82</v>
      </c>
      <c r="F607">
        <v>0</v>
      </c>
      <c r="G607">
        <v>0</v>
      </c>
      <c r="H607">
        <v>0</v>
      </c>
      <c r="I607" t="s">
        <v>74</v>
      </c>
      <c r="J607">
        <v>0</v>
      </c>
      <c r="K607">
        <v>62.82</v>
      </c>
      <c r="L607">
        <v>0</v>
      </c>
      <c r="M607">
        <v>0</v>
      </c>
      <c r="N607">
        <v>62.82</v>
      </c>
      <c r="O607" t="s">
        <v>74</v>
      </c>
      <c r="P607">
        <v>0</v>
      </c>
      <c r="Q607" t="s">
        <v>74</v>
      </c>
      <c r="R607">
        <v>0</v>
      </c>
      <c r="S607" t="s">
        <v>74</v>
      </c>
      <c r="T607">
        <v>0</v>
      </c>
      <c r="U607" t="s">
        <v>74</v>
      </c>
      <c r="V607">
        <v>0</v>
      </c>
      <c r="W607" t="s">
        <v>74</v>
      </c>
      <c r="X607">
        <v>0</v>
      </c>
      <c r="Y607">
        <v>62.82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275</v>
      </c>
      <c r="AF607">
        <v>224</v>
      </c>
      <c r="AG607">
        <v>20</v>
      </c>
      <c r="AH607">
        <v>0</v>
      </c>
      <c r="AI607">
        <v>0.39</v>
      </c>
      <c r="AK607" t="s">
        <v>218</v>
      </c>
      <c r="AM607">
        <v>200000</v>
      </c>
      <c r="AN607" t="s">
        <v>92</v>
      </c>
      <c r="AO607">
        <v>1</v>
      </c>
      <c r="AP607">
        <v>0</v>
      </c>
      <c r="AQ607">
        <v>16666.666666666668</v>
      </c>
      <c r="AR607" t="s">
        <v>9</v>
      </c>
      <c r="AS607" t="s">
        <v>78</v>
      </c>
      <c r="AX607" t="s">
        <v>79</v>
      </c>
      <c r="AY607" t="s">
        <v>74</v>
      </c>
      <c r="AZ607">
        <v>0</v>
      </c>
      <c r="BA607" t="s">
        <v>74</v>
      </c>
      <c r="BB607">
        <v>0</v>
      </c>
      <c r="BD607">
        <v>62.82</v>
      </c>
      <c r="BE607">
        <v>0</v>
      </c>
    </row>
    <row r="608" spans="1:58" ht="12.75">
      <c r="A608" s="2" t="str">
        <f>HYPERLINK("https://ibp.a2mac1.com/costing(costing:projects/details/8191/part/5383089)","Control PCBA")</f>
        <v>Control PCBA</v>
      </c>
      <c r="B608">
        <v>5383089</v>
      </c>
      <c r="C608">
        <v>5382862</v>
      </c>
      <c r="D608" t="s">
        <v>2171</v>
      </c>
      <c r="E608">
        <v>20.14</v>
      </c>
      <c r="F608">
        <v>0</v>
      </c>
      <c r="G608">
        <v>0</v>
      </c>
      <c r="H608">
        <v>0</v>
      </c>
      <c r="I608" t="s">
        <v>74</v>
      </c>
      <c r="J608">
        <v>0</v>
      </c>
      <c r="K608">
        <v>20.14</v>
      </c>
      <c r="L608">
        <v>0</v>
      </c>
      <c r="M608">
        <v>0</v>
      </c>
      <c r="N608">
        <v>20.14</v>
      </c>
      <c r="O608" t="s">
        <v>74</v>
      </c>
      <c r="P608">
        <v>0</v>
      </c>
      <c r="Q608" t="s">
        <v>74</v>
      </c>
      <c r="R608">
        <v>0</v>
      </c>
      <c r="S608" t="s">
        <v>74</v>
      </c>
      <c r="T608">
        <v>0</v>
      </c>
      <c r="U608" t="s">
        <v>74</v>
      </c>
      <c r="V608">
        <v>0</v>
      </c>
      <c r="W608" t="s">
        <v>74</v>
      </c>
      <c r="X608">
        <v>0</v>
      </c>
      <c r="Y608">
        <v>20.14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248</v>
      </c>
      <c r="AF608">
        <v>64</v>
      </c>
      <c r="AG608">
        <v>25</v>
      </c>
      <c r="AH608">
        <v>0</v>
      </c>
      <c r="AI608">
        <v>0.070999999999999994</v>
      </c>
      <c r="AK608" t="s">
        <v>218</v>
      </c>
      <c r="AM608">
        <v>200000</v>
      </c>
      <c r="AN608" t="s">
        <v>92</v>
      </c>
      <c r="AO608">
        <v>1</v>
      </c>
      <c r="AP608">
        <v>0</v>
      </c>
      <c r="AQ608">
        <v>16666.666666666668</v>
      </c>
      <c r="AR608" t="s">
        <v>9</v>
      </c>
      <c r="AS608" t="s">
        <v>78</v>
      </c>
      <c r="AX608" t="s">
        <v>79</v>
      </c>
      <c r="AY608" t="s">
        <v>74</v>
      </c>
      <c r="AZ608">
        <v>0</v>
      </c>
      <c r="BA608" t="s">
        <v>74</v>
      </c>
      <c r="BB608">
        <v>0</v>
      </c>
      <c r="BD608">
        <v>20.14</v>
      </c>
      <c r="BE608">
        <v>0</v>
      </c>
    </row>
    <row r="609" spans="1:58" ht="12.75">
      <c r="A609" s="2" t="str">
        <f>HYPERLINK("https://ibp.a2mac1.com/costing(costing:projects/details/8191/part/5383090)","PFC Control PCBA")</f>
        <v>PFC Control PCBA</v>
      </c>
      <c r="B609">
        <v>5383090</v>
      </c>
      <c r="C609">
        <v>5382862</v>
      </c>
      <c r="D609" t="s">
        <v>2172</v>
      </c>
      <c r="E609">
        <v>21.50</v>
      </c>
      <c r="F609">
        <v>0</v>
      </c>
      <c r="G609">
        <v>0</v>
      </c>
      <c r="H609">
        <v>0</v>
      </c>
      <c r="I609" t="s">
        <v>74</v>
      </c>
      <c r="J609">
        <v>0</v>
      </c>
      <c r="K609">
        <v>21.50</v>
      </c>
      <c r="L609">
        <v>0</v>
      </c>
      <c r="M609">
        <v>0</v>
      </c>
      <c r="N609">
        <v>21.50</v>
      </c>
      <c r="O609" t="s">
        <v>74</v>
      </c>
      <c r="P609">
        <v>0</v>
      </c>
      <c r="Q609" t="s">
        <v>74</v>
      </c>
      <c r="R609">
        <v>0</v>
      </c>
      <c r="S609" t="s">
        <v>74</v>
      </c>
      <c r="T609">
        <v>0</v>
      </c>
      <c r="U609" t="s">
        <v>74</v>
      </c>
      <c r="V609">
        <v>0</v>
      </c>
      <c r="W609" t="s">
        <v>74</v>
      </c>
      <c r="X609">
        <v>0</v>
      </c>
      <c r="Y609">
        <v>21.50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230</v>
      </c>
      <c r="AF609">
        <v>41</v>
      </c>
      <c r="AG609">
        <v>9</v>
      </c>
      <c r="AH609">
        <v>0</v>
      </c>
      <c r="AI609">
        <v>0.04</v>
      </c>
      <c r="AK609" t="s">
        <v>218</v>
      </c>
      <c r="AM609">
        <v>200000</v>
      </c>
      <c r="AN609" t="s">
        <v>92</v>
      </c>
      <c r="AO609">
        <v>1</v>
      </c>
      <c r="AP609">
        <v>0</v>
      </c>
      <c r="AQ609">
        <v>16666.666666666668</v>
      </c>
      <c r="AR609" t="s">
        <v>9</v>
      </c>
      <c r="AS609" t="s">
        <v>78</v>
      </c>
      <c r="AX609" t="s">
        <v>79</v>
      </c>
      <c r="AY609" t="s">
        <v>74</v>
      </c>
      <c r="AZ609">
        <v>0</v>
      </c>
      <c r="BA609" t="s">
        <v>74</v>
      </c>
      <c r="BB609">
        <v>0</v>
      </c>
      <c r="BD609">
        <v>21.50</v>
      </c>
      <c r="BE609">
        <v>0</v>
      </c>
    </row>
    <row r="610" spans="1:58" ht="12.75">
      <c r="A610" s="2" t="str">
        <f>HYPERLINK("https://ibp.a2mac1.com/costing(costing:projects/details/8191/part/5383091)","DCDC Control PCBA")</f>
        <v>DCDC Control PCBA</v>
      </c>
      <c r="B610">
        <v>5383091</v>
      </c>
      <c r="C610">
        <v>5382862</v>
      </c>
      <c r="D610" t="s">
        <v>2173</v>
      </c>
      <c r="E610">
        <v>15.29</v>
      </c>
      <c r="F610">
        <v>0</v>
      </c>
      <c r="G610">
        <v>0</v>
      </c>
      <c r="H610">
        <v>0</v>
      </c>
      <c r="I610" t="s">
        <v>74</v>
      </c>
      <c r="J610">
        <v>0</v>
      </c>
      <c r="K610">
        <v>15.29</v>
      </c>
      <c r="L610">
        <v>0</v>
      </c>
      <c r="M610">
        <v>0</v>
      </c>
      <c r="N610">
        <v>15.29</v>
      </c>
      <c r="O610" t="s">
        <v>74</v>
      </c>
      <c r="P610">
        <v>0</v>
      </c>
      <c r="Q610" t="s">
        <v>74</v>
      </c>
      <c r="R610">
        <v>0</v>
      </c>
      <c r="S610" t="s">
        <v>74</v>
      </c>
      <c r="T610">
        <v>0</v>
      </c>
      <c r="U610" t="s">
        <v>74</v>
      </c>
      <c r="V610">
        <v>0</v>
      </c>
      <c r="W610" t="s">
        <v>74</v>
      </c>
      <c r="X610">
        <v>0</v>
      </c>
      <c r="Y610">
        <v>15.29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198</v>
      </c>
      <c r="AF610">
        <v>40</v>
      </c>
      <c r="AG610">
        <v>9</v>
      </c>
      <c r="AH610">
        <v>0</v>
      </c>
      <c r="AI610">
        <v>0.034000000000000002</v>
      </c>
      <c r="AK610" t="s">
        <v>218</v>
      </c>
      <c r="AM610">
        <v>200000</v>
      </c>
      <c r="AN610" t="s">
        <v>92</v>
      </c>
      <c r="AO610">
        <v>1</v>
      </c>
      <c r="AP610">
        <v>0</v>
      </c>
      <c r="AQ610">
        <v>16666.666666666668</v>
      </c>
      <c r="AR610" t="s">
        <v>9</v>
      </c>
      <c r="AS610" t="s">
        <v>78</v>
      </c>
      <c r="AX610" t="s">
        <v>79</v>
      </c>
      <c r="AY610" t="s">
        <v>74</v>
      </c>
      <c r="AZ610">
        <v>0</v>
      </c>
      <c r="BA610" t="s">
        <v>74</v>
      </c>
      <c r="BB610">
        <v>0</v>
      </c>
      <c r="BD610">
        <v>15.29</v>
      </c>
      <c r="BE610">
        <v>0</v>
      </c>
    </row>
    <row r="611" spans="1:58" ht="12.75">
      <c r="A611" s="2" t="str">
        <f>HYPERLINK("https://ibp.a2mac1.com/costing(costing:projects/details/8191/part/5383092)","AC Input Filter PCBA")</f>
        <v>AC Input Filter PCBA</v>
      </c>
      <c r="B611">
        <v>5383092</v>
      </c>
      <c r="C611">
        <v>5382862</v>
      </c>
      <c r="D611" t="s">
        <v>2174</v>
      </c>
      <c r="E611">
        <v>17.85</v>
      </c>
      <c r="F611">
        <v>0</v>
      </c>
      <c r="G611">
        <v>0</v>
      </c>
      <c r="H611">
        <v>0</v>
      </c>
      <c r="I611" t="s">
        <v>74</v>
      </c>
      <c r="J611">
        <v>0</v>
      </c>
      <c r="K611">
        <v>17.85</v>
      </c>
      <c r="L611">
        <v>0</v>
      </c>
      <c r="M611">
        <v>0</v>
      </c>
      <c r="N611">
        <v>17.85</v>
      </c>
      <c r="O611" t="s">
        <v>74</v>
      </c>
      <c r="P611">
        <v>0</v>
      </c>
      <c r="Q611" t="s">
        <v>74</v>
      </c>
      <c r="R611">
        <v>0</v>
      </c>
      <c r="S611" t="s">
        <v>74</v>
      </c>
      <c r="T611">
        <v>0</v>
      </c>
      <c r="U611" t="s">
        <v>74</v>
      </c>
      <c r="V611">
        <v>0</v>
      </c>
      <c r="W611" t="s">
        <v>74</v>
      </c>
      <c r="X611">
        <v>0</v>
      </c>
      <c r="Y611">
        <v>17.85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280</v>
      </c>
      <c r="AF611">
        <v>129</v>
      </c>
      <c r="AG611">
        <v>39</v>
      </c>
      <c r="AH611">
        <v>0</v>
      </c>
      <c r="AI611">
        <v>0.68</v>
      </c>
      <c r="AK611" t="s">
        <v>218</v>
      </c>
      <c r="AM611">
        <v>200000</v>
      </c>
      <c r="AN611" t="s">
        <v>92</v>
      </c>
      <c r="AO611">
        <v>1</v>
      </c>
      <c r="AP611">
        <v>0</v>
      </c>
      <c r="AQ611">
        <v>16666.666666666668</v>
      </c>
      <c r="AR611" t="s">
        <v>9</v>
      </c>
      <c r="AS611" t="s">
        <v>78</v>
      </c>
      <c r="AX611" t="s">
        <v>79</v>
      </c>
      <c r="AY611" t="s">
        <v>74</v>
      </c>
      <c r="AZ611">
        <v>0</v>
      </c>
      <c r="BA611" t="s">
        <v>74</v>
      </c>
      <c r="BB611">
        <v>0</v>
      </c>
      <c r="BD611">
        <v>17.85</v>
      </c>
      <c r="BE611">
        <v>0</v>
      </c>
    </row>
    <row r="612" spans="1:58" ht="12.75">
      <c r="A612" s="2" t="str">
        <f>HYPERLINK("https://ibp.a2mac1.com/costing(costing:projects/details/8191/part/5383093)","DC Output Filter PCBA")</f>
        <v>DC Output Filter PCBA</v>
      </c>
      <c r="B612">
        <v>5383093</v>
      </c>
      <c r="C612">
        <v>5382862</v>
      </c>
      <c r="D612" t="s">
        <v>2175</v>
      </c>
      <c r="E612">
        <v>8.97</v>
      </c>
      <c r="F612">
        <v>0</v>
      </c>
      <c r="G612">
        <v>0</v>
      </c>
      <c r="H612">
        <v>0</v>
      </c>
      <c r="I612" t="s">
        <v>74</v>
      </c>
      <c r="J612">
        <v>0</v>
      </c>
      <c r="K612">
        <v>8.97</v>
      </c>
      <c r="L612">
        <v>0</v>
      </c>
      <c r="M612">
        <v>0</v>
      </c>
      <c r="N612">
        <v>8.97</v>
      </c>
      <c r="O612" t="s">
        <v>74</v>
      </c>
      <c r="P612">
        <v>0</v>
      </c>
      <c r="Q612" t="s">
        <v>74</v>
      </c>
      <c r="R612">
        <v>0</v>
      </c>
      <c r="S612" t="s">
        <v>74</v>
      </c>
      <c r="T612">
        <v>0</v>
      </c>
      <c r="U612" t="s">
        <v>74</v>
      </c>
      <c r="V612">
        <v>0</v>
      </c>
      <c r="W612" t="s">
        <v>74</v>
      </c>
      <c r="X612">
        <v>0</v>
      </c>
      <c r="Y612">
        <v>8.97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105</v>
      </c>
      <c r="AF612">
        <v>26</v>
      </c>
      <c r="AG612">
        <v>28</v>
      </c>
      <c r="AH612">
        <v>0</v>
      </c>
      <c r="AI612">
        <v>0.17199999999999999</v>
      </c>
      <c r="AK612" t="s">
        <v>218</v>
      </c>
      <c r="AM612">
        <v>200000</v>
      </c>
      <c r="AN612" t="s">
        <v>92</v>
      </c>
      <c r="AO612">
        <v>1</v>
      </c>
      <c r="AP612">
        <v>0</v>
      </c>
      <c r="AQ612">
        <v>16666.666666666668</v>
      </c>
      <c r="AR612" t="s">
        <v>9</v>
      </c>
      <c r="AS612" t="s">
        <v>78</v>
      </c>
      <c r="AX612" t="s">
        <v>79</v>
      </c>
      <c r="AY612" t="s">
        <v>74</v>
      </c>
      <c r="AZ612">
        <v>0</v>
      </c>
      <c r="BA612" t="s">
        <v>74</v>
      </c>
      <c r="BB612">
        <v>0</v>
      </c>
      <c r="BD612">
        <v>8.97</v>
      </c>
      <c r="BE612">
        <v>0</v>
      </c>
    </row>
    <row r="613" spans="1:58" ht="12.75">
      <c r="A613" s="2" t="str">
        <f>HYPERLINK("https://ibp.a2mac1.com/costing(costing:projects/details/8191/part/5383094)","Power Supply PCBA")</f>
        <v>Power Supply PCBA</v>
      </c>
      <c r="B613">
        <v>5383094</v>
      </c>
      <c r="C613">
        <v>5382862</v>
      </c>
      <c r="D613" t="s">
        <v>2176</v>
      </c>
      <c r="E613">
        <v>5.75</v>
      </c>
      <c r="F613">
        <v>0</v>
      </c>
      <c r="G613">
        <v>0</v>
      </c>
      <c r="H613">
        <v>0</v>
      </c>
      <c r="I613" t="s">
        <v>74</v>
      </c>
      <c r="J613">
        <v>0</v>
      </c>
      <c r="K613">
        <v>5.75</v>
      </c>
      <c r="L613">
        <v>0</v>
      </c>
      <c r="M613">
        <v>0</v>
      </c>
      <c r="N613">
        <v>5.75</v>
      </c>
      <c r="O613" t="s">
        <v>74</v>
      </c>
      <c r="P613">
        <v>0</v>
      </c>
      <c r="Q613" t="s">
        <v>74</v>
      </c>
      <c r="R613">
        <v>0</v>
      </c>
      <c r="S613" t="s">
        <v>74</v>
      </c>
      <c r="T613">
        <v>0</v>
      </c>
      <c r="U613" t="s">
        <v>74</v>
      </c>
      <c r="V613">
        <v>0</v>
      </c>
      <c r="W613" t="s">
        <v>74</v>
      </c>
      <c r="X613">
        <v>0</v>
      </c>
      <c r="Y613">
        <v>5.75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100</v>
      </c>
      <c r="AF613">
        <v>42</v>
      </c>
      <c r="AG613">
        <v>22</v>
      </c>
      <c r="AH613">
        <v>0</v>
      </c>
      <c r="AI613">
        <v>0.042999999999999997</v>
      </c>
      <c r="AK613" t="s">
        <v>218</v>
      </c>
      <c r="AM613">
        <v>200000</v>
      </c>
      <c r="AN613" t="s">
        <v>92</v>
      </c>
      <c r="AO613">
        <v>1</v>
      </c>
      <c r="AP613">
        <v>0</v>
      </c>
      <c r="AQ613">
        <v>16666.666666666668</v>
      </c>
      <c r="AR613" t="s">
        <v>9</v>
      </c>
      <c r="AS613" t="s">
        <v>78</v>
      </c>
      <c r="AX613" t="s">
        <v>79</v>
      </c>
      <c r="AY613" t="s">
        <v>74</v>
      </c>
      <c r="AZ613">
        <v>0</v>
      </c>
      <c r="BA613" t="s">
        <v>74</v>
      </c>
      <c r="BB613">
        <v>0</v>
      </c>
      <c r="BD613">
        <v>5.75</v>
      </c>
      <c r="BE613">
        <v>0</v>
      </c>
    </row>
    <row r="614" spans="1:58" ht="12.75">
      <c r="A614" s="2" t="str">
        <f>HYPERLINK("https://ibp.a2mac1.com/costing(costing:projects/details/8191/part/5383095)","HV AC Connection PCBA")</f>
        <v>HV AC Connection PCBA</v>
      </c>
      <c r="B614">
        <v>5383095</v>
      </c>
      <c r="C614">
        <v>5382862</v>
      </c>
      <c r="D614" t="s">
        <v>2177</v>
      </c>
      <c r="E614">
        <v>2.9780000000000002</v>
      </c>
      <c r="F614">
        <v>0</v>
      </c>
      <c r="G614">
        <v>0</v>
      </c>
      <c r="H614">
        <v>0</v>
      </c>
      <c r="I614" t="s">
        <v>74</v>
      </c>
      <c r="J614">
        <v>0</v>
      </c>
      <c r="K614">
        <v>2.9780000000000002</v>
      </c>
      <c r="L614">
        <v>0</v>
      </c>
      <c r="M614">
        <v>0</v>
      </c>
      <c r="N614">
        <v>2.9780000000000002</v>
      </c>
      <c r="O614" t="s">
        <v>74</v>
      </c>
      <c r="P614">
        <v>0</v>
      </c>
      <c r="Q614" t="s">
        <v>74</v>
      </c>
      <c r="R614">
        <v>0</v>
      </c>
      <c r="S614" t="s">
        <v>74</v>
      </c>
      <c r="T614">
        <v>0</v>
      </c>
      <c r="U614" t="s">
        <v>74</v>
      </c>
      <c r="V614">
        <v>0</v>
      </c>
      <c r="W614" t="s">
        <v>74</v>
      </c>
      <c r="X614">
        <v>0</v>
      </c>
      <c r="Y614">
        <v>2.9780000000000002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77</v>
      </c>
      <c r="AF614">
        <v>48</v>
      </c>
      <c r="AG614">
        <v>15</v>
      </c>
      <c r="AH614">
        <v>0</v>
      </c>
      <c r="AI614">
        <v>0.031</v>
      </c>
      <c r="AK614" t="s">
        <v>218</v>
      </c>
      <c r="AM614">
        <v>200000</v>
      </c>
      <c r="AN614" t="s">
        <v>92</v>
      </c>
      <c r="AO614">
        <v>1</v>
      </c>
      <c r="AP614">
        <v>0</v>
      </c>
      <c r="AQ614">
        <v>16666.666666666668</v>
      </c>
      <c r="AR614" t="s">
        <v>9</v>
      </c>
      <c r="AS614" t="s">
        <v>78</v>
      </c>
      <c r="AX614" t="s">
        <v>79</v>
      </c>
      <c r="AY614" t="s">
        <v>74</v>
      </c>
      <c r="AZ614">
        <v>0</v>
      </c>
      <c r="BA614" t="s">
        <v>74</v>
      </c>
      <c r="BB614">
        <v>0</v>
      </c>
      <c r="BD614">
        <v>2.9780000000000002</v>
      </c>
      <c r="BE614">
        <v>0</v>
      </c>
    </row>
    <row r="615" spans="1:58" ht="12.75">
      <c r="A615" s="2" t="str">
        <f>HYPERLINK("https://ibp.a2mac1.com/costing(costing:projects/details/8191/part/5383096)","HV DC Connection PCBA")</f>
        <v>HV DC Connection PCBA</v>
      </c>
      <c r="B615">
        <v>5383096</v>
      </c>
      <c r="C615">
        <v>5382862</v>
      </c>
      <c r="D615" t="s">
        <v>2178</v>
      </c>
      <c r="E615">
        <v>0.97</v>
      </c>
      <c r="F615">
        <v>0</v>
      </c>
      <c r="G615">
        <v>0</v>
      </c>
      <c r="H615">
        <v>0</v>
      </c>
      <c r="I615" t="s">
        <v>74</v>
      </c>
      <c r="J615">
        <v>0</v>
      </c>
      <c r="K615">
        <v>0.97</v>
      </c>
      <c r="L615">
        <v>0</v>
      </c>
      <c r="M615">
        <v>0</v>
      </c>
      <c r="N615">
        <v>0.97</v>
      </c>
      <c r="O615" t="s">
        <v>74</v>
      </c>
      <c r="P615">
        <v>0</v>
      </c>
      <c r="Q615" t="s">
        <v>74</v>
      </c>
      <c r="R615">
        <v>0</v>
      </c>
      <c r="S615" t="s">
        <v>74</v>
      </c>
      <c r="T615">
        <v>0</v>
      </c>
      <c r="U615" t="s">
        <v>74</v>
      </c>
      <c r="V615">
        <v>0</v>
      </c>
      <c r="W615" t="s">
        <v>74</v>
      </c>
      <c r="X615">
        <v>0</v>
      </c>
      <c r="Y615">
        <v>0.97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34</v>
      </c>
      <c r="AF615">
        <v>25</v>
      </c>
      <c r="AG615">
        <v>16</v>
      </c>
      <c r="AH615">
        <v>0</v>
      </c>
      <c r="AI615">
        <v>0.005</v>
      </c>
      <c r="AK615" t="s">
        <v>218</v>
      </c>
      <c r="AM615">
        <v>200000</v>
      </c>
      <c r="AN615" t="s">
        <v>92</v>
      </c>
      <c r="AO615">
        <v>1</v>
      </c>
      <c r="AP615">
        <v>0</v>
      </c>
      <c r="AQ615">
        <v>16666.666666666668</v>
      </c>
      <c r="AR615" t="s">
        <v>9</v>
      </c>
      <c r="AS615" t="s">
        <v>78</v>
      </c>
      <c r="AX615" t="s">
        <v>79</v>
      </c>
      <c r="AY615" t="s">
        <v>74</v>
      </c>
      <c r="AZ615">
        <v>0</v>
      </c>
      <c r="BA615" t="s">
        <v>74</v>
      </c>
      <c r="BB615">
        <v>0</v>
      </c>
      <c r="BD615">
        <v>0.97</v>
      </c>
      <c r="BE615">
        <v>0</v>
      </c>
    </row>
    <row r="616" spans="1:58" ht="12.75">
      <c r="A616" s="2" t="str">
        <f>HYPERLINK("https://ibp.a2mac1.com/costing(costing:projects/details/8191/part/5383425)"," Inductor Connection Guide 1")</f>
        <v xml:space="preserve"> Inductor Connection Guide 1</v>
      </c>
      <c r="B616">
        <v>5383425</v>
      </c>
      <c r="C616">
        <v>5383097</v>
      </c>
      <c r="D616" t="s">
        <v>2182</v>
      </c>
      <c r="E616">
        <v>0.84</v>
      </c>
      <c r="F616">
        <v>0</v>
      </c>
      <c r="G616">
        <v>0</v>
      </c>
      <c r="H616">
        <v>0</v>
      </c>
      <c r="I616" t="s">
        <v>74</v>
      </c>
      <c r="J616">
        <v>0</v>
      </c>
      <c r="K616">
        <v>0.84</v>
      </c>
      <c r="L616">
        <v>0</v>
      </c>
      <c r="M616">
        <v>0</v>
      </c>
      <c r="N616">
        <v>0.84</v>
      </c>
      <c r="O616" t="s">
        <v>74</v>
      </c>
      <c r="P616">
        <v>0</v>
      </c>
      <c r="Q616" t="s">
        <v>74</v>
      </c>
      <c r="R616">
        <v>0</v>
      </c>
      <c r="S616" t="s">
        <v>74</v>
      </c>
      <c r="T616">
        <v>0</v>
      </c>
      <c r="U616" t="s">
        <v>74</v>
      </c>
      <c r="V616">
        <v>0</v>
      </c>
      <c r="W616" t="s">
        <v>74</v>
      </c>
      <c r="X616">
        <v>0</v>
      </c>
      <c r="Y616">
        <v>0.84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62</v>
      </c>
      <c r="AF616">
        <v>48</v>
      </c>
      <c r="AG616">
        <v>88</v>
      </c>
      <c r="AH616">
        <v>0</v>
      </c>
      <c r="AI616">
        <v>0.026669999999999999</v>
      </c>
      <c r="AK616" t="s">
        <v>218</v>
      </c>
      <c r="AM616">
        <v>600000</v>
      </c>
      <c r="AN616" t="s">
        <v>92</v>
      </c>
      <c r="AO616">
        <v>3</v>
      </c>
      <c r="AP616">
        <v>0</v>
      </c>
      <c r="AQ616">
        <v>50000</v>
      </c>
      <c r="AR616" t="s">
        <v>9</v>
      </c>
      <c r="AS616" t="s">
        <v>78</v>
      </c>
      <c r="AX616" t="s">
        <v>79</v>
      </c>
      <c r="AY616" t="s">
        <v>74</v>
      </c>
      <c r="AZ616">
        <v>0</v>
      </c>
      <c r="BA616" t="s">
        <v>74</v>
      </c>
      <c r="BB616">
        <v>0</v>
      </c>
      <c r="BD616">
        <v>0.28</v>
      </c>
      <c r="BE616">
        <v>0</v>
      </c>
    </row>
    <row r="617" spans="1:58" ht="12.75">
      <c r="A617" s="2" t="str">
        <f>HYPERLINK("https://ibp.a2mac1.com/costing(costing:projects/details/8191/part/5383426)"," Inductor Connection Cover")</f>
        <v xml:space="preserve"> Inductor Connection Cover</v>
      </c>
      <c r="B617">
        <v>5383426</v>
      </c>
      <c r="C617">
        <v>5383097</v>
      </c>
      <c r="D617" t="s">
        <v>2183</v>
      </c>
      <c r="E617">
        <v>0.501</v>
      </c>
      <c r="F617">
        <v>0</v>
      </c>
      <c r="G617">
        <v>0</v>
      </c>
      <c r="H617">
        <v>0</v>
      </c>
      <c r="I617" t="s">
        <v>74</v>
      </c>
      <c r="J617">
        <v>0</v>
      </c>
      <c r="K617">
        <v>0.501</v>
      </c>
      <c r="L617">
        <v>0</v>
      </c>
      <c r="M617">
        <v>0</v>
      </c>
      <c r="N617">
        <v>0.501</v>
      </c>
      <c r="O617" t="s">
        <v>74</v>
      </c>
      <c r="P617">
        <v>0</v>
      </c>
      <c r="Q617" t="s">
        <v>74</v>
      </c>
      <c r="R617">
        <v>0</v>
      </c>
      <c r="S617" t="s">
        <v>74</v>
      </c>
      <c r="T617">
        <v>0</v>
      </c>
      <c r="U617" t="s">
        <v>74</v>
      </c>
      <c r="V617">
        <v>0</v>
      </c>
      <c r="W617" t="s">
        <v>74</v>
      </c>
      <c r="X617">
        <v>0</v>
      </c>
      <c r="Y617">
        <v>0.501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65</v>
      </c>
      <c r="AF617">
        <v>29</v>
      </c>
      <c r="AG617">
        <v>84</v>
      </c>
      <c r="AH617">
        <v>0</v>
      </c>
      <c r="AI617">
        <v>0.019</v>
      </c>
      <c r="AK617" t="s">
        <v>218</v>
      </c>
      <c r="AM617">
        <v>600000</v>
      </c>
      <c r="AN617" t="s">
        <v>92</v>
      </c>
      <c r="AO617">
        <v>3</v>
      </c>
      <c r="AP617">
        <v>0</v>
      </c>
      <c r="AQ617">
        <v>50000</v>
      </c>
      <c r="AR617" t="s">
        <v>9</v>
      </c>
      <c r="AS617" t="s">
        <v>78</v>
      </c>
      <c r="AX617" t="s">
        <v>79</v>
      </c>
      <c r="AY617" t="s">
        <v>74</v>
      </c>
      <c r="AZ617">
        <v>0</v>
      </c>
      <c r="BA617" t="s">
        <v>74</v>
      </c>
      <c r="BB617">
        <v>0</v>
      </c>
      <c r="BD617">
        <v>0.16700000000000001</v>
      </c>
      <c r="BE617">
        <v>0</v>
      </c>
    </row>
    <row r="618" spans="1:58" ht="12.75">
      <c r="A618" s="2" t="str">
        <f>HYPERLINK("https://ibp.a2mac1.com/costing(costing:projects/details/8191/part/5383427)"," Top Lid")</f>
        <v xml:space="preserve"> Top Lid</v>
      </c>
      <c r="B618">
        <v>5383427</v>
      </c>
      <c r="C618">
        <v>5383098</v>
      </c>
      <c r="D618" t="s">
        <v>2190</v>
      </c>
      <c r="E618">
        <v>2.3201390110105016</v>
      </c>
      <c r="F618">
        <v>0</v>
      </c>
      <c r="G618">
        <v>0</v>
      </c>
      <c r="H618">
        <v>0.012266119941190198</v>
      </c>
      <c r="I618" t="s">
        <v>137</v>
      </c>
      <c r="J618">
        <v>0.084844703150525086</v>
      </c>
      <c r="K618">
        <v>2.4172498341022171</v>
      </c>
      <c r="L618">
        <v>0.037929543313487621</v>
      </c>
      <c r="M618">
        <v>0.22757725988092573</v>
      </c>
      <c r="N618">
        <v>2.6448270939831429</v>
      </c>
      <c r="O618" t="s">
        <v>138</v>
      </c>
      <c r="P618">
        <v>0.14503499004613302</v>
      </c>
      <c r="Q618" t="s">
        <v>138</v>
      </c>
      <c r="R618">
        <v>0.013654635592855544</v>
      </c>
      <c r="S618" t="s">
        <v>139</v>
      </c>
      <c r="T618">
        <v>0.31737925127797711</v>
      </c>
      <c r="U618" t="s">
        <v>216</v>
      </c>
      <c r="V618">
        <v>0.013224135469915714</v>
      </c>
      <c r="W618" t="s">
        <v>217</v>
      </c>
      <c r="X618">
        <v>0.052896541879662855</v>
      </c>
      <c r="Y618">
        <v>3.1870166482496871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415</v>
      </c>
      <c r="AF618">
        <v>282</v>
      </c>
      <c r="AG618">
        <v>2</v>
      </c>
      <c r="AH618">
        <v>0</v>
      </c>
      <c r="AI618">
        <v>0.59599999999999997</v>
      </c>
      <c r="AK618" t="s">
        <v>218</v>
      </c>
      <c r="AM618">
        <v>200000</v>
      </c>
      <c r="AN618" t="s">
        <v>76</v>
      </c>
      <c r="AO618">
        <v>1</v>
      </c>
      <c r="AP618">
        <v>0</v>
      </c>
      <c r="AQ618">
        <v>16666.666666666668</v>
      </c>
      <c r="AR618" t="s">
        <v>9</v>
      </c>
      <c r="AS618" t="s">
        <v>78</v>
      </c>
      <c r="AX618" t="s">
        <v>79</v>
      </c>
      <c r="AY618" t="s">
        <v>137</v>
      </c>
      <c r="AZ618">
        <v>0</v>
      </c>
      <c r="BA618" t="s">
        <v>137</v>
      </c>
      <c r="BB618">
        <v>0</v>
      </c>
      <c r="BE618">
        <v>0</v>
      </c>
    </row>
    <row r="619" spans="1:58" ht="12.75">
      <c r="A619" s="2" t="str">
        <f>HYPERLINK("https://ibp.a2mac1.com/costing(costing:projects/details/8191/part/5383428)"," Cooling Channel")</f>
        <v xml:space="preserve"> Cooling Channel</v>
      </c>
      <c r="B619">
        <v>5383428</v>
      </c>
      <c r="C619">
        <v>5383098</v>
      </c>
      <c r="D619" t="s">
        <v>2195</v>
      </c>
      <c r="E619">
        <v>0.65171278390792287</v>
      </c>
      <c r="F619">
        <v>0</v>
      </c>
      <c r="G619">
        <v>0</v>
      </c>
      <c r="H619">
        <v>0.0033085850171306209</v>
      </c>
      <c r="I619" t="s">
        <v>137</v>
      </c>
      <c r="J619">
        <v>0.022885469486081372</v>
      </c>
      <c r="K619">
        <v>0.67790683841113486</v>
      </c>
      <c r="L619">
        <v>0.037929543313487621</v>
      </c>
      <c r="M619">
        <v>0.22757725988092573</v>
      </c>
      <c r="N619">
        <v>0.90548409829206067</v>
      </c>
      <c r="O619" t="s">
        <v>138</v>
      </c>
      <c r="P619">
        <v>0.040674410304668097</v>
      </c>
      <c r="Q619" t="s">
        <v>138</v>
      </c>
      <c r="R619">
        <v>0.013654635592855544</v>
      </c>
      <c r="S619" t="s">
        <v>139</v>
      </c>
      <c r="T619">
        <v>0.10865809179504728</v>
      </c>
      <c r="U619" t="s">
        <v>216</v>
      </c>
      <c r="V619">
        <v>0.0045274204914603029</v>
      </c>
      <c r="W619" t="s">
        <v>217</v>
      </c>
      <c r="X619">
        <v>0.018109681965841212</v>
      </c>
      <c r="Y619">
        <v>1.0911083384419331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289</v>
      </c>
      <c r="AF619">
        <v>182</v>
      </c>
      <c r="AG619">
        <v>42</v>
      </c>
      <c r="AH619">
        <v>0</v>
      </c>
      <c r="AI619">
        <v>0.285</v>
      </c>
      <c r="AK619" t="s">
        <v>218</v>
      </c>
      <c r="AM619">
        <v>200000</v>
      </c>
      <c r="AN619" t="s">
        <v>76</v>
      </c>
      <c r="AO619">
        <v>1</v>
      </c>
      <c r="AP619">
        <v>0</v>
      </c>
      <c r="AQ619">
        <v>16666.666666666668</v>
      </c>
      <c r="AR619" t="s">
        <v>9</v>
      </c>
      <c r="AS619" t="s">
        <v>78</v>
      </c>
      <c r="AX619" t="s">
        <v>79</v>
      </c>
      <c r="AY619" t="s">
        <v>137</v>
      </c>
      <c r="AZ619">
        <v>0</v>
      </c>
      <c r="BA619" t="s">
        <v>137</v>
      </c>
      <c r="BB619">
        <v>0</v>
      </c>
      <c r="BE619">
        <v>0</v>
      </c>
    </row>
    <row r="620" spans="1:58" ht="12.75">
      <c r="A620" s="2" t="str">
        <f>HYPERLINK("https://ibp.a2mac1.com/costing(costing:projects/details/8191/part/5383429)"," Main Housing")</f>
        <v xml:space="preserve"> Main Housing</v>
      </c>
      <c r="B620">
        <v>5383429</v>
      </c>
      <c r="C620">
        <v>5383098</v>
      </c>
      <c r="D620" t="s">
        <v>2200</v>
      </c>
      <c r="E620">
        <v>10.524281777664974</v>
      </c>
      <c r="F620">
        <v>0</v>
      </c>
      <c r="G620">
        <v>0</v>
      </c>
      <c r="H620">
        <v>0.053655280397969546</v>
      </c>
      <c r="I620" t="s">
        <v>137</v>
      </c>
      <c r="J620">
        <v>0.37113336243654821</v>
      </c>
      <c r="K620">
        <v>10.949070420499492</v>
      </c>
      <c r="L620">
        <v>3.2716810102705169</v>
      </c>
      <c r="M620">
        <v>19.630086061623103</v>
      </c>
      <c r="N620">
        <v>30.579156482122595</v>
      </c>
      <c r="O620" t="s">
        <v>138</v>
      </c>
      <c r="P620">
        <v>0.65694422522996954</v>
      </c>
      <c r="Q620" t="s">
        <v>138</v>
      </c>
      <c r="R620">
        <v>1.1778051636973861</v>
      </c>
      <c r="S620" t="s">
        <v>139</v>
      </c>
      <c r="T620">
        <v>3.6694987778547112</v>
      </c>
      <c r="U620" t="s">
        <v>216</v>
      </c>
      <c r="V620">
        <v>0.15289578241061297</v>
      </c>
      <c r="W620" t="s">
        <v>217</v>
      </c>
      <c r="X620">
        <v>0.61158312964245187</v>
      </c>
      <c r="Y620">
        <v>36.847883560957726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461</v>
      </c>
      <c r="AF620">
        <v>315</v>
      </c>
      <c r="AG620">
        <v>83</v>
      </c>
      <c r="AH620">
        <v>0</v>
      </c>
      <c r="AI620">
        <v>4.0110000000000001</v>
      </c>
      <c r="AK620" t="s">
        <v>218</v>
      </c>
      <c r="AM620">
        <v>200000</v>
      </c>
      <c r="AN620" t="s">
        <v>76</v>
      </c>
      <c r="AO620">
        <v>1</v>
      </c>
      <c r="AP620">
        <v>0</v>
      </c>
      <c r="AQ620">
        <v>16666.666666666668</v>
      </c>
      <c r="AR620" t="s">
        <v>9</v>
      </c>
      <c r="AS620" t="s">
        <v>78</v>
      </c>
      <c r="AX620" t="s">
        <v>79</v>
      </c>
      <c r="AY620" t="s">
        <v>137</v>
      </c>
      <c r="AZ620">
        <v>0</v>
      </c>
      <c r="BA620" t="s">
        <v>137</v>
      </c>
      <c r="BB620">
        <v>0</v>
      </c>
      <c r="BE620">
        <v>0</v>
      </c>
    </row>
    <row r="621" spans="1:58" ht="12.75">
      <c r="A621" s="2" t="str">
        <f>HYPERLINK("https://ibp.a2mac1.com/costing(costing:projects/details/8191/part/5383430)","PCB Insulations")</f>
        <v>PCB Insulations</v>
      </c>
      <c r="B621">
        <v>5383430</v>
      </c>
      <c r="C621">
        <v>5383098</v>
      </c>
      <c r="D621" t="s">
        <v>2201</v>
      </c>
      <c r="E621">
        <v>0.55100000000000005</v>
      </c>
      <c r="F621">
        <v>0</v>
      </c>
      <c r="G621">
        <v>0</v>
      </c>
      <c r="H621">
        <v>0</v>
      </c>
      <c r="I621" t="s">
        <v>74</v>
      </c>
      <c r="J621">
        <v>0</v>
      </c>
      <c r="K621">
        <v>0.55100000000000005</v>
      </c>
      <c r="L621">
        <v>0</v>
      </c>
      <c r="M621">
        <v>0</v>
      </c>
      <c r="N621">
        <v>0.55100000000000005</v>
      </c>
      <c r="O621" t="s">
        <v>74</v>
      </c>
      <c r="P621">
        <v>0</v>
      </c>
      <c r="Q621" t="s">
        <v>74</v>
      </c>
      <c r="R621">
        <v>0</v>
      </c>
      <c r="S621" t="s">
        <v>74</v>
      </c>
      <c r="T621">
        <v>0</v>
      </c>
      <c r="U621" t="s">
        <v>74</v>
      </c>
      <c r="V621">
        <v>0</v>
      </c>
      <c r="W621" t="s">
        <v>74</v>
      </c>
      <c r="X621">
        <v>0</v>
      </c>
      <c r="Y621">
        <v>0.55100000000000005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129</v>
      </c>
      <c r="AF621">
        <v>285</v>
      </c>
      <c r="AG621">
        <v>20</v>
      </c>
      <c r="AH621">
        <v>0</v>
      </c>
      <c r="AI621">
        <v>0.0060000000000000001</v>
      </c>
      <c r="AK621" t="s">
        <v>218</v>
      </c>
      <c r="AM621">
        <v>200000</v>
      </c>
      <c r="AN621" t="s">
        <v>92</v>
      </c>
      <c r="AO621">
        <v>1</v>
      </c>
      <c r="AP621">
        <v>0</v>
      </c>
      <c r="AQ621">
        <v>16666.666666666668</v>
      </c>
      <c r="AR621" t="s">
        <v>9</v>
      </c>
      <c r="AS621" t="s">
        <v>78</v>
      </c>
      <c r="AX621" t="s">
        <v>79</v>
      </c>
      <c r="AY621" t="s">
        <v>74</v>
      </c>
      <c r="AZ621">
        <v>0</v>
      </c>
      <c r="BA621" t="s">
        <v>74</v>
      </c>
      <c r="BB621">
        <v>0</v>
      </c>
      <c r="BD621">
        <v>0.55100000000000005</v>
      </c>
      <c r="BE621">
        <v>0</v>
      </c>
    </row>
    <row r="622" spans="1:58" ht="12.75">
      <c r="A622" s="2" t="str">
        <f>HYPERLINK("https://ibp.a2mac1.com/costing(costing:projects/details/8191/part/5383431)"," Pressure Vent 1")</f>
        <v xml:space="preserve"> Pressure Vent 1</v>
      </c>
      <c r="B622">
        <v>5383431</v>
      </c>
      <c r="C622">
        <v>5383099</v>
      </c>
      <c r="D622" t="s">
        <v>2204</v>
      </c>
      <c r="E622">
        <v>0.15</v>
      </c>
      <c r="F622">
        <v>0</v>
      </c>
      <c r="G622">
        <v>0</v>
      </c>
      <c r="H622">
        <v>0</v>
      </c>
      <c r="I622" t="s">
        <v>74</v>
      </c>
      <c r="J622">
        <v>0</v>
      </c>
      <c r="K622">
        <v>0.15</v>
      </c>
      <c r="L622">
        <v>0</v>
      </c>
      <c r="M622">
        <v>0</v>
      </c>
      <c r="N622">
        <v>0.15</v>
      </c>
      <c r="O622" t="s">
        <v>74</v>
      </c>
      <c r="P622">
        <v>0</v>
      </c>
      <c r="Q622" t="s">
        <v>74</v>
      </c>
      <c r="R622">
        <v>0</v>
      </c>
      <c r="S622" t="s">
        <v>74</v>
      </c>
      <c r="T622">
        <v>0</v>
      </c>
      <c r="U622" t="s">
        <v>74</v>
      </c>
      <c r="V622">
        <v>0</v>
      </c>
      <c r="W622" t="s">
        <v>74</v>
      </c>
      <c r="X622">
        <v>0</v>
      </c>
      <c r="Y622">
        <v>0.15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17</v>
      </c>
      <c r="AF622">
        <v>17</v>
      </c>
      <c r="AG622">
        <v>14</v>
      </c>
      <c r="AH622">
        <v>0</v>
      </c>
      <c r="AI622">
        <v>0.001</v>
      </c>
      <c r="AK622" t="s">
        <v>218</v>
      </c>
      <c r="AM622">
        <v>200000</v>
      </c>
      <c r="AN622" t="s">
        <v>92</v>
      </c>
      <c r="AO622">
        <v>1</v>
      </c>
      <c r="AP622">
        <v>0</v>
      </c>
      <c r="AQ622">
        <v>16666.666666666668</v>
      </c>
      <c r="AR622" t="s">
        <v>9</v>
      </c>
      <c r="AS622" t="s">
        <v>78</v>
      </c>
      <c r="AX622" t="s">
        <v>79</v>
      </c>
      <c r="AY622" t="s">
        <v>74</v>
      </c>
      <c r="AZ622">
        <v>0</v>
      </c>
      <c r="BA622" t="s">
        <v>74</v>
      </c>
      <c r="BB622">
        <v>0</v>
      </c>
      <c r="BD622">
        <v>0.15</v>
      </c>
      <c r="BE622">
        <v>0</v>
      </c>
    </row>
    <row r="623" spans="1:58" ht="12.75">
      <c r="A623" s="2" t="str">
        <f>HYPERLINK("https://ibp.a2mac1.com/costing(costing:projects/details/8191/part/5383432)"," Seal 1")</f>
        <v xml:space="preserve"> Seal 1</v>
      </c>
      <c r="B623">
        <v>5383432</v>
      </c>
      <c r="C623">
        <v>5383100</v>
      </c>
      <c r="D623" t="s">
        <v>2207</v>
      </c>
      <c r="E623">
        <v>0.55</v>
      </c>
      <c r="F623">
        <v>0</v>
      </c>
      <c r="G623">
        <v>0</v>
      </c>
      <c r="H623">
        <v>0</v>
      </c>
      <c r="I623" t="s">
        <v>74</v>
      </c>
      <c r="J623">
        <v>0</v>
      </c>
      <c r="K623">
        <v>0.55</v>
      </c>
      <c r="L623">
        <v>0</v>
      </c>
      <c r="M623">
        <v>0</v>
      </c>
      <c r="N623">
        <v>0.55</v>
      </c>
      <c r="O623" t="s">
        <v>74</v>
      </c>
      <c r="P623">
        <v>0</v>
      </c>
      <c r="Q623" t="s">
        <v>74</v>
      </c>
      <c r="R623">
        <v>0</v>
      </c>
      <c r="S623" t="s">
        <v>74</v>
      </c>
      <c r="T623">
        <v>0</v>
      </c>
      <c r="U623" t="s">
        <v>74</v>
      </c>
      <c r="V623">
        <v>0</v>
      </c>
      <c r="W623" t="s">
        <v>74</v>
      </c>
      <c r="X623">
        <v>0</v>
      </c>
      <c r="Y623">
        <v>0.55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263</v>
      </c>
      <c r="AF623">
        <v>121</v>
      </c>
      <c r="AG623">
        <v>12</v>
      </c>
      <c r="AH623">
        <v>715</v>
      </c>
      <c r="AI623">
        <v>0.010999999999999999</v>
      </c>
      <c r="AK623" t="s">
        <v>218</v>
      </c>
      <c r="AM623">
        <v>200000</v>
      </c>
      <c r="AN623" t="s">
        <v>92</v>
      </c>
      <c r="AO623">
        <v>1</v>
      </c>
      <c r="AP623">
        <v>0</v>
      </c>
      <c r="AQ623">
        <v>16666.666666666668</v>
      </c>
      <c r="AR623" t="s">
        <v>9</v>
      </c>
      <c r="AS623" t="s">
        <v>78</v>
      </c>
      <c r="AX623" t="s">
        <v>79</v>
      </c>
      <c r="AY623" t="s">
        <v>74</v>
      </c>
      <c r="AZ623">
        <v>0</v>
      </c>
      <c r="BA623" t="s">
        <v>74</v>
      </c>
      <c r="BB623">
        <v>0</v>
      </c>
      <c r="BD623">
        <v>0.55</v>
      </c>
      <c r="BE623">
        <v>0</v>
      </c>
    </row>
    <row r="624" spans="1:58" ht="12.75">
      <c r="A624" s="2" t="str">
        <f>HYPERLINK("https://ibp.a2mac1.com/costing(costing:projects/details/8191/part/5383433)"," Thermal Paste DC Link")</f>
        <v xml:space="preserve"> Thermal Paste DC Link</v>
      </c>
      <c r="B624">
        <v>5383433</v>
      </c>
      <c r="C624">
        <v>5383101</v>
      </c>
      <c r="D624" t="s">
        <v>2210</v>
      </c>
      <c r="E624">
        <v>5.28</v>
      </c>
      <c r="F624">
        <v>0</v>
      </c>
      <c r="G624">
        <v>0</v>
      </c>
      <c r="H624">
        <v>0</v>
      </c>
      <c r="I624" t="s">
        <v>74</v>
      </c>
      <c r="J624">
        <v>0</v>
      </c>
      <c r="K624">
        <v>5.28</v>
      </c>
      <c r="L624">
        <v>0</v>
      </c>
      <c r="M624">
        <v>0</v>
      </c>
      <c r="N624">
        <v>5.28</v>
      </c>
      <c r="O624" t="s">
        <v>74</v>
      </c>
      <c r="P624">
        <v>0</v>
      </c>
      <c r="Q624" t="s">
        <v>74</v>
      </c>
      <c r="R624">
        <v>0</v>
      </c>
      <c r="S624" t="s">
        <v>74</v>
      </c>
      <c r="T624">
        <v>0</v>
      </c>
      <c r="U624" t="s">
        <v>74</v>
      </c>
      <c r="V624">
        <v>0</v>
      </c>
      <c r="W624" t="s">
        <v>74</v>
      </c>
      <c r="X624">
        <v>0</v>
      </c>
      <c r="Y624">
        <v>5.28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0.32600000000000001</v>
      </c>
      <c r="AK624" t="s">
        <v>218</v>
      </c>
      <c r="AM624">
        <v>200000</v>
      </c>
      <c r="AN624" t="s">
        <v>76</v>
      </c>
      <c r="AO624">
        <v>1</v>
      </c>
      <c r="AP624">
        <v>0</v>
      </c>
      <c r="AQ624">
        <v>16666.666666666668</v>
      </c>
      <c r="AR624" t="s">
        <v>9</v>
      </c>
      <c r="AS624" t="s">
        <v>78</v>
      </c>
      <c r="AX624" t="s">
        <v>79</v>
      </c>
      <c r="AY624" t="s">
        <v>74</v>
      </c>
      <c r="AZ624">
        <v>0</v>
      </c>
      <c r="BA624" t="s">
        <v>74</v>
      </c>
      <c r="BB624">
        <v>0</v>
      </c>
      <c r="BD624">
        <v>5.28</v>
      </c>
      <c r="BE624">
        <v>0</v>
      </c>
    </row>
    <row r="625" spans="1:58" ht="12.75">
      <c r="A625" s="2" t="str">
        <f>HYPERLINK("https://ibp.a2mac1.com/costing(costing:projects/details/8191/part/5383434)","Thermal Paste Inductors")</f>
        <v>Thermal Paste Inductors</v>
      </c>
      <c r="B625">
        <v>5383434</v>
      </c>
      <c r="C625">
        <v>5383101</v>
      </c>
      <c r="E625">
        <v>10.26</v>
      </c>
      <c r="F625">
        <v>0</v>
      </c>
      <c r="G625">
        <v>0</v>
      </c>
      <c r="H625">
        <v>0</v>
      </c>
      <c r="I625" t="s">
        <v>74</v>
      </c>
      <c r="J625">
        <v>0</v>
      </c>
      <c r="K625">
        <v>10.26</v>
      </c>
      <c r="L625">
        <v>0</v>
      </c>
      <c r="M625">
        <v>0</v>
      </c>
      <c r="N625">
        <v>10.26</v>
      </c>
      <c r="O625" t="s">
        <v>74</v>
      </c>
      <c r="P625">
        <v>0</v>
      </c>
      <c r="Q625" t="s">
        <v>74</v>
      </c>
      <c r="R625">
        <v>0</v>
      </c>
      <c r="S625" t="s">
        <v>74</v>
      </c>
      <c r="T625">
        <v>0</v>
      </c>
      <c r="U625" t="s">
        <v>74</v>
      </c>
      <c r="V625">
        <v>0</v>
      </c>
      <c r="W625" t="s">
        <v>74</v>
      </c>
      <c r="X625">
        <v>0</v>
      </c>
      <c r="Y625">
        <v>10.26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0.17100000000000001</v>
      </c>
      <c r="AK625" t="s">
        <v>218</v>
      </c>
      <c r="AM625">
        <v>200000</v>
      </c>
      <c r="AN625" t="s">
        <v>76</v>
      </c>
      <c r="AO625">
        <v>1</v>
      </c>
      <c r="AP625">
        <v>0</v>
      </c>
      <c r="AQ625">
        <v>16666.666666666668</v>
      </c>
      <c r="AR625" t="s">
        <v>9</v>
      </c>
      <c r="AS625" t="s">
        <v>78</v>
      </c>
      <c r="AX625" t="s">
        <v>79</v>
      </c>
      <c r="AY625" t="s">
        <v>74</v>
      </c>
      <c r="AZ625">
        <v>0</v>
      </c>
      <c r="BA625" t="s">
        <v>74</v>
      </c>
      <c r="BB625">
        <v>0</v>
      </c>
      <c r="BD625">
        <v>10.26</v>
      </c>
      <c r="BE625">
        <v>0</v>
      </c>
    </row>
    <row r="626" spans="1:58" ht="12.75">
      <c r="A626" s="2" t="str">
        <f>HYPERLINK("https://ibp.a2mac1.com/costing(costing:projects/details/8191/part/5383435)"," Potting")</f>
        <v xml:space="preserve"> Potting</v>
      </c>
      <c r="B626">
        <v>5383435</v>
      </c>
      <c r="C626">
        <v>5383101</v>
      </c>
      <c r="E626">
        <v>4.20</v>
      </c>
      <c r="F626">
        <v>0</v>
      </c>
      <c r="G626">
        <v>0</v>
      </c>
      <c r="H626">
        <v>0</v>
      </c>
      <c r="I626" t="s">
        <v>74</v>
      </c>
      <c r="J626">
        <v>0</v>
      </c>
      <c r="K626">
        <v>4.20</v>
      </c>
      <c r="L626">
        <v>0</v>
      </c>
      <c r="M626">
        <v>0</v>
      </c>
      <c r="N626">
        <v>4.20</v>
      </c>
      <c r="O626" t="s">
        <v>74</v>
      </c>
      <c r="P626">
        <v>0</v>
      </c>
      <c r="Q626" t="s">
        <v>74</v>
      </c>
      <c r="R626">
        <v>0</v>
      </c>
      <c r="S626" t="s">
        <v>74</v>
      </c>
      <c r="T626">
        <v>0</v>
      </c>
      <c r="U626" t="s">
        <v>74</v>
      </c>
      <c r="V626">
        <v>0</v>
      </c>
      <c r="W626" t="s">
        <v>74</v>
      </c>
      <c r="X626">
        <v>0</v>
      </c>
      <c r="Y626">
        <v>4.20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0.32600000000000001</v>
      </c>
      <c r="AK626" t="s">
        <v>218</v>
      </c>
      <c r="AM626">
        <v>200000</v>
      </c>
      <c r="AN626" t="s">
        <v>76</v>
      </c>
      <c r="AO626">
        <v>1</v>
      </c>
      <c r="AP626">
        <v>0</v>
      </c>
      <c r="AQ626">
        <v>16666.666666666668</v>
      </c>
      <c r="AR626" t="s">
        <v>9</v>
      </c>
      <c r="AS626" t="s">
        <v>78</v>
      </c>
      <c r="AX626" t="s">
        <v>79</v>
      </c>
      <c r="AY626" t="s">
        <v>74</v>
      </c>
      <c r="AZ626">
        <v>0</v>
      </c>
      <c r="BA626" t="s">
        <v>74</v>
      </c>
      <c r="BB626">
        <v>0</v>
      </c>
      <c r="BD626">
        <v>4.20</v>
      </c>
      <c r="BE626">
        <v>0</v>
      </c>
    </row>
    <row r="627" spans="1:58" ht="12.75">
      <c r="A627" s="2" t="str">
        <f>HYPERLINK("https://ibp.a2mac1.com/costing(costing:projects/details/8191/part/5382864)"," Guide Under Floor")</f>
        <v xml:space="preserve"> Guide Under Floor</v>
      </c>
      <c r="B627">
        <v>5382864</v>
      </c>
      <c r="C627">
        <v>5382800</v>
      </c>
      <c r="D627" t="s">
        <v>2215</v>
      </c>
      <c r="E627">
        <v>0.25896000000000002</v>
      </c>
      <c r="F627">
        <v>0</v>
      </c>
      <c r="G627">
        <v>0</v>
      </c>
      <c r="H627">
        <v>0</v>
      </c>
      <c r="I627" t="s">
        <v>74</v>
      </c>
      <c r="J627">
        <v>0</v>
      </c>
      <c r="K627">
        <v>0.25896000000000002</v>
      </c>
      <c r="L627">
        <v>0</v>
      </c>
      <c r="M627">
        <v>0</v>
      </c>
      <c r="N627">
        <v>0.25896000000000002</v>
      </c>
      <c r="O627" t="s">
        <v>74</v>
      </c>
      <c r="P627">
        <v>0</v>
      </c>
      <c r="Q627" t="s">
        <v>74</v>
      </c>
      <c r="R627">
        <v>0</v>
      </c>
      <c r="S627" t="s">
        <v>74</v>
      </c>
      <c r="T627">
        <v>0</v>
      </c>
      <c r="U627" t="s">
        <v>74</v>
      </c>
      <c r="V627">
        <v>0</v>
      </c>
      <c r="W627" t="s">
        <v>74</v>
      </c>
      <c r="X627">
        <v>0</v>
      </c>
      <c r="Y627">
        <v>0.25896000000000002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115</v>
      </c>
      <c r="AF627">
        <v>71</v>
      </c>
      <c r="AG627">
        <v>73</v>
      </c>
      <c r="AH627">
        <v>0</v>
      </c>
      <c r="AI627">
        <v>0.032000000000000001</v>
      </c>
      <c r="AK627" t="s">
        <v>75</v>
      </c>
      <c r="AM627">
        <v>200000</v>
      </c>
      <c r="AN627" t="s">
        <v>76</v>
      </c>
      <c r="AO627">
        <v>1</v>
      </c>
      <c r="AP627">
        <v>0</v>
      </c>
      <c r="AQ627">
        <v>16666.666666666668</v>
      </c>
      <c r="AR627" t="s">
        <v>2216</v>
      </c>
      <c r="AS627" t="s">
        <v>78</v>
      </c>
      <c r="AX627" t="s">
        <v>79</v>
      </c>
      <c r="AY627" t="s">
        <v>74</v>
      </c>
      <c r="AZ627">
        <v>0</v>
      </c>
      <c r="BA627" t="s">
        <v>74</v>
      </c>
      <c r="BB627">
        <v>0</v>
      </c>
      <c r="BD627">
        <v>0.25896000000000002</v>
      </c>
      <c r="BE627">
        <v>0</v>
      </c>
    </row>
    <row r="628" spans="1:58" ht="12.75">
      <c r="A628" s="2" t="str">
        <f>HYPERLINK("https://ibp.a2mac1.com/costing(costing:projects/details/8191/part/5382865)"," Second guide under floor")</f>
        <v xml:space="preserve"> Second guide under floor</v>
      </c>
      <c r="B628">
        <v>5382865</v>
      </c>
      <c r="C628">
        <v>5382800</v>
      </c>
      <c r="D628" t="s">
        <v>2217</v>
      </c>
      <c r="E628">
        <v>0.38988</v>
      </c>
      <c r="F628">
        <v>0</v>
      </c>
      <c r="G628">
        <v>0</v>
      </c>
      <c r="H628">
        <v>0</v>
      </c>
      <c r="I628" t="s">
        <v>74</v>
      </c>
      <c r="J628">
        <v>0</v>
      </c>
      <c r="K628">
        <v>0.38988</v>
      </c>
      <c r="L628">
        <v>0</v>
      </c>
      <c r="M628">
        <v>0</v>
      </c>
      <c r="N628">
        <v>0.38988</v>
      </c>
      <c r="O628" t="s">
        <v>74</v>
      </c>
      <c r="P628">
        <v>0</v>
      </c>
      <c r="Q628" t="s">
        <v>74</v>
      </c>
      <c r="R628">
        <v>0</v>
      </c>
      <c r="S628" t="s">
        <v>74</v>
      </c>
      <c r="T628">
        <v>0</v>
      </c>
      <c r="U628" t="s">
        <v>74</v>
      </c>
      <c r="V628">
        <v>0</v>
      </c>
      <c r="W628" t="s">
        <v>74</v>
      </c>
      <c r="X628">
        <v>0</v>
      </c>
      <c r="Y628">
        <v>0.38988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212</v>
      </c>
      <c r="AF628">
        <v>87</v>
      </c>
      <c r="AG628">
        <v>116</v>
      </c>
      <c r="AH628">
        <v>0</v>
      </c>
      <c r="AI628">
        <v>0.091999999999999998</v>
      </c>
      <c r="AK628" t="s">
        <v>75</v>
      </c>
      <c r="AM628">
        <v>200000</v>
      </c>
      <c r="AN628" t="s">
        <v>76</v>
      </c>
      <c r="AO628">
        <v>1</v>
      </c>
      <c r="AP628">
        <v>0</v>
      </c>
      <c r="AQ628">
        <v>16666.666666666668</v>
      </c>
      <c r="AR628" t="s">
        <v>2218</v>
      </c>
      <c r="AS628" t="s">
        <v>78</v>
      </c>
      <c r="AX628" t="s">
        <v>79</v>
      </c>
      <c r="AY628" t="s">
        <v>74</v>
      </c>
      <c r="AZ628">
        <v>0</v>
      </c>
      <c r="BA628" t="s">
        <v>74</v>
      </c>
      <c r="BB628">
        <v>0</v>
      </c>
      <c r="BD628">
        <v>0.38988</v>
      </c>
      <c r="BE628">
        <v>0</v>
      </c>
    </row>
    <row r="629" spans="1:58" ht="12.75">
      <c r="A629" s="2" t="str">
        <f>HYPERLINK("https://ibp.a2mac1.com/costing(costing:projects/details/8191/part/5382866)"," 3rd guide under floor")</f>
        <v xml:space="preserve"> 3rd guide under floor</v>
      </c>
      <c r="B629">
        <v>5382866</v>
      </c>
      <c r="C629">
        <v>5382800</v>
      </c>
      <c r="D629" t="s">
        <v>2219</v>
      </c>
      <c r="E629">
        <v>0.24012</v>
      </c>
      <c r="F629">
        <v>0</v>
      </c>
      <c r="G629">
        <v>0</v>
      </c>
      <c r="H629">
        <v>0</v>
      </c>
      <c r="I629" t="s">
        <v>74</v>
      </c>
      <c r="J629">
        <v>0</v>
      </c>
      <c r="K629">
        <v>0.24012</v>
      </c>
      <c r="L629">
        <v>0</v>
      </c>
      <c r="M629">
        <v>0</v>
      </c>
      <c r="N629">
        <v>0.24012</v>
      </c>
      <c r="O629" t="s">
        <v>74</v>
      </c>
      <c r="P629">
        <v>0</v>
      </c>
      <c r="Q629" t="s">
        <v>74</v>
      </c>
      <c r="R629">
        <v>0</v>
      </c>
      <c r="S629" t="s">
        <v>74</v>
      </c>
      <c r="T629">
        <v>0</v>
      </c>
      <c r="U629" t="s">
        <v>74</v>
      </c>
      <c r="V629">
        <v>0</v>
      </c>
      <c r="W629" t="s">
        <v>74</v>
      </c>
      <c r="X629">
        <v>0</v>
      </c>
      <c r="Y629">
        <v>0.24012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115</v>
      </c>
      <c r="AF629">
        <v>84</v>
      </c>
      <c r="AG629">
        <v>65</v>
      </c>
      <c r="AH629">
        <v>0</v>
      </c>
      <c r="AI629">
        <v>0.045999999999999999</v>
      </c>
      <c r="AK629" t="s">
        <v>75</v>
      </c>
      <c r="AM629">
        <v>200000</v>
      </c>
      <c r="AN629" t="s">
        <v>76</v>
      </c>
      <c r="AO629">
        <v>1</v>
      </c>
      <c r="AP629">
        <v>0</v>
      </c>
      <c r="AQ629">
        <v>16666.666666666668</v>
      </c>
      <c r="AR629" t="s">
        <v>2220</v>
      </c>
      <c r="AS629" t="s">
        <v>78</v>
      </c>
      <c r="AX629" t="s">
        <v>79</v>
      </c>
      <c r="AY629" t="s">
        <v>74</v>
      </c>
      <c r="AZ629">
        <v>0</v>
      </c>
      <c r="BA629" t="s">
        <v>74</v>
      </c>
      <c r="BB629">
        <v>0</v>
      </c>
      <c r="BD629">
        <v>0.24012</v>
      </c>
      <c r="BE629">
        <v>0</v>
      </c>
    </row>
    <row r="630" spans="1:58" ht="12.75">
      <c r="A630" s="2" t="str">
        <f>HYPERLINK("https://ibp.a2mac1.com/costing(costing:projects/details/8191/part/5382867)"," 4rd guide under floor")</f>
        <v xml:space="preserve"> 4rd guide under floor</v>
      </c>
      <c r="B630">
        <v>5382867</v>
      </c>
      <c r="C630">
        <v>5382800</v>
      </c>
      <c r="D630" t="s">
        <v>2221</v>
      </c>
      <c r="E630">
        <v>0.12456</v>
      </c>
      <c r="F630">
        <v>0</v>
      </c>
      <c r="G630">
        <v>0</v>
      </c>
      <c r="H630">
        <v>0</v>
      </c>
      <c r="I630" t="s">
        <v>74</v>
      </c>
      <c r="J630">
        <v>0</v>
      </c>
      <c r="K630">
        <v>0.12456</v>
      </c>
      <c r="L630">
        <v>0</v>
      </c>
      <c r="M630">
        <v>0</v>
      </c>
      <c r="N630">
        <v>0.12456</v>
      </c>
      <c r="O630" t="s">
        <v>74</v>
      </c>
      <c r="P630">
        <v>0</v>
      </c>
      <c r="Q630" t="s">
        <v>74</v>
      </c>
      <c r="R630">
        <v>0</v>
      </c>
      <c r="S630" t="s">
        <v>74</v>
      </c>
      <c r="T630">
        <v>0</v>
      </c>
      <c r="U630" t="s">
        <v>74</v>
      </c>
      <c r="V630">
        <v>0</v>
      </c>
      <c r="W630" t="s">
        <v>74</v>
      </c>
      <c r="X630">
        <v>0</v>
      </c>
      <c r="Y630">
        <v>0.12456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87</v>
      </c>
      <c r="AF630">
        <v>30</v>
      </c>
      <c r="AG630">
        <v>8</v>
      </c>
      <c r="AH630">
        <v>0</v>
      </c>
      <c r="AI630">
        <v>0.0060000000000000001</v>
      </c>
      <c r="AK630" t="s">
        <v>75</v>
      </c>
      <c r="AM630">
        <v>200000</v>
      </c>
      <c r="AN630" t="s">
        <v>76</v>
      </c>
      <c r="AO630">
        <v>1</v>
      </c>
      <c r="AP630">
        <v>0</v>
      </c>
      <c r="AQ630">
        <v>16666.666666666668</v>
      </c>
      <c r="AR630" t="s">
        <v>2222</v>
      </c>
      <c r="AS630" t="s">
        <v>78</v>
      </c>
      <c r="AX630" t="s">
        <v>79</v>
      </c>
      <c r="AY630" t="s">
        <v>74</v>
      </c>
      <c r="AZ630">
        <v>0</v>
      </c>
      <c r="BA630" t="s">
        <v>74</v>
      </c>
      <c r="BB630">
        <v>0</v>
      </c>
      <c r="BD630">
        <v>0.12456</v>
      </c>
      <c r="BE630">
        <v>0</v>
      </c>
    </row>
    <row r="631" spans="1:58" ht="12.75">
      <c r="A631" s="2" t="str">
        <f>HYPERLINK("https://ibp.a2mac1.com/costing(costing:projects/details/8191/part/5382868)"," Rear Wheel Arch Guide")</f>
        <v xml:space="preserve"> Rear Wheel Arch Guide</v>
      </c>
      <c r="B631">
        <v>5382868</v>
      </c>
      <c r="C631">
        <v>5382800</v>
      </c>
      <c r="D631" t="s">
        <v>2223</v>
      </c>
      <c r="E631">
        <v>0.31581999999999999</v>
      </c>
      <c r="F631">
        <v>0</v>
      </c>
      <c r="G631">
        <v>0</v>
      </c>
      <c r="H631">
        <v>0</v>
      </c>
      <c r="I631" t="s">
        <v>74</v>
      </c>
      <c r="J631">
        <v>0</v>
      </c>
      <c r="K631">
        <v>0.31581999999999999</v>
      </c>
      <c r="L631">
        <v>0</v>
      </c>
      <c r="M631">
        <v>0</v>
      </c>
      <c r="N631">
        <v>0.31581999999999999</v>
      </c>
      <c r="O631" t="s">
        <v>74</v>
      </c>
      <c r="P631">
        <v>0</v>
      </c>
      <c r="Q631" t="s">
        <v>74</v>
      </c>
      <c r="R631">
        <v>0</v>
      </c>
      <c r="S631" t="s">
        <v>74</v>
      </c>
      <c r="T631">
        <v>0</v>
      </c>
      <c r="U631" t="s">
        <v>74</v>
      </c>
      <c r="V631">
        <v>0</v>
      </c>
      <c r="W631" t="s">
        <v>74</v>
      </c>
      <c r="X631">
        <v>0</v>
      </c>
      <c r="Y631">
        <v>0.31581999999999999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98</v>
      </c>
      <c r="AF631">
        <v>120</v>
      </c>
      <c r="AG631">
        <v>24</v>
      </c>
      <c r="AH631">
        <v>0</v>
      </c>
      <c r="AI631">
        <v>0.035</v>
      </c>
      <c r="AK631" t="s">
        <v>75</v>
      </c>
      <c r="AM631">
        <v>200000</v>
      </c>
      <c r="AN631" t="s">
        <v>76</v>
      </c>
      <c r="AO631">
        <v>1</v>
      </c>
      <c r="AP631">
        <v>0</v>
      </c>
      <c r="AQ631">
        <v>16666.666666666668</v>
      </c>
      <c r="AR631" t="s">
        <v>2224</v>
      </c>
      <c r="AS631" t="s">
        <v>78</v>
      </c>
      <c r="AX631" t="s">
        <v>79</v>
      </c>
      <c r="AY631" t="s">
        <v>74</v>
      </c>
      <c r="AZ631">
        <v>0</v>
      </c>
      <c r="BA631" t="s">
        <v>74</v>
      </c>
      <c r="BB631">
        <v>0</v>
      </c>
      <c r="BD631">
        <v>0.31581999999999999</v>
      </c>
      <c r="BE631">
        <v>0</v>
      </c>
    </row>
    <row r="632" spans="1:58" ht="12.75">
      <c r="A632" s="2" t="str">
        <f>HYPERLINK("https://ibp.a2mac1.com/costing(costing:projects/details/8191/part/5382869)"," Guide Under Trunk")</f>
        <v xml:space="preserve"> Guide Under Trunk</v>
      </c>
      <c r="B632">
        <v>5382869</v>
      </c>
      <c r="C632">
        <v>5382800</v>
      </c>
      <c r="D632" t="s">
        <v>2225</v>
      </c>
      <c r="E632">
        <v>0.99661999999999995</v>
      </c>
      <c r="F632">
        <v>0</v>
      </c>
      <c r="G632">
        <v>0</v>
      </c>
      <c r="H632">
        <v>0</v>
      </c>
      <c r="I632" t="s">
        <v>74</v>
      </c>
      <c r="J632">
        <v>0</v>
      </c>
      <c r="K632">
        <v>0.99661999999999995</v>
      </c>
      <c r="L632">
        <v>0</v>
      </c>
      <c r="M632">
        <v>0</v>
      </c>
      <c r="N632">
        <v>0.99661999999999995</v>
      </c>
      <c r="O632" t="s">
        <v>74</v>
      </c>
      <c r="P632">
        <v>0</v>
      </c>
      <c r="Q632" t="s">
        <v>74</v>
      </c>
      <c r="R632">
        <v>0</v>
      </c>
      <c r="S632" t="s">
        <v>74</v>
      </c>
      <c r="T632">
        <v>0</v>
      </c>
      <c r="U632" t="s">
        <v>74</v>
      </c>
      <c r="V632">
        <v>0</v>
      </c>
      <c r="W632" t="s">
        <v>74</v>
      </c>
      <c r="X632">
        <v>0</v>
      </c>
      <c r="Y632">
        <v>0.99661999999999995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355</v>
      </c>
      <c r="AF632">
        <v>145</v>
      </c>
      <c r="AG632">
        <v>280</v>
      </c>
      <c r="AH632">
        <v>0</v>
      </c>
      <c r="AI632">
        <v>0.15</v>
      </c>
      <c r="AK632" t="s">
        <v>75</v>
      </c>
      <c r="AM632">
        <v>200000</v>
      </c>
      <c r="AN632" t="s">
        <v>76</v>
      </c>
      <c r="AO632">
        <v>1</v>
      </c>
      <c r="AP632">
        <v>0</v>
      </c>
      <c r="AQ632">
        <v>16666.666666666668</v>
      </c>
      <c r="AR632" t="s">
        <v>2226</v>
      </c>
      <c r="AS632" t="s">
        <v>78</v>
      </c>
      <c r="AX632" t="s">
        <v>79</v>
      </c>
      <c r="AY632" t="s">
        <v>74</v>
      </c>
      <c r="AZ632">
        <v>0</v>
      </c>
      <c r="BA632" t="s">
        <v>74</v>
      </c>
      <c r="BB632">
        <v>0</v>
      </c>
      <c r="BD632">
        <v>0.99661999999999995</v>
      </c>
      <c r="BE632">
        <v>0</v>
      </c>
    </row>
    <row r="633" spans="1:58" ht="12.75">
      <c r="A633" s="2" t="str">
        <f>HYPERLINK("https://ibp.a2mac1.com/costing(costing:projects/details/8191/part/5382870)"," On Rear Axle")</f>
        <v xml:space="preserve"> On Rear Axle</v>
      </c>
      <c r="B633">
        <v>5382870</v>
      </c>
      <c r="C633">
        <v>5382800</v>
      </c>
      <c r="D633" t="s">
        <v>2227</v>
      </c>
      <c r="E633">
        <v>0.41699000000000003</v>
      </c>
      <c r="F633">
        <v>0</v>
      </c>
      <c r="G633">
        <v>0</v>
      </c>
      <c r="H633">
        <v>0</v>
      </c>
      <c r="I633" t="s">
        <v>74</v>
      </c>
      <c r="J633">
        <v>0</v>
      </c>
      <c r="K633">
        <v>0.41699000000000003</v>
      </c>
      <c r="L633">
        <v>0</v>
      </c>
      <c r="M633">
        <v>0</v>
      </c>
      <c r="N633">
        <v>0.41699000000000003</v>
      </c>
      <c r="O633" t="s">
        <v>74</v>
      </c>
      <c r="P633">
        <v>0</v>
      </c>
      <c r="Q633" t="s">
        <v>74</v>
      </c>
      <c r="R633">
        <v>0</v>
      </c>
      <c r="S633" t="s">
        <v>74</v>
      </c>
      <c r="T633">
        <v>0</v>
      </c>
      <c r="U633" t="s">
        <v>74</v>
      </c>
      <c r="V633">
        <v>0</v>
      </c>
      <c r="W633" t="s">
        <v>74</v>
      </c>
      <c r="X633">
        <v>0</v>
      </c>
      <c r="Y633">
        <v>0.41699000000000003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140</v>
      </c>
      <c r="AF633">
        <v>52</v>
      </c>
      <c r="AG633">
        <v>72</v>
      </c>
      <c r="AH633">
        <v>0</v>
      </c>
      <c r="AI633">
        <v>0.051999999999999998</v>
      </c>
      <c r="AK633" t="s">
        <v>75</v>
      </c>
      <c r="AM633">
        <v>200000</v>
      </c>
      <c r="AN633" t="s">
        <v>76</v>
      </c>
      <c r="AO633">
        <v>1</v>
      </c>
      <c r="AP633">
        <v>0</v>
      </c>
      <c r="AQ633">
        <v>16666.666666666668</v>
      </c>
      <c r="AR633" t="s">
        <v>2228</v>
      </c>
      <c r="AS633" t="s">
        <v>78</v>
      </c>
      <c r="AX633" t="s">
        <v>79</v>
      </c>
      <c r="AY633" t="s">
        <v>74</v>
      </c>
      <c r="AZ633">
        <v>0</v>
      </c>
      <c r="BA633" t="s">
        <v>74</v>
      </c>
      <c r="BB633">
        <v>0</v>
      </c>
      <c r="BD633">
        <v>0.41699000000000003</v>
      </c>
      <c r="BE633">
        <v>0</v>
      </c>
    </row>
    <row r="634" spans="1:58" ht="12.75">
      <c r="A634" s="2" t="str">
        <f>HYPERLINK("https://ibp.a2mac1.com/costing(costing:projects/details/8191/part/5382871)"," Guide on 2nd Engine")</f>
        <v xml:space="preserve"> Guide on 2nd Engine</v>
      </c>
      <c r="B634">
        <v>5382871</v>
      </c>
      <c r="C634">
        <v>5382800</v>
      </c>
      <c r="D634" t="s">
        <v>2229</v>
      </c>
      <c r="E634">
        <v>0.63046000000000002</v>
      </c>
      <c r="F634">
        <v>0</v>
      </c>
      <c r="G634">
        <v>0</v>
      </c>
      <c r="H634">
        <v>0</v>
      </c>
      <c r="I634" t="s">
        <v>74</v>
      </c>
      <c r="J634">
        <v>0</v>
      </c>
      <c r="K634">
        <v>0.63046000000000002</v>
      </c>
      <c r="L634">
        <v>0</v>
      </c>
      <c r="M634">
        <v>0</v>
      </c>
      <c r="N634">
        <v>0.63046000000000002</v>
      </c>
      <c r="O634" t="s">
        <v>74</v>
      </c>
      <c r="P634">
        <v>0</v>
      </c>
      <c r="Q634" t="s">
        <v>74</v>
      </c>
      <c r="R634">
        <v>0</v>
      </c>
      <c r="S634" t="s">
        <v>74</v>
      </c>
      <c r="T634">
        <v>0</v>
      </c>
      <c r="U634" t="s">
        <v>74</v>
      </c>
      <c r="V634">
        <v>0</v>
      </c>
      <c r="W634" t="s">
        <v>74</v>
      </c>
      <c r="X634">
        <v>0</v>
      </c>
      <c r="Y634">
        <v>0.63046000000000002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245</v>
      </c>
      <c r="AF634">
        <v>70</v>
      </c>
      <c r="AG634">
        <v>160</v>
      </c>
      <c r="AH634">
        <v>0</v>
      </c>
      <c r="AI634">
        <v>0.075</v>
      </c>
      <c r="AK634" t="s">
        <v>75</v>
      </c>
      <c r="AM634">
        <v>200000</v>
      </c>
      <c r="AN634" t="s">
        <v>76</v>
      </c>
      <c r="AO634">
        <v>1</v>
      </c>
      <c r="AP634">
        <v>0</v>
      </c>
      <c r="AQ634">
        <v>16666.666666666668</v>
      </c>
      <c r="AR634" t="s">
        <v>2230</v>
      </c>
      <c r="AS634" t="s">
        <v>78</v>
      </c>
      <c r="AX634" t="s">
        <v>79</v>
      </c>
      <c r="AY634" t="s">
        <v>74</v>
      </c>
      <c r="AZ634">
        <v>0</v>
      </c>
      <c r="BA634" t="s">
        <v>74</v>
      </c>
      <c r="BB634">
        <v>0</v>
      </c>
      <c r="BD634">
        <v>0.63046000000000002</v>
      </c>
      <c r="BE634">
        <v>0</v>
      </c>
    </row>
    <row r="635" spans="1:58" ht="12.75">
      <c r="A635" s="2" t="str">
        <f>HYPERLINK("https://ibp.a2mac1.com/costing(costing:projects/details/8191/part/5383102)","Connectors")</f>
        <v>Connectors</v>
      </c>
      <c r="B635">
        <v>5383102</v>
      </c>
      <c r="C635">
        <v>5382872</v>
      </c>
      <c r="D635" t="s">
        <v>603</v>
      </c>
      <c r="E635">
        <v>19.25</v>
      </c>
      <c r="F635">
        <v>0</v>
      </c>
      <c r="G635">
        <v>0</v>
      </c>
      <c r="H635">
        <v>0</v>
      </c>
      <c r="I635" t="s">
        <v>74</v>
      </c>
      <c r="J635">
        <v>0</v>
      </c>
      <c r="K635">
        <v>19.25</v>
      </c>
      <c r="L635">
        <v>0</v>
      </c>
      <c r="M635">
        <v>0</v>
      </c>
      <c r="N635">
        <v>19.25</v>
      </c>
      <c r="O635" t="s">
        <v>74</v>
      </c>
      <c r="P635">
        <v>0</v>
      </c>
      <c r="Q635" t="s">
        <v>74</v>
      </c>
      <c r="R635">
        <v>0</v>
      </c>
      <c r="S635" t="s">
        <v>74</v>
      </c>
      <c r="T635">
        <v>0</v>
      </c>
      <c r="U635" t="s">
        <v>74</v>
      </c>
      <c r="V635">
        <v>0</v>
      </c>
      <c r="W635" t="s">
        <v>74</v>
      </c>
      <c r="X635">
        <v>0</v>
      </c>
      <c r="Y635">
        <v>19.25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K635" t="s">
        <v>213</v>
      </c>
      <c r="AM635">
        <v>200000</v>
      </c>
      <c r="AN635" t="s">
        <v>76</v>
      </c>
      <c r="AO635">
        <v>1</v>
      </c>
      <c r="AP635">
        <v>0</v>
      </c>
      <c r="AQ635">
        <v>16666.666666666668</v>
      </c>
      <c r="AR635" t="s">
        <v>2235</v>
      </c>
      <c r="AS635" t="s">
        <v>78</v>
      </c>
      <c r="AX635" t="s">
        <v>79</v>
      </c>
      <c r="AY635" t="s">
        <v>74</v>
      </c>
      <c r="AZ635">
        <v>0</v>
      </c>
      <c r="BA635" t="s">
        <v>74</v>
      </c>
      <c r="BB635">
        <v>0</v>
      </c>
      <c r="BD635">
        <v>19.25</v>
      </c>
      <c r="BE635">
        <v>0</v>
      </c>
    </row>
    <row r="636" spans="1:58" ht="12.75">
      <c r="A636" s="2" t="str">
        <f>HYPERLINK("https://ibp.a2mac1.com/costing(costing:projects/details/8191/part/5383103)","HV Cable")</f>
        <v>HV Cable</v>
      </c>
      <c r="B636">
        <v>5383103</v>
      </c>
      <c r="C636">
        <v>5382872</v>
      </c>
      <c r="D636" t="s">
        <v>603</v>
      </c>
      <c r="E636">
        <v>19.73329</v>
      </c>
      <c r="F636">
        <v>0</v>
      </c>
      <c r="G636">
        <v>0</v>
      </c>
      <c r="H636">
        <v>0</v>
      </c>
      <c r="I636" t="s">
        <v>74</v>
      </c>
      <c r="J636">
        <v>0</v>
      </c>
      <c r="K636">
        <v>19.73329</v>
      </c>
      <c r="L636">
        <v>0</v>
      </c>
      <c r="M636">
        <v>0</v>
      </c>
      <c r="N636">
        <v>19.73329</v>
      </c>
      <c r="O636" t="s">
        <v>74</v>
      </c>
      <c r="P636">
        <v>0</v>
      </c>
      <c r="Q636" t="s">
        <v>74</v>
      </c>
      <c r="R636">
        <v>0</v>
      </c>
      <c r="S636" t="s">
        <v>74</v>
      </c>
      <c r="T636">
        <v>0</v>
      </c>
      <c r="U636" t="s">
        <v>74</v>
      </c>
      <c r="V636">
        <v>0</v>
      </c>
      <c r="W636" t="s">
        <v>74</v>
      </c>
      <c r="X636">
        <v>0</v>
      </c>
      <c r="Y636">
        <v>19.73329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K636" t="s">
        <v>218</v>
      </c>
      <c r="AM636">
        <v>200000</v>
      </c>
      <c r="AN636" t="s">
        <v>92</v>
      </c>
      <c r="AO636">
        <v>1</v>
      </c>
      <c r="AP636">
        <v>0</v>
      </c>
      <c r="AQ636">
        <v>16666.666666666668</v>
      </c>
      <c r="AR636" t="s">
        <v>9</v>
      </c>
      <c r="AS636" t="s">
        <v>78</v>
      </c>
      <c r="AX636" t="s">
        <v>79</v>
      </c>
      <c r="AY636" t="s">
        <v>74</v>
      </c>
      <c r="AZ636">
        <v>0</v>
      </c>
      <c r="BA636" t="s">
        <v>74</v>
      </c>
      <c r="BB636">
        <v>0</v>
      </c>
      <c r="BD636">
        <v>19.73329</v>
      </c>
      <c r="BE636">
        <v>0</v>
      </c>
    </row>
    <row r="637" spans="1:58" ht="12.75">
      <c r="A637" s="2" t="str">
        <f>HYPERLINK("https://ibp.a2mac1.com/costing(costing:projects/details/8191/part/5383104)","Miscellaneuos")</f>
        <v>Miscellaneuos</v>
      </c>
      <c r="B637">
        <v>5383104</v>
      </c>
      <c r="C637">
        <v>5382872</v>
      </c>
      <c r="D637" t="s">
        <v>603</v>
      </c>
      <c r="E637">
        <v>2.1166700000000001</v>
      </c>
      <c r="F637">
        <v>0</v>
      </c>
      <c r="G637">
        <v>0</v>
      </c>
      <c r="H637">
        <v>0</v>
      </c>
      <c r="I637" t="s">
        <v>74</v>
      </c>
      <c r="J637">
        <v>0</v>
      </c>
      <c r="K637">
        <v>2.1166700000000001</v>
      </c>
      <c r="L637">
        <v>0</v>
      </c>
      <c r="M637">
        <v>0</v>
      </c>
      <c r="N637">
        <v>2.1166700000000001</v>
      </c>
      <c r="O637" t="s">
        <v>74</v>
      </c>
      <c r="P637">
        <v>0</v>
      </c>
      <c r="Q637" t="s">
        <v>74</v>
      </c>
      <c r="R637">
        <v>0</v>
      </c>
      <c r="S637" t="s">
        <v>74</v>
      </c>
      <c r="T637">
        <v>0</v>
      </c>
      <c r="U637" t="s">
        <v>74</v>
      </c>
      <c r="V637">
        <v>0</v>
      </c>
      <c r="W637" t="s">
        <v>74</v>
      </c>
      <c r="X637">
        <v>0</v>
      </c>
      <c r="Y637">
        <v>2.1166700000000001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K637" t="s">
        <v>218</v>
      </c>
      <c r="AM637">
        <v>200000</v>
      </c>
      <c r="AN637" t="s">
        <v>92</v>
      </c>
      <c r="AO637">
        <v>1</v>
      </c>
      <c r="AP637">
        <v>0</v>
      </c>
      <c r="AQ637">
        <v>16666.666666666668</v>
      </c>
      <c r="AR637" t="s">
        <v>9</v>
      </c>
      <c r="AS637" t="s">
        <v>78</v>
      </c>
      <c r="AX637" t="s">
        <v>79</v>
      </c>
      <c r="AY637" t="s">
        <v>74</v>
      </c>
      <c r="AZ637">
        <v>0</v>
      </c>
      <c r="BA637" t="s">
        <v>74</v>
      </c>
      <c r="BB637">
        <v>0</v>
      </c>
      <c r="BD637">
        <v>2.1166700000000001</v>
      </c>
      <c r="BE637">
        <v>0</v>
      </c>
    </row>
    <row r="638" spans="1:58" ht="12.75">
      <c r="A638" s="2" t="str">
        <f>HYPERLINK("https://ibp.a2mac1.com/costing(costing:projects/details/8191/part/5383105)","Connectors")</f>
        <v>Connectors</v>
      </c>
      <c r="B638">
        <v>5383105</v>
      </c>
      <c r="C638">
        <v>5382873</v>
      </c>
      <c r="D638" t="s">
        <v>603</v>
      </c>
      <c r="E638">
        <v>29</v>
      </c>
      <c r="F638">
        <v>0</v>
      </c>
      <c r="G638">
        <v>0</v>
      </c>
      <c r="H638">
        <v>0</v>
      </c>
      <c r="I638" t="s">
        <v>74</v>
      </c>
      <c r="J638">
        <v>0</v>
      </c>
      <c r="K638">
        <v>29</v>
      </c>
      <c r="L638">
        <v>0</v>
      </c>
      <c r="M638">
        <v>0</v>
      </c>
      <c r="N638">
        <v>29</v>
      </c>
      <c r="O638" t="s">
        <v>74</v>
      </c>
      <c r="P638">
        <v>0</v>
      </c>
      <c r="Q638" t="s">
        <v>74</v>
      </c>
      <c r="R638">
        <v>0</v>
      </c>
      <c r="S638" t="s">
        <v>74</v>
      </c>
      <c r="T638">
        <v>0</v>
      </c>
      <c r="U638" t="s">
        <v>74</v>
      </c>
      <c r="V638">
        <v>0</v>
      </c>
      <c r="W638" t="s">
        <v>74</v>
      </c>
      <c r="X638">
        <v>0</v>
      </c>
      <c r="Y638">
        <v>29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K638" t="s">
        <v>218</v>
      </c>
      <c r="AM638">
        <v>200000</v>
      </c>
      <c r="AN638" t="s">
        <v>92</v>
      </c>
      <c r="AO638">
        <v>1</v>
      </c>
      <c r="AP638">
        <v>0</v>
      </c>
      <c r="AQ638">
        <v>16666.666666666668</v>
      </c>
      <c r="AR638" t="s">
        <v>9</v>
      </c>
      <c r="AS638" t="s">
        <v>78</v>
      </c>
      <c r="AX638" t="s">
        <v>79</v>
      </c>
      <c r="AY638" t="s">
        <v>74</v>
      </c>
      <c r="AZ638">
        <v>0</v>
      </c>
      <c r="BA638" t="s">
        <v>74</v>
      </c>
      <c r="BB638">
        <v>0</v>
      </c>
      <c r="BD638">
        <v>29</v>
      </c>
      <c r="BE638">
        <v>0</v>
      </c>
    </row>
    <row r="639" spans="1:58" ht="12.75">
      <c r="A639" s="2" t="str">
        <f>HYPERLINK("https://ibp.a2mac1.com/costing(costing:projects/details/8191/part/5383106)","HV Cable")</f>
        <v>HV Cable</v>
      </c>
      <c r="B639">
        <v>5383106</v>
      </c>
      <c r="C639">
        <v>5382873</v>
      </c>
      <c r="D639" t="s">
        <v>603</v>
      </c>
      <c r="E639">
        <v>12.18319</v>
      </c>
      <c r="F639">
        <v>0</v>
      </c>
      <c r="G639">
        <v>0</v>
      </c>
      <c r="H639">
        <v>0</v>
      </c>
      <c r="I639" t="s">
        <v>74</v>
      </c>
      <c r="J639">
        <v>0</v>
      </c>
      <c r="K639">
        <v>12.18319</v>
      </c>
      <c r="L639">
        <v>0</v>
      </c>
      <c r="M639">
        <v>0</v>
      </c>
      <c r="N639">
        <v>12.18319</v>
      </c>
      <c r="O639" t="s">
        <v>74</v>
      </c>
      <c r="P639">
        <v>0</v>
      </c>
      <c r="Q639" t="s">
        <v>74</v>
      </c>
      <c r="R639">
        <v>0</v>
      </c>
      <c r="S639" t="s">
        <v>74</v>
      </c>
      <c r="T639">
        <v>0</v>
      </c>
      <c r="U639" t="s">
        <v>74</v>
      </c>
      <c r="V639">
        <v>0</v>
      </c>
      <c r="W639" t="s">
        <v>74</v>
      </c>
      <c r="X639">
        <v>0</v>
      </c>
      <c r="Y639">
        <v>12.18319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K639" t="s">
        <v>218</v>
      </c>
      <c r="AM639">
        <v>200000</v>
      </c>
      <c r="AN639" t="s">
        <v>92</v>
      </c>
      <c r="AO639">
        <v>1</v>
      </c>
      <c r="AP639">
        <v>0</v>
      </c>
      <c r="AQ639">
        <v>16666.666666666668</v>
      </c>
      <c r="AR639" t="s">
        <v>9</v>
      </c>
      <c r="AS639" t="s">
        <v>78</v>
      </c>
      <c r="AX639" t="s">
        <v>79</v>
      </c>
      <c r="AY639" t="s">
        <v>74</v>
      </c>
      <c r="AZ639">
        <v>0</v>
      </c>
      <c r="BA639" t="s">
        <v>74</v>
      </c>
      <c r="BB639">
        <v>0</v>
      </c>
      <c r="BD639">
        <v>12.18319</v>
      </c>
      <c r="BE639">
        <v>0</v>
      </c>
    </row>
    <row r="640" spans="1:58" ht="12.75">
      <c r="A640" s="2" t="str">
        <f>HYPERLINK("https://ibp.a2mac1.com/costing(costing:projects/details/8191/part/5383107)","Miscellaneuos")</f>
        <v>Miscellaneuos</v>
      </c>
      <c r="B640">
        <v>5383107</v>
      </c>
      <c r="C640">
        <v>5382873</v>
      </c>
      <c r="D640" t="s">
        <v>603</v>
      </c>
      <c r="E640">
        <v>4.3233300000000003</v>
      </c>
      <c r="F640">
        <v>0</v>
      </c>
      <c r="G640">
        <v>0</v>
      </c>
      <c r="H640">
        <v>0</v>
      </c>
      <c r="I640" t="s">
        <v>74</v>
      </c>
      <c r="J640">
        <v>0</v>
      </c>
      <c r="K640">
        <v>4.3233300000000003</v>
      </c>
      <c r="L640">
        <v>0</v>
      </c>
      <c r="M640">
        <v>0</v>
      </c>
      <c r="N640">
        <v>4.3233300000000003</v>
      </c>
      <c r="O640" t="s">
        <v>74</v>
      </c>
      <c r="P640">
        <v>0</v>
      </c>
      <c r="Q640" t="s">
        <v>74</v>
      </c>
      <c r="R640">
        <v>0</v>
      </c>
      <c r="S640" t="s">
        <v>74</v>
      </c>
      <c r="T640">
        <v>0</v>
      </c>
      <c r="U640" t="s">
        <v>74</v>
      </c>
      <c r="V640">
        <v>0</v>
      </c>
      <c r="W640" t="s">
        <v>74</v>
      </c>
      <c r="X640">
        <v>0</v>
      </c>
      <c r="Y640">
        <v>4.3233300000000003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K640" t="s">
        <v>218</v>
      </c>
      <c r="AM640">
        <v>200000</v>
      </c>
      <c r="AN640" t="s">
        <v>92</v>
      </c>
      <c r="AO640">
        <v>1</v>
      </c>
      <c r="AP640">
        <v>0</v>
      </c>
      <c r="AQ640">
        <v>16666.666666666668</v>
      </c>
      <c r="AR640" t="s">
        <v>9</v>
      </c>
      <c r="AS640" t="s">
        <v>78</v>
      </c>
      <c r="AX640" t="s">
        <v>79</v>
      </c>
      <c r="AY640" t="s">
        <v>74</v>
      </c>
      <c r="AZ640">
        <v>0</v>
      </c>
      <c r="BA640" t="s">
        <v>74</v>
      </c>
      <c r="BB640">
        <v>0</v>
      </c>
      <c r="BD640">
        <v>4.3233300000000003</v>
      </c>
      <c r="BE640">
        <v>0</v>
      </c>
    </row>
    <row r="641" spans="1:58" ht="12.75">
      <c r="A641" s="2" t="str">
        <f>HYPERLINK("https://ibp.a2mac1.com/costing(costing:projects/details/8191/part/5382874)"," HV cable cover")</f>
        <v xml:space="preserve"> HV cable cover</v>
      </c>
      <c r="B641">
        <v>5382874</v>
      </c>
      <c r="C641">
        <v>5382802</v>
      </c>
      <c r="D641" t="s">
        <v>2245</v>
      </c>
      <c r="E641">
        <v>0.44170999999999999</v>
      </c>
      <c r="F641">
        <v>0</v>
      </c>
      <c r="G641">
        <v>0</v>
      </c>
      <c r="H641">
        <v>0</v>
      </c>
      <c r="I641" t="s">
        <v>74</v>
      </c>
      <c r="J641">
        <v>0</v>
      </c>
      <c r="K641">
        <v>0.44170999999999999</v>
      </c>
      <c r="L641">
        <v>0</v>
      </c>
      <c r="M641">
        <v>0</v>
      </c>
      <c r="N641">
        <v>0.44170999999999999</v>
      </c>
      <c r="O641" t="s">
        <v>74</v>
      </c>
      <c r="P641">
        <v>0</v>
      </c>
      <c r="Q641" t="s">
        <v>74</v>
      </c>
      <c r="R641">
        <v>0</v>
      </c>
      <c r="S641" t="s">
        <v>74</v>
      </c>
      <c r="T641">
        <v>0</v>
      </c>
      <c r="U641" t="s">
        <v>74</v>
      </c>
      <c r="V641">
        <v>0</v>
      </c>
      <c r="W641" t="s">
        <v>74</v>
      </c>
      <c r="X641">
        <v>0</v>
      </c>
      <c r="Y641">
        <v>0.44170999999999999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125</v>
      </c>
      <c r="AF641">
        <v>32</v>
      </c>
      <c r="AG641">
        <v>483</v>
      </c>
      <c r="AH641">
        <v>0</v>
      </c>
      <c r="AI641">
        <v>0.069000000000000006</v>
      </c>
      <c r="AK641" t="s">
        <v>75</v>
      </c>
      <c r="AM641">
        <v>200000</v>
      </c>
      <c r="AN641" t="s">
        <v>76</v>
      </c>
      <c r="AO641">
        <v>1</v>
      </c>
      <c r="AP641">
        <v>0</v>
      </c>
      <c r="AQ641">
        <v>16666.666666666668</v>
      </c>
      <c r="AR641" t="s">
        <v>2246</v>
      </c>
      <c r="AS641" t="s">
        <v>78</v>
      </c>
      <c r="AX641" t="s">
        <v>79</v>
      </c>
      <c r="AY641" t="s">
        <v>74</v>
      </c>
      <c r="AZ641">
        <v>0</v>
      </c>
      <c r="BA641" t="s">
        <v>74</v>
      </c>
      <c r="BB641">
        <v>0</v>
      </c>
      <c r="BD641">
        <v>0.44170999999999999</v>
      </c>
      <c r="BE641">
        <v>0</v>
      </c>
    </row>
    <row r="642" spans="1:58" ht="12.75">
      <c r="A642" s="2" t="str">
        <f>HYPERLINK("https://ibp.a2mac1.com/costing(costing:projects/details/8191/part/5382875)"," Second cover")</f>
        <v xml:space="preserve"> Second cover</v>
      </c>
      <c r="B642">
        <v>5382875</v>
      </c>
      <c r="C642">
        <v>5382802</v>
      </c>
      <c r="D642" t="s">
        <v>2247</v>
      </c>
      <c r="E642">
        <v>0.37002000000000002</v>
      </c>
      <c r="F642">
        <v>0</v>
      </c>
      <c r="G642">
        <v>0</v>
      </c>
      <c r="H642">
        <v>0</v>
      </c>
      <c r="I642" t="s">
        <v>74</v>
      </c>
      <c r="J642">
        <v>0</v>
      </c>
      <c r="K642">
        <v>0.37002000000000002</v>
      </c>
      <c r="L642">
        <v>0</v>
      </c>
      <c r="M642">
        <v>0</v>
      </c>
      <c r="N642">
        <v>0.37002000000000002</v>
      </c>
      <c r="O642" t="s">
        <v>74</v>
      </c>
      <c r="P642">
        <v>0</v>
      </c>
      <c r="Q642" t="s">
        <v>74</v>
      </c>
      <c r="R642">
        <v>0</v>
      </c>
      <c r="S642" t="s">
        <v>74</v>
      </c>
      <c r="T642">
        <v>0</v>
      </c>
      <c r="U642" t="s">
        <v>74</v>
      </c>
      <c r="V642">
        <v>0</v>
      </c>
      <c r="W642" t="s">
        <v>74</v>
      </c>
      <c r="X642">
        <v>0</v>
      </c>
      <c r="Y642">
        <v>0.37002000000000002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26</v>
      </c>
      <c r="AF642">
        <v>18</v>
      </c>
      <c r="AG642">
        <v>477</v>
      </c>
      <c r="AH642">
        <v>0</v>
      </c>
      <c r="AI642">
        <v>0.052999999999999999</v>
      </c>
      <c r="AK642" t="s">
        <v>218</v>
      </c>
      <c r="AM642">
        <v>200000</v>
      </c>
      <c r="AN642" t="s">
        <v>76</v>
      </c>
      <c r="AO642">
        <v>1</v>
      </c>
      <c r="AP642">
        <v>0</v>
      </c>
      <c r="AQ642">
        <v>16666.666666666668</v>
      </c>
      <c r="AR642" t="s">
        <v>9</v>
      </c>
      <c r="AS642" t="s">
        <v>78</v>
      </c>
      <c r="AX642" t="s">
        <v>79</v>
      </c>
      <c r="AY642" t="s">
        <v>74</v>
      </c>
      <c r="AZ642">
        <v>0</v>
      </c>
      <c r="BA642" t="s">
        <v>74</v>
      </c>
      <c r="BB642">
        <v>0</v>
      </c>
      <c r="BD642">
        <v>0.37002000000000002</v>
      </c>
      <c r="BE642">
        <v>0</v>
      </c>
    </row>
    <row r="643" spans="1:58" ht="12.75">
      <c r="A643" s="2" t="str">
        <f>HYPERLINK("https://ibp.a2mac1.com/costing(costing:projects/details/8191/part/5382876)"," HV Cables Support")</f>
        <v xml:space="preserve"> HV Cables Support</v>
      </c>
      <c r="B643">
        <v>5382876</v>
      </c>
      <c r="C643">
        <v>5382803</v>
      </c>
      <c r="D643" t="s">
        <v>2251</v>
      </c>
      <c r="E643">
        <v>0.31480999999999998</v>
      </c>
      <c r="F643">
        <v>0</v>
      </c>
      <c r="G643">
        <v>0</v>
      </c>
      <c r="H643">
        <v>0</v>
      </c>
      <c r="I643" t="s">
        <v>74</v>
      </c>
      <c r="J643">
        <v>0</v>
      </c>
      <c r="K643">
        <v>0.31480999999999998</v>
      </c>
      <c r="L643">
        <v>0</v>
      </c>
      <c r="M643">
        <v>0</v>
      </c>
      <c r="N643">
        <v>0.31480999999999998</v>
      </c>
      <c r="O643" t="s">
        <v>74</v>
      </c>
      <c r="P643">
        <v>0</v>
      </c>
      <c r="Q643" t="s">
        <v>74</v>
      </c>
      <c r="R643">
        <v>0</v>
      </c>
      <c r="S643" t="s">
        <v>74</v>
      </c>
      <c r="T643">
        <v>0</v>
      </c>
      <c r="U643" t="s">
        <v>74</v>
      </c>
      <c r="V643">
        <v>0</v>
      </c>
      <c r="W643" t="s">
        <v>74</v>
      </c>
      <c r="X643">
        <v>0</v>
      </c>
      <c r="Y643">
        <v>0.31480999999999998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80</v>
      </c>
      <c r="AF643">
        <v>123</v>
      </c>
      <c r="AG643">
        <v>79</v>
      </c>
      <c r="AH643">
        <v>0</v>
      </c>
      <c r="AI643">
        <v>0.127</v>
      </c>
      <c r="AK643" t="s">
        <v>218</v>
      </c>
      <c r="AM643">
        <v>200000</v>
      </c>
      <c r="AN643" t="s">
        <v>76</v>
      </c>
      <c r="AO643">
        <v>1</v>
      </c>
      <c r="AP643">
        <v>0</v>
      </c>
      <c r="AQ643">
        <v>16666.666666666668</v>
      </c>
      <c r="AR643" t="s">
        <v>9</v>
      </c>
      <c r="AS643" t="s">
        <v>78</v>
      </c>
      <c r="AX643" t="s">
        <v>79</v>
      </c>
      <c r="AY643" t="s">
        <v>74</v>
      </c>
      <c r="AZ643">
        <v>0</v>
      </c>
      <c r="BA643" t="s">
        <v>74</v>
      </c>
      <c r="BB643">
        <v>0</v>
      </c>
      <c r="BD643">
        <v>0.31480999999999998</v>
      </c>
      <c r="BE643">
        <v>0</v>
      </c>
    </row>
    <row r="644" spans="1:58" ht="12.75">
      <c r="A644" s="2" t="str">
        <f>HYPERLINK("https://ibp.a2mac1.com/costing(costing:projects/details/8191/part/5382877)"," 2nd HV Cables Support")</f>
        <v xml:space="preserve"> 2nd HV Cables Support</v>
      </c>
      <c r="B644">
        <v>5382877</v>
      </c>
      <c r="C644">
        <v>5382803</v>
      </c>
      <c r="D644" t="s">
        <v>2252</v>
      </c>
      <c r="E644">
        <v>0.27461000000000002</v>
      </c>
      <c r="F644">
        <v>0</v>
      </c>
      <c r="G644">
        <v>0</v>
      </c>
      <c r="H644">
        <v>0</v>
      </c>
      <c r="I644" t="s">
        <v>74</v>
      </c>
      <c r="J644">
        <v>0</v>
      </c>
      <c r="K644">
        <v>0.27461000000000002</v>
      </c>
      <c r="L644">
        <v>0</v>
      </c>
      <c r="M644">
        <v>0</v>
      </c>
      <c r="N644">
        <v>0.27461000000000002</v>
      </c>
      <c r="O644" t="s">
        <v>74</v>
      </c>
      <c r="P644">
        <v>0</v>
      </c>
      <c r="Q644" t="s">
        <v>74</v>
      </c>
      <c r="R644">
        <v>0</v>
      </c>
      <c r="S644" t="s">
        <v>74</v>
      </c>
      <c r="T644">
        <v>0</v>
      </c>
      <c r="U644" t="s">
        <v>74</v>
      </c>
      <c r="V644">
        <v>0</v>
      </c>
      <c r="W644" t="s">
        <v>74</v>
      </c>
      <c r="X644">
        <v>0</v>
      </c>
      <c r="Y644">
        <v>0.27461000000000002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175</v>
      </c>
      <c r="AF644">
        <v>110</v>
      </c>
      <c r="AG644">
        <v>53</v>
      </c>
      <c r="AH644">
        <v>0</v>
      </c>
      <c r="AI644">
        <v>0.105</v>
      </c>
      <c r="AK644" t="s">
        <v>218</v>
      </c>
      <c r="AM644">
        <v>200000</v>
      </c>
      <c r="AN644" t="s">
        <v>76</v>
      </c>
      <c r="AO644">
        <v>1</v>
      </c>
      <c r="AP644">
        <v>0</v>
      </c>
      <c r="AQ644">
        <v>16666.666666666668</v>
      </c>
      <c r="AR644" t="s">
        <v>9</v>
      </c>
      <c r="AS644" t="s">
        <v>78</v>
      </c>
      <c r="AX644" t="s">
        <v>79</v>
      </c>
      <c r="AY644" t="s">
        <v>74</v>
      </c>
      <c r="AZ644">
        <v>0</v>
      </c>
      <c r="BA644" t="s">
        <v>74</v>
      </c>
      <c r="BB644">
        <v>0</v>
      </c>
      <c r="BD644">
        <v>0.27461000000000002</v>
      </c>
      <c r="BE644">
        <v>0</v>
      </c>
    </row>
    <row r="645" spans="1:58" ht="12.75">
      <c r="A645" s="2" t="str">
        <f>HYPERLINK("https://ibp.a2mac1.com/costing(costing:projects/details/8191/part/5382878)"," 3rd HV Cables Support")</f>
        <v xml:space="preserve"> 3rd HV Cables Support</v>
      </c>
      <c r="B645">
        <v>5382878</v>
      </c>
      <c r="C645">
        <v>5382803</v>
      </c>
      <c r="D645" t="s">
        <v>2253</v>
      </c>
      <c r="E645">
        <v>0.32577</v>
      </c>
      <c r="F645">
        <v>0</v>
      </c>
      <c r="G645">
        <v>0</v>
      </c>
      <c r="H645">
        <v>0</v>
      </c>
      <c r="I645" t="s">
        <v>74</v>
      </c>
      <c r="J645">
        <v>0</v>
      </c>
      <c r="K645">
        <v>0.32577</v>
      </c>
      <c r="L645">
        <v>0</v>
      </c>
      <c r="M645">
        <v>0</v>
      </c>
      <c r="N645">
        <v>0.32577</v>
      </c>
      <c r="O645" t="s">
        <v>74</v>
      </c>
      <c r="P645">
        <v>0</v>
      </c>
      <c r="Q645" t="s">
        <v>74</v>
      </c>
      <c r="R645">
        <v>0</v>
      </c>
      <c r="S645" t="s">
        <v>74</v>
      </c>
      <c r="T645">
        <v>0</v>
      </c>
      <c r="U645" t="s">
        <v>74</v>
      </c>
      <c r="V645">
        <v>0</v>
      </c>
      <c r="W645" t="s">
        <v>74</v>
      </c>
      <c r="X645">
        <v>0</v>
      </c>
      <c r="Y645">
        <v>0.32577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125</v>
      </c>
      <c r="AF645">
        <v>165</v>
      </c>
      <c r="AG645">
        <v>50</v>
      </c>
      <c r="AH645">
        <v>0</v>
      </c>
      <c r="AI645">
        <v>0.13300000000000001</v>
      </c>
      <c r="AK645" t="s">
        <v>218</v>
      </c>
      <c r="AM645">
        <v>200000</v>
      </c>
      <c r="AN645" t="s">
        <v>76</v>
      </c>
      <c r="AO645">
        <v>1</v>
      </c>
      <c r="AP645">
        <v>0</v>
      </c>
      <c r="AQ645">
        <v>16666.666666666668</v>
      </c>
      <c r="AR645" t="s">
        <v>9</v>
      </c>
      <c r="AS645" t="s">
        <v>78</v>
      </c>
      <c r="AX645" t="s">
        <v>79</v>
      </c>
      <c r="AY645" t="s">
        <v>74</v>
      </c>
      <c r="AZ645">
        <v>0</v>
      </c>
      <c r="BA645" t="s">
        <v>74</v>
      </c>
      <c r="BB645">
        <v>0</v>
      </c>
      <c r="BD645">
        <v>0.32577</v>
      </c>
      <c r="BE645">
        <v>0</v>
      </c>
    </row>
    <row r="646" spans="1:58" ht="12.75">
      <c r="A646" s="2" t="str">
        <f>HYPERLINK("https://ibp.a2mac1.com/costing(costing:projects/details/8191/part/5382879)"," 4th HV Cables Support")</f>
        <v xml:space="preserve"> 4th HV Cables Support</v>
      </c>
      <c r="B646">
        <v>5382879</v>
      </c>
      <c r="C646">
        <v>5382803</v>
      </c>
      <c r="D646" t="s">
        <v>2254</v>
      </c>
      <c r="E646">
        <v>0.18509</v>
      </c>
      <c r="F646">
        <v>0</v>
      </c>
      <c r="G646">
        <v>0</v>
      </c>
      <c r="H646">
        <v>0</v>
      </c>
      <c r="I646" t="s">
        <v>74</v>
      </c>
      <c r="J646">
        <v>0</v>
      </c>
      <c r="K646">
        <v>0.18509</v>
      </c>
      <c r="L646">
        <v>0</v>
      </c>
      <c r="M646">
        <v>0</v>
      </c>
      <c r="N646">
        <v>0.18509</v>
      </c>
      <c r="O646" t="s">
        <v>74</v>
      </c>
      <c r="P646">
        <v>0</v>
      </c>
      <c r="Q646" t="s">
        <v>74</v>
      </c>
      <c r="R646">
        <v>0</v>
      </c>
      <c r="S646" t="s">
        <v>74</v>
      </c>
      <c r="T646">
        <v>0</v>
      </c>
      <c r="U646" t="s">
        <v>74</v>
      </c>
      <c r="V646">
        <v>0</v>
      </c>
      <c r="W646" t="s">
        <v>74</v>
      </c>
      <c r="X646">
        <v>0</v>
      </c>
      <c r="Y646">
        <v>0.18509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25</v>
      </c>
      <c r="AF646">
        <v>124</v>
      </c>
      <c r="AG646">
        <v>41</v>
      </c>
      <c r="AH646">
        <v>0</v>
      </c>
      <c r="AI646">
        <v>0.056000000000000001</v>
      </c>
      <c r="AK646" t="s">
        <v>218</v>
      </c>
      <c r="AM646">
        <v>200000</v>
      </c>
      <c r="AN646" t="s">
        <v>76</v>
      </c>
      <c r="AO646">
        <v>1</v>
      </c>
      <c r="AP646">
        <v>0</v>
      </c>
      <c r="AQ646">
        <v>16666.666666666668</v>
      </c>
      <c r="AR646" t="s">
        <v>9</v>
      </c>
      <c r="AS646" t="s">
        <v>78</v>
      </c>
      <c r="AX646" t="s">
        <v>79</v>
      </c>
      <c r="AY646" t="s">
        <v>74</v>
      </c>
      <c r="AZ646">
        <v>0</v>
      </c>
      <c r="BA646" t="s">
        <v>74</v>
      </c>
      <c r="BB646">
        <v>0</v>
      </c>
      <c r="BD646">
        <v>0.18509</v>
      </c>
      <c r="BE646">
        <v>0</v>
      </c>
    </row>
    <row r="647" spans="1:58" ht="12.75">
      <c r="A647" s="2" t="str">
        <f>HYPERLINK("https://ibp.a2mac1.com/costing(costing:projects/details/8191/part/5382880)"," 6th HV cable support")</f>
        <v xml:space="preserve"> 6th HV cable support</v>
      </c>
      <c r="B647">
        <v>5382880</v>
      </c>
      <c r="C647">
        <v>5382803</v>
      </c>
      <c r="D647" t="s">
        <v>2255</v>
      </c>
      <c r="E647">
        <v>0.38789000000000001</v>
      </c>
      <c r="F647">
        <v>0</v>
      </c>
      <c r="G647">
        <v>0</v>
      </c>
      <c r="H647">
        <v>0</v>
      </c>
      <c r="I647" t="s">
        <v>74</v>
      </c>
      <c r="J647">
        <v>0</v>
      </c>
      <c r="K647">
        <v>0.38789000000000001</v>
      </c>
      <c r="L647">
        <v>0</v>
      </c>
      <c r="M647">
        <v>0</v>
      </c>
      <c r="N647">
        <v>0.38789000000000001</v>
      </c>
      <c r="O647" t="s">
        <v>74</v>
      </c>
      <c r="P647">
        <v>0</v>
      </c>
      <c r="Q647" t="s">
        <v>74</v>
      </c>
      <c r="R647">
        <v>0</v>
      </c>
      <c r="S647" t="s">
        <v>74</v>
      </c>
      <c r="T647">
        <v>0</v>
      </c>
      <c r="U647" t="s">
        <v>74</v>
      </c>
      <c r="V647">
        <v>0</v>
      </c>
      <c r="W647" t="s">
        <v>74</v>
      </c>
      <c r="X647">
        <v>0</v>
      </c>
      <c r="Y647">
        <v>0.38789000000000001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220</v>
      </c>
      <c r="AF647">
        <v>43</v>
      </c>
      <c r="AG647">
        <v>135</v>
      </c>
      <c r="AH647">
        <v>0</v>
      </c>
      <c r="AI647">
        <v>0.16700000000000001</v>
      </c>
      <c r="AK647" t="s">
        <v>218</v>
      </c>
      <c r="AM647">
        <v>200000</v>
      </c>
      <c r="AN647" t="s">
        <v>76</v>
      </c>
      <c r="AO647">
        <v>1</v>
      </c>
      <c r="AP647">
        <v>0</v>
      </c>
      <c r="AQ647">
        <v>16666.666666666668</v>
      </c>
      <c r="AR647" t="s">
        <v>9</v>
      </c>
      <c r="AS647" t="s">
        <v>78</v>
      </c>
      <c r="AX647" t="s">
        <v>79</v>
      </c>
      <c r="AY647" t="s">
        <v>74</v>
      </c>
      <c r="AZ647">
        <v>0</v>
      </c>
      <c r="BA647" t="s">
        <v>74</v>
      </c>
      <c r="BB647">
        <v>0</v>
      </c>
      <c r="BD647">
        <v>0.38789000000000001</v>
      </c>
      <c r="BE647">
        <v>0</v>
      </c>
    </row>
    <row r="648" spans="1:58" ht="12.75">
      <c r="A648" s="2" t="str">
        <f>HYPERLINK("https://ibp.a2mac1.com/costing(costing:projects/details/8191/part/5382881)"," 7th HV cable support")</f>
        <v xml:space="preserve"> 7th HV cable support</v>
      </c>
      <c r="B648">
        <v>5382881</v>
      </c>
      <c r="C648">
        <v>5382803</v>
      </c>
      <c r="D648" t="s">
        <v>2256</v>
      </c>
      <c r="E648">
        <v>0.15557000000000001</v>
      </c>
      <c r="F648">
        <v>0</v>
      </c>
      <c r="G648">
        <v>0</v>
      </c>
      <c r="H648">
        <v>0</v>
      </c>
      <c r="I648" t="s">
        <v>74</v>
      </c>
      <c r="J648">
        <v>0</v>
      </c>
      <c r="K648">
        <v>0.15557000000000001</v>
      </c>
      <c r="L648">
        <v>0</v>
      </c>
      <c r="M648">
        <v>0</v>
      </c>
      <c r="N648">
        <v>0.15557000000000001</v>
      </c>
      <c r="O648" t="s">
        <v>74</v>
      </c>
      <c r="P648">
        <v>0</v>
      </c>
      <c r="Q648" t="s">
        <v>74</v>
      </c>
      <c r="R648">
        <v>0</v>
      </c>
      <c r="S648" t="s">
        <v>74</v>
      </c>
      <c r="T648">
        <v>0</v>
      </c>
      <c r="U648" t="s">
        <v>74</v>
      </c>
      <c r="V648">
        <v>0</v>
      </c>
      <c r="W648" t="s">
        <v>74</v>
      </c>
      <c r="X648">
        <v>0</v>
      </c>
      <c r="Y648">
        <v>0.15557000000000001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93</v>
      </c>
      <c r="AF648">
        <v>33</v>
      </c>
      <c r="AG648">
        <v>36</v>
      </c>
      <c r="AH648">
        <v>0</v>
      </c>
      <c r="AI648">
        <v>0.012</v>
      </c>
      <c r="AK648" t="s">
        <v>218</v>
      </c>
      <c r="AM648">
        <v>200000</v>
      </c>
      <c r="AN648" t="s">
        <v>76</v>
      </c>
      <c r="AO648">
        <v>1</v>
      </c>
      <c r="AP648">
        <v>0</v>
      </c>
      <c r="AQ648">
        <v>16666.666666666668</v>
      </c>
      <c r="AR648" t="s">
        <v>9</v>
      </c>
      <c r="AS648" t="s">
        <v>78</v>
      </c>
      <c r="AX648" t="s">
        <v>79</v>
      </c>
      <c r="AY648" t="s">
        <v>74</v>
      </c>
      <c r="AZ648">
        <v>0</v>
      </c>
      <c r="BA648" t="s">
        <v>74</v>
      </c>
      <c r="BB648">
        <v>0</v>
      </c>
      <c r="BD648">
        <v>0.15557000000000001</v>
      </c>
      <c r="BE648">
        <v>0</v>
      </c>
    </row>
    <row r="649" spans="1:58" ht="12.75">
      <c r="A649" s="2" t="str">
        <f>HYPERLINK("https://ibp.a2mac1.com/costing(costing:projects/details/8191/part/5382882)"," 5th HV cable support")</f>
        <v xml:space="preserve"> 5th HV cable support</v>
      </c>
      <c r="B649">
        <v>5382882</v>
      </c>
      <c r="C649">
        <v>5382803</v>
      </c>
      <c r="D649" t="s">
        <v>2261</v>
      </c>
      <c r="E649">
        <v>0.43090055090909091</v>
      </c>
      <c r="F649">
        <v>0</v>
      </c>
      <c r="G649">
        <v>0</v>
      </c>
      <c r="H649">
        <v>0.0022617809</v>
      </c>
      <c r="I649" t="s">
        <v>137</v>
      </c>
      <c r="J649">
        <v>0.015644729545454546</v>
      </c>
      <c r="K649">
        <v>0.44880706135454546</v>
      </c>
      <c r="L649">
        <v>0.037929543313487621</v>
      </c>
      <c r="M649">
        <v>0.22757725988092573</v>
      </c>
      <c r="N649">
        <v>0.67638432123547121</v>
      </c>
      <c r="O649" t="s">
        <v>138</v>
      </c>
      <c r="P649">
        <v>0.026928423681272726</v>
      </c>
      <c r="Q649" t="s">
        <v>138</v>
      </c>
      <c r="R649">
        <v>0.013654635592855544</v>
      </c>
      <c r="S649" t="s">
        <v>139</v>
      </c>
      <c r="T649">
        <v>0.081166118548256547</v>
      </c>
      <c r="U649" t="s">
        <v>216</v>
      </c>
      <c r="V649">
        <v>0.0033819216061773561</v>
      </c>
      <c r="W649" t="s">
        <v>217</v>
      </c>
      <c r="X649">
        <v>0.013527686424709424</v>
      </c>
      <c r="Y649">
        <v>0.81504310708874284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425</v>
      </c>
      <c r="AF649">
        <v>165</v>
      </c>
      <c r="AG649">
        <v>245</v>
      </c>
      <c r="AH649">
        <v>0</v>
      </c>
      <c r="AI649">
        <v>0.29199999999999998</v>
      </c>
      <c r="AK649" t="s">
        <v>218</v>
      </c>
      <c r="AM649">
        <v>200000</v>
      </c>
      <c r="AN649" t="s">
        <v>76</v>
      </c>
      <c r="AO649">
        <v>1</v>
      </c>
      <c r="AP649">
        <v>0</v>
      </c>
      <c r="AQ649">
        <v>16666.666666666668</v>
      </c>
      <c r="AR649" t="s">
        <v>9</v>
      </c>
      <c r="AS649" t="s">
        <v>78</v>
      </c>
      <c r="AX649" t="s">
        <v>79</v>
      </c>
      <c r="AY649" t="s">
        <v>137</v>
      </c>
      <c r="AZ649">
        <v>0</v>
      </c>
      <c r="BA649" t="s">
        <v>137</v>
      </c>
      <c r="BB649">
        <v>0</v>
      </c>
      <c r="BE649">
        <v>0</v>
      </c>
    </row>
    <row r="650" spans="1:58" ht="12.75">
      <c r="A650" s="2" t="str">
        <f>HYPERLINK("https://ibp.a2mac1.com/costing(costing:projects/details/8191/part/5383108)","Charging Port")</f>
        <v>Charging Port</v>
      </c>
      <c r="B650">
        <v>5383108</v>
      </c>
      <c r="C650">
        <v>5382886</v>
      </c>
      <c r="D650" t="s">
        <v>603</v>
      </c>
      <c r="E650">
        <v>25.93722</v>
      </c>
      <c r="F650">
        <v>0</v>
      </c>
      <c r="G650">
        <v>0</v>
      </c>
      <c r="H650">
        <v>0</v>
      </c>
      <c r="I650" t="s">
        <v>74</v>
      </c>
      <c r="J650">
        <v>0</v>
      </c>
      <c r="K650">
        <v>25.93722</v>
      </c>
      <c r="L650">
        <v>0</v>
      </c>
      <c r="M650">
        <v>0</v>
      </c>
      <c r="N650">
        <v>25.93722</v>
      </c>
      <c r="O650" t="s">
        <v>74</v>
      </c>
      <c r="P650">
        <v>0</v>
      </c>
      <c r="Q650" t="s">
        <v>74</v>
      </c>
      <c r="R650">
        <v>0</v>
      </c>
      <c r="S650" t="s">
        <v>74</v>
      </c>
      <c r="T650">
        <v>0</v>
      </c>
      <c r="U650" t="s">
        <v>74</v>
      </c>
      <c r="V650">
        <v>0</v>
      </c>
      <c r="W650" t="s">
        <v>74</v>
      </c>
      <c r="X650">
        <v>0</v>
      </c>
      <c r="Y650">
        <v>25.93722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K650" t="s">
        <v>218</v>
      </c>
      <c r="AM650">
        <v>200000</v>
      </c>
      <c r="AN650" t="s">
        <v>92</v>
      </c>
      <c r="AO650">
        <v>1</v>
      </c>
      <c r="AP650">
        <v>0</v>
      </c>
      <c r="AQ650">
        <v>16666.666666666668</v>
      </c>
      <c r="AR650" t="s">
        <v>9</v>
      </c>
      <c r="AS650" t="s">
        <v>78</v>
      </c>
      <c r="AX650" t="s">
        <v>79</v>
      </c>
      <c r="AY650" t="s">
        <v>74</v>
      </c>
      <c r="AZ650">
        <v>0</v>
      </c>
      <c r="BA650" t="s">
        <v>74</v>
      </c>
      <c r="BB650">
        <v>0</v>
      </c>
      <c r="BD650">
        <v>25.93722</v>
      </c>
      <c r="BE650">
        <v>0</v>
      </c>
    </row>
    <row r="651" spans="1:58" ht="12.75">
      <c r="A651" s="2" t="str">
        <f>HYPERLINK("https://ibp.a2mac1.com/costing(costing:projects/details/8191/part/5383151)","Connectors")</f>
        <v>Connectors</v>
      </c>
      <c r="B651">
        <v>5383151</v>
      </c>
      <c r="C651">
        <v>5382886</v>
      </c>
      <c r="D651" t="s">
        <v>603</v>
      </c>
      <c r="E651">
        <v>11.82</v>
      </c>
      <c r="F651">
        <v>0</v>
      </c>
      <c r="G651">
        <v>0</v>
      </c>
      <c r="H651">
        <v>0</v>
      </c>
      <c r="I651" t="s">
        <v>74</v>
      </c>
      <c r="J651">
        <v>0</v>
      </c>
      <c r="K651">
        <v>11.82</v>
      </c>
      <c r="L651">
        <v>0</v>
      </c>
      <c r="M651">
        <v>0</v>
      </c>
      <c r="N651">
        <v>11.82</v>
      </c>
      <c r="O651" t="s">
        <v>74</v>
      </c>
      <c r="P651">
        <v>0</v>
      </c>
      <c r="Q651" t="s">
        <v>74</v>
      </c>
      <c r="R651">
        <v>0</v>
      </c>
      <c r="S651" t="s">
        <v>74</v>
      </c>
      <c r="T651">
        <v>0</v>
      </c>
      <c r="U651" t="s">
        <v>74</v>
      </c>
      <c r="V651">
        <v>0</v>
      </c>
      <c r="W651" t="s">
        <v>74</v>
      </c>
      <c r="X651">
        <v>0</v>
      </c>
      <c r="Y651">
        <v>11.82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K651" t="s">
        <v>218</v>
      </c>
      <c r="AM651">
        <v>200000</v>
      </c>
      <c r="AN651" t="s">
        <v>92</v>
      </c>
      <c r="AO651">
        <v>1</v>
      </c>
      <c r="AP651">
        <v>0</v>
      </c>
      <c r="AQ651">
        <v>16666.666666666668</v>
      </c>
      <c r="AR651" t="s">
        <v>9</v>
      </c>
      <c r="AS651" t="s">
        <v>78</v>
      </c>
      <c r="AX651" t="s">
        <v>79</v>
      </c>
      <c r="AY651" t="s">
        <v>74</v>
      </c>
      <c r="AZ651">
        <v>0</v>
      </c>
      <c r="BA651" t="s">
        <v>74</v>
      </c>
      <c r="BB651">
        <v>0</v>
      </c>
      <c r="BD651">
        <v>11.82</v>
      </c>
      <c r="BE651">
        <v>0</v>
      </c>
    </row>
    <row r="652" spans="1:58" ht="12.75">
      <c r="A652" s="2" t="str">
        <f>HYPERLINK("https://ibp.a2mac1.com/costing(costing:projects/details/8191/part/5383152)","HV Cable")</f>
        <v>HV Cable</v>
      </c>
      <c r="B652">
        <v>5383152</v>
      </c>
      <c r="C652">
        <v>5382886</v>
      </c>
      <c r="D652" t="s">
        <v>603</v>
      </c>
      <c r="E652">
        <v>25.32206</v>
      </c>
      <c r="F652">
        <v>0</v>
      </c>
      <c r="G652">
        <v>0</v>
      </c>
      <c r="H652">
        <v>0</v>
      </c>
      <c r="I652" t="s">
        <v>74</v>
      </c>
      <c r="J652">
        <v>0</v>
      </c>
      <c r="K652">
        <v>25.32206</v>
      </c>
      <c r="L652">
        <v>0</v>
      </c>
      <c r="M652">
        <v>0</v>
      </c>
      <c r="N652">
        <v>25.32206</v>
      </c>
      <c r="O652" t="s">
        <v>74</v>
      </c>
      <c r="P652">
        <v>0</v>
      </c>
      <c r="Q652" t="s">
        <v>74</v>
      </c>
      <c r="R652">
        <v>0</v>
      </c>
      <c r="S652" t="s">
        <v>74</v>
      </c>
      <c r="T652">
        <v>0</v>
      </c>
      <c r="U652" t="s">
        <v>74</v>
      </c>
      <c r="V652">
        <v>0</v>
      </c>
      <c r="W652" t="s">
        <v>74</v>
      </c>
      <c r="X652">
        <v>0</v>
      </c>
      <c r="Y652">
        <v>25.32206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K652" t="s">
        <v>218</v>
      </c>
      <c r="AM652">
        <v>200000</v>
      </c>
      <c r="AN652" t="s">
        <v>92</v>
      </c>
      <c r="AO652">
        <v>1</v>
      </c>
      <c r="AP652">
        <v>0</v>
      </c>
      <c r="AQ652">
        <v>16666.666666666668</v>
      </c>
      <c r="AR652" t="s">
        <v>9</v>
      </c>
      <c r="AS652" t="s">
        <v>78</v>
      </c>
      <c r="AX652" t="s">
        <v>79</v>
      </c>
      <c r="AY652" t="s">
        <v>74</v>
      </c>
      <c r="AZ652">
        <v>0</v>
      </c>
      <c r="BA652" t="s">
        <v>74</v>
      </c>
      <c r="BB652">
        <v>0</v>
      </c>
      <c r="BD652">
        <v>25.32206</v>
      </c>
      <c r="BE652">
        <v>0</v>
      </c>
    </row>
    <row r="653" spans="1:58" ht="12.75">
      <c r="A653" s="2" t="str">
        <f>HYPERLINK("https://ibp.a2mac1.com/costing(costing:projects/details/8191/part/5383153)","Miscellaneuos")</f>
        <v>Miscellaneuos</v>
      </c>
      <c r="B653">
        <v>5383153</v>
      </c>
      <c r="C653">
        <v>5382886</v>
      </c>
      <c r="D653" t="s">
        <v>603</v>
      </c>
      <c r="E653">
        <v>1.54</v>
      </c>
      <c r="F653">
        <v>0</v>
      </c>
      <c r="G653">
        <v>0</v>
      </c>
      <c r="H653">
        <v>0</v>
      </c>
      <c r="I653" t="s">
        <v>74</v>
      </c>
      <c r="J653">
        <v>0</v>
      </c>
      <c r="K653">
        <v>1.54</v>
      </c>
      <c r="L653">
        <v>0</v>
      </c>
      <c r="M653">
        <v>0</v>
      </c>
      <c r="N653">
        <v>1.54</v>
      </c>
      <c r="O653" t="s">
        <v>74</v>
      </c>
      <c r="P653">
        <v>0</v>
      </c>
      <c r="Q653" t="s">
        <v>74</v>
      </c>
      <c r="R653">
        <v>0</v>
      </c>
      <c r="S653" t="s">
        <v>74</v>
      </c>
      <c r="T653">
        <v>0</v>
      </c>
      <c r="U653" t="s">
        <v>74</v>
      </c>
      <c r="V653">
        <v>0</v>
      </c>
      <c r="W653" t="s">
        <v>74</v>
      </c>
      <c r="X653">
        <v>0</v>
      </c>
      <c r="Y653">
        <v>1.54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K653" t="s">
        <v>218</v>
      </c>
      <c r="AM653">
        <v>200000</v>
      </c>
      <c r="AN653" t="s">
        <v>92</v>
      </c>
      <c r="AO653">
        <v>1</v>
      </c>
      <c r="AP653">
        <v>0</v>
      </c>
      <c r="AQ653">
        <v>16666.666666666668</v>
      </c>
      <c r="AR653" t="s">
        <v>9</v>
      </c>
      <c r="AS653" t="s">
        <v>78</v>
      </c>
      <c r="AX653" t="s">
        <v>79</v>
      </c>
      <c r="AY653" t="s">
        <v>74</v>
      </c>
      <c r="AZ653">
        <v>0</v>
      </c>
      <c r="BA653" t="s">
        <v>74</v>
      </c>
      <c r="BB653">
        <v>0</v>
      </c>
      <c r="BD653">
        <v>1.54</v>
      </c>
      <c r="BE653">
        <v>0</v>
      </c>
    </row>
    <row r="654" spans="1:58" ht="12.75">
      <c r="A654" s="2" t="str">
        <f>HYPERLINK("https://ibp.a2mac1.com/costing(costing:projects/details/8191/part/5383154)","Charging Port")</f>
        <v>Charging Port</v>
      </c>
      <c r="B654">
        <v>5383154</v>
      </c>
      <c r="C654">
        <v>5382887</v>
      </c>
      <c r="D654" t="s">
        <v>603</v>
      </c>
      <c r="E654">
        <v>9.6755999999999993</v>
      </c>
      <c r="F654">
        <v>0</v>
      </c>
      <c r="G654">
        <v>0</v>
      </c>
      <c r="H654">
        <v>0</v>
      </c>
      <c r="I654" t="s">
        <v>74</v>
      </c>
      <c r="J654">
        <v>0</v>
      </c>
      <c r="K654">
        <v>9.6755999999999993</v>
      </c>
      <c r="L654">
        <v>0</v>
      </c>
      <c r="M654">
        <v>0</v>
      </c>
      <c r="N654">
        <v>9.6755999999999993</v>
      </c>
      <c r="O654" t="s">
        <v>74</v>
      </c>
      <c r="P654">
        <v>0</v>
      </c>
      <c r="Q654" t="s">
        <v>74</v>
      </c>
      <c r="R654">
        <v>0</v>
      </c>
      <c r="S654" t="s">
        <v>74</v>
      </c>
      <c r="T654">
        <v>0</v>
      </c>
      <c r="U654" t="s">
        <v>74</v>
      </c>
      <c r="V654">
        <v>0</v>
      </c>
      <c r="W654" t="s">
        <v>74</v>
      </c>
      <c r="X654">
        <v>0</v>
      </c>
      <c r="Y654">
        <v>9.6755999999999993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K654" t="s">
        <v>218</v>
      </c>
      <c r="AM654">
        <v>200000</v>
      </c>
      <c r="AN654" t="s">
        <v>92</v>
      </c>
      <c r="AO654">
        <v>1</v>
      </c>
      <c r="AP654">
        <v>0</v>
      </c>
      <c r="AQ654">
        <v>16666.666666666668</v>
      </c>
      <c r="AR654" t="s">
        <v>9</v>
      </c>
      <c r="AS654" t="s">
        <v>78</v>
      </c>
      <c r="AX654" t="s">
        <v>79</v>
      </c>
      <c r="AY654" t="s">
        <v>74</v>
      </c>
      <c r="AZ654">
        <v>0</v>
      </c>
      <c r="BA654" t="s">
        <v>74</v>
      </c>
      <c r="BB654">
        <v>0</v>
      </c>
      <c r="BD654">
        <v>9.6755999999999993</v>
      </c>
      <c r="BE654">
        <v>0</v>
      </c>
    </row>
    <row r="655" spans="1:58" ht="12.75">
      <c r="A655" s="2" t="str">
        <f>HYPERLINK("https://ibp.a2mac1.com/costing(costing:projects/details/8191/part/5383155)","Charging Box")</f>
        <v>Charging Box</v>
      </c>
      <c r="B655">
        <v>5383155</v>
      </c>
      <c r="C655">
        <v>5382887</v>
      </c>
      <c r="D655" t="s">
        <v>603</v>
      </c>
      <c r="E655">
        <v>22</v>
      </c>
      <c r="F655">
        <v>0</v>
      </c>
      <c r="G655">
        <v>0</v>
      </c>
      <c r="H655">
        <v>0</v>
      </c>
      <c r="I655" t="s">
        <v>74</v>
      </c>
      <c r="J655">
        <v>0</v>
      </c>
      <c r="K655">
        <v>22</v>
      </c>
      <c r="L655">
        <v>0</v>
      </c>
      <c r="M655">
        <v>0</v>
      </c>
      <c r="N655">
        <v>22</v>
      </c>
      <c r="O655" t="s">
        <v>74</v>
      </c>
      <c r="P655">
        <v>0</v>
      </c>
      <c r="Q655" t="s">
        <v>74</v>
      </c>
      <c r="R655">
        <v>0</v>
      </c>
      <c r="S655" t="s">
        <v>74</v>
      </c>
      <c r="T655">
        <v>0</v>
      </c>
      <c r="U655" t="s">
        <v>74</v>
      </c>
      <c r="V655">
        <v>0</v>
      </c>
      <c r="W655" t="s">
        <v>74</v>
      </c>
      <c r="X655">
        <v>0</v>
      </c>
      <c r="Y655">
        <v>22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K655" t="s">
        <v>218</v>
      </c>
      <c r="AM655">
        <v>200000</v>
      </c>
      <c r="AN655" t="s">
        <v>92</v>
      </c>
      <c r="AO655">
        <v>1</v>
      </c>
      <c r="AP655">
        <v>0</v>
      </c>
      <c r="AQ655">
        <v>16666.666666666668</v>
      </c>
      <c r="AR655" t="s">
        <v>9</v>
      </c>
      <c r="AS655" t="s">
        <v>78</v>
      </c>
      <c r="AX655" t="s">
        <v>79</v>
      </c>
      <c r="AY655" t="s">
        <v>74</v>
      </c>
      <c r="AZ655">
        <v>0</v>
      </c>
      <c r="BA655" t="s">
        <v>74</v>
      </c>
      <c r="BB655">
        <v>0</v>
      </c>
      <c r="BD655">
        <v>22</v>
      </c>
      <c r="BE655">
        <v>0</v>
      </c>
    </row>
    <row r="656" spans="1:58" ht="12.75">
      <c r="A656" s="2" t="str">
        <f>HYPERLINK("https://ibp.a2mac1.com/costing(costing:projects/details/8191/part/5383156)","HV Cable")</f>
        <v>HV Cable</v>
      </c>
      <c r="B656">
        <v>5383156</v>
      </c>
      <c r="C656">
        <v>5382887</v>
      </c>
      <c r="D656" t="s">
        <v>603</v>
      </c>
      <c r="E656">
        <v>19.492059999999999</v>
      </c>
      <c r="F656">
        <v>0</v>
      </c>
      <c r="G656">
        <v>0</v>
      </c>
      <c r="H656">
        <v>0</v>
      </c>
      <c r="I656" t="s">
        <v>74</v>
      </c>
      <c r="J656">
        <v>0</v>
      </c>
      <c r="K656">
        <v>19.492059999999999</v>
      </c>
      <c r="L656">
        <v>0</v>
      </c>
      <c r="M656">
        <v>0</v>
      </c>
      <c r="N656">
        <v>19.492059999999999</v>
      </c>
      <c r="O656" t="s">
        <v>74</v>
      </c>
      <c r="P656">
        <v>0</v>
      </c>
      <c r="Q656" t="s">
        <v>74</v>
      </c>
      <c r="R656">
        <v>0</v>
      </c>
      <c r="S656" t="s">
        <v>74</v>
      </c>
      <c r="T656">
        <v>0</v>
      </c>
      <c r="U656" t="s">
        <v>74</v>
      </c>
      <c r="V656">
        <v>0</v>
      </c>
      <c r="W656" t="s">
        <v>74</v>
      </c>
      <c r="X656">
        <v>0</v>
      </c>
      <c r="Y656">
        <v>19.492059999999999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K656" t="s">
        <v>218</v>
      </c>
      <c r="AM656">
        <v>200000</v>
      </c>
      <c r="AN656" t="s">
        <v>92</v>
      </c>
      <c r="AO656">
        <v>1</v>
      </c>
      <c r="AP656">
        <v>0</v>
      </c>
      <c r="AQ656">
        <v>16666.666666666668</v>
      </c>
      <c r="AR656" t="s">
        <v>9</v>
      </c>
      <c r="AS656" t="s">
        <v>78</v>
      </c>
      <c r="AX656" t="s">
        <v>79</v>
      </c>
      <c r="AY656" t="s">
        <v>74</v>
      </c>
      <c r="AZ656">
        <v>0</v>
      </c>
      <c r="BA656" t="s">
        <v>74</v>
      </c>
      <c r="BB656">
        <v>0</v>
      </c>
      <c r="BD656">
        <v>19.492059999999999</v>
      </c>
      <c r="BE656">
        <v>0</v>
      </c>
    </row>
    <row r="657" spans="1:58" ht="12.75">
      <c r="A657" s="2" t="str">
        <f>HYPERLINK("https://ibp.a2mac1.com/costing(costing:projects/details/8191/part/5383157)","Miscellaneuos")</f>
        <v>Miscellaneuos</v>
      </c>
      <c r="B657">
        <v>5383157</v>
      </c>
      <c r="C657">
        <v>5382887</v>
      </c>
      <c r="D657" t="s">
        <v>603</v>
      </c>
      <c r="E657">
        <v>2.28</v>
      </c>
      <c r="F657">
        <v>0</v>
      </c>
      <c r="G657">
        <v>0</v>
      </c>
      <c r="H657">
        <v>0</v>
      </c>
      <c r="I657" t="s">
        <v>74</v>
      </c>
      <c r="J657">
        <v>0</v>
      </c>
      <c r="K657">
        <v>2.28</v>
      </c>
      <c r="L657">
        <v>0</v>
      </c>
      <c r="M657">
        <v>0</v>
      </c>
      <c r="N657">
        <v>2.28</v>
      </c>
      <c r="O657" t="s">
        <v>74</v>
      </c>
      <c r="P657">
        <v>0</v>
      </c>
      <c r="Q657" t="s">
        <v>74</v>
      </c>
      <c r="R657">
        <v>0</v>
      </c>
      <c r="S657" t="s">
        <v>74</v>
      </c>
      <c r="T657">
        <v>0</v>
      </c>
      <c r="U657" t="s">
        <v>74</v>
      </c>
      <c r="V657">
        <v>0</v>
      </c>
      <c r="W657" t="s">
        <v>74</v>
      </c>
      <c r="X657">
        <v>0</v>
      </c>
      <c r="Y657">
        <v>2.28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K657" t="s">
        <v>218</v>
      </c>
      <c r="AM657">
        <v>200000</v>
      </c>
      <c r="AN657" t="s">
        <v>92</v>
      </c>
      <c r="AO657">
        <v>1</v>
      </c>
      <c r="AP657">
        <v>0</v>
      </c>
      <c r="AQ657">
        <v>16666.666666666668</v>
      </c>
      <c r="AR657" t="s">
        <v>9</v>
      </c>
      <c r="AS657" t="s">
        <v>78</v>
      </c>
      <c r="AX657" t="s">
        <v>79</v>
      </c>
      <c r="AY657" t="s">
        <v>74</v>
      </c>
      <c r="AZ657">
        <v>0</v>
      </c>
      <c r="BA657" t="s">
        <v>74</v>
      </c>
      <c r="BB657">
        <v>0</v>
      </c>
      <c r="BD657">
        <v>2.28</v>
      </c>
      <c r="BE657">
        <v>0</v>
      </c>
    </row>
    <row r="658" spans="1:58" ht="12.75">
      <c r="A658" s="2" t="str">
        <f>HYPERLINK("https://ibp.a2mac1.com/costing(costing:projects/details/8191/part/5382883)"," Storage Bag")</f>
        <v xml:space="preserve"> Storage Bag</v>
      </c>
      <c r="B658">
        <v>5382883</v>
      </c>
      <c r="C658">
        <v>5382804</v>
      </c>
      <c r="D658" t="s">
        <v>2272</v>
      </c>
      <c r="E658">
        <v>1.50</v>
      </c>
      <c r="F658">
        <v>0</v>
      </c>
      <c r="G658">
        <v>0</v>
      </c>
      <c r="H658">
        <v>0</v>
      </c>
      <c r="I658" t="s">
        <v>74</v>
      </c>
      <c r="J658">
        <v>0</v>
      </c>
      <c r="K658">
        <v>1.50</v>
      </c>
      <c r="L658">
        <v>0</v>
      </c>
      <c r="M658">
        <v>0</v>
      </c>
      <c r="N658">
        <v>1.50</v>
      </c>
      <c r="O658" t="s">
        <v>74</v>
      </c>
      <c r="P658">
        <v>0</v>
      </c>
      <c r="Q658" t="s">
        <v>74</v>
      </c>
      <c r="R658">
        <v>0</v>
      </c>
      <c r="S658" t="s">
        <v>74</v>
      </c>
      <c r="T658">
        <v>0</v>
      </c>
      <c r="U658" t="s">
        <v>74</v>
      </c>
      <c r="V658">
        <v>0</v>
      </c>
      <c r="W658" t="s">
        <v>74</v>
      </c>
      <c r="X658">
        <v>0</v>
      </c>
      <c r="Y658">
        <v>1.50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513</v>
      </c>
      <c r="AF658">
        <v>445</v>
      </c>
      <c r="AG658">
        <v>22</v>
      </c>
      <c r="AH658">
        <v>0</v>
      </c>
      <c r="AI658">
        <v>0.17199999999999999</v>
      </c>
      <c r="AK658" t="s">
        <v>75</v>
      </c>
      <c r="AM658">
        <v>200000</v>
      </c>
      <c r="AN658" t="s">
        <v>76</v>
      </c>
      <c r="AO658">
        <v>1</v>
      </c>
      <c r="AP658">
        <v>0</v>
      </c>
      <c r="AQ658">
        <v>16666.666666666668</v>
      </c>
      <c r="AR658" t="s">
        <v>2273</v>
      </c>
      <c r="AS658" t="s">
        <v>78</v>
      </c>
      <c r="AX658" t="s">
        <v>79</v>
      </c>
      <c r="AY658" t="s">
        <v>74</v>
      </c>
      <c r="AZ658">
        <v>0</v>
      </c>
      <c r="BA658" t="s">
        <v>74</v>
      </c>
      <c r="BB658">
        <v>0</v>
      </c>
      <c r="BD658">
        <v>1.50</v>
      </c>
      <c r="BE658">
        <v>0</v>
      </c>
    </row>
    <row r="659" spans="1:58" ht="12.75">
      <c r="A659" s="2" t="str">
        <f>HYPERLINK("https://ibp.a2mac1.com/costing(costing:projects/details/8191/part/5382884)"," Charging Plug 1 Cap")</f>
        <v xml:space="preserve"> Charging Plug 1 Cap</v>
      </c>
      <c r="B659">
        <v>5382884</v>
      </c>
      <c r="C659">
        <v>5382804</v>
      </c>
      <c r="D659" t="s">
        <v>2274</v>
      </c>
      <c r="E659">
        <v>0.20662</v>
      </c>
      <c r="F659">
        <v>0</v>
      </c>
      <c r="G659">
        <v>0</v>
      </c>
      <c r="H659">
        <v>0</v>
      </c>
      <c r="I659" t="s">
        <v>74</v>
      </c>
      <c r="J659">
        <v>0</v>
      </c>
      <c r="K659">
        <v>0.20662</v>
      </c>
      <c r="L659">
        <v>0</v>
      </c>
      <c r="M659">
        <v>0</v>
      </c>
      <c r="N659">
        <v>0.20662</v>
      </c>
      <c r="O659" t="s">
        <v>74</v>
      </c>
      <c r="P659">
        <v>0</v>
      </c>
      <c r="Q659" t="s">
        <v>74</v>
      </c>
      <c r="R659">
        <v>0</v>
      </c>
      <c r="S659" t="s">
        <v>74</v>
      </c>
      <c r="T659">
        <v>0</v>
      </c>
      <c r="U659" t="s">
        <v>74</v>
      </c>
      <c r="V659">
        <v>0</v>
      </c>
      <c r="W659" t="s">
        <v>74</v>
      </c>
      <c r="X659">
        <v>0</v>
      </c>
      <c r="Y659">
        <v>0.20662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73</v>
      </c>
      <c r="AF659">
        <v>40</v>
      </c>
      <c r="AG659">
        <v>43</v>
      </c>
      <c r="AH659">
        <v>0</v>
      </c>
      <c r="AI659">
        <v>0.025999999999999999</v>
      </c>
      <c r="AK659" t="s">
        <v>75</v>
      </c>
      <c r="AM659">
        <v>200000</v>
      </c>
      <c r="AN659" t="s">
        <v>76</v>
      </c>
      <c r="AO659">
        <v>1</v>
      </c>
      <c r="AP659">
        <v>0</v>
      </c>
      <c r="AQ659">
        <v>16666.666666666668</v>
      </c>
      <c r="AR659" t="s">
        <v>2275</v>
      </c>
      <c r="AS659" t="s">
        <v>78</v>
      </c>
      <c r="AX659" t="s">
        <v>79</v>
      </c>
      <c r="AY659" t="s">
        <v>74</v>
      </c>
      <c r="AZ659">
        <v>0</v>
      </c>
      <c r="BA659" t="s">
        <v>74</v>
      </c>
      <c r="BB659">
        <v>0</v>
      </c>
      <c r="BD659">
        <v>0.20662</v>
      </c>
      <c r="BE659">
        <v>0</v>
      </c>
    </row>
    <row r="660" spans="1:58" ht="12.75">
      <c r="A660" s="2" t="str">
        <f>HYPERLINK("https://ibp.a2mac1.com/costing(costing:projects/details/8191/part/5382885)"," Water hose evacuation")</f>
        <v xml:space="preserve"> Water hose evacuation</v>
      </c>
      <c r="B660">
        <v>5382885</v>
      </c>
      <c r="C660">
        <v>5382804</v>
      </c>
      <c r="D660" t="s">
        <v>2276</v>
      </c>
      <c r="E660">
        <v>0.20</v>
      </c>
      <c r="F660">
        <v>0</v>
      </c>
      <c r="G660">
        <v>0</v>
      </c>
      <c r="H660">
        <v>0</v>
      </c>
      <c r="I660" t="s">
        <v>74</v>
      </c>
      <c r="J660">
        <v>0</v>
      </c>
      <c r="K660">
        <v>0.20</v>
      </c>
      <c r="L660">
        <v>0</v>
      </c>
      <c r="M660">
        <v>0</v>
      </c>
      <c r="N660">
        <v>0.20</v>
      </c>
      <c r="O660" t="s">
        <v>74</v>
      </c>
      <c r="P660">
        <v>0</v>
      </c>
      <c r="Q660" t="s">
        <v>74</v>
      </c>
      <c r="R660">
        <v>0</v>
      </c>
      <c r="S660" t="s">
        <v>74</v>
      </c>
      <c r="T660">
        <v>0</v>
      </c>
      <c r="U660" t="s">
        <v>74</v>
      </c>
      <c r="V660">
        <v>0</v>
      </c>
      <c r="W660" t="s">
        <v>74</v>
      </c>
      <c r="X660">
        <v>0</v>
      </c>
      <c r="Y660">
        <v>0.20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643</v>
      </c>
      <c r="AI660">
        <v>0.027</v>
      </c>
      <c r="AK660" t="s">
        <v>75</v>
      </c>
      <c r="AM660">
        <v>200000</v>
      </c>
      <c r="AN660" t="s">
        <v>76</v>
      </c>
      <c r="AO660">
        <v>1</v>
      </c>
      <c r="AP660">
        <v>0</v>
      </c>
      <c r="AQ660">
        <v>16666.666666666668</v>
      </c>
      <c r="AR660" t="s">
        <v>2277</v>
      </c>
      <c r="AS660" t="s">
        <v>78</v>
      </c>
      <c r="AX660" t="s">
        <v>79</v>
      </c>
      <c r="AY660" t="s">
        <v>74</v>
      </c>
      <c r="AZ660">
        <v>0</v>
      </c>
      <c r="BA660" t="s">
        <v>74</v>
      </c>
      <c r="BB660">
        <v>0</v>
      </c>
      <c r="BD660">
        <v>0.20</v>
      </c>
      <c r="BE660">
        <v>0</v>
      </c>
    </row>
    <row r="661" spans="1:58" ht="12.75">
      <c r="A661" s="2" t="str">
        <f>HYPERLINK("https://ibp.a2mac1.com/costing(costing:projects/details/8191/part/5382888)","Lid Locking")</f>
        <v>Lid Locking</v>
      </c>
      <c r="B661">
        <v>5382888</v>
      </c>
      <c r="C661">
        <v>5382804</v>
      </c>
      <c r="D661" t="s">
        <v>2278</v>
      </c>
      <c r="E661">
        <v>1.84548</v>
      </c>
      <c r="F661">
        <v>0</v>
      </c>
      <c r="G661">
        <v>0</v>
      </c>
      <c r="H661">
        <v>0</v>
      </c>
      <c r="I661" t="s">
        <v>74</v>
      </c>
      <c r="J661">
        <v>0</v>
      </c>
      <c r="K661">
        <v>1.84548</v>
      </c>
      <c r="L661">
        <v>0</v>
      </c>
      <c r="M661">
        <v>0</v>
      </c>
      <c r="N661">
        <v>1.84548</v>
      </c>
      <c r="O661" t="s">
        <v>74</v>
      </c>
      <c r="P661">
        <v>0</v>
      </c>
      <c r="Q661" t="s">
        <v>74</v>
      </c>
      <c r="R661">
        <v>0</v>
      </c>
      <c r="S661" t="s">
        <v>74</v>
      </c>
      <c r="T661">
        <v>0</v>
      </c>
      <c r="U661" t="s">
        <v>74</v>
      </c>
      <c r="V661">
        <v>0</v>
      </c>
      <c r="W661" t="s">
        <v>74</v>
      </c>
      <c r="X661">
        <v>0</v>
      </c>
      <c r="Y661">
        <v>1.84548</v>
      </c>
      <c r="Z661">
        <v>0</v>
      </c>
      <c r="AA661">
        <v>0</v>
      </c>
      <c r="AB661">
        <v>0</v>
      </c>
      <c r="AC661">
        <v>0</v>
      </c>
      <c r="AD661">
        <v>0</v>
      </c>
      <c r="AH661">
        <v>0</v>
      </c>
      <c r="AK661" t="s">
        <v>75</v>
      </c>
      <c r="AM661">
        <v>200000</v>
      </c>
      <c r="AN661" t="s">
        <v>76</v>
      </c>
      <c r="AO661">
        <v>1</v>
      </c>
      <c r="AP661">
        <v>0</v>
      </c>
      <c r="AQ661">
        <v>16666.666666666668</v>
      </c>
      <c r="AR661" t="s">
        <v>2279</v>
      </c>
      <c r="AS661" t="s">
        <v>78</v>
      </c>
      <c r="AX661" t="s">
        <v>79</v>
      </c>
      <c r="AY661" t="s">
        <v>74</v>
      </c>
      <c r="AZ661">
        <v>0</v>
      </c>
      <c r="BA661" t="s">
        <v>74</v>
      </c>
      <c r="BB661">
        <v>0</v>
      </c>
      <c r="BD661">
        <v>1.84548</v>
      </c>
      <c r="BE661">
        <v>0</v>
      </c>
    </row>
    <row r="662" spans="1:58" ht="12.75">
      <c r="A662" s="2" t="str">
        <f>HYPERLINK("https://ibp.a2mac1.com/costing(costing:projects/details/8191/part/5382889)","Charging indicator")</f>
        <v>Charging indicator</v>
      </c>
      <c r="B662">
        <v>5382889</v>
      </c>
      <c r="C662">
        <v>5382804</v>
      </c>
      <c r="E662">
        <v>0</v>
      </c>
      <c r="F662">
        <v>7.501647034430043</v>
      </c>
      <c r="G662">
        <v>0</v>
      </c>
      <c r="H662">
        <v>0</v>
      </c>
      <c r="I662" t="s">
        <v>137</v>
      </c>
      <c r="J662">
        <v>0</v>
      </c>
      <c r="K662">
        <v>7.7642046806350944</v>
      </c>
      <c r="L662">
        <v>0.18833421946463494</v>
      </c>
      <c r="M662">
        <v>1.1300053167878097</v>
      </c>
      <c r="N662">
        <v>8.8942099974229034</v>
      </c>
      <c r="O662" t="s">
        <v>138</v>
      </c>
      <c r="P662">
        <v>0.46585228083810565</v>
      </c>
      <c r="Q662" t="s">
        <v>138</v>
      </c>
      <c r="R662">
        <v>0.067800319007268586</v>
      </c>
      <c r="S662" t="s">
        <v>139</v>
      </c>
      <c r="T662">
        <v>1.0673051996907486</v>
      </c>
      <c r="U662" t="s">
        <v>90</v>
      </c>
      <c r="V662">
        <v>0</v>
      </c>
      <c r="W662" t="s">
        <v>90</v>
      </c>
      <c r="X662">
        <v>0</v>
      </c>
      <c r="Y662">
        <v>10.495167796959027</v>
      </c>
      <c r="Z662">
        <v>0</v>
      </c>
      <c r="AA662">
        <v>0</v>
      </c>
      <c r="AB662">
        <v>0</v>
      </c>
      <c r="AC662">
        <v>0</v>
      </c>
      <c r="AD662">
        <v>0</v>
      </c>
      <c r="AJ662" t="s">
        <v>1348</v>
      </c>
      <c r="AK662" t="s">
        <v>75</v>
      </c>
      <c r="AL662" t="s">
        <v>2282</v>
      </c>
      <c r="AM662">
        <v>200000</v>
      </c>
      <c r="AN662" t="s">
        <v>76</v>
      </c>
      <c r="AO662">
        <v>1</v>
      </c>
      <c r="AP662">
        <v>0</v>
      </c>
      <c r="AQ662">
        <v>16666.666666666668</v>
      </c>
      <c r="AR662" t="s">
        <v>2283</v>
      </c>
      <c r="AS662" t="s">
        <v>78</v>
      </c>
      <c r="AX662" t="s">
        <v>79</v>
      </c>
      <c r="AY662" t="s">
        <v>137</v>
      </c>
      <c r="AZ662">
        <v>0.26255764620505151</v>
      </c>
      <c r="BA662" t="s">
        <v>137</v>
      </c>
      <c r="BB662">
        <v>0</v>
      </c>
      <c r="BE662">
        <v>0</v>
      </c>
    </row>
    <row r="663" spans="1:58" ht="12.75">
      <c r="A663" s="2" t="str">
        <f>HYPERLINK("https://ibp.a2mac1.com/costing(costing:projects/details/8191/part/5383727)","Material - Aluminium")</f>
        <v>Material - Aluminium</v>
      </c>
      <c r="B663">
        <v>5383727</v>
      </c>
      <c r="C663">
        <v>5383442</v>
      </c>
      <c r="E663">
        <v>12.862</v>
      </c>
      <c r="F663">
        <v>0</v>
      </c>
      <c r="G663">
        <v>0</v>
      </c>
      <c r="H663">
        <v>0</v>
      </c>
      <c r="I663" t="s">
        <v>74</v>
      </c>
      <c r="J663">
        <v>0</v>
      </c>
      <c r="K663">
        <v>12.862</v>
      </c>
      <c r="L663">
        <v>0</v>
      </c>
      <c r="M663">
        <v>0</v>
      </c>
      <c r="N663">
        <v>12.862</v>
      </c>
      <c r="O663" t="s">
        <v>74</v>
      </c>
      <c r="P663">
        <v>0</v>
      </c>
      <c r="Q663" t="s">
        <v>74</v>
      </c>
      <c r="R663">
        <v>0</v>
      </c>
      <c r="S663" t="s">
        <v>74</v>
      </c>
      <c r="T663">
        <v>0</v>
      </c>
      <c r="U663" t="s">
        <v>74</v>
      </c>
      <c r="V663">
        <v>0</v>
      </c>
      <c r="W663" t="s">
        <v>74</v>
      </c>
      <c r="X663">
        <v>0</v>
      </c>
      <c r="Y663">
        <v>12.862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K663" t="s">
        <v>218</v>
      </c>
      <c r="AM663">
        <v>2400000</v>
      </c>
      <c r="AN663" t="s">
        <v>76</v>
      </c>
      <c r="AO663">
        <v>1</v>
      </c>
      <c r="AP663">
        <v>0</v>
      </c>
      <c r="AQ663">
        <v>200000</v>
      </c>
      <c r="AR663" t="s">
        <v>9</v>
      </c>
      <c r="AS663" t="s">
        <v>78</v>
      </c>
      <c r="AV663">
        <v>0</v>
      </c>
      <c r="AW663">
        <v>0</v>
      </c>
      <c r="AX663" t="s">
        <v>79</v>
      </c>
      <c r="AY663" t="s">
        <v>74</v>
      </c>
      <c r="AZ663">
        <v>0</v>
      </c>
      <c r="BA663" t="s">
        <v>74</v>
      </c>
      <c r="BB663">
        <v>0</v>
      </c>
      <c r="BD663">
        <v>12.862</v>
      </c>
      <c r="BE663">
        <v>0</v>
      </c>
    </row>
    <row r="664" spans="1:58" ht="12.75">
      <c r="A664" s="2" t="str">
        <f>HYPERLINK("https://ibp.a2mac1.com/costing(costing:projects/details/8191/part/5383436)","Cell to Cell interconnect 1")</f>
        <v>Cell to Cell interconnect 1</v>
      </c>
      <c r="B664">
        <v>5383436</v>
      </c>
      <c r="C664">
        <v>5383158</v>
      </c>
      <c r="D664" t="s">
        <v>2292</v>
      </c>
      <c r="E664">
        <v>2.34</v>
      </c>
      <c r="F664">
        <v>0</v>
      </c>
      <c r="G664">
        <v>0</v>
      </c>
      <c r="H664">
        <v>0</v>
      </c>
      <c r="I664" t="s">
        <v>74</v>
      </c>
      <c r="J664">
        <v>0</v>
      </c>
      <c r="K664">
        <v>2.34</v>
      </c>
      <c r="L664">
        <v>0</v>
      </c>
      <c r="M664">
        <v>0</v>
      </c>
      <c r="N664">
        <v>2.34</v>
      </c>
      <c r="O664" t="s">
        <v>74</v>
      </c>
      <c r="P664">
        <v>0</v>
      </c>
      <c r="Q664" t="s">
        <v>74</v>
      </c>
      <c r="R664">
        <v>0</v>
      </c>
      <c r="S664" t="s">
        <v>74</v>
      </c>
      <c r="T664">
        <v>0</v>
      </c>
      <c r="U664" t="s">
        <v>74</v>
      </c>
      <c r="V664">
        <v>0</v>
      </c>
      <c r="W664" t="s">
        <v>74</v>
      </c>
      <c r="X664">
        <v>0</v>
      </c>
      <c r="Y664">
        <v>2.34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70</v>
      </c>
      <c r="AF664">
        <v>36</v>
      </c>
      <c r="AG664">
        <v>5</v>
      </c>
      <c r="AH664">
        <v>2.50</v>
      </c>
      <c r="AI664">
        <v>0.075999999999999998</v>
      </c>
      <c r="AK664" t="s">
        <v>2293</v>
      </c>
      <c r="AM664">
        <v>7200000</v>
      </c>
      <c r="AN664" t="s">
        <v>76</v>
      </c>
      <c r="AO664">
        <v>3</v>
      </c>
      <c r="AP664">
        <v>0</v>
      </c>
      <c r="AQ664">
        <v>600000</v>
      </c>
      <c r="AR664" t="s">
        <v>2294</v>
      </c>
      <c r="AS664" t="s">
        <v>78</v>
      </c>
      <c r="AX664" t="s">
        <v>79</v>
      </c>
      <c r="AY664" t="s">
        <v>74</v>
      </c>
      <c r="AZ664">
        <v>0</v>
      </c>
      <c r="BA664" t="s">
        <v>74</v>
      </c>
      <c r="BB664">
        <v>0</v>
      </c>
      <c r="BD664">
        <v>0.78</v>
      </c>
      <c r="BE664">
        <v>0</v>
      </c>
    </row>
    <row r="665" spans="1:58" ht="12.75">
      <c r="A665" s="2" t="str">
        <f>HYPERLINK("https://ibp.a2mac1.com/costing(costing:projects/details/8191/part/5383437)","Terminal 1")</f>
        <v>Terminal 1</v>
      </c>
      <c r="B665">
        <v>5383437</v>
      </c>
      <c r="C665">
        <v>5383158</v>
      </c>
      <c r="D665" t="s">
        <v>2295</v>
      </c>
      <c r="E665">
        <v>1.71</v>
      </c>
      <c r="F665">
        <v>0</v>
      </c>
      <c r="G665">
        <v>0</v>
      </c>
      <c r="H665">
        <v>0</v>
      </c>
      <c r="I665" t="s">
        <v>74</v>
      </c>
      <c r="J665">
        <v>0</v>
      </c>
      <c r="K665">
        <v>1.71</v>
      </c>
      <c r="L665">
        <v>0</v>
      </c>
      <c r="M665">
        <v>0</v>
      </c>
      <c r="N665">
        <v>1.71</v>
      </c>
      <c r="O665" t="s">
        <v>74</v>
      </c>
      <c r="P665">
        <v>0</v>
      </c>
      <c r="Q665" t="s">
        <v>74</v>
      </c>
      <c r="R665">
        <v>0</v>
      </c>
      <c r="S665" t="s">
        <v>74</v>
      </c>
      <c r="T665">
        <v>0</v>
      </c>
      <c r="U665" t="s">
        <v>74</v>
      </c>
      <c r="V665">
        <v>0</v>
      </c>
      <c r="W665" t="s">
        <v>74</v>
      </c>
      <c r="X665">
        <v>0</v>
      </c>
      <c r="Y665">
        <v>1.71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81</v>
      </c>
      <c r="AF665">
        <v>30</v>
      </c>
      <c r="AG665">
        <v>22</v>
      </c>
      <c r="AH665">
        <v>3.10</v>
      </c>
      <c r="AI665">
        <v>0.075499999999999998</v>
      </c>
      <c r="AK665" t="s">
        <v>2293</v>
      </c>
      <c r="AM665">
        <v>4800000</v>
      </c>
      <c r="AN665" t="s">
        <v>76</v>
      </c>
      <c r="AO665">
        <v>2</v>
      </c>
      <c r="AP665">
        <v>0</v>
      </c>
      <c r="AQ665">
        <v>400000</v>
      </c>
      <c r="AR665" t="s">
        <v>2296</v>
      </c>
      <c r="AS665" t="s">
        <v>78</v>
      </c>
      <c r="AX665" t="s">
        <v>79</v>
      </c>
      <c r="AY665" t="s">
        <v>74</v>
      </c>
      <c r="AZ665">
        <v>0</v>
      </c>
      <c r="BA665" t="s">
        <v>74</v>
      </c>
      <c r="BB665">
        <v>0</v>
      </c>
      <c r="BD665">
        <v>0.855</v>
      </c>
      <c r="BE665">
        <v>0</v>
      </c>
    </row>
    <row r="666" spans="1:58" ht="12.75">
      <c r="A666" s="2" t="str">
        <f>HYPERLINK("https://ibp.a2mac1.com/costing(costing:projects/details/8191/part/5383438)","Cell to cell connection 2")</f>
        <v>Cell to cell connection 2</v>
      </c>
      <c r="B666">
        <v>5383438</v>
      </c>
      <c r="C666">
        <v>5383158</v>
      </c>
      <c r="D666" t="s">
        <v>2297</v>
      </c>
      <c r="E666">
        <v>2.456</v>
      </c>
      <c r="F666">
        <v>0</v>
      </c>
      <c r="G666">
        <v>0</v>
      </c>
      <c r="H666">
        <v>0</v>
      </c>
      <c r="I666" t="s">
        <v>74</v>
      </c>
      <c r="J666">
        <v>0</v>
      </c>
      <c r="K666">
        <v>2.456</v>
      </c>
      <c r="L666">
        <v>0</v>
      </c>
      <c r="M666">
        <v>0</v>
      </c>
      <c r="N666">
        <v>2.456</v>
      </c>
      <c r="O666" t="s">
        <v>74</v>
      </c>
      <c r="P666">
        <v>0</v>
      </c>
      <c r="Q666" t="s">
        <v>74</v>
      </c>
      <c r="R666">
        <v>0</v>
      </c>
      <c r="S666" t="s">
        <v>74</v>
      </c>
      <c r="T666">
        <v>0</v>
      </c>
      <c r="U666" t="s">
        <v>74</v>
      </c>
      <c r="V666">
        <v>0</v>
      </c>
      <c r="W666" t="s">
        <v>74</v>
      </c>
      <c r="X666">
        <v>0</v>
      </c>
      <c r="Y666">
        <v>2.456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70</v>
      </c>
      <c r="AF666">
        <v>32</v>
      </c>
      <c r="AG666">
        <v>5</v>
      </c>
      <c r="AH666">
        <v>3</v>
      </c>
      <c r="AI666">
        <v>0.057000000000000002</v>
      </c>
      <c r="AK666" t="s">
        <v>2293</v>
      </c>
      <c r="AM666">
        <v>9600000</v>
      </c>
      <c r="AN666" t="s">
        <v>76</v>
      </c>
      <c r="AO666">
        <v>4</v>
      </c>
      <c r="AP666">
        <v>0</v>
      </c>
      <c r="AQ666">
        <v>800000</v>
      </c>
      <c r="AR666" t="s">
        <v>2298</v>
      </c>
      <c r="AS666" t="s">
        <v>78</v>
      </c>
      <c r="AX666" t="s">
        <v>79</v>
      </c>
      <c r="AY666" t="s">
        <v>74</v>
      </c>
      <c r="AZ666">
        <v>0</v>
      </c>
      <c r="BA666" t="s">
        <v>74</v>
      </c>
      <c r="BB666">
        <v>0</v>
      </c>
      <c r="BD666">
        <v>0.61399999999999999</v>
      </c>
      <c r="BE666">
        <v>0</v>
      </c>
    </row>
    <row r="667" spans="1:58" ht="12.75">
      <c r="A667" s="2" t="str">
        <f>HYPERLINK("https://ibp.a2mac1.com/costing(costing:projects/details/8191/part/5383439)","End Plate")</f>
        <v>End Plate</v>
      </c>
      <c r="B667">
        <v>5383439</v>
      </c>
      <c r="C667">
        <v>5383158</v>
      </c>
      <c r="D667" t="s">
        <v>2299</v>
      </c>
      <c r="E667">
        <v>3.5680000000000001</v>
      </c>
      <c r="F667">
        <v>0</v>
      </c>
      <c r="G667">
        <v>0</v>
      </c>
      <c r="H667">
        <v>0</v>
      </c>
      <c r="I667" t="s">
        <v>74</v>
      </c>
      <c r="J667">
        <v>0</v>
      </c>
      <c r="K667">
        <v>3.5680000000000001</v>
      </c>
      <c r="L667">
        <v>0</v>
      </c>
      <c r="M667">
        <v>0</v>
      </c>
      <c r="N667">
        <v>3.5680000000000001</v>
      </c>
      <c r="O667" t="s">
        <v>74</v>
      </c>
      <c r="P667">
        <v>0</v>
      </c>
      <c r="Q667" t="s">
        <v>74</v>
      </c>
      <c r="R667">
        <v>0</v>
      </c>
      <c r="S667" t="s">
        <v>74</v>
      </c>
      <c r="T667">
        <v>0</v>
      </c>
      <c r="U667" t="s">
        <v>74</v>
      </c>
      <c r="V667">
        <v>0</v>
      </c>
      <c r="W667" t="s">
        <v>74</v>
      </c>
      <c r="X667">
        <v>0</v>
      </c>
      <c r="Y667">
        <v>3.5680000000000001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223</v>
      </c>
      <c r="AF667">
        <v>108</v>
      </c>
      <c r="AG667">
        <v>27</v>
      </c>
      <c r="AH667">
        <v>0</v>
      </c>
      <c r="AI667">
        <v>0.34699999999999998</v>
      </c>
      <c r="AK667" t="s">
        <v>2293</v>
      </c>
      <c r="AM667">
        <v>4800000</v>
      </c>
      <c r="AN667" t="s">
        <v>76</v>
      </c>
      <c r="AO667">
        <v>2</v>
      </c>
      <c r="AP667">
        <v>0</v>
      </c>
      <c r="AQ667">
        <v>400000</v>
      </c>
      <c r="AR667" t="s">
        <v>2300</v>
      </c>
      <c r="AS667" t="s">
        <v>78</v>
      </c>
      <c r="AX667" t="s">
        <v>79</v>
      </c>
      <c r="AY667" t="s">
        <v>74</v>
      </c>
      <c r="AZ667">
        <v>0</v>
      </c>
      <c r="BA667" t="s">
        <v>74</v>
      </c>
      <c r="BB667">
        <v>0</v>
      </c>
      <c r="BD667">
        <v>1.784</v>
      </c>
      <c r="BE667">
        <v>0</v>
      </c>
    </row>
    <row r="668" spans="1:58" ht="12.75">
      <c r="A668" s="2" t="str">
        <f>HYPERLINK("https://ibp.a2mac1.com/costing(costing:projects/details/8191/part/5383440)","Screws")</f>
        <v>Screws</v>
      </c>
      <c r="B668">
        <v>5383440</v>
      </c>
      <c r="C668">
        <v>5383158</v>
      </c>
      <c r="D668" t="s">
        <v>2301</v>
      </c>
      <c r="E668">
        <v>0.71640000000000004</v>
      </c>
      <c r="F668">
        <v>0</v>
      </c>
      <c r="G668">
        <v>0</v>
      </c>
      <c r="H668">
        <v>0</v>
      </c>
      <c r="I668" t="s">
        <v>74</v>
      </c>
      <c r="J668">
        <v>0</v>
      </c>
      <c r="K668">
        <v>0.71640000000000004</v>
      </c>
      <c r="L668">
        <v>0</v>
      </c>
      <c r="M668">
        <v>0</v>
      </c>
      <c r="N668">
        <v>0.71640000000000004</v>
      </c>
      <c r="O668" t="s">
        <v>74</v>
      </c>
      <c r="P668">
        <v>0</v>
      </c>
      <c r="Q668" t="s">
        <v>74</v>
      </c>
      <c r="R668">
        <v>0</v>
      </c>
      <c r="S668" t="s">
        <v>74</v>
      </c>
      <c r="T668">
        <v>0</v>
      </c>
      <c r="U668" t="s">
        <v>74</v>
      </c>
      <c r="V668">
        <v>0</v>
      </c>
      <c r="W668" t="s">
        <v>74</v>
      </c>
      <c r="X668">
        <v>0</v>
      </c>
      <c r="Y668">
        <v>0.71640000000000004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0.03</v>
      </c>
      <c r="AK668" t="s">
        <v>218</v>
      </c>
      <c r="AM668">
        <v>9600000</v>
      </c>
      <c r="AN668" t="s">
        <v>76</v>
      </c>
      <c r="AO668">
        <v>4</v>
      </c>
      <c r="AP668">
        <v>0</v>
      </c>
      <c r="AQ668">
        <v>800000</v>
      </c>
      <c r="AR668" t="s">
        <v>9</v>
      </c>
      <c r="AS668" t="s">
        <v>78</v>
      </c>
      <c r="AX668" t="s">
        <v>79</v>
      </c>
      <c r="AY668" t="s">
        <v>74</v>
      </c>
      <c r="AZ668">
        <v>0</v>
      </c>
      <c r="BA668" t="s">
        <v>74</v>
      </c>
      <c r="BB668">
        <v>0</v>
      </c>
      <c r="BD668">
        <v>0.17910000000000001</v>
      </c>
      <c r="BE668">
        <v>0</v>
      </c>
    </row>
    <row r="669" spans="1:58" ht="12.75">
      <c r="A669" s="2" t="str">
        <f>HYPERLINK("https://ibp.a2mac1.com/costing(costing:projects/details/8191/part/5383441)","Insulator 1")</f>
        <v>Insulator 1</v>
      </c>
      <c r="B669">
        <v>5383441</v>
      </c>
      <c r="C669">
        <v>5383158</v>
      </c>
      <c r="D669" t="s">
        <v>2302</v>
      </c>
      <c r="E669">
        <v>0.995</v>
      </c>
      <c r="F669">
        <v>0</v>
      </c>
      <c r="G669">
        <v>0</v>
      </c>
      <c r="H669">
        <v>0</v>
      </c>
      <c r="I669" t="s">
        <v>74</v>
      </c>
      <c r="J669">
        <v>0</v>
      </c>
      <c r="K669">
        <v>0.995</v>
      </c>
      <c r="L669">
        <v>0</v>
      </c>
      <c r="M669">
        <v>0</v>
      </c>
      <c r="N669">
        <v>0.995</v>
      </c>
      <c r="O669" t="s">
        <v>74</v>
      </c>
      <c r="P669">
        <v>0</v>
      </c>
      <c r="Q669" t="s">
        <v>74</v>
      </c>
      <c r="R669">
        <v>0</v>
      </c>
      <c r="S669" t="s">
        <v>74</v>
      </c>
      <c r="T669">
        <v>0</v>
      </c>
      <c r="U669" t="s">
        <v>74</v>
      </c>
      <c r="V669">
        <v>0</v>
      </c>
      <c r="W669" t="s">
        <v>74</v>
      </c>
      <c r="X669">
        <v>0</v>
      </c>
      <c r="Y669">
        <v>0.995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515</v>
      </c>
      <c r="AF669">
        <v>95</v>
      </c>
      <c r="AG669">
        <v>3</v>
      </c>
      <c r="AH669">
        <v>3</v>
      </c>
      <c r="AI669">
        <v>0.021999999999999999</v>
      </c>
      <c r="AK669" t="s">
        <v>2293</v>
      </c>
      <c r="AM669">
        <v>12000000</v>
      </c>
      <c r="AN669" t="s">
        <v>76</v>
      </c>
      <c r="AO669">
        <v>5</v>
      </c>
      <c r="AP669">
        <v>0</v>
      </c>
      <c r="AQ669">
        <v>1000000</v>
      </c>
      <c r="AR669" t="s">
        <v>2303</v>
      </c>
      <c r="AS669" t="s">
        <v>78</v>
      </c>
      <c r="AX669" t="s">
        <v>79</v>
      </c>
      <c r="AY669" t="s">
        <v>74</v>
      </c>
      <c r="AZ669">
        <v>0</v>
      </c>
      <c r="BA669" t="s">
        <v>74</v>
      </c>
      <c r="BB669">
        <v>0</v>
      </c>
      <c r="BD669">
        <v>0.19900000000000001</v>
      </c>
      <c r="BE669">
        <v>0</v>
      </c>
    </row>
    <row r="670" spans="1:58" ht="12.75">
      <c r="A670" s="2" t="str">
        <f>HYPERLINK("https://ibp.a2mac1.com/costing(costing:projects/details/8191/part/5383443)","Top Cover")</f>
        <v>Top Cover</v>
      </c>
      <c r="B670">
        <v>5383443</v>
      </c>
      <c r="C670">
        <v>5383158</v>
      </c>
      <c r="D670" t="s">
        <v>2304</v>
      </c>
      <c r="E670">
        <v>0.78100000000000003</v>
      </c>
      <c r="F670">
        <v>0</v>
      </c>
      <c r="G670">
        <v>0</v>
      </c>
      <c r="H670">
        <v>0</v>
      </c>
      <c r="I670" t="s">
        <v>74</v>
      </c>
      <c r="J670">
        <v>0</v>
      </c>
      <c r="K670">
        <v>0.78100000000000003</v>
      </c>
      <c r="L670">
        <v>0</v>
      </c>
      <c r="M670">
        <v>0</v>
      </c>
      <c r="N670">
        <v>0.78100000000000003</v>
      </c>
      <c r="O670" t="s">
        <v>74</v>
      </c>
      <c r="P670">
        <v>0</v>
      </c>
      <c r="Q670" t="s">
        <v>74</v>
      </c>
      <c r="R670">
        <v>0</v>
      </c>
      <c r="S670" t="s">
        <v>74</v>
      </c>
      <c r="T670">
        <v>0</v>
      </c>
      <c r="U670" t="s">
        <v>74</v>
      </c>
      <c r="V670">
        <v>0</v>
      </c>
      <c r="W670" t="s">
        <v>74</v>
      </c>
      <c r="X670">
        <v>0</v>
      </c>
      <c r="Y670">
        <v>0.78100000000000003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544</v>
      </c>
      <c r="AF670">
        <v>210</v>
      </c>
      <c r="AG670">
        <v>9</v>
      </c>
      <c r="AH670">
        <v>1.50</v>
      </c>
      <c r="AI670">
        <v>0.14799999999999999</v>
      </c>
      <c r="AK670" t="s">
        <v>91</v>
      </c>
      <c r="AM670">
        <v>2400000</v>
      </c>
      <c r="AN670" t="s">
        <v>92</v>
      </c>
      <c r="AO670">
        <v>1</v>
      </c>
      <c r="AP670">
        <v>0</v>
      </c>
      <c r="AQ670">
        <v>200000</v>
      </c>
      <c r="AR670" t="s">
        <v>2305</v>
      </c>
      <c r="AS670" t="s">
        <v>78</v>
      </c>
      <c r="AX670" t="s">
        <v>79</v>
      </c>
      <c r="AY670" t="s">
        <v>74</v>
      </c>
      <c r="AZ670">
        <v>0</v>
      </c>
      <c r="BA670" t="s">
        <v>74</v>
      </c>
      <c r="BB670">
        <v>0</v>
      </c>
      <c r="BD670">
        <v>0.78100000000000003</v>
      </c>
      <c r="BE670">
        <v>0</v>
      </c>
    </row>
    <row r="671" spans="1:58" ht="12.75">
      <c r="A671" s="2" t="str">
        <f>HYPERLINK("https://ibp.a2mac1.com/costing(costing:projects/details/8191/part/5383444)","Flex PCB")</f>
        <v>Flex PCB</v>
      </c>
      <c r="B671">
        <v>5383444</v>
      </c>
      <c r="C671">
        <v>5383158</v>
      </c>
      <c r="D671" t="s">
        <v>2306</v>
      </c>
      <c r="E671">
        <v>10.523999999999999</v>
      </c>
      <c r="F671">
        <v>0</v>
      </c>
      <c r="G671">
        <v>0</v>
      </c>
      <c r="H671">
        <v>0</v>
      </c>
      <c r="I671" t="s">
        <v>74</v>
      </c>
      <c r="J671">
        <v>0</v>
      </c>
      <c r="K671">
        <v>10.523999999999999</v>
      </c>
      <c r="L671">
        <v>0</v>
      </c>
      <c r="M671">
        <v>0</v>
      </c>
      <c r="N671">
        <v>10.523999999999999</v>
      </c>
      <c r="O671" t="s">
        <v>74</v>
      </c>
      <c r="P671">
        <v>0</v>
      </c>
      <c r="Q671" t="s">
        <v>74</v>
      </c>
      <c r="R671">
        <v>0</v>
      </c>
      <c r="S671" t="s">
        <v>74</v>
      </c>
      <c r="T671">
        <v>0</v>
      </c>
      <c r="U671" t="s">
        <v>74</v>
      </c>
      <c r="V671">
        <v>0</v>
      </c>
      <c r="W671" t="s">
        <v>74</v>
      </c>
      <c r="X671">
        <v>0</v>
      </c>
      <c r="Y671">
        <v>10.523999999999999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630</v>
      </c>
      <c r="AF671">
        <v>160</v>
      </c>
      <c r="AG671">
        <v>1</v>
      </c>
      <c r="AH671">
        <v>0</v>
      </c>
      <c r="AI671">
        <v>0.023</v>
      </c>
      <c r="AK671" t="s">
        <v>91</v>
      </c>
      <c r="AM671">
        <v>2400000</v>
      </c>
      <c r="AN671" t="s">
        <v>92</v>
      </c>
      <c r="AO671">
        <v>1</v>
      </c>
      <c r="AP671">
        <v>0</v>
      </c>
      <c r="AQ671">
        <v>200000</v>
      </c>
      <c r="AR671" t="s">
        <v>2307</v>
      </c>
      <c r="AS671" t="s">
        <v>78</v>
      </c>
      <c r="AX671" t="s">
        <v>79</v>
      </c>
      <c r="AY671" t="s">
        <v>74</v>
      </c>
      <c r="AZ671">
        <v>0</v>
      </c>
      <c r="BA671" t="s">
        <v>74</v>
      </c>
      <c r="BB671">
        <v>0</v>
      </c>
      <c r="BD671">
        <v>10.523999999999999</v>
      </c>
      <c r="BE671">
        <v>0</v>
      </c>
    </row>
    <row r="672" spans="1:58" ht="12.75">
      <c r="A672" s="2" t="str">
        <f>HYPERLINK("https://ibp.a2mac1.com/costing(costing:projects/details/8191/part/5383445)","Cell to Cell Interconnect Support")</f>
        <v>Cell to Cell Interconnect Support</v>
      </c>
      <c r="B672">
        <v>5383445</v>
      </c>
      <c r="C672">
        <v>5383158</v>
      </c>
      <c r="D672" t="s">
        <v>2308</v>
      </c>
      <c r="E672">
        <v>1.6180000000000001</v>
      </c>
      <c r="F672">
        <v>0</v>
      </c>
      <c r="G672">
        <v>0</v>
      </c>
      <c r="H672">
        <v>0</v>
      </c>
      <c r="I672" t="s">
        <v>74</v>
      </c>
      <c r="J672">
        <v>0</v>
      </c>
      <c r="K672">
        <v>1.6180000000000001</v>
      </c>
      <c r="L672">
        <v>0</v>
      </c>
      <c r="M672">
        <v>0</v>
      </c>
      <c r="N672">
        <v>1.6180000000000001</v>
      </c>
      <c r="O672" t="s">
        <v>74</v>
      </c>
      <c r="P672">
        <v>0</v>
      </c>
      <c r="Q672" t="s">
        <v>74</v>
      </c>
      <c r="R672">
        <v>0</v>
      </c>
      <c r="S672" t="s">
        <v>74</v>
      </c>
      <c r="T672">
        <v>0</v>
      </c>
      <c r="U672" t="s">
        <v>74</v>
      </c>
      <c r="V672">
        <v>0</v>
      </c>
      <c r="W672" t="s">
        <v>74</v>
      </c>
      <c r="X672">
        <v>0</v>
      </c>
      <c r="Y672">
        <v>1.6180000000000001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212</v>
      </c>
      <c r="AF672">
        <v>102</v>
      </c>
      <c r="AG672">
        <v>28</v>
      </c>
      <c r="AH672">
        <v>2</v>
      </c>
      <c r="AI672">
        <v>0.079000000000000001</v>
      </c>
      <c r="AK672" t="s">
        <v>2293</v>
      </c>
      <c r="AM672">
        <v>4800000</v>
      </c>
      <c r="AN672" t="s">
        <v>76</v>
      </c>
      <c r="AO672">
        <v>2</v>
      </c>
      <c r="AP672">
        <v>0</v>
      </c>
      <c r="AQ672">
        <v>400000</v>
      </c>
      <c r="AR672" t="s">
        <v>2309</v>
      </c>
      <c r="AS672" t="s">
        <v>78</v>
      </c>
      <c r="AX672" t="s">
        <v>79</v>
      </c>
      <c r="AY672" t="s">
        <v>74</v>
      </c>
      <c r="AZ672">
        <v>0</v>
      </c>
      <c r="BA672" t="s">
        <v>74</v>
      </c>
      <c r="BB672">
        <v>0</v>
      </c>
      <c r="BD672">
        <v>0.80900000000000005</v>
      </c>
      <c r="BE672">
        <v>0</v>
      </c>
    </row>
    <row r="673" spans="1:58" ht="12.75">
      <c r="A673" s="2" t="str">
        <f>HYPERLINK("https://ibp.a2mac1.com/costing(costing:projects/details/8191/part/5383446)","Spacer")</f>
        <v>Spacer</v>
      </c>
      <c r="B673">
        <v>5383446</v>
      </c>
      <c r="C673">
        <v>5383158</v>
      </c>
      <c r="D673" t="s">
        <v>2310</v>
      </c>
      <c r="E673">
        <v>0.33800000000000002</v>
      </c>
      <c r="F673">
        <v>0</v>
      </c>
      <c r="G673">
        <v>0</v>
      </c>
      <c r="H673">
        <v>0</v>
      </c>
      <c r="I673" t="s">
        <v>74</v>
      </c>
      <c r="J673">
        <v>0</v>
      </c>
      <c r="K673">
        <v>0.33800000000000002</v>
      </c>
      <c r="L673">
        <v>0</v>
      </c>
      <c r="M673">
        <v>0</v>
      </c>
      <c r="N673">
        <v>0.33800000000000002</v>
      </c>
      <c r="O673" t="s">
        <v>74</v>
      </c>
      <c r="P673">
        <v>0</v>
      </c>
      <c r="Q673" t="s">
        <v>74</v>
      </c>
      <c r="R673">
        <v>0</v>
      </c>
      <c r="S673" t="s">
        <v>74</v>
      </c>
      <c r="T673">
        <v>0</v>
      </c>
      <c r="U673" t="s">
        <v>74</v>
      </c>
      <c r="V673">
        <v>0</v>
      </c>
      <c r="W673" t="s">
        <v>74</v>
      </c>
      <c r="X673">
        <v>0</v>
      </c>
      <c r="Y673">
        <v>0.33800000000000002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210</v>
      </c>
      <c r="AF673">
        <v>100</v>
      </c>
      <c r="AG673">
        <v>26</v>
      </c>
      <c r="AH673">
        <v>2</v>
      </c>
      <c r="AI673">
        <v>0.042000000000000003</v>
      </c>
      <c r="AK673" t="s">
        <v>218</v>
      </c>
      <c r="AM673">
        <v>4800000</v>
      </c>
      <c r="AN673" t="s">
        <v>76</v>
      </c>
      <c r="AO673">
        <v>2</v>
      </c>
      <c r="AP673">
        <v>0</v>
      </c>
      <c r="AQ673">
        <v>400000</v>
      </c>
      <c r="AR673" t="s">
        <v>2311</v>
      </c>
      <c r="AS673" t="s">
        <v>78</v>
      </c>
      <c r="AX673" t="s">
        <v>79</v>
      </c>
      <c r="AY673" t="s">
        <v>74</v>
      </c>
      <c r="AZ673">
        <v>0</v>
      </c>
      <c r="BA673" t="s">
        <v>74</v>
      </c>
      <c r="BB673">
        <v>0</v>
      </c>
      <c r="BD673">
        <v>0.16900000000000001</v>
      </c>
      <c r="BE673">
        <v>0</v>
      </c>
    </row>
    <row r="674" spans="1:58" ht="12.75">
      <c r="A674" s="2" t="str">
        <f>HYPERLINK("https://ibp.a2mac1.com/costing(costing:projects/details/8191/part/5383447)","Thermal Paste")</f>
        <v>Thermal Paste</v>
      </c>
      <c r="B674">
        <v>5383447</v>
      </c>
      <c r="C674">
        <v>5383158</v>
      </c>
      <c r="D674" t="s">
        <v>2312</v>
      </c>
      <c r="E674">
        <v>2.50</v>
      </c>
      <c r="F674">
        <v>0</v>
      </c>
      <c r="G674">
        <v>0</v>
      </c>
      <c r="H674">
        <v>0</v>
      </c>
      <c r="I674" t="s">
        <v>74</v>
      </c>
      <c r="J674">
        <v>0</v>
      </c>
      <c r="K674">
        <v>2.50</v>
      </c>
      <c r="L674">
        <v>0</v>
      </c>
      <c r="M674">
        <v>0</v>
      </c>
      <c r="N674">
        <v>2.50</v>
      </c>
      <c r="O674" t="s">
        <v>74</v>
      </c>
      <c r="P674">
        <v>0</v>
      </c>
      <c r="Q674" t="s">
        <v>74</v>
      </c>
      <c r="R674">
        <v>0</v>
      </c>
      <c r="S674" t="s">
        <v>74</v>
      </c>
      <c r="T674">
        <v>0</v>
      </c>
      <c r="U674" t="s">
        <v>74</v>
      </c>
      <c r="V674">
        <v>0</v>
      </c>
      <c r="W674" t="s">
        <v>74</v>
      </c>
      <c r="X674">
        <v>0</v>
      </c>
      <c r="Y674">
        <v>2.50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0.25</v>
      </c>
      <c r="AK674" t="s">
        <v>218</v>
      </c>
      <c r="AM674">
        <v>2400000</v>
      </c>
      <c r="AN674" t="s">
        <v>76</v>
      </c>
      <c r="AO674">
        <v>1</v>
      </c>
      <c r="AP674">
        <v>0</v>
      </c>
      <c r="AQ674">
        <v>200000</v>
      </c>
      <c r="AR674" t="s">
        <v>9</v>
      </c>
      <c r="AS674" t="s">
        <v>78</v>
      </c>
      <c r="AX674" t="s">
        <v>79</v>
      </c>
      <c r="AY674" t="s">
        <v>74</v>
      </c>
      <c r="AZ674">
        <v>0</v>
      </c>
      <c r="BA674" t="s">
        <v>74</v>
      </c>
      <c r="BB674">
        <v>0</v>
      </c>
      <c r="BD674">
        <v>2.50</v>
      </c>
      <c r="BE674">
        <v>0</v>
      </c>
    </row>
    <row r="675" spans="1:58" ht="12.75">
      <c r="A675" s="2" t="str">
        <f>HYPERLINK("https://ibp.a2mac1.com/costing(costing:projects/details/8191/part/5383448)","Screws")</f>
        <v>Screws</v>
      </c>
      <c r="B675">
        <v>5383448</v>
      </c>
      <c r="C675">
        <v>5383158</v>
      </c>
      <c r="D675" t="s">
        <v>2313</v>
      </c>
      <c r="E675">
        <v>0.71640000000000004</v>
      </c>
      <c r="F675">
        <v>0</v>
      </c>
      <c r="G675">
        <v>0</v>
      </c>
      <c r="H675">
        <v>0</v>
      </c>
      <c r="I675" t="s">
        <v>74</v>
      </c>
      <c r="J675">
        <v>0</v>
      </c>
      <c r="K675">
        <v>0.71640000000000004</v>
      </c>
      <c r="L675">
        <v>0</v>
      </c>
      <c r="M675">
        <v>0</v>
      </c>
      <c r="N675">
        <v>0.71640000000000004</v>
      </c>
      <c r="O675" t="s">
        <v>74</v>
      </c>
      <c r="P675">
        <v>0</v>
      </c>
      <c r="Q675" t="s">
        <v>74</v>
      </c>
      <c r="R675">
        <v>0</v>
      </c>
      <c r="S675" t="s">
        <v>74</v>
      </c>
      <c r="T675">
        <v>0</v>
      </c>
      <c r="U675" t="s">
        <v>74</v>
      </c>
      <c r="V675">
        <v>0</v>
      </c>
      <c r="W675" t="s">
        <v>74</v>
      </c>
      <c r="X675">
        <v>0</v>
      </c>
      <c r="Y675">
        <v>0.71640000000000004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71</v>
      </c>
      <c r="AF675">
        <v>8</v>
      </c>
      <c r="AG675">
        <v>0</v>
      </c>
      <c r="AH675">
        <v>0</v>
      </c>
      <c r="AI675">
        <v>0.03</v>
      </c>
      <c r="AK675" t="s">
        <v>218</v>
      </c>
      <c r="AM675">
        <v>9600000</v>
      </c>
      <c r="AN675" t="s">
        <v>76</v>
      </c>
      <c r="AO675">
        <v>4</v>
      </c>
      <c r="AP675">
        <v>0</v>
      </c>
      <c r="AQ675">
        <v>800000</v>
      </c>
      <c r="AR675" t="s">
        <v>9</v>
      </c>
      <c r="AS675" t="s">
        <v>78</v>
      </c>
      <c r="AX675" t="s">
        <v>79</v>
      </c>
      <c r="AY675" t="s">
        <v>74</v>
      </c>
      <c r="AZ675">
        <v>0</v>
      </c>
      <c r="BA675" t="s">
        <v>74</v>
      </c>
      <c r="BB675">
        <v>0</v>
      </c>
      <c r="BD675">
        <v>0.17910000000000001</v>
      </c>
      <c r="BE675">
        <v>0</v>
      </c>
    </row>
    <row r="676" spans="1:58" ht="12.75">
      <c r="A676" s="2" t="str">
        <f>HYPERLINK("https://ibp.a2mac1.com/costing(costing:projects/details/8191/part/5383972)","PCB")</f>
        <v>PCB</v>
      </c>
      <c r="B676">
        <v>5383972</v>
      </c>
      <c r="C676">
        <v>5383728</v>
      </c>
      <c r="D676" t="s">
        <v>2322</v>
      </c>
      <c r="E676">
        <v>41.49</v>
      </c>
      <c r="F676">
        <v>0</v>
      </c>
      <c r="G676">
        <v>0</v>
      </c>
      <c r="H676">
        <v>0</v>
      </c>
      <c r="I676" t="s">
        <v>74</v>
      </c>
      <c r="J676">
        <v>0</v>
      </c>
      <c r="K676">
        <v>41.49</v>
      </c>
      <c r="L676">
        <v>0</v>
      </c>
      <c r="M676">
        <v>0</v>
      </c>
      <c r="N676">
        <v>41.49</v>
      </c>
      <c r="O676" t="s">
        <v>74</v>
      </c>
      <c r="P676">
        <v>0</v>
      </c>
      <c r="Q676" t="s">
        <v>74</v>
      </c>
      <c r="R676">
        <v>0</v>
      </c>
      <c r="S676" t="s">
        <v>74</v>
      </c>
      <c r="T676">
        <v>0</v>
      </c>
      <c r="U676" t="s">
        <v>74</v>
      </c>
      <c r="V676">
        <v>0</v>
      </c>
      <c r="W676" t="s">
        <v>74</v>
      </c>
      <c r="X676">
        <v>0</v>
      </c>
      <c r="Y676">
        <v>41.49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302</v>
      </c>
      <c r="AF676">
        <v>91</v>
      </c>
      <c r="AG676">
        <v>28</v>
      </c>
      <c r="AH676">
        <v>1.72</v>
      </c>
      <c r="AI676">
        <v>0</v>
      </c>
      <c r="AK676" t="s">
        <v>2323</v>
      </c>
      <c r="AM676">
        <v>200000</v>
      </c>
      <c r="AN676" t="s">
        <v>92</v>
      </c>
      <c r="AO676">
        <v>1</v>
      </c>
      <c r="AP676">
        <v>0</v>
      </c>
      <c r="AQ676">
        <v>16666.666666666668</v>
      </c>
      <c r="AR676" t="s">
        <v>2324</v>
      </c>
      <c r="AS676" t="s">
        <v>78</v>
      </c>
      <c r="AX676" t="s">
        <v>79</v>
      </c>
      <c r="AY676" t="s">
        <v>74</v>
      </c>
      <c r="AZ676">
        <v>0</v>
      </c>
      <c r="BA676" t="s">
        <v>74</v>
      </c>
      <c r="BB676">
        <v>0</v>
      </c>
      <c r="BD676">
        <v>41.49</v>
      </c>
      <c r="BE676">
        <v>0</v>
      </c>
    </row>
    <row r="677" spans="1:58" ht="12.75">
      <c r="A677" s="2" t="str">
        <f>HYPERLINK("https://ibp.a2mac1.com/costing(costing:projects/details/8191/part/5383973)","Housing Top")</f>
        <v>Housing Top</v>
      </c>
      <c r="B677">
        <v>5383973</v>
      </c>
      <c r="C677">
        <v>5383729</v>
      </c>
      <c r="D677" t="s">
        <v>2327</v>
      </c>
      <c r="E677">
        <v>1.052</v>
      </c>
      <c r="F677">
        <v>0</v>
      </c>
      <c r="G677">
        <v>0</v>
      </c>
      <c r="H677">
        <v>0</v>
      </c>
      <c r="I677" t="s">
        <v>74</v>
      </c>
      <c r="J677">
        <v>0</v>
      </c>
      <c r="K677">
        <v>1.052</v>
      </c>
      <c r="L677">
        <v>0</v>
      </c>
      <c r="M677">
        <v>0</v>
      </c>
      <c r="N677">
        <v>1.052</v>
      </c>
      <c r="O677" t="s">
        <v>74</v>
      </c>
      <c r="P677">
        <v>0</v>
      </c>
      <c r="Q677" t="s">
        <v>74</v>
      </c>
      <c r="R677">
        <v>0</v>
      </c>
      <c r="S677" t="s">
        <v>74</v>
      </c>
      <c r="T677">
        <v>0</v>
      </c>
      <c r="U677" t="s">
        <v>74</v>
      </c>
      <c r="V677">
        <v>0</v>
      </c>
      <c r="W677" t="s">
        <v>74</v>
      </c>
      <c r="X677">
        <v>0</v>
      </c>
      <c r="Y677">
        <v>1.052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310</v>
      </c>
      <c r="AF677">
        <v>104</v>
      </c>
      <c r="AG677">
        <v>20</v>
      </c>
      <c r="AH677">
        <v>2</v>
      </c>
      <c r="AI677">
        <v>0.128</v>
      </c>
      <c r="AK677" t="s">
        <v>2293</v>
      </c>
      <c r="AM677">
        <v>200000</v>
      </c>
      <c r="AN677" t="s">
        <v>76</v>
      </c>
      <c r="AO677">
        <v>1</v>
      </c>
      <c r="AP677">
        <v>0</v>
      </c>
      <c r="AQ677">
        <v>16666.666666666668</v>
      </c>
      <c r="AR677" t="s">
        <v>2328</v>
      </c>
      <c r="AS677" t="s">
        <v>78</v>
      </c>
      <c r="AX677" t="s">
        <v>79</v>
      </c>
      <c r="AY677" t="s">
        <v>74</v>
      </c>
      <c r="AZ677">
        <v>0</v>
      </c>
      <c r="BA677" t="s">
        <v>74</v>
      </c>
      <c r="BB677">
        <v>0</v>
      </c>
      <c r="BD677">
        <v>1.052</v>
      </c>
      <c r="BE677">
        <v>0</v>
      </c>
    </row>
    <row r="678" spans="1:58" ht="12.75">
      <c r="A678" s="2" t="str">
        <f>HYPERLINK("https://ibp.a2mac1.com/costing(costing:projects/details/8191/part/5383974)","Housing Bottom")</f>
        <v>Housing Bottom</v>
      </c>
      <c r="B678">
        <v>5383974</v>
      </c>
      <c r="C678">
        <v>5383729</v>
      </c>
      <c r="D678" t="s">
        <v>2329</v>
      </c>
      <c r="E678">
        <v>1.732</v>
      </c>
      <c r="F678">
        <v>0</v>
      </c>
      <c r="G678">
        <v>0</v>
      </c>
      <c r="H678">
        <v>0</v>
      </c>
      <c r="I678" t="s">
        <v>74</v>
      </c>
      <c r="J678">
        <v>0</v>
      </c>
      <c r="K678">
        <v>1.732</v>
      </c>
      <c r="L678">
        <v>0</v>
      </c>
      <c r="M678">
        <v>0</v>
      </c>
      <c r="N678">
        <v>1.732</v>
      </c>
      <c r="O678" t="s">
        <v>74</v>
      </c>
      <c r="P678">
        <v>0</v>
      </c>
      <c r="Q678" t="s">
        <v>74</v>
      </c>
      <c r="R678">
        <v>0</v>
      </c>
      <c r="S678" t="s">
        <v>74</v>
      </c>
      <c r="T678">
        <v>0</v>
      </c>
      <c r="U678" t="s">
        <v>74</v>
      </c>
      <c r="V678">
        <v>0</v>
      </c>
      <c r="W678" t="s">
        <v>74</v>
      </c>
      <c r="X678">
        <v>0</v>
      </c>
      <c r="Y678">
        <v>1.732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370</v>
      </c>
      <c r="AF678">
        <v>105</v>
      </c>
      <c r="AG678">
        <v>58</v>
      </c>
      <c r="AH678">
        <v>2</v>
      </c>
      <c r="AI678">
        <v>0.214</v>
      </c>
      <c r="AK678" t="s">
        <v>2293</v>
      </c>
      <c r="AM678">
        <v>200000</v>
      </c>
      <c r="AN678" t="s">
        <v>76</v>
      </c>
      <c r="AO678">
        <v>1</v>
      </c>
      <c r="AP678">
        <v>0</v>
      </c>
      <c r="AQ678">
        <v>16666.666666666668</v>
      </c>
      <c r="AR678" t="s">
        <v>2330</v>
      </c>
      <c r="AS678" t="s">
        <v>78</v>
      </c>
      <c r="AX678" t="s">
        <v>79</v>
      </c>
      <c r="AY678" t="s">
        <v>74</v>
      </c>
      <c r="AZ678">
        <v>0</v>
      </c>
      <c r="BA678" t="s">
        <v>74</v>
      </c>
      <c r="BB678">
        <v>0</v>
      </c>
      <c r="BD678">
        <v>1.732</v>
      </c>
      <c r="BE678">
        <v>0</v>
      </c>
    </row>
    <row r="679" spans="1:58" ht="12.75">
      <c r="A679" s="2" t="str">
        <f>HYPERLINK("https://ibp.a2mac1.com/costing(costing:projects/details/8191/part/5383975)","Screws")</f>
        <v>Screws</v>
      </c>
      <c r="B679">
        <v>5383975</v>
      </c>
      <c r="C679">
        <v>5383729</v>
      </c>
      <c r="D679" t="s">
        <v>2331</v>
      </c>
      <c r="E679">
        <v>0.19303999999999999</v>
      </c>
      <c r="F679">
        <v>0</v>
      </c>
      <c r="G679">
        <v>0</v>
      </c>
      <c r="H679">
        <v>0</v>
      </c>
      <c r="I679" t="s">
        <v>74</v>
      </c>
      <c r="J679">
        <v>0</v>
      </c>
      <c r="K679">
        <v>0.19303999999999999</v>
      </c>
      <c r="L679">
        <v>0</v>
      </c>
      <c r="M679">
        <v>0</v>
      </c>
      <c r="N679">
        <v>0.19303999999999999</v>
      </c>
      <c r="O679" t="s">
        <v>74</v>
      </c>
      <c r="P679">
        <v>0</v>
      </c>
      <c r="Q679" t="s">
        <v>74</v>
      </c>
      <c r="R679">
        <v>0</v>
      </c>
      <c r="S679" t="s">
        <v>74</v>
      </c>
      <c r="T679">
        <v>0</v>
      </c>
      <c r="U679" t="s">
        <v>74</v>
      </c>
      <c r="V679">
        <v>0</v>
      </c>
      <c r="W679" t="s">
        <v>74</v>
      </c>
      <c r="X679">
        <v>0</v>
      </c>
      <c r="Y679">
        <v>0.19303999999999999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52</v>
      </c>
      <c r="AF679">
        <v>6</v>
      </c>
      <c r="AG679">
        <v>0</v>
      </c>
      <c r="AH679">
        <v>0</v>
      </c>
      <c r="AI679">
        <v>0.014</v>
      </c>
      <c r="AK679" t="s">
        <v>218</v>
      </c>
      <c r="AM679">
        <v>400000</v>
      </c>
      <c r="AN679" t="s">
        <v>76</v>
      </c>
      <c r="AO679">
        <v>2</v>
      </c>
      <c r="AP679">
        <v>0</v>
      </c>
      <c r="AQ679">
        <v>33333.333333333336</v>
      </c>
      <c r="AR679" t="s">
        <v>9</v>
      </c>
      <c r="AS679" t="s">
        <v>78</v>
      </c>
      <c r="AX679" t="s">
        <v>79</v>
      </c>
      <c r="AY679" t="s">
        <v>74</v>
      </c>
      <c r="AZ679">
        <v>0</v>
      </c>
      <c r="BA679" t="s">
        <v>74</v>
      </c>
      <c r="BB679">
        <v>0</v>
      </c>
      <c r="BD679">
        <v>0.096519999999999995</v>
      </c>
      <c r="BE679">
        <v>0</v>
      </c>
    </row>
    <row r="680" spans="1:58" ht="12.75">
      <c r="A680" s="2" t="str">
        <f>HYPERLINK("https://ibp.a2mac1.com/costing(costing:projects/details/8191/part/5383976)","PCB")</f>
        <v>PCB</v>
      </c>
      <c r="B680">
        <v>5383976</v>
      </c>
      <c r="C680">
        <v>5383730</v>
      </c>
      <c r="D680" t="s">
        <v>2339</v>
      </c>
      <c r="E680">
        <v>23.71</v>
      </c>
      <c r="F680">
        <v>0</v>
      </c>
      <c r="G680">
        <v>0</v>
      </c>
      <c r="H680">
        <v>0</v>
      </c>
      <c r="I680" t="s">
        <v>74</v>
      </c>
      <c r="J680">
        <v>0</v>
      </c>
      <c r="K680">
        <v>23.71</v>
      </c>
      <c r="L680">
        <v>0</v>
      </c>
      <c r="M680">
        <v>0</v>
      </c>
      <c r="N680">
        <v>23.71</v>
      </c>
      <c r="O680" t="s">
        <v>74</v>
      </c>
      <c r="P680">
        <v>0</v>
      </c>
      <c r="Q680" t="s">
        <v>74</v>
      </c>
      <c r="R680">
        <v>0</v>
      </c>
      <c r="S680" t="s">
        <v>74</v>
      </c>
      <c r="T680">
        <v>0</v>
      </c>
      <c r="U680" t="s">
        <v>74</v>
      </c>
      <c r="V680">
        <v>0</v>
      </c>
      <c r="W680" t="s">
        <v>74</v>
      </c>
      <c r="X680">
        <v>0</v>
      </c>
      <c r="Y680">
        <v>23.71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K680" t="s">
        <v>2323</v>
      </c>
      <c r="AM680">
        <v>600000</v>
      </c>
      <c r="AN680" t="s">
        <v>92</v>
      </c>
      <c r="AO680">
        <v>1</v>
      </c>
      <c r="AP680">
        <v>0</v>
      </c>
      <c r="AQ680">
        <v>50000</v>
      </c>
      <c r="AR680" t="s">
        <v>2340</v>
      </c>
      <c r="AS680" t="s">
        <v>78</v>
      </c>
      <c r="AX680" t="s">
        <v>79</v>
      </c>
      <c r="AY680" t="s">
        <v>74</v>
      </c>
      <c r="AZ680">
        <v>0</v>
      </c>
      <c r="BA680" t="s">
        <v>74</v>
      </c>
      <c r="BB680">
        <v>0</v>
      </c>
      <c r="BD680">
        <v>23.71</v>
      </c>
      <c r="BE680">
        <v>0</v>
      </c>
    </row>
    <row r="681" spans="1:58" ht="12.75">
      <c r="A681" s="2" t="str">
        <f>HYPERLINK("https://ibp.a2mac1.com/costing(costing:projects/details/8191/part/5383977)","Housing Top")</f>
        <v>Housing Top</v>
      </c>
      <c r="B681">
        <v>5383977</v>
      </c>
      <c r="C681">
        <v>5383731</v>
      </c>
      <c r="D681" t="s">
        <v>2344</v>
      </c>
      <c r="E681">
        <v>0.72</v>
      </c>
      <c r="F681">
        <v>0</v>
      </c>
      <c r="G681">
        <v>0</v>
      </c>
      <c r="H681">
        <v>0</v>
      </c>
      <c r="I681" t="s">
        <v>74</v>
      </c>
      <c r="J681">
        <v>0</v>
      </c>
      <c r="K681">
        <v>0.72</v>
      </c>
      <c r="L681">
        <v>0</v>
      </c>
      <c r="M681">
        <v>0</v>
      </c>
      <c r="N681">
        <v>0.72</v>
      </c>
      <c r="O681" t="s">
        <v>74</v>
      </c>
      <c r="P681">
        <v>0</v>
      </c>
      <c r="Q681" t="s">
        <v>74</v>
      </c>
      <c r="R681">
        <v>0</v>
      </c>
      <c r="S681" t="s">
        <v>74</v>
      </c>
      <c r="T681">
        <v>0</v>
      </c>
      <c r="U681" t="s">
        <v>74</v>
      </c>
      <c r="V681">
        <v>0</v>
      </c>
      <c r="W681" t="s">
        <v>74</v>
      </c>
      <c r="X681">
        <v>0</v>
      </c>
      <c r="Y681">
        <v>0.72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310</v>
      </c>
      <c r="AF681">
        <v>92</v>
      </c>
      <c r="AG681">
        <v>18</v>
      </c>
      <c r="AH681">
        <v>1.50</v>
      </c>
      <c r="AI681">
        <v>0.086999999999999994</v>
      </c>
      <c r="AK681" t="s">
        <v>2293</v>
      </c>
      <c r="AM681">
        <v>600000</v>
      </c>
      <c r="AN681" t="s">
        <v>76</v>
      </c>
      <c r="AO681">
        <v>1</v>
      </c>
      <c r="AP681">
        <v>0</v>
      </c>
      <c r="AQ681">
        <v>50000</v>
      </c>
      <c r="AR681" t="s">
        <v>2345</v>
      </c>
      <c r="AS681" t="s">
        <v>78</v>
      </c>
      <c r="AX681" t="s">
        <v>79</v>
      </c>
      <c r="AY681" t="s">
        <v>74</v>
      </c>
      <c r="AZ681">
        <v>0</v>
      </c>
      <c r="BA681" t="s">
        <v>74</v>
      </c>
      <c r="BB681">
        <v>0</v>
      </c>
      <c r="BD681">
        <v>0.72</v>
      </c>
      <c r="BE681">
        <v>0</v>
      </c>
    </row>
    <row r="682" spans="1:58" ht="12.75">
      <c r="A682" s="2" t="str">
        <f>HYPERLINK("https://ibp.a2mac1.com/costing(costing:projects/details/8191/part/5383978)","Housing Bottom")</f>
        <v>Housing Bottom</v>
      </c>
      <c r="B682">
        <v>5383978</v>
      </c>
      <c r="C682">
        <v>5383731</v>
      </c>
      <c r="D682" t="s">
        <v>2346</v>
      </c>
      <c r="E682">
        <v>0.99099999999999999</v>
      </c>
      <c r="F682">
        <v>0</v>
      </c>
      <c r="G682">
        <v>0</v>
      </c>
      <c r="H682">
        <v>0</v>
      </c>
      <c r="I682" t="s">
        <v>74</v>
      </c>
      <c r="J682">
        <v>0</v>
      </c>
      <c r="K682">
        <v>0.99099999999999999</v>
      </c>
      <c r="L682">
        <v>0</v>
      </c>
      <c r="M682">
        <v>0</v>
      </c>
      <c r="N682">
        <v>0.99099999999999999</v>
      </c>
      <c r="O682" t="s">
        <v>74</v>
      </c>
      <c r="P682">
        <v>0</v>
      </c>
      <c r="Q682" t="s">
        <v>74</v>
      </c>
      <c r="R682">
        <v>0</v>
      </c>
      <c r="S682" t="s">
        <v>74</v>
      </c>
      <c r="T682">
        <v>0</v>
      </c>
      <c r="U682" t="s">
        <v>74</v>
      </c>
      <c r="V682">
        <v>0</v>
      </c>
      <c r="W682" t="s">
        <v>74</v>
      </c>
      <c r="X682">
        <v>0</v>
      </c>
      <c r="Y682">
        <v>0.99099999999999999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349</v>
      </c>
      <c r="AF682">
        <v>105</v>
      </c>
      <c r="AG682">
        <v>21</v>
      </c>
      <c r="AH682">
        <v>1.50</v>
      </c>
      <c r="AI682">
        <v>0.12</v>
      </c>
      <c r="AK682" t="s">
        <v>2293</v>
      </c>
      <c r="AM682">
        <v>600000</v>
      </c>
      <c r="AN682" t="s">
        <v>76</v>
      </c>
      <c r="AO682">
        <v>1</v>
      </c>
      <c r="AP682">
        <v>0</v>
      </c>
      <c r="AQ682">
        <v>50000</v>
      </c>
      <c r="AR682" t="s">
        <v>2347</v>
      </c>
      <c r="AS682" t="s">
        <v>78</v>
      </c>
      <c r="AX682" t="s">
        <v>79</v>
      </c>
      <c r="AY682" t="s">
        <v>74</v>
      </c>
      <c r="AZ682">
        <v>0</v>
      </c>
      <c r="BA682" t="s">
        <v>74</v>
      </c>
      <c r="BB682">
        <v>0</v>
      </c>
      <c r="BD682">
        <v>0.99099999999999999</v>
      </c>
      <c r="BE682">
        <v>0</v>
      </c>
    </row>
    <row r="683" spans="1:58" ht="12.75">
      <c r="A683" s="2" t="str">
        <f>HYPERLINK("https://ibp.a2mac1.com/costing(costing:projects/details/8191/part/5383979)","Screws")</f>
        <v>Screws</v>
      </c>
      <c r="B683">
        <v>5383979</v>
      </c>
      <c r="C683">
        <v>5383731</v>
      </c>
      <c r="D683" t="s">
        <v>2348</v>
      </c>
      <c r="E683">
        <v>0.10538</v>
      </c>
      <c r="F683">
        <v>0</v>
      </c>
      <c r="G683">
        <v>0</v>
      </c>
      <c r="H683">
        <v>0</v>
      </c>
      <c r="I683" t="s">
        <v>74</v>
      </c>
      <c r="J683">
        <v>0</v>
      </c>
      <c r="K683">
        <v>0.10538</v>
      </c>
      <c r="L683">
        <v>0</v>
      </c>
      <c r="M683">
        <v>0</v>
      </c>
      <c r="N683">
        <v>0.10538</v>
      </c>
      <c r="O683" t="s">
        <v>74</v>
      </c>
      <c r="P683">
        <v>0</v>
      </c>
      <c r="Q683" t="s">
        <v>74</v>
      </c>
      <c r="R683">
        <v>0</v>
      </c>
      <c r="S683" t="s">
        <v>74</v>
      </c>
      <c r="T683">
        <v>0</v>
      </c>
      <c r="U683" t="s">
        <v>74</v>
      </c>
      <c r="V683">
        <v>0</v>
      </c>
      <c r="W683" t="s">
        <v>74</v>
      </c>
      <c r="X683">
        <v>0</v>
      </c>
      <c r="Y683">
        <v>0.10538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0.0054999999999999997</v>
      </c>
      <c r="AK683" t="s">
        <v>218</v>
      </c>
      <c r="AM683">
        <v>1200000</v>
      </c>
      <c r="AN683" t="s">
        <v>76</v>
      </c>
      <c r="AO683">
        <v>2</v>
      </c>
      <c r="AP683">
        <v>0</v>
      </c>
      <c r="AQ683">
        <v>100000</v>
      </c>
      <c r="AR683" t="s">
        <v>2349</v>
      </c>
      <c r="AS683" t="s">
        <v>78</v>
      </c>
      <c r="AX683" t="s">
        <v>79</v>
      </c>
      <c r="AY683" t="s">
        <v>74</v>
      </c>
      <c r="AZ683">
        <v>0</v>
      </c>
      <c r="BA683" t="s">
        <v>74</v>
      </c>
      <c r="BB683">
        <v>0</v>
      </c>
      <c r="BD683">
        <v>0.052690000000000001</v>
      </c>
      <c r="BE683">
        <v>0</v>
      </c>
    </row>
    <row r="684" spans="1:58" ht="12.75">
      <c r="A684" s="2" t="str">
        <f>HYPERLINK("https://ibp.a2mac1.com/costing(costing:projects/details/8191/part/5383980)","Material")</f>
        <v>Material</v>
      </c>
      <c r="B684">
        <v>5383980</v>
      </c>
      <c r="C684">
        <v>5383742</v>
      </c>
      <c r="E684">
        <v>8.2639999999999993</v>
      </c>
      <c r="F684">
        <v>0</v>
      </c>
      <c r="G684">
        <v>0</v>
      </c>
      <c r="H684">
        <v>0</v>
      </c>
      <c r="I684" t="s">
        <v>74</v>
      </c>
      <c r="J684">
        <v>0</v>
      </c>
      <c r="K684">
        <v>8.2639999999999993</v>
      </c>
      <c r="L684">
        <v>0</v>
      </c>
      <c r="M684">
        <v>0</v>
      </c>
      <c r="N684">
        <v>8.2639999999999993</v>
      </c>
      <c r="O684" t="s">
        <v>74</v>
      </c>
      <c r="P684">
        <v>0</v>
      </c>
      <c r="Q684" t="s">
        <v>74</v>
      </c>
      <c r="R684">
        <v>0</v>
      </c>
      <c r="S684" t="s">
        <v>74</v>
      </c>
      <c r="T684">
        <v>0</v>
      </c>
      <c r="U684" t="s">
        <v>74</v>
      </c>
      <c r="V684">
        <v>0</v>
      </c>
      <c r="W684" t="s">
        <v>74</v>
      </c>
      <c r="X684">
        <v>0</v>
      </c>
      <c r="Y684">
        <v>8.2639999999999993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K684" t="s">
        <v>218</v>
      </c>
      <c r="AM684">
        <v>200000</v>
      </c>
      <c r="AN684" t="s">
        <v>76</v>
      </c>
      <c r="AO684">
        <v>1</v>
      </c>
      <c r="AP684">
        <v>0</v>
      </c>
      <c r="AQ684">
        <v>16666.666666666668</v>
      </c>
      <c r="AR684" t="s">
        <v>9</v>
      </c>
      <c r="AS684" t="s">
        <v>78</v>
      </c>
      <c r="AV684">
        <v>0</v>
      </c>
      <c r="AW684">
        <v>0</v>
      </c>
      <c r="AX684" t="s">
        <v>79</v>
      </c>
      <c r="AY684" t="s">
        <v>74</v>
      </c>
      <c r="AZ684">
        <v>0</v>
      </c>
      <c r="BA684" t="s">
        <v>74</v>
      </c>
      <c r="BB684">
        <v>0</v>
      </c>
      <c r="BD684">
        <v>8.2639999999999993</v>
      </c>
      <c r="BE684">
        <v>0</v>
      </c>
    </row>
    <row r="685" spans="1:58" ht="12.75">
      <c r="A685" s="2" t="str">
        <f>HYPERLINK("https://ibp.a2mac1.com/costing(costing:projects/details/8191/part/5383732)","Current Sensor")</f>
        <v>Current Sensor</v>
      </c>
      <c r="B685">
        <v>5383732</v>
      </c>
      <c r="C685">
        <v>5383451</v>
      </c>
      <c r="D685" t="s">
        <v>2358</v>
      </c>
      <c r="E685">
        <v>9.2119999999999997</v>
      </c>
      <c r="F685">
        <v>0</v>
      </c>
      <c r="G685">
        <v>0</v>
      </c>
      <c r="H685">
        <v>0</v>
      </c>
      <c r="I685" t="s">
        <v>74</v>
      </c>
      <c r="J685">
        <v>0</v>
      </c>
      <c r="K685">
        <v>9.2119999999999997</v>
      </c>
      <c r="L685">
        <v>0</v>
      </c>
      <c r="M685">
        <v>0</v>
      </c>
      <c r="N685">
        <v>9.2119999999999997</v>
      </c>
      <c r="O685" t="s">
        <v>74</v>
      </c>
      <c r="P685">
        <v>0</v>
      </c>
      <c r="Q685" t="s">
        <v>74</v>
      </c>
      <c r="R685">
        <v>0</v>
      </c>
      <c r="S685" t="s">
        <v>74</v>
      </c>
      <c r="T685">
        <v>0</v>
      </c>
      <c r="U685" t="s">
        <v>74</v>
      </c>
      <c r="V685">
        <v>0</v>
      </c>
      <c r="W685" t="s">
        <v>74</v>
      </c>
      <c r="X685">
        <v>0</v>
      </c>
      <c r="Y685">
        <v>9.2119999999999997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0.024</v>
      </c>
      <c r="AK685" t="s">
        <v>2293</v>
      </c>
      <c r="AM685">
        <v>400000</v>
      </c>
      <c r="AN685" t="s">
        <v>76</v>
      </c>
      <c r="AO685">
        <v>2</v>
      </c>
      <c r="AP685">
        <v>0</v>
      </c>
      <c r="AQ685">
        <v>33333.333333333336</v>
      </c>
      <c r="AR685" t="s">
        <v>2359</v>
      </c>
      <c r="AS685" t="s">
        <v>78</v>
      </c>
      <c r="AX685" t="s">
        <v>79</v>
      </c>
      <c r="AY685" t="s">
        <v>74</v>
      </c>
      <c r="AZ685">
        <v>0</v>
      </c>
      <c r="BA685" t="s">
        <v>74</v>
      </c>
      <c r="BB685">
        <v>0</v>
      </c>
      <c r="BD685">
        <v>4.6059999999999999</v>
      </c>
      <c r="BE685">
        <v>0</v>
      </c>
    </row>
    <row r="686" spans="1:58" ht="12.75">
      <c r="A686" s="2" t="str">
        <f>HYPERLINK("https://ibp.a2mac1.com/costing(costing:projects/details/8191/part/5383733)","Nuts")</f>
        <v>Nuts</v>
      </c>
      <c r="B686">
        <v>5383733</v>
      </c>
      <c r="C686">
        <v>5383451</v>
      </c>
      <c r="D686" t="s">
        <v>2360</v>
      </c>
      <c r="E686">
        <v>0.16352</v>
      </c>
      <c r="F686">
        <v>0</v>
      </c>
      <c r="G686">
        <v>0</v>
      </c>
      <c r="H686">
        <v>0</v>
      </c>
      <c r="I686" t="s">
        <v>74</v>
      </c>
      <c r="J686">
        <v>0</v>
      </c>
      <c r="K686">
        <v>0.16352</v>
      </c>
      <c r="L686">
        <v>0</v>
      </c>
      <c r="M686">
        <v>0</v>
      </c>
      <c r="N686">
        <v>0.16352</v>
      </c>
      <c r="O686" t="s">
        <v>74</v>
      </c>
      <c r="P686">
        <v>0</v>
      </c>
      <c r="Q686" t="s">
        <v>74</v>
      </c>
      <c r="R686">
        <v>0</v>
      </c>
      <c r="S686" t="s">
        <v>74</v>
      </c>
      <c r="T686">
        <v>0</v>
      </c>
      <c r="U686" t="s">
        <v>74</v>
      </c>
      <c r="V686">
        <v>0</v>
      </c>
      <c r="W686" t="s">
        <v>74</v>
      </c>
      <c r="X686">
        <v>0</v>
      </c>
      <c r="Y686">
        <v>0.16352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0.0032000000000000002</v>
      </c>
      <c r="AK686" t="s">
        <v>218</v>
      </c>
      <c r="AM686">
        <v>800000</v>
      </c>
      <c r="AN686" t="s">
        <v>76</v>
      </c>
      <c r="AO686">
        <v>4</v>
      </c>
      <c r="AP686">
        <v>0</v>
      </c>
      <c r="AQ686">
        <v>66666.666666666672</v>
      </c>
      <c r="AR686" t="s">
        <v>9</v>
      </c>
      <c r="AS686" t="s">
        <v>78</v>
      </c>
      <c r="AX686" t="s">
        <v>79</v>
      </c>
      <c r="AY686" t="s">
        <v>74</v>
      </c>
      <c r="AZ686">
        <v>0</v>
      </c>
      <c r="BA686" t="s">
        <v>74</v>
      </c>
      <c r="BB686">
        <v>0</v>
      </c>
      <c r="BD686">
        <v>0.04088</v>
      </c>
      <c r="BE686">
        <v>0</v>
      </c>
    </row>
    <row r="687" spans="1:58" ht="12.75">
      <c r="A687" s="2" t="str">
        <f>HYPERLINK("https://ibp.a2mac1.com/costing(costing:projects/details/8191/part/5383734)","Mian Positive Relay")</f>
        <v>Mian Positive Relay</v>
      </c>
      <c r="B687">
        <v>5383734</v>
      </c>
      <c r="C687">
        <v>5383451</v>
      </c>
      <c r="D687" t="s">
        <v>2361</v>
      </c>
      <c r="E687">
        <v>20.335999999999999</v>
      </c>
      <c r="F687">
        <v>0</v>
      </c>
      <c r="G687">
        <v>0</v>
      </c>
      <c r="H687">
        <v>0</v>
      </c>
      <c r="I687" t="s">
        <v>74</v>
      </c>
      <c r="J687">
        <v>0</v>
      </c>
      <c r="K687">
        <v>20.335999999999999</v>
      </c>
      <c r="L687">
        <v>0</v>
      </c>
      <c r="M687">
        <v>0</v>
      </c>
      <c r="N687">
        <v>20.335999999999999</v>
      </c>
      <c r="O687" t="s">
        <v>74</v>
      </c>
      <c r="P687">
        <v>0</v>
      </c>
      <c r="Q687" t="s">
        <v>74</v>
      </c>
      <c r="R687">
        <v>0</v>
      </c>
      <c r="S687" t="s">
        <v>74</v>
      </c>
      <c r="T687">
        <v>0</v>
      </c>
      <c r="U687" t="s">
        <v>74</v>
      </c>
      <c r="V687">
        <v>0</v>
      </c>
      <c r="W687" t="s">
        <v>74</v>
      </c>
      <c r="X687">
        <v>0</v>
      </c>
      <c r="Y687">
        <v>20.335999999999999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0.3875</v>
      </c>
      <c r="AK687" t="s">
        <v>2293</v>
      </c>
      <c r="AM687">
        <v>400000</v>
      </c>
      <c r="AN687" t="s">
        <v>76</v>
      </c>
      <c r="AO687">
        <v>2</v>
      </c>
      <c r="AP687">
        <v>0</v>
      </c>
      <c r="AQ687">
        <v>33333.333333333336</v>
      </c>
      <c r="AR687" t="s">
        <v>2362</v>
      </c>
      <c r="AS687" t="s">
        <v>78</v>
      </c>
      <c r="AX687" t="s">
        <v>79</v>
      </c>
      <c r="AY687" t="s">
        <v>74</v>
      </c>
      <c r="AZ687">
        <v>0</v>
      </c>
      <c r="BA687" t="s">
        <v>74</v>
      </c>
      <c r="BB687">
        <v>0</v>
      </c>
      <c r="BD687">
        <v>10.167999999999999</v>
      </c>
      <c r="BE687">
        <v>0</v>
      </c>
    </row>
    <row r="688" spans="1:58" ht="12.75">
      <c r="A688" s="2" t="str">
        <f>HYPERLINK("https://ibp.a2mac1.com/costing(costing:projects/details/8191/part/5383735)","Screw, Main Replay")</f>
        <v>Screw, Main Replay</v>
      </c>
      <c r="B688">
        <v>5383735</v>
      </c>
      <c r="C688">
        <v>5383451</v>
      </c>
      <c r="D688" t="s">
        <v>2363</v>
      </c>
      <c r="E688">
        <v>0.21076</v>
      </c>
      <c r="F688">
        <v>0</v>
      </c>
      <c r="G688">
        <v>0</v>
      </c>
      <c r="H688">
        <v>0</v>
      </c>
      <c r="I688" t="s">
        <v>74</v>
      </c>
      <c r="J688">
        <v>0</v>
      </c>
      <c r="K688">
        <v>0.21076</v>
      </c>
      <c r="L688">
        <v>0</v>
      </c>
      <c r="M688">
        <v>0</v>
      </c>
      <c r="N688">
        <v>0.21076</v>
      </c>
      <c r="O688" t="s">
        <v>74</v>
      </c>
      <c r="P688">
        <v>0</v>
      </c>
      <c r="Q688" t="s">
        <v>74</v>
      </c>
      <c r="R688">
        <v>0</v>
      </c>
      <c r="S688" t="s">
        <v>74</v>
      </c>
      <c r="T688">
        <v>0</v>
      </c>
      <c r="U688" t="s">
        <v>74</v>
      </c>
      <c r="V688">
        <v>0</v>
      </c>
      <c r="W688" t="s">
        <v>74</v>
      </c>
      <c r="X688">
        <v>0</v>
      </c>
      <c r="Y688">
        <v>0.21076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0.0054999999999999997</v>
      </c>
      <c r="AK688" t="s">
        <v>218</v>
      </c>
      <c r="AM688">
        <v>800000</v>
      </c>
      <c r="AN688" t="s">
        <v>76</v>
      </c>
      <c r="AO688">
        <v>4</v>
      </c>
      <c r="AP688">
        <v>0</v>
      </c>
      <c r="AQ688">
        <v>66666.666666666672</v>
      </c>
      <c r="AR688" t="s">
        <v>9</v>
      </c>
      <c r="AS688" t="s">
        <v>78</v>
      </c>
      <c r="AX688" t="s">
        <v>79</v>
      </c>
      <c r="AY688" t="s">
        <v>74</v>
      </c>
      <c r="AZ688">
        <v>0</v>
      </c>
      <c r="BA688" t="s">
        <v>74</v>
      </c>
      <c r="BB688">
        <v>0</v>
      </c>
      <c r="BD688">
        <v>0.052690000000000001</v>
      </c>
      <c r="BE688">
        <v>0</v>
      </c>
    </row>
    <row r="689" spans="1:58" ht="12.75">
      <c r="A689" s="2" t="str">
        <f>HYPERLINK("https://ibp.a2mac1.com/costing(costing:projects/details/8191/part/5383736)","Relay Box Cover")</f>
        <v>Relay Box Cover</v>
      </c>
      <c r="B689">
        <v>5383736</v>
      </c>
      <c r="C689">
        <v>5383451</v>
      </c>
      <c r="D689" t="s">
        <v>2364</v>
      </c>
      <c r="E689">
        <v>0.56200000000000006</v>
      </c>
      <c r="F689">
        <v>0</v>
      </c>
      <c r="G689">
        <v>0</v>
      </c>
      <c r="H689">
        <v>0</v>
      </c>
      <c r="I689" t="s">
        <v>74</v>
      </c>
      <c r="J689">
        <v>0</v>
      </c>
      <c r="K689">
        <v>0.56200000000000006</v>
      </c>
      <c r="L689">
        <v>0</v>
      </c>
      <c r="M689">
        <v>0</v>
      </c>
      <c r="N689">
        <v>0.56200000000000006</v>
      </c>
      <c r="O689" t="s">
        <v>74</v>
      </c>
      <c r="P689">
        <v>0</v>
      </c>
      <c r="Q689" t="s">
        <v>74</v>
      </c>
      <c r="R689">
        <v>0</v>
      </c>
      <c r="S689" t="s">
        <v>74</v>
      </c>
      <c r="T689">
        <v>0</v>
      </c>
      <c r="U689" t="s">
        <v>74</v>
      </c>
      <c r="V689">
        <v>0</v>
      </c>
      <c r="W689" t="s">
        <v>74</v>
      </c>
      <c r="X689">
        <v>0</v>
      </c>
      <c r="Y689">
        <v>0.56200000000000006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313</v>
      </c>
      <c r="AF689">
        <v>106</v>
      </c>
      <c r="AG689">
        <v>86</v>
      </c>
      <c r="AH689">
        <v>2</v>
      </c>
      <c r="AI689">
        <v>0.14299999999999999</v>
      </c>
      <c r="AK689" t="s">
        <v>2293</v>
      </c>
      <c r="AM689">
        <v>200000</v>
      </c>
      <c r="AN689" t="s">
        <v>76</v>
      </c>
      <c r="AO689">
        <v>1</v>
      </c>
      <c r="AP689">
        <v>0</v>
      </c>
      <c r="AQ689">
        <v>16666.666666666668</v>
      </c>
      <c r="AR689" t="s">
        <v>2365</v>
      </c>
      <c r="AS689" t="s">
        <v>78</v>
      </c>
      <c r="AX689" t="s">
        <v>79</v>
      </c>
      <c r="AY689" t="s">
        <v>74</v>
      </c>
      <c r="AZ689">
        <v>0</v>
      </c>
      <c r="BA689" t="s">
        <v>74</v>
      </c>
      <c r="BB689">
        <v>0</v>
      </c>
      <c r="BD689">
        <v>0.56200000000000006</v>
      </c>
      <c r="BE689">
        <v>0</v>
      </c>
    </row>
    <row r="690" spans="1:58" ht="12.75">
      <c r="A690" s="2" t="str">
        <f>HYPERLINK("https://ibp.a2mac1.com/costing(costing:projects/details/8191/part/5383737)","Bus Bar Assembly")</f>
        <v>Bus Bar Assembly</v>
      </c>
      <c r="B690">
        <v>5383737</v>
      </c>
      <c r="C690">
        <v>5383451</v>
      </c>
      <c r="D690" t="s">
        <v>2366</v>
      </c>
      <c r="E690">
        <v>0.92700000000000005</v>
      </c>
      <c r="F690">
        <v>0</v>
      </c>
      <c r="G690">
        <v>0</v>
      </c>
      <c r="H690">
        <v>0</v>
      </c>
      <c r="I690" t="s">
        <v>74</v>
      </c>
      <c r="J690">
        <v>0</v>
      </c>
      <c r="K690">
        <v>0.92700000000000005</v>
      </c>
      <c r="L690">
        <v>0</v>
      </c>
      <c r="M690">
        <v>0</v>
      </c>
      <c r="N690">
        <v>0.92700000000000005</v>
      </c>
      <c r="O690" t="s">
        <v>74</v>
      </c>
      <c r="P690">
        <v>0</v>
      </c>
      <c r="Q690" t="s">
        <v>74</v>
      </c>
      <c r="R690">
        <v>0</v>
      </c>
      <c r="S690" t="s">
        <v>74</v>
      </c>
      <c r="T690">
        <v>0</v>
      </c>
      <c r="U690" t="s">
        <v>74</v>
      </c>
      <c r="V690">
        <v>0</v>
      </c>
      <c r="W690" t="s">
        <v>74</v>
      </c>
      <c r="X690">
        <v>0</v>
      </c>
      <c r="Y690">
        <v>0.92700000000000005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245</v>
      </c>
      <c r="AF690">
        <v>72</v>
      </c>
      <c r="AG690">
        <v>52</v>
      </c>
      <c r="AH690">
        <v>1</v>
      </c>
      <c r="AI690">
        <v>0.05</v>
      </c>
      <c r="AK690" t="s">
        <v>218</v>
      </c>
      <c r="AM690">
        <v>200000</v>
      </c>
      <c r="AN690" t="s">
        <v>76</v>
      </c>
      <c r="AO690">
        <v>1</v>
      </c>
      <c r="AP690">
        <v>0</v>
      </c>
      <c r="AQ690">
        <v>16666.666666666668</v>
      </c>
      <c r="AR690" t="s">
        <v>2367</v>
      </c>
      <c r="AS690" t="s">
        <v>78</v>
      </c>
      <c r="AX690" t="s">
        <v>79</v>
      </c>
      <c r="AY690" t="s">
        <v>74</v>
      </c>
      <c r="AZ690">
        <v>0</v>
      </c>
      <c r="BA690" t="s">
        <v>74</v>
      </c>
      <c r="BB690">
        <v>0</v>
      </c>
      <c r="BD690">
        <v>0.92700000000000005</v>
      </c>
      <c r="BE690">
        <v>0</v>
      </c>
    </row>
    <row r="691" spans="1:58" ht="12.75">
      <c r="A691" s="2" t="str">
        <f>HYPERLINK("https://ibp.a2mac1.com/costing(costing:projects/details/8191/part/5383738)","Bus Bar 1")</f>
        <v>Bus Bar 1</v>
      </c>
      <c r="B691">
        <v>5383738</v>
      </c>
      <c r="C691">
        <v>5383451</v>
      </c>
      <c r="D691" t="s">
        <v>2368</v>
      </c>
      <c r="E691">
        <v>3.4990000000000001</v>
      </c>
      <c r="F691">
        <v>0</v>
      </c>
      <c r="G691">
        <v>0</v>
      </c>
      <c r="H691">
        <v>0</v>
      </c>
      <c r="I691" t="s">
        <v>74</v>
      </c>
      <c r="J691">
        <v>0</v>
      </c>
      <c r="K691">
        <v>3.4990000000000001</v>
      </c>
      <c r="L691">
        <v>0</v>
      </c>
      <c r="M691">
        <v>0</v>
      </c>
      <c r="N691">
        <v>3.4990000000000001</v>
      </c>
      <c r="O691" t="s">
        <v>74</v>
      </c>
      <c r="P691">
        <v>0</v>
      </c>
      <c r="Q691" t="s">
        <v>74</v>
      </c>
      <c r="R691">
        <v>0</v>
      </c>
      <c r="S691" t="s">
        <v>74</v>
      </c>
      <c r="T691">
        <v>0</v>
      </c>
      <c r="U691" t="s">
        <v>74</v>
      </c>
      <c r="V691">
        <v>0</v>
      </c>
      <c r="W691" t="s">
        <v>74</v>
      </c>
      <c r="X691">
        <v>0</v>
      </c>
      <c r="Y691">
        <v>3.4990000000000001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169</v>
      </c>
      <c r="AF691">
        <v>57</v>
      </c>
      <c r="AG691">
        <v>31</v>
      </c>
      <c r="AH691">
        <v>3</v>
      </c>
      <c r="AI691">
        <v>0.248</v>
      </c>
      <c r="AK691" t="s">
        <v>2293</v>
      </c>
      <c r="AM691">
        <v>200000</v>
      </c>
      <c r="AN691" t="s">
        <v>76</v>
      </c>
      <c r="AO691">
        <v>1</v>
      </c>
      <c r="AP691">
        <v>0</v>
      </c>
      <c r="AQ691">
        <v>16666.666666666668</v>
      </c>
      <c r="AR691" t="s">
        <v>2369</v>
      </c>
      <c r="AS691" t="s">
        <v>78</v>
      </c>
      <c r="AX691" t="s">
        <v>79</v>
      </c>
      <c r="AY691" t="s">
        <v>74</v>
      </c>
      <c r="AZ691">
        <v>0</v>
      </c>
      <c r="BA691" t="s">
        <v>74</v>
      </c>
      <c r="BB691">
        <v>0</v>
      </c>
      <c r="BD691">
        <v>3.4990000000000001</v>
      </c>
      <c r="BE691">
        <v>0</v>
      </c>
    </row>
    <row r="692" spans="1:58" ht="12.75">
      <c r="A692" s="2" t="str">
        <f>HYPERLINK("https://ibp.a2mac1.com/costing(costing:projects/details/8191/part/5383739)","P.S.S Switch")</f>
        <v>P.S.S Switch</v>
      </c>
      <c r="B692">
        <v>5383739</v>
      </c>
      <c r="C692">
        <v>5383451</v>
      </c>
      <c r="D692" t="s">
        <v>2370</v>
      </c>
      <c r="E692">
        <v>6.2969999999999997</v>
      </c>
      <c r="F692">
        <v>0</v>
      </c>
      <c r="G692">
        <v>0</v>
      </c>
      <c r="H692">
        <v>0</v>
      </c>
      <c r="I692" t="s">
        <v>74</v>
      </c>
      <c r="J692">
        <v>0</v>
      </c>
      <c r="K692">
        <v>6.2969999999999997</v>
      </c>
      <c r="L692">
        <v>0</v>
      </c>
      <c r="M692">
        <v>0</v>
      </c>
      <c r="N692">
        <v>6.2969999999999997</v>
      </c>
      <c r="O692" t="s">
        <v>74</v>
      </c>
      <c r="P692">
        <v>0</v>
      </c>
      <c r="Q692" t="s">
        <v>74</v>
      </c>
      <c r="R692">
        <v>0</v>
      </c>
      <c r="S692" t="s">
        <v>74</v>
      </c>
      <c r="T692">
        <v>0</v>
      </c>
      <c r="U692" t="s">
        <v>74</v>
      </c>
      <c r="V692">
        <v>0</v>
      </c>
      <c r="W692" t="s">
        <v>74</v>
      </c>
      <c r="X692">
        <v>0</v>
      </c>
      <c r="Y692">
        <v>6.2969999999999997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0.151</v>
      </c>
      <c r="AK692" t="s">
        <v>218</v>
      </c>
      <c r="AM692">
        <v>200000</v>
      </c>
      <c r="AN692" t="s">
        <v>76</v>
      </c>
      <c r="AO692">
        <v>1</v>
      </c>
      <c r="AP692">
        <v>0</v>
      </c>
      <c r="AQ692">
        <v>16666.666666666668</v>
      </c>
      <c r="AR692" t="s">
        <v>2371</v>
      </c>
      <c r="AS692" t="s">
        <v>78</v>
      </c>
      <c r="AX692" t="s">
        <v>79</v>
      </c>
      <c r="AY692" t="s">
        <v>74</v>
      </c>
      <c r="AZ692">
        <v>0</v>
      </c>
      <c r="BA692" t="s">
        <v>74</v>
      </c>
      <c r="BB692">
        <v>0</v>
      </c>
      <c r="BD692">
        <v>6.2969999999999997</v>
      </c>
      <c r="BE692">
        <v>0</v>
      </c>
    </row>
    <row r="693" spans="1:58" ht="12.75">
      <c r="A693" s="2" t="str">
        <f>HYPERLINK("https://ibp.a2mac1.com/costing(costing:projects/details/8191/part/5383740)","Screws")</f>
        <v>Screws</v>
      </c>
      <c r="B693">
        <v>5383740</v>
      </c>
      <c r="C693">
        <v>5383451</v>
      </c>
      <c r="D693" t="s">
        <v>2372</v>
      </c>
      <c r="E693">
        <v>0.12088</v>
      </c>
      <c r="F693">
        <v>0</v>
      </c>
      <c r="G693">
        <v>0</v>
      </c>
      <c r="H693">
        <v>0</v>
      </c>
      <c r="I693" t="s">
        <v>74</v>
      </c>
      <c r="J693">
        <v>0</v>
      </c>
      <c r="K693">
        <v>0.12088</v>
      </c>
      <c r="L693">
        <v>0</v>
      </c>
      <c r="M693">
        <v>0</v>
      </c>
      <c r="N693">
        <v>0.12088</v>
      </c>
      <c r="O693" t="s">
        <v>74</v>
      </c>
      <c r="P693">
        <v>0</v>
      </c>
      <c r="Q693" t="s">
        <v>74</v>
      </c>
      <c r="R693">
        <v>0</v>
      </c>
      <c r="S693" t="s">
        <v>74</v>
      </c>
      <c r="T693">
        <v>0</v>
      </c>
      <c r="U693" t="s">
        <v>74</v>
      </c>
      <c r="V693">
        <v>0</v>
      </c>
      <c r="W693" t="s">
        <v>74</v>
      </c>
      <c r="X693">
        <v>0</v>
      </c>
      <c r="Y693">
        <v>0.12088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0.0070000000000000001</v>
      </c>
      <c r="AK693" t="s">
        <v>218</v>
      </c>
      <c r="AM693">
        <v>400000</v>
      </c>
      <c r="AN693" t="s">
        <v>76</v>
      </c>
      <c r="AO693">
        <v>2</v>
      </c>
      <c r="AP693">
        <v>0</v>
      </c>
      <c r="AQ693">
        <v>33333.333333333336</v>
      </c>
      <c r="AR693" t="s">
        <v>9</v>
      </c>
      <c r="AS693" t="s">
        <v>78</v>
      </c>
      <c r="AX693" t="s">
        <v>79</v>
      </c>
      <c r="AY693" t="s">
        <v>74</v>
      </c>
      <c r="AZ693">
        <v>0</v>
      </c>
      <c r="BA693" t="s">
        <v>74</v>
      </c>
      <c r="BB693">
        <v>0</v>
      </c>
      <c r="BD693">
        <v>0.060440000000000001</v>
      </c>
      <c r="BE693">
        <v>0</v>
      </c>
    </row>
    <row r="694" spans="1:58" ht="12.75">
      <c r="A694" s="2" t="str">
        <f>HYPERLINK("https://ibp.a2mac1.com/costing(costing:projects/details/8191/part/5383741)","Housing top")</f>
        <v>Housing top</v>
      </c>
      <c r="B694">
        <v>5383741</v>
      </c>
      <c r="C694">
        <v>5383451</v>
      </c>
      <c r="D694" t="s">
        <v>2373</v>
      </c>
      <c r="E694">
        <v>1.679</v>
      </c>
      <c r="F694">
        <v>0</v>
      </c>
      <c r="G694">
        <v>0</v>
      </c>
      <c r="H694">
        <v>0</v>
      </c>
      <c r="I694" t="s">
        <v>74</v>
      </c>
      <c r="J694">
        <v>0</v>
      </c>
      <c r="K694">
        <v>1.679</v>
      </c>
      <c r="L694">
        <v>0</v>
      </c>
      <c r="M694">
        <v>0</v>
      </c>
      <c r="N694">
        <v>1.679</v>
      </c>
      <c r="O694" t="s">
        <v>74</v>
      </c>
      <c r="P694">
        <v>0</v>
      </c>
      <c r="Q694" t="s">
        <v>74</v>
      </c>
      <c r="R694">
        <v>0</v>
      </c>
      <c r="S694" t="s">
        <v>74</v>
      </c>
      <c r="T694">
        <v>0</v>
      </c>
      <c r="U694" t="s">
        <v>74</v>
      </c>
      <c r="V694">
        <v>0</v>
      </c>
      <c r="W694" t="s">
        <v>74</v>
      </c>
      <c r="X694">
        <v>0</v>
      </c>
      <c r="Y694">
        <v>1.679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311</v>
      </c>
      <c r="AF694">
        <v>101</v>
      </c>
      <c r="AG694">
        <v>56</v>
      </c>
      <c r="AH694">
        <v>2</v>
      </c>
      <c r="AI694">
        <v>0.17</v>
      </c>
      <c r="AK694" t="s">
        <v>218</v>
      </c>
      <c r="AM694">
        <v>200000</v>
      </c>
      <c r="AN694" t="s">
        <v>76</v>
      </c>
      <c r="AO694">
        <v>1</v>
      </c>
      <c r="AP694">
        <v>0</v>
      </c>
      <c r="AQ694">
        <v>16666.666666666668</v>
      </c>
      <c r="AR694" t="s">
        <v>2374</v>
      </c>
      <c r="AS694" t="s">
        <v>78</v>
      </c>
      <c r="AX694" t="s">
        <v>79</v>
      </c>
      <c r="AY694" t="s">
        <v>74</v>
      </c>
      <c r="AZ694">
        <v>0</v>
      </c>
      <c r="BA694" t="s">
        <v>74</v>
      </c>
      <c r="BB694">
        <v>0</v>
      </c>
      <c r="BD694">
        <v>1.679</v>
      </c>
      <c r="BE694">
        <v>0</v>
      </c>
    </row>
    <row r="695" spans="1:58" ht="12.75">
      <c r="A695" s="2" t="str">
        <f>HYPERLINK("https://ibp.a2mac1.com/costing(costing:projects/details/8191/part/5383743)","Screws")</f>
        <v>Screws</v>
      </c>
      <c r="B695">
        <v>5383743</v>
      </c>
      <c r="C695">
        <v>5383451</v>
      </c>
      <c r="D695" t="s">
        <v>2375</v>
      </c>
      <c r="E695">
        <v>0.38607999999999998</v>
      </c>
      <c r="F695">
        <v>0</v>
      </c>
      <c r="G695">
        <v>0</v>
      </c>
      <c r="H695">
        <v>0</v>
      </c>
      <c r="I695" t="s">
        <v>74</v>
      </c>
      <c r="J695">
        <v>0</v>
      </c>
      <c r="K695">
        <v>0.38607999999999998</v>
      </c>
      <c r="L695">
        <v>0</v>
      </c>
      <c r="M695">
        <v>0</v>
      </c>
      <c r="N695">
        <v>0.38607999999999998</v>
      </c>
      <c r="O695" t="s">
        <v>74</v>
      </c>
      <c r="P695">
        <v>0</v>
      </c>
      <c r="Q695" t="s">
        <v>74</v>
      </c>
      <c r="R695">
        <v>0</v>
      </c>
      <c r="S695" t="s">
        <v>74</v>
      </c>
      <c r="T695">
        <v>0</v>
      </c>
      <c r="U695" t="s">
        <v>74</v>
      </c>
      <c r="V695">
        <v>0</v>
      </c>
      <c r="W695" t="s">
        <v>74</v>
      </c>
      <c r="X695">
        <v>0</v>
      </c>
      <c r="Y695">
        <v>0.38607999999999998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0.014</v>
      </c>
      <c r="AK695" t="s">
        <v>218</v>
      </c>
      <c r="AM695">
        <v>800000</v>
      </c>
      <c r="AN695" t="s">
        <v>76</v>
      </c>
      <c r="AO695">
        <v>4</v>
      </c>
      <c r="AP695">
        <v>0</v>
      </c>
      <c r="AQ695">
        <v>66666.666666666672</v>
      </c>
      <c r="AR695" t="s">
        <v>9</v>
      </c>
      <c r="AS695" t="s">
        <v>78</v>
      </c>
      <c r="AX695" t="s">
        <v>79</v>
      </c>
      <c r="AY695" t="s">
        <v>74</v>
      </c>
      <c r="AZ695">
        <v>0</v>
      </c>
      <c r="BA695" t="s">
        <v>74</v>
      </c>
      <c r="BB695">
        <v>0</v>
      </c>
      <c r="BD695">
        <v>0.096519999999999995</v>
      </c>
      <c r="BE695">
        <v>0</v>
      </c>
    </row>
    <row r="696" spans="1:58" ht="12.75">
      <c r="A696" s="2" t="str">
        <f>HYPERLINK("https://ibp.a2mac1.com/costing(costing:projects/details/8191/part/5383744)","Insulation Foil")</f>
        <v>Insulation Foil</v>
      </c>
      <c r="B696">
        <v>5383744</v>
      </c>
      <c r="C696">
        <v>5383451</v>
      </c>
      <c r="D696" t="s">
        <v>2376</v>
      </c>
      <c r="E696">
        <v>0.039949999999999999</v>
      </c>
      <c r="F696">
        <v>0</v>
      </c>
      <c r="G696">
        <v>0</v>
      </c>
      <c r="H696">
        <v>0</v>
      </c>
      <c r="I696" t="s">
        <v>74</v>
      </c>
      <c r="J696">
        <v>0</v>
      </c>
      <c r="K696">
        <v>0.039949999999999999</v>
      </c>
      <c r="L696">
        <v>0</v>
      </c>
      <c r="M696">
        <v>0</v>
      </c>
      <c r="N696">
        <v>0.039949999999999999</v>
      </c>
      <c r="O696" t="s">
        <v>74</v>
      </c>
      <c r="P696">
        <v>0</v>
      </c>
      <c r="Q696" t="s">
        <v>74</v>
      </c>
      <c r="R696">
        <v>0</v>
      </c>
      <c r="S696" t="s">
        <v>74</v>
      </c>
      <c r="T696">
        <v>0</v>
      </c>
      <c r="U696" t="s">
        <v>74</v>
      </c>
      <c r="V696">
        <v>0</v>
      </c>
      <c r="W696" t="s">
        <v>74</v>
      </c>
      <c r="X696">
        <v>0</v>
      </c>
      <c r="Y696">
        <v>0.039949999999999999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264</v>
      </c>
      <c r="AF696">
        <v>99</v>
      </c>
      <c r="AG696">
        <v>0</v>
      </c>
      <c r="AH696">
        <v>0</v>
      </c>
      <c r="AI696">
        <v>0.001</v>
      </c>
      <c r="AK696" t="s">
        <v>218</v>
      </c>
      <c r="AM696">
        <v>200000</v>
      </c>
      <c r="AN696" t="s">
        <v>76</v>
      </c>
      <c r="AO696">
        <v>1</v>
      </c>
      <c r="AP696">
        <v>0</v>
      </c>
      <c r="AQ696">
        <v>16666.666666666668</v>
      </c>
      <c r="AR696" t="s">
        <v>2377</v>
      </c>
      <c r="AS696" t="s">
        <v>78</v>
      </c>
      <c r="AX696" t="s">
        <v>79</v>
      </c>
      <c r="AY696" t="s">
        <v>74</v>
      </c>
      <c r="AZ696">
        <v>0</v>
      </c>
      <c r="BA696" t="s">
        <v>74</v>
      </c>
      <c r="BB696">
        <v>0</v>
      </c>
      <c r="BD696">
        <v>0.039949999999999999</v>
      </c>
      <c r="BE696">
        <v>0</v>
      </c>
    </row>
    <row r="697" spans="1:58" ht="12.75">
      <c r="A697" s="2" t="str">
        <f>HYPERLINK("https://ibp.a2mac1.com/costing(costing:projects/details/8191/part/5383745)","Thermal Pad")</f>
        <v>Thermal Pad</v>
      </c>
      <c r="B697">
        <v>5383745</v>
      </c>
      <c r="C697">
        <v>5383451</v>
      </c>
      <c r="D697" t="s">
        <v>2378</v>
      </c>
      <c r="E697">
        <v>1.41</v>
      </c>
      <c r="F697">
        <v>0</v>
      </c>
      <c r="G697">
        <v>0</v>
      </c>
      <c r="H697">
        <v>0</v>
      </c>
      <c r="I697" t="s">
        <v>74</v>
      </c>
      <c r="J697">
        <v>0</v>
      </c>
      <c r="K697">
        <v>1.41</v>
      </c>
      <c r="L697">
        <v>0</v>
      </c>
      <c r="M697">
        <v>0</v>
      </c>
      <c r="N697">
        <v>1.41</v>
      </c>
      <c r="O697" t="s">
        <v>74</v>
      </c>
      <c r="P697">
        <v>0</v>
      </c>
      <c r="Q697" t="s">
        <v>74</v>
      </c>
      <c r="R697">
        <v>0</v>
      </c>
      <c r="S697" t="s">
        <v>74</v>
      </c>
      <c r="T697">
        <v>0</v>
      </c>
      <c r="U697" t="s">
        <v>74</v>
      </c>
      <c r="V697">
        <v>0</v>
      </c>
      <c r="W697" t="s">
        <v>74</v>
      </c>
      <c r="X697">
        <v>0</v>
      </c>
      <c r="Y697">
        <v>1.41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275</v>
      </c>
      <c r="AF697">
        <v>100</v>
      </c>
      <c r="AG697">
        <v>4</v>
      </c>
      <c r="AH697">
        <v>0</v>
      </c>
      <c r="AI697">
        <v>0.14099999999999999</v>
      </c>
      <c r="AK697" t="s">
        <v>218</v>
      </c>
      <c r="AM697">
        <v>200000</v>
      </c>
      <c r="AN697" t="s">
        <v>76</v>
      </c>
      <c r="AO697">
        <v>1</v>
      </c>
      <c r="AP697">
        <v>0</v>
      </c>
      <c r="AQ697">
        <v>16666.666666666668</v>
      </c>
      <c r="AR697" t="s">
        <v>2379</v>
      </c>
      <c r="AS697" t="s">
        <v>78</v>
      </c>
      <c r="AX697" t="s">
        <v>79</v>
      </c>
      <c r="AY697" t="s">
        <v>74</v>
      </c>
      <c r="AZ697">
        <v>0</v>
      </c>
      <c r="BA697" t="s">
        <v>74</v>
      </c>
      <c r="BB697">
        <v>0</v>
      </c>
      <c r="BD697">
        <v>1.41</v>
      </c>
      <c r="BE697">
        <v>0</v>
      </c>
    </row>
    <row r="698" spans="1:58" ht="12.75">
      <c r="A698" s="2" t="str">
        <f>HYPERLINK("https://ibp.a2mac1.com/costing(costing:projects/details/8191/part/5383746)","Fuse")</f>
        <v>Fuse</v>
      </c>
      <c r="B698">
        <v>5383746</v>
      </c>
      <c r="C698">
        <v>5383452</v>
      </c>
      <c r="D698" t="s">
        <v>2384</v>
      </c>
      <c r="E698">
        <v>2.9982600000000001</v>
      </c>
      <c r="F698">
        <v>0</v>
      </c>
      <c r="G698">
        <v>0</v>
      </c>
      <c r="H698">
        <v>0</v>
      </c>
      <c r="I698" t="s">
        <v>74</v>
      </c>
      <c r="J698">
        <v>0</v>
      </c>
      <c r="K698">
        <v>2.9982600000000001</v>
      </c>
      <c r="L698">
        <v>0</v>
      </c>
      <c r="M698">
        <v>0</v>
      </c>
      <c r="N698">
        <v>2.9982600000000001</v>
      </c>
      <c r="O698" t="s">
        <v>74</v>
      </c>
      <c r="P698">
        <v>0</v>
      </c>
      <c r="Q698" t="s">
        <v>74</v>
      </c>
      <c r="R698">
        <v>0</v>
      </c>
      <c r="S698" t="s">
        <v>74</v>
      </c>
      <c r="T698">
        <v>0</v>
      </c>
      <c r="U698" t="s">
        <v>74</v>
      </c>
      <c r="V698">
        <v>0</v>
      </c>
      <c r="W698" t="s">
        <v>74</v>
      </c>
      <c r="X698">
        <v>0</v>
      </c>
      <c r="Y698">
        <v>2.9982600000000001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0.028000000000000001</v>
      </c>
      <c r="AK698" t="s">
        <v>218</v>
      </c>
      <c r="AM698">
        <v>200000</v>
      </c>
      <c r="AN698" t="s">
        <v>76</v>
      </c>
      <c r="AO698">
        <v>1</v>
      </c>
      <c r="AP698">
        <v>0</v>
      </c>
      <c r="AQ698">
        <v>16666.666666666668</v>
      </c>
      <c r="AR698" t="s">
        <v>2385</v>
      </c>
      <c r="AS698" t="s">
        <v>78</v>
      </c>
      <c r="AX698" t="s">
        <v>79</v>
      </c>
      <c r="AY698" t="s">
        <v>74</v>
      </c>
      <c r="AZ698">
        <v>0</v>
      </c>
      <c r="BA698" t="s">
        <v>74</v>
      </c>
      <c r="BB698">
        <v>0</v>
      </c>
      <c r="BD698">
        <v>2.9982600000000001</v>
      </c>
      <c r="BE698">
        <v>0</v>
      </c>
    </row>
    <row r="699" spans="1:58" ht="12.75">
      <c r="A699" s="2" t="str">
        <f>HYPERLINK("https://ibp.a2mac1.com/costing(costing:projects/details/8191/part/5383747)","Screws")</f>
        <v>Screws</v>
      </c>
      <c r="B699">
        <v>5383747</v>
      </c>
      <c r="C699">
        <v>5383452</v>
      </c>
      <c r="D699" t="s">
        <v>2386</v>
      </c>
      <c r="E699">
        <v>0.12088</v>
      </c>
      <c r="F699">
        <v>0</v>
      </c>
      <c r="G699">
        <v>0</v>
      </c>
      <c r="H699">
        <v>0</v>
      </c>
      <c r="I699" t="s">
        <v>74</v>
      </c>
      <c r="J699">
        <v>0</v>
      </c>
      <c r="K699">
        <v>0.12088</v>
      </c>
      <c r="L699">
        <v>0</v>
      </c>
      <c r="M699">
        <v>0</v>
      </c>
      <c r="N699">
        <v>0.12088</v>
      </c>
      <c r="O699" t="s">
        <v>74</v>
      </c>
      <c r="P699">
        <v>0</v>
      </c>
      <c r="Q699" t="s">
        <v>74</v>
      </c>
      <c r="R699">
        <v>0</v>
      </c>
      <c r="S699" t="s">
        <v>74</v>
      </c>
      <c r="T699">
        <v>0</v>
      </c>
      <c r="U699" t="s">
        <v>74</v>
      </c>
      <c r="V699">
        <v>0</v>
      </c>
      <c r="W699" t="s">
        <v>74</v>
      </c>
      <c r="X699">
        <v>0</v>
      </c>
      <c r="Y699">
        <v>0.12088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0.0070000000000000001</v>
      </c>
      <c r="AK699" t="s">
        <v>218</v>
      </c>
      <c r="AM699">
        <v>400000</v>
      </c>
      <c r="AN699" t="s">
        <v>76</v>
      </c>
      <c r="AO699">
        <v>2</v>
      </c>
      <c r="AP699">
        <v>0</v>
      </c>
      <c r="AQ699">
        <v>33333.333333333336</v>
      </c>
      <c r="AR699" t="s">
        <v>9</v>
      </c>
      <c r="AS699" t="s">
        <v>78</v>
      </c>
      <c r="AX699" t="s">
        <v>79</v>
      </c>
      <c r="AY699" t="s">
        <v>74</v>
      </c>
      <c r="AZ699">
        <v>0</v>
      </c>
      <c r="BA699" t="s">
        <v>74</v>
      </c>
      <c r="BB699">
        <v>0</v>
      </c>
      <c r="BD699">
        <v>0.060440000000000001</v>
      </c>
      <c r="BE699">
        <v>0</v>
      </c>
    </row>
    <row r="700" spans="1:58" ht="12.75">
      <c r="A700" s="2" t="str">
        <f>HYPERLINK("https://ibp.a2mac1.com/costing(costing:projects/details/8191/part/5383748)","Main Negative Relay")</f>
        <v>Main Negative Relay</v>
      </c>
      <c r="B700">
        <v>5383748</v>
      </c>
      <c r="C700">
        <v>5383452</v>
      </c>
      <c r="D700" t="s">
        <v>2387</v>
      </c>
      <c r="E700">
        <v>20.335999999999999</v>
      </c>
      <c r="F700">
        <v>0</v>
      </c>
      <c r="G700">
        <v>0</v>
      </c>
      <c r="H700">
        <v>0</v>
      </c>
      <c r="I700" t="s">
        <v>74</v>
      </c>
      <c r="J700">
        <v>0</v>
      </c>
      <c r="K700">
        <v>20.335999999999999</v>
      </c>
      <c r="L700">
        <v>0</v>
      </c>
      <c r="M700">
        <v>0</v>
      </c>
      <c r="N700">
        <v>20.335999999999999</v>
      </c>
      <c r="O700" t="s">
        <v>74</v>
      </c>
      <c r="P700">
        <v>0</v>
      </c>
      <c r="Q700" t="s">
        <v>74</v>
      </c>
      <c r="R700">
        <v>0</v>
      </c>
      <c r="S700" t="s">
        <v>74</v>
      </c>
      <c r="T700">
        <v>0</v>
      </c>
      <c r="U700" t="s">
        <v>74</v>
      </c>
      <c r="V700">
        <v>0</v>
      </c>
      <c r="W700" t="s">
        <v>74</v>
      </c>
      <c r="X700">
        <v>0</v>
      </c>
      <c r="Y700">
        <v>20.335999999999999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0.3875</v>
      </c>
      <c r="AK700" t="s">
        <v>218</v>
      </c>
      <c r="AM700">
        <v>400000</v>
      </c>
      <c r="AN700" t="s">
        <v>76</v>
      </c>
      <c r="AO700">
        <v>2</v>
      </c>
      <c r="AP700">
        <v>0</v>
      </c>
      <c r="AQ700">
        <v>33333.333333333336</v>
      </c>
      <c r="AR700" t="s">
        <v>2388</v>
      </c>
      <c r="AS700" t="s">
        <v>78</v>
      </c>
      <c r="AX700" t="s">
        <v>79</v>
      </c>
      <c r="AY700" t="s">
        <v>74</v>
      </c>
      <c r="AZ700">
        <v>0</v>
      </c>
      <c r="BA700" t="s">
        <v>74</v>
      </c>
      <c r="BB700">
        <v>0</v>
      </c>
      <c r="BD700">
        <v>10.167999999999999</v>
      </c>
      <c r="BE700">
        <v>0</v>
      </c>
    </row>
    <row r="701" spans="1:58" ht="12.75">
      <c r="A701" s="2" t="str">
        <f>HYPERLINK("https://ibp.a2mac1.com/costing(costing:projects/details/8191/part/5383749)","Screws")</f>
        <v>Screws</v>
      </c>
      <c r="B701">
        <v>5383749</v>
      </c>
      <c r="C701">
        <v>5383452</v>
      </c>
      <c r="D701" t="s">
        <v>2389</v>
      </c>
      <c r="E701">
        <v>0.21076</v>
      </c>
      <c r="F701">
        <v>0</v>
      </c>
      <c r="G701">
        <v>0</v>
      </c>
      <c r="H701">
        <v>0</v>
      </c>
      <c r="I701" t="s">
        <v>74</v>
      </c>
      <c r="J701">
        <v>0</v>
      </c>
      <c r="K701">
        <v>0.21076</v>
      </c>
      <c r="L701">
        <v>0</v>
      </c>
      <c r="M701">
        <v>0</v>
      </c>
      <c r="N701">
        <v>0.21076</v>
      </c>
      <c r="O701" t="s">
        <v>74</v>
      </c>
      <c r="P701">
        <v>0</v>
      </c>
      <c r="Q701" t="s">
        <v>74</v>
      </c>
      <c r="R701">
        <v>0</v>
      </c>
      <c r="S701" t="s">
        <v>74</v>
      </c>
      <c r="T701">
        <v>0</v>
      </c>
      <c r="U701" t="s">
        <v>74</v>
      </c>
      <c r="V701">
        <v>0</v>
      </c>
      <c r="W701" t="s">
        <v>74</v>
      </c>
      <c r="X701">
        <v>0</v>
      </c>
      <c r="Y701">
        <v>0.21076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0.0054999999999999997</v>
      </c>
      <c r="AK701" t="s">
        <v>218</v>
      </c>
      <c r="AM701">
        <v>800000</v>
      </c>
      <c r="AN701" t="s">
        <v>76</v>
      </c>
      <c r="AO701">
        <v>4</v>
      </c>
      <c r="AP701">
        <v>0</v>
      </c>
      <c r="AQ701">
        <v>66666.666666666672</v>
      </c>
      <c r="AR701" t="s">
        <v>9</v>
      </c>
      <c r="AS701" t="s">
        <v>78</v>
      </c>
      <c r="AX701" t="s">
        <v>79</v>
      </c>
      <c r="AY701" t="s">
        <v>74</v>
      </c>
      <c r="AZ701">
        <v>0</v>
      </c>
      <c r="BA701" t="s">
        <v>74</v>
      </c>
      <c r="BB701">
        <v>0</v>
      </c>
      <c r="BD701">
        <v>0.052690000000000001</v>
      </c>
      <c r="BE701">
        <v>0</v>
      </c>
    </row>
    <row r="702" spans="1:58" ht="12.75">
      <c r="A702" s="2" t="str">
        <f>HYPERLINK("https://ibp.a2mac1.com/costing(costing:projects/details/8191/part/5383750)","Relay Box Cover")</f>
        <v>Relay Box Cover</v>
      </c>
      <c r="B702">
        <v>5383750</v>
      </c>
      <c r="C702">
        <v>5383452</v>
      </c>
      <c r="D702" t="s">
        <v>2390</v>
      </c>
      <c r="E702">
        <v>0.40300000000000002</v>
      </c>
      <c r="F702">
        <v>0</v>
      </c>
      <c r="G702">
        <v>0</v>
      </c>
      <c r="H702">
        <v>0</v>
      </c>
      <c r="I702" t="s">
        <v>74</v>
      </c>
      <c r="J702">
        <v>0</v>
      </c>
      <c r="K702">
        <v>0.40300000000000002</v>
      </c>
      <c r="L702">
        <v>0</v>
      </c>
      <c r="M702">
        <v>0</v>
      </c>
      <c r="N702">
        <v>0.40300000000000002</v>
      </c>
      <c r="O702" t="s">
        <v>74</v>
      </c>
      <c r="P702">
        <v>0</v>
      </c>
      <c r="Q702" t="s">
        <v>74</v>
      </c>
      <c r="R702">
        <v>0</v>
      </c>
      <c r="S702" t="s">
        <v>74</v>
      </c>
      <c r="T702">
        <v>0</v>
      </c>
      <c r="U702" t="s">
        <v>74</v>
      </c>
      <c r="V702">
        <v>0</v>
      </c>
      <c r="W702" t="s">
        <v>74</v>
      </c>
      <c r="X702">
        <v>0</v>
      </c>
      <c r="Y702">
        <v>0.40300000000000002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257</v>
      </c>
      <c r="AF702">
        <v>112</v>
      </c>
      <c r="AG702">
        <v>88</v>
      </c>
      <c r="AH702">
        <v>2</v>
      </c>
      <c r="AI702">
        <v>0.097000000000000003</v>
      </c>
      <c r="AK702" t="s">
        <v>2293</v>
      </c>
      <c r="AM702">
        <v>200000</v>
      </c>
      <c r="AN702" t="s">
        <v>76</v>
      </c>
      <c r="AO702">
        <v>1</v>
      </c>
      <c r="AP702">
        <v>0</v>
      </c>
      <c r="AQ702">
        <v>16666.666666666668</v>
      </c>
      <c r="AR702" t="s">
        <v>2391</v>
      </c>
      <c r="AS702" t="s">
        <v>78</v>
      </c>
      <c r="AX702" t="s">
        <v>79</v>
      </c>
      <c r="AY702" t="s">
        <v>74</v>
      </c>
      <c r="AZ702">
        <v>0</v>
      </c>
      <c r="BA702" t="s">
        <v>74</v>
      </c>
      <c r="BB702">
        <v>0</v>
      </c>
      <c r="BD702">
        <v>0.40300000000000002</v>
      </c>
      <c r="BE702">
        <v>0</v>
      </c>
    </row>
    <row r="703" spans="1:58" ht="12.75">
      <c r="A703" s="2" t="str">
        <f>HYPERLINK("https://ibp.a2mac1.com/costing(costing:projects/details/8191/part/5383751)","Bus Bar Assembly")</f>
        <v>Bus Bar Assembly</v>
      </c>
      <c r="B703">
        <v>5383751</v>
      </c>
      <c r="C703">
        <v>5383452</v>
      </c>
      <c r="D703" t="s">
        <v>2392</v>
      </c>
      <c r="E703">
        <v>0.89800000000000002</v>
      </c>
      <c r="F703">
        <v>0</v>
      </c>
      <c r="G703">
        <v>0</v>
      </c>
      <c r="H703">
        <v>0</v>
      </c>
      <c r="I703" t="s">
        <v>74</v>
      </c>
      <c r="J703">
        <v>0</v>
      </c>
      <c r="K703">
        <v>0.89800000000000002</v>
      </c>
      <c r="L703">
        <v>0</v>
      </c>
      <c r="M703">
        <v>0</v>
      </c>
      <c r="N703">
        <v>0.89800000000000002</v>
      </c>
      <c r="O703" t="s">
        <v>74</v>
      </c>
      <c r="P703">
        <v>0</v>
      </c>
      <c r="Q703" t="s">
        <v>74</v>
      </c>
      <c r="R703">
        <v>0</v>
      </c>
      <c r="S703" t="s">
        <v>74</v>
      </c>
      <c r="T703">
        <v>0</v>
      </c>
      <c r="U703" t="s">
        <v>74</v>
      </c>
      <c r="V703">
        <v>0</v>
      </c>
      <c r="W703" t="s">
        <v>74</v>
      </c>
      <c r="X703">
        <v>0</v>
      </c>
      <c r="Y703">
        <v>0.89800000000000002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190</v>
      </c>
      <c r="AF703">
        <v>76</v>
      </c>
      <c r="AG703">
        <v>52</v>
      </c>
      <c r="AH703">
        <v>2</v>
      </c>
      <c r="AI703">
        <v>0.050999999999999997</v>
      </c>
      <c r="AK703" t="s">
        <v>218</v>
      </c>
      <c r="AM703">
        <v>200000</v>
      </c>
      <c r="AN703" t="s">
        <v>76</v>
      </c>
      <c r="AO703">
        <v>1</v>
      </c>
      <c r="AP703">
        <v>0</v>
      </c>
      <c r="AQ703">
        <v>16666.666666666668</v>
      </c>
      <c r="AR703" t="s">
        <v>2393</v>
      </c>
      <c r="AS703" t="s">
        <v>78</v>
      </c>
      <c r="AX703" t="s">
        <v>79</v>
      </c>
      <c r="AY703" t="s">
        <v>74</v>
      </c>
      <c r="AZ703">
        <v>0</v>
      </c>
      <c r="BA703" t="s">
        <v>74</v>
      </c>
      <c r="BB703">
        <v>0</v>
      </c>
      <c r="BD703">
        <v>0.89800000000000002</v>
      </c>
      <c r="BE703">
        <v>0</v>
      </c>
    </row>
    <row r="704" spans="1:58" ht="12.75">
      <c r="A704" s="2" t="str">
        <f>HYPERLINK("https://ibp.a2mac1.com/costing(costing:projects/details/8191/part/5383752)","Top Housing")</f>
        <v>Top Housing</v>
      </c>
      <c r="B704">
        <v>5383752</v>
      </c>
      <c r="C704">
        <v>5383452</v>
      </c>
      <c r="D704" t="s">
        <v>2394</v>
      </c>
      <c r="E704">
        <v>1.635</v>
      </c>
      <c r="F704">
        <v>0</v>
      </c>
      <c r="G704">
        <v>0</v>
      </c>
      <c r="H704">
        <v>0</v>
      </c>
      <c r="I704" t="s">
        <v>74</v>
      </c>
      <c r="J704">
        <v>0</v>
      </c>
      <c r="K704">
        <v>1.635</v>
      </c>
      <c r="L704">
        <v>0</v>
      </c>
      <c r="M704">
        <v>0</v>
      </c>
      <c r="N704">
        <v>1.635</v>
      </c>
      <c r="O704" t="s">
        <v>74</v>
      </c>
      <c r="P704">
        <v>0</v>
      </c>
      <c r="Q704" t="s">
        <v>74</v>
      </c>
      <c r="R704">
        <v>0</v>
      </c>
      <c r="S704" t="s">
        <v>74</v>
      </c>
      <c r="T704">
        <v>0</v>
      </c>
      <c r="U704" t="s">
        <v>74</v>
      </c>
      <c r="V704">
        <v>0</v>
      </c>
      <c r="W704" t="s">
        <v>74</v>
      </c>
      <c r="X704">
        <v>0</v>
      </c>
      <c r="Y704">
        <v>1.635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244</v>
      </c>
      <c r="AF704">
        <v>100</v>
      </c>
      <c r="AG704">
        <v>55</v>
      </c>
      <c r="AH704">
        <v>2</v>
      </c>
      <c r="AI704">
        <v>0.161</v>
      </c>
      <c r="AK704" t="s">
        <v>218</v>
      </c>
      <c r="AM704">
        <v>200000</v>
      </c>
      <c r="AN704" t="s">
        <v>76</v>
      </c>
      <c r="AO704">
        <v>1</v>
      </c>
      <c r="AP704">
        <v>0</v>
      </c>
      <c r="AQ704">
        <v>16666.666666666668</v>
      </c>
      <c r="AR704" t="s">
        <v>2395</v>
      </c>
      <c r="AS704" t="s">
        <v>78</v>
      </c>
      <c r="AX704" t="s">
        <v>79</v>
      </c>
      <c r="AY704" t="s">
        <v>74</v>
      </c>
      <c r="AZ704">
        <v>0</v>
      </c>
      <c r="BA704" t="s">
        <v>74</v>
      </c>
      <c r="BB704">
        <v>0</v>
      </c>
      <c r="BD704">
        <v>1.635</v>
      </c>
      <c r="BE704">
        <v>0</v>
      </c>
    </row>
    <row r="705" spans="1:58" ht="12.75">
      <c r="A705" s="2" t="str">
        <f>HYPERLINK("https://ibp.a2mac1.com/costing(costing:projects/details/8191/part/5383753)","Bottom Housing")</f>
        <v>Bottom Housing</v>
      </c>
      <c r="B705">
        <v>5383753</v>
      </c>
      <c r="C705">
        <v>5383452</v>
      </c>
      <c r="D705" t="s">
        <v>2396</v>
      </c>
      <c r="E705">
        <v>9.87</v>
      </c>
      <c r="F705">
        <v>0</v>
      </c>
      <c r="G705">
        <v>0</v>
      </c>
      <c r="H705">
        <v>0</v>
      </c>
      <c r="I705" t="s">
        <v>74</v>
      </c>
      <c r="J705">
        <v>0</v>
      </c>
      <c r="K705">
        <v>9.87</v>
      </c>
      <c r="L705">
        <v>0</v>
      </c>
      <c r="M705">
        <v>0</v>
      </c>
      <c r="N705">
        <v>9.87</v>
      </c>
      <c r="O705" t="s">
        <v>74</v>
      </c>
      <c r="P705">
        <v>0</v>
      </c>
      <c r="Q705" t="s">
        <v>74</v>
      </c>
      <c r="R705">
        <v>0</v>
      </c>
      <c r="S705" t="s">
        <v>74</v>
      </c>
      <c r="T705">
        <v>0</v>
      </c>
      <c r="U705" t="s">
        <v>74</v>
      </c>
      <c r="V705">
        <v>0</v>
      </c>
      <c r="W705" t="s">
        <v>74</v>
      </c>
      <c r="X705">
        <v>0</v>
      </c>
      <c r="Y705">
        <v>9.87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244</v>
      </c>
      <c r="AF705">
        <v>99</v>
      </c>
      <c r="AG705">
        <v>90</v>
      </c>
      <c r="AH705">
        <v>2</v>
      </c>
      <c r="AI705">
        <v>0.73299999999999998</v>
      </c>
      <c r="AK705" t="s">
        <v>2293</v>
      </c>
      <c r="AM705">
        <v>200000</v>
      </c>
      <c r="AN705" t="s">
        <v>76</v>
      </c>
      <c r="AO705">
        <v>1</v>
      </c>
      <c r="AP705">
        <v>0</v>
      </c>
      <c r="AQ705">
        <v>16666.666666666668</v>
      </c>
      <c r="AR705" t="s">
        <v>2397</v>
      </c>
      <c r="AS705" t="s">
        <v>78</v>
      </c>
      <c r="AX705" t="s">
        <v>79</v>
      </c>
      <c r="AY705" t="s">
        <v>74</v>
      </c>
      <c r="AZ705">
        <v>0</v>
      </c>
      <c r="BA705" t="s">
        <v>74</v>
      </c>
      <c r="BB705">
        <v>0</v>
      </c>
      <c r="BD705">
        <v>9.87</v>
      </c>
      <c r="BE705">
        <v>0</v>
      </c>
    </row>
    <row r="706" spans="1:58" ht="12.75">
      <c r="A706" s="2" t="str">
        <f>HYPERLINK("https://ibp.a2mac1.com/costing(costing:projects/details/8191/part/5383754)","Screws")</f>
        <v>Screws</v>
      </c>
      <c r="B706">
        <v>5383754</v>
      </c>
      <c r="C706">
        <v>5383452</v>
      </c>
      <c r="D706" t="s">
        <v>2398</v>
      </c>
      <c r="E706">
        <v>0.28649999999999998</v>
      </c>
      <c r="F706">
        <v>0</v>
      </c>
      <c r="G706">
        <v>0</v>
      </c>
      <c r="H706">
        <v>0</v>
      </c>
      <c r="I706" t="s">
        <v>74</v>
      </c>
      <c r="J706">
        <v>0</v>
      </c>
      <c r="K706">
        <v>0.28649999999999998</v>
      </c>
      <c r="L706">
        <v>0</v>
      </c>
      <c r="M706">
        <v>0</v>
      </c>
      <c r="N706">
        <v>0.28649999999999998</v>
      </c>
      <c r="O706" t="s">
        <v>74</v>
      </c>
      <c r="P706">
        <v>0</v>
      </c>
      <c r="Q706" t="s">
        <v>74</v>
      </c>
      <c r="R706">
        <v>0</v>
      </c>
      <c r="S706" t="s">
        <v>74</v>
      </c>
      <c r="T706">
        <v>0</v>
      </c>
      <c r="U706" t="s">
        <v>74</v>
      </c>
      <c r="V706">
        <v>0</v>
      </c>
      <c r="W706" t="s">
        <v>74</v>
      </c>
      <c r="X706">
        <v>0</v>
      </c>
      <c r="Y706">
        <v>0.28649999999999998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0.0138</v>
      </c>
      <c r="AK706" t="s">
        <v>218</v>
      </c>
      <c r="AM706">
        <v>600000</v>
      </c>
      <c r="AN706" t="s">
        <v>76</v>
      </c>
      <c r="AO706">
        <v>3</v>
      </c>
      <c r="AP706">
        <v>0</v>
      </c>
      <c r="AQ706">
        <v>50000</v>
      </c>
      <c r="AR706" t="s">
        <v>9</v>
      </c>
      <c r="AS706" t="s">
        <v>78</v>
      </c>
      <c r="AX706" t="s">
        <v>79</v>
      </c>
      <c r="AY706" t="s">
        <v>74</v>
      </c>
      <c r="AZ706">
        <v>0</v>
      </c>
      <c r="BA706" t="s">
        <v>74</v>
      </c>
      <c r="BB706">
        <v>0</v>
      </c>
      <c r="BD706">
        <v>0.095500000000000002</v>
      </c>
      <c r="BE706">
        <v>0</v>
      </c>
    </row>
    <row r="707" spans="1:58" ht="12.75">
      <c r="A707" s="2" t="str">
        <f>HYPERLINK("https://ibp.a2mac1.com/costing(costing:projects/details/8191/part/5383755)","Insulation Foil")</f>
        <v>Insulation Foil</v>
      </c>
      <c r="B707">
        <v>5383755</v>
      </c>
      <c r="C707">
        <v>5383452</v>
      </c>
      <c r="D707" t="s">
        <v>2399</v>
      </c>
      <c r="E707">
        <v>0.039949999999999999</v>
      </c>
      <c r="F707">
        <v>0</v>
      </c>
      <c r="G707">
        <v>0</v>
      </c>
      <c r="H707">
        <v>0</v>
      </c>
      <c r="I707" t="s">
        <v>74</v>
      </c>
      <c r="J707">
        <v>0</v>
      </c>
      <c r="K707">
        <v>0.039949999999999999</v>
      </c>
      <c r="L707">
        <v>0</v>
      </c>
      <c r="M707">
        <v>0</v>
      </c>
      <c r="N707">
        <v>0.039949999999999999</v>
      </c>
      <c r="O707" t="s">
        <v>74</v>
      </c>
      <c r="P707">
        <v>0</v>
      </c>
      <c r="Q707" t="s">
        <v>74</v>
      </c>
      <c r="R707">
        <v>0</v>
      </c>
      <c r="S707" t="s">
        <v>74</v>
      </c>
      <c r="T707">
        <v>0</v>
      </c>
      <c r="U707" t="s">
        <v>74</v>
      </c>
      <c r="V707">
        <v>0</v>
      </c>
      <c r="W707" t="s">
        <v>74</v>
      </c>
      <c r="X707">
        <v>0</v>
      </c>
      <c r="Y707">
        <v>0.039949999999999999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197</v>
      </c>
      <c r="AF707">
        <v>78</v>
      </c>
      <c r="AG707">
        <v>0.20</v>
      </c>
      <c r="AH707">
        <v>0.20</v>
      </c>
      <c r="AI707">
        <v>0.0040000000000000001</v>
      </c>
      <c r="AK707" t="s">
        <v>218</v>
      </c>
      <c r="AM707">
        <v>200000</v>
      </c>
      <c r="AN707" t="s">
        <v>76</v>
      </c>
      <c r="AO707">
        <v>1</v>
      </c>
      <c r="AP707">
        <v>0</v>
      </c>
      <c r="AQ707">
        <v>16666.666666666668</v>
      </c>
      <c r="AR707" t="s">
        <v>2400</v>
      </c>
      <c r="AS707" t="s">
        <v>78</v>
      </c>
      <c r="AX707" t="s">
        <v>79</v>
      </c>
      <c r="AY707" t="s">
        <v>74</v>
      </c>
      <c r="AZ707">
        <v>0</v>
      </c>
      <c r="BA707" t="s">
        <v>74</v>
      </c>
      <c r="BB707">
        <v>0</v>
      </c>
      <c r="BD707">
        <v>0.039949999999999999</v>
      </c>
      <c r="BE707">
        <v>0</v>
      </c>
    </row>
    <row r="708" spans="1:58" ht="12.75">
      <c r="A708" s="2" t="str">
        <f>HYPERLINK("https://ibp.a2mac1.com/costing(costing:projects/details/8191/part/5383756)","Thermal Paste")</f>
        <v>Thermal Paste</v>
      </c>
      <c r="B708">
        <v>5383756</v>
      </c>
      <c r="C708">
        <v>5383452</v>
      </c>
      <c r="D708" t="s">
        <v>2401</v>
      </c>
      <c r="E708">
        <v>0.94</v>
      </c>
      <c r="F708">
        <v>0</v>
      </c>
      <c r="G708">
        <v>0</v>
      </c>
      <c r="H708">
        <v>0</v>
      </c>
      <c r="I708" t="s">
        <v>74</v>
      </c>
      <c r="J708">
        <v>0</v>
      </c>
      <c r="K708">
        <v>0.94</v>
      </c>
      <c r="L708">
        <v>0</v>
      </c>
      <c r="M708">
        <v>0</v>
      </c>
      <c r="N708">
        <v>0.94</v>
      </c>
      <c r="O708" t="s">
        <v>74</v>
      </c>
      <c r="P708">
        <v>0</v>
      </c>
      <c r="Q708" t="s">
        <v>74</v>
      </c>
      <c r="R708">
        <v>0</v>
      </c>
      <c r="S708" t="s">
        <v>74</v>
      </c>
      <c r="T708">
        <v>0</v>
      </c>
      <c r="U708" t="s">
        <v>74</v>
      </c>
      <c r="V708">
        <v>0</v>
      </c>
      <c r="W708" t="s">
        <v>74</v>
      </c>
      <c r="X708">
        <v>0</v>
      </c>
      <c r="Y708">
        <v>0.94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205</v>
      </c>
      <c r="AF708">
        <v>83</v>
      </c>
      <c r="AG708">
        <v>3</v>
      </c>
      <c r="AH708">
        <v>0</v>
      </c>
      <c r="AI708">
        <v>0.094</v>
      </c>
      <c r="AK708" t="s">
        <v>2293</v>
      </c>
      <c r="AM708">
        <v>200000</v>
      </c>
      <c r="AN708" t="s">
        <v>76</v>
      </c>
      <c r="AO708">
        <v>1</v>
      </c>
      <c r="AP708">
        <v>0</v>
      </c>
      <c r="AQ708">
        <v>16666.666666666668</v>
      </c>
      <c r="AR708" t="s">
        <v>2402</v>
      </c>
      <c r="AS708" t="s">
        <v>78</v>
      </c>
      <c r="AX708" t="s">
        <v>79</v>
      </c>
      <c r="AY708" t="s">
        <v>74</v>
      </c>
      <c r="AZ708">
        <v>0</v>
      </c>
      <c r="BA708" t="s">
        <v>74</v>
      </c>
      <c r="BB708">
        <v>0</v>
      </c>
      <c r="BD708">
        <v>0.94</v>
      </c>
      <c r="BE708">
        <v>0</v>
      </c>
    </row>
    <row r="709" spans="1:58" ht="12.75">
      <c r="A709" s="2" t="str">
        <f>HYPERLINK("https://ibp.a2mac1.com/costing(costing:projects/details/8191/part/5383757)","Bus Bar 1")</f>
        <v>Bus Bar 1</v>
      </c>
      <c r="B709">
        <v>5383757</v>
      </c>
      <c r="C709">
        <v>5383453</v>
      </c>
      <c r="D709" t="s">
        <v>2406</v>
      </c>
      <c r="E709">
        <v>0.872</v>
      </c>
      <c r="F709">
        <v>0</v>
      </c>
      <c r="G709">
        <v>0</v>
      </c>
      <c r="H709">
        <v>0</v>
      </c>
      <c r="I709" t="s">
        <v>74</v>
      </c>
      <c r="J709">
        <v>0</v>
      </c>
      <c r="K709">
        <v>0.872</v>
      </c>
      <c r="L709">
        <v>0</v>
      </c>
      <c r="M709">
        <v>0</v>
      </c>
      <c r="N709">
        <v>0.872</v>
      </c>
      <c r="O709" t="s">
        <v>74</v>
      </c>
      <c r="P709">
        <v>0</v>
      </c>
      <c r="Q709" t="s">
        <v>74</v>
      </c>
      <c r="R709">
        <v>0</v>
      </c>
      <c r="S709" t="s">
        <v>74</v>
      </c>
      <c r="T709">
        <v>0</v>
      </c>
      <c r="U709" t="s">
        <v>74</v>
      </c>
      <c r="V709">
        <v>0</v>
      </c>
      <c r="W709" t="s">
        <v>74</v>
      </c>
      <c r="X709">
        <v>0</v>
      </c>
      <c r="Y709">
        <v>0.872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84</v>
      </c>
      <c r="AF709">
        <v>44</v>
      </c>
      <c r="AG709">
        <v>19</v>
      </c>
      <c r="AH709">
        <v>6</v>
      </c>
      <c r="AI709">
        <v>0.052999999999999999</v>
      </c>
      <c r="AK709" t="s">
        <v>2293</v>
      </c>
      <c r="AM709">
        <v>200000</v>
      </c>
      <c r="AN709" t="s">
        <v>76</v>
      </c>
      <c r="AO709">
        <v>1</v>
      </c>
      <c r="AP709">
        <v>0</v>
      </c>
      <c r="AQ709">
        <v>16666.666666666668</v>
      </c>
      <c r="AR709" t="s">
        <v>2407</v>
      </c>
      <c r="AS709" t="s">
        <v>78</v>
      </c>
      <c r="AX709" t="s">
        <v>79</v>
      </c>
      <c r="AY709" t="s">
        <v>74</v>
      </c>
      <c r="AZ709">
        <v>0</v>
      </c>
      <c r="BA709" t="s">
        <v>74</v>
      </c>
      <c r="BB709">
        <v>0</v>
      </c>
      <c r="BD709">
        <v>0.872</v>
      </c>
      <c r="BE709">
        <v>0</v>
      </c>
    </row>
    <row r="710" spans="1:58" ht="12.75">
      <c r="A710" s="2" t="str">
        <f>HYPERLINK("https://ibp.a2mac1.com/costing(costing:projects/details/8191/part/5383758)","Bus Bar 2")</f>
        <v>Bus Bar 2</v>
      </c>
      <c r="B710">
        <v>5383758</v>
      </c>
      <c r="C710">
        <v>5383453</v>
      </c>
      <c r="D710" t="s">
        <v>2408</v>
      </c>
      <c r="E710">
        <v>1.98</v>
      </c>
      <c r="F710">
        <v>0</v>
      </c>
      <c r="G710">
        <v>0</v>
      </c>
      <c r="H710">
        <v>0</v>
      </c>
      <c r="I710" t="s">
        <v>74</v>
      </c>
      <c r="J710">
        <v>0</v>
      </c>
      <c r="K710">
        <v>1.98</v>
      </c>
      <c r="L710">
        <v>0</v>
      </c>
      <c r="M710">
        <v>0</v>
      </c>
      <c r="N710">
        <v>1.98</v>
      </c>
      <c r="O710" t="s">
        <v>74</v>
      </c>
      <c r="P710">
        <v>0</v>
      </c>
      <c r="Q710" t="s">
        <v>74</v>
      </c>
      <c r="R710">
        <v>0</v>
      </c>
      <c r="S710" t="s">
        <v>74</v>
      </c>
      <c r="T710">
        <v>0</v>
      </c>
      <c r="U710" t="s">
        <v>74</v>
      </c>
      <c r="V710">
        <v>0</v>
      </c>
      <c r="W710" t="s">
        <v>74</v>
      </c>
      <c r="X710">
        <v>0</v>
      </c>
      <c r="Y710">
        <v>1.98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153</v>
      </c>
      <c r="AF710">
        <v>44</v>
      </c>
      <c r="AG710">
        <v>18</v>
      </c>
      <c r="AH710">
        <v>6</v>
      </c>
      <c r="AI710">
        <v>0.09</v>
      </c>
      <c r="AK710" t="s">
        <v>2293</v>
      </c>
      <c r="AM710">
        <v>400000</v>
      </c>
      <c r="AN710" t="s">
        <v>76</v>
      </c>
      <c r="AO710">
        <v>2</v>
      </c>
      <c r="AP710">
        <v>0</v>
      </c>
      <c r="AQ710">
        <v>33333.333333333336</v>
      </c>
      <c r="AR710" t="s">
        <v>2409</v>
      </c>
      <c r="AS710" t="s">
        <v>78</v>
      </c>
      <c r="AX710" t="s">
        <v>79</v>
      </c>
      <c r="AY710" t="s">
        <v>74</v>
      </c>
      <c r="AZ710">
        <v>0</v>
      </c>
      <c r="BA710" t="s">
        <v>74</v>
      </c>
      <c r="BB710">
        <v>0</v>
      </c>
      <c r="BD710">
        <v>0.99</v>
      </c>
      <c r="BE710">
        <v>0</v>
      </c>
    </row>
    <row r="711" spans="1:58" ht="12.75">
      <c r="A711" s="2" t="str">
        <f>HYPERLINK("https://ibp.a2mac1.com/costing(costing:projects/details/8191/part/5383759)","Bus Bar 3")</f>
        <v>Bus Bar 3</v>
      </c>
      <c r="B711">
        <v>5383759</v>
      </c>
      <c r="C711">
        <v>5383453</v>
      </c>
      <c r="D711" t="s">
        <v>2410</v>
      </c>
      <c r="E711">
        <v>9.24</v>
      </c>
      <c r="F711">
        <v>0</v>
      </c>
      <c r="G711">
        <v>0</v>
      </c>
      <c r="H711">
        <v>0</v>
      </c>
      <c r="I711" t="s">
        <v>74</v>
      </c>
      <c r="J711">
        <v>0</v>
      </c>
      <c r="K711">
        <v>9.24</v>
      </c>
      <c r="L711">
        <v>0</v>
      </c>
      <c r="M711">
        <v>0</v>
      </c>
      <c r="N711">
        <v>9.24</v>
      </c>
      <c r="O711" t="s">
        <v>74</v>
      </c>
      <c r="P711">
        <v>0</v>
      </c>
      <c r="Q711" t="s">
        <v>74</v>
      </c>
      <c r="R711">
        <v>0</v>
      </c>
      <c r="S711" t="s">
        <v>74</v>
      </c>
      <c r="T711">
        <v>0</v>
      </c>
      <c r="U711" t="s">
        <v>74</v>
      </c>
      <c r="V711">
        <v>0</v>
      </c>
      <c r="W711" t="s">
        <v>74</v>
      </c>
      <c r="X711">
        <v>0</v>
      </c>
      <c r="Y711">
        <v>9.24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133</v>
      </c>
      <c r="AF711">
        <v>11.80</v>
      </c>
      <c r="AG711">
        <v>18</v>
      </c>
      <c r="AH711">
        <v>6</v>
      </c>
      <c r="AI711">
        <v>0.075</v>
      </c>
      <c r="AK711" t="s">
        <v>2293</v>
      </c>
      <c r="AM711">
        <v>2000000</v>
      </c>
      <c r="AN711" t="s">
        <v>76</v>
      </c>
      <c r="AO711">
        <v>10</v>
      </c>
      <c r="AP711">
        <v>0</v>
      </c>
      <c r="AQ711">
        <v>166666.66666666666</v>
      </c>
      <c r="AR711" t="s">
        <v>2411</v>
      </c>
      <c r="AS711" t="s">
        <v>78</v>
      </c>
      <c r="AX711" t="s">
        <v>79</v>
      </c>
      <c r="AY711" t="s">
        <v>74</v>
      </c>
      <c r="AZ711">
        <v>0</v>
      </c>
      <c r="BA711" t="s">
        <v>74</v>
      </c>
      <c r="BB711">
        <v>0</v>
      </c>
      <c r="BD711">
        <v>0.92400000000000004</v>
      </c>
      <c r="BE711">
        <v>0</v>
      </c>
    </row>
    <row r="712" spans="1:58" ht="12.75">
      <c r="A712" s="2" t="str">
        <f>HYPERLINK("https://ibp.a2mac1.com/costing(costing:projects/details/8191/part/5383760)","Screws")</f>
        <v>Screws</v>
      </c>
      <c r="B712">
        <v>5383760</v>
      </c>
      <c r="C712">
        <v>5383453</v>
      </c>
      <c r="D712" t="s">
        <v>2412</v>
      </c>
      <c r="E712">
        <v>1.3122</v>
      </c>
      <c r="F712">
        <v>0</v>
      </c>
      <c r="G712">
        <v>0</v>
      </c>
      <c r="H712">
        <v>0</v>
      </c>
      <c r="I712" t="s">
        <v>74</v>
      </c>
      <c r="J712">
        <v>0</v>
      </c>
      <c r="K712">
        <v>1.3122</v>
      </c>
      <c r="L712">
        <v>0</v>
      </c>
      <c r="M712">
        <v>0</v>
      </c>
      <c r="N712">
        <v>1.3122</v>
      </c>
      <c r="O712" t="s">
        <v>74</v>
      </c>
      <c r="P712">
        <v>0</v>
      </c>
      <c r="Q712" t="s">
        <v>74</v>
      </c>
      <c r="R712">
        <v>0</v>
      </c>
      <c r="S712" t="s">
        <v>74</v>
      </c>
      <c r="T712">
        <v>0</v>
      </c>
      <c r="U712" t="s">
        <v>74</v>
      </c>
      <c r="V712">
        <v>0</v>
      </c>
      <c r="W712" t="s">
        <v>74</v>
      </c>
      <c r="X712">
        <v>0</v>
      </c>
      <c r="Y712">
        <v>1.3122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0.0080000000000000002</v>
      </c>
      <c r="AK712" t="s">
        <v>218</v>
      </c>
      <c r="AM712">
        <v>4000000</v>
      </c>
      <c r="AN712" t="s">
        <v>76</v>
      </c>
      <c r="AO712">
        <v>20</v>
      </c>
      <c r="AP712">
        <v>0</v>
      </c>
      <c r="AQ712">
        <v>333333.33333333331</v>
      </c>
      <c r="AR712" t="s">
        <v>9</v>
      </c>
      <c r="AS712" t="s">
        <v>78</v>
      </c>
      <c r="AX712" t="s">
        <v>79</v>
      </c>
      <c r="AY712" t="s">
        <v>74</v>
      </c>
      <c r="AZ712">
        <v>0</v>
      </c>
      <c r="BA712" t="s">
        <v>74</v>
      </c>
      <c r="BB712">
        <v>0</v>
      </c>
      <c r="BD712">
        <v>0.065610000000000002</v>
      </c>
      <c r="BE712">
        <v>0</v>
      </c>
    </row>
    <row r="713" spans="1:58" ht="12.75">
      <c r="A713" s="2" t="str">
        <f>HYPERLINK("https://ibp.a2mac1.com/costing(costing:projects/details/8191/part/5383761)","Screws")</f>
        <v>Screws</v>
      </c>
      <c r="B713">
        <v>5383761</v>
      </c>
      <c r="C713">
        <v>5383453</v>
      </c>
      <c r="D713" t="s">
        <v>2413</v>
      </c>
      <c r="E713">
        <v>0.35652</v>
      </c>
      <c r="F713">
        <v>0</v>
      </c>
      <c r="G713">
        <v>0</v>
      </c>
      <c r="H713">
        <v>0</v>
      </c>
      <c r="I713" t="s">
        <v>74</v>
      </c>
      <c r="J713">
        <v>0</v>
      </c>
      <c r="K713">
        <v>0.35652</v>
      </c>
      <c r="L713">
        <v>0</v>
      </c>
      <c r="M713">
        <v>0</v>
      </c>
      <c r="N713">
        <v>0.35652</v>
      </c>
      <c r="O713" t="s">
        <v>74</v>
      </c>
      <c r="P713">
        <v>0</v>
      </c>
      <c r="Q713" t="s">
        <v>74</v>
      </c>
      <c r="R713">
        <v>0</v>
      </c>
      <c r="S713" t="s">
        <v>74</v>
      </c>
      <c r="T713">
        <v>0</v>
      </c>
      <c r="U713" t="s">
        <v>74</v>
      </c>
      <c r="V713">
        <v>0</v>
      </c>
      <c r="W713" t="s">
        <v>74</v>
      </c>
      <c r="X713">
        <v>0</v>
      </c>
      <c r="Y713">
        <v>0.35652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0.0067999999999999996</v>
      </c>
      <c r="AK713" t="s">
        <v>218</v>
      </c>
      <c r="AM713">
        <v>1200000</v>
      </c>
      <c r="AN713" t="s">
        <v>76</v>
      </c>
      <c r="AO713">
        <v>6</v>
      </c>
      <c r="AP713">
        <v>0</v>
      </c>
      <c r="AQ713">
        <v>100000</v>
      </c>
      <c r="AR713" t="s">
        <v>9</v>
      </c>
      <c r="AS713" t="s">
        <v>78</v>
      </c>
      <c r="AX713" t="s">
        <v>79</v>
      </c>
      <c r="AY713" t="s">
        <v>74</v>
      </c>
      <c r="AZ713">
        <v>0</v>
      </c>
      <c r="BA713" t="s">
        <v>74</v>
      </c>
      <c r="BB713">
        <v>0</v>
      </c>
      <c r="BD713">
        <v>0.059420000000000001</v>
      </c>
      <c r="BE713">
        <v>0</v>
      </c>
    </row>
    <row r="714" spans="1:58" ht="12.75">
      <c r="A714" s="2" t="str">
        <f>HYPERLINK("https://ibp.a2mac1.com/costing(costing:projects/details/8191/part/5383762)","Receptacle 1")</f>
        <v>Receptacle 1</v>
      </c>
      <c r="B714">
        <v>5383762</v>
      </c>
      <c r="C714">
        <v>5383453</v>
      </c>
      <c r="D714" t="s">
        <v>2414</v>
      </c>
      <c r="E714">
        <v>11.36</v>
      </c>
      <c r="F714">
        <v>0</v>
      </c>
      <c r="G714">
        <v>0</v>
      </c>
      <c r="H714">
        <v>0</v>
      </c>
      <c r="I714" t="s">
        <v>74</v>
      </c>
      <c r="J714">
        <v>0</v>
      </c>
      <c r="K714">
        <v>11.36</v>
      </c>
      <c r="L714">
        <v>0</v>
      </c>
      <c r="M714">
        <v>0</v>
      </c>
      <c r="N714">
        <v>11.36</v>
      </c>
      <c r="O714" t="s">
        <v>74</v>
      </c>
      <c r="P714">
        <v>0</v>
      </c>
      <c r="Q714" t="s">
        <v>74</v>
      </c>
      <c r="R714">
        <v>0</v>
      </c>
      <c r="S714" t="s">
        <v>74</v>
      </c>
      <c r="T714">
        <v>0</v>
      </c>
      <c r="U714" t="s">
        <v>74</v>
      </c>
      <c r="V714">
        <v>0</v>
      </c>
      <c r="W714" t="s">
        <v>74</v>
      </c>
      <c r="X714">
        <v>0</v>
      </c>
      <c r="Y714">
        <v>11.36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480</v>
      </c>
      <c r="AF714">
        <v>77</v>
      </c>
      <c r="AG714">
        <v>108</v>
      </c>
      <c r="AH714">
        <v>0</v>
      </c>
      <c r="AI714">
        <v>1.3380000000000001</v>
      </c>
      <c r="AK714" t="s">
        <v>218</v>
      </c>
      <c r="AM714">
        <v>200000</v>
      </c>
      <c r="AN714" t="s">
        <v>76</v>
      </c>
      <c r="AO714">
        <v>1</v>
      </c>
      <c r="AP714">
        <v>0</v>
      </c>
      <c r="AQ714">
        <v>16666.666666666668</v>
      </c>
      <c r="AR714" t="s">
        <v>9</v>
      </c>
      <c r="AS714" t="s">
        <v>78</v>
      </c>
      <c r="AX714" t="s">
        <v>79</v>
      </c>
      <c r="AY714" t="s">
        <v>74</v>
      </c>
      <c r="AZ714">
        <v>0</v>
      </c>
      <c r="BA714" t="s">
        <v>74</v>
      </c>
      <c r="BB714">
        <v>0</v>
      </c>
      <c r="BD714">
        <v>11.36</v>
      </c>
      <c r="BE714">
        <v>0</v>
      </c>
    </row>
    <row r="715" spans="1:58" ht="12.75">
      <c r="A715" s="2" t="str">
        <f>HYPERLINK("https://ibp.a2mac1.com/costing(costing:projects/details/8191/part/5383763)","Screws")</f>
        <v>Screws</v>
      </c>
      <c r="B715">
        <v>5383763</v>
      </c>
      <c r="C715">
        <v>5383453</v>
      </c>
      <c r="D715" t="s">
        <v>2415</v>
      </c>
      <c r="E715">
        <v>0.82672000000000001</v>
      </c>
      <c r="F715">
        <v>0</v>
      </c>
      <c r="G715">
        <v>0</v>
      </c>
      <c r="H715">
        <v>0</v>
      </c>
      <c r="I715" t="s">
        <v>74</v>
      </c>
      <c r="J715">
        <v>0</v>
      </c>
      <c r="K715">
        <v>0.82672000000000001</v>
      </c>
      <c r="L715">
        <v>0</v>
      </c>
      <c r="M715">
        <v>0</v>
      </c>
      <c r="N715">
        <v>0.82672000000000001</v>
      </c>
      <c r="O715" t="s">
        <v>74</v>
      </c>
      <c r="P715">
        <v>0</v>
      </c>
      <c r="Q715" t="s">
        <v>74</v>
      </c>
      <c r="R715">
        <v>0</v>
      </c>
      <c r="S715" t="s">
        <v>74</v>
      </c>
      <c r="T715">
        <v>0</v>
      </c>
      <c r="U715" t="s">
        <v>74</v>
      </c>
      <c r="V715">
        <v>0</v>
      </c>
      <c r="W715" t="s">
        <v>74</v>
      </c>
      <c r="X715">
        <v>0</v>
      </c>
      <c r="Y715">
        <v>0.82672000000000001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0.0053</v>
      </c>
      <c r="AK715" t="s">
        <v>218</v>
      </c>
      <c r="AM715">
        <v>3200000</v>
      </c>
      <c r="AN715" t="s">
        <v>76</v>
      </c>
      <c r="AO715">
        <v>16</v>
      </c>
      <c r="AP715">
        <v>0</v>
      </c>
      <c r="AQ715">
        <v>266666.66666666669</v>
      </c>
      <c r="AR715" t="s">
        <v>9</v>
      </c>
      <c r="AS715" t="s">
        <v>78</v>
      </c>
      <c r="AX715" t="s">
        <v>79</v>
      </c>
      <c r="AY715" t="s">
        <v>74</v>
      </c>
      <c r="AZ715">
        <v>0</v>
      </c>
      <c r="BA715" t="s">
        <v>74</v>
      </c>
      <c r="BB715">
        <v>0</v>
      </c>
      <c r="BD715">
        <v>0.051670000000000001</v>
      </c>
      <c r="BE715">
        <v>0</v>
      </c>
    </row>
    <row r="716" spans="1:58" ht="12.75">
      <c r="A716" s="2" t="str">
        <f>HYPERLINK("https://ibp.a2mac1.com/costing(costing:projects/details/8191/part/5383764)","Screws")</f>
        <v>Screws</v>
      </c>
      <c r="B716">
        <v>5383764</v>
      </c>
      <c r="C716">
        <v>5383453</v>
      </c>
      <c r="D716" t="s">
        <v>2416</v>
      </c>
      <c r="E716">
        <v>0.27634999999999998</v>
      </c>
      <c r="F716">
        <v>0</v>
      </c>
      <c r="G716">
        <v>0</v>
      </c>
      <c r="H716">
        <v>0</v>
      </c>
      <c r="I716" t="s">
        <v>74</v>
      </c>
      <c r="J716">
        <v>0</v>
      </c>
      <c r="K716">
        <v>0.27634999999999998</v>
      </c>
      <c r="L716">
        <v>0</v>
      </c>
      <c r="M716">
        <v>0</v>
      </c>
      <c r="N716">
        <v>0.27634999999999998</v>
      </c>
      <c r="O716" t="s">
        <v>74</v>
      </c>
      <c r="P716">
        <v>0</v>
      </c>
      <c r="Q716" t="s">
        <v>74</v>
      </c>
      <c r="R716">
        <v>0</v>
      </c>
      <c r="S716" t="s">
        <v>74</v>
      </c>
      <c r="T716">
        <v>0</v>
      </c>
      <c r="U716" t="s">
        <v>74</v>
      </c>
      <c r="V716">
        <v>0</v>
      </c>
      <c r="W716" t="s">
        <v>74</v>
      </c>
      <c r="X716">
        <v>0</v>
      </c>
      <c r="Y716">
        <v>0.27634999999999998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0.0060000000000000001</v>
      </c>
      <c r="AK716" t="s">
        <v>218</v>
      </c>
      <c r="AM716">
        <v>1000000</v>
      </c>
      <c r="AN716" t="s">
        <v>76</v>
      </c>
      <c r="AO716">
        <v>5</v>
      </c>
      <c r="AP716">
        <v>0</v>
      </c>
      <c r="AQ716">
        <v>83333.333333333328</v>
      </c>
      <c r="AR716" t="s">
        <v>9</v>
      </c>
      <c r="AS716" t="s">
        <v>78</v>
      </c>
      <c r="AX716" t="s">
        <v>79</v>
      </c>
      <c r="AY716" t="s">
        <v>74</v>
      </c>
      <c r="AZ716">
        <v>0</v>
      </c>
      <c r="BA716" t="s">
        <v>74</v>
      </c>
      <c r="BB716">
        <v>0</v>
      </c>
      <c r="BD716">
        <v>0.05527</v>
      </c>
      <c r="BE716">
        <v>0</v>
      </c>
    </row>
    <row r="717" spans="1:58" ht="12.75">
      <c r="A717" s="2" t="str">
        <f>HYPERLINK("https://ibp.a2mac1.com/costing(costing:projects/details/8191/part/5383765)","Seal")</f>
        <v>Seal</v>
      </c>
      <c r="B717">
        <v>5383765</v>
      </c>
      <c r="C717">
        <v>5383453</v>
      </c>
      <c r="D717" t="s">
        <v>2417</v>
      </c>
      <c r="E717">
        <v>0.16300000000000001</v>
      </c>
      <c r="F717">
        <v>0</v>
      </c>
      <c r="G717">
        <v>0</v>
      </c>
      <c r="H717">
        <v>0</v>
      </c>
      <c r="I717" t="s">
        <v>74</v>
      </c>
      <c r="J717">
        <v>0</v>
      </c>
      <c r="K717">
        <v>0.16300000000000001</v>
      </c>
      <c r="L717">
        <v>0</v>
      </c>
      <c r="M717">
        <v>0</v>
      </c>
      <c r="N717">
        <v>0.16300000000000001</v>
      </c>
      <c r="O717" t="s">
        <v>74</v>
      </c>
      <c r="P717">
        <v>0</v>
      </c>
      <c r="Q717" t="s">
        <v>74</v>
      </c>
      <c r="R717">
        <v>0</v>
      </c>
      <c r="S717" t="s">
        <v>74</v>
      </c>
      <c r="T717">
        <v>0</v>
      </c>
      <c r="U717" t="s">
        <v>74</v>
      </c>
      <c r="V717">
        <v>0</v>
      </c>
      <c r="W717" t="s">
        <v>74</v>
      </c>
      <c r="X717">
        <v>0</v>
      </c>
      <c r="Y717">
        <v>0.16300000000000001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480</v>
      </c>
      <c r="AF717">
        <v>80</v>
      </c>
      <c r="AG717">
        <v>8</v>
      </c>
      <c r="AH717">
        <v>0</v>
      </c>
      <c r="AI717">
        <v>0.058000000000000003</v>
      </c>
      <c r="AK717" t="s">
        <v>218</v>
      </c>
      <c r="AM717">
        <v>200000</v>
      </c>
      <c r="AN717" t="s">
        <v>76</v>
      </c>
      <c r="AO717">
        <v>1</v>
      </c>
      <c r="AP717">
        <v>0</v>
      </c>
      <c r="AQ717">
        <v>16666.666666666668</v>
      </c>
      <c r="AR717" t="s">
        <v>9</v>
      </c>
      <c r="AS717" t="s">
        <v>78</v>
      </c>
      <c r="AX717" t="s">
        <v>79</v>
      </c>
      <c r="AY717" t="s">
        <v>74</v>
      </c>
      <c r="AZ717">
        <v>0</v>
      </c>
      <c r="BA717" t="s">
        <v>74</v>
      </c>
      <c r="BB717">
        <v>0</v>
      </c>
      <c r="BD717">
        <v>0.16300000000000001</v>
      </c>
      <c r="BE717">
        <v>0</v>
      </c>
    </row>
    <row r="718" spans="1:58" ht="12.75">
      <c r="A718" s="2" t="str">
        <f>HYPERLINK("https://ibp.a2mac1.com/costing(costing:projects/details/8191/part/5383766)","Main Wiring Harness")</f>
        <v>Main Wiring Harness</v>
      </c>
      <c r="B718">
        <v>5383766</v>
      </c>
      <c r="C718">
        <v>5383454</v>
      </c>
      <c r="D718" t="s">
        <v>2421</v>
      </c>
      <c r="E718">
        <v>6.8010000000000002</v>
      </c>
      <c r="F718">
        <v>0</v>
      </c>
      <c r="G718">
        <v>0</v>
      </c>
      <c r="H718">
        <v>0</v>
      </c>
      <c r="I718" t="s">
        <v>74</v>
      </c>
      <c r="J718">
        <v>0</v>
      </c>
      <c r="K718">
        <v>6.8010000000000002</v>
      </c>
      <c r="L718">
        <v>0</v>
      </c>
      <c r="M718">
        <v>0</v>
      </c>
      <c r="N718">
        <v>6.8010000000000002</v>
      </c>
      <c r="O718" t="s">
        <v>74</v>
      </c>
      <c r="P718">
        <v>0</v>
      </c>
      <c r="Q718" t="s">
        <v>74</v>
      </c>
      <c r="R718">
        <v>0</v>
      </c>
      <c r="S718" t="s">
        <v>74</v>
      </c>
      <c r="T718">
        <v>0</v>
      </c>
      <c r="U718" t="s">
        <v>74</v>
      </c>
      <c r="V718">
        <v>0</v>
      </c>
      <c r="W718" t="s">
        <v>74</v>
      </c>
      <c r="X718">
        <v>0</v>
      </c>
      <c r="Y718">
        <v>6.8010000000000002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0.186</v>
      </c>
      <c r="AK718" t="s">
        <v>2293</v>
      </c>
      <c r="AM718">
        <v>200000</v>
      </c>
      <c r="AN718" t="s">
        <v>76</v>
      </c>
      <c r="AO718">
        <v>1</v>
      </c>
      <c r="AP718">
        <v>0</v>
      </c>
      <c r="AQ718">
        <v>16666.666666666668</v>
      </c>
      <c r="AR718" t="s">
        <v>2422</v>
      </c>
      <c r="AS718" t="s">
        <v>78</v>
      </c>
      <c r="AX718" t="s">
        <v>79</v>
      </c>
      <c r="AY718" t="s">
        <v>74</v>
      </c>
      <c r="AZ718">
        <v>0</v>
      </c>
      <c r="BA718" t="s">
        <v>74</v>
      </c>
      <c r="BB718">
        <v>0</v>
      </c>
      <c r="BD718">
        <v>6.8010000000000002</v>
      </c>
      <c r="BE718">
        <v>0</v>
      </c>
    </row>
    <row r="719" spans="1:58" ht="12.75">
      <c r="A719" s="2" t="str">
        <f>HYPERLINK("https://ibp.a2mac1.com/costing(costing:projects/details/8191/part/5383767)","Wire Harness 2")</f>
        <v>Wire Harness 2</v>
      </c>
      <c r="B719">
        <v>5383767</v>
      </c>
      <c r="C719">
        <v>5383454</v>
      </c>
      <c r="D719" t="s">
        <v>2423</v>
      </c>
      <c r="E719">
        <v>3.75</v>
      </c>
      <c r="F719">
        <v>0</v>
      </c>
      <c r="G719">
        <v>0</v>
      </c>
      <c r="H719">
        <v>0</v>
      </c>
      <c r="I719" t="s">
        <v>74</v>
      </c>
      <c r="J719">
        <v>0</v>
      </c>
      <c r="K719">
        <v>3.75</v>
      </c>
      <c r="L719">
        <v>0</v>
      </c>
      <c r="M719">
        <v>0</v>
      </c>
      <c r="N719">
        <v>3.75</v>
      </c>
      <c r="O719" t="s">
        <v>74</v>
      </c>
      <c r="P719">
        <v>0</v>
      </c>
      <c r="Q719" t="s">
        <v>74</v>
      </c>
      <c r="R719">
        <v>0</v>
      </c>
      <c r="S719" t="s">
        <v>74</v>
      </c>
      <c r="T719">
        <v>0</v>
      </c>
      <c r="U719" t="s">
        <v>74</v>
      </c>
      <c r="V719">
        <v>0</v>
      </c>
      <c r="W719" t="s">
        <v>74</v>
      </c>
      <c r="X719">
        <v>0</v>
      </c>
      <c r="Y719">
        <v>3.75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0.090999999999999998</v>
      </c>
      <c r="AK719" t="s">
        <v>2293</v>
      </c>
      <c r="AM719">
        <v>200000</v>
      </c>
      <c r="AN719" t="s">
        <v>76</v>
      </c>
      <c r="AO719">
        <v>1</v>
      </c>
      <c r="AP719">
        <v>0</v>
      </c>
      <c r="AQ719">
        <v>16666.666666666668</v>
      </c>
      <c r="AR719" t="s">
        <v>2424</v>
      </c>
      <c r="AS719" t="s">
        <v>78</v>
      </c>
      <c r="AX719" t="s">
        <v>79</v>
      </c>
      <c r="AY719" t="s">
        <v>74</v>
      </c>
      <c r="AZ719">
        <v>0</v>
      </c>
      <c r="BA719" t="s">
        <v>74</v>
      </c>
      <c r="BB719">
        <v>0</v>
      </c>
      <c r="BD719">
        <v>3.75</v>
      </c>
      <c r="BE719">
        <v>0</v>
      </c>
    </row>
    <row r="720" spans="1:58" ht="12.75">
      <c r="A720" s="2" t="str">
        <f>HYPERLINK("https://ibp.a2mac1.com/costing(costing:projects/details/8191/part/5383768)","Cell Voltage Monitoring Harness")</f>
        <v>Cell Voltage Monitoring Harness</v>
      </c>
      <c r="B720">
        <v>5383768</v>
      </c>
      <c r="C720">
        <v>5383454</v>
      </c>
      <c r="D720" t="s">
        <v>2425</v>
      </c>
      <c r="E720">
        <v>7.1580000000000004</v>
      </c>
      <c r="F720">
        <v>0</v>
      </c>
      <c r="G720">
        <v>0</v>
      </c>
      <c r="H720">
        <v>0</v>
      </c>
      <c r="I720" t="s">
        <v>74</v>
      </c>
      <c r="J720">
        <v>0</v>
      </c>
      <c r="K720">
        <v>7.1580000000000004</v>
      </c>
      <c r="L720">
        <v>0</v>
      </c>
      <c r="M720">
        <v>0</v>
      </c>
      <c r="N720">
        <v>7.1580000000000004</v>
      </c>
      <c r="O720" t="s">
        <v>74</v>
      </c>
      <c r="P720">
        <v>0</v>
      </c>
      <c r="Q720" t="s">
        <v>74</v>
      </c>
      <c r="R720">
        <v>0</v>
      </c>
      <c r="S720" t="s">
        <v>74</v>
      </c>
      <c r="T720">
        <v>0</v>
      </c>
      <c r="U720" t="s">
        <v>74</v>
      </c>
      <c r="V720">
        <v>0</v>
      </c>
      <c r="W720" t="s">
        <v>74</v>
      </c>
      <c r="X720">
        <v>0</v>
      </c>
      <c r="Y720">
        <v>7.1580000000000004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0.023</v>
      </c>
      <c r="AK720" t="s">
        <v>2293</v>
      </c>
      <c r="AM720">
        <v>1200000</v>
      </c>
      <c r="AN720" t="s">
        <v>76</v>
      </c>
      <c r="AO720">
        <v>6</v>
      </c>
      <c r="AP720">
        <v>0</v>
      </c>
      <c r="AQ720">
        <v>100000</v>
      </c>
      <c r="AR720" t="s">
        <v>2426</v>
      </c>
      <c r="AS720" t="s">
        <v>78</v>
      </c>
      <c r="AX720" t="s">
        <v>79</v>
      </c>
      <c r="AY720" t="s">
        <v>74</v>
      </c>
      <c r="AZ720">
        <v>0</v>
      </c>
      <c r="BA720" t="s">
        <v>74</v>
      </c>
      <c r="BB720">
        <v>0</v>
      </c>
      <c r="BD720">
        <v>1.1930000000000001</v>
      </c>
      <c r="BE720">
        <v>0</v>
      </c>
    </row>
    <row r="721" spans="1:58" ht="12.75">
      <c r="A721" s="2" t="str">
        <f>HYPERLINK("https://ibp.a2mac1.com/costing(costing:projects/details/8191/part/5383769)","Cell Voltage Monitoring Harness")</f>
        <v>Cell Voltage Monitoring Harness</v>
      </c>
      <c r="B721">
        <v>5383769</v>
      </c>
      <c r="C721">
        <v>5383454</v>
      </c>
      <c r="D721" t="s">
        <v>2427</v>
      </c>
      <c r="E721">
        <v>6.6360000000000001</v>
      </c>
      <c r="F721">
        <v>0</v>
      </c>
      <c r="G721">
        <v>0</v>
      </c>
      <c r="H721">
        <v>0</v>
      </c>
      <c r="I721" t="s">
        <v>74</v>
      </c>
      <c r="J721">
        <v>0</v>
      </c>
      <c r="K721">
        <v>6.6360000000000001</v>
      </c>
      <c r="L721">
        <v>0</v>
      </c>
      <c r="M721">
        <v>0</v>
      </c>
      <c r="N721">
        <v>6.6360000000000001</v>
      </c>
      <c r="O721" t="s">
        <v>74</v>
      </c>
      <c r="P721">
        <v>0</v>
      </c>
      <c r="Q721" t="s">
        <v>74</v>
      </c>
      <c r="R721">
        <v>0</v>
      </c>
      <c r="S721" t="s">
        <v>74</v>
      </c>
      <c r="T721">
        <v>0</v>
      </c>
      <c r="U721" t="s">
        <v>74</v>
      </c>
      <c r="V721">
        <v>0</v>
      </c>
      <c r="W721" t="s">
        <v>74</v>
      </c>
      <c r="X721">
        <v>0</v>
      </c>
      <c r="Y721">
        <v>6.6360000000000001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0.021000000000000001</v>
      </c>
      <c r="AK721" t="s">
        <v>2293</v>
      </c>
      <c r="AM721">
        <v>1200000</v>
      </c>
      <c r="AN721" t="s">
        <v>76</v>
      </c>
      <c r="AO721">
        <v>6</v>
      </c>
      <c r="AP721">
        <v>0</v>
      </c>
      <c r="AQ721">
        <v>100000</v>
      </c>
      <c r="AR721" t="s">
        <v>2428</v>
      </c>
      <c r="AS721" t="s">
        <v>78</v>
      </c>
      <c r="AX721" t="s">
        <v>79</v>
      </c>
      <c r="AY721" t="s">
        <v>74</v>
      </c>
      <c r="AZ721">
        <v>0</v>
      </c>
      <c r="BA721" t="s">
        <v>74</v>
      </c>
      <c r="BB721">
        <v>0</v>
      </c>
      <c r="BD721">
        <v>1.1060000000000001</v>
      </c>
      <c r="BE721">
        <v>0</v>
      </c>
    </row>
    <row r="722" spans="1:58" ht="12.75">
      <c r="A722" s="2" t="str">
        <f>HYPERLINK("https://ibp.a2mac1.com/costing(costing:projects/details/8191/part/5383770)","Material")</f>
        <v>Material</v>
      </c>
      <c r="B722">
        <v>5383770</v>
      </c>
      <c r="C722">
        <v>5383455</v>
      </c>
      <c r="E722">
        <v>157.26599999999999</v>
      </c>
      <c r="F722">
        <v>0</v>
      </c>
      <c r="G722">
        <v>0</v>
      </c>
      <c r="H722">
        <v>0</v>
      </c>
      <c r="I722" t="s">
        <v>74</v>
      </c>
      <c r="J722">
        <v>0</v>
      </c>
      <c r="K722">
        <v>157.26599999999999</v>
      </c>
      <c r="L722">
        <v>0</v>
      </c>
      <c r="M722">
        <v>0</v>
      </c>
      <c r="N722">
        <v>157.26599999999999</v>
      </c>
      <c r="O722" t="s">
        <v>74</v>
      </c>
      <c r="P722">
        <v>0</v>
      </c>
      <c r="Q722" t="s">
        <v>74</v>
      </c>
      <c r="R722">
        <v>0</v>
      </c>
      <c r="S722" t="s">
        <v>74</v>
      </c>
      <c r="T722">
        <v>0</v>
      </c>
      <c r="U722" t="s">
        <v>74</v>
      </c>
      <c r="V722">
        <v>0</v>
      </c>
      <c r="W722" t="s">
        <v>74</v>
      </c>
      <c r="X722">
        <v>0</v>
      </c>
      <c r="Y722">
        <v>157.26599999999999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K722" t="s">
        <v>218</v>
      </c>
      <c r="AM722">
        <v>200000</v>
      </c>
      <c r="AN722" t="s">
        <v>76</v>
      </c>
      <c r="AO722">
        <v>1</v>
      </c>
      <c r="AP722">
        <v>0</v>
      </c>
      <c r="AQ722">
        <v>16666.666666666668</v>
      </c>
      <c r="AR722" t="s">
        <v>9</v>
      </c>
      <c r="AS722" t="s">
        <v>78</v>
      </c>
      <c r="AV722">
        <v>0</v>
      </c>
      <c r="AW722">
        <v>0</v>
      </c>
      <c r="AX722" t="s">
        <v>79</v>
      </c>
      <c r="AY722" t="s">
        <v>74</v>
      </c>
      <c r="AZ722">
        <v>0</v>
      </c>
      <c r="BA722" t="s">
        <v>74</v>
      </c>
      <c r="BB722">
        <v>0</v>
      </c>
      <c r="BD722">
        <v>157.26599999999999</v>
      </c>
      <c r="BE722">
        <v>0</v>
      </c>
    </row>
    <row r="723" spans="1:58" ht="12.75">
      <c r="A723" s="2" t="str">
        <f>HYPERLINK("https://ibp.a2mac1.com/costing(costing:projects/details/8191/part/5383771)","Material")</f>
        <v>Material</v>
      </c>
      <c r="B723">
        <v>5383771</v>
      </c>
      <c r="C723">
        <v>5383458</v>
      </c>
      <c r="E723">
        <v>95.078000000000003</v>
      </c>
      <c r="F723">
        <v>0</v>
      </c>
      <c r="G723">
        <v>0</v>
      </c>
      <c r="H723">
        <v>0</v>
      </c>
      <c r="I723" t="s">
        <v>74</v>
      </c>
      <c r="J723">
        <v>0</v>
      </c>
      <c r="K723">
        <v>95.078000000000003</v>
      </c>
      <c r="L723">
        <v>0</v>
      </c>
      <c r="M723">
        <v>0</v>
      </c>
      <c r="N723">
        <v>95.078000000000003</v>
      </c>
      <c r="O723" t="s">
        <v>74</v>
      </c>
      <c r="P723">
        <v>0</v>
      </c>
      <c r="Q723" t="s">
        <v>74</v>
      </c>
      <c r="R723">
        <v>0</v>
      </c>
      <c r="S723" t="s">
        <v>74</v>
      </c>
      <c r="T723">
        <v>0</v>
      </c>
      <c r="U723" t="s">
        <v>74</v>
      </c>
      <c r="V723">
        <v>0</v>
      </c>
      <c r="W723" t="s">
        <v>74</v>
      </c>
      <c r="X723">
        <v>0</v>
      </c>
      <c r="Y723">
        <v>95.078000000000003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K723" t="s">
        <v>218</v>
      </c>
      <c r="AM723">
        <v>200000</v>
      </c>
      <c r="AN723" t="s">
        <v>76</v>
      </c>
      <c r="AO723">
        <v>1</v>
      </c>
      <c r="AP723">
        <v>0</v>
      </c>
      <c r="AQ723">
        <v>16666.666666666668</v>
      </c>
      <c r="AR723" t="s">
        <v>9</v>
      </c>
      <c r="AS723" t="s">
        <v>78</v>
      </c>
      <c r="AV723">
        <v>0</v>
      </c>
      <c r="AW723">
        <v>0</v>
      </c>
      <c r="AX723" t="s">
        <v>79</v>
      </c>
      <c r="AY723" t="s">
        <v>74</v>
      </c>
      <c r="AZ723">
        <v>0</v>
      </c>
      <c r="BA723" t="s">
        <v>74</v>
      </c>
      <c r="BB723">
        <v>0</v>
      </c>
      <c r="BD723">
        <v>95.078000000000003</v>
      </c>
      <c r="BE723">
        <v>0</v>
      </c>
    </row>
    <row r="724" spans="1:58" ht="12.75">
      <c r="A724" s="2" t="str">
        <f>HYPERLINK("https://ibp.a2mac1.com/costing(costing:projects/details/8191/part/5383772)","Material")</f>
        <v>Material</v>
      </c>
      <c r="B724">
        <v>5383772</v>
      </c>
      <c r="C724">
        <v>5383461</v>
      </c>
      <c r="E724">
        <v>27.286000000000001</v>
      </c>
      <c r="F724">
        <v>0</v>
      </c>
      <c r="G724">
        <v>0</v>
      </c>
      <c r="H724">
        <v>0</v>
      </c>
      <c r="I724" t="s">
        <v>74</v>
      </c>
      <c r="J724">
        <v>0</v>
      </c>
      <c r="K724">
        <v>27.286000000000001</v>
      </c>
      <c r="L724">
        <v>0</v>
      </c>
      <c r="M724">
        <v>0</v>
      </c>
      <c r="N724">
        <v>27.286000000000001</v>
      </c>
      <c r="O724" t="s">
        <v>74</v>
      </c>
      <c r="P724">
        <v>0</v>
      </c>
      <c r="Q724" t="s">
        <v>74</v>
      </c>
      <c r="R724">
        <v>0</v>
      </c>
      <c r="S724" t="s">
        <v>74</v>
      </c>
      <c r="T724">
        <v>0</v>
      </c>
      <c r="U724" t="s">
        <v>74</v>
      </c>
      <c r="V724">
        <v>0</v>
      </c>
      <c r="W724" t="s">
        <v>74</v>
      </c>
      <c r="X724">
        <v>0</v>
      </c>
      <c r="Y724">
        <v>27.286000000000001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K724" t="s">
        <v>218</v>
      </c>
      <c r="AM724">
        <v>200000</v>
      </c>
      <c r="AN724" t="s">
        <v>76</v>
      </c>
      <c r="AO724">
        <v>1</v>
      </c>
      <c r="AP724">
        <v>0</v>
      </c>
      <c r="AQ724">
        <v>16666.666666666668</v>
      </c>
      <c r="AR724" t="s">
        <v>9</v>
      </c>
      <c r="AS724" t="s">
        <v>78</v>
      </c>
      <c r="AV724">
        <v>0</v>
      </c>
      <c r="AW724">
        <v>0</v>
      </c>
      <c r="AX724" t="s">
        <v>79</v>
      </c>
      <c r="AY724" t="s">
        <v>74</v>
      </c>
      <c r="AZ724">
        <v>0</v>
      </c>
      <c r="BA724" t="s">
        <v>74</v>
      </c>
      <c r="BB724">
        <v>0</v>
      </c>
      <c r="BD724">
        <v>27.286000000000001</v>
      </c>
      <c r="BE724">
        <v>0</v>
      </c>
    </row>
    <row r="725" spans="1:58" ht="12.75">
      <c r="A725" s="2" t="str">
        <f>HYPERLINK("https://ibp.a2mac1.com/costing(costing:projects/details/8191/part/5383456)","Screws")</f>
        <v>Screws</v>
      </c>
      <c r="B725">
        <v>5383456</v>
      </c>
      <c r="C725">
        <v>5383160</v>
      </c>
      <c r="D725" t="s">
        <v>2443</v>
      </c>
      <c r="E725">
        <v>1.3243199999999999</v>
      </c>
      <c r="F725">
        <v>0</v>
      </c>
      <c r="G725">
        <v>0</v>
      </c>
      <c r="H725">
        <v>0</v>
      </c>
      <c r="I725" t="s">
        <v>74</v>
      </c>
      <c r="J725">
        <v>0</v>
      </c>
      <c r="K725">
        <v>1.3243199999999999</v>
      </c>
      <c r="L725">
        <v>0</v>
      </c>
      <c r="M725">
        <v>0</v>
      </c>
      <c r="N725">
        <v>1.3243199999999999</v>
      </c>
      <c r="O725" t="s">
        <v>74</v>
      </c>
      <c r="P725">
        <v>0</v>
      </c>
      <c r="Q725" t="s">
        <v>74</v>
      </c>
      <c r="R725">
        <v>0</v>
      </c>
      <c r="S725" t="s">
        <v>74</v>
      </c>
      <c r="T725">
        <v>0</v>
      </c>
      <c r="U725" t="s">
        <v>74</v>
      </c>
      <c r="V725">
        <v>0</v>
      </c>
      <c r="W725" t="s">
        <v>74</v>
      </c>
      <c r="X725">
        <v>0</v>
      </c>
      <c r="Y725">
        <v>1.3243199999999999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0.0060000000000000001</v>
      </c>
      <c r="AK725" t="s">
        <v>218</v>
      </c>
      <c r="AM725">
        <v>4800000</v>
      </c>
      <c r="AN725" t="s">
        <v>76</v>
      </c>
      <c r="AO725">
        <v>24</v>
      </c>
      <c r="AP725">
        <v>0</v>
      </c>
      <c r="AQ725">
        <v>400000</v>
      </c>
      <c r="AR725" t="s">
        <v>9</v>
      </c>
      <c r="AS725" t="s">
        <v>78</v>
      </c>
      <c r="AX725" t="s">
        <v>79</v>
      </c>
      <c r="AY725" t="s">
        <v>74</v>
      </c>
      <c r="AZ725">
        <v>0</v>
      </c>
      <c r="BA725" t="s">
        <v>74</v>
      </c>
      <c r="BB725">
        <v>0</v>
      </c>
      <c r="BD725">
        <v>0.05518</v>
      </c>
      <c r="BE725">
        <v>0</v>
      </c>
    </row>
    <row r="726" spans="1:58" ht="12.75">
      <c r="A726" s="2" t="str">
        <f>HYPERLINK("https://ibp.a2mac1.com/costing(costing:projects/details/8191/part/5383457)","Screws")</f>
        <v>Screws</v>
      </c>
      <c r="B726">
        <v>5383457</v>
      </c>
      <c r="C726">
        <v>5383160</v>
      </c>
      <c r="D726" t="s">
        <v>2444</v>
      </c>
      <c r="E726">
        <v>0.50971999999999995</v>
      </c>
      <c r="F726">
        <v>0</v>
      </c>
      <c r="G726">
        <v>0</v>
      </c>
      <c r="H726">
        <v>0</v>
      </c>
      <c r="I726" t="s">
        <v>74</v>
      </c>
      <c r="J726">
        <v>0</v>
      </c>
      <c r="K726">
        <v>0.50971999999999995</v>
      </c>
      <c r="L726">
        <v>0</v>
      </c>
      <c r="M726">
        <v>0</v>
      </c>
      <c r="N726">
        <v>0.50971999999999995</v>
      </c>
      <c r="O726" t="s">
        <v>74</v>
      </c>
      <c r="P726">
        <v>0</v>
      </c>
      <c r="Q726" t="s">
        <v>74</v>
      </c>
      <c r="R726">
        <v>0</v>
      </c>
      <c r="S726" t="s">
        <v>74</v>
      </c>
      <c r="T726">
        <v>0</v>
      </c>
      <c r="U726" t="s">
        <v>74</v>
      </c>
      <c r="V726">
        <v>0</v>
      </c>
      <c r="W726" t="s">
        <v>74</v>
      </c>
      <c r="X726">
        <v>0</v>
      </c>
      <c r="Y726">
        <v>0.50971999999999995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0.02</v>
      </c>
      <c r="AK726" t="s">
        <v>218</v>
      </c>
      <c r="AM726">
        <v>800000</v>
      </c>
      <c r="AN726" t="s">
        <v>76</v>
      </c>
      <c r="AO726">
        <v>4</v>
      </c>
      <c r="AP726">
        <v>0</v>
      </c>
      <c r="AQ726">
        <v>66666.666666666672</v>
      </c>
      <c r="AR726" t="s">
        <v>9</v>
      </c>
      <c r="AS726" t="s">
        <v>78</v>
      </c>
      <c r="AX726" t="s">
        <v>79</v>
      </c>
      <c r="AY726" t="s">
        <v>74</v>
      </c>
      <c r="AZ726">
        <v>0</v>
      </c>
      <c r="BA726" t="s">
        <v>74</v>
      </c>
      <c r="BB726">
        <v>0</v>
      </c>
      <c r="BD726">
        <v>0.12742999999999999</v>
      </c>
      <c r="BE726">
        <v>0</v>
      </c>
    </row>
    <row r="727" spans="1:58" ht="12.75">
      <c r="A727" s="2" t="str">
        <f>HYPERLINK("https://ibp.a2mac1.com/costing(costing:projects/details/8191/part/5383459)","Screws")</f>
        <v>Screws</v>
      </c>
      <c r="B727">
        <v>5383459</v>
      </c>
      <c r="C727">
        <v>5383160</v>
      </c>
      <c r="D727" t="s">
        <v>2445</v>
      </c>
      <c r="E727">
        <v>1.6734899999999999</v>
      </c>
      <c r="F727">
        <v>0</v>
      </c>
      <c r="G727">
        <v>0</v>
      </c>
      <c r="H727">
        <v>0</v>
      </c>
      <c r="I727" t="s">
        <v>74</v>
      </c>
      <c r="J727">
        <v>0</v>
      </c>
      <c r="K727">
        <v>1.6734899999999999</v>
      </c>
      <c r="L727">
        <v>0</v>
      </c>
      <c r="M727">
        <v>0</v>
      </c>
      <c r="N727">
        <v>1.6734899999999999</v>
      </c>
      <c r="O727" t="s">
        <v>74</v>
      </c>
      <c r="P727">
        <v>0</v>
      </c>
      <c r="Q727" t="s">
        <v>74</v>
      </c>
      <c r="R727">
        <v>0</v>
      </c>
      <c r="S727" t="s">
        <v>74</v>
      </c>
      <c r="T727">
        <v>0</v>
      </c>
      <c r="U727" t="s">
        <v>74</v>
      </c>
      <c r="V727">
        <v>0</v>
      </c>
      <c r="W727" t="s">
        <v>74</v>
      </c>
      <c r="X727">
        <v>0</v>
      </c>
      <c r="Y727">
        <v>1.6734899999999999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0.0035999999999999999</v>
      </c>
      <c r="AK727" t="s">
        <v>218</v>
      </c>
      <c r="AM727">
        <v>7800000</v>
      </c>
      <c r="AN727" t="s">
        <v>76</v>
      </c>
      <c r="AO727">
        <v>39</v>
      </c>
      <c r="AP727">
        <v>0</v>
      </c>
      <c r="AQ727">
        <v>650000</v>
      </c>
      <c r="AR727" t="s">
        <v>9</v>
      </c>
      <c r="AS727" t="s">
        <v>78</v>
      </c>
      <c r="AX727" t="s">
        <v>79</v>
      </c>
      <c r="AY727" t="s">
        <v>74</v>
      </c>
      <c r="AZ727">
        <v>0</v>
      </c>
      <c r="BA727" t="s">
        <v>74</v>
      </c>
      <c r="BB727">
        <v>0</v>
      </c>
      <c r="BD727">
        <v>0.042909999999999997</v>
      </c>
      <c r="BE727">
        <v>0</v>
      </c>
    </row>
    <row r="728" spans="1:58" ht="12.75">
      <c r="A728" s="2" t="str">
        <f>HYPERLINK("https://ibp.a2mac1.com/costing(costing:projects/details/8191/part/5383460)","Screws")</f>
        <v>Screws</v>
      </c>
      <c r="B728">
        <v>5383460</v>
      </c>
      <c r="C728">
        <v>5383160</v>
      </c>
      <c r="D728" t="s">
        <v>2446</v>
      </c>
      <c r="E728">
        <v>1.6211199999999999</v>
      </c>
      <c r="F728">
        <v>0</v>
      </c>
      <c r="G728">
        <v>0</v>
      </c>
      <c r="H728">
        <v>0</v>
      </c>
      <c r="I728" t="s">
        <v>74</v>
      </c>
      <c r="J728">
        <v>0</v>
      </c>
      <c r="K728">
        <v>1.6211199999999999</v>
      </c>
      <c r="L728">
        <v>0</v>
      </c>
      <c r="M728">
        <v>0</v>
      </c>
      <c r="N728">
        <v>1.6211199999999999</v>
      </c>
      <c r="O728" t="s">
        <v>74</v>
      </c>
      <c r="P728">
        <v>0</v>
      </c>
      <c r="Q728" t="s">
        <v>74</v>
      </c>
      <c r="R728">
        <v>0</v>
      </c>
      <c r="S728" t="s">
        <v>74</v>
      </c>
      <c r="T728">
        <v>0</v>
      </c>
      <c r="U728" t="s">
        <v>74</v>
      </c>
      <c r="V728">
        <v>0</v>
      </c>
      <c r="W728" t="s">
        <v>74</v>
      </c>
      <c r="X728">
        <v>0</v>
      </c>
      <c r="Y728">
        <v>1.6211199999999999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0.0051000000000000004</v>
      </c>
      <c r="AK728" t="s">
        <v>218</v>
      </c>
      <c r="AM728">
        <v>6400000</v>
      </c>
      <c r="AN728" t="s">
        <v>76</v>
      </c>
      <c r="AO728">
        <v>32</v>
      </c>
      <c r="AP728">
        <v>0</v>
      </c>
      <c r="AQ728">
        <v>533333.33333333337</v>
      </c>
      <c r="AR728" t="s">
        <v>9</v>
      </c>
      <c r="AS728" t="s">
        <v>78</v>
      </c>
      <c r="AX728" t="s">
        <v>79</v>
      </c>
      <c r="AY728" t="s">
        <v>74</v>
      </c>
      <c r="AZ728">
        <v>0</v>
      </c>
      <c r="BA728" t="s">
        <v>74</v>
      </c>
      <c r="BB728">
        <v>0</v>
      </c>
      <c r="BD728">
        <v>0.050659999999999997</v>
      </c>
      <c r="BE728">
        <v>0</v>
      </c>
    </row>
    <row r="729" spans="1:58" ht="12.75">
      <c r="A729" s="2" t="str">
        <f>HYPERLINK("https://ibp.a2mac1.com/costing(costing:projects/details/8191/part/5383462)","Enclosure Top, Dispensed material")</f>
        <v>Enclosure Top, Dispensed material</v>
      </c>
      <c r="B729">
        <v>5383462</v>
      </c>
      <c r="C729">
        <v>5383160</v>
      </c>
      <c r="D729" t="s">
        <v>2447</v>
      </c>
      <c r="E729">
        <v>0.19691</v>
      </c>
      <c r="F729">
        <v>0</v>
      </c>
      <c r="G729">
        <v>0</v>
      </c>
      <c r="H729">
        <v>0</v>
      </c>
      <c r="I729" t="s">
        <v>74</v>
      </c>
      <c r="J729">
        <v>0</v>
      </c>
      <c r="K729">
        <v>0.19691</v>
      </c>
      <c r="L729">
        <v>0</v>
      </c>
      <c r="M729">
        <v>0</v>
      </c>
      <c r="N729">
        <v>0.19691</v>
      </c>
      <c r="O729" t="s">
        <v>74</v>
      </c>
      <c r="P729">
        <v>0</v>
      </c>
      <c r="Q729" t="s">
        <v>74</v>
      </c>
      <c r="R729">
        <v>0</v>
      </c>
      <c r="S729" t="s">
        <v>74</v>
      </c>
      <c r="T729">
        <v>0</v>
      </c>
      <c r="U729" t="s">
        <v>74</v>
      </c>
      <c r="V729">
        <v>0</v>
      </c>
      <c r="W729" t="s">
        <v>74</v>
      </c>
      <c r="X729">
        <v>0</v>
      </c>
      <c r="Y729">
        <v>0.19691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0.08</v>
      </c>
      <c r="AK729" t="s">
        <v>218</v>
      </c>
      <c r="AM729">
        <v>200000</v>
      </c>
      <c r="AN729" t="s">
        <v>76</v>
      </c>
      <c r="AO729">
        <v>1</v>
      </c>
      <c r="AP729">
        <v>0</v>
      </c>
      <c r="AQ729">
        <v>16666.666666666668</v>
      </c>
      <c r="AR729" t="s">
        <v>9</v>
      </c>
      <c r="AS729" t="s">
        <v>78</v>
      </c>
      <c r="AX729" t="s">
        <v>79</v>
      </c>
      <c r="AY729" t="s">
        <v>74</v>
      </c>
      <c r="AZ729">
        <v>0</v>
      </c>
      <c r="BA729" t="s">
        <v>74</v>
      </c>
      <c r="BB729">
        <v>0</v>
      </c>
      <c r="BD729">
        <v>0.19691</v>
      </c>
      <c r="BE729">
        <v>0</v>
      </c>
    </row>
    <row r="730" spans="1:58" ht="12.75">
      <c r="A730" s="2" t="str">
        <f>HYPERLINK("https://ibp.a2mac1.com/costing(costing:projects/details/8191/part/5383463)","Screws")</f>
        <v>Screws</v>
      </c>
      <c r="B730">
        <v>5383463</v>
      </c>
      <c r="C730">
        <v>5383160</v>
      </c>
      <c r="D730" t="s">
        <v>2448</v>
      </c>
      <c r="E730">
        <v>3.5186199999999999</v>
      </c>
      <c r="F730">
        <v>0</v>
      </c>
      <c r="G730">
        <v>0</v>
      </c>
      <c r="H730">
        <v>0</v>
      </c>
      <c r="I730" t="s">
        <v>74</v>
      </c>
      <c r="J730">
        <v>0</v>
      </c>
      <c r="K730">
        <v>3.5186199999999999</v>
      </c>
      <c r="L730">
        <v>0</v>
      </c>
      <c r="M730">
        <v>0</v>
      </c>
      <c r="N730">
        <v>3.5186199999999999</v>
      </c>
      <c r="O730" t="s">
        <v>74</v>
      </c>
      <c r="P730">
        <v>0</v>
      </c>
      <c r="Q730" t="s">
        <v>74</v>
      </c>
      <c r="R730">
        <v>0</v>
      </c>
      <c r="S730" t="s">
        <v>74</v>
      </c>
      <c r="T730">
        <v>0</v>
      </c>
      <c r="U730" t="s">
        <v>74</v>
      </c>
      <c r="V730">
        <v>0</v>
      </c>
      <c r="W730" t="s">
        <v>74</v>
      </c>
      <c r="X730">
        <v>0</v>
      </c>
      <c r="Y730">
        <v>3.5186199999999999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0.0035999999999999999</v>
      </c>
      <c r="AK730" t="s">
        <v>218</v>
      </c>
      <c r="AM730">
        <v>16400000</v>
      </c>
      <c r="AN730" t="s">
        <v>76</v>
      </c>
      <c r="AO730">
        <v>82</v>
      </c>
      <c r="AP730">
        <v>0</v>
      </c>
      <c r="AQ730">
        <v>1366666.6666666667</v>
      </c>
      <c r="AR730" t="s">
        <v>9</v>
      </c>
      <c r="AS730" t="s">
        <v>78</v>
      </c>
      <c r="AX730" t="s">
        <v>79</v>
      </c>
      <c r="AY730" t="s">
        <v>74</v>
      </c>
      <c r="AZ730">
        <v>0</v>
      </c>
      <c r="BA730" t="s">
        <v>74</v>
      </c>
      <c r="BB730">
        <v>0</v>
      </c>
      <c r="BD730">
        <v>0.042909999999999997</v>
      </c>
      <c r="BE730">
        <v>0</v>
      </c>
    </row>
    <row r="731" spans="1:58" ht="12.75">
      <c r="A731" s="2" t="str">
        <f>HYPERLINK("https://ibp.a2mac1.com/costing(costing:projects/details/8191/part/5383464)","Screws")</f>
        <v>Screws</v>
      </c>
      <c r="B731">
        <v>5383464</v>
      </c>
      <c r="C731">
        <v>5383160</v>
      </c>
      <c r="D731" t="s">
        <v>2449</v>
      </c>
      <c r="E731">
        <v>1.5103</v>
      </c>
      <c r="F731">
        <v>0</v>
      </c>
      <c r="G731">
        <v>0</v>
      </c>
      <c r="H731">
        <v>0</v>
      </c>
      <c r="I731" t="s">
        <v>74</v>
      </c>
      <c r="J731">
        <v>0</v>
      </c>
      <c r="K731">
        <v>1.5103</v>
      </c>
      <c r="L731">
        <v>0</v>
      </c>
      <c r="M731">
        <v>0</v>
      </c>
      <c r="N731">
        <v>1.5103</v>
      </c>
      <c r="O731" t="s">
        <v>74</v>
      </c>
      <c r="P731">
        <v>0</v>
      </c>
      <c r="Q731" t="s">
        <v>74</v>
      </c>
      <c r="R731">
        <v>0</v>
      </c>
      <c r="S731" t="s">
        <v>74</v>
      </c>
      <c r="T731">
        <v>0</v>
      </c>
      <c r="U731" t="s">
        <v>74</v>
      </c>
      <c r="V731">
        <v>0</v>
      </c>
      <c r="W731" t="s">
        <v>74</v>
      </c>
      <c r="X731">
        <v>0</v>
      </c>
      <c r="Y731">
        <v>1.5103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0.0086</v>
      </c>
      <c r="AK731" t="s">
        <v>218</v>
      </c>
      <c r="AM731">
        <v>4400000</v>
      </c>
      <c r="AN731" t="s">
        <v>76</v>
      </c>
      <c r="AO731">
        <v>22</v>
      </c>
      <c r="AP731">
        <v>0</v>
      </c>
      <c r="AQ731">
        <v>366666.66666666669</v>
      </c>
      <c r="AR731" t="s">
        <v>9</v>
      </c>
      <c r="AS731" t="s">
        <v>78</v>
      </c>
      <c r="AX731" t="s">
        <v>79</v>
      </c>
      <c r="AY731" t="s">
        <v>74</v>
      </c>
      <c r="AZ731">
        <v>0</v>
      </c>
      <c r="BA731" t="s">
        <v>74</v>
      </c>
      <c r="BB731">
        <v>0</v>
      </c>
      <c r="BD731">
        <v>0.068650000000000003</v>
      </c>
      <c r="BE731">
        <v>0</v>
      </c>
    </row>
    <row r="732" spans="1:58" ht="12.75">
      <c r="A732" s="2" t="str">
        <f>HYPERLINK("https://ibp.a2mac1.com/costing(costing:projects/details/8191/part/5383465)","Screws")</f>
        <v>Screws</v>
      </c>
      <c r="B732">
        <v>5383465</v>
      </c>
      <c r="C732">
        <v>5383160</v>
      </c>
      <c r="D732" t="s">
        <v>2450</v>
      </c>
      <c r="E732">
        <v>1.2521599999999999</v>
      </c>
      <c r="F732">
        <v>0</v>
      </c>
      <c r="G732">
        <v>0</v>
      </c>
      <c r="H732">
        <v>0</v>
      </c>
      <c r="I732" t="s">
        <v>74</v>
      </c>
      <c r="J732">
        <v>0</v>
      </c>
      <c r="K732">
        <v>1.2521599999999999</v>
      </c>
      <c r="L732">
        <v>0</v>
      </c>
      <c r="M732">
        <v>0</v>
      </c>
      <c r="N732">
        <v>1.2521599999999999</v>
      </c>
      <c r="O732" t="s">
        <v>74</v>
      </c>
      <c r="P732">
        <v>0</v>
      </c>
      <c r="Q732" t="s">
        <v>74</v>
      </c>
      <c r="R732">
        <v>0</v>
      </c>
      <c r="S732" t="s">
        <v>74</v>
      </c>
      <c r="T732">
        <v>0</v>
      </c>
      <c r="U732" t="s">
        <v>74</v>
      </c>
      <c r="V732">
        <v>0</v>
      </c>
      <c r="W732" t="s">
        <v>74</v>
      </c>
      <c r="X732">
        <v>0</v>
      </c>
      <c r="Y732">
        <v>1.2521599999999999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0.11600000000000001</v>
      </c>
      <c r="AK732" t="s">
        <v>218</v>
      </c>
      <c r="AM732">
        <v>400000</v>
      </c>
      <c r="AN732" t="s">
        <v>76</v>
      </c>
      <c r="AO732">
        <v>2</v>
      </c>
      <c r="AP732">
        <v>0</v>
      </c>
      <c r="AQ732">
        <v>33333.333333333336</v>
      </c>
      <c r="AR732" t="s">
        <v>9</v>
      </c>
      <c r="AS732" t="s">
        <v>78</v>
      </c>
      <c r="AX732" t="s">
        <v>79</v>
      </c>
      <c r="AY732" t="s">
        <v>74</v>
      </c>
      <c r="AZ732">
        <v>0</v>
      </c>
      <c r="BA732" t="s">
        <v>74</v>
      </c>
      <c r="BB732">
        <v>0</v>
      </c>
      <c r="BD732">
        <v>0.62607999999999997</v>
      </c>
      <c r="BE732">
        <v>0</v>
      </c>
    </row>
    <row r="733" spans="1:58" ht="12.75">
      <c r="A733" s="2" t="str">
        <f>HYPERLINK("https://ibp.a2mac1.com/costing(costing:projects/details/8191/part/5383466)","Screws")</f>
        <v>Screws</v>
      </c>
      <c r="B733">
        <v>5383466</v>
      </c>
      <c r="C733">
        <v>5383160</v>
      </c>
      <c r="D733" t="s">
        <v>2451</v>
      </c>
      <c r="E733">
        <v>0.94932000000000005</v>
      </c>
      <c r="F733">
        <v>0</v>
      </c>
      <c r="G733">
        <v>0</v>
      </c>
      <c r="H733">
        <v>0</v>
      </c>
      <c r="I733" t="s">
        <v>74</v>
      </c>
      <c r="J733">
        <v>0</v>
      </c>
      <c r="K733">
        <v>0.94932000000000005</v>
      </c>
      <c r="L733">
        <v>0</v>
      </c>
      <c r="M733">
        <v>0</v>
      </c>
      <c r="N733">
        <v>0.94932000000000005</v>
      </c>
      <c r="O733" t="s">
        <v>74</v>
      </c>
      <c r="P733">
        <v>0</v>
      </c>
      <c r="Q733" t="s">
        <v>74</v>
      </c>
      <c r="R733">
        <v>0</v>
      </c>
      <c r="S733" t="s">
        <v>74</v>
      </c>
      <c r="T733">
        <v>0</v>
      </c>
      <c r="U733" t="s">
        <v>74</v>
      </c>
      <c r="V733">
        <v>0</v>
      </c>
      <c r="W733" t="s">
        <v>74</v>
      </c>
      <c r="X733">
        <v>0</v>
      </c>
      <c r="Y733">
        <v>0.94932000000000005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0.086999999999999994</v>
      </c>
      <c r="AK733" t="s">
        <v>218</v>
      </c>
      <c r="AM733">
        <v>400000</v>
      </c>
      <c r="AN733" t="s">
        <v>76</v>
      </c>
      <c r="AO733">
        <v>2</v>
      </c>
      <c r="AP733">
        <v>0</v>
      </c>
      <c r="AQ733">
        <v>33333.333333333336</v>
      </c>
      <c r="AR733" t="s">
        <v>9</v>
      </c>
      <c r="AS733" t="s">
        <v>78</v>
      </c>
      <c r="AX733" t="s">
        <v>79</v>
      </c>
      <c r="AY733" t="s">
        <v>74</v>
      </c>
      <c r="AZ733">
        <v>0</v>
      </c>
      <c r="BA733" t="s">
        <v>74</v>
      </c>
      <c r="BB733">
        <v>0</v>
      </c>
      <c r="BD733">
        <v>0.47466000000000003</v>
      </c>
      <c r="BE733">
        <v>0</v>
      </c>
    </row>
    <row r="734" spans="1:58" ht="12.75">
      <c r="A734" s="2" t="str">
        <f>HYPERLINK("https://ibp.a2mac1.com/costing(costing:projects/details/8191/part/5383773)","Material")</f>
        <v>Material</v>
      </c>
      <c r="B734">
        <v>5383773</v>
      </c>
      <c r="C734">
        <v>5383467</v>
      </c>
      <c r="E734">
        <v>68.352000000000004</v>
      </c>
      <c r="F734">
        <v>0</v>
      </c>
      <c r="G734">
        <v>0</v>
      </c>
      <c r="H734">
        <v>0</v>
      </c>
      <c r="I734" t="s">
        <v>74</v>
      </c>
      <c r="J734">
        <v>0</v>
      </c>
      <c r="K734">
        <v>68.352000000000004</v>
      </c>
      <c r="L734">
        <v>0</v>
      </c>
      <c r="M734">
        <v>0</v>
      </c>
      <c r="N734">
        <v>68.352000000000004</v>
      </c>
      <c r="O734" t="s">
        <v>74</v>
      </c>
      <c r="P734">
        <v>0</v>
      </c>
      <c r="Q734" t="s">
        <v>74</v>
      </c>
      <c r="R734">
        <v>0</v>
      </c>
      <c r="S734" t="s">
        <v>74</v>
      </c>
      <c r="T734">
        <v>0</v>
      </c>
      <c r="U734" t="s">
        <v>74</v>
      </c>
      <c r="V734">
        <v>0</v>
      </c>
      <c r="W734" t="s">
        <v>74</v>
      </c>
      <c r="X734">
        <v>0</v>
      </c>
      <c r="Y734">
        <v>68.352000000000004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K734" t="s">
        <v>218</v>
      </c>
      <c r="AM734">
        <v>200000</v>
      </c>
      <c r="AN734" t="s">
        <v>76</v>
      </c>
      <c r="AO734">
        <v>1</v>
      </c>
      <c r="AP734">
        <v>0</v>
      </c>
      <c r="AQ734">
        <v>16666.666666666668</v>
      </c>
      <c r="AR734" t="s">
        <v>9</v>
      </c>
      <c r="AS734" t="s">
        <v>78</v>
      </c>
      <c r="AV734">
        <v>0</v>
      </c>
      <c r="AW734">
        <v>0</v>
      </c>
      <c r="AX734" t="s">
        <v>79</v>
      </c>
      <c r="AY734" t="s">
        <v>74</v>
      </c>
      <c r="AZ734">
        <v>0</v>
      </c>
      <c r="BA734" t="s">
        <v>74</v>
      </c>
      <c r="BB734">
        <v>0</v>
      </c>
      <c r="BD734">
        <v>68.352000000000004</v>
      </c>
      <c r="BE734">
        <v>0</v>
      </c>
    </row>
    <row r="735" spans="1:58" ht="12.75">
      <c r="A735" s="2" t="str">
        <f>HYPERLINK("https://ibp.a2mac1.com/costing(costing:projects/details/8191/part/5383468)","Screws")</f>
        <v>Screws</v>
      </c>
      <c r="B735">
        <v>5383468</v>
      </c>
      <c r="C735">
        <v>5383161</v>
      </c>
      <c r="D735" t="s">
        <v>2458</v>
      </c>
      <c r="E735">
        <v>4.1568399999999999</v>
      </c>
      <c r="F735">
        <v>0</v>
      </c>
      <c r="G735">
        <v>0</v>
      </c>
      <c r="H735">
        <v>0</v>
      </c>
      <c r="I735" t="s">
        <v>74</v>
      </c>
      <c r="J735">
        <v>0</v>
      </c>
      <c r="K735">
        <v>4.1568399999999999</v>
      </c>
      <c r="L735">
        <v>0</v>
      </c>
      <c r="M735">
        <v>0</v>
      </c>
      <c r="N735">
        <v>4.1568399999999999</v>
      </c>
      <c r="O735" t="s">
        <v>74</v>
      </c>
      <c r="P735">
        <v>0</v>
      </c>
      <c r="Q735" t="s">
        <v>74</v>
      </c>
      <c r="R735">
        <v>0</v>
      </c>
      <c r="S735" t="s">
        <v>74</v>
      </c>
      <c r="T735">
        <v>0</v>
      </c>
      <c r="U735" t="s">
        <v>74</v>
      </c>
      <c r="V735">
        <v>0</v>
      </c>
      <c r="W735" t="s">
        <v>74</v>
      </c>
      <c r="X735">
        <v>0</v>
      </c>
      <c r="Y735">
        <v>4.1568399999999999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0.019</v>
      </c>
      <c r="AK735" t="s">
        <v>218</v>
      </c>
      <c r="AM735">
        <v>6800000</v>
      </c>
      <c r="AN735" t="s">
        <v>76</v>
      </c>
      <c r="AO735">
        <v>34</v>
      </c>
      <c r="AP735">
        <v>0</v>
      </c>
      <c r="AQ735">
        <v>566666.66666666663</v>
      </c>
      <c r="AR735" t="s">
        <v>9</v>
      </c>
      <c r="AS735" t="s">
        <v>78</v>
      </c>
      <c r="AX735" t="s">
        <v>79</v>
      </c>
      <c r="AY735" t="s">
        <v>74</v>
      </c>
      <c r="AZ735">
        <v>0</v>
      </c>
      <c r="BA735" t="s">
        <v>74</v>
      </c>
      <c r="BB735">
        <v>0</v>
      </c>
      <c r="BD735">
        <v>0.12225999999999999</v>
      </c>
      <c r="BE735">
        <v>0</v>
      </c>
    </row>
    <row r="736" spans="1:58" ht="12.75">
      <c r="A736" s="2" t="str">
        <f>HYPERLINK("https://ibp.a2mac1.com/costing(costing:projects/details/8191/part/5383469)","Screws")</f>
        <v>Screws</v>
      </c>
      <c r="B736">
        <v>5383469</v>
      </c>
      <c r="C736">
        <v>5383161</v>
      </c>
      <c r="D736" t="s">
        <v>2459</v>
      </c>
      <c r="E736">
        <v>1.1301600000000001</v>
      </c>
      <c r="F736">
        <v>0</v>
      </c>
      <c r="G736">
        <v>0</v>
      </c>
      <c r="H736">
        <v>0</v>
      </c>
      <c r="I736" t="s">
        <v>74</v>
      </c>
      <c r="J736">
        <v>0</v>
      </c>
      <c r="K736">
        <v>1.1301600000000001</v>
      </c>
      <c r="L736">
        <v>0</v>
      </c>
      <c r="M736">
        <v>0</v>
      </c>
      <c r="N736">
        <v>1.1301600000000001</v>
      </c>
      <c r="O736" t="s">
        <v>74</v>
      </c>
      <c r="P736">
        <v>0</v>
      </c>
      <c r="Q736" t="s">
        <v>74</v>
      </c>
      <c r="R736">
        <v>0</v>
      </c>
      <c r="S736" t="s">
        <v>74</v>
      </c>
      <c r="T736">
        <v>0</v>
      </c>
      <c r="U736" t="s">
        <v>74</v>
      </c>
      <c r="V736">
        <v>0</v>
      </c>
      <c r="W736" t="s">
        <v>74</v>
      </c>
      <c r="X736">
        <v>0</v>
      </c>
      <c r="Y736">
        <v>1.1301600000000001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0.05</v>
      </c>
      <c r="AK736" t="s">
        <v>218</v>
      </c>
      <c r="AM736">
        <v>800000</v>
      </c>
      <c r="AN736" t="s">
        <v>76</v>
      </c>
      <c r="AO736">
        <v>4</v>
      </c>
      <c r="AP736">
        <v>0</v>
      </c>
      <c r="AQ736">
        <v>66666.666666666672</v>
      </c>
      <c r="AR736" t="s">
        <v>9</v>
      </c>
      <c r="AS736" t="s">
        <v>78</v>
      </c>
      <c r="AX736" t="s">
        <v>79</v>
      </c>
      <c r="AY736" t="s">
        <v>74</v>
      </c>
      <c r="AZ736">
        <v>0</v>
      </c>
      <c r="BA736" t="s">
        <v>74</v>
      </c>
      <c r="BB736">
        <v>0</v>
      </c>
      <c r="BD736">
        <v>0.28254000000000001</v>
      </c>
      <c r="BE736">
        <v>0</v>
      </c>
    </row>
    <row r="737" spans="1:58" ht="12.75">
      <c r="A737" s="2" t="str">
        <f>HYPERLINK("https://ibp.a2mac1.com/costing(costing:projects/details/8191/part/5383470)","Screws")</f>
        <v>Screws</v>
      </c>
      <c r="B737">
        <v>5383470</v>
      </c>
      <c r="C737">
        <v>5383161</v>
      </c>
      <c r="D737" t="s">
        <v>2460</v>
      </c>
      <c r="E737">
        <v>1.1420999999999999</v>
      </c>
      <c r="F737">
        <v>0</v>
      </c>
      <c r="G737">
        <v>0</v>
      </c>
      <c r="H737">
        <v>0</v>
      </c>
      <c r="I737" t="s">
        <v>74</v>
      </c>
      <c r="J737">
        <v>0</v>
      </c>
      <c r="K737">
        <v>1.1420999999999999</v>
      </c>
      <c r="L737">
        <v>0</v>
      </c>
      <c r="M737">
        <v>0</v>
      </c>
      <c r="N737">
        <v>1.1420999999999999</v>
      </c>
      <c r="O737" t="s">
        <v>74</v>
      </c>
      <c r="P737">
        <v>0</v>
      </c>
      <c r="Q737" t="s">
        <v>74</v>
      </c>
      <c r="R737">
        <v>0</v>
      </c>
      <c r="S737" t="s">
        <v>74</v>
      </c>
      <c r="T737">
        <v>0</v>
      </c>
      <c r="U737" t="s">
        <v>74</v>
      </c>
      <c r="V737">
        <v>0</v>
      </c>
      <c r="W737" t="s">
        <v>74</v>
      </c>
      <c r="X737">
        <v>0</v>
      </c>
      <c r="Y737">
        <v>1.1420999999999999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0.00020000000000000001</v>
      </c>
      <c r="AK737" t="s">
        <v>218</v>
      </c>
      <c r="AM737">
        <v>9000000</v>
      </c>
      <c r="AN737" t="s">
        <v>76</v>
      </c>
      <c r="AO737">
        <v>45</v>
      </c>
      <c r="AP737">
        <v>0</v>
      </c>
      <c r="AQ737">
        <v>750000</v>
      </c>
      <c r="AR737" t="s">
        <v>9</v>
      </c>
      <c r="AS737" t="s">
        <v>78</v>
      </c>
      <c r="AX737" t="s">
        <v>79</v>
      </c>
      <c r="AY737" t="s">
        <v>74</v>
      </c>
      <c r="AZ737">
        <v>0</v>
      </c>
      <c r="BA737" t="s">
        <v>74</v>
      </c>
      <c r="BB737">
        <v>0</v>
      </c>
      <c r="BD737">
        <v>0.02538</v>
      </c>
      <c r="BE737">
        <v>0</v>
      </c>
    </row>
    <row r="738" spans="1:58" ht="12.75">
      <c r="A738" s="2" t="str">
        <f>HYPERLINK("https://ibp.a2mac1.com/costing(costing:projects/details/8191/part/5383471)","Coolant Quick Disconnect")</f>
        <v>Coolant Quick Disconnect</v>
      </c>
      <c r="B738">
        <v>5383471</v>
      </c>
      <c r="C738">
        <v>5383161</v>
      </c>
      <c r="D738" t="s">
        <v>2461</v>
      </c>
      <c r="E738">
        <v>0.81799999999999995</v>
      </c>
      <c r="F738">
        <v>0</v>
      </c>
      <c r="G738">
        <v>0</v>
      </c>
      <c r="H738">
        <v>0</v>
      </c>
      <c r="I738" t="s">
        <v>74</v>
      </c>
      <c r="J738">
        <v>0</v>
      </c>
      <c r="K738">
        <v>0.81799999999999995</v>
      </c>
      <c r="L738">
        <v>0</v>
      </c>
      <c r="M738">
        <v>0</v>
      </c>
      <c r="N738">
        <v>0.81799999999999995</v>
      </c>
      <c r="O738" t="s">
        <v>74</v>
      </c>
      <c r="P738">
        <v>0</v>
      </c>
      <c r="Q738" t="s">
        <v>74</v>
      </c>
      <c r="R738">
        <v>0</v>
      </c>
      <c r="S738" t="s">
        <v>74</v>
      </c>
      <c r="T738">
        <v>0</v>
      </c>
      <c r="U738" t="s">
        <v>74</v>
      </c>
      <c r="V738">
        <v>0</v>
      </c>
      <c r="W738" t="s">
        <v>74</v>
      </c>
      <c r="X738">
        <v>0</v>
      </c>
      <c r="Y738">
        <v>0.81799999999999995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74</v>
      </c>
      <c r="AF738">
        <v>55</v>
      </c>
      <c r="AG738">
        <v>46</v>
      </c>
      <c r="AH738">
        <v>3</v>
      </c>
      <c r="AI738">
        <v>0.021499999999999998</v>
      </c>
      <c r="AK738" t="s">
        <v>2293</v>
      </c>
      <c r="AM738">
        <v>400000</v>
      </c>
      <c r="AN738" t="s">
        <v>76</v>
      </c>
      <c r="AO738">
        <v>2</v>
      </c>
      <c r="AP738">
        <v>0</v>
      </c>
      <c r="AQ738">
        <v>33333.333333333336</v>
      </c>
      <c r="AR738" t="s">
        <v>2462</v>
      </c>
      <c r="AS738" t="s">
        <v>78</v>
      </c>
      <c r="AX738" t="s">
        <v>79</v>
      </c>
      <c r="AY738" t="s">
        <v>74</v>
      </c>
      <c r="AZ738">
        <v>0</v>
      </c>
      <c r="BA738" t="s">
        <v>74</v>
      </c>
      <c r="BB738">
        <v>0</v>
      </c>
      <c r="BD738">
        <v>0.40899999999999997</v>
      </c>
      <c r="BE738">
        <v>0</v>
      </c>
    </row>
    <row r="739" spans="1:58" ht="12.75">
      <c r="A739" s="2" t="str">
        <f>HYPERLINK("https://ibp.a2mac1.com/costing(costing:projects/details/8191/part/5383472)","O-Ring")</f>
        <v>O-Ring</v>
      </c>
      <c r="B739">
        <v>5383472</v>
      </c>
      <c r="C739">
        <v>5383161</v>
      </c>
      <c r="D739" t="s">
        <v>2463</v>
      </c>
      <c r="E739">
        <v>0.0089599999999999992</v>
      </c>
      <c r="F739">
        <v>0</v>
      </c>
      <c r="G739">
        <v>0</v>
      </c>
      <c r="H739">
        <v>0</v>
      </c>
      <c r="I739" t="s">
        <v>74</v>
      </c>
      <c r="J739">
        <v>0</v>
      </c>
      <c r="K739">
        <v>0.0089599999999999992</v>
      </c>
      <c r="L739">
        <v>0</v>
      </c>
      <c r="M739">
        <v>0</v>
      </c>
      <c r="N739">
        <v>0.0089599999999999992</v>
      </c>
      <c r="O739" t="s">
        <v>74</v>
      </c>
      <c r="P739">
        <v>0</v>
      </c>
      <c r="Q739" t="s">
        <v>74</v>
      </c>
      <c r="R739">
        <v>0</v>
      </c>
      <c r="S739" t="s">
        <v>74</v>
      </c>
      <c r="T739">
        <v>0</v>
      </c>
      <c r="U739" t="s">
        <v>74</v>
      </c>
      <c r="V739">
        <v>0</v>
      </c>
      <c r="W739" t="s">
        <v>74</v>
      </c>
      <c r="X739">
        <v>0</v>
      </c>
      <c r="Y739">
        <v>0.0089599999999999992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0.001</v>
      </c>
      <c r="AK739" t="s">
        <v>218</v>
      </c>
      <c r="AM739">
        <v>800000</v>
      </c>
      <c r="AN739" t="s">
        <v>76</v>
      </c>
      <c r="AO739">
        <v>4</v>
      </c>
      <c r="AP739">
        <v>0</v>
      </c>
      <c r="AQ739">
        <v>66666.666666666672</v>
      </c>
      <c r="AR739" t="s">
        <v>9</v>
      </c>
      <c r="AS739" t="s">
        <v>78</v>
      </c>
      <c r="AX739" t="s">
        <v>79</v>
      </c>
      <c r="AY739" t="s">
        <v>74</v>
      </c>
      <c r="AZ739">
        <v>0</v>
      </c>
      <c r="BA739" t="s">
        <v>74</v>
      </c>
      <c r="BB739">
        <v>0</v>
      </c>
      <c r="BD739">
        <v>0.0022399999999999998</v>
      </c>
      <c r="BE739">
        <v>0</v>
      </c>
    </row>
    <row r="740" spans="1:58" ht="12.75">
      <c r="A740" s="2" t="str">
        <f>HYPERLINK("https://ibp.a2mac1.com/costing(costing:projects/details/8191/part/5383473)","Screws")</f>
        <v>Screws</v>
      </c>
      <c r="B740">
        <v>5383473</v>
      </c>
      <c r="C740">
        <v>5383161</v>
      </c>
      <c r="D740" t="s">
        <v>2464</v>
      </c>
      <c r="E740">
        <v>0.17348</v>
      </c>
      <c r="F740">
        <v>0</v>
      </c>
      <c r="G740">
        <v>0</v>
      </c>
      <c r="H740">
        <v>0</v>
      </c>
      <c r="I740" t="s">
        <v>74</v>
      </c>
      <c r="J740">
        <v>0</v>
      </c>
      <c r="K740">
        <v>0.17348</v>
      </c>
      <c r="L740">
        <v>0</v>
      </c>
      <c r="M740">
        <v>0</v>
      </c>
      <c r="N740">
        <v>0.17348</v>
      </c>
      <c r="O740" t="s">
        <v>74</v>
      </c>
      <c r="P740">
        <v>0</v>
      </c>
      <c r="Q740" t="s">
        <v>74</v>
      </c>
      <c r="R740">
        <v>0</v>
      </c>
      <c r="S740" t="s">
        <v>74</v>
      </c>
      <c r="T740">
        <v>0</v>
      </c>
      <c r="U740" t="s">
        <v>74</v>
      </c>
      <c r="V740">
        <v>0</v>
      </c>
      <c r="W740" t="s">
        <v>74</v>
      </c>
      <c r="X740">
        <v>0</v>
      </c>
      <c r="Y740">
        <v>0.17348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0.0037000000000000002</v>
      </c>
      <c r="AK740" t="s">
        <v>218</v>
      </c>
      <c r="AM740">
        <v>800000</v>
      </c>
      <c r="AN740" t="s">
        <v>76</v>
      </c>
      <c r="AO740">
        <v>4</v>
      </c>
      <c r="AP740">
        <v>0</v>
      </c>
      <c r="AQ740">
        <v>66666.666666666672</v>
      </c>
      <c r="AR740" t="s">
        <v>9</v>
      </c>
      <c r="AS740" t="s">
        <v>78</v>
      </c>
      <c r="AX740" t="s">
        <v>79</v>
      </c>
      <c r="AY740" t="s">
        <v>74</v>
      </c>
      <c r="AZ740">
        <v>0</v>
      </c>
      <c r="BA740" t="s">
        <v>74</v>
      </c>
      <c r="BB740">
        <v>0</v>
      </c>
      <c r="BD740">
        <v>0.043369999999999999</v>
      </c>
      <c r="BE740">
        <v>0</v>
      </c>
    </row>
    <row r="741" spans="1:58" ht="12.75">
      <c r="A741" s="2" t="str">
        <f>HYPERLINK("https://ibp.a2mac1.com/costing(costing:projects/details/8191/part/5383474)","Thermal Paste")</f>
        <v>Thermal Paste</v>
      </c>
      <c r="B741">
        <v>5383474</v>
      </c>
      <c r="C741">
        <v>5383161</v>
      </c>
      <c r="D741" t="s">
        <v>2465</v>
      </c>
      <c r="E741">
        <v>75.48</v>
      </c>
      <c r="F741">
        <v>0</v>
      </c>
      <c r="G741">
        <v>0</v>
      </c>
      <c r="H741">
        <v>0</v>
      </c>
      <c r="I741" t="s">
        <v>74</v>
      </c>
      <c r="J741">
        <v>0</v>
      </c>
      <c r="K741">
        <v>75.48</v>
      </c>
      <c r="L741">
        <v>0</v>
      </c>
      <c r="M741">
        <v>0</v>
      </c>
      <c r="N741">
        <v>75.48</v>
      </c>
      <c r="O741" t="s">
        <v>74</v>
      </c>
      <c r="P741">
        <v>0</v>
      </c>
      <c r="Q741" t="s">
        <v>74</v>
      </c>
      <c r="R741">
        <v>0</v>
      </c>
      <c r="S741" t="s">
        <v>74</v>
      </c>
      <c r="T741">
        <v>0</v>
      </c>
      <c r="U741" t="s">
        <v>74</v>
      </c>
      <c r="V741">
        <v>0</v>
      </c>
      <c r="W741" t="s">
        <v>74</v>
      </c>
      <c r="X741">
        <v>0</v>
      </c>
      <c r="Y741">
        <v>75.48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0.629</v>
      </c>
      <c r="AK741" t="s">
        <v>2293</v>
      </c>
      <c r="AM741">
        <v>2400000</v>
      </c>
      <c r="AN741" t="s">
        <v>76</v>
      </c>
      <c r="AO741">
        <v>12</v>
      </c>
      <c r="AP741">
        <v>0</v>
      </c>
      <c r="AQ741">
        <v>200000</v>
      </c>
      <c r="AR741" t="s">
        <v>2466</v>
      </c>
      <c r="AS741" t="s">
        <v>78</v>
      </c>
      <c r="AX741" t="s">
        <v>79</v>
      </c>
      <c r="AY741" t="s">
        <v>74</v>
      </c>
      <c r="AZ741">
        <v>0</v>
      </c>
      <c r="BA741" t="s">
        <v>74</v>
      </c>
      <c r="BB741">
        <v>0</v>
      </c>
      <c r="BD741">
        <v>6.29</v>
      </c>
      <c r="BE741">
        <v>0</v>
      </c>
    </row>
    <row r="742" spans="1:58" ht="12.75">
      <c r="A742" s="2" t="str">
        <f>HYPERLINK("https://ibp.a2mac1.com/costing(costing:projects/details/8191/part/5383475)","Pressure Vent")</f>
        <v>Pressure Vent</v>
      </c>
      <c r="B742">
        <v>5383475</v>
      </c>
      <c r="C742">
        <v>5383162</v>
      </c>
      <c r="D742" t="s">
        <v>2470</v>
      </c>
      <c r="E742">
        <v>0.32728000000000002</v>
      </c>
      <c r="F742">
        <v>0</v>
      </c>
      <c r="G742">
        <v>0</v>
      </c>
      <c r="H742">
        <v>0</v>
      </c>
      <c r="I742" t="s">
        <v>74</v>
      </c>
      <c r="J742">
        <v>0</v>
      </c>
      <c r="K742">
        <v>0.32728000000000002</v>
      </c>
      <c r="L742">
        <v>0</v>
      </c>
      <c r="M742">
        <v>0</v>
      </c>
      <c r="N742">
        <v>0.32728000000000002</v>
      </c>
      <c r="O742" t="s">
        <v>74</v>
      </c>
      <c r="P742">
        <v>0</v>
      </c>
      <c r="Q742" t="s">
        <v>74</v>
      </c>
      <c r="R742">
        <v>0</v>
      </c>
      <c r="S742" t="s">
        <v>74</v>
      </c>
      <c r="T742">
        <v>0</v>
      </c>
      <c r="U742" t="s">
        <v>74</v>
      </c>
      <c r="V742">
        <v>0</v>
      </c>
      <c r="W742" t="s">
        <v>74</v>
      </c>
      <c r="X742">
        <v>0</v>
      </c>
      <c r="Y742">
        <v>0.32728000000000002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0.024</v>
      </c>
      <c r="AK742" t="s">
        <v>2293</v>
      </c>
      <c r="AM742">
        <v>200000</v>
      </c>
      <c r="AN742" t="s">
        <v>76</v>
      </c>
      <c r="AO742">
        <v>1</v>
      </c>
      <c r="AP742">
        <v>0</v>
      </c>
      <c r="AQ742">
        <v>16666.666666666668</v>
      </c>
      <c r="AR742" t="s">
        <v>2471</v>
      </c>
      <c r="AS742" t="s">
        <v>78</v>
      </c>
      <c r="AX742" t="s">
        <v>79</v>
      </c>
      <c r="AY742" t="s">
        <v>74</v>
      </c>
      <c r="AZ742">
        <v>0</v>
      </c>
      <c r="BA742" t="s">
        <v>74</v>
      </c>
      <c r="BB742">
        <v>0</v>
      </c>
      <c r="BD742">
        <v>0.32728000000000002</v>
      </c>
      <c r="BE742">
        <v>0</v>
      </c>
    </row>
    <row r="743" spans="1:58" ht="12.75">
      <c r="A743" s="2" t="str">
        <f>HYPERLINK("https://ibp.a2mac1.com/costing(costing:projects/details/8191/part/5383163)","Front/single Cover Protection")</f>
        <v>Front/single Cover Protection</v>
      </c>
      <c r="B743">
        <v>5383163</v>
      </c>
      <c r="C743">
        <v>5382891</v>
      </c>
      <c r="D743" t="s">
        <v>2481</v>
      </c>
      <c r="E743">
        <v>1.4974254308235293</v>
      </c>
      <c r="F743">
        <v>0</v>
      </c>
      <c r="G743">
        <v>0</v>
      </c>
      <c r="H743">
        <v>0.0075889671708235292</v>
      </c>
      <c r="I743" t="s">
        <v>137</v>
      </c>
      <c r="J743">
        <v>0.052805934588235293</v>
      </c>
      <c r="K743">
        <v>1.5578203325825883</v>
      </c>
      <c r="L743">
        <v>0.24024739179436763</v>
      </c>
      <c r="M743">
        <v>1.4414843507662056</v>
      </c>
      <c r="N743">
        <v>2.999304683348794</v>
      </c>
      <c r="O743" t="s">
        <v>138</v>
      </c>
      <c r="P743">
        <v>0.093469219954955288</v>
      </c>
      <c r="Q743" t="s">
        <v>138</v>
      </c>
      <c r="R743">
        <v>0.086489061045972343</v>
      </c>
      <c r="S743" t="s">
        <v>139</v>
      </c>
      <c r="T743">
        <v>0.35991656200185529</v>
      </c>
      <c r="U743" t="s">
        <v>90</v>
      </c>
      <c r="V743">
        <v>0</v>
      </c>
      <c r="W743" t="s">
        <v>90</v>
      </c>
      <c r="X743">
        <v>0</v>
      </c>
      <c r="Y743">
        <v>3.5391795263515768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1455</v>
      </c>
      <c r="AF743">
        <v>117</v>
      </c>
      <c r="AG743">
        <v>44</v>
      </c>
      <c r="AH743">
        <v>2</v>
      </c>
      <c r="AI743">
        <v>0.63400000000000001</v>
      </c>
      <c r="AK743" t="s">
        <v>2293</v>
      </c>
      <c r="AM743">
        <v>400000</v>
      </c>
      <c r="AN743" t="s">
        <v>76</v>
      </c>
      <c r="AO743">
        <v>2</v>
      </c>
      <c r="AP743">
        <v>0</v>
      </c>
      <c r="AQ743">
        <v>33333.333333333336</v>
      </c>
      <c r="AR743" t="s">
        <v>9</v>
      </c>
      <c r="AS743" t="s">
        <v>78</v>
      </c>
      <c r="AX743" t="s">
        <v>79</v>
      </c>
      <c r="AY743" t="s">
        <v>137</v>
      </c>
      <c r="AZ743">
        <v>0</v>
      </c>
      <c r="BA743" t="s">
        <v>137</v>
      </c>
      <c r="BB743">
        <v>0</v>
      </c>
      <c r="BE743">
        <v>0</v>
      </c>
    </row>
    <row r="744" spans="1:58" ht="12.75">
      <c r="A744" s="2" t="str">
        <f>HYPERLINK("https://ibp.a2mac1.com/costing(costing:projects/details/8191/part/5383164)","Screws")</f>
        <v>Screws</v>
      </c>
      <c r="B744">
        <v>5383164</v>
      </c>
      <c r="C744">
        <v>5382891</v>
      </c>
      <c r="D744" t="s">
        <v>2482</v>
      </c>
      <c r="E744">
        <v>0.44479999999999997</v>
      </c>
      <c r="F744">
        <v>0</v>
      </c>
      <c r="G744">
        <v>0</v>
      </c>
      <c r="H744">
        <v>0</v>
      </c>
      <c r="I744" t="s">
        <v>74</v>
      </c>
      <c r="J744">
        <v>0</v>
      </c>
      <c r="K744">
        <v>0.44479999999999997</v>
      </c>
      <c r="L744">
        <v>0</v>
      </c>
      <c r="M744">
        <v>0</v>
      </c>
      <c r="N744">
        <v>0.44479999999999997</v>
      </c>
      <c r="O744" t="s">
        <v>74</v>
      </c>
      <c r="P744">
        <v>0</v>
      </c>
      <c r="Q744" t="s">
        <v>74</v>
      </c>
      <c r="R744">
        <v>0</v>
      </c>
      <c r="S744" t="s">
        <v>74</v>
      </c>
      <c r="T744">
        <v>0</v>
      </c>
      <c r="U744" t="s">
        <v>74</v>
      </c>
      <c r="V744">
        <v>0</v>
      </c>
      <c r="W744" t="s">
        <v>74</v>
      </c>
      <c r="X744">
        <v>0</v>
      </c>
      <c r="Y744">
        <v>0.44479999999999997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0.0038999999999999998</v>
      </c>
      <c r="AK744" t="s">
        <v>218</v>
      </c>
      <c r="AM744">
        <v>2000000</v>
      </c>
      <c r="AN744" t="s">
        <v>76</v>
      </c>
      <c r="AO744">
        <v>10</v>
      </c>
      <c r="AP744">
        <v>0</v>
      </c>
      <c r="AQ744">
        <v>166666.66666666666</v>
      </c>
      <c r="AR744" t="s">
        <v>9</v>
      </c>
      <c r="AS744" t="s">
        <v>78</v>
      </c>
      <c r="AX744" t="s">
        <v>79</v>
      </c>
      <c r="AY744" t="s">
        <v>74</v>
      </c>
      <c r="AZ744">
        <v>0</v>
      </c>
      <c r="BA744" t="s">
        <v>74</v>
      </c>
      <c r="BB744">
        <v>0</v>
      </c>
      <c r="BD744">
        <v>0.044479999999999999</v>
      </c>
      <c r="BE744">
        <v>0</v>
      </c>
    </row>
    <row r="745" spans="1:58" ht="12.75">
      <c r="A745" s="2" t="str">
        <f>HYPERLINK("https://ibp.a2mac1.com/costing(costing:projects/details/8191/part/5383165)","Screws")</f>
        <v>Screws</v>
      </c>
      <c r="B745">
        <v>5383165</v>
      </c>
      <c r="C745">
        <v>5382891</v>
      </c>
      <c r="D745" t="s">
        <v>2483</v>
      </c>
      <c r="E745">
        <v>0.35709999999999997</v>
      </c>
      <c r="F745">
        <v>0</v>
      </c>
      <c r="G745">
        <v>0</v>
      </c>
      <c r="H745">
        <v>0</v>
      </c>
      <c r="I745" t="s">
        <v>74</v>
      </c>
      <c r="J745">
        <v>0</v>
      </c>
      <c r="K745">
        <v>0.35709999999999997</v>
      </c>
      <c r="L745">
        <v>0</v>
      </c>
      <c r="M745">
        <v>0</v>
      </c>
      <c r="N745">
        <v>0.35709999999999997</v>
      </c>
      <c r="O745" t="s">
        <v>74</v>
      </c>
      <c r="P745">
        <v>0</v>
      </c>
      <c r="Q745" t="s">
        <v>74</v>
      </c>
      <c r="R745">
        <v>0</v>
      </c>
      <c r="S745" t="s">
        <v>74</v>
      </c>
      <c r="T745">
        <v>0</v>
      </c>
      <c r="U745" t="s">
        <v>74</v>
      </c>
      <c r="V745">
        <v>0</v>
      </c>
      <c r="W745" t="s">
        <v>74</v>
      </c>
      <c r="X745">
        <v>0</v>
      </c>
      <c r="Y745">
        <v>0.35709999999999997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0.0022000000000000001</v>
      </c>
      <c r="AK745" t="s">
        <v>218</v>
      </c>
      <c r="AM745">
        <v>2000000</v>
      </c>
      <c r="AN745" t="s">
        <v>76</v>
      </c>
      <c r="AO745">
        <v>10</v>
      </c>
      <c r="AP745">
        <v>0</v>
      </c>
      <c r="AQ745">
        <v>166666.66666666666</v>
      </c>
      <c r="AR745" t="s">
        <v>9</v>
      </c>
      <c r="AS745" t="s">
        <v>78</v>
      </c>
      <c r="AX745" t="s">
        <v>79</v>
      </c>
      <c r="AY745" t="s">
        <v>74</v>
      </c>
      <c r="AZ745">
        <v>0</v>
      </c>
      <c r="BA745" t="s">
        <v>74</v>
      </c>
      <c r="BB745">
        <v>0</v>
      </c>
      <c r="BD745">
        <v>0.035709999999999999</v>
      </c>
      <c r="BE745">
        <v>0</v>
      </c>
    </row>
    <row r="746" spans="1:58" ht="12.75">
      <c r="A746" s="2" t="str">
        <f>HYPERLINK("https://ibp.a2mac1.com/costing(costing:projects/details/8191/part/5383166)","Rear Cover Protection")</f>
        <v>Rear Cover Protection</v>
      </c>
      <c r="B746">
        <v>5383166</v>
      </c>
      <c r="C746">
        <v>5382891</v>
      </c>
      <c r="D746" t="s">
        <v>2484</v>
      </c>
      <c r="E746">
        <v>0.65</v>
      </c>
      <c r="F746">
        <v>0</v>
      </c>
      <c r="G746">
        <v>0</v>
      </c>
      <c r="H746">
        <v>0</v>
      </c>
      <c r="I746" t="s">
        <v>74</v>
      </c>
      <c r="J746">
        <v>0</v>
      </c>
      <c r="K746">
        <v>0.65</v>
      </c>
      <c r="L746">
        <v>0</v>
      </c>
      <c r="M746">
        <v>0</v>
      </c>
      <c r="N746">
        <v>0.65</v>
      </c>
      <c r="O746" t="s">
        <v>74</v>
      </c>
      <c r="P746">
        <v>0</v>
      </c>
      <c r="Q746" t="s">
        <v>74</v>
      </c>
      <c r="R746">
        <v>0</v>
      </c>
      <c r="S746" t="s">
        <v>74</v>
      </c>
      <c r="T746">
        <v>0</v>
      </c>
      <c r="U746" t="s">
        <v>74</v>
      </c>
      <c r="V746">
        <v>0</v>
      </c>
      <c r="W746" t="s">
        <v>74</v>
      </c>
      <c r="X746">
        <v>0</v>
      </c>
      <c r="Y746">
        <v>0.65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305</v>
      </c>
      <c r="AF746">
        <v>102</v>
      </c>
      <c r="AG746">
        <v>46</v>
      </c>
      <c r="AH746">
        <v>2</v>
      </c>
      <c r="AI746">
        <v>0.16400000000000001</v>
      </c>
      <c r="AK746" t="s">
        <v>218</v>
      </c>
      <c r="AM746">
        <v>400000</v>
      </c>
      <c r="AN746" t="s">
        <v>76</v>
      </c>
      <c r="AO746">
        <v>2</v>
      </c>
      <c r="AP746">
        <v>0</v>
      </c>
      <c r="AQ746">
        <v>33333.333333333336</v>
      </c>
      <c r="AR746" t="s">
        <v>9</v>
      </c>
      <c r="AS746" t="s">
        <v>78</v>
      </c>
      <c r="AX746" t="s">
        <v>79</v>
      </c>
      <c r="AY746" t="s">
        <v>74</v>
      </c>
      <c r="AZ746">
        <v>0</v>
      </c>
      <c r="BA746" t="s">
        <v>74</v>
      </c>
      <c r="BB746">
        <v>0</v>
      </c>
      <c r="BD746">
        <v>0.325</v>
      </c>
      <c r="BE746">
        <v>0</v>
      </c>
    </row>
    <row r="747" spans="1:58" ht="12.75">
      <c r="A747" s="2" t="str">
        <f>HYPERLINK("https://ibp.a2mac1.com/costing(costing:projects/details/8191/part/5383167)","Screws")</f>
        <v>Screws</v>
      </c>
      <c r="B747">
        <v>5383167</v>
      </c>
      <c r="C747">
        <v>5382891</v>
      </c>
      <c r="D747" t="s">
        <v>2485</v>
      </c>
      <c r="E747">
        <v>0.26351999999999998</v>
      </c>
      <c r="F747">
        <v>0</v>
      </c>
      <c r="G747">
        <v>0</v>
      </c>
      <c r="H747">
        <v>0</v>
      </c>
      <c r="I747" t="s">
        <v>74</v>
      </c>
      <c r="J747">
        <v>0</v>
      </c>
      <c r="K747">
        <v>0.26351999999999998</v>
      </c>
      <c r="L747">
        <v>0</v>
      </c>
      <c r="M747">
        <v>0</v>
      </c>
      <c r="N747">
        <v>0.26351999999999998</v>
      </c>
      <c r="O747" t="s">
        <v>74</v>
      </c>
      <c r="P747">
        <v>0</v>
      </c>
      <c r="Q747" t="s">
        <v>74</v>
      </c>
      <c r="R747">
        <v>0</v>
      </c>
      <c r="S747" t="s">
        <v>74</v>
      </c>
      <c r="T747">
        <v>0</v>
      </c>
      <c r="U747" t="s">
        <v>74</v>
      </c>
      <c r="V747">
        <v>0</v>
      </c>
      <c r="W747" t="s">
        <v>74</v>
      </c>
      <c r="X747">
        <v>0</v>
      </c>
      <c r="Y747">
        <v>0.26351999999999998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0.0038</v>
      </c>
      <c r="AK747" t="s">
        <v>218</v>
      </c>
      <c r="AM747">
        <v>1200000</v>
      </c>
      <c r="AN747" t="s">
        <v>76</v>
      </c>
      <c r="AO747">
        <v>6</v>
      </c>
      <c r="AP747">
        <v>0</v>
      </c>
      <c r="AQ747">
        <v>100000</v>
      </c>
      <c r="AR747" t="s">
        <v>9</v>
      </c>
      <c r="AS747" t="s">
        <v>78</v>
      </c>
      <c r="AX747" t="s">
        <v>79</v>
      </c>
      <c r="AY747" t="s">
        <v>74</v>
      </c>
      <c r="AZ747">
        <v>0</v>
      </c>
      <c r="BA747" t="s">
        <v>74</v>
      </c>
      <c r="BB747">
        <v>0</v>
      </c>
      <c r="BD747">
        <v>0.043920000000000001</v>
      </c>
      <c r="BE747">
        <v>0</v>
      </c>
    </row>
    <row r="748" spans="1:58" ht="12.75">
      <c r="A748" s="2" t="str">
        <f>HYPERLINK("https://ibp.a2mac1.com/costing(costing:projects/details/8191/part/5383168)","Screws")</f>
        <v>Screws</v>
      </c>
      <c r="B748">
        <v>5383168</v>
      </c>
      <c r="C748">
        <v>5382891</v>
      </c>
      <c r="D748" t="s">
        <v>2486</v>
      </c>
      <c r="E748">
        <v>0.14283999999999999</v>
      </c>
      <c r="F748">
        <v>0</v>
      </c>
      <c r="G748">
        <v>0</v>
      </c>
      <c r="H748">
        <v>0</v>
      </c>
      <c r="I748" t="s">
        <v>74</v>
      </c>
      <c r="J748">
        <v>0</v>
      </c>
      <c r="K748">
        <v>0.14283999999999999</v>
      </c>
      <c r="L748">
        <v>0</v>
      </c>
      <c r="M748">
        <v>0</v>
      </c>
      <c r="N748">
        <v>0.14283999999999999</v>
      </c>
      <c r="O748" t="s">
        <v>74</v>
      </c>
      <c r="P748">
        <v>0</v>
      </c>
      <c r="Q748" t="s">
        <v>74</v>
      </c>
      <c r="R748">
        <v>0</v>
      </c>
      <c r="S748" t="s">
        <v>74</v>
      </c>
      <c r="T748">
        <v>0</v>
      </c>
      <c r="U748" t="s">
        <v>74</v>
      </c>
      <c r="V748">
        <v>0</v>
      </c>
      <c r="W748" t="s">
        <v>74</v>
      </c>
      <c r="X748">
        <v>0</v>
      </c>
      <c r="Y748">
        <v>0.14283999999999999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0.0022000000000000001</v>
      </c>
      <c r="AK748" t="s">
        <v>218</v>
      </c>
      <c r="AM748">
        <v>800000</v>
      </c>
      <c r="AN748" t="s">
        <v>76</v>
      </c>
      <c r="AO748">
        <v>4</v>
      </c>
      <c r="AP748">
        <v>0</v>
      </c>
      <c r="AQ748">
        <v>66666.666666666672</v>
      </c>
      <c r="AR748" t="s">
        <v>9</v>
      </c>
      <c r="AS748" t="s">
        <v>78</v>
      </c>
      <c r="AX748" t="s">
        <v>79</v>
      </c>
      <c r="AY748" t="s">
        <v>74</v>
      </c>
      <c r="AZ748">
        <v>0</v>
      </c>
      <c r="BA748" t="s">
        <v>74</v>
      </c>
      <c r="BB748">
        <v>0</v>
      </c>
      <c r="BD748">
        <v>0.035709999999999999</v>
      </c>
      <c r="BE748">
        <v>0</v>
      </c>
    </row>
    <row r="749" spans="1:58" ht="12.75">
      <c r="A749" s="2" t="str">
        <f>HYPERLINK("https://ibp.a2mac1.com/costing(costing:projects/details/8191/part/5383169)","Screws")</f>
        <v>Screws</v>
      </c>
      <c r="B749">
        <v>5383169</v>
      </c>
      <c r="C749">
        <v>5382891</v>
      </c>
      <c r="D749" t="s">
        <v>2487</v>
      </c>
      <c r="E749">
        <v>0.074560000000000001</v>
      </c>
      <c r="F749">
        <v>0</v>
      </c>
      <c r="G749">
        <v>0</v>
      </c>
      <c r="H749">
        <v>0</v>
      </c>
      <c r="I749" t="s">
        <v>74</v>
      </c>
      <c r="J749">
        <v>0</v>
      </c>
      <c r="K749">
        <v>0.074560000000000001</v>
      </c>
      <c r="L749">
        <v>0</v>
      </c>
      <c r="M749">
        <v>0</v>
      </c>
      <c r="N749">
        <v>0.074560000000000001</v>
      </c>
      <c r="O749" t="s">
        <v>74</v>
      </c>
      <c r="P749">
        <v>0</v>
      </c>
      <c r="Q749" t="s">
        <v>74</v>
      </c>
      <c r="R749">
        <v>0</v>
      </c>
      <c r="S749" t="s">
        <v>74</v>
      </c>
      <c r="T749">
        <v>0</v>
      </c>
      <c r="U749" t="s">
        <v>74</v>
      </c>
      <c r="V749">
        <v>0</v>
      </c>
      <c r="W749" t="s">
        <v>74</v>
      </c>
      <c r="X749">
        <v>0</v>
      </c>
      <c r="Y749">
        <v>0.074560000000000001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0.0025</v>
      </c>
      <c r="AK749" t="s">
        <v>218</v>
      </c>
      <c r="AM749">
        <v>400000</v>
      </c>
      <c r="AN749" t="s">
        <v>76</v>
      </c>
      <c r="AO749">
        <v>2</v>
      </c>
      <c r="AP749">
        <v>0</v>
      </c>
      <c r="AQ749">
        <v>33333.333333333336</v>
      </c>
      <c r="AR749" t="s">
        <v>9</v>
      </c>
      <c r="AS749" t="s">
        <v>78</v>
      </c>
      <c r="AX749" t="s">
        <v>79</v>
      </c>
      <c r="AY749" t="s">
        <v>74</v>
      </c>
      <c r="AZ749">
        <v>0</v>
      </c>
      <c r="BA749" t="s">
        <v>74</v>
      </c>
      <c r="BB749">
        <v>0</v>
      </c>
      <c r="BD749">
        <v>0.037280000000000001</v>
      </c>
      <c r="BE749">
        <v>0</v>
      </c>
    </row>
    <row r="750" spans="1:58" ht="12.75">
      <c r="A750" s="2" t="str">
        <f>HYPERLINK("https://ibp.a2mac1.com/costing(costing:projects/details/8191/part/5383476)","Cell")</f>
        <v>Cell</v>
      </c>
      <c r="B750">
        <v>5383476</v>
      </c>
      <c r="C750">
        <v>5383170</v>
      </c>
      <c r="D750" t="s">
        <v>2491</v>
      </c>
      <c r="E750">
        <v>24.75</v>
      </c>
      <c r="F750">
        <v>0</v>
      </c>
      <c r="G750">
        <v>0</v>
      </c>
      <c r="H750">
        <v>0</v>
      </c>
      <c r="I750" t="s">
        <v>74</v>
      </c>
      <c r="J750">
        <v>0</v>
      </c>
      <c r="K750">
        <v>24.75</v>
      </c>
      <c r="L750">
        <v>0</v>
      </c>
      <c r="M750">
        <v>0</v>
      </c>
      <c r="N750">
        <v>24.75</v>
      </c>
      <c r="O750" t="s">
        <v>74</v>
      </c>
      <c r="P750">
        <v>0</v>
      </c>
      <c r="Q750" t="s">
        <v>74</v>
      </c>
      <c r="R750">
        <v>0</v>
      </c>
      <c r="S750" t="s">
        <v>74</v>
      </c>
      <c r="T750">
        <v>0</v>
      </c>
      <c r="U750" t="s">
        <v>74</v>
      </c>
      <c r="V750">
        <v>0</v>
      </c>
      <c r="W750" t="s">
        <v>74</v>
      </c>
      <c r="X750">
        <v>0</v>
      </c>
      <c r="Y750">
        <v>24.75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570</v>
      </c>
      <c r="AF750">
        <v>100</v>
      </c>
      <c r="AG750">
        <v>9</v>
      </c>
      <c r="AH750">
        <v>0</v>
      </c>
      <c r="AI750">
        <v>1.077</v>
      </c>
      <c r="AK750" t="s">
        <v>2492</v>
      </c>
      <c r="AL750" t="s">
        <v>2493</v>
      </c>
      <c r="AM750">
        <v>57600000</v>
      </c>
      <c r="AN750" t="s">
        <v>76</v>
      </c>
      <c r="AO750">
        <v>1</v>
      </c>
      <c r="AP750">
        <v>0</v>
      </c>
      <c r="AQ750">
        <v>4800000</v>
      </c>
      <c r="AR750" t="s">
        <v>2494</v>
      </c>
      <c r="AS750" t="s">
        <v>78</v>
      </c>
      <c r="AX750" t="s">
        <v>79</v>
      </c>
      <c r="AY750" t="s">
        <v>74</v>
      </c>
      <c r="AZ750">
        <v>0</v>
      </c>
      <c r="BA750" t="s">
        <v>74</v>
      </c>
      <c r="BB750">
        <v>0</v>
      </c>
      <c r="BD750">
        <v>24.75</v>
      </c>
      <c r="BE750">
        <v>0</v>
      </c>
    </row>
    <row r="751" spans="1:58" ht="12.75">
      <c r="A751" s="2" t="str">
        <f>HYPERLINK("https://ibp.a2mac1.com/costing(costing:projects/details/8191/part/5383171)"," Expansion bottle")</f>
        <v xml:space="preserve"> Expansion bottle</v>
      </c>
      <c r="B751">
        <v>5383171</v>
      </c>
      <c r="C751">
        <v>5382906</v>
      </c>
      <c r="D751" t="s">
        <v>2502</v>
      </c>
      <c r="E751">
        <v>3</v>
      </c>
      <c r="F751">
        <v>0</v>
      </c>
      <c r="G751">
        <v>0</v>
      </c>
      <c r="H751">
        <v>0</v>
      </c>
      <c r="I751" t="s">
        <v>74</v>
      </c>
      <c r="J751">
        <v>0</v>
      </c>
      <c r="K751">
        <v>3</v>
      </c>
      <c r="L751">
        <v>0</v>
      </c>
      <c r="M751">
        <v>0</v>
      </c>
      <c r="N751">
        <v>3</v>
      </c>
      <c r="O751" t="s">
        <v>74</v>
      </c>
      <c r="P751">
        <v>0</v>
      </c>
      <c r="Q751" t="s">
        <v>74</v>
      </c>
      <c r="R751">
        <v>0</v>
      </c>
      <c r="S751" t="s">
        <v>74</v>
      </c>
      <c r="T751">
        <v>0</v>
      </c>
      <c r="U751" t="s">
        <v>74</v>
      </c>
      <c r="V751">
        <v>0</v>
      </c>
      <c r="W751" t="s">
        <v>74</v>
      </c>
      <c r="X751">
        <v>0</v>
      </c>
      <c r="Y751">
        <v>3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234</v>
      </c>
      <c r="AF751">
        <v>187</v>
      </c>
      <c r="AG751">
        <v>203</v>
      </c>
      <c r="AH751">
        <v>0</v>
      </c>
      <c r="AI751">
        <v>0.502</v>
      </c>
      <c r="AK751" t="s">
        <v>75</v>
      </c>
      <c r="AM751">
        <v>200000</v>
      </c>
      <c r="AN751" t="s">
        <v>76</v>
      </c>
      <c r="AO751">
        <v>1</v>
      </c>
      <c r="AP751">
        <v>0</v>
      </c>
      <c r="AQ751">
        <v>16666.666666666668</v>
      </c>
      <c r="AR751" t="s">
        <v>2503</v>
      </c>
      <c r="AS751" t="s">
        <v>78</v>
      </c>
      <c r="AX751" t="s">
        <v>79</v>
      </c>
      <c r="AY751" t="s">
        <v>74</v>
      </c>
      <c r="AZ751">
        <v>0</v>
      </c>
      <c r="BA751" t="s">
        <v>74</v>
      </c>
      <c r="BB751">
        <v>0</v>
      </c>
      <c r="BD751">
        <v>3</v>
      </c>
      <c r="BE751">
        <v>0</v>
      </c>
    </row>
    <row r="752" spans="1:58" ht="12.75">
      <c r="A752" s="2" t="str">
        <f>HYPERLINK("https://ibp.a2mac1.com/costing(costing:projects/details/8191/part/5383172)"," Expansion Tank Cap")</f>
        <v xml:space="preserve"> Expansion Tank Cap</v>
      </c>
      <c r="B752">
        <v>5383172</v>
      </c>
      <c r="C752">
        <v>5382906</v>
      </c>
      <c r="D752" t="s">
        <v>2504</v>
      </c>
      <c r="E752">
        <v>1.25</v>
      </c>
      <c r="F752">
        <v>0</v>
      </c>
      <c r="G752">
        <v>0</v>
      </c>
      <c r="H752">
        <v>0</v>
      </c>
      <c r="I752" t="s">
        <v>74</v>
      </c>
      <c r="J752">
        <v>0</v>
      </c>
      <c r="K752">
        <v>1.25</v>
      </c>
      <c r="L752">
        <v>0</v>
      </c>
      <c r="M752">
        <v>0</v>
      </c>
      <c r="N752">
        <v>1.25</v>
      </c>
      <c r="O752" t="s">
        <v>74</v>
      </c>
      <c r="P752">
        <v>0</v>
      </c>
      <c r="Q752" t="s">
        <v>74</v>
      </c>
      <c r="R752">
        <v>0</v>
      </c>
      <c r="S752" t="s">
        <v>74</v>
      </c>
      <c r="T752">
        <v>0</v>
      </c>
      <c r="U752" t="s">
        <v>74</v>
      </c>
      <c r="V752">
        <v>0</v>
      </c>
      <c r="W752" t="s">
        <v>74</v>
      </c>
      <c r="X752">
        <v>0</v>
      </c>
      <c r="Y752">
        <v>1.25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85</v>
      </c>
      <c r="AF752">
        <v>85</v>
      </c>
      <c r="AG752">
        <v>29</v>
      </c>
      <c r="AH752">
        <v>0</v>
      </c>
      <c r="AI752">
        <v>0.062</v>
      </c>
      <c r="AK752" t="s">
        <v>75</v>
      </c>
      <c r="AM752">
        <v>200000</v>
      </c>
      <c r="AN752" t="s">
        <v>76</v>
      </c>
      <c r="AO752">
        <v>1</v>
      </c>
      <c r="AP752">
        <v>0</v>
      </c>
      <c r="AQ752">
        <v>16666.666666666668</v>
      </c>
      <c r="AR752" t="s">
        <v>2505</v>
      </c>
      <c r="AS752" t="s">
        <v>78</v>
      </c>
      <c r="AX752" t="s">
        <v>79</v>
      </c>
      <c r="AY752" t="s">
        <v>74</v>
      </c>
      <c r="AZ752">
        <v>0</v>
      </c>
      <c r="BA752" t="s">
        <v>74</v>
      </c>
      <c r="BB752">
        <v>0</v>
      </c>
      <c r="BD752">
        <v>1.25</v>
      </c>
      <c r="BE752">
        <v>0</v>
      </c>
    </row>
    <row r="753" spans="1:58" ht="12.75">
      <c r="A753" s="2" t="str">
        <f>HYPERLINK("https://ibp.a2mac1.com/costing(costing:projects/details/8191/part/5383173)"," Exchanger With Air Conditioning")</f>
        <v xml:space="preserve"> Exchanger With Air Conditioning</v>
      </c>
      <c r="B753">
        <v>5383173</v>
      </c>
      <c r="C753">
        <v>5382907</v>
      </c>
      <c r="D753" t="s">
        <v>2513</v>
      </c>
      <c r="E753">
        <v>2.0100169711111113</v>
      </c>
      <c r="F753">
        <v>0</v>
      </c>
      <c r="G753">
        <v>0</v>
      </c>
      <c r="H753">
        <v>0.010485243168888889</v>
      </c>
      <c r="I753" t="s">
        <v>137</v>
      </c>
      <c r="J753">
        <v>0.072526385555555559</v>
      </c>
      <c r="K753">
        <v>2.0930285998355553</v>
      </c>
      <c r="L753">
        <v>1.0521885619798013</v>
      </c>
      <c r="M753">
        <v>3.6826599669293048</v>
      </c>
      <c r="N753">
        <v>5.7756885667648605</v>
      </c>
      <c r="O753" t="s">
        <v>138</v>
      </c>
      <c r="P753">
        <v>0.12558171599013335</v>
      </c>
      <c r="Q753" t="s">
        <v>138</v>
      </c>
      <c r="R753">
        <v>0.22095959801575829</v>
      </c>
      <c r="S753" t="s">
        <v>139</v>
      </c>
      <c r="T753">
        <v>0.69308262801178322</v>
      </c>
      <c r="U753" t="s">
        <v>90</v>
      </c>
      <c r="V753">
        <v>0</v>
      </c>
      <c r="W753" t="s">
        <v>90</v>
      </c>
      <c r="X753">
        <v>0</v>
      </c>
      <c r="Y753">
        <v>6.8153125087825348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102</v>
      </c>
      <c r="AF753">
        <v>92</v>
      </c>
      <c r="AG753">
        <v>102</v>
      </c>
      <c r="AH753">
        <v>0</v>
      </c>
      <c r="AI753">
        <v>0.46</v>
      </c>
      <c r="AK753" t="s">
        <v>213</v>
      </c>
      <c r="AM753">
        <v>200000</v>
      </c>
      <c r="AN753" t="s">
        <v>76</v>
      </c>
      <c r="AO753">
        <v>1</v>
      </c>
      <c r="AP753">
        <v>0</v>
      </c>
      <c r="AQ753">
        <v>16666.666666666668</v>
      </c>
      <c r="AR753" t="s">
        <v>2514</v>
      </c>
      <c r="AS753" t="s">
        <v>78</v>
      </c>
      <c r="AX753" t="s">
        <v>79</v>
      </c>
      <c r="AY753" t="s">
        <v>137</v>
      </c>
      <c r="AZ753">
        <v>0</v>
      </c>
      <c r="BA753" t="s">
        <v>137</v>
      </c>
      <c r="BB753">
        <v>0</v>
      </c>
      <c r="BE753">
        <v>0</v>
      </c>
    </row>
    <row r="754" spans="1:58" ht="12.75">
      <c r="A754" s="2" t="str">
        <f>HYPERLINK("https://ibp.a2mac1.com/costing(costing:projects/details/8191/part/5383174)"," Exhanger with climatisation support")</f>
        <v xml:space="preserve"> Exhanger with climatisation support</v>
      </c>
      <c r="B754">
        <v>5383174</v>
      </c>
      <c r="C754">
        <v>5382907</v>
      </c>
      <c r="D754" t="s">
        <v>2515</v>
      </c>
      <c r="E754">
        <v>0.67</v>
      </c>
      <c r="F754">
        <v>0</v>
      </c>
      <c r="G754">
        <v>0</v>
      </c>
      <c r="H754">
        <v>0</v>
      </c>
      <c r="I754" t="s">
        <v>74</v>
      </c>
      <c r="J754">
        <v>0</v>
      </c>
      <c r="K754">
        <v>0.67</v>
      </c>
      <c r="L754">
        <v>0</v>
      </c>
      <c r="M754">
        <v>0</v>
      </c>
      <c r="N754">
        <v>0.67</v>
      </c>
      <c r="O754" t="s">
        <v>74</v>
      </c>
      <c r="P754">
        <v>0</v>
      </c>
      <c r="Q754" t="s">
        <v>74</v>
      </c>
      <c r="R754">
        <v>0</v>
      </c>
      <c r="S754" t="s">
        <v>74</v>
      </c>
      <c r="T754">
        <v>0</v>
      </c>
      <c r="U754" t="s">
        <v>74</v>
      </c>
      <c r="V754">
        <v>0</v>
      </c>
      <c r="W754" t="s">
        <v>74</v>
      </c>
      <c r="X754">
        <v>0</v>
      </c>
      <c r="Y754">
        <v>0.67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275</v>
      </c>
      <c r="AF754">
        <v>160</v>
      </c>
      <c r="AG754">
        <v>114</v>
      </c>
      <c r="AH754">
        <v>0</v>
      </c>
      <c r="AI754">
        <v>0.505</v>
      </c>
      <c r="AK754" t="s">
        <v>213</v>
      </c>
      <c r="AM754">
        <v>200000</v>
      </c>
      <c r="AN754" t="s">
        <v>76</v>
      </c>
      <c r="AO754">
        <v>1</v>
      </c>
      <c r="AP754">
        <v>0</v>
      </c>
      <c r="AQ754">
        <v>16666.666666666668</v>
      </c>
      <c r="AR754" t="s">
        <v>2516</v>
      </c>
      <c r="AS754" t="s">
        <v>78</v>
      </c>
      <c r="AX754" t="s">
        <v>79</v>
      </c>
      <c r="AY754" t="s">
        <v>74</v>
      </c>
      <c r="AZ754">
        <v>0</v>
      </c>
      <c r="BA754" t="s">
        <v>74</v>
      </c>
      <c r="BB754">
        <v>0</v>
      </c>
      <c r="BD754">
        <v>0.67</v>
      </c>
      <c r="BE754">
        <v>0</v>
      </c>
    </row>
    <row r="755" spans="1:58" ht="12.75">
      <c r="A755" s="2" t="str">
        <f>HYPERLINK("https://ibp.a2mac1.com/costing(costing:projects/details/8191/part/5383175)"," IN pipe")</f>
        <v xml:space="preserve"> IN pipe</v>
      </c>
      <c r="B755">
        <v>5383175</v>
      </c>
      <c r="C755">
        <v>5382907</v>
      </c>
      <c r="D755" t="s">
        <v>2517</v>
      </c>
      <c r="E755">
        <v>1.60</v>
      </c>
      <c r="F755">
        <v>0</v>
      </c>
      <c r="G755">
        <v>0</v>
      </c>
      <c r="H755">
        <v>0</v>
      </c>
      <c r="I755" t="s">
        <v>74</v>
      </c>
      <c r="J755">
        <v>0</v>
      </c>
      <c r="K755">
        <v>1.60</v>
      </c>
      <c r="L755">
        <v>0</v>
      </c>
      <c r="M755">
        <v>0</v>
      </c>
      <c r="N755">
        <v>1.60</v>
      </c>
      <c r="O755" t="s">
        <v>74</v>
      </c>
      <c r="P755">
        <v>0</v>
      </c>
      <c r="Q755" t="s">
        <v>74</v>
      </c>
      <c r="R755">
        <v>0</v>
      </c>
      <c r="S755" t="s">
        <v>74</v>
      </c>
      <c r="T755">
        <v>0</v>
      </c>
      <c r="U755" t="s">
        <v>74</v>
      </c>
      <c r="V755">
        <v>0</v>
      </c>
      <c r="W755" t="s">
        <v>74</v>
      </c>
      <c r="X755">
        <v>0</v>
      </c>
      <c r="Y755">
        <v>1.60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0.13900000000000001</v>
      </c>
      <c r="AK755" t="s">
        <v>75</v>
      </c>
      <c r="AM755">
        <v>200000</v>
      </c>
      <c r="AN755" t="s">
        <v>76</v>
      </c>
      <c r="AO755">
        <v>1</v>
      </c>
      <c r="AP755">
        <v>0</v>
      </c>
      <c r="AQ755">
        <v>16666.666666666668</v>
      </c>
      <c r="AR755" t="s">
        <v>2518</v>
      </c>
      <c r="AS755" t="s">
        <v>78</v>
      </c>
      <c r="AX755" t="s">
        <v>79</v>
      </c>
      <c r="AY755" t="s">
        <v>74</v>
      </c>
      <c r="AZ755">
        <v>0</v>
      </c>
      <c r="BA755" t="s">
        <v>74</v>
      </c>
      <c r="BB755">
        <v>0</v>
      </c>
      <c r="BD755">
        <v>1.60</v>
      </c>
      <c r="BE755">
        <v>0</v>
      </c>
    </row>
    <row r="756" spans="1:58" ht="12.75">
      <c r="A756" s="2" t="str">
        <f>HYPERLINK("https://ibp.a2mac1.com/costing(costing:projects/details/8191/part/5383176)"," Return pipe")</f>
        <v xml:space="preserve"> Return pipe</v>
      </c>
      <c r="B756">
        <v>5383176</v>
      </c>
      <c r="C756">
        <v>5382907</v>
      </c>
      <c r="D756" t="s">
        <v>2519</v>
      </c>
      <c r="E756">
        <v>1.48</v>
      </c>
      <c r="F756">
        <v>0</v>
      </c>
      <c r="G756">
        <v>0</v>
      </c>
      <c r="H756">
        <v>0</v>
      </c>
      <c r="I756" t="s">
        <v>74</v>
      </c>
      <c r="J756">
        <v>0</v>
      </c>
      <c r="K756">
        <v>1.48</v>
      </c>
      <c r="L756">
        <v>0</v>
      </c>
      <c r="M756">
        <v>0</v>
      </c>
      <c r="N756">
        <v>1.48</v>
      </c>
      <c r="O756" t="s">
        <v>74</v>
      </c>
      <c r="P756">
        <v>0</v>
      </c>
      <c r="Q756" t="s">
        <v>74</v>
      </c>
      <c r="R756">
        <v>0</v>
      </c>
      <c r="S756" t="s">
        <v>74</v>
      </c>
      <c r="T756">
        <v>0</v>
      </c>
      <c r="U756" t="s">
        <v>74</v>
      </c>
      <c r="V756">
        <v>0</v>
      </c>
      <c r="W756" t="s">
        <v>74</v>
      </c>
      <c r="X756">
        <v>0</v>
      </c>
      <c r="Y756">
        <v>1.48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0.126</v>
      </c>
      <c r="AK756" t="s">
        <v>75</v>
      </c>
      <c r="AM756">
        <v>200000</v>
      </c>
      <c r="AN756" t="s">
        <v>76</v>
      </c>
      <c r="AO756">
        <v>1</v>
      </c>
      <c r="AP756">
        <v>0</v>
      </c>
      <c r="AQ756">
        <v>16666.666666666668</v>
      </c>
      <c r="AR756" t="s">
        <v>2520</v>
      </c>
      <c r="AS756" t="s">
        <v>78</v>
      </c>
      <c r="AX756" t="s">
        <v>79</v>
      </c>
      <c r="AY756" t="s">
        <v>74</v>
      </c>
      <c r="AZ756">
        <v>0</v>
      </c>
      <c r="BA756" t="s">
        <v>74</v>
      </c>
      <c r="BB756">
        <v>0</v>
      </c>
      <c r="BD756">
        <v>1.48</v>
      </c>
      <c r="BE756">
        <v>0</v>
      </c>
    </row>
    <row r="757" spans="1:58" ht="12.75">
      <c r="A757" s="2" t="str">
        <f>HYPERLINK("https://ibp.a2mac1.com/costing(costing:projects/details/8191/part/5383177)"," Expansion bottle pipe return")</f>
        <v xml:space="preserve"> Expansion bottle pipe return</v>
      </c>
      <c r="B757">
        <v>5383177</v>
      </c>
      <c r="C757">
        <v>5382907</v>
      </c>
      <c r="D757" t="s">
        <v>2521</v>
      </c>
      <c r="E757">
        <v>0.96</v>
      </c>
      <c r="F757">
        <v>0</v>
      </c>
      <c r="G757">
        <v>0</v>
      </c>
      <c r="H757">
        <v>0</v>
      </c>
      <c r="I757" t="s">
        <v>74</v>
      </c>
      <c r="J757">
        <v>0</v>
      </c>
      <c r="K757">
        <v>0.96</v>
      </c>
      <c r="L757">
        <v>0</v>
      </c>
      <c r="M757">
        <v>0</v>
      </c>
      <c r="N757">
        <v>0.96</v>
      </c>
      <c r="O757" t="s">
        <v>74</v>
      </c>
      <c r="P757">
        <v>0</v>
      </c>
      <c r="Q757" t="s">
        <v>74</v>
      </c>
      <c r="R757">
        <v>0</v>
      </c>
      <c r="S757" t="s">
        <v>74</v>
      </c>
      <c r="T757">
        <v>0</v>
      </c>
      <c r="U757" t="s">
        <v>74</v>
      </c>
      <c r="V757">
        <v>0</v>
      </c>
      <c r="W757" t="s">
        <v>74</v>
      </c>
      <c r="X757">
        <v>0</v>
      </c>
      <c r="Y757">
        <v>0.96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0.069000000000000006</v>
      </c>
      <c r="AK757" t="s">
        <v>75</v>
      </c>
      <c r="AM757">
        <v>200000</v>
      </c>
      <c r="AN757" t="s">
        <v>76</v>
      </c>
      <c r="AO757">
        <v>1</v>
      </c>
      <c r="AP757">
        <v>0</v>
      </c>
      <c r="AQ757">
        <v>16666.666666666668</v>
      </c>
      <c r="AR757" t="s">
        <v>2522</v>
      </c>
      <c r="AS757" t="s">
        <v>78</v>
      </c>
      <c r="AX757" t="s">
        <v>79</v>
      </c>
      <c r="AY757" t="s">
        <v>74</v>
      </c>
      <c r="AZ757">
        <v>0</v>
      </c>
      <c r="BA757" t="s">
        <v>74</v>
      </c>
      <c r="BB757">
        <v>0</v>
      </c>
      <c r="BD757">
        <v>0.96</v>
      </c>
      <c r="BE757">
        <v>0</v>
      </c>
    </row>
    <row r="758" spans="1:58" ht="12.75">
      <c r="A758" s="2" t="str">
        <f>HYPERLINK("https://ibp.a2mac1.com/costing(costing:projects/details/8191/part/5383178)"," Set of Pipes")</f>
        <v xml:space="preserve"> Set of Pipes</v>
      </c>
      <c r="B758">
        <v>5383178</v>
      </c>
      <c r="C758">
        <v>5382907</v>
      </c>
      <c r="D758" t="s">
        <v>2523</v>
      </c>
      <c r="E758">
        <v>3.29</v>
      </c>
      <c r="F758">
        <v>0</v>
      </c>
      <c r="G758">
        <v>0</v>
      </c>
      <c r="H758">
        <v>0</v>
      </c>
      <c r="I758" t="s">
        <v>74</v>
      </c>
      <c r="J758">
        <v>0</v>
      </c>
      <c r="K758">
        <v>3.29</v>
      </c>
      <c r="L758">
        <v>0</v>
      </c>
      <c r="M758">
        <v>0</v>
      </c>
      <c r="N758">
        <v>3.29</v>
      </c>
      <c r="O758" t="s">
        <v>74</v>
      </c>
      <c r="P758">
        <v>0</v>
      </c>
      <c r="Q758" t="s">
        <v>74</v>
      </c>
      <c r="R758">
        <v>0</v>
      </c>
      <c r="S758" t="s">
        <v>74</v>
      </c>
      <c r="T758">
        <v>0</v>
      </c>
      <c r="U758" t="s">
        <v>74</v>
      </c>
      <c r="V758">
        <v>0</v>
      </c>
      <c r="W758" t="s">
        <v>74</v>
      </c>
      <c r="X758">
        <v>0</v>
      </c>
      <c r="Y758">
        <v>3.29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0.32600000000000001</v>
      </c>
      <c r="AK758" t="s">
        <v>213</v>
      </c>
      <c r="AM758">
        <v>200000</v>
      </c>
      <c r="AN758" t="s">
        <v>76</v>
      </c>
      <c r="AO758">
        <v>1</v>
      </c>
      <c r="AP758">
        <v>0</v>
      </c>
      <c r="AQ758">
        <v>16666.666666666668</v>
      </c>
      <c r="AR758" t="s">
        <v>2524</v>
      </c>
      <c r="AS758" t="s">
        <v>78</v>
      </c>
      <c r="AX758" t="s">
        <v>79</v>
      </c>
      <c r="AY758" t="s">
        <v>74</v>
      </c>
      <c r="AZ758">
        <v>0</v>
      </c>
      <c r="BA758" t="s">
        <v>74</v>
      </c>
      <c r="BB758">
        <v>0</v>
      </c>
      <c r="BD758">
        <v>3.29</v>
      </c>
      <c r="BE758">
        <v>0</v>
      </c>
    </row>
    <row r="759" spans="1:58" ht="12.75">
      <c r="A759" s="2" t="str">
        <f>HYPERLINK("https://ibp.a2mac1.com/costing(costing:projects/details/8191/part/5383179)"," Return pipe heating / pumpe auxiliary")</f>
        <v xml:space="preserve"> Return pipe heating / pumpe auxiliary</v>
      </c>
      <c r="B759">
        <v>5383179</v>
      </c>
      <c r="C759">
        <v>5382907</v>
      </c>
      <c r="D759" t="s">
        <v>2525</v>
      </c>
      <c r="E759">
        <v>2.66</v>
      </c>
      <c r="F759">
        <v>0</v>
      </c>
      <c r="G759">
        <v>0</v>
      </c>
      <c r="H759">
        <v>0</v>
      </c>
      <c r="I759" t="s">
        <v>74</v>
      </c>
      <c r="J759">
        <v>0</v>
      </c>
      <c r="K759">
        <v>2.66</v>
      </c>
      <c r="L759">
        <v>0</v>
      </c>
      <c r="M759">
        <v>0</v>
      </c>
      <c r="N759">
        <v>2.66</v>
      </c>
      <c r="O759" t="s">
        <v>74</v>
      </c>
      <c r="P759">
        <v>0</v>
      </c>
      <c r="Q759" t="s">
        <v>74</v>
      </c>
      <c r="R759">
        <v>0</v>
      </c>
      <c r="S759" t="s">
        <v>74</v>
      </c>
      <c r="T759">
        <v>0</v>
      </c>
      <c r="U759" t="s">
        <v>74</v>
      </c>
      <c r="V759">
        <v>0</v>
      </c>
      <c r="W759" t="s">
        <v>74</v>
      </c>
      <c r="X759">
        <v>0</v>
      </c>
      <c r="Y759">
        <v>2.66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0.25600000000000001</v>
      </c>
      <c r="AK759" t="s">
        <v>75</v>
      </c>
      <c r="AM759">
        <v>200000</v>
      </c>
      <c r="AN759" t="s">
        <v>76</v>
      </c>
      <c r="AO759">
        <v>1</v>
      </c>
      <c r="AP759">
        <v>0</v>
      </c>
      <c r="AQ759">
        <v>16666.666666666668</v>
      </c>
      <c r="AR759" t="s">
        <v>2526</v>
      </c>
      <c r="AS759" t="s">
        <v>78</v>
      </c>
      <c r="AX759" t="s">
        <v>79</v>
      </c>
      <c r="AY759" t="s">
        <v>74</v>
      </c>
      <c r="AZ759">
        <v>0</v>
      </c>
      <c r="BA759" t="s">
        <v>74</v>
      </c>
      <c r="BB759">
        <v>0</v>
      </c>
      <c r="BD759">
        <v>2.66</v>
      </c>
      <c r="BE759">
        <v>0</v>
      </c>
    </row>
    <row r="760" spans="1:58" ht="12.75">
      <c r="A760" s="2" t="str">
        <f>HYPERLINK("https://ibp.a2mac1.com/costing(costing:projects/details/8191/part/5383180)"," In Pipe Steady Heating")</f>
        <v xml:space="preserve"> In Pipe Steady Heating</v>
      </c>
      <c r="B760">
        <v>5383180</v>
      </c>
      <c r="C760">
        <v>5382907</v>
      </c>
      <c r="D760" t="s">
        <v>2527</v>
      </c>
      <c r="E760">
        <v>2.21</v>
      </c>
      <c r="F760">
        <v>0</v>
      </c>
      <c r="G760">
        <v>0</v>
      </c>
      <c r="H760">
        <v>0</v>
      </c>
      <c r="I760" t="s">
        <v>74</v>
      </c>
      <c r="J760">
        <v>0</v>
      </c>
      <c r="K760">
        <v>2.21</v>
      </c>
      <c r="L760">
        <v>0</v>
      </c>
      <c r="M760">
        <v>0</v>
      </c>
      <c r="N760">
        <v>2.21</v>
      </c>
      <c r="O760" t="s">
        <v>74</v>
      </c>
      <c r="P760">
        <v>0</v>
      </c>
      <c r="Q760" t="s">
        <v>74</v>
      </c>
      <c r="R760">
        <v>0</v>
      </c>
      <c r="S760" t="s">
        <v>74</v>
      </c>
      <c r="T760">
        <v>0</v>
      </c>
      <c r="U760" t="s">
        <v>74</v>
      </c>
      <c r="V760">
        <v>0</v>
      </c>
      <c r="W760" t="s">
        <v>74</v>
      </c>
      <c r="X760">
        <v>0</v>
      </c>
      <c r="Y760">
        <v>2.21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0.20599999999999999</v>
      </c>
      <c r="AK760" t="s">
        <v>75</v>
      </c>
      <c r="AM760">
        <v>200000</v>
      </c>
      <c r="AN760" t="s">
        <v>76</v>
      </c>
      <c r="AO760">
        <v>1</v>
      </c>
      <c r="AP760">
        <v>0</v>
      </c>
      <c r="AQ760">
        <v>16666.666666666668</v>
      </c>
      <c r="AR760" t="s">
        <v>2528</v>
      </c>
      <c r="AS760" t="s">
        <v>78</v>
      </c>
      <c r="AX760" t="s">
        <v>79</v>
      </c>
      <c r="AY760" t="s">
        <v>74</v>
      </c>
      <c r="AZ760">
        <v>0</v>
      </c>
      <c r="BA760" t="s">
        <v>74</v>
      </c>
      <c r="BB760">
        <v>0</v>
      </c>
      <c r="BD760">
        <v>2.21</v>
      </c>
      <c r="BE760">
        <v>0</v>
      </c>
    </row>
    <row r="761" spans="1:58" ht="12.75">
      <c r="A761" s="2" t="str">
        <f>HYPERLINK("https://ibp.a2mac1.com/costing(costing:projects/details/8191/part/5383181)"," Pipe HV Charge/Power Inverter Module")</f>
        <v xml:space="preserve"> Pipe HV Charge/Power Inverter Module</v>
      </c>
      <c r="B761">
        <v>5383181</v>
      </c>
      <c r="C761">
        <v>5382908</v>
      </c>
      <c r="D761" t="s">
        <v>2532</v>
      </c>
      <c r="E761">
        <v>1.93</v>
      </c>
      <c r="F761">
        <v>0</v>
      </c>
      <c r="G761">
        <v>0</v>
      </c>
      <c r="H761">
        <v>0</v>
      </c>
      <c r="I761" t="s">
        <v>74</v>
      </c>
      <c r="J761">
        <v>0</v>
      </c>
      <c r="K761">
        <v>1.93</v>
      </c>
      <c r="L761">
        <v>0</v>
      </c>
      <c r="M761">
        <v>0</v>
      </c>
      <c r="N761">
        <v>1.93</v>
      </c>
      <c r="O761" t="s">
        <v>74</v>
      </c>
      <c r="P761">
        <v>0</v>
      </c>
      <c r="Q761" t="s">
        <v>74</v>
      </c>
      <c r="R761">
        <v>0</v>
      </c>
      <c r="S761" t="s">
        <v>74</v>
      </c>
      <c r="T761">
        <v>0</v>
      </c>
      <c r="U761" t="s">
        <v>74</v>
      </c>
      <c r="V761">
        <v>0</v>
      </c>
      <c r="W761" t="s">
        <v>74</v>
      </c>
      <c r="X761">
        <v>0</v>
      </c>
      <c r="Y761">
        <v>1.93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0.17599999999999999</v>
      </c>
      <c r="AK761" t="s">
        <v>75</v>
      </c>
      <c r="AM761">
        <v>200000</v>
      </c>
      <c r="AN761" t="s">
        <v>76</v>
      </c>
      <c r="AO761">
        <v>1</v>
      </c>
      <c r="AP761">
        <v>0</v>
      </c>
      <c r="AQ761">
        <v>16666.666666666668</v>
      </c>
      <c r="AR761" t="s">
        <v>2533</v>
      </c>
      <c r="AS761" t="s">
        <v>78</v>
      </c>
      <c r="AX761" t="s">
        <v>79</v>
      </c>
      <c r="AY761" t="s">
        <v>74</v>
      </c>
      <c r="AZ761">
        <v>0</v>
      </c>
      <c r="BA761" t="s">
        <v>74</v>
      </c>
      <c r="BB761">
        <v>0</v>
      </c>
      <c r="BD761">
        <v>1.93</v>
      </c>
      <c r="BE761">
        <v>0</v>
      </c>
    </row>
    <row r="762" spans="1:58" ht="12.75">
      <c r="A762" s="2" t="str">
        <f>HYPERLINK("https://ibp.a2mac1.com/costing(costing:projects/details/8191/part/5383182)"," Pipe auxiliary pump / converter")</f>
        <v xml:space="preserve"> Pipe auxiliary pump / converter</v>
      </c>
      <c r="B762">
        <v>5383182</v>
      </c>
      <c r="C762">
        <v>5382908</v>
      </c>
      <c r="D762" t="s">
        <v>2534</v>
      </c>
      <c r="E762">
        <v>2.14</v>
      </c>
      <c r="F762">
        <v>0</v>
      </c>
      <c r="G762">
        <v>0</v>
      </c>
      <c r="H762">
        <v>0</v>
      </c>
      <c r="I762" t="s">
        <v>74</v>
      </c>
      <c r="J762">
        <v>0</v>
      </c>
      <c r="K762">
        <v>2.14</v>
      </c>
      <c r="L762">
        <v>0</v>
      </c>
      <c r="M762">
        <v>0</v>
      </c>
      <c r="N762">
        <v>2.14</v>
      </c>
      <c r="O762" t="s">
        <v>74</v>
      </c>
      <c r="P762">
        <v>0</v>
      </c>
      <c r="Q762" t="s">
        <v>74</v>
      </c>
      <c r="R762">
        <v>0</v>
      </c>
      <c r="S762" t="s">
        <v>74</v>
      </c>
      <c r="T762">
        <v>0</v>
      </c>
      <c r="U762" t="s">
        <v>74</v>
      </c>
      <c r="V762">
        <v>0</v>
      </c>
      <c r="W762" t="s">
        <v>74</v>
      </c>
      <c r="X762">
        <v>0</v>
      </c>
      <c r="Y762">
        <v>2.14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0.19900000000000001</v>
      </c>
      <c r="AK762" t="s">
        <v>75</v>
      </c>
      <c r="AM762">
        <v>200000</v>
      </c>
      <c r="AN762" t="s">
        <v>76</v>
      </c>
      <c r="AO762">
        <v>1</v>
      </c>
      <c r="AP762">
        <v>0</v>
      </c>
      <c r="AQ762">
        <v>16666.666666666668</v>
      </c>
      <c r="AR762" t="s">
        <v>2535</v>
      </c>
      <c r="AS762" t="s">
        <v>78</v>
      </c>
      <c r="AX762" t="s">
        <v>79</v>
      </c>
      <c r="AY762" t="s">
        <v>74</v>
      </c>
      <c r="AZ762">
        <v>0</v>
      </c>
      <c r="BA762" t="s">
        <v>74</v>
      </c>
      <c r="BB762">
        <v>0</v>
      </c>
      <c r="BD762">
        <v>2.14</v>
      </c>
      <c r="BE762">
        <v>0</v>
      </c>
    </row>
    <row r="763" spans="1:58" ht="12.75">
      <c r="A763" s="2" t="str">
        <f>HYPERLINK("https://ibp.a2mac1.com/costing(costing:projects/details/8191/part/5383183)"," 2nd Pipe auxiliary pump / Converter-Inverter")</f>
        <v xml:space="preserve"> 2nd Pipe auxiliary pump / Converter-Inverter</v>
      </c>
      <c r="B763">
        <v>5383183</v>
      </c>
      <c r="C763">
        <v>5382908</v>
      </c>
      <c r="D763" t="s">
        <v>2536</v>
      </c>
      <c r="E763">
        <v>1.68</v>
      </c>
      <c r="F763">
        <v>0</v>
      </c>
      <c r="G763">
        <v>0</v>
      </c>
      <c r="H763">
        <v>0</v>
      </c>
      <c r="I763" t="s">
        <v>74</v>
      </c>
      <c r="J763">
        <v>0</v>
      </c>
      <c r="K763">
        <v>1.68</v>
      </c>
      <c r="L763">
        <v>0</v>
      </c>
      <c r="M763">
        <v>0</v>
      </c>
      <c r="N763">
        <v>1.68</v>
      </c>
      <c r="O763" t="s">
        <v>74</v>
      </c>
      <c r="P763">
        <v>0</v>
      </c>
      <c r="Q763" t="s">
        <v>74</v>
      </c>
      <c r="R763">
        <v>0</v>
      </c>
      <c r="S763" t="s">
        <v>74</v>
      </c>
      <c r="T763">
        <v>0</v>
      </c>
      <c r="U763" t="s">
        <v>74</v>
      </c>
      <c r="V763">
        <v>0</v>
      </c>
      <c r="W763" t="s">
        <v>74</v>
      </c>
      <c r="X763">
        <v>0</v>
      </c>
      <c r="Y763">
        <v>1.68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0.14799999999999999</v>
      </c>
      <c r="AK763" t="s">
        <v>75</v>
      </c>
      <c r="AM763">
        <v>200000</v>
      </c>
      <c r="AN763" t="s">
        <v>76</v>
      </c>
      <c r="AO763">
        <v>1</v>
      </c>
      <c r="AP763">
        <v>0</v>
      </c>
      <c r="AQ763">
        <v>16666.666666666668</v>
      </c>
      <c r="AR763" t="s">
        <v>2537</v>
      </c>
      <c r="AS763" t="s">
        <v>78</v>
      </c>
      <c r="AX763" t="s">
        <v>79</v>
      </c>
      <c r="AY763" t="s">
        <v>74</v>
      </c>
      <c r="AZ763">
        <v>0</v>
      </c>
      <c r="BA763" t="s">
        <v>74</v>
      </c>
      <c r="BB763">
        <v>0</v>
      </c>
      <c r="BD763">
        <v>1.68</v>
      </c>
      <c r="BE763">
        <v>0</v>
      </c>
    </row>
    <row r="764" spans="1:58" ht="12.75">
      <c r="A764" s="2" t="str">
        <f>HYPERLINK("https://ibp.a2mac1.com/costing(costing:projects/details/8191/part/5383184)"," Set of Pipes")</f>
        <v xml:space="preserve"> Set of Pipes</v>
      </c>
      <c r="B764">
        <v>5383184</v>
      </c>
      <c r="C764">
        <v>5382908</v>
      </c>
      <c r="D764" t="s">
        <v>2538</v>
      </c>
      <c r="E764">
        <v>4.80</v>
      </c>
      <c r="F764">
        <v>0</v>
      </c>
      <c r="G764">
        <v>0</v>
      </c>
      <c r="H764">
        <v>0</v>
      </c>
      <c r="I764" t="s">
        <v>74</v>
      </c>
      <c r="J764">
        <v>0</v>
      </c>
      <c r="K764">
        <v>4.80</v>
      </c>
      <c r="L764">
        <v>0</v>
      </c>
      <c r="M764">
        <v>0</v>
      </c>
      <c r="N764">
        <v>4.80</v>
      </c>
      <c r="O764" t="s">
        <v>74</v>
      </c>
      <c r="P764">
        <v>0</v>
      </c>
      <c r="Q764" t="s">
        <v>74</v>
      </c>
      <c r="R764">
        <v>0</v>
      </c>
      <c r="S764" t="s">
        <v>74</v>
      </c>
      <c r="T764">
        <v>0</v>
      </c>
      <c r="U764" t="s">
        <v>74</v>
      </c>
      <c r="V764">
        <v>0</v>
      </c>
      <c r="W764" t="s">
        <v>74</v>
      </c>
      <c r="X764">
        <v>0</v>
      </c>
      <c r="Y764">
        <v>4.80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0.49199999999999999</v>
      </c>
      <c r="AK764" t="s">
        <v>213</v>
      </c>
      <c r="AM764">
        <v>200000</v>
      </c>
      <c r="AN764" t="s">
        <v>76</v>
      </c>
      <c r="AO764">
        <v>1</v>
      </c>
      <c r="AP764">
        <v>0</v>
      </c>
      <c r="AQ764">
        <v>16666.666666666668</v>
      </c>
      <c r="AR764" t="s">
        <v>2539</v>
      </c>
      <c r="AS764" t="s">
        <v>78</v>
      </c>
      <c r="AX764" t="s">
        <v>79</v>
      </c>
      <c r="AY764" t="s">
        <v>74</v>
      </c>
      <c r="AZ764">
        <v>0</v>
      </c>
      <c r="BA764" t="s">
        <v>74</v>
      </c>
      <c r="BB764">
        <v>0</v>
      </c>
      <c r="BD764">
        <v>4.80</v>
      </c>
      <c r="BE764">
        <v>0</v>
      </c>
    </row>
    <row r="765" spans="1:58" ht="12.75">
      <c r="A765" s="2" t="str">
        <f>HYPERLINK("https://ibp.a2mac1.com/costing(costing:projects/details/8191/part/5383185)"," 2nd Set of Pipes")</f>
        <v xml:space="preserve"> 2nd Set of Pipes</v>
      </c>
      <c r="B765">
        <v>5383185</v>
      </c>
      <c r="C765">
        <v>5382908</v>
      </c>
      <c r="D765" t="s">
        <v>2540</v>
      </c>
      <c r="E765">
        <v>3.72</v>
      </c>
      <c r="F765">
        <v>0</v>
      </c>
      <c r="G765">
        <v>0</v>
      </c>
      <c r="H765">
        <v>0</v>
      </c>
      <c r="I765" t="s">
        <v>74</v>
      </c>
      <c r="J765">
        <v>0</v>
      </c>
      <c r="K765">
        <v>3.72</v>
      </c>
      <c r="L765">
        <v>0</v>
      </c>
      <c r="M765">
        <v>0</v>
      </c>
      <c r="N765">
        <v>3.72</v>
      </c>
      <c r="O765" t="s">
        <v>74</v>
      </c>
      <c r="P765">
        <v>0</v>
      </c>
      <c r="Q765" t="s">
        <v>74</v>
      </c>
      <c r="R765">
        <v>0</v>
      </c>
      <c r="S765" t="s">
        <v>74</v>
      </c>
      <c r="T765">
        <v>0</v>
      </c>
      <c r="U765" t="s">
        <v>74</v>
      </c>
      <c r="V765">
        <v>0</v>
      </c>
      <c r="W765" t="s">
        <v>74</v>
      </c>
      <c r="X765">
        <v>0</v>
      </c>
      <c r="Y765">
        <v>3.72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0.373</v>
      </c>
      <c r="AK765" t="s">
        <v>213</v>
      </c>
      <c r="AM765">
        <v>200000</v>
      </c>
      <c r="AN765" t="s">
        <v>76</v>
      </c>
      <c r="AO765">
        <v>1</v>
      </c>
      <c r="AP765">
        <v>0</v>
      </c>
      <c r="AQ765">
        <v>16666.666666666668</v>
      </c>
      <c r="AR765" t="s">
        <v>2541</v>
      </c>
      <c r="AS765" t="s">
        <v>78</v>
      </c>
      <c r="AX765" t="s">
        <v>79</v>
      </c>
      <c r="AY765" t="s">
        <v>74</v>
      </c>
      <c r="AZ765">
        <v>0</v>
      </c>
      <c r="BA765" t="s">
        <v>74</v>
      </c>
      <c r="BB765">
        <v>0</v>
      </c>
      <c r="BD765">
        <v>3.72</v>
      </c>
      <c r="BE765">
        <v>0</v>
      </c>
    </row>
    <row r="766" spans="1:58" ht="12.75">
      <c r="A766" s="2" t="str">
        <f>HYPERLINK("https://ibp.a2mac1.com/costing(costing:projects/details/8191/part/5383186)"," Pipe pump / radiator")</f>
        <v xml:space="preserve"> Pipe pump / radiator</v>
      </c>
      <c r="B766">
        <v>5383186</v>
      </c>
      <c r="C766">
        <v>5382908</v>
      </c>
      <c r="D766" t="s">
        <v>2542</v>
      </c>
      <c r="E766">
        <v>3.77</v>
      </c>
      <c r="F766">
        <v>0</v>
      </c>
      <c r="G766">
        <v>0</v>
      </c>
      <c r="H766">
        <v>0</v>
      </c>
      <c r="I766" t="s">
        <v>74</v>
      </c>
      <c r="J766">
        <v>0</v>
      </c>
      <c r="K766">
        <v>3.77</v>
      </c>
      <c r="L766">
        <v>0</v>
      </c>
      <c r="M766">
        <v>0</v>
      </c>
      <c r="N766">
        <v>3.77</v>
      </c>
      <c r="O766" t="s">
        <v>74</v>
      </c>
      <c r="P766">
        <v>0</v>
      </c>
      <c r="Q766" t="s">
        <v>74</v>
      </c>
      <c r="R766">
        <v>0</v>
      </c>
      <c r="S766" t="s">
        <v>74</v>
      </c>
      <c r="T766">
        <v>0</v>
      </c>
      <c r="U766" t="s">
        <v>74</v>
      </c>
      <c r="V766">
        <v>0</v>
      </c>
      <c r="W766" t="s">
        <v>74</v>
      </c>
      <c r="X766">
        <v>0</v>
      </c>
      <c r="Y766">
        <v>3.77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0.378</v>
      </c>
      <c r="AK766" t="s">
        <v>75</v>
      </c>
      <c r="AM766">
        <v>200000</v>
      </c>
      <c r="AN766" t="s">
        <v>76</v>
      </c>
      <c r="AO766">
        <v>1</v>
      </c>
      <c r="AP766">
        <v>0</v>
      </c>
      <c r="AQ766">
        <v>16666.666666666668</v>
      </c>
      <c r="AR766" t="s">
        <v>2543</v>
      </c>
      <c r="AS766" t="s">
        <v>78</v>
      </c>
      <c r="AX766" t="s">
        <v>79</v>
      </c>
      <c r="AY766" t="s">
        <v>74</v>
      </c>
      <c r="AZ766">
        <v>0</v>
      </c>
      <c r="BA766" t="s">
        <v>74</v>
      </c>
      <c r="BB766">
        <v>0</v>
      </c>
      <c r="BD766">
        <v>3.77</v>
      </c>
      <c r="BE766">
        <v>0</v>
      </c>
    </row>
    <row r="767" spans="1:58" ht="12.75">
      <c r="A767" s="2" t="str">
        <f>HYPERLINK("https://ibp.a2mac1.com/costing(costing:projects/details/8191/part/5383187)"," Radiator / motor pipe")</f>
        <v xml:space="preserve"> Radiator / motor pipe</v>
      </c>
      <c r="B767">
        <v>5383187</v>
      </c>
      <c r="C767">
        <v>5382908</v>
      </c>
      <c r="D767" t="s">
        <v>2544</v>
      </c>
      <c r="E767">
        <v>2.32</v>
      </c>
      <c r="F767">
        <v>0</v>
      </c>
      <c r="G767">
        <v>0</v>
      </c>
      <c r="H767">
        <v>0</v>
      </c>
      <c r="I767" t="s">
        <v>74</v>
      </c>
      <c r="J767">
        <v>0</v>
      </c>
      <c r="K767">
        <v>2.32</v>
      </c>
      <c r="L767">
        <v>0</v>
      </c>
      <c r="M767">
        <v>0</v>
      </c>
      <c r="N767">
        <v>2.32</v>
      </c>
      <c r="O767" t="s">
        <v>74</v>
      </c>
      <c r="P767">
        <v>0</v>
      </c>
      <c r="Q767" t="s">
        <v>74</v>
      </c>
      <c r="R767">
        <v>0</v>
      </c>
      <c r="S767" t="s">
        <v>74</v>
      </c>
      <c r="T767">
        <v>0</v>
      </c>
      <c r="U767" t="s">
        <v>74</v>
      </c>
      <c r="V767">
        <v>0</v>
      </c>
      <c r="W767" t="s">
        <v>74</v>
      </c>
      <c r="X767">
        <v>0</v>
      </c>
      <c r="Y767">
        <v>2.32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0.219</v>
      </c>
      <c r="AK767" t="s">
        <v>75</v>
      </c>
      <c r="AM767">
        <v>200000</v>
      </c>
      <c r="AN767" t="s">
        <v>76</v>
      </c>
      <c r="AO767">
        <v>1</v>
      </c>
      <c r="AP767">
        <v>0</v>
      </c>
      <c r="AQ767">
        <v>16666.666666666668</v>
      </c>
      <c r="AR767" t="s">
        <v>2545</v>
      </c>
      <c r="AS767" t="s">
        <v>78</v>
      </c>
      <c r="AX767" t="s">
        <v>79</v>
      </c>
      <c r="AY767" t="s">
        <v>74</v>
      </c>
      <c r="AZ767">
        <v>0</v>
      </c>
      <c r="BA767" t="s">
        <v>74</v>
      </c>
      <c r="BB767">
        <v>0</v>
      </c>
      <c r="BD767">
        <v>2.32</v>
      </c>
      <c r="BE767">
        <v>0</v>
      </c>
    </row>
    <row r="768" spans="1:58" ht="12.75">
      <c r="A768" s="2" t="str">
        <f>HYPERLINK("https://ibp.a2mac1.com/costing(costing:projects/details/8191/part/5383188)"," Radiator / motor 2nd pipe")</f>
        <v xml:space="preserve"> Radiator / motor 2nd pipe</v>
      </c>
      <c r="B768">
        <v>5383188</v>
      </c>
      <c r="C768">
        <v>5382908</v>
      </c>
      <c r="D768" t="s">
        <v>2546</v>
      </c>
      <c r="E768">
        <v>1.66</v>
      </c>
      <c r="F768">
        <v>0</v>
      </c>
      <c r="G768">
        <v>0</v>
      </c>
      <c r="H768">
        <v>0</v>
      </c>
      <c r="I768" t="s">
        <v>74</v>
      </c>
      <c r="J768">
        <v>0</v>
      </c>
      <c r="K768">
        <v>1.66</v>
      </c>
      <c r="L768">
        <v>0</v>
      </c>
      <c r="M768">
        <v>0</v>
      </c>
      <c r="N768">
        <v>1.66</v>
      </c>
      <c r="O768" t="s">
        <v>74</v>
      </c>
      <c r="P768">
        <v>0</v>
      </c>
      <c r="Q768" t="s">
        <v>74</v>
      </c>
      <c r="R768">
        <v>0</v>
      </c>
      <c r="S768" t="s">
        <v>74</v>
      </c>
      <c r="T768">
        <v>0</v>
      </c>
      <c r="U768" t="s">
        <v>74</v>
      </c>
      <c r="V768">
        <v>0</v>
      </c>
      <c r="W768" t="s">
        <v>74</v>
      </c>
      <c r="X768">
        <v>0</v>
      </c>
      <c r="Y768">
        <v>1.66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0.14599999999999999</v>
      </c>
      <c r="AK768" t="s">
        <v>75</v>
      </c>
      <c r="AM768">
        <v>200000</v>
      </c>
      <c r="AN768" t="s">
        <v>76</v>
      </c>
      <c r="AO768">
        <v>1</v>
      </c>
      <c r="AP768">
        <v>0</v>
      </c>
      <c r="AQ768">
        <v>16666.666666666668</v>
      </c>
      <c r="AR768" t="s">
        <v>2547</v>
      </c>
      <c r="AS768" t="s">
        <v>78</v>
      </c>
      <c r="AX768" t="s">
        <v>79</v>
      </c>
      <c r="AY768" t="s">
        <v>74</v>
      </c>
      <c r="AZ768">
        <v>0</v>
      </c>
      <c r="BA768" t="s">
        <v>74</v>
      </c>
      <c r="BB768">
        <v>0</v>
      </c>
      <c r="BD768">
        <v>1.66</v>
      </c>
      <c r="BE768">
        <v>0</v>
      </c>
    </row>
    <row r="769" spans="1:58" ht="12.75">
      <c r="A769" s="2" t="str">
        <f>HYPERLINK("https://ibp.a2mac1.com/costing(costing:projects/details/8191/part/5383189)"," Radiator / motor 3rd pipe")</f>
        <v xml:space="preserve"> Radiator / motor 3rd pipe</v>
      </c>
      <c r="B769">
        <v>5383189</v>
      </c>
      <c r="C769">
        <v>5382908</v>
      </c>
      <c r="D769" t="s">
        <v>2548</v>
      </c>
      <c r="E769">
        <v>3.10</v>
      </c>
      <c r="F769">
        <v>0</v>
      </c>
      <c r="G769">
        <v>0</v>
      </c>
      <c r="H769">
        <v>0</v>
      </c>
      <c r="I769" t="s">
        <v>74</v>
      </c>
      <c r="J769">
        <v>0</v>
      </c>
      <c r="K769">
        <v>3.10</v>
      </c>
      <c r="L769">
        <v>0</v>
      </c>
      <c r="M769">
        <v>0</v>
      </c>
      <c r="N769">
        <v>3.10</v>
      </c>
      <c r="O769" t="s">
        <v>74</v>
      </c>
      <c r="P769">
        <v>0</v>
      </c>
      <c r="Q769" t="s">
        <v>74</v>
      </c>
      <c r="R769">
        <v>0</v>
      </c>
      <c r="S769" t="s">
        <v>74</v>
      </c>
      <c r="T769">
        <v>0</v>
      </c>
      <c r="U769" t="s">
        <v>74</v>
      </c>
      <c r="V769">
        <v>0</v>
      </c>
      <c r="W769" t="s">
        <v>74</v>
      </c>
      <c r="X769">
        <v>0</v>
      </c>
      <c r="Y769">
        <v>3.10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0.305</v>
      </c>
      <c r="AK769" t="s">
        <v>75</v>
      </c>
      <c r="AM769">
        <v>200000</v>
      </c>
      <c r="AN769" t="s">
        <v>76</v>
      </c>
      <c r="AO769">
        <v>1</v>
      </c>
      <c r="AP769">
        <v>0</v>
      </c>
      <c r="AQ769">
        <v>16666.666666666668</v>
      </c>
      <c r="AR769" t="s">
        <v>2549</v>
      </c>
      <c r="AS769" t="s">
        <v>78</v>
      </c>
      <c r="AX769" t="s">
        <v>79</v>
      </c>
      <c r="AY769" t="s">
        <v>74</v>
      </c>
      <c r="AZ769">
        <v>0</v>
      </c>
      <c r="BA769" t="s">
        <v>74</v>
      </c>
      <c r="BB769">
        <v>0</v>
      </c>
      <c r="BD769">
        <v>3.10</v>
      </c>
      <c r="BE769">
        <v>0</v>
      </c>
    </row>
    <row r="770" spans="1:58" ht="12.75">
      <c r="A770" s="2" t="str">
        <f>HYPERLINK("https://ibp.a2mac1.com/costing(costing:projects/details/8191/part/5383190)"," In / Out 2nd power inverter module pipe")</f>
        <v xml:space="preserve"> In / Out 2nd power inverter module pipe</v>
      </c>
      <c r="B770">
        <v>5383190</v>
      </c>
      <c r="C770">
        <v>5382908</v>
      </c>
      <c r="D770" t="s">
        <v>2550</v>
      </c>
      <c r="E770">
        <v>1.56</v>
      </c>
      <c r="F770">
        <v>0</v>
      </c>
      <c r="G770">
        <v>0</v>
      </c>
      <c r="H770">
        <v>0</v>
      </c>
      <c r="I770" t="s">
        <v>74</v>
      </c>
      <c r="J770">
        <v>0</v>
      </c>
      <c r="K770">
        <v>1.56</v>
      </c>
      <c r="L770">
        <v>0</v>
      </c>
      <c r="M770">
        <v>0</v>
      </c>
      <c r="N770">
        <v>1.56</v>
      </c>
      <c r="O770" t="s">
        <v>74</v>
      </c>
      <c r="P770">
        <v>0</v>
      </c>
      <c r="Q770" t="s">
        <v>74</v>
      </c>
      <c r="R770">
        <v>0</v>
      </c>
      <c r="S770" t="s">
        <v>74</v>
      </c>
      <c r="T770">
        <v>0</v>
      </c>
      <c r="U770" t="s">
        <v>74</v>
      </c>
      <c r="V770">
        <v>0</v>
      </c>
      <c r="W770" t="s">
        <v>74</v>
      </c>
      <c r="X770">
        <v>0</v>
      </c>
      <c r="Y770">
        <v>1.56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0.135</v>
      </c>
      <c r="AK770" t="s">
        <v>75</v>
      </c>
      <c r="AM770">
        <v>200000</v>
      </c>
      <c r="AN770" t="s">
        <v>76</v>
      </c>
      <c r="AO770">
        <v>1</v>
      </c>
      <c r="AP770">
        <v>0</v>
      </c>
      <c r="AQ770">
        <v>16666.666666666668</v>
      </c>
      <c r="AR770" t="s">
        <v>2551</v>
      </c>
      <c r="AS770" t="s">
        <v>78</v>
      </c>
      <c r="AX770" t="s">
        <v>79</v>
      </c>
      <c r="AY770" t="s">
        <v>74</v>
      </c>
      <c r="AZ770">
        <v>0</v>
      </c>
      <c r="BA770" t="s">
        <v>74</v>
      </c>
      <c r="BB770">
        <v>0</v>
      </c>
      <c r="BD770">
        <v>1.56</v>
      </c>
      <c r="BE770">
        <v>0</v>
      </c>
    </row>
    <row r="771" spans="1:58" ht="12.75">
      <c r="A771" s="2" t="str">
        <f>HYPERLINK("https://ibp.a2mac1.com/costing(costing:projects/details/8191/part/5383191)"," DC-DC-Power Inverter Module Pipe")</f>
        <v xml:space="preserve"> DC-DC-Power Inverter Module Pipe</v>
      </c>
      <c r="B771">
        <v>5383191</v>
      </c>
      <c r="C771">
        <v>5382908</v>
      </c>
      <c r="D771" t="s">
        <v>2552</v>
      </c>
      <c r="E771">
        <v>2.68</v>
      </c>
      <c r="F771">
        <v>0</v>
      </c>
      <c r="G771">
        <v>0</v>
      </c>
      <c r="H771">
        <v>0</v>
      </c>
      <c r="I771" t="s">
        <v>74</v>
      </c>
      <c r="J771">
        <v>0</v>
      </c>
      <c r="K771">
        <v>2.68</v>
      </c>
      <c r="L771">
        <v>0</v>
      </c>
      <c r="M771">
        <v>0</v>
      </c>
      <c r="N771">
        <v>2.68</v>
      </c>
      <c r="O771" t="s">
        <v>74</v>
      </c>
      <c r="P771">
        <v>0</v>
      </c>
      <c r="Q771" t="s">
        <v>74</v>
      </c>
      <c r="R771">
        <v>0</v>
      </c>
      <c r="S771" t="s">
        <v>74</v>
      </c>
      <c r="T771">
        <v>0</v>
      </c>
      <c r="U771" t="s">
        <v>74</v>
      </c>
      <c r="V771">
        <v>0</v>
      </c>
      <c r="W771" t="s">
        <v>74</v>
      </c>
      <c r="X771">
        <v>0</v>
      </c>
      <c r="Y771">
        <v>2.68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0.25800000000000001</v>
      </c>
      <c r="AK771" t="s">
        <v>75</v>
      </c>
      <c r="AM771">
        <v>200000</v>
      </c>
      <c r="AN771" t="s">
        <v>76</v>
      </c>
      <c r="AO771">
        <v>1</v>
      </c>
      <c r="AP771">
        <v>0</v>
      </c>
      <c r="AQ771">
        <v>16666.666666666668</v>
      </c>
      <c r="AR771" t="s">
        <v>2553</v>
      </c>
      <c r="AS771" t="s">
        <v>78</v>
      </c>
      <c r="AX771" t="s">
        <v>79</v>
      </c>
      <c r="AY771" t="s">
        <v>74</v>
      </c>
      <c r="AZ771">
        <v>0</v>
      </c>
      <c r="BA771" t="s">
        <v>74</v>
      </c>
      <c r="BB771">
        <v>0</v>
      </c>
      <c r="BD771">
        <v>2.68</v>
      </c>
      <c r="BE771">
        <v>0</v>
      </c>
    </row>
    <row r="772" spans="1:58" ht="12.75">
      <c r="A772" s="2" t="str">
        <f>HYPERLINK("https://ibp.a2mac1.com/costing(costing:projects/details/8191/part/5383192)"," 2nd DC-DC - Power Inverter Module Pipe")</f>
        <v xml:space="preserve"> 2nd DC-DC - Power Inverter Module Pipe</v>
      </c>
      <c r="B772">
        <v>5383192</v>
      </c>
      <c r="C772">
        <v>5382908</v>
      </c>
      <c r="D772" t="s">
        <v>2554</v>
      </c>
      <c r="E772">
        <v>2.61</v>
      </c>
      <c r="F772">
        <v>0</v>
      </c>
      <c r="G772">
        <v>0</v>
      </c>
      <c r="H772">
        <v>0</v>
      </c>
      <c r="I772" t="s">
        <v>74</v>
      </c>
      <c r="J772">
        <v>0</v>
      </c>
      <c r="K772">
        <v>2.61</v>
      </c>
      <c r="L772">
        <v>0</v>
      </c>
      <c r="M772">
        <v>0</v>
      </c>
      <c r="N772">
        <v>2.61</v>
      </c>
      <c r="O772" t="s">
        <v>74</v>
      </c>
      <c r="P772">
        <v>0</v>
      </c>
      <c r="Q772" t="s">
        <v>74</v>
      </c>
      <c r="R772">
        <v>0</v>
      </c>
      <c r="S772" t="s">
        <v>74</v>
      </c>
      <c r="T772">
        <v>0</v>
      </c>
      <c r="U772" t="s">
        <v>74</v>
      </c>
      <c r="V772">
        <v>0</v>
      </c>
      <c r="W772" t="s">
        <v>74</v>
      </c>
      <c r="X772">
        <v>0</v>
      </c>
      <c r="Y772">
        <v>2.61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0.251</v>
      </c>
      <c r="AK772" t="s">
        <v>75</v>
      </c>
      <c r="AM772">
        <v>200000</v>
      </c>
      <c r="AN772" t="s">
        <v>76</v>
      </c>
      <c r="AO772">
        <v>1</v>
      </c>
      <c r="AP772">
        <v>0</v>
      </c>
      <c r="AQ772">
        <v>16666.666666666668</v>
      </c>
      <c r="AR772" t="s">
        <v>2555</v>
      </c>
      <c r="AS772" t="s">
        <v>78</v>
      </c>
      <c r="AX772" t="s">
        <v>79</v>
      </c>
      <c r="AY772" t="s">
        <v>74</v>
      </c>
      <c r="AZ772">
        <v>0</v>
      </c>
      <c r="BA772" t="s">
        <v>74</v>
      </c>
      <c r="BB772">
        <v>0</v>
      </c>
      <c r="BD772">
        <v>2.61</v>
      </c>
      <c r="BE772">
        <v>0</v>
      </c>
    </row>
    <row r="773" spans="1:58" ht="12.75">
      <c r="A773" s="2" t="str">
        <f>HYPERLINK("https://ibp.a2mac1.com/costing(costing:projects/details/8191/part/5383193)"," Pipe AC Exchanger to Distributor")</f>
        <v xml:space="preserve"> Pipe AC Exchanger to Distributor</v>
      </c>
      <c r="B773">
        <v>5383193</v>
      </c>
      <c r="C773">
        <v>5382908</v>
      </c>
      <c r="D773" t="s">
        <v>2556</v>
      </c>
      <c r="E773">
        <v>1.52</v>
      </c>
      <c r="F773">
        <v>0</v>
      </c>
      <c r="G773">
        <v>0</v>
      </c>
      <c r="H773">
        <v>0</v>
      </c>
      <c r="I773" t="s">
        <v>74</v>
      </c>
      <c r="J773">
        <v>0</v>
      </c>
      <c r="K773">
        <v>1.52</v>
      </c>
      <c r="L773">
        <v>0</v>
      </c>
      <c r="M773">
        <v>0</v>
      </c>
      <c r="N773">
        <v>1.52</v>
      </c>
      <c r="O773" t="s">
        <v>74</v>
      </c>
      <c r="P773">
        <v>0</v>
      </c>
      <c r="Q773" t="s">
        <v>74</v>
      </c>
      <c r="R773">
        <v>0</v>
      </c>
      <c r="S773" t="s">
        <v>74</v>
      </c>
      <c r="T773">
        <v>0</v>
      </c>
      <c r="U773" t="s">
        <v>74</v>
      </c>
      <c r="V773">
        <v>0</v>
      </c>
      <c r="W773" t="s">
        <v>74</v>
      </c>
      <c r="X773">
        <v>0</v>
      </c>
      <c r="Y773">
        <v>1.52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20</v>
      </c>
      <c r="AF773">
        <v>0</v>
      </c>
      <c r="AG773">
        <v>0</v>
      </c>
      <c r="AH773">
        <v>0</v>
      </c>
      <c r="AI773">
        <v>0.13</v>
      </c>
      <c r="AK773" t="s">
        <v>75</v>
      </c>
      <c r="AM773">
        <v>200000</v>
      </c>
      <c r="AN773" t="s">
        <v>76</v>
      </c>
      <c r="AO773">
        <v>1</v>
      </c>
      <c r="AP773">
        <v>0</v>
      </c>
      <c r="AQ773">
        <v>16666.666666666668</v>
      </c>
      <c r="AR773" t="s">
        <v>2557</v>
      </c>
      <c r="AS773" t="s">
        <v>78</v>
      </c>
      <c r="AX773" t="s">
        <v>79</v>
      </c>
      <c r="AY773" t="s">
        <v>74</v>
      </c>
      <c r="AZ773">
        <v>0</v>
      </c>
      <c r="BA773" t="s">
        <v>74</v>
      </c>
      <c r="BB773">
        <v>0</v>
      </c>
      <c r="BD773">
        <v>1.52</v>
      </c>
      <c r="BE773">
        <v>0</v>
      </c>
    </row>
    <row r="774" spans="1:58" ht="12.75">
      <c r="A774" s="2" t="str">
        <f>HYPERLINK("https://ibp.a2mac1.com/costing(costing:projects/details/8191/part/5383477)"," Radiator Fan Left/Single")</f>
        <v xml:space="preserve"> Radiator Fan Left/Single</v>
      </c>
      <c r="B774">
        <v>5383477</v>
      </c>
      <c r="C774">
        <v>5383194</v>
      </c>
      <c r="D774" t="s">
        <v>2566</v>
      </c>
      <c r="E774">
        <v>1.246501662</v>
      </c>
      <c r="F774">
        <v>0</v>
      </c>
      <c r="G774">
        <v>0</v>
      </c>
      <c r="H774">
        <v>0.0063231061751578945</v>
      </c>
      <c r="I774" t="s">
        <v>137</v>
      </c>
      <c r="J774">
        <v>0.043736900421052632</v>
      </c>
      <c r="K774">
        <v>1.2965616685962105</v>
      </c>
      <c r="L774">
        <v>0.037929543313487621</v>
      </c>
      <c r="M774">
        <v>0.22757725988092573</v>
      </c>
      <c r="N774">
        <v>1.5241389284771363</v>
      </c>
      <c r="O774" t="s">
        <v>138</v>
      </c>
      <c r="P774">
        <v>0.077793700115772635</v>
      </c>
      <c r="Q774" t="s">
        <v>138</v>
      </c>
      <c r="R774">
        <v>0.013654635592855544</v>
      </c>
      <c r="S774" t="s">
        <v>139</v>
      </c>
      <c r="T774">
        <v>0.18289667141725635</v>
      </c>
      <c r="U774" t="s">
        <v>90</v>
      </c>
      <c r="V774">
        <v>0</v>
      </c>
      <c r="W774" t="s">
        <v>90</v>
      </c>
      <c r="X774">
        <v>0</v>
      </c>
      <c r="Y774">
        <v>1.7984839356030209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480</v>
      </c>
      <c r="AF774">
        <v>480</v>
      </c>
      <c r="AG774">
        <v>29</v>
      </c>
      <c r="AH774">
        <v>0</v>
      </c>
      <c r="AI774">
        <v>0.55400000000000005</v>
      </c>
      <c r="AK774" t="s">
        <v>75</v>
      </c>
      <c r="AM774">
        <v>200000</v>
      </c>
      <c r="AN774" t="s">
        <v>76</v>
      </c>
      <c r="AO774">
        <v>1</v>
      </c>
      <c r="AP774">
        <v>0</v>
      </c>
      <c r="AQ774">
        <v>16666.666666666668</v>
      </c>
      <c r="AR774" t="s">
        <v>2567</v>
      </c>
      <c r="AS774" t="s">
        <v>78</v>
      </c>
      <c r="AX774" t="s">
        <v>79</v>
      </c>
      <c r="AY774" t="s">
        <v>137</v>
      </c>
      <c r="AZ774">
        <v>0</v>
      </c>
      <c r="BA774" t="s">
        <v>137</v>
      </c>
      <c r="BB774">
        <v>0</v>
      </c>
      <c r="BE774">
        <v>0</v>
      </c>
    </row>
    <row r="775" spans="1:58" ht="12.75">
      <c r="A775" s="2" t="str">
        <f>HYPERLINK("https://ibp.a2mac1.com/costing(costing:projects/details/8191/part/5383478)"," Motor Left/Single")</f>
        <v xml:space="preserve"> Motor Left/Single</v>
      </c>
      <c r="B775">
        <v>5383478</v>
      </c>
      <c r="C775">
        <v>5383195</v>
      </c>
      <c r="D775" t="s">
        <v>2571</v>
      </c>
      <c r="E775">
        <v>22.40</v>
      </c>
      <c r="F775">
        <v>0</v>
      </c>
      <c r="G775">
        <v>0</v>
      </c>
      <c r="H775">
        <v>0</v>
      </c>
      <c r="I775" t="s">
        <v>74</v>
      </c>
      <c r="J775">
        <v>0</v>
      </c>
      <c r="K775">
        <v>22.40</v>
      </c>
      <c r="L775">
        <v>0</v>
      </c>
      <c r="M775">
        <v>0</v>
      </c>
      <c r="N775">
        <v>22.40</v>
      </c>
      <c r="O775" t="s">
        <v>74</v>
      </c>
      <c r="P775">
        <v>0</v>
      </c>
      <c r="Q775" t="s">
        <v>74</v>
      </c>
      <c r="R775">
        <v>0</v>
      </c>
      <c r="S775" t="s">
        <v>74</v>
      </c>
      <c r="T775">
        <v>0</v>
      </c>
      <c r="U775" t="s">
        <v>74</v>
      </c>
      <c r="V775">
        <v>0</v>
      </c>
      <c r="W775" t="s">
        <v>74</v>
      </c>
      <c r="X775">
        <v>0</v>
      </c>
      <c r="Y775">
        <v>22.40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135</v>
      </c>
      <c r="AF775">
        <v>142</v>
      </c>
      <c r="AG775">
        <v>55</v>
      </c>
      <c r="AH775">
        <v>0</v>
      </c>
      <c r="AI775">
        <v>1.26</v>
      </c>
      <c r="AK775" t="s">
        <v>213</v>
      </c>
      <c r="AM775">
        <v>200000</v>
      </c>
      <c r="AN775" t="s">
        <v>76</v>
      </c>
      <c r="AO775">
        <v>1</v>
      </c>
      <c r="AP775">
        <v>0</v>
      </c>
      <c r="AQ775">
        <v>16666.666666666668</v>
      </c>
      <c r="AR775" t="s">
        <v>2572</v>
      </c>
      <c r="AS775" t="s">
        <v>78</v>
      </c>
      <c r="AX775" t="s">
        <v>79</v>
      </c>
      <c r="AY775" t="s">
        <v>74</v>
      </c>
      <c r="AZ775">
        <v>0</v>
      </c>
      <c r="BA775" t="s">
        <v>74</v>
      </c>
      <c r="BB775">
        <v>0</v>
      </c>
      <c r="BD775">
        <v>22.40</v>
      </c>
      <c r="BE775">
        <v>0</v>
      </c>
    </row>
    <row r="776" spans="1:58" ht="12.75">
      <c r="A776" s="2" t="str">
        <f>HYPERLINK("https://ibp.a2mac1.com/costing(costing:projects/details/8191/part/5383479)"," Front cooling module")</f>
        <v xml:space="preserve"> Front cooling module</v>
      </c>
      <c r="B776">
        <v>5383479</v>
      </c>
      <c r="C776">
        <v>5383195</v>
      </c>
      <c r="D776" t="s">
        <v>2577</v>
      </c>
      <c r="E776">
        <v>2.6752535669999999</v>
      </c>
      <c r="F776">
        <v>0</v>
      </c>
      <c r="G776">
        <v>0</v>
      </c>
      <c r="H776">
        <v>0.013570709823578947</v>
      </c>
      <c r="I776" t="s">
        <v>137</v>
      </c>
      <c r="J776">
        <v>0.093868546210526316</v>
      </c>
      <c r="K776">
        <v>2.7826928230341053</v>
      </c>
      <c r="L776">
        <v>0.03524321653334362</v>
      </c>
      <c r="M776">
        <v>0.21145929920006173</v>
      </c>
      <c r="N776">
        <v>2.9941521222341669</v>
      </c>
      <c r="O776" t="s">
        <v>138</v>
      </c>
      <c r="P776">
        <v>0.16696156938204632</v>
      </c>
      <c r="Q776" t="s">
        <v>138</v>
      </c>
      <c r="R776">
        <v>0.012687557952003704</v>
      </c>
      <c r="S776" t="s">
        <v>139</v>
      </c>
      <c r="T776">
        <v>0.35929825466810006</v>
      </c>
      <c r="U776" t="s">
        <v>90</v>
      </c>
      <c r="V776">
        <v>0</v>
      </c>
      <c r="W776" t="s">
        <v>90</v>
      </c>
      <c r="X776">
        <v>0</v>
      </c>
      <c r="Y776">
        <v>3.5330995042363171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709</v>
      </c>
      <c r="AF776">
        <v>511</v>
      </c>
      <c r="AG776">
        <v>71</v>
      </c>
      <c r="AH776">
        <v>0</v>
      </c>
      <c r="AI776">
        <v>1.1890000000000001</v>
      </c>
      <c r="AK776" t="s">
        <v>75</v>
      </c>
      <c r="AM776">
        <v>200000</v>
      </c>
      <c r="AN776" t="s">
        <v>76</v>
      </c>
      <c r="AO776">
        <v>1</v>
      </c>
      <c r="AP776">
        <v>0</v>
      </c>
      <c r="AQ776">
        <v>16666.666666666668</v>
      </c>
      <c r="AR776" t="s">
        <v>2578</v>
      </c>
      <c r="AS776" t="s">
        <v>78</v>
      </c>
      <c r="AX776" t="s">
        <v>79</v>
      </c>
      <c r="AY776" t="s">
        <v>137</v>
      </c>
      <c r="AZ776">
        <v>0</v>
      </c>
      <c r="BA776" t="s">
        <v>137</v>
      </c>
      <c r="BB776">
        <v>0</v>
      </c>
      <c r="BE776">
        <v>0</v>
      </c>
    </row>
    <row r="777" spans="1:58" ht="12.75">
      <c r="A777" s="2" t="str">
        <f>HYPERLINK("https://ibp.a2mac1.com/costing(costing:projects/details/8191/part/5383480)"," Motor/Valve")</f>
        <v xml:space="preserve"> Motor/Valve</v>
      </c>
      <c r="B777">
        <v>5383480</v>
      </c>
      <c r="C777">
        <v>5383196</v>
      </c>
      <c r="D777" t="s">
        <v>2585</v>
      </c>
      <c r="E777">
        <v>5</v>
      </c>
      <c r="F777">
        <v>0</v>
      </c>
      <c r="G777">
        <v>0</v>
      </c>
      <c r="H777">
        <v>0</v>
      </c>
      <c r="I777" t="s">
        <v>74</v>
      </c>
      <c r="J777">
        <v>0</v>
      </c>
      <c r="K777">
        <v>5</v>
      </c>
      <c r="L777">
        <v>0</v>
      </c>
      <c r="M777">
        <v>0</v>
      </c>
      <c r="N777">
        <v>5</v>
      </c>
      <c r="O777" t="s">
        <v>74</v>
      </c>
      <c r="P777">
        <v>0</v>
      </c>
      <c r="Q777" t="s">
        <v>74</v>
      </c>
      <c r="R777">
        <v>0</v>
      </c>
      <c r="S777" t="s">
        <v>74</v>
      </c>
      <c r="T777">
        <v>0</v>
      </c>
      <c r="U777" t="s">
        <v>74</v>
      </c>
      <c r="V777">
        <v>0</v>
      </c>
      <c r="W777" t="s">
        <v>74</v>
      </c>
      <c r="X777">
        <v>0</v>
      </c>
      <c r="Y777">
        <v>5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55</v>
      </c>
      <c r="AF777">
        <v>95</v>
      </c>
      <c r="AG777">
        <v>25</v>
      </c>
      <c r="AH777">
        <v>0</v>
      </c>
      <c r="AI777">
        <v>0.070999999999999994</v>
      </c>
      <c r="AK777" t="s">
        <v>213</v>
      </c>
      <c r="AM777">
        <v>200000</v>
      </c>
      <c r="AN777" t="s">
        <v>76</v>
      </c>
      <c r="AO777">
        <v>1</v>
      </c>
      <c r="AP777">
        <v>0</v>
      </c>
      <c r="AQ777">
        <v>16666.666666666668</v>
      </c>
      <c r="AR777" t="s">
        <v>2586</v>
      </c>
      <c r="AS777" t="s">
        <v>78</v>
      </c>
      <c r="AX777" t="s">
        <v>79</v>
      </c>
      <c r="AY777" t="s">
        <v>74</v>
      </c>
      <c r="AZ777">
        <v>0</v>
      </c>
      <c r="BA777" t="s">
        <v>74</v>
      </c>
      <c r="BB777">
        <v>0</v>
      </c>
      <c r="BD777">
        <v>5</v>
      </c>
      <c r="BE777">
        <v>0</v>
      </c>
    </row>
    <row r="778" spans="1:58" ht="12.75">
      <c r="A778" s="2" t="str">
        <f>HYPERLINK("https://ibp.a2mac1.com/costing(costing:projects/details/8191/part/5383481)"," Flaps Module")</f>
        <v xml:space="preserve"> Flaps Module</v>
      </c>
      <c r="B778">
        <v>5383481</v>
      </c>
      <c r="C778">
        <v>5383196</v>
      </c>
      <c r="D778" t="s">
        <v>2587</v>
      </c>
      <c r="E778">
        <v>8</v>
      </c>
      <c r="F778">
        <v>0</v>
      </c>
      <c r="G778">
        <v>0</v>
      </c>
      <c r="H778">
        <v>0</v>
      </c>
      <c r="I778" t="s">
        <v>74</v>
      </c>
      <c r="J778">
        <v>0</v>
      </c>
      <c r="K778">
        <v>8</v>
      </c>
      <c r="L778">
        <v>0</v>
      </c>
      <c r="M778">
        <v>0</v>
      </c>
      <c r="N778">
        <v>8</v>
      </c>
      <c r="O778" t="s">
        <v>74</v>
      </c>
      <c r="P778">
        <v>0</v>
      </c>
      <c r="Q778" t="s">
        <v>74</v>
      </c>
      <c r="R778">
        <v>0</v>
      </c>
      <c r="S778" t="s">
        <v>74</v>
      </c>
      <c r="T778">
        <v>0</v>
      </c>
      <c r="U778" t="s">
        <v>74</v>
      </c>
      <c r="V778">
        <v>0</v>
      </c>
      <c r="W778" t="s">
        <v>74</v>
      </c>
      <c r="X778">
        <v>0</v>
      </c>
      <c r="Y778">
        <v>8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708</v>
      </c>
      <c r="AF778">
        <v>570</v>
      </c>
      <c r="AG778">
        <v>61</v>
      </c>
      <c r="AH778">
        <v>0</v>
      </c>
      <c r="AI778">
        <v>1.456</v>
      </c>
      <c r="AK778" t="s">
        <v>75</v>
      </c>
      <c r="AM778">
        <v>200000</v>
      </c>
      <c r="AN778" t="s">
        <v>76</v>
      </c>
      <c r="AO778">
        <v>1</v>
      </c>
      <c r="AP778">
        <v>0</v>
      </c>
      <c r="AQ778">
        <v>16666.666666666668</v>
      </c>
      <c r="AR778" t="s">
        <v>2588</v>
      </c>
      <c r="AS778" t="s">
        <v>78</v>
      </c>
      <c r="AX778" t="s">
        <v>79</v>
      </c>
      <c r="AY778" t="s">
        <v>74</v>
      </c>
      <c r="AZ778">
        <v>0</v>
      </c>
      <c r="BA778" t="s">
        <v>74</v>
      </c>
      <c r="BB778">
        <v>0</v>
      </c>
      <c r="BD778">
        <v>8</v>
      </c>
      <c r="BE778">
        <v>0</v>
      </c>
    </row>
    <row r="779" spans="1:58" ht="12.75">
      <c r="A779" s="2" t="str">
        <f>HYPERLINK("https://ibp.a2mac1.com/costing(costing:projects/details/8191/part/5383482)"," Flaps")</f>
        <v xml:space="preserve"> Flaps</v>
      </c>
      <c r="B779">
        <v>5383482</v>
      </c>
      <c r="C779">
        <v>5383196</v>
      </c>
      <c r="D779" t="s">
        <v>2589</v>
      </c>
      <c r="E779">
        <v>4.50</v>
      </c>
      <c r="F779">
        <v>0</v>
      </c>
      <c r="G779">
        <v>0</v>
      </c>
      <c r="H779">
        <v>0</v>
      </c>
      <c r="I779" t="s">
        <v>74</v>
      </c>
      <c r="J779">
        <v>0</v>
      </c>
      <c r="K779">
        <v>4.50</v>
      </c>
      <c r="L779">
        <v>0</v>
      </c>
      <c r="M779">
        <v>0</v>
      </c>
      <c r="N779">
        <v>4.50</v>
      </c>
      <c r="O779" t="s">
        <v>74</v>
      </c>
      <c r="P779">
        <v>0</v>
      </c>
      <c r="Q779" t="s">
        <v>74</v>
      </c>
      <c r="R779">
        <v>0</v>
      </c>
      <c r="S779" t="s">
        <v>74</v>
      </c>
      <c r="T779">
        <v>0</v>
      </c>
      <c r="U779" t="s">
        <v>74</v>
      </c>
      <c r="V779">
        <v>0</v>
      </c>
      <c r="W779" t="s">
        <v>74</v>
      </c>
      <c r="X779">
        <v>0</v>
      </c>
      <c r="Y779">
        <v>4.50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687</v>
      </c>
      <c r="AF779">
        <v>31</v>
      </c>
      <c r="AG779">
        <v>64</v>
      </c>
      <c r="AH779">
        <v>0</v>
      </c>
      <c r="AI779">
        <v>0.46</v>
      </c>
      <c r="AK779" t="s">
        <v>75</v>
      </c>
      <c r="AM779">
        <v>200000</v>
      </c>
      <c r="AN779" t="s">
        <v>76</v>
      </c>
      <c r="AO779">
        <v>1</v>
      </c>
      <c r="AP779">
        <v>0</v>
      </c>
      <c r="AQ779">
        <v>16666.666666666668</v>
      </c>
      <c r="AR779" t="s">
        <v>2590</v>
      </c>
      <c r="AS779" t="s">
        <v>78</v>
      </c>
      <c r="AX779" t="s">
        <v>79</v>
      </c>
      <c r="AY779" t="s">
        <v>74</v>
      </c>
      <c r="AZ779">
        <v>0</v>
      </c>
      <c r="BA779" t="s">
        <v>74</v>
      </c>
      <c r="BB779">
        <v>0</v>
      </c>
      <c r="BD779">
        <v>4.50</v>
      </c>
      <c r="BE779">
        <v>0</v>
      </c>
    </row>
    <row r="780" spans="1:58" ht="12.75">
      <c r="A780" s="2" t="str">
        <f>HYPERLINK("https://ibp.a2mac1.com/costing(costing:projects/details/8191/part/5383483)"," Flaps Mechanism")</f>
        <v xml:space="preserve"> Flaps Mechanism</v>
      </c>
      <c r="B780">
        <v>5383483</v>
      </c>
      <c r="C780">
        <v>5383196</v>
      </c>
      <c r="D780" t="s">
        <v>2591</v>
      </c>
      <c r="E780">
        <v>6</v>
      </c>
      <c r="F780">
        <v>0</v>
      </c>
      <c r="G780">
        <v>0</v>
      </c>
      <c r="H780">
        <v>0</v>
      </c>
      <c r="I780" t="s">
        <v>74</v>
      </c>
      <c r="J780">
        <v>0</v>
      </c>
      <c r="K780">
        <v>6</v>
      </c>
      <c r="L780">
        <v>0</v>
      </c>
      <c r="M780">
        <v>0</v>
      </c>
      <c r="N780">
        <v>6</v>
      </c>
      <c r="O780" t="s">
        <v>74</v>
      </c>
      <c r="P780">
        <v>0</v>
      </c>
      <c r="Q780" t="s">
        <v>74</v>
      </c>
      <c r="R780">
        <v>0</v>
      </c>
      <c r="S780" t="s">
        <v>74</v>
      </c>
      <c r="T780">
        <v>0</v>
      </c>
      <c r="U780" t="s">
        <v>74</v>
      </c>
      <c r="V780">
        <v>0</v>
      </c>
      <c r="W780" t="s">
        <v>74</v>
      </c>
      <c r="X780">
        <v>0</v>
      </c>
      <c r="Y780">
        <v>6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0.041000000000000002</v>
      </c>
      <c r="AK780" t="s">
        <v>75</v>
      </c>
      <c r="AM780">
        <v>400000</v>
      </c>
      <c r="AN780" t="s">
        <v>76</v>
      </c>
      <c r="AO780">
        <v>2</v>
      </c>
      <c r="AP780">
        <v>0</v>
      </c>
      <c r="AQ780">
        <v>33333.333333333336</v>
      </c>
      <c r="AR780" t="s">
        <v>2592</v>
      </c>
      <c r="AS780" t="s">
        <v>78</v>
      </c>
      <c r="AX780" t="s">
        <v>79</v>
      </c>
      <c r="AY780" t="s">
        <v>74</v>
      </c>
      <c r="AZ780">
        <v>0</v>
      </c>
      <c r="BA780" t="s">
        <v>74</v>
      </c>
      <c r="BB780">
        <v>0</v>
      </c>
      <c r="BD780">
        <v>3</v>
      </c>
      <c r="BE780">
        <v>0</v>
      </c>
    </row>
    <row r="781" spans="1:58" ht="12.75">
      <c r="A781" s="2" t="str">
        <f>HYPERLINK("https://ibp.a2mac1.com/costing(costing:projects/details/8191/part/5383484)"," Flaps Cable Guide")</f>
        <v xml:space="preserve"> Flaps Cable Guide</v>
      </c>
      <c r="B781">
        <v>5383484</v>
      </c>
      <c r="C781">
        <v>5383196</v>
      </c>
      <c r="D781" t="s">
        <v>2593</v>
      </c>
      <c r="E781">
        <v>1.40</v>
      </c>
      <c r="F781">
        <v>0</v>
      </c>
      <c r="G781">
        <v>0</v>
      </c>
      <c r="H781">
        <v>0</v>
      </c>
      <c r="I781" t="s">
        <v>74</v>
      </c>
      <c r="J781">
        <v>0</v>
      </c>
      <c r="K781">
        <v>1.40</v>
      </c>
      <c r="L781">
        <v>0</v>
      </c>
      <c r="M781">
        <v>0</v>
      </c>
      <c r="N781">
        <v>1.40</v>
      </c>
      <c r="O781" t="s">
        <v>74</v>
      </c>
      <c r="P781">
        <v>0</v>
      </c>
      <c r="Q781" t="s">
        <v>74</v>
      </c>
      <c r="R781">
        <v>0</v>
      </c>
      <c r="S781" t="s">
        <v>74</v>
      </c>
      <c r="T781">
        <v>0</v>
      </c>
      <c r="U781" t="s">
        <v>74</v>
      </c>
      <c r="V781">
        <v>0</v>
      </c>
      <c r="W781" t="s">
        <v>74</v>
      </c>
      <c r="X781">
        <v>0</v>
      </c>
      <c r="Y781">
        <v>1.40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106</v>
      </c>
      <c r="AF781">
        <v>33</v>
      </c>
      <c r="AG781">
        <v>14</v>
      </c>
      <c r="AH781">
        <v>0</v>
      </c>
      <c r="AI781">
        <v>0.021000000000000001</v>
      </c>
      <c r="AK781" t="s">
        <v>75</v>
      </c>
      <c r="AM781">
        <v>400000</v>
      </c>
      <c r="AN781" t="s">
        <v>76</v>
      </c>
      <c r="AO781">
        <v>2</v>
      </c>
      <c r="AP781">
        <v>0</v>
      </c>
      <c r="AQ781">
        <v>33333.333333333336</v>
      </c>
      <c r="AR781" t="s">
        <v>2594</v>
      </c>
      <c r="AS781" t="s">
        <v>78</v>
      </c>
      <c r="AX781" t="s">
        <v>79</v>
      </c>
      <c r="AY781" t="s">
        <v>74</v>
      </c>
      <c r="AZ781">
        <v>0</v>
      </c>
      <c r="BA781" t="s">
        <v>74</v>
      </c>
      <c r="BB781">
        <v>0</v>
      </c>
      <c r="BD781">
        <v>0.70</v>
      </c>
      <c r="BE781">
        <v>0</v>
      </c>
    </row>
    <row r="782" spans="1:58" ht="12.75">
      <c r="A782" s="2" t="str">
        <f>HYPERLINK("https://ibp.a2mac1.com/costing(costing:projects/details/8191/part/5383197)"," Main/Single")</f>
        <v xml:space="preserve"> Main/Single</v>
      </c>
      <c r="B782">
        <v>5383197</v>
      </c>
      <c r="C782">
        <v>5382911</v>
      </c>
      <c r="D782" t="s">
        <v>2604</v>
      </c>
      <c r="E782">
        <v>0.48743459099999997</v>
      </c>
      <c r="F782">
        <v>0</v>
      </c>
      <c r="G782">
        <v>0</v>
      </c>
      <c r="H782">
        <v>0.0024726005317894737</v>
      </c>
      <c r="I782" t="s">
        <v>137</v>
      </c>
      <c r="J782">
        <v>0.017102968105263159</v>
      </c>
      <c r="K782">
        <v>0.50701015963705265</v>
      </c>
      <c r="L782">
        <v>0.03524321653334362</v>
      </c>
      <c r="M782">
        <v>0.21145929920006173</v>
      </c>
      <c r="N782">
        <v>0.71846945883711433</v>
      </c>
      <c r="O782" t="s">
        <v>138</v>
      </c>
      <c r="P782">
        <v>0.030420609578223158</v>
      </c>
      <c r="Q782" t="s">
        <v>138</v>
      </c>
      <c r="R782">
        <v>0.012687557952003704</v>
      </c>
      <c r="S782" t="s">
        <v>139</v>
      </c>
      <c r="T782">
        <v>0.08621633506045373</v>
      </c>
      <c r="U782" t="s">
        <v>90</v>
      </c>
      <c r="V782">
        <v>0</v>
      </c>
      <c r="W782" t="s">
        <v>90</v>
      </c>
      <c r="X782">
        <v>0</v>
      </c>
      <c r="Y782">
        <v>0.84779396142779495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880</v>
      </c>
      <c r="AF782">
        <v>579</v>
      </c>
      <c r="AG782">
        <v>266</v>
      </c>
      <c r="AH782">
        <v>0</v>
      </c>
      <c r="AI782">
        <v>0.45900000000000002</v>
      </c>
      <c r="AK782" t="s">
        <v>75</v>
      </c>
      <c r="AM782">
        <v>200000</v>
      </c>
      <c r="AN782" t="s">
        <v>76</v>
      </c>
      <c r="AO782">
        <v>1</v>
      </c>
      <c r="AP782">
        <v>0</v>
      </c>
      <c r="AQ782">
        <v>16666.666666666668</v>
      </c>
      <c r="AR782" t="s">
        <v>2605</v>
      </c>
      <c r="AS782" t="s">
        <v>78</v>
      </c>
      <c r="AX782" t="s">
        <v>79</v>
      </c>
      <c r="AY782" t="s">
        <v>137</v>
      </c>
      <c r="AZ782">
        <v>0</v>
      </c>
      <c r="BA782" t="s">
        <v>137</v>
      </c>
      <c r="BB782">
        <v>0</v>
      </c>
      <c r="BE782">
        <v>0</v>
      </c>
    </row>
    <row r="783" spans="1:58" ht="12.75">
      <c r="A783" s="2" t="str">
        <f>HYPERLINK("https://ibp.a2mac1.com/costing(costing:projects/details/8191/part/5382893)"," Pipe Support")</f>
        <v xml:space="preserve"> Pipe Support</v>
      </c>
      <c r="B783">
        <v>5382893</v>
      </c>
      <c r="C783">
        <v>5382806</v>
      </c>
      <c r="D783" t="s">
        <v>2608</v>
      </c>
      <c r="E783">
        <v>0.31</v>
      </c>
      <c r="F783">
        <v>0</v>
      </c>
      <c r="G783">
        <v>0</v>
      </c>
      <c r="H783">
        <v>0</v>
      </c>
      <c r="I783" t="s">
        <v>74</v>
      </c>
      <c r="J783">
        <v>0</v>
      </c>
      <c r="K783">
        <v>0.31</v>
      </c>
      <c r="L783">
        <v>0</v>
      </c>
      <c r="M783">
        <v>0</v>
      </c>
      <c r="N783">
        <v>0.31</v>
      </c>
      <c r="O783" t="s">
        <v>74</v>
      </c>
      <c r="P783">
        <v>0</v>
      </c>
      <c r="Q783" t="s">
        <v>74</v>
      </c>
      <c r="R783">
        <v>0</v>
      </c>
      <c r="S783" t="s">
        <v>74</v>
      </c>
      <c r="T783">
        <v>0</v>
      </c>
      <c r="U783" t="s">
        <v>74</v>
      </c>
      <c r="V783">
        <v>0</v>
      </c>
      <c r="W783" t="s">
        <v>74</v>
      </c>
      <c r="X783">
        <v>0</v>
      </c>
      <c r="Y783">
        <v>0.31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270</v>
      </c>
      <c r="AF783">
        <v>148</v>
      </c>
      <c r="AG783">
        <v>77</v>
      </c>
      <c r="AH783">
        <v>0</v>
      </c>
      <c r="AI783">
        <v>0.12</v>
      </c>
      <c r="AK783" t="s">
        <v>75</v>
      </c>
      <c r="AM783">
        <v>200000</v>
      </c>
      <c r="AN783" t="s">
        <v>76</v>
      </c>
      <c r="AO783">
        <v>1</v>
      </c>
      <c r="AP783">
        <v>0</v>
      </c>
      <c r="AQ783">
        <v>16666.666666666668</v>
      </c>
      <c r="AR783" t="s">
        <v>2609</v>
      </c>
      <c r="AS783" t="s">
        <v>78</v>
      </c>
      <c r="AX783" t="s">
        <v>79</v>
      </c>
      <c r="AY783" t="s">
        <v>74</v>
      </c>
      <c r="AZ783">
        <v>0</v>
      </c>
      <c r="BA783" t="s">
        <v>74</v>
      </c>
      <c r="BB783">
        <v>0</v>
      </c>
      <c r="BD783">
        <v>0.31</v>
      </c>
      <c r="BE783">
        <v>0</v>
      </c>
    </row>
    <row r="784" spans="1:58" ht="12.75">
      <c r="A784" s="2" t="str">
        <f>HYPERLINK("https://ibp.a2mac1.com/costing(costing:projects/details/8191/part/5382894)"," Water Input IN Water Outlet")</f>
        <v xml:space="preserve"> Water Input IN Water Outlet</v>
      </c>
      <c r="B784">
        <v>5382894</v>
      </c>
      <c r="C784">
        <v>5382806</v>
      </c>
      <c r="D784" t="s">
        <v>2610</v>
      </c>
      <c r="E784">
        <v>0.60</v>
      </c>
      <c r="F784">
        <v>0</v>
      </c>
      <c r="G784">
        <v>0</v>
      </c>
      <c r="H784">
        <v>0</v>
      </c>
      <c r="I784" t="s">
        <v>74</v>
      </c>
      <c r="J784">
        <v>0</v>
      </c>
      <c r="K784">
        <v>0.60</v>
      </c>
      <c r="L784">
        <v>0</v>
      </c>
      <c r="M784">
        <v>0</v>
      </c>
      <c r="N784">
        <v>0.60</v>
      </c>
      <c r="O784" t="s">
        <v>74</v>
      </c>
      <c r="P784">
        <v>0</v>
      </c>
      <c r="Q784" t="s">
        <v>74</v>
      </c>
      <c r="R784">
        <v>0</v>
      </c>
      <c r="S784" t="s">
        <v>74</v>
      </c>
      <c r="T784">
        <v>0</v>
      </c>
      <c r="U784" t="s">
        <v>74</v>
      </c>
      <c r="V784">
        <v>0</v>
      </c>
      <c r="W784" t="s">
        <v>74</v>
      </c>
      <c r="X784">
        <v>0</v>
      </c>
      <c r="Y784">
        <v>0.60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105</v>
      </c>
      <c r="AF784">
        <v>41</v>
      </c>
      <c r="AG784">
        <v>53</v>
      </c>
      <c r="AH784">
        <v>0</v>
      </c>
      <c r="AI784">
        <v>0.029000000000000001</v>
      </c>
      <c r="AK784" t="s">
        <v>75</v>
      </c>
      <c r="AM784">
        <v>200000</v>
      </c>
      <c r="AN784" t="s">
        <v>76</v>
      </c>
      <c r="AO784">
        <v>1</v>
      </c>
      <c r="AP784">
        <v>0</v>
      </c>
      <c r="AQ784">
        <v>16666.666666666668</v>
      </c>
      <c r="AR784" t="s">
        <v>2611</v>
      </c>
      <c r="AS784" t="s">
        <v>78</v>
      </c>
      <c r="AX784" t="s">
        <v>79</v>
      </c>
      <c r="AY784" t="s">
        <v>74</v>
      </c>
      <c r="AZ784">
        <v>0</v>
      </c>
      <c r="BA784" t="s">
        <v>74</v>
      </c>
      <c r="BB784">
        <v>0</v>
      </c>
      <c r="BD784">
        <v>0.60</v>
      </c>
      <c r="BE784">
        <v>0</v>
      </c>
    </row>
    <row r="785" spans="1:58" ht="12.75">
      <c r="A785" s="2" t="str">
        <f>HYPERLINK("https://ibp.a2mac1.com/costing(costing:projects/details/8191/part/5382895)"," Radiator for Hybrid /Electric system")</f>
        <v xml:space="preserve"> Radiator for Hybrid /Electric system</v>
      </c>
      <c r="B785">
        <v>5382895</v>
      </c>
      <c r="C785">
        <v>5382806</v>
      </c>
      <c r="D785" t="s">
        <v>2618</v>
      </c>
      <c r="E785">
        <v>13.386105023777779</v>
      </c>
      <c r="F785">
        <v>0</v>
      </c>
      <c r="G785">
        <v>0</v>
      </c>
      <c r="H785">
        <v>0.069666757856538017</v>
      </c>
      <c r="I785" t="s">
        <v>137</v>
      </c>
      <c r="J785">
        <v>0.48188468873099416</v>
      </c>
      <c r="K785">
        <v>13.93765647036531</v>
      </c>
      <c r="L785">
        <v>2.4938706192237778</v>
      </c>
      <c r="M785">
        <v>8.7285471672832227</v>
      </c>
      <c r="N785">
        <v>22.666203637648533</v>
      </c>
      <c r="O785" t="s">
        <v>138</v>
      </c>
      <c r="P785">
        <v>0.83625938822191859</v>
      </c>
      <c r="Q785" t="s">
        <v>138</v>
      </c>
      <c r="R785">
        <v>0.52371283003699343</v>
      </c>
      <c r="S785" t="s">
        <v>139</v>
      </c>
      <c r="T785">
        <v>2.719944436517824</v>
      </c>
      <c r="U785" t="s">
        <v>90</v>
      </c>
      <c r="V785">
        <v>0</v>
      </c>
      <c r="W785" t="s">
        <v>90</v>
      </c>
      <c r="X785">
        <v>0</v>
      </c>
      <c r="Y785">
        <v>26.746120292425267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854</v>
      </c>
      <c r="AF785">
        <v>567</v>
      </c>
      <c r="AG785">
        <v>155</v>
      </c>
      <c r="AH785">
        <v>0</v>
      </c>
      <c r="AI785">
        <v>3.306</v>
      </c>
      <c r="AK785" t="s">
        <v>213</v>
      </c>
      <c r="AM785">
        <v>200000</v>
      </c>
      <c r="AN785" t="s">
        <v>76</v>
      </c>
      <c r="AO785">
        <v>1</v>
      </c>
      <c r="AP785">
        <v>0</v>
      </c>
      <c r="AQ785">
        <v>16666.666666666668</v>
      </c>
      <c r="AR785" t="s">
        <v>2619</v>
      </c>
      <c r="AS785" t="s">
        <v>78</v>
      </c>
      <c r="AX785" t="s">
        <v>79</v>
      </c>
      <c r="AY785" t="s">
        <v>137</v>
      </c>
      <c r="AZ785">
        <v>0</v>
      </c>
      <c r="BA785" t="s">
        <v>137</v>
      </c>
      <c r="BB785">
        <v>0</v>
      </c>
      <c r="BE785">
        <v>0</v>
      </c>
    </row>
    <row r="786" spans="1:58" ht="12.75">
      <c r="A786" s="2" t="str">
        <f>HYPERLINK("https://ibp.a2mac1.com/costing(costing:projects/details/8191/part/5382896)"," Lower Radiator Support")</f>
        <v xml:space="preserve"> Lower Radiator Support</v>
      </c>
      <c r="B786">
        <v>5382896</v>
      </c>
      <c r="C786">
        <v>5382806</v>
      </c>
      <c r="D786" t="s">
        <v>2620</v>
      </c>
      <c r="E786">
        <v>0.90</v>
      </c>
      <c r="F786">
        <v>0</v>
      </c>
      <c r="G786">
        <v>0</v>
      </c>
      <c r="H786">
        <v>0</v>
      </c>
      <c r="I786" t="s">
        <v>74</v>
      </c>
      <c r="J786">
        <v>0</v>
      </c>
      <c r="K786">
        <v>0.90</v>
      </c>
      <c r="L786">
        <v>0</v>
      </c>
      <c r="M786">
        <v>0</v>
      </c>
      <c r="N786">
        <v>0.90</v>
      </c>
      <c r="O786" t="s">
        <v>74</v>
      </c>
      <c r="P786">
        <v>0</v>
      </c>
      <c r="Q786" t="s">
        <v>74</v>
      </c>
      <c r="R786">
        <v>0</v>
      </c>
      <c r="S786" t="s">
        <v>74</v>
      </c>
      <c r="T786">
        <v>0</v>
      </c>
      <c r="U786" t="s">
        <v>74</v>
      </c>
      <c r="V786">
        <v>0</v>
      </c>
      <c r="W786" t="s">
        <v>74</v>
      </c>
      <c r="X786">
        <v>0</v>
      </c>
      <c r="Y786">
        <v>0.90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54</v>
      </c>
      <c r="AF786">
        <v>36</v>
      </c>
      <c r="AG786">
        <v>44</v>
      </c>
      <c r="AH786">
        <v>0</v>
      </c>
      <c r="AI786">
        <v>0.034000000000000002</v>
      </c>
      <c r="AK786" t="s">
        <v>75</v>
      </c>
      <c r="AM786">
        <v>400000</v>
      </c>
      <c r="AN786" t="s">
        <v>76</v>
      </c>
      <c r="AO786">
        <v>2</v>
      </c>
      <c r="AP786">
        <v>0</v>
      </c>
      <c r="AQ786">
        <v>33333.333333333336</v>
      </c>
      <c r="AR786" t="s">
        <v>2621</v>
      </c>
      <c r="AS786" t="s">
        <v>78</v>
      </c>
      <c r="AX786" t="s">
        <v>79</v>
      </c>
      <c r="AY786" t="s">
        <v>74</v>
      </c>
      <c r="AZ786">
        <v>0</v>
      </c>
      <c r="BA786" t="s">
        <v>74</v>
      </c>
      <c r="BB786">
        <v>0</v>
      </c>
      <c r="BD786">
        <v>0.45</v>
      </c>
      <c r="BE786">
        <v>0</v>
      </c>
    </row>
    <row r="787" spans="1:58" ht="12.75">
      <c r="A787" s="2" t="str">
        <f>HYPERLINK("https://ibp.a2mac1.com/costing(costing:projects/details/8191/part/5382897)"," Radiator grill protection")</f>
        <v xml:space="preserve"> Radiator grill protection</v>
      </c>
      <c r="B787">
        <v>5382897</v>
      </c>
      <c r="C787">
        <v>5382806</v>
      </c>
      <c r="D787" t="s">
        <v>2626</v>
      </c>
      <c r="E787">
        <v>2.1915029220000002</v>
      </c>
      <c r="F787">
        <v>0</v>
      </c>
      <c r="G787">
        <v>0</v>
      </c>
      <c r="H787">
        <v>0.011116796777263158</v>
      </c>
      <c r="I787" t="s">
        <v>137</v>
      </c>
      <c r="J787">
        <v>0.07689483936842105</v>
      </c>
      <c r="K787">
        <v>2.2795145581456842</v>
      </c>
      <c r="L787">
        <v>0.03524321653334362</v>
      </c>
      <c r="M787">
        <v>0.21145929920006173</v>
      </c>
      <c r="N787">
        <v>2.4909738573457458</v>
      </c>
      <c r="O787" t="s">
        <v>138</v>
      </c>
      <c r="P787">
        <v>0.13677087348874106</v>
      </c>
      <c r="Q787" t="s">
        <v>138</v>
      </c>
      <c r="R787">
        <v>0.012687557952003704</v>
      </c>
      <c r="S787" t="s">
        <v>139</v>
      </c>
      <c r="T787">
        <v>0.2989168628814895</v>
      </c>
      <c r="U787" t="s">
        <v>90</v>
      </c>
      <c r="V787">
        <v>0</v>
      </c>
      <c r="W787" t="s">
        <v>90</v>
      </c>
      <c r="X787">
        <v>0</v>
      </c>
      <c r="Y787">
        <v>2.9393491516679804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750</v>
      </c>
      <c r="AF787">
        <v>557</v>
      </c>
      <c r="AG787">
        <v>142</v>
      </c>
      <c r="AH787">
        <v>0</v>
      </c>
      <c r="AI787">
        <v>0.97399999999999998</v>
      </c>
      <c r="AK787" t="s">
        <v>75</v>
      </c>
      <c r="AM787">
        <v>200000</v>
      </c>
      <c r="AN787" t="s">
        <v>76</v>
      </c>
      <c r="AO787">
        <v>1</v>
      </c>
      <c r="AP787">
        <v>0</v>
      </c>
      <c r="AQ787">
        <v>16666.666666666668</v>
      </c>
      <c r="AR787" t="s">
        <v>2627</v>
      </c>
      <c r="AS787" t="s">
        <v>78</v>
      </c>
      <c r="AX787" t="s">
        <v>79</v>
      </c>
      <c r="AY787" t="s">
        <v>137</v>
      </c>
      <c r="AZ787">
        <v>0</v>
      </c>
      <c r="BA787" t="s">
        <v>137</v>
      </c>
      <c r="BB787">
        <v>0</v>
      </c>
      <c r="BE787">
        <v>0</v>
      </c>
    </row>
    <row r="788" spans="1:58" ht="12.75">
      <c r="A788" s="2" t="str">
        <f>HYPERLINK("https://ibp.a2mac1.com/costing(costing:projects/details/8191/part/5382898)"," Distributor")</f>
        <v xml:space="preserve"> Distributor</v>
      </c>
      <c r="B788">
        <v>5382898</v>
      </c>
      <c r="C788">
        <v>5382806</v>
      </c>
      <c r="D788" t="s">
        <v>2628</v>
      </c>
      <c r="E788">
        <v>4.90</v>
      </c>
      <c r="F788">
        <v>0</v>
      </c>
      <c r="G788">
        <v>0</v>
      </c>
      <c r="H788">
        <v>0</v>
      </c>
      <c r="I788" t="s">
        <v>74</v>
      </c>
      <c r="J788">
        <v>0</v>
      </c>
      <c r="K788">
        <v>4.90</v>
      </c>
      <c r="L788">
        <v>0</v>
      </c>
      <c r="M788">
        <v>0</v>
      </c>
      <c r="N788">
        <v>4.90</v>
      </c>
      <c r="O788" t="s">
        <v>74</v>
      </c>
      <c r="P788">
        <v>0</v>
      </c>
      <c r="Q788" t="s">
        <v>74</v>
      </c>
      <c r="R788">
        <v>0</v>
      </c>
      <c r="S788" t="s">
        <v>74</v>
      </c>
      <c r="T788">
        <v>0</v>
      </c>
      <c r="U788" t="s">
        <v>74</v>
      </c>
      <c r="V788">
        <v>0</v>
      </c>
      <c r="W788" t="s">
        <v>74</v>
      </c>
      <c r="X788">
        <v>0</v>
      </c>
      <c r="Y788">
        <v>4.90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100</v>
      </c>
      <c r="AF788">
        <v>115</v>
      </c>
      <c r="AG788">
        <v>43</v>
      </c>
      <c r="AH788">
        <v>0</v>
      </c>
      <c r="AI788">
        <v>0.371</v>
      </c>
      <c r="AK788" t="s">
        <v>213</v>
      </c>
      <c r="AM788">
        <v>200000</v>
      </c>
      <c r="AN788" t="s">
        <v>76</v>
      </c>
      <c r="AO788">
        <v>1</v>
      </c>
      <c r="AP788">
        <v>0</v>
      </c>
      <c r="AQ788">
        <v>16666.666666666668</v>
      </c>
      <c r="AR788" t="s">
        <v>2629</v>
      </c>
      <c r="AS788" t="s">
        <v>78</v>
      </c>
      <c r="AX788" t="s">
        <v>79</v>
      </c>
      <c r="AY788" t="s">
        <v>74</v>
      </c>
      <c r="AZ788">
        <v>0</v>
      </c>
      <c r="BA788" t="s">
        <v>74</v>
      </c>
      <c r="BB788">
        <v>0</v>
      </c>
      <c r="BD788">
        <v>4.90</v>
      </c>
      <c r="BE788">
        <v>0</v>
      </c>
    </row>
    <row r="789" spans="1:58" ht="12.75">
      <c r="A789" s="2" t="str">
        <f>HYPERLINK("https://ibp.a2mac1.com/costing(costing:projects/details/8191/part/5382899)"," Distributor Support")</f>
        <v xml:space="preserve"> Distributor Support</v>
      </c>
      <c r="B789">
        <v>5382899</v>
      </c>
      <c r="C789">
        <v>5382806</v>
      </c>
      <c r="D789" t="s">
        <v>2630</v>
      </c>
      <c r="E789">
        <v>0.46</v>
      </c>
      <c r="F789">
        <v>0</v>
      </c>
      <c r="G789">
        <v>0</v>
      </c>
      <c r="H789">
        <v>0</v>
      </c>
      <c r="I789" t="s">
        <v>74</v>
      </c>
      <c r="J789">
        <v>0</v>
      </c>
      <c r="K789">
        <v>0.46</v>
      </c>
      <c r="L789">
        <v>0</v>
      </c>
      <c r="M789">
        <v>0</v>
      </c>
      <c r="N789">
        <v>0.46</v>
      </c>
      <c r="O789" t="s">
        <v>74</v>
      </c>
      <c r="P789">
        <v>0</v>
      </c>
      <c r="Q789" t="s">
        <v>74</v>
      </c>
      <c r="R789">
        <v>0</v>
      </c>
      <c r="S789" t="s">
        <v>74</v>
      </c>
      <c r="T789">
        <v>0</v>
      </c>
      <c r="U789" t="s">
        <v>74</v>
      </c>
      <c r="V789">
        <v>0</v>
      </c>
      <c r="W789" t="s">
        <v>74</v>
      </c>
      <c r="X789">
        <v>0</v>
      </c>
      <c r="Y789">
        <v>0.46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210</v>
      </c>
      <c r="AF789">
        <v>120</v>
      </c>
      <c r="AG789">
        <v>110</v>
      </c>
      <c r="AH789">
        <v>0</v>
      </c>
      <c r="AI789">
        <v>0.32800000000000001</v>
      </c>
      <c r="AK789" t="s">
        <v>75</v>
      </c>
      <c r="AM789">
        <v>200000</v>
      </c>
      <c r="AN789" t="s">
        <v>76</v>
      </c>
      <c r="AO789">
        <v>1</v>
      </c>
      <c r="AP789">
        <v>0</v>
      </c>
      <c r="AQ789">
        <v>16666.666666666668</v>
      </c>
      <c r="AR789" t="s">
        <v>2631</v>
      </c>
      <c r="AS789" t="s">
        <v>78</v>
      </c>
      <c r="AX789" t="s">
        <v>79</v>
      </c>
      <c r="AY789" t="s">
        <v>74</v>
      </c>
      <c r="AZ789">
        <v>0</v>
      </c>
      <c r="BA789" t="s">
        <v>74</v>
      </c>
      <c r="BB789">
        <v>0</v>
      </c>
      <c r="BD789">
        <v>0.46</v>
      </c>
      <c r="BE789">
        <v>0</v>
      </c>
    </row>
    <row r="790" spans="1:58" ht="12.75">
      <c r="A790" s="2" t="str">
        <f>HYPERLINK("https://ibp.a2mac1.com/costing(costing:projects/details/8191/part/5382900)"," Electric Pump")</f>
        <v xml:space="preserve"> Electric Pump</v>
      </c>
      <c r="B790">
        <v>5382900</v>
      </c>
      <c r="C790">
        <v>5382806</v>
      </c>
      <c r="D790" t="s">
        <v>2632</v>
      </c>
      <c r="E790">
        <v>13.50</v>
      </c>
      <c r="F790">
        <v>0</v>
      </c>
      <c r="G790">
        <v>0</v>
      </c>
      <c r="H790">
        <v>0</v>
      </c>
      <c r="I790" t="s">
        <v>74</v>
      </c>
      <c r="J790">
        <v>0</v>
      </c>
      <c r="K790">
        <v>13.50</v>
      </c>
      <c r="L790">
        <v>0</v>
      </c>
      <c r="M790">
        <v>0</v>
      </c>
      <c r="N790">
        <v>13.50</v>
      </c>
      <c r="O790" t="s">
        <v>74</v>
      </c>
      <c r="P790">
        <v>0</v>
      </c>
      <c r="Q790" t="s">
        <v>74</v>
      </c>
      <c r="R790">
        <v>0</v>
      </c>
      <c r="S790" t="s">
        <v>74</v>
      </c>
      <c r="T790">
        <v>0</v>
      </c>
      <c r="U790" t="s">
        <v>74</v>
      </c>
      <c r="V790">
        <v>0</v>
      </c>
      <c r="W790" t="s">
        <v>74</v>
      </c>
      <c r="X790">
        <v>0</v>
      </c>
      <c r="Y790">
        <v>13.50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95</v>
      </c>
      <c r="AF790">
        <v>124</v>
      </c>
      <c r="AG790">
        <v>86</v>
      </c>
      <c r="AH790">
        <v>0</v>
      </c>
      <c r="AI790">
        <v>0.52200000000000002</v>
      </c>
      <c r="AK790" t="s">
        <v>213</v>
      </c>
      <c r="AM790">
        <v>200000</v>
      </c>
      <c r="AN790" t="s">
        <v>76</v>
      </c>
      <c r="AO790">
        <v>1</v>
      </c>
      <c r="AP790">
        <v>0</v>
      </c>
      <c r="AQ790">
        <v>16666.666666666668</v>
      </c>
      <c r="AR790" t="s">
        <v>2633</v>
      </c>
      <c r="AS790" t="s">
        <v>78</v>
      </c>
      <c r="AX790" t="s">
        <v>79</v>
      </c>
      <c r="AY790" t="s">
        <v>74</v>
      </c>
      <c r="AZ790">
        <v>0</v>
      </c>
      <c r="BA790" t="s">
        <v>74</v>
      </c>
      <c r="BB790">
        <v>0</v>
      </c>
      <c r="BD790">
        <v>13.50</v>
      </c>
      <c r="BE790">
        <v>0</v>
      </c>
    </row>
    <row r="791" spans="1:58" ht="12.75">
      <c r="A791" s="2" t="str">
        <f>HYPERLINK("https://ibp.a2mac1.com/costing(costing:projects/details/8191/part/5382901)"," Electric Pump Support")</f>
        <v xml:space="preserve"> Electric Pump Support</v>
      </c>
      <c r="B791">
        <v>5382901</v>
      </c>
      <c r="C791">
        <v>5382806</v>
      </c>
      <c r="D791" t="s">
        <v>2634</v>
      </c>
      <c r="E791">
        <v>0.19</v>
      </c>
      <c r="F791">
        <v>0</v>
      </c>
      <c r="G791">
        <v>0</v>
      </c>
      <c r="H791">
        <v>0</v>
      </c>
      <c r="I791" t="s">
        <v>74</v>
      </c>
      <c r="J791">
        <v>0</v>
      </c>
      <c r="K791">
        <v>0.19</v>
      </c>
      <c r="L791">
        <v>0</v>
      </c>
      <c r="M791">
        <v>0</v>
      </c>
      <c r="N791">
        <v>0.19</v>
      </c>
      <c r="O791" t="s">
        <v>74</v>
      </c>
      <c r="P791">
        <v>0</v>
      </c>
      <c r="Q791" t="s">
        <v>74</v>
      </c>
      <c r="R791">
        <v>0</v>
      </c>
      <c r="S791" t="s">
        <v>74</v>
      </c>
      <c r="T791">
        <v>0</v>
      </c>
      <c r="U791" t="s">
        <v>74</v>
      </c>
      <c r="V791">
        <v>0</v>
      </c>
      <c r="W791" t="s">
        <v>74</v>
      </c>
      <c r="X791">
        <v>0</v>
      </c>
      <c r="Y791">
        <v>0.19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76</v>
      </c>
      <c r="AF791">
        <v>78</v>
      </c>
      <c r="AG791">
        <v>105</v>
      </c>
      <c r="AH791">
        <v>0</v>
      </c>
      <c r="AI791">
        <v>0.10</v>
      </c>
      <c r="AK791" t="s">
        <v>75</v>
      </c>
      <c r="AM791">
        <v>200000</v>
      </c>
      <c r="AN791" t="s">
        <v>76</v>
      </c>
      <c r="AO791">
        <v>1</v>
      </c>
      <c r="AP791">
        <v>0</v>
      </c>
      <c r="AQ791">
        <v>16666.666666666668</v>
      </c>
      <c r="AR791" t="s">
        <v>2635</v>
      </c>
      <c r="AS791" t="s">
        <v>78</v>
      </c>
      <c r="AX791" t="s">
        <v>79</v>
      </c>
      <c r="AY791" t="s">
        <v>74</v>
      </c>
      <c r="AZ791">
        <v>0</v>
      </c>
      <c r="BA791" t="s">
        <v>74</v>
      </c>
      <c r="BB791">
        <v>0</v>
      </c>
      <c r="BD791">
        <v>0.19</v>
      </c>
      <c r="BE791">
        <v>0</v>
      </c>
    </row>
    <row r="792" spans="1:58" ht="12.75">
      <c r="A792" s="2" t="str">
        <f>HYPERLINK("https://ibp.a2mac1.com/costing(costing:projects/details/8191/part/5382902)"," 2nd Electric Pump")</f>
        <v xml:space="preserve"> 2nd Electric Pump</v>
      </c>
      <c r="B792">
        <v>5382902</v>
      </c>
      <c r="C792">
        <v>5382806</v>
      </c>
      <c r="D792" t="s">
        <v>2636</v>
      </c>
      <c r="E792">
        <v>11.80</v>
      </c>
      <c r="F792">
        <v>0</v>
      </c>
      <c r="G792">
        <v>0</v>
      </c>
      <c r="H792">
        <v>0</v>
      </c>
      <c r="I792" t="s">
        <v>74</v>
      </c>
      <c r="J792">
        <v>0</v>
      </c>
      <c r="K792">
        <v>11.80</v>
      </c>
      <c r="L792">
        <v>0</v>
      </c>
      <c r="M792">
        <v>0</v>
      </c>
      <c r="N792">
        <v>11.80</v>
      </c>
      <c r="O792" t="s">
        <v>74</v>
      </c>
      <c r="P792">
        <v>0</v>
      </c>
      <c r="Q792" t="s">
        <v>74</v>
      </c>
      <c r="R792">
        <v>0</v>
      </c>
      <c r="S792" t="s">
        <v>74</v>
      </c>
      <c r="T792">
        <v>0</v>
      </c>
      <c r="U792" t="s">
        <v>74</v>
      </c>
      <c r="V792">
        <v>0</v>
      </c>
      <c r="W792" t="s">
        <v>74</v>
      </c>
      <c r="X792">
        <v>0</v>
      </c>
      <c r="Y792">
        <v>11.80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105</v>
      </c>
      <c r="AF792">
        <v>83</v>
      </c>
      <c r="AG792">
        <v>108</v>
      </c>
      <c r="AH792">
        <v>0</v>
      </c>
      <c r="AI792">
        <v>0.39300000000000002</v>
      </c>
      <c r="AK792" t="s">
        <v>213</v>
      </c>
      <c r="AM792">
        <v>200000</v>
      </c>
      <c r="AN792" t="s">
        <v>76</v>
      </c>
      <c r="AO792">
        <v>1</v>
      </c>
      <c r="AP792">
        <v>0</v>
      </c>
      <c r="AQ792">
        <v>16666.666666666668</v>
      </c>
      <c r="AR792" t="s">
        <v>2637</v>
      </c>
      <c r="AS792" t="s">
        <v>78</v>
      </c>
      <c r="AX792" t="s">
        <v>79</v>
      </c>
      <c r="AY792" t="s">
        <v>74</v>
      </c>
      <c r="AZ792">
        <v>0</v>
      </c>
      <c r="BA792" t="s">
        <v>74</v>
      </c>
      <c r="BB792">
        <v>0</v>
      </c>
      <c r="BD792">
        <v>11.80</v>
      </c>
      <c r="BE792">
        <v>0</v>
      </c>
    </row>
    <row r="793" spans="1:58" ht="12.75">
      <c r="A793" s="2" t="str">
        <f>HYPERLINK("https://ibp.a2mac1.com/costing(costing:projects/details/8191/part/5382903)"," 2nd Electric Pump Support")</f>
        <v xml:space="preserve"> 2nd Electric Pump Support</v>
      </c>
      <c r="B793">
        <v>5382903</v>
      </c>
      <c r="C793">
        <v>5382806</v>
      </c>
      <c r="D793" t="s">
        <v>2638</v>
      </c>
      <c r="E793">
        <v>0.13</v>
      </c>
      <c r="F793">
        <v>0</v>
      </c>
      <c r="G793">
        <v>0</v>
      </c>
      <c r="H793">
        <v>0</v>
      </c>
      <c r="I793" t="s">
        <v>74</v>
      </c>
      <c r="J793">
        <v>0</v>
      </c>
      <c r="K793">
        <v>0.13</v>
      </c>
      <c r="L793">
        <v>0</v>
      </c>
      <c r="M793">
        <v>0</v>
      </c>
      <c r="N793">
        <v>0.13</v>
      </c>
      <c r="O793" t="s">
        <v>74</v>
      </c>
      <c r="P793">
        <v>0</v>
      </c>
      <c r="Q793" t="s">
        <v>74</v>
      </c>
      <c r="R793">
        <v>0</v>
      </c>
      <c r="S793" t="s">
        <v>74</v>
      </c>
      <c r="T793">
        <v>0</v>
      </c>
      <c r="U793" t="s">
        <v>74</v>
      </c>
      <c r="V793">
        <v>0</v>
      </c>
      <c r="W793" t="s">
        <v>74</v>
      </c>
      <c r="X793">
        <v>0</v>
      </c>
      <c r="Y793">
        <v>0.13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85</v>
      </c>
      <c r="AF793">
        <v>49</v>
      </c>
      <c r="AG793">
        <v>61</v>
      </c>
      <c r="AH793">
        <v>0</v>
      </c>
      <c r="AI793">
        <v>0.055</v>
      </c>
      <c r="AK793" t="s">
        <v>75</v>
      </c>
      <c r="AM793">
        <v>200000</v>
      </c>
      <c r="AN793" t="s">
        <v>76</v>
      </c>
      <c r="AO793">
        <v>1</v>
      </c>
      <c r="AP793">
        <v>0</v>
      </c>
      <c r="AQ793">
        <v>16666.666666666668</v>
      </c>
      <c r="AR793" t="s">
        <v>2639</v>
      </c>
      <c r="AS793" t="s">
        <v>78</v>
      </c>
      <c r="AX793" t="s">
        <v>79</v>
      </c>
      <c r="AY793" t="s">
        <v>74</v>
      </c>
      <c r="AZ793">
        <v>0</v>
      </c>
      <c r="BA793" t="s">
        <v>74</v>
      </c>
      <c r="BB793">
        <v>0</v>
      </c>
      <c r="BD793">
        <v>0.13</v>
      </c>
      <c r="BE793">
        <v>0</v>
      </c>
    </row>
    <row r="794" spans="1:58" ht="12.75">
      <c r="A794" s="2" t="str">
        <f>HYPERLINK("https://ibp.a2mac1.com/costing(costing:projects/details/8191/part/5382904)"," Water Temperature Sensor")</f>
        <v xml:space="preserve"> Water Temperature Sensor</v>
      </c>
      <c r="B794">
        <v>5382904</v>
      </c>
      <c r="C794">
        <v>5382806</v>
      </c>
      <c r="D794" t="s">
        <v>2640</v>
      </c>
      <c r="E794">
        <v>0.90</v>
      </c>
      <c r="F794">
        <v>0</v>
      </c>
      <c r="G794">
        <v>0</v>
      </c>
      <c r="H794">
        <v>0</v>
      </c>
      <c r="I794" t="s">
        <v>74</v>
      </c>
      <c r="J794">
        <v>0</v>
      </c>
      <c r="K794">
        <v>0.90</v>
      </c>
      <c r="L794">
        <v>0</v>
      </c>
      <c r="M794">
        <v>0</v>
      </c>
      <c r="N794">
        <v>0.90</v>
      </c>
      <c r="O794" t="s">
        <v>74</v>
      </c>
      <c r="P794">
        <v>0</v>
      </c>
      <c r="Q794" t="s">
        <v>74</v>
      </c>
      <c r="R794">
        <v>0</v>
      </c>
      <c r="S794" t="s">
        <v>74</v>
      </c>
      <c r="T794">
        <v>0</v>
      </c>
      <c r="U794" t="s">
        <v>74</v>
      </c>
      <c r="V794">
        <v>0</v>
      </c>
      <c r="W794" t="s">
        <v>74</v>
      </c>
      <c r="X794">
        <v>0</v>
      </c>
      <c r="Y794">
        <v>0.90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18</v>
      </c>
      <c r="AF794">
        <v>51</v>
      </c>
      <c r="AG794">
        <v>31</v>
      </c>
      <c r="AH794">
        <v>0</v>
      </c>
      <c r="AI794">
        <v>0.0080000000000000002</v>
      </c>
      <c r="AK794" t="s">
        <v>213</v>
      </c>
      <c r="AM794">
        <v>200000</v>
      </c>
      <c r="AN794" t="s">
        <v>76</v>
      </c>
      <c r="AO794">
        <v>1</v>
      </c>
      <c r="AP794">
        <v>0</v>
      </c>
      <c r="AQ794">
        <v>16666.666666666668</v>
      </c>
      <c r="AR794" t="s">
        <v>2641</v>
      </c>
      <c r="AS794" t="s">
        <v>78</v>
      </c>
      <c r="AX794" t="s">
        <v>79</v>
      </c>
      <c r="AY794" t="s">
        <v>74</v>
      </c>
      <c r="AZ794">
        <v>0</v>
      </c>
      <c r="BA794" t="s">
        <v>74</v>
      </c>
      <c r="BB794">
        <v>0</v>
      </c>
      <c r="BD794">
        <v>0.90</v>
      </c>
      <c r="BE794">
        <v>0</v>
      </c>
    </row>
    <row r="795" spans="1:58" ht="12.75">
      <c r="A795" s="2" t="str">
        <f>HYPERLINK("https://ibp.a2mac1.com/costing(costing:projects/details/8191/part/5382905)"," 2nd Water Temperature Sensor")</f>
        <v xml:space="preserve"> 2nd Water Temperature Sensor</v>
      </c>
      <c r="B795">
        <v>5382905</v>
      </c>
      <c r="C795">
        <v>5382806</v>
      </c>
      <c r="D795" t="s">
        <v>2642</v>
      </c>
      <c r="E795">
        <v>0.90</v>
      </c>
      <c r="F795">
        <v>0</v>
      </c>
      <c r="G795">
        <v>0</v>
      </c>
      <c r="H795">
        <v>0</v>
      </c>
      <c r="I795" t="s">
        <v>74</v>
      </c>
      <c r="J795">
        <v>0</v>
      </c>
      <c r="K795">
        <v>0.90</v>
      </c>
      <c r="L795">
        <v>0</v>
      </c>
      <c r="M795">
        <v>0</v>
      </c>
      <c r="N795">
        <v>0.90</v>
      </c>
      <c r="O795" t="s">
        <v>74</v>
      </c>
      <c r="P795">
        <v>0</v>
      </c>
      <c r="Q795" t="s">
        <v>74</v>
      </c>
      <c r="R795">
        <v>0</v>
      </c>
      <c r="S795" t="s">
        <v>74</v>
      </c>
      <c r="T795">
        <v>0</v>
      </c>
      <c r="U795" t="s">
        <v>74</v>
      </c>
      <c r="V795">
        <v>0</v>
      </c>
      <c r="W795" t="s">
        <v>74</v>
      </c>
      <c r="X795">
        <v>0</v>
      </c>
      <c r="Y795">
        <v>0.90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18</v>
      </c>
      <c r="AF795">
        <v>51</v>
      </c>
      <c r="AG795">
        <v>31</v>
      </c>
      <c r="AH795">
        <v>0</v>
      </c>
      <c r="AI795">
        <v>0.0080000000000000002</v>
      </c>
      <c r="AK795" t="s">
        <v>213</v>
      </c>
      <c r="AM795">
        <v>200000</v>
      </c>
      <c r="AN795" t="s">
        <v>76</v>
      </c>
      <c r="AO795">
        <v>1</v>
      </c>
      <c r="AP795">
        <v>0</v>
      </c>
      <c r="AQ795">
        <v>16666.666666666668</v>
      </c>
      <c r="AR795" t="s">
        <v>2643</v>
      </c>
      <c r="AS795" t="s">
        <v>78</v>
      </c>
      <c r="AX795" t="s">
        <v>79</v>
      </c>
      <c r="AY795" t="s">
        <v>74</v>
      </c>
      <c r="AZ795">
        <v>0</v>
      </c>
      <c r="BA795" t="s">
        <v>74</v>
      </c>
      <c r="BB795">
        <v>0</v>
      </c>
      <c r="BD795">
        <v>0.90</v>
      </c>
      <c r="BE795">
        <v>0</v>
      </c>
    </row>
    <row r="796" spans="1:58" ht="12.75">
      <c r="A796" s="2" t="str">
        <f>HYPERLINK("https://ibp.a2mac1.com/costing(costing:projects/details/8191/part/5382807)","Hybrid/Electric Unit Control")</f>
        <v>Hybrid/Electric Unit Control</v>
      </c>
      <c r="B796">
        <v>5382807</v>
      </c>
      <c r="C796">
        <v>5382793</v>
      </c>
      <c r="E796">
        <v>0</v>
      </c>
      <c r="F796">
        <v>11.890117994129886</v>
      </c>
      <c r="G796">
        <v>0</v>
      </c>
      <c r="H796">
        <v>0</v>
      </c>
      <c r="I796" t="s">
        <v>137</v>
      </c>
      <c r="J796">
        <v>0</v>
      </c>
      <c r="K796">
        <v>12.306272123924431</v>
      </c>
      <c r="L796">
        <v>0.2944780592792744</v>
      </c>
      <c r="M796">
        <v>1.7668683556756464</v>
      </c>
      <c r="N796">
        <v>14.073140479600079</v>
      </c>
      <c r="O796" t="s">
        <v>138</v>
      </c>
      <c r="P796">
        <v>0.73837632743546588</v>
      </c>
      <c r="Q796" t="s">
        <v>138</v>
      </c>
      <c r="R796">
        <v>0.10601210134053878</v>
      </c>
      <c r="S796" t="s">
        <v>139</v>
      </c>
      <c r="T796">
        <v>1.6887768575520095</v>
      </c>
      <c r="U796" t="s">
        <v>216</v>
      </c>
      <c r="V796">
        <v>0.070365702398000399</v>
      </c>
      <c r="W796" t="s">
        <v>217</v>
      </c>
      <c r="X796">
        <v>0.28146280959200159</v>
      </c>
      <c r="Y796">
        <v>16.958134277918095</v>
      </c>
      <c r="Z796">
        <v>0</v>
      </c>
      <c r="AA796">
        <v>0</v>
      </c>
      <c r="AB796">
        <v>0</v>
      </c>
      <c r="AC796">
        <v>0</v>
      </c>
      <c r="AD796">
        <v>0</v>
      </c>
      <c r="AK796" t="s">
        <v>218</v>
      </c>
      <c r="AL796" t="s">
        <v>577</v>
      </c>
      <c r="AM796">
        <v>200000</v>
      </c>
      <c r="AN796" t="s">
        <v>76</v>
      </c>
      <c r="AO796">
        <v>1</v>
      </c>
      <c r="AP796">
        <v>0</v>
      </c>
      <c r="AQ796">
        <v>16666.666666666668</v>
      </c>
      <c r="AR796" t="s">
        <v>9</v>
      </c>
      <c r="AS796" t="s">
        <v>78</v>
      </c>
      <c r="AW796">
        <v>0</v>
      </c>
      <c r="AX796" t="s">
        <v>79</v>
      </c>
      <c r="AY796" t="s">
        <v>137</v>
      </c>
      <c r="AZ796">
        <v>0.41615412979454602</v>
      </c>
      <c r="BA796" t="s">
        <v>137</v>
      </c>
      <c r="BB796">
        <v>0</v>
      </c>
      <c r="BE796">
        <v>0</v>
      </c>
    </row>
    <row r="797" spans="1:58" ht="12.75">
      <c r="A797" s="2" t="str">
        <f>HYPERLINK("https://ibp.a2mac1.com/costing(costing:projects/details/8191/part/5382808)","Hybrid/Electric Unit Control support")</f>
        <v>Hybrid/Electric Unit Control support</v>
      </c>
      <c r="B797">
        <v>5382808</v>
      </c>
      <c r="C797">
        <v>5382793</v>
      </c>
      <c r="E797">
        <v>0.40600999999999998</v>
      </c>
      <c r="F797">
        <v>0</v>
      </c>
      <c r="G797">
        <v>0</v>
      </c>
      <c r="H797">
        <v>0</v>
      </c>
      <c r="I797" t="s">
        <v>74</v>
      </c>
      <c r="J797">
        <v>0</v>
      </c>
      <c r="K797">
        <v>0.40600999999999998</v>
      </c>
      <c r="L797">
        <v>0</v>
      </c>
      <c r="M797">
        <v>0</v>
      </c>
      <c r="N797">
        <v>0.40600999999999998</v>
      </c>
      <c r="O797" t="s">
        <v>74</v>
      </c>
      <c r="P797">
        <v>0</v>
      </c>
      <c r="Q797" t="s">
        <v>74</v>
      </c>
      <c r="R797">
        <v>0</v>
      </c>
      <c r="S797" t="s">
        <v>74</v>
      </c>
      <c r="T797">
        <v>0</v>
      </c>
      <c r="U797" t="s">
        <v>74</v>
      </c>
      <c r="V797">
        <v>0</v>
      </c>
      <c r="W797" t="s">
        <v>74</v>
      </c>
      <c r="X797">
        <v>0</v>
      </c>
      <c r="Y797">
        <v>0.40600999999999998</v>
      </c>
      <c r="Z797">
        <v>0</v>
      </c>
      <c r="AA797">
        <v>0</v>
      </c>
      <c r="AB797">
        <v>0</v>
      </c>
      <c r="AC797">
        <v>0</v>
      </c>
      <c r="AD797">
        <v>0</v>
      </c>
      <c r="AK797" t="s">
        <v>75</v>
      </c>
      <c r="AL797" t="s">
        <v>577</v>
      </c>
      <c r="AM797">
        <v>200000</v>
      </c>
      <c r="AN797" t="s">
        <v>76</v>
      </c>
      <c r="AO797">
        <v>1</v>
      </c>
      <c r="AP797">
        <v>0</v>
      </c>
      <c r="AQ797">
        <v>16666.666666666668</v>
      </c>
      <c r="AR797" t="s">
        <v>2648</v>
      </c>
      <c r="AS797" t="s">
        <v>78</v>
      </c>
      <c r="AW797">
        <v>0</v>
      </c>
      <c r="AX797" t="s">
        <v>79</v>
      </c>
      <c r="AY797" t="s">
        <v>74</v>
      </c>
      <c r="AZ797">
        <v>0</v>
      </c>
      <c r="BA797" t="s">
        <v>74</v>
      </c>
      <c r="BB797">
        <v>0</v>
      </c>
      <c r="BD797">
        <v>0.40600999999999998</v>
      </c>
      <c r="BE797">
        <v>0</v>
      </c>
    </row>
    <row r="798" spans="1:58" ht="12.75">
      <c r="A798" s="2" t="str">
        <f>HYPERLINK("https://ibp.a2mac1.com/costing(costing:projects/details/8191/part/5382809)","Support on gearbox")</f>
        <v>Support on gearbox</v>
      </c>
      <c r="B798">
        <v>5382809</v>
      </c>
      <c r="C798">
        <v>5382794</v>
      </c>
      <c r="D798" t="s">
        <v>2655</v>
      </c>
      <c r="E798">
        <v>1.7932311257142857</v>
      </c>
      <c r="F798">
        <v>0</v>
      </c>
      <c r="G798">
        <v>0</v>
      </c>
      <c r="H798">
        <v>0.0091654035314285721</v>
      </c>
      <c r="I798" t="s">
        <v>137</v>
      </c>
      <c r="J798">
        <v>0.063397060000000005</v>
      </c>
      <c r="K798">
        <v>1.8657935892457143</v>
      </c>
      <c r="L798">
        <v>0.22201359011518207</v>
      </c>
      <c r="M798">
        <v>1.3320815406910924</v>
      </c>
      <c r="N798">
        <v>3.1978751299368069</v>
      </c>
      <c r="O798" t="s">
        <v>138</v>
      </c>
      <c r="P798">
        <v>0.11194761535474286</v>
      </c>
      <c r="Q798" t="s">
        <v>138</v>
      </c>
      <c r="R798">
        <v>0.079924892441465542</v>
      </c>
      <c r="S798" t="s">
        <v>139</v>
      </c>
      <c r="T798">
        <v>0.3837450155924168</v>
      </c>
      <c r="U798" t="s">
        <v>90</v>
      </c>
      <c r="V798">
        <v>0</v>
      </c>
      <c r="W798" t="s">
        <v>90</v>
      </c>
      <c r="X798">
        <v>0</v>
      </c>
      <c r="Y798">
        <v>3.773492653325432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85</v>
      </c>
      <c r="AF798">
        <v>180</v>
      </c>
      <c r="AG798">
        <v>170</v>
      </c>
      <c r="AH798">
        <v>0</v>
      </c>
      <c r="AI798">
        <v>0.72399999999999998</v>
      </c>
      <c r="AK798" t="s">
        <v>75</v>
      </c>
      <c r="AM798">
        <v>200000</v>
      </c>
      <c r="AN798" t="s">
        <v>76</v>
      </c>
      <c r="AO798">
        <v>1</v>
      </c>
      <c r="AP798">
        <v>0</v>
      </c>
      <c r="AQ798">
        <v>16666.666666666668</v>
      </c>
      <c r="AR798" t="s">
        <v>2656</v>
      </c>
      <c r="AS798" t="s">
        <v>78</v>
      </c>
      <c r="AX798" t="s">
        <v>79</v>
      </c>
      <c r="AY798" t="s">
        <v>137</v>
      </c>
      <c r="AZ798">
        <v>0</v>
      </c>
      <c r="BA798" t="s">
        <v>137</v>
      </c>
      <c r="BB798">
        <v>0</v>
      </c>
      <c r="BE798">
        <v>0</v>
      </c>
    </row>
    <row r="799" spans="1:58" ht="12.75">
      <c r="A799" s="2" t="str">
        <f>HYPERLINK("https://ibp.a2mac1.com/costing(costing:projects/details/8191/part/5382810)","Support 1")</f>
        <v>Support 1</v>
      </c>
      <c r="B799">
        <v>5382810</v>
      </c>
      <c r="C799">
        <v>5382794</v>
      </c>
      <c r="D799" t="s">
        <v>2661</v>
      </c>
      <c r="E799">
        <v>1.7981848028571428</v>
      </c>
      <c r="F799">
        <v>0</v>
      </c>
      <c r="G799">
        <v>0</v>
      </c>
      <c r="H799">
        <v>0.0091907223257142855</v>
      </c>
      <c r="I799" t="s">
        <v>137</v>
      </c>
      <c r="J799">
        <v>0.063572190000000001</v>
      </c>
      <c r="K799">
        <v>1.8709477151828571</v>
      </c>
      <c r="L799">
        <v>0.25134116943901663</v>
      </c>
      <c r="M799">
        <v>1.5080470166341</v>
      </c>
      <c r="N799">
        <v>3.3789947318169569</v>
      </c>
      <c r="O799" t="s">
        <v>138</v>
      </c>
      <c r="P799">
        <v>0.11225686291097142</v>
      </c>
      <c r="Q799" t="s">
        <v>138</v>
      </c>
      <c r="R799">
        <v>0.090482820998045999</v>
      </c>
      <c r="S799" t="s">
        <v>139</v>
      </c>
      <c r="T799">
        <v>0.40547936781803484</v>
      </c>
      <c r="U799" t="s">
        <v>90</v>
      </c>
      <c r="V799">
        <v>0</v>
      </c>
      <c r="W799" t="s">
        <v>90</v>
      </c>
      <c r="X799">
        <v>0</v>
      </c>
      <c r="Y799">
        <v>3.9872137835440093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175</v>
      </c>
      <c r="AF799">
        <v>100</v>
      </c>
      <c r="AG799">
        <v>45</v>
      </c>
      <c r="AH799">
        <v>0</v>
      </c>
      <c r="AI799">
        <v>0.72599999999999998</v>
      </c>
      <c r="AK799" t="s">
        <v>75</v>
      </c>
      <c r="AM799">
        <v>200000</v>
      </c>
      <c r="AN799" t="s">
        <v>76</v>
      </c>
      <c r="AO799">
        <v>1</v>
      </c>
      <c r="AP799">
        <v>0</v>
      </c>
      <c r="AQ799">
        <v>16666.666666666668</v>
      </c>
      <c r="AR799" t="s">
        <v>2662</v>
      </c>
      <c r="AS799" t="s">
        <v>78</v>
      </c>
      <c r="AX799" t="s">
        <v>79</v>
      </c>
      <c r="AY799" t="s">
        <v>137</v>
      </c>
      <c r="AZ799">
        <v>0</v>
      </c>
      <c r="BA799" t="s">
        <v>137</v>
      </c>
      <c r="BB799">
        <v>0</v>
      </c>
      <c r="BE799">
        <v>0</v>
      </c>
    </row>
    <row r="800" spans="1:58" ht="12.75">
      <c r="A800" s="2" t="str">
        <f>HYPERLINK("https://ibp.a2mac1.com/costing(costing:projects/details/8191/part/5382811)","Support 2")</f>
        <v>Support 2</v>
      </c>
      <c r="B800">
        <v>5382811</v>
      </c>
      <c r="C800">
        <v>5382794</v>
      </c>
      <c r="D800" t="s">
        <v>2667</v>
      </c>
      <c r="E800">
        <v>2.1771411042857145</v>
      </c>
      <c r="F800">
        <v>0</v>
      </c>
      <c r="G800">
        <v>0</v>
      </c>
      <c r="H800">
        <v>0.011127610088571429</v>
      </c>
      <c r="I800" t="s">
        <v>137</v>
      </c>
      <c r="J800">
        <v>0.076969634999999995</v>
      </c>
      <c r="K800">
        <v>2.2652383493742856</v>
      </c>
      <c r="L800">
        <v>0.24207982859958754</v>
      </c>
      <c r="M800">
        <v>1.4524789715975253</v>
      </c>
      <c r="N800">
        <v>3.7177173209718108</v>
      </c>
      <c r="O800" t="s">
        <v>138</v>
      </c>
      <c r="P800">
        <v>0.13591430096245713</v>
      </c>
      <c r="Q800" t="s">
        <v>138</v>
      </c>
      <c r="R800">
        <v>0.087148738295851513</v>
      </c>
      <c r="S800" t="s">
        <v>139</v>
      </c>
      <c r="T800">
        <v>0.44612607851661734</v>
      </c>
      <c r="U800" t="s">
        <v>90</v>
      </c>
      <c r="V800">
        <v>0</v>
      </c>
      <c r="W800" t="s">
        <v>90</v>
      </c>
      <c r="X800">
        <v>0</v>
      </c>
      <c r="Y800">
        <v>4.3869064387467374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150</v>
      </c>
      <c r="AF800">
        <v>140</v>
      </c>
      <c r="AG800">
        <v>90</v>
      </c>
      <c r="AH800">
        <v>0</v>
      </c>
      <c r="AI800">
        <v>0.879</v>
      </c>
      <c r="AK800" t="s">
        <v>75</v>
      </c>
      <c r="AM800">
        <v>200000</v>
      </c>
      <c r="AN800" t="s">
        <v>76</v>
      </c>
      <c r="AO800">
        <v>1</v>
      </c>
      <c r="AP800">
        <v>0</v>
      </c>
      <c r="AQ800">
        <v>16666.666666666668</v>
      </c>
      <c r="AR800" t="s">
        <v>2668</v>
      </c>
      <c r="AS800" t="s">
        <v>78</v>
      </c>
      <c r="AX800" t="s">
        <v>79</v>
      </c>
      <c r="AY800" t="s">
        <v>137</v>
      </c>
      <c r="AZ800">
        <v>0</v>
      </c>
      <c r="BA800" t="s">
        <v>137</v>
      </c>
      <c r="BB800">
        <v>0</v>
      </c>
      <c r="BE800">
        <v>0</v>
      </c>
    </row>
    <row r="801" spans="1:58" ht="12.75">
      <c r="A801" s="2" t="str">
        <f>HYPERLINK("https://ibp.a2mac1.com/costing(costing:projects/details/8191/part/5382812)","Support 3")</f>
        <v>Support 3</v>
      </c>
      <c r="B801">
        <v>5382812</v>
      </c>
      <c r="C801">
        <v>5382794</v>
      </c>
      <c r="D801" t="s">
        <v>2673</v>
      </c>
      <c r="E801">
        <v>1.19631303</v>
      </c>
      <c r="F801">
        <v>0</v>
      </c>
      <c r="G801">
        <v>0</v>
      </c>
      <c r="H801">
        <v>0.0061144888199999997</v>
      </c>
      <c r="I801" t="s">
        <v>137</v>
      </c>
      <c r="J801">
        <v>0.042293894999999998</v>
      </c>
      <c r="K801">
        <v>1.24472141382</v>
      </c>
      <c r="L801">
        <v>0.21429580608375842</v>
      </c>
      <c r="M801">
        <v>1.2857748365025505</v>
      </c>
      <c r="N801">
        <v>2.5304962503225505</v>
      </c>
      <c r="O801" t="s">
        <v>138</v>
      </c>
      <c r="P801">
        <v>0.074683284829200003</v>
      </c>
      <c r="Q801" t="s">
        <v>138</v>
      </c>
      <c r="R801">
        <v>0.07714649019015303</v>
      </c>
      <c r="S801" t="s">
        <v>139</v>
      </c>
      <c r="T801">
        <v>0.30365955003870604</v>
      </c>
      <c r="U801" t="s">
        <v>90</v>
      </c>
      <c r="V801">
        <v>0</v>
      </c>
      <c r="W801" t="s">
        <v>90</v>
      </c>
      <c r="X801">
        <v>0</v>
      </c>
      <c r="Y801">
        <v>2.9859855753806097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135</v>
      </c>
      <c r="AF801">
        <v>95</v>
      </c>
      <c r="AG801">
        <v>72</v>
      </c>
      <c r="AH801">
        <v>0</v>
      </c>
      <c r="AI801">
        <v>0.48299999999999998</v>
      </c>
      <c r="AK801" t="s">
        <v>75</v>
      </c>
      <c r="AM801">
        <v>200000</v>
      </c>
      <c r="AN801" t="s">
        <v>76</v>
      </c>
      <c r="AO801">
        <v>1</v>
      </c>
      <c r="AP801">
        <v>0</v>
      </c>
      <c r="AQ801">
        <v>16666.666666666668</v>
      </c>
      <c r="AR801" t="s">
        <v>2674</v>
      </c>
      <c r="AS801" t="s">
        <v>78</v>
      </c>
      <c r="AX801" t="s">
        <v>79</v>
      </c>
      <c r="AY801" t="s">
        <v>137</v>
      </c>
      <c r="AZ801">
        <v>0</v>
      </c>
      <c r="BA801" t="s">
        <v>137</v>
      </c>
      <c r="BB801">
        <v>0</v>
      </c>
      <c r="BE801">
        <v>0</v>
      </c>
    </row>
    <row r="802" spans="1:58" ht="12.75">
      <c r="A802" s="2" t="str">
        <f>HYPERLINK("https://ibp.a2mac1.com/costing(costing:projects/details/8191/part/5382813)","Support 4")</f>
        <v>Support 4</v>
      </c>
      <c r="B802">
        <v>5382813</v>
      </c>
      <c r="C802">
        <v>5382794</v>
      </c>
      <c r="D802" t="s">
        <v>2675</v>
      </c>
      <c r="E802">
        <v>9.21</v>
      </c>
      <c r="F802">
        <v>0</v>
      </c>
      <c r="G802">
        <v>0</v>
      </c>
      <c r="H802">
        <v>0</v>
      </c>
      <c r="I802" t="s">
        <v>74</v>
      </c>
      <c r="J802">
        <v>0</v>
      </c>
      <c r="K802">
        <v>9.21</v>
      </c>
      <c r="L802">
        <v>0</v>
      </c>
      <c r="M802">
        <v>0</v>
      </c>
      <c r="N802">
        <v>9.21</v>
      </c>
      <c r="O802" t="s">
        <v>74</v>
      </c>
      <c r="P802">
        <v>0</v>
      </c>
      <c r="Q802" t="s">
        <v>74</v>
      </c>
      <c r="R802">
        <v>0</v>
      </c>
      <c r="S802" t="s">
        <v>74</v>
      </c>
      <c r="T802">
        <v>0</v>
      </c>
      <c r="U802" t="s">
        <v>74</v>
      </c>
      <c r="V802">
        <v>0</v>
      </c>
      <c r="W802" t="s">
        <v>74</v>
      </c>
      <c r="X802">
        <v>0</v>
      </c>
      <c r="Y802">
        <v>9.21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664</v>
      </c>
      <c r="AF802">
        <v>136</v>
      </c>
      <c r="AG802">
        <v>124</v>
      </c>
      <c r="AH802">
        <v>0</v>
      </c>
      <c r="AI802">
        <v>3.8969999999999998</v>
      </c>
      <c r="AK802" t="s">
        <v>75</v>
      </c>
      <c r="AM802">
        <v>200000</v>
      </c>
      <c r="AN802" t="s">
        <v>76</v>
      </c>
      <c r="AO802">
        <v>1</v>
      </c>
      <c r="AP802">
        <v>0</v>
      </c>
      <c r="AQ802">
        <v>16666.666666666668</v>
      </c>
      <c r="AR802" t="s">
        <v>2676</v>
      </c>
      <c r="AS802" t="s">
        <v>78</v>
      </c>
      <c r="AX802" t="s">
        <v>79</v>
      </c>
      <c r="AY802" t="s">
        <v>74</v>
      </c>
      <c r="AZ802">
        <v>0</v>
      </c>
      <c r="BA802" t="s">
        <v>74</v>
      </c>
      <c r="BB802">
        <v>0</v>
      </c>
      <c r="BD802">
        <v>9.21</v>
      </c>
      <c r="BE802">
        <v>0</v>
      </c>
    </row>
    <row r="803" spans="1:58" ht="12.75">
      <c r="A803" s="2" t="str">
        <f>HYPERLINK("https://ibp.a2mac1.com/costing(costing:projects/details/8191/part/5382814)","Rubber Mount")</f>
        <v>Rubber Mount</v>
      </c>
      <c r="B803">
        <v>5382814</v>
      </c>
      <c r="C803">
        <v>5382794</v>
      </c>
      <c r="D803" t="s">
        <v>2681</v>
      </c>
      <c r="E803">
        <v>1.4241821785714286</v>
      </c>
      <c r="F803">
        <v>0</v>
      </c>
      <c r="G803">
        <v>0</v>
      </c>
      <c r="H803">
        <v>0.007279153357142857</v>
      </c>
      <c r="I803" t="s">
        <v>137</v>
      </c>
      <c r="J803">
        <v>0.050349875000000002</v>
      </c>
      <c r="K803">
        <v>1.4818112069285714</v>
      </c>
      <c r="L803">
        <v>0.22664426053551118</v>
      </c>
      <c r="M803">
        <v>1.359865563213067</v>
      </c>
      <c r="N803">
        <v>2.8416767701416386</v>
      </c>
      <c r="O803" t="s">
        <v>138</v>
      </c>
      <c r="P803">
        <v>0.08890867241571429</v>
      </c>
      <c r="Q803" t="s">
        <v>138</v>
      </c>
      <c r="R803">
        <v>0.081591933792784024</v>
      </c>
      <c r="S803" t="s">
        <v>139</v>
      </c>
      <c r="T803">
        <v>0.3410012124169966</v>
      </c>
      <c r="U803" t="s">
        <v>90</v>
      </c>
      <c r="V803">
        <v>0</v>
      </c>
      <c r="W803" t="s">
        <v>90</v>
      </c>
      <c r="X803">
        <v>0</v>
      </c>
      <c r="Y803">
        <v>3.3531785887671335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144</v>
      </c>
      <c r="AF803">
        <v>91</v>
      </c>
      <c r="AG803">
        <v>103</v>
      </c>
      <c r="AH803">
        <v>0</v>
      </c>
      <c r="AI803">
        <v>0.575</v>
      </c>
      <c r="AK803" t="s">
        <v>75</v>
      </c>
      <c r="AM803">
        <v>200000</v>
      </c>
      <c r="AN803" t="s">
        <v>76</v>
      </c>
      <c r="AO803">
        <v>1</v>
      </c>
      <c r="AP803">
        <v>0</v>
      </c>
      <c r="AQ803">
        <v>16666.666666666668</v>
      </c>
      <c r="AR803" t="s">
        <v>2682</v>
      </c>
      <c r="AS803" t="s">
        <v>78</v>
      </c>
      <c r="AX803" t="s">
        <v>79</v>
      </c>
      <c r="AY803" t="s">
        <v>137</v>
      </c>
      <c r="AZ803">
        <v>0</v>
      </c>
      <c r="BA803" t="s">
        <v>137</v>
      </c>
      <c r="BB803">
        <v>0</v>
      </c>
      <c r="BE803">
        <v>0</v>
      </c>
    </row>
    <row r="804" spans="1:58" ht="12.75">
      <c r="A804" s="2" t="str">
        <f>HYPERLINK("https://ibp.a2mac1.com/costing(costing:projects/details/8191/part/5382815)","Fastener")</f>
        <v>Fastener</v>
      </c>
      <c r="B804">
        <v>5382815</v>
      </c>
      <c r="C804">
        <v>5382794</v>
      </c>
      <c r="D804" t="s">
        <v>603</v>
      </c>
      <c r="E804">
        <v>8.58</v>
      </c>
      <c r="F804">
        <v>0</v>
      </c>
      <c r="G804">
        <v>0</v>
      </c>
      <c r="H804">
        <v>0</v>
      </c>
      <c r="I804" t="s">
        <v>74</v>
      </c>
      <c r="J804">
        <v>0</v>
      </c>
      <c r="K804">
        <v>8.58</v>
      </c>
      <c r="L804">
        <v>0</v>
      </c>
      <c r="M804">
        <v>0</v>
      </c>
      <c r="N804">
        <v>8.58</v>
      </c>
      <c r="O804" t="s">
        <v>74</v>
      </c>
      <c r="P804">
        <v>0</v>
      </c>
      <c r="Q804" t="s">
        <v>74</v>
      </c>
      <c r="R804">
        <v>0</v>
      </c>
      <c r="S804" t="s">
        <v>74</v>
      </c>
      <c r="T804">
        <v>0</v>
      </c>
      <c r="U804" t="s">
        <v>74</v>
      </c>
      <c r="V804">
        <v>0</v>
      </c>
      <c r="W804" t="s">
        <v>74</v>
      </c>
      <c r="X804">
        <v>0</v>
      </c>
      <c r="Y804">
        <v>8.58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0.07</v>
      </c>
      <c r="AK804" t="s">
        <v>218</v>
      </c>
      <c r="AM804">
        <v>4400000</v>
      </c>
      <c r="AN804" t="s">
        <v>92</v>
      </c>
      <c r="AO804">
        <v>22</v>
      </c>
      <c r="AP804">
        <v>0</v>
      </c>
      <c r="AQ804">
        <v>366666.66666666669</v>
      </c>
      <c r="AR804" t="s">
        <v>9</v>
      </c>
      <c r="AS804" t="s">
        <v>78</v>
      </c>
      <c r="AX804" t="s">
        <v>79</v>
      </c>
      <c r="AY804" t="s">
        <v>74</v>
      </c>
      <c r="AZ804">
        <v>0</v>
      </c>
      <c r="BA804" t="s">
        <v>74</v>
      </c>
      <c r="BB804">
        <v>0</v>
      </c>
      <c r="BD804">
        <v>0.39</v>
      </c>
      <c r="BE804">
        <v>0</v>
      </c>
    </row>
    <row r="805" spans="1:58" ht="12.75">
      <c r="A805" s="2" t="str">
        <f>HYPERLINK("https://ibp.a2mac1.com/costing(costing:projects/details/8191/part/5383621)","Cover")</f>
        <v>Cover</v>
      </c>
      <c r="B805">
        <v>5383621</v>
      </c>
      <c r="C805">
        <v>5383530</v>
      </c>
      <c r="E805">
        <v>2.8203999999999998</v>
      </c>
      <c r="F805">
        <v>0</v>
      </c>
      <c r="G805">
        <v>0</v>
      </c>
      <c r="H805">
        <v>0.0058100239999999996</v>
      </c>
      <c r="I805" t="s">
        <v>137</v>
      </c>
      <c r="J805">
        <v>0.098713999999999996</v>
      </c>
      <c r="K805">
        <v>2.9249240240000001</v>
      </c>
      <c r="L805">
        <v>0.18599237058481763</v>
      </c>
      <c r="M805">
        <v>1.1159542235089057</v>
      </c>
      <c r="N805">
        <v>4.040878247508906</v>
      </c>
      <c r="O805" t="s">
        <v>90</v>
      </c>
      <c r="P805">
        <v>0</v>
      </c>
      <c r="Q805" t="s">
        <v>90</v>
      </c>
      <c r="R805">
        <v>0</v>
      </c>
      <c r="S805" t="s">
        <v>90</v>
      </c>
      <c r="T805">
        <v>0</v>
      </c>
      <c r="U805" t="s">
        <v>90</v>
      </c>
      <c r="V805">
        <v>0</v>
      </c>
      <c r="W805" t="s">
        <v>90</v>
      </c>
      <c r="X805">
        <v>0</v>
      </c>
      <c r="Y805">
        <v>4.040878247508906</v>
      </c>
      <c r="Z805">
        <v>0</v>
      </c>
      <c r="AA805">
        <v>0</v>
      </c>
      <c r="AB805">
        <v>0</v>
      </c>
      <c r="AC805">
        <v>0</v>
      </c>
      <c r="AD805">
        <v>0</v>
      </c>
      <c r="AI805">
        <v>0.161</v>
      </c>
      <c r="AJ805" t="s">
        <v>2697</v>
      </c>
      <c r="AK805" t="s">
        <v>501</v>
      </c>
      <c r="AL805" t="s">
        <v>1182</v>
      </c>
      <c r="AM805">
        <v>200000</v>
      </c>
      <c r="AN805" t="s">
        <v>92</v>
      </c>
      <c r="AO805">
        <v>1</v>
      </c>
      <c r="AP805">
        <v>0</v>
      </c>
      <c r="AQ805">
        <v>16666.666666666668</v>
      </c>
      <c r="AR805" t="s">
        <v>2698</v>
      </c>
      <c r="AS805" t="s">
        <v>78</v>
      </c>
      <c r="AX805" t="s">
        <v>79</v>
      </c>
      <c r="AY805" t="s">
        <v>137</v>
      </c>
      <c r="AZ805">
        <v>0</v>
      </c>
      <c r="BA805" t="s">
        <v>137</v>
      </c>
      <c r="BB805">
        <v>0</v>
      </c>
      <c r="BE805">
        <v>0</v>
      </c>
    </row>
    <row r="806" spans="1:58" ht="12.75">
      <c r="A806" s="2" t="str">
        <f>HYPERLINK("https://ibp.a2mac1.com/costing(costing:projects/details/8191/part/5383622)","Padding")</f>
        <v>Padding</v>
      </c>
      <c r="B806">
        <v>5383622</v>
      </c>
      <c r="C806">
        <v>5383530</v>
      </c>
      <c r="E806">
        <v>0.76936286700000001</v>
      </c>
      <c r="F806">
        <v>0</v>
      </c>
      <c r="G806">
        <v>0</v>
      </c>
      <c r="H806">
        <v>0.0039027329393684211</v>
      </c>
      <c r="I806" t="s">
        <v>137</v>
      </c>
      <c r="J806">
        <v>0.026995188315789474</v>
      </c>
      <c r="K806">
        <v>0.8002607882551579</v>
      </c>
      <c r="L806">
        <v>0.026783507879850274</v>
      </c>
      <c r="M806">
        <v>0.16070104727910164</v>
      </c>
      <c r="N806">
        <v>0.96096183553425951</v>
      </c>
      <c r="O806" t="s">
        <v>90</v>
      </c>
      <c r="P806">
        <v>0</v>
      </c>
      <c r="Q806" t="s">
        <v>90</v>
      </c>
      <c r="R806">
        <v>0</v>
      </c>
      <c r="S806" t="s">
        <v>90</v>
      </c>
      <c r="T806">
        <v>0</v>
      </c>
      <c r="U806" t="s">
        <v>90</v>
      </c>
      <c r="V806">
        <v>0</v>
      </c>
      <c r="W806" t="s">
        <v>90</v>
      </c>
      <c r="X806">
        <v>0</v>
      </c>
      <c r="Y806">
        <v>0.96096183553425951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145</v>
      </c>
      <c r="AF806">
        <v>240</v>
      </c>
      <c r="AG806">
        <v>245</v>
      </c>
      <c r="AI806">
        <v>0.217</v>
      </c>
      <c r="AJ806" t="s">
        <v>2697</v>
      </c>
      <c r="AK806" t="s">
        <v>501</v>
      </c>
      <c r="AL806" t="s">
        <v>2703</v>
      </c>
      <c r="AM806">
        <v>200000</v>
      </c>
      <c r="AN806" t="s">
        <v>92</v>
      </c>
      <c r="AO806">
        <v>1</v>
      </c>
      <c r="AP806">
        <v>0</v>
      </c>
      <c r="AQ806">
        <v>16666.666666666668</v>
      </c>
      <c r="AR806" t="s">
        <v>2704</v>
      </c>
      <c r="AS806" t="s">
        <v>78</v>
      </c>
      <c r="AX806" t="s">
        <v>79</v>
      </c>
      <c r="AY806" t="s">
        <v>137</v>
      </c>
      <c r="AZ806">
        <v>0</v>
      </c>
      <c r="BA806" t="s">
        <v>137</v>
      </c>
      <c r="BB806">
        <v>0</v>
      </c>
      <c r="BE806">
        <v>0</v>
      </c>
    </row>
    <row r="807" spans="1:58" ht="12.75">
      <c r="A807" s="2" t="str">
        <f>HYPERLINK("https://ibp.a2mac1.com/costing(costing:projects/details/8191/part/5383623)","Frame / Reinforcement Mechanism")</f>
        <v>Frame / Reinforcement Mechanism</v>
      </c>
      <c r="B807">
        <v>5383623</v>
      </c>
      <c r="C807">
        <v>5383530</v>
      </c>
      <c r="E807">
        <v>0.45936454959183676</v>
      </c>
      <c r="F807">
        <v>0</v>
      </c>
      <c r="G807">
        <v>0</v>
      </c>
      <c r="H807">
        <v>0.0023328680632867882</v>
      </c>
      <c r="I807" t="s">
        <v>137</v>
      </c>
      <c r="J807">
        <v>0.016136439172932331</v>
      </c>
      <c r="K807">
        <v>0.47783385682805585</v>
      </c>
      <c r="L807">
        <v>0.070520132977448066</v>
      </c>
      <c r="M807">
        <v>0.42312079786468842</v>
      </c>
      <c r="N807">
        <v>0.90095465469274427</v>
      </c>
      <c r="O807" t="s">
        <v>138</v>
      </c>
      <c r="P807">
        <v>0.028670031409683352</v>
      </c>
      <c r="Q807" t="s">
        <v>138</v>
      </c>
      <c r="R807">
        <v>0.025387247871881305</v>
      </c>
      <c r="S807" t="s">
        <v>139</v>
      </c>
      <c r="T807">
        <v>0.10811455856312931</v>
      </c>
      <c r="U807" t="s">
        <v>90</v>
      </c>
      <c r="V807">
        <v>0</v>
      </c>
      <c r="W807" t="s">
        <v>90</v>
      </c>
      <c r="X807">
        <v>0</v>
      </c>
      <c r="Y807">
        <v>1.0631264925374382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95</v>
      </c>
      <c r="AF807">
        <v>212</v>
      </c>
      <c r="AG807">
        <v>365</v>
      </c>
      <c r="AI807">
        <v>0.61</v>
      </c>
      <c r="AK807" t="s">
        <v>501</v>
      </c>
      <c r="AL807" t="s">
        <v>2710</v>
      </c>
      <c r="AM807">
        <v>200000</v>
      </c>
      <c r="AN807" t="s">
        <v>76</v>
      </c>
      <c r="AO807">
        <v>1</v>
      </c>
      <c r="AP807">
        <v>0</v>
      </c>
      <c r="AQ807">
        <v>16666.666666666668</v>
      </c>
      <c r="AR807" t="s">
        <v>2711</v>
      </c>
      <c r="AS807" t="s">
        <v>78</v>
      </c>
      <c r="AX807" t="s">
        <v>79</v>
      </c>
      <c r="AY807" t="s">
        <v>137</v>
      </c>
      <c r="AZ807">
        <v>0</v>
      </c>
      <c r="BA807" t="s">
        <v>137</v>
      </c>
      <c r="BB807">
        <v>0</v>
      </c>
      <c r="BE807">
        <v>0</v>
      </c>
    </row>
    <row r="808" spans="1:58" ht="12.75">
      <c r="A808" s="2" t="str">
        <f>HYPERLINK("https://ibp.a2mac1.com/costing(costing:projects/details/8191/part/5383883)","Cover")</f>
        <v>Cover</v>
      </c>
      <c r="B808">
        <v>5383883</v>
      </c>
      <c r="C808">
        <v>5383628</v>
      </c>
      <c r="E808">
        <v>1.1965333333333332</v>
      </c>
      <c r="F808">
        <v>0</v>
      </c>
      <c r="G808">
        <v>0</v>
      </c>
      <c r="H808">
        <v>0.0024648586666666666</v>
      </c>
      <c r="I808" t="s">
        <v>137</v>
      </c>
      <c r="J808">
        <v>0.041878666666666668</v>
      </c>
      <c r="K808">
        <v>1.2408768586666667</v>
      </c>
      <c r="L808">
        <v>0.11779782217158324</v>
      </c>
      <c r="M808">
        <v>0.70678693302949946</v>
      </c>
      <c r="N808">
        <v>1.9476637916961661</v>
      </c>
      <c r="O808" t="s">
        <v>90</v>
      </c>
      <c r="P808">
        <v>0</v>
      </c>
      <c r="Q808" t="s">
        <v>90</v>
      </c>
      <c r="R808">
        <v>0</v>
      </c>
      <c r="S808" t="s">
        <v>90</v>
      </c>
      <c r="T808">
        <v>0</v>
      </c>
      <c r="U808" t="s">
        <v>90</v>
      </c>
      <c r="V808">
        <v>0</v>
      </c>
      <c r="W808" t="s">
        <v>90</v>
      </c>
      <c r="X808">
        <v>0</v>
      </c>
      <c r="Y808">
        <v>1.9476637916961661</v>
      </c>
      <c r="Z808">
        <v>0</v>
      </c>
      <c r="AA808">
        <v>0</v>
      </c>
      <c r="AB808">
        <v>0</v>
      </c>
      <c r="AC808">
        <v>0</v>
      </c>
      <c r="AD808">
        <v>0</v>
      </c>
      <c r="AI808">
        <v>0.055</v>
      </c>
      <c r="AK808" t="s">
        <v>501</v>
      </c>
      <c r="AL808" t="s">
        <v>1345</v>
      </c>
      <c r="AM808">
        <v>200000</v>
      </c>
      <c r="AN808" t="s">
        <v>92</v>
      </c>
      <c r="AO808">
        <v>1</v>
      </c>
      <c r="AP808">
        <v>0</v>
      </c>
      <c r="AQ808">
        <v>16666.666666666668</v>
      </c>
      <c r="AR808" t="s">
        <v>2719</v>
      </c>
      <c r="AS808" t="s">
        <v>78</v>
      </c>
      <c r="AX808" t="s">
        <v>79</v>
      </c>
      <c r="AY808" t="s">
        <v>137</v>
      </c>
      <c r="AZ808">
        <v>0</v>
      </c>
      <c r="BA808" t="s">
        <v>137</v>
      </c>
      <c r="BB808">
        <v>0</v>
      </c>
      <c r="BE808">
        <v>0</v>
      </c>
    </row>
    <row r="809" spans="1:58" ht="12.75">
      <c r="A809" s="2" t="str">
        <f>HYPERLINK("https://ibp.a2mac1.com/costing(costing:projects/details/8191/part/5383884)","Pad")</f>
        <v>Pad</v>
      </c>
      <c r="B809">
        <v>5383884</v>
      </c>
      <c r="C809">
        <v>5383628</v>
      </c>
      <c r="E809">
        <v>0.216272511</v>
      </c>
      <c r="F809">
        <v>0</v>
      </c>
      <c r="G809">
        <v>0</v>
      </c>
      <c r="H809">
        <v>0.0010970816096842104</v>
      </c>
      <c r="I809" t="s">
        <v>137</v>
      </c>
      <c r="J809">
        <v>0.0075885091578947366</v>
      </c>
      <c r="K809">
        <v>0.22495810176757894</v>
      </c>
      <c r="L809">
        <v>0.0028318940604628918</v>
      </c>
      <c r="M809">
        <v>0.016991364362777348</v>
      </c>
      <c r="N809">
        <v>0.24194946613035631</v>
      </c>
      <c r="O809" t="s">
        <v>90</v>
      </c>
      <c r="P809">
        <v>0</v>
      </c>
      <c r="Q809" t="s">
        <v>90</v>
      </c>
      <c r="R809">
        <v>0</v>
      </c>
      <c r="S809" t="s">
        <v>90</v>
      </c>
      <c r="T809">
        <v>0</v>
      </c>
      <c r="U809" t="s">
        <v>90</v>
      </c>
      <c r="V809">
        <v>0</v>
      </c>
      <c r="W809" t="s">
        <v>90</v>
      </c>
      <c r="X809">
        <v>0</v>
      </c>
      <c r="Y809">
        <v>0.24194946613035631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70</v>
      </c>
      <c r="AF809">
        <v>375</v>
      </c>
      <c r="AG809">
        <v>58</v>
      </c>
      <c r="AI809">
        <v>0.060999999999999999</v>
      </c>
      <c r="AK809" t="s">
        <v>501</v>
      </c>
      <c r="AL809" t="s">
        <v>2703</v>
      </c>
      <c r="AM809">
        <v>200000</v>
      </c>
      <c r="AN809" t="s">
        <v>92</v>
      </c>
      <c r="AO809">
        <v>1</v>
      </c>
      <c r="AP809">
        <v>0</v>
      </c>
      <c r="AQ809">
        <v>16666.666666666668</v>
      </c>
      <c r="AR809" t="s">
        <v>2723</v>
      </c>
      <c r="AS809" t="s">
        <v>78</v>
      </c>
      <c r="AX809" t="s">
        <v>79</v>
      </c>
      <c r="AY809" t="s">
        <v>137</v>
      </c>
      <c r="AZ809">
        <v>0</v>
      </c>
      <c r="BA809" t="s">
        <v>137</v>
      </c>
      <c r="BB809">
        <v>0</v>
      </c>
      <c r="BE809">
        <v>0</v>
      </c>
    </row>
    <row r="810" spans="1:58" ht="12.75">
      <c r="A810" s="2" t="str">
        <f>HYPERLINK("https://ibp.a2mac1.com/costing(costing:projects/details/8191/part/5383885)","Frame")</f>
        <v>Frame</v>
      </c>
      <c r="B810">
        <v>5383885</v>
      </c>
      <c r="C810">
        <v>5383628</v>
      </c>
      <c r="E810">
        <v>0.400040277</v>
      </c>
      <c r="F810">
        <v>0.075929999999999997</v>
      </c>
      <c r="G810">
        <v>0</v>
      </c>
      <c r="H810">
        <v>0.0020292769941052629</v>
      </c>
      <c r="I810" t="s">
        <v>137</v>
      </c>
      <c r="J810">
        <v>0.01403650094736842</v>
      </c>
      <c r="K810">
        <v>0.49469360494147369</v>
      </c>
      <c r="L810">
        <v>0.010263958479019376</v>
      </c>
      <c r="M810">
        <v>0.061583750874116258</v>
      </c>
      <c r="N810">
        <v>0.5562773558155899</v>
      </c>
      <c r="O810" t="s">
        <v>90</v>
      </c>
      <c r="P810">
        <v>0</v>
      </c>
      <c r="Q810" t="s">
        <v>90</v>
      </c>
      <c r="R810">
        <v>0</v>
      </c>
      <c r="S810" t="s">
        <v>90</v>
      </c>
      <c r="T810">
        <v>0</v>
      </c>
      <c r="U810" t="s">
        <v>90</v>
      </c>
      <c r="V810">
        <v>0</v>
      </c>
      <c r="W810" t="s">
        <v>90</v>
      </c>
      <c r="X810">
        <v>0</v>
      </c>
      <c r="Y810">
        <v>0.5562773558155899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70</v>
      </c>
      <c r="AF810">
        <v>380</v>
      </c>
      <c r="AG810">
        <v>92</v>
      </c>
      <c r="AI810">
        <v>0.442</v>
      </c>
      <c r="AJ810" t="s">
        <v>2729</v>
      </c>
      <c r="AK810" t="s">
        <v>501</v>
      </c>
      <c r="AL810" t="s">
        <v>2730</v>
      </c>
      <c r="AM810">
        <v>200000</v>
      </c>
      <c r="AN810" t="s">
        <v>92</v>
      </c>
      <c r="AO810">
        <v>1</v>
      </c>
      <c r="AP810">
        <v>0</v>
      </c>
      <c r="AQ810">
        <v>16666.666666666668</v>
      </c>
      <c r="AR810" t="s">
        <v>2731</v>
      </c>
      <c r="AS810" t="s">
        <v>78</v>
      </c>
      <c r="AX810" t="s">
        <v>79</v>
      </c>
      <c r="AY810" t="s">
        <v>137</v>
      </c>
      <c r="AZ810">
        <v>0.0026575499999999998</v>
      </c>
      <c r="BA810" t="s">
        <v>137</v>
      </c>
      <c r="BB810">
        <v>0</v>
      </c>
      <c r="BE810">
        <v>0</v>
      </c>
    </row>
    <row r="811" spans="1:58" ht="12.75">
      <c r="A811" s="2" t="str">
        <f>HYPERLINK("https://ibp.a2mac1.com/costing(costing:projects/details/8191/part/5383886)","Armrest Inner Trim")</f>
        <v>Armrest Inner Trim</v>
      </c>
      <c r="B811">
        <v>5383886</v>
      </c>
      <c r="C811">
        <v>5383628</v>
      </c>
      <c r="E811">
        <v>0.22873872000000001</v>
      </c>
      <c r="F811">
        <v>0.075929999999999997</v>
      </c>
      <c r="G811">
        <v>0</v>
      </c>
      <c r="H811">
        <v>0.00116031872</v>
      </c>
      <c r="I811" t="s">
        <v>137</v>
      </c>
      <c r="J811">
        <v>0.0080259200000000006</v>
      </c>
      <c r="K811">
        <v>0.31651250871999997</v>
      </c>
      <c r="L811">
        <v>0.0044107054974815976</v>
      </c>
      <c r="M811">
        <v>0.026464232984889587</v>
      </c>
      <c r="N811">
        <v>0.34297674170488957</v>
      </c>
      <c r="O811" t="s">
        <v>90</v>
      </c>
      <c r="P811">
        <v>0</v>
      </c>
      <c r="Q811" t="s">
        <v>90</v>
      </c>
      <c r="R811">
        <v>0</v>
      </c>
      <c r="S811" t="s">
        <v>90</v>
      </c>
      <c r="T811">
        <v>0</v>
      </c>
      <c r="U811" t="s">
        <v>90</v>
      </c>
      <c r="V811">
        <v>0</v>
      </c>
      <c r="W811" t="s">
        <v>90</v>
      </c>
      <c r="X811">
        <v>0</v>
      </c>
      <c r="Y811">
        <v>0.34297674170488957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58</v>
      </c>
      <c r="AF811">
        <v>37</v>
      </c>
      <c r="AG811">
        <v>45</v>
      </c>
      <c r="AI811">
        <v>0.095</v>
      </c>
      <c r="AJ811" t="s">
        <v>685</v>
      </c>
      <c r="AK811" t="s">
        <v>501</v>
      </c>
      <c r="AL811" t="s">
        <v>1275</v>
      </c>
      <c r="AM811">
        <v>200000</v>
      </c>
      <c r="AN811" t="s">
        <v>92</v>
      </c>
      <c r="AO811">
        <v>1</v>
      </c>
      <c r="AP811">
        <v>0</v>
      </c>
      <c r="AQ811">
        <v>16666.666666666668</v>
      </c>
      <c r="AR811" t="s">
        <v>2735</v>
      </c>
      <c r="AS811" t="s">
        <v>78</v>
      </c>
      <c r="AX811" t="s">
        <v>79</v>
      </c>
      <c r="AY811" t="s">
        <v>137</v>
      </c>
      <c r="AZ811">
        <v>0.0026575499999999998</v>
      </c>
      <c r="BA811" t="s">
        <v>137</v>
      </c>
      <c r="BB811">
        <v>0</v>
      </c>
      <c r="BE811">
        <v>0</v>
      </c>
    </row>
    <row r="812" spans="1:58" ht="12.75">
      <c r="A812" s="2" t="str">
        <f>HYPERLINK("https://ibp.a2mac1.com/costing(costing:projects/details/8191/part/5383887)","Armrest Adjuster Shaft")</f>
        <v>Armrest Adjuster Shaft</v>
      </c>
      <c r="B812">
        <v>5383887</v>
      </c>
      <c r="C812">
        <v>5383628</v>
      </c>
      <c r="E812">
        <v>0.137570412</v>
      </c>
      <c r="F812">
        <v>0</v>
      </c>
      <c r="G812">
        <v>0</v>
      </c>
      <c r="H812">
        <v>0.00069785091200000001</v>
      </c>
      <c r="I812" t="s">
        <v>137</v>
      </c>
      <c r="J812">
        <v>0.0048270320000000002</v>
      </c>
      <c r="K812">
        <v>0.14309529491199999</v>
      </c>
      <c r="L812">
        <v>0.0035283951048529147</v>
      </c>
      <c r="M812">
        <v>0.021170370629117488</v>
      </c>
      <c r="N812">
        <v>0.16426566554111749</v>
      </c>
      <c r="O812" t="s">
        <v>90</v>
      </c>
      <c r="P812">
        <v>0</v>
      </c>
      <c r="Q812" t="s">
        <v>90</v>
      </c>
      <c r="R812">
        <v>0</v>
      </c>
      <c r="S812" t="s">
        <v>90</v>
      </c>
      <c r="T812">
        <v>0</v>
      </c>
      <c r="U812" t="s">
        <v>90</v>
      </c>
      <c r="V812">
        <v>0</v>
      </c>
      <c r="W812" t="s">
        <v>90</v>
      </c>
      <c r="X812">
        <v>0</v>
      </c>
      <c r="Y812">
        <v>0.16426566554111749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195</v>
      </c>
      <c r="AF812">
        <v>44</v>
      </c>
      <c r="AG812">
        <v>40</v>
      </c>
      <c r="AI812">
        <v>0.152</v>
      </c>
      <c r="AJ812" t="s">
        <v>685</v>
      </c>
      <c r="AK812" t="s">
        <v>501</v>
      </c>
      <c r="AL812" t="s">
        <v>2740</v>
      </c>
      <c r="AM812">
        <v>200000</v>
      </c>
      <c r="AN812" t="s">
        <v>92</v>
      </c>
      <c r="AO812">
        <v>1</v>
      </c>
      <c r="AP812">
        <v>0</v>
      </c>
      <c r="AQ812">
        <v>16666.666666666668</v>
      </c>
      <c r="AR812" t="s">
        <v>2741</v>
      </c>
      <c r="AS812" t="s">
        <v>78</v>
      </c>
      <c r="AX812" t="s">
        <v>79</v>
      </c>
      <c r="AY812" t="s">
        <v>137</v>
      </c>
      <c r="AZ812">
        <v>0</v>
      </c>
      <c r="BA812" t="s">
        <v>137</v>
      </c>
      <c r="BB812">
        <v>0</v>
      </c>
      <c r="BE812">
        <v>0</v>
      </c>
    </row>
    <row r="813" spans="1:58" ht="12.75">
      <c r="A813" s="2" t="str">
        <f>HYPERLINK("https://ibp.a2mac1.com/costing(costing:projects/details/8191/part/5383888)","Fastener Cover")</f>
        <v>Fastener Cover</v>
      </c>
      <c r="B813">
        <v>5383888</v>
      </c>
      <c r="C813">
        <v>5383628</v>
      </c>
      <c r="E813">
        <v>0.092316987000000003</v>
      </c>
      <c r="F813">
        <v>0</v>
      </c>
      <c r="G813">
        <v>0</v>
      </c>
      <c r="H813">
        <v>0.0004682946909473684</v>
      </c>
      <c r="I813" t="s">
        <v>137</v>
      </c>
      <c r="J813">
        <v>0.0032391925263157897</v>
      </c>
      <c r="K813">
        <v>0.096024474217263164</v>
      </c>
      <c r="L813">
        <v>0.002367589340622376</v>
      </c>
      <c r="M813">
        <v>0.014205536043734255</v>
      </c>
      <c r="N813">
        <v>0.11023001026099741</v>
      </c>
      <c r="O813" t="s">
        <v>90</v>
      </c>
      <c r="P813">
        <v>0</v>
      </c>
      <c r="Q813" t="s">
        <v>90</v>
      </c>
      <c r="R813">
        <v>0</v>
      </c>
      <c r="S813" t="s">
        <v>90</v>
      </c>
      <c r="T813">
        <v>0</v>
      </c>
      <c r="U813" t="s">
        <v>90</v>
      </c>
      <c r="V813">
        <v>0</v>
      </c>
      <c r="W813" t="s">
        <v>90</v>
      </c>
      <c r="X813">
        <v>0</v>
      </c>
      <c r="Y813">
        <v>0.11023001026099741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51</v>
      </c>
      <c r="AF813">
        <v>122</v>
      </c>
      <c r="AG813">
        <v>71</v>
      </c>
      <c r="AI813">
        <v>0.050999999999999997</v>
      </c>
      <c r="AJ813" t="s">
        <v>685</v>
      </c>
      <c r="AK813" t="s">
        <v>501</v>
      </c>
      <c r="AL813" t="s">
        <v>1261</v>
      </c>
      <c r="AM813">
        <v>200000</v>
      </c>
      <c r="AN813" t="s">
        <v>92</v>
      </c>
      <c r="AO813">
        <v>1</v>
      </c>
      <c r="AP813">
        <v>0</v>
      </c>
      <c r="AQ813">
        <v>16666.666666666668</v>
      </c>
      <c r="AR813" t="s">
        <v>2746</v>
      </c>
      <c r="AS813" t="s">
        <v>78</v>
      </c>
      <c r="AX813" t="s">
        <v>79</v>
      </c>
      <c r="AY813" t="s">
        <v>137</v>
      </c>
      <c r="AZ813">
        <v>0</v>
      </c>
      <c r="BA813" t="s">
        <v>137</v>
      </c>
      <c r="BB813">
        <v>0</v>
      </c>
      <c r="BE813">
        <v>0</v>
      </c>
    </row>
    <row r="814" spans="1:58" ht="12.75">
      <c r="A814" s="2" t="str">
        <f>HYPERLINK("https://ibp.a2mac1.com/costing(costing:projects/details/8191/part/5383889)","Lock Support")</f>
        <v>Lock Support</v>
      </c>
      <c r="B814">
        <v>5383889</v>
      </c>
      <c r="C814">
        <v>5383629</v>
      </c>
      <c r="E814">
        <v>0.045282047999999998</v>
      </c>
      <c r="F814">
        <v>0</v>
      </c>
      <c r="G814">
        <v>0</v>
      </c>
      <c r="H814">
        <v>0.00022970141642105263</v>
      </c>
      <c r="I814" t="s">
        <v>137</v>
      </c>
      <c r="J814">
        <v>0.0015888437894736843</v>
      </c>
      <c r="K814">
        <v>0.047100593205894735</v>
      </c>
      <c r="L814">
        <v>0.0014854749716206401</v>
      </c>
      <c r="M814">
        <v>0.0089128498297238404</v>
      </c>
      <c r="N814">
        <v>0.056013443035618581</v>
      </c>
      <c r="O814" t="s">
        <v>90</v>
      </c>
      <c r="P814">
        <v>0</v>
      </c>
      <c r="Q814" t="s">
        <v>90</v>
      </c>
      <c r="R814">
        <v>0</v>
      </c>
      <c r="S814" t="s">
        <v>90</v>
      </c>
      <c r="T814">
        <v>0</v>
      </c>
      <c r="U814" t="s">
        <v>90</v>
      </c>
      <c r="V814">
        <v>0</v>
      </c>
      <c r="W814" t="s">
        <v>90</v>
      </c>
      <c r="X814">
        <v>0</v>
      </c>
      <c r="Y814">
        <v>0.056013443035618581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45</v>
      </c>
      <c r="AF814">
        <v>50</v>
      </c>
      <c r="AG814">
        <v>134</v>
      </c>
      <c r="AI814">
        <v>0.032000000000000001</v>
      </c>
      <c r="AJ814" t="s">
        <v>1211</v>
      </c>
      <c r="AK814" t="s">
        <v>501</v>
      </c>
      <c r="AL814" t="s">
        <v>728</v>
      </c>
      <c r="AM814">
        <v>200000</v>
      </c>
      <c r="AN814" t="s">
        <v>92</v>
      </c>
      <c r="AO814">
        <v>1</v>
      </c>
      <c r="AP814">
        <v>0</v>
      </c>
      <c r="AQ814">
        <v>16666.666666666668</v>
      </c>
      <c r="AR814" t="s">
        <v>2753</v>
      </c>
      <c r="AS814" t="s">
        <v>78</v>
      </c>
      <c r="AX814" t="s">
        <v>79</v>
      </c>
      <c r="AY814" t="s">
        <v>137</v>
      </c>
      <c r="AZ814">
        <v>0</v>
      </c>
      <c r="BA814" t="s">
        <v>137</v>
      </c>
      <c r="BB814">
        <v>0</v>
      </c>
      <c r="BE814">
        <v>0</v>
      </c>
    </row>
    <row r="815" spans="1:58" ht="12.75">
      <c r="A815" s="2" t="str">
        <f>HYPERLINK("https://ibp.a2mac1.com/costing(costing:projects/details/8191/part/5383890)","Simple Guide Support")</f>
        <v>Simple Guide Support</v>
      </c>
      <c r="B815">
        <v>5383890</v>
      </c>
      <c r="C815">
        <v>5383629</v>
      </c>
      <c r="E815">
        <v>0.032546472</v>
      </c>
      <c r="F815">
        <v>0</v>
      </c>
      <c r="G815">
        <v>0</v>
      </c>
      <c r="H815">
        <v>0.00016509789305263158</v>
      </c>
      <c r="I815" t="s">
        <v>137</v>
      </c>
      <c r="J815">
        <v>0.0011419814736842106</v>
      </c>
      <c r="K815">
        <v>0.033853551366736845</v>
      </c>
      <c r="L815">
        <v>0.0010676608673769893</v>
      </c>
      <c r="M815">
        <v>0.0064059652042619359</v>
      </c>
      <c r="N815">
        <v>0.040259516570998778</v>
      </c>
      <c r="O815" t="s">
        <v>90</v>
      </c>
      <c r="P815">
        <v>0</v>
      </c>
      <c r="Q815" t="s">
        <v>90</v>
      </c>
      <c r="R815">
        <v>0</v>
      </c>
      <c r="S815" t="s">
        <v>90</v>
      </c>
      <c r="T815">
        <v>0</v>
      </c>
      <c r="U815" t="s">
        <v>90</v>
      </c>
      <c r="V815">
        <v>0</v>
      </c>
      <c r="W815" t="s">
        <v>90</v>
      </c>
      <c r="X815">
        <v>0</v>
      </c>
      <c r="Y815">
        <v>0.040259516570998778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44</v>
      </c>
      <c r="AF815">
        <v>50</v>
      </c>
      <c r="AG815">
        <v>133</v>
      </c>
      <c r="AI815">
        <v>0.023</v>
      </c>
      <c r="AJ815" t="s">
        <v>1211</v>
      </c>
      <c r="AK815" t="s">
        <v>501</v>
      </c>
      <c r="AL815" t="s">
        <v>728</v>
      </c>
      <c r="AM815">
        <v>200000</v>
      </c>
      <c r="AN815" t="s">
        <v>92</v>
      </c>
      <c r="AO815">
        <v>1</v>
      </c>
      <c r="AP815">
        <v>0</v>
      </c>
      <c r="AQ815">
        <v>16666.666666666668</v>
      </c>
      <c r="AR815" t="s">
        <v>2758</v>
      </c>
      <c r="AS815" t="s">
        <v>78</v>
      </c>
      <c r="AX815" t="s">
        <v>79</v>
      </c>
      <c r="AY815" t="s">
        <v>137</v>
      </c>
      <c r="AZ815">
        <v>0</v>
      </c>
      <c r="BA815" t="s">
        <v>137</v>
      </c>
      <c r="BB815">
        <v>0</v>
      </c>
      <c r="BE815">
        <v>0</v>
      </c>
    </row>
    <row r="816" spans="1:58" ht="12.75">
      <c r="A816" s="2" t="str">
        <f>HYPERLINK("https://ibp.a2mac1.com/costing(costing:projects/details/8191/part/5383624)","Cover")</f>
        <v>Cover</v>
      </c>
      <c r="B816">
        <v>5383624</v>
      </c>
      <c r="C816">
        <v>5383531</v>
      </c>
      <c r="E816">
        <v>14.810331666666666</v>
      </c>
      <c r="F816">
        <v>0</v>
      </c>
      <c r="G816">
        <v>0</v>
      </c>
      <c r="H816">
        <v>0.031616522933333335</v>
      </c>
      <c r="I816" t="s">
        <v>137</v>
      </c>
      <c r="J816">
        <v>0.5371739333333333</v>
      </c>
      <c r="K816">
        <v>15.379122122933333</v>
      </c>
      <c r="L816">
        <v>0.6196096641922576</v>
      </c>
      <c r="M816">
        <v>3.7176579851535454</v>
      </c>
      <c r="N816">
        <v>19.096780108086879</v>
      </c>
      <c r="O816" t="s">
        <v>90</v>
      </c>
      <c r="P816">
        <v>0</v>
      </c>
      <c r="Q816" t="s">
        <v>90</v>
      </c>
      <c r="R816">
        <v>0</v>
      </c>
      <c r="S816" t="s">
        <v>90</v>
      </c>
      <c r="T816">
        <v>0</v>
      </c>
      <c r="U816" t="s">
        <v>90</v>
      </c>
      <c r="V816">
        <v>0</v>
      </c>
      <c r="W816" t="s">
        <v>90</v>
      </c>
      <c r="X816">
        <v>0</v>
      </c>
      <c r="Y816">
        <v>19.096780108086879</v>
      </c>
      <c r="Z816">
        <v>0</v>
      </c>
      <c r="AA816">
        <v>0</v>
      </c>
      <c r="AB816">
        <v>0</v>
      </c>
      <c r="AC816">
        <v>0</v>
      </c>
      <c r="AD816">
        <v>0</v>
      </c>
      <c r="AI816">
        <v>1.2130000000000001</v>
      </c>
      <c r="AJ816" t="s">
        <v>685</v>
      </c>
      <c r="AK816" t="s">
        <v>501</v>
      </c>
      <c r="AL816" t="s">
        <v>2769</v>
      </c>
      <c r="AM816">
        <v>200000</v>
      </c>
      <c r="AN816" t="s">
        <v>92</v>
      </c>
      <c r="AO816">
        <v>1</v>
      </c>
      <c r="AP816">
        <v>0</v>
      </c>
      <c r="AQ816">
        <v>16666.666666666668</v>
      </c>
      <c r="AR816" t="s">
        <v>2770</v>
      </c>
      <c r="AS816" t="s">
        <v>78</v>
      </c>
      <c r="AX816" t="s">
        <v>79</v>
      </c>
      <c r="AY816" t="s">
        <v>137</v>
      </c>
      <c r="AZ816">
        <v>0</v>
      </c>
      <c r="BA816" t="s">
        <v>137</v>
      </c>
      <c r="BB816">
        <v>0</v>
      </c>
      <c r="BE816">
        <v>0</v>
      </c>
    </row>
    <row r="817" spans="1:58" ht="12.75">
      <c r="A817" s="2" t="str">
        <f>HYPERLINK("https://ibp.a2mac1.com/costing(costing:projects/details/8191/part/5383625)","Pad")</f>
        <v>Pad</v>
      </c>
      <c r="B817">
        <v>5383625</v>
      </c>
      <c r="C817">
        <v>5383531</v>
      </c>
      <c r="E817">
        <v>5.3075401470000001</v>
      </c>
      <c r="F817">
        <v>0</v>
      </c>
      <c r="G817">
        <v>0</v>
      </c>
      <c r="H817">
        <v>0.026923461798315791</v>
      </c>
      <c r="I817" t="s">
        <v>137</v>
      </c>
      <c r="J817">
        <v>0.18622947884210525</v>
      </c>
      <c r="K817">
        <v>5.5206930876404208</v>
      </c>
      <c r="L817">
        <v>0.046700627136922072</v>
      </c>
      <c r="M817">
        <v>0.28020376282153242</v>
      </c>
      <c r="N817">
        <v>5.8008968504619531</v>
      </c>
      <c r="O817" t="s">
        <v>90</v>
      </c>
      <c r="P817">
        <v>0</v>
      </c>
      <c r="Q817" t="s">
        <v>90</v>
      </c>
      <c r="R817">
        <v>0</v>
      </c>
      <c r="S817" t="s">
        <v>90</v>
      </c>
      <c r="T817">
        <v>0</v>
      </c>
      <c r="U817" t="s">
        <v>90</v>
      </c>
      <c r="V817">
        <v>0</v>
      </c>
      <c r="W817" t="s">
        <v>90</v>
      </c>
      <c r="X817">
        <v>0</v>
      </c>
      <c r="Y817">
        <v>5.8008968504619531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222</v>
      </c>
      <c r="AF817">
        <v>485</v>
      </c>
      <c r="AG817">
        <v>720</v>
      </c>
      <c r="AI817">
        <v>1.4970000000000001</v>
      </c>
      <c r="AJ817" t="s">
        <v>2775</v>
      </c>
      <c r="AK817" t="s">
        <v>501</v>
      </c>
      <c r="AL817" t="s">
        <v>2703</v>
      </c>
      <c r="AM817">
        <v>200000</v>
      </c>
      <c r="AN817" t="s">
        <v>92</v>
      </c>
      <c r="AO817">
        <v>1</v>
      </c>
      <c r="AP817">
        <v>0</v>
      </c>
      <c r="AQ817">
        <v>16666.666666666668</v>
      </c>
      <c r="AR817" t="s">
        <v>2776</v>
      </c>
      <c r="AS817" t="s">
        <v>78</v>
      </c>
      <c r="AX817" t="s">
        <v>79</v>
      </c>
      <c r="AY817" t="s">
        <v>137</v>
      </c>
      <c r="AZ817">
        <v>0</v>
      </c>
      <c r="BA817" t="s">
        <v>137</v>
      </c>
      <c r="BB817">
        <v>0</v>
      </c>
      <c r="BE817">
        <v>0</v>
      </c>
    </row>
    <row r="818" spans="1:58" ht="12.75">
      <c r="A818" s="2" t="str">
        <f>HYPERLINK("https://ibp.a2mac1.com/costing(costing:projects/details/8191/part/5383626)","Frame")</f>
        <v>Frame</v>
      </c>
      <c r="B818">
        <v>5383626</v>
      </c>
      <c r="C818">
        <v>5383531</v>
      </c>
      <c r="E818">
        <v>2.4350395038095236</v>
      </c>
      <c r="F818">
        <v>6.0303599999999999</v>
      </c>
      <c r="G818">
        <v>0</v>
      </c>
      <c r="H818">
        <v>0.013140977486476191</v>
      </c>
      <c r="I818" t="s">
        <v>137</v>
      </c>
      <c r="J818">
        <v>0.090896089333333333</v>
      </c>
      <c r="K818">
        <v>8.7804991706293336</v>
      </c>
      <c r="L818">
        <v>0.46158022127768444</v>
      </c>
      <c r="M818">
        <v>2.7694813276661066</v>
      </c>
      <c r="N818">
        <v>11.54998049829544</v>
      </c>
      <c r="O818" t="s">
        <v>90</v>
      </c>
      <c r="P818">
        <v>0</v>
      </c>
      <c r="Q818" t="s">
        <v>90</v>
      </c>
      <c r="R818">
        <v>0</v>
      </c>
      <c r="S818" t="s">
        <v>90</v>
      </c>
      <c r="T818">
        <v>0</v>
      </c>
      <c r="U818" t="s">
        <v>90</v>
      </c>
      <c r="V818">
        <v>0</v>
      </c>
      <c r="W818" t="s">
        <v>90</v>
      </c>
      <c r="X818">
        <v>0</v>
      </c>
      <c r="Y818">
        <v>11.54998049829544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140</v>
      </c>
      <c r="AF818">
        <v>487</v>
      </c>
      <c r="AG818">
        <v>675</v>
      </c>
      <c r="AI818">
        <v>3.57</v>
      </c>
      <c r="AJ818" t="s">
        <v>685</v>
      </c>
      <c r="AK818" t="s">
        <v>501</v>
      </c>
      <c r="AL818" t="s">
        <v>720</v>
      </c>
      <c r="AM818">
        <v>200000</v>
      </c>
      <c r="AN818" t="s">
        <v>92</v>
      </c>
      <c r="AO818">
        <v>1</v>
      </c>
      <c r="AP818">
        <v>0</v>
      </c>
      <c r="AQ818">
        <v>16666.666666666668</v>
      </c>
      <c r="AR818" t="s">
        <v>2783</v>
      </c>
      <c r="AS818" t="s">
        <v>78</v>
      </c>
      <c r="AX818" t="s">
        <v>79</v>
      </c>
      <c r="AY818" t="s">
        <v>137</v>
      </c>
      <c r="AZ818">
        <v>0.21106259999999999</v>
      </c>
      <c r="BA818" t="s">
        <v>137</v>
      </c>
      <c r="BB818">
        <v>0</v>
      </c>
      <c r="BE818">
        <v>0</v>
      </c>
    </row>
    <row r="819" spans="1:58" ht="12.75">
      <c r="A819" s="2" t="str">
        <f>HYPERLINK("https://ibp.a2mac1.com/costing(costing:projects/details/8191/part/5383627)","Sound Insulation Sheet")</f>
        <v>Sound Insulation Sheet</v>
      </c>
      <c r="B819">
        <v>5383627</v>
      </c>
      <c r="C819">
        <v>5383531</v>
      </c>
      <c r="E819">
        <v>0.083181735000000007</v>
      </c>
      <c r="F819">
        <v>0</v>
      </c>
      <c r="G819">
        <v>0</v>
      </c>
      <c r="H819">
        <v>0.00042195446526315791</v>
      </c>
      <c r="I819" t="s">
        <v>137</v>
      </c>
      <c r="J819">
        <v>0.0029186573684210526</v>
      </c>
      <c r="K819">
        <v>0.086522346833684205</v>
      </c>
      <c r="L819">
        <v>0.012127327625191876</v>
      </c>
      <c r="M819">
        <v>0.072763965751151252</v>
      </c>
      <c r="N819">
        <v>0.15928631258483547</v>
      </c>
      <c r="O819" t="s">
        <v>90</v>
      </c>
      <c r="P819">
        <v>0</v>
      </c>
      <c r="Q819" t="s">
        <v>90</v>
      </c>
      <c r="R819">
        <v>0</v>
      </c>
      <c r="S819" t="s">
        <v>90</v>
      </c>
      <c r="T819">
        <v>0</v>
      </c>
      <c r="U819" t="s">
        <v>90</v>
      </c>
      <c r="V819">
        <v>0</v>
      </c>
      <c r="W819" t="s">
        <v>90</v>
      </c>
      <c r="X819">
        <v>0</v>
      </c>
      <c r="Y819">
        <v>0.15928631258483547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3</v>
      </c>
      <c r="AF819">
        <v>302</v>
      </c>
      <c r="AG819">
        <v>440</v>
      </c>
      <c r="AI819">
        <v>0.060999999999999999</v>
      </c>
      <c r="AK819" t="s">
        <v>501</v>
      </c>
      <c r="AL819" t="s">
        <v>2788</v>
      </c>
      <c r="AM819">
        <v>200000</v>
      </c>
      <c r="AN819" t="s">
        <v>92</v>
      </c>
      <c r="AO819">
        <v>1</v>
      </c>
      <c r="AP819">
        <v>0</v>
      </c>
      <c r="AQ819">
        <v>16666.666666666668</v>
      </c>
      <c r="AR819" t="s">
        <v>2789</v>
      </c>
      <c r="AS819" t="s">
        <v>78</v>
      </c>
      <c r="AX819" t="s">
        <v>79</v>
      </c>
      <c r="AY819" t="s">
        <v>137</v>
      </c>
      <c r="AZ819">
        <v>0</v>
      </c>
      <c r="BA819" t="s">
        <v>137</v>
      </c>
      <c r="BB819">
        <v>0</v>
      </c>
      <c r="BE819">
        <v>0</v>
      </c>
    </row>
    <row r="820" spans="1:58" ht="12.75">
      <c r="A820" s="2" t="str">
        <f>HYPERLINK("https://ibp.a2mac1.com/costing(costing:projects/details/8191/part/5383891)","Outer Side")</f>
        <v>Outer Side</v>
      </c>
      <c r="B820">
        <v>5383891</v>
      </c>
      <c r="C820">
        <v>5383635</v>
      </c>
      <c r="E820">
        <v>0.38772753599999998</v>
      </c>
      <c r="F820">
        <v>0</v>
      </c>
      <c r="G820">
        <v>0</v>
      </c>
      <c r="H820">
        <v>0.0019668183781052632</v>
      </c>
      <c r="I820" t="s">
        <v>137</v>
      </c>
      <c r="J820">
        <v>0.013604474947368422</v>
      </c>
      <c r="K820">
        <v>0.40329882932547367</v>
      </c>
      <c r="L820">
        <v>0.01272715332886514</v>
      </c>
      <c r="M820">
        <v>0.076362919973190835</v>
      </c>
      <c r="N820">
        <v>0.47966174929866451</v>
      </c>
      <c r="O820" t="s">
        <v>90</v>
      </c>
      <c r="P820">
        <v>0</v>
      </c>
      <c r="Q820" t="s">
        <v>90</v>
      </c>
      <c r="R820">
        <v>0</v>
      </c>
      <c r="S820" t="s">
        <v>90</v>
      </c>
      <c r="T820">
        <v>0</v>
      </c>
      <c r="U820" t="s">
        <v>90</v>
      </c>
      <c r="V820">
        <v>0</v>
      </c>
      <c r="W820" t="s">
        <v>90</v>
      </c>
      <c r="X820">
        <v>0</v>
      </c>
      <c r="Y820">
        <v>0.47966174929866451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106</v>
      </c>
      <c r="AF820">
        <v>580</v>
      </c>
      <c r="AG820">
        <v>162</v>
      </c>
      <c r="AI820">
        <v>0.27400000000000002</v>
      </c>
      <c r="AJ820" t="s">
        <v>2797</v>
      </c>
      <c r="AK820" t="s">
        <v>501</v>
      </c>
      <c r="AL820" t="s">
        <v>728</v>
      </c>
      <c r="AM820">
        <v>200000</v>
      </c>
      <c r="AN820" t="s">
        <v>92</v>
      </c>
      <c r="AO820">
        <v>1</v>
      </c>
      <c r="AP820">
        <v>0</v>
      </c>
      <c r="AQ820">
        <v>16666.666666666668</v>
      </c>
      <c r="AR820" t="s">
        <v>2798</v>
      </c>
      <c r="AS820" t="s">
        <v>78</v>
      </c>
      <c r="AX820" t="s">
        <v>79</v>
      </c>
      <c r="AY820" t="s">
        <v>137</v>
      </c>
      <c r="AZ820">
        <v>0</v>
      </c>
      <c r="BA820" t="s">
        <v>137</v>
      </c>
      <c r="BB820">
        <v>0</v>
      </c>
      <c r="BE820">
        <v>0</v>
      </c>
    </row>
    <row r="821" spans="1:58" ht="12.75">
      <c r="A821" s="2" t="str">
        <f>HYPERLINK("https://ibp.a2mac1.com/costing(costing:projects/details/8191/part/5383892)","Exterior Trim Support")</f>
        <v>Exterior Trim Support</v>
      </c>
      <c r="B821">
        <v>5383892</v>
      </c>
      <c r="C821">
        <v>5383635</v>
      </c>
      <c r="E821">
        <v>0.13486752299999999</v>
      </c>
      <c r="F821">
        <v>0</v>
      </c>
      <c r="G821">
        <v>0</v>
      </c>
      <c r="H821">
        <v>0.00068414001642105263</v>
      </c>
      <c r="I821" t="s">
        <v>137</v>
      </c>
      <c r="J821">
        <v>0.0047321937894736843</v>
      </c>
      <c r="K821">
        <v>0.14028385680589472</v>
      </c>
      <c r="L821">
        <v>0.0058968932822911369</v>
      </c>
      <c r="M821">
        <v>0.035381359693746825</v>
      </c>
      <c r="N821">
        <v>0.17566521649964156</v>
      </c>
      <c r="O821" t="s">
        <v>90</v>
      </c>
      <c r="P821">
        <v>0</v>
      </c>
      <c r="Q821" t="s">
        <v>90</v>
      </c>
      <c r="R821">
        <v>0</v>
      </c>
      <c r="S821" t="s">
        <v>90</v>
      </c>
      <c r="T821">
        <v>0</v>
      </c>
      <c r="U821" t="s">
        <v>90</v>
      </c>
      <c r="V821">
        <v>0</v>
      </c>
      <c r="W821" t="s">
        <v>90</v>
      </c>
      <c r="X821">
        <v>0</v>
      </c>
      <c r="Y821">
        <v>0.17566521649964156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76</v>
      </c>
      <c r="AF821">
        <v>375</v>
      </c>
      <c r="AG821">
        <v>105</v>
      </c>
      <c r="AI821">
        <v>0.127</v>
      </c>
      <c r="AJ821" t="s">
        <v>685</v>
      </c>
      <c r="AK821" t="s">
        <v>501</v>
      </c>
      <c r="AL821" t="s">
        <v>1182</v>
      </c>
      <c r="AM821">
        <v>200000</v>
      </c>
      <c r="AN821" t="s">
        <v>92</v>
      </c>
      <c r="AO821">
        <v>1</v>
      </c>
      <c r="AP821">
        <v>0</v>
      </c>
      <c r="AQ821">
        <v>16666.666666666668</v>
      </c>
      <c r="AR821" t="s">
        <v>2803</v>
      </c>
      <c r="AS821" t="s">
        <v>78</v>
      </c>
      <c r="AX821" t="s">
        <v>79</v>
      </c>
      <c r="AY821" t="s">
        <v>137</v>
      </c>
      <c r="AZ821">
        <v>0</v>
      </c>
      <c r="BA821" t="s">
        <v>137</v>
      </c>
      <c r="BB821">
        <v>0</v>
      </c>
      <c r="BE821">
        <v>0</v>
      </c>
    </row>
    <row r="822" spans="1:58" ht="12.75">
      <c r="A822" s="2" t="str">
        <f>HYPERLINK("https://ibp.a2mac1.com/costing(costing:projects/details/8191/part/5383893)","Inner Side")</f>
        <v>Inner Side</v>
      </c>
      <c r="B822">
        <v>5383893</v>
      </c>
      <c r="C822">
        <v>5383635</v>
      </c>
      <c r="E822">
        <v>0.124525632</v>
      </c>
      <c r="F822">
        <v>0</v>
      </c>
      <c r="G822">
        <v>0</v>
      </c>
      <c r="H822">
        <v>0.00063167889515789474</v>
      </c>
      <c r="I822" t="s">
        <v>137</v>
      </c>
      <c r="J822">
        <v>0.0043693204210526315</v>
      </c>
      <c r="K822">
        <v>0.12952663131621053</v>
      </c>
      <c r="L822">
        <v>0.0040856339258046048</v>
      </c>
      <c r="M822">
        <v>0.024513803554827629</v>
      </c>
      <c r="N822">
        <v>0.15404043487103816</v>
      </c>
      <c r="O822" t="s">
        <v>90</v>
      </c>
      <c r="P822">
        <v>0</v>
      </c>
      <c r="Q822" t="s">
        <v>90</v>
      </c>
      <c r="R822">
        <v>0</v>
      </c>
      <c r="S822" t="s">
        <v>90</v>
      </c>
      <c r="T822">
        <v>0</v>
      </c>
      <c r="U822" t="s">
        <v>90</v>
      </c>
      <c r="V822">
        <v>0</v>
      </c>
      <c r="W822" t="s">
        <v>90</v>
      </c>
      <c r="X822">
        <v>0</v>
      </c>
      <c r="Y822">
        <v>0.15404043487103816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60</v>
      </c>
      <c r="AF822">
        <v>245</v>
      </c>
      <c r="AG822">
        <v>160</v>
      </c>
      <c r="AI822">
        <v>0.087999999999999995</v>
      </c>
      <c r="AJ822" t="s">
        <v>685</v>
      </c>
      <c r="AK822" t="s">
        <v>501</v>
      </c>
      <c r="AL822" t="s">
        <v>728</v>
      </c>
      <c r="AM822">
        <v>200000</v>
      </c>
      <c r="AN822" t="s">
        <v>92</v>
      </c>
      <c r="AO822">
        <v>1</v>
      </c>
      <c r="AP822">
        <v>0</v>
      </c>
      <c r="AQ822">
        <v>16666.666666666668</v>
      </c>
      <c r="AR822" t="s">
        <v>2808</v>
      </c>
      <c r="AS822" t="s">
        <v>78</v>
      </c>
      <c r="AX822" t="s">
        <v>79</v>
      </c>
      <c r="AY822" t="s">
        <v>137</v>
      </c>
      <c r="AZ822">
        <v>0</v>
      </c>
      <c r="BA822" t="s">
        <v>137</v>
      </c>
      <c r="BB822">
        <v>0</v>
      </c>
      <c r="BE822">
        <v>0</v>
      </c>
    </row>
    <row r="823" spans="1:58" ht="12.75">
      <c r="A823" s="2" t="str">
        <f>HYPERLINK("https://ibp.a2mac1.com/costing(costing:projects/details/8191/part/5383894)","Lighting")</f>
        <v>Lighting</v>
      </c>
      <c r="B823">
        <v>5383894</v>
      </c>
      <c r="C823">
        <v>5383636</v>
      </c>
      <c r="E823">
        <v>1.38411</v>
      </c>
      <c r="F823">
        <v>0</v>
      </c>
      <c r="G823">
        <v>0</v>
      </c>
      <c r="H823">
        <v>0</v>
      </c>
      <c r="I823" t="s">
        <v>74</v>
      </c>
      <c r="J823">
        <v>0</v>
      </c>
      <c r="K823">
        <v>1.38411</v>
      </c>
      <c r="L823">
        <v>0</v>
      </c>
      <c r="M823">
        <v>0</v>
      </c>
      <c r="N823">
        <v>1.38411</v>
      </c>
      <c r="O823" t="s">
        <v>74</v>
      </c>
      <c r="P823">
        <v>0</v>
      </c>
      <c r="Q823" t="s">
        <v>74</v>
      </c>
      <c r="R823">
        <v>0</v>
      </c>
      <c r="S823" t="s">
        <v>74</v>
      </c>
      <c r="T823">
        <v>0</v>
      </c>
      <c r="U823" t="s">
        <v>74</v>
      </c>
      <c r="V823">
        <v>0</v>
      </c>
      <c r="W823" t="s">
        <v>74</v>
      </c>
      <c r="X823">
        <v>0</v>
      </c>
      <c r="Y823">
        <v>1.38411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16</v>
      </c>
      <c r="AF823">
        <v>41</v>
      </c>
      <c r="AG823">
        <v>15</v>
      </c>
      <c r="AI823">
        <v>0.0030000000000000001</v>
      </c>
      <c r="AJ823" t="s">
        <v>685</v>
      </c>
      <c r="AK823" t="s">
        <v>576</v>
      </c>
      <c r="AL823" t="s">
        <v>2811</v>
      </c>
      <c r="AM823">
        <v>200000</v>
      </c>
      <c r="AN823" t="s">
        <v>76</v>
      </c>
      <c r="AO823">
        <v>1</v>
      </c>
      <c r="AP823">
        <v>0</v>
      </c>
      <c r="AQ823">
        <v>16666.666666666668</v>
      </c>
      <c r="AR823" t="s">
        <v>2812</v>
      </c>
      <c r="AS823" t="s">
        <v>78</v>
      </c>
      <c r="AX823" t="s">
        <v>79</v>
      </c>
      <c r="AY823" t="s">
        <v>74</v>
      </c>
      <c r="AZ823">
        <v>0</v>
      </c>
      <c r="BA823" t="s">
        <v>74</v>
      </c>
      <c r="BB823">
        <v>0</v>
      </c>
      <c r="BD823">
        <v>1.38411</v>
      </c>
      <c r="BE823">
        <v>0</v>
      </c>
    </row>
    <row r="824" spans="1:58" ht="12.75">
      <c r="A824" s="2" t="str">
        <f>HYPERLINK("https://ibp.a2mac1.com/costing(costing:projects/details/8191/part/5383895)","Support")</f>
        <v>Support</v>
      </c>
      <c r="B824">
        <v>5383895</v>
      </c>
      <c r="C824">
        <v>5383636</v>
      </c>
      <c r="E824">
        <v>0.064589999999999995</v>
      </c>
      <c r="F824">
        <v>0</v>
      </c>
      <c r="G824">
        <v>0</v>
      </c>
      <c r="H824">
        <v>0</v>
      </c>
      <c r="I824" t="s">
        <v>74</v>
      </c>
      <c r="J824">
        <v>0</v>
      </c>
      <c r="K824">
        <v>0.064589999999999995</v>
      </c>
      <c r="L824">
        <v>0</v>
      </c>
      <c r="M824">
        <v>0</v>
      </c>
      <c r="N824">
        <v>0.064589999999999995</v>
      </c>
      <c r="O824" t="s">
        <v>74</v>
      </c>
      <c r="P824">
        <v>0</v>
      </c>
      <c r="Q824" t="s">
        <v>74</v>
      </c>
      <c r="R824">
        <v>0</v>
      </c>
      <c r="S824" t="s">
        <v>74</v>
      </c>
      <c r="T824">
        <v>0</v>
      </c>
      <c r="U824" t="s">
        <v>74</v>
      </c>
      <c r="V824">
        <v>0</v>
      </c>
      <c r="W824" t="s">
        <v>74</v>
      </c>
      <c r="X824">
        <v>0</v>
      </c>
      <c r="Y824">
        <v>0.064589999999999995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27</v>
      </c>
      <c r="AF824">
        <v>122</v>
      </c>
      <c r="AG824">
        <v>34</v>
      </c>
      <c r="AI824">
        <v>0.012</v>
      </c>
      <c r="AJ824" t="s">
        <v>685</v>
      </c>
      <c r="AK824" t="s">
        <v>501</v>
      </c>
      <c r="AL824" t="s">
        <v>1182</v>
      </c>
      <c r="AM824">
        <v>200000</v>
      </c>
      <c r="AN824" t="s">
        <v>92</v>
      </c>
      <c r="AO824">
        <v>1</v>
      </c>
      <c r="AP824">
        <v>0</v>
      </c>
      <c r="AQ824">
        <v>16666.666666666668</v>
      </c>
      <c r="AR824" t="s">
        <v>2813</v>
      </c>
      <c r="AS824" t="s">
        <v>78</v>
      </c>
      <c r="AX824" t="s">
        <v>79</v>
      </c>
      <c r="AY824" t="s">
        <v>74</v>
      </c>
      <c r="AZ824">
        <v>0</v>
      </c>
      <c r="BA824" t="s">
        <v>74</v>
      </c>
      <c r="BB824">
        <v>0</v>
      </c>
      <c r="BD824">
        <v>0.064589999999999995</v>
      </c>
      <c r="BE824">
        <v>0</v>
      </c>
    </row>
    <row r="825" spans="1:58" ht="12.75">
      <c r="A825" s="2" t="str">
        <f>HYPERLINK("https://ibp.a2mac1.com/costing(costing:projects/details/8191/part/5383630)","Cover")</f>
        <v>Cover</v>
      </c>
      <c r="B825">
        <v>5383630</v>
      </c>
      <c r="C825">
        <v>5383532</v>
      </c>
      <c r="E825">
        <v>9.0427776000000009</v>
      </c>
      <c r="F825">
        <v>0</v>
      </c>
      <c r="G825">
        <v>0</v>
      </c>
      <c r="H825">
        <v>0.019920421930666666</v>
      </c>
      <c r="I825" t="s">
        <v>137</v>
      </c>
      <c r="J825">
        <v>0.33845377066666665</v>
      </c>
      <c r="K825">
        <v>9.401151792597334</v>
      </c>
      <c r="L825">
        <v>0.47814038245665025</v>
      </c>
      <c r="M825">
        <v>2.8688422947399013</v>
      </c>
      <c r="N825">
        <v>12.269994087337235</v>
      </c>
      <c r="O825" t="s">
        <v>90</v>
      </c>
      <c r="P825">
        <v>0</v>
      </c>
      <c r="Q825" t="s">
        <v>90</v>
      </c>
      <c r="R825">
        <v>0</v>
      </c>
      <c r="S825" t="s">
        <v>90</v>
      </c>
      <c r="T825">
        <v>0</v>
      </c>
      <c r="U825" t="s">
        <v>90</v>
      </c>
      <c r="V825">
        <v>0</v>
      </c>
      <c r="W825" t="s">
        <v>90</v>
      </c>
      <c r="X825">
        <v>0</v>
      </c>
      <c r="Y825">
        <v>12.269994087337235</v>
      </c>
      <c r="Z825">
        <v>0</v>
      </c>
      <c r="AA825">
        <v>0</v>
      </c>
      <c r="AB825">
        <v>0</v>
      </c>
      <c r="AC825">
        <v>0</v>
      </c>
      <c r="AD825">
        <v>0</v>
      </c>
      <c r="AI825">
        <v>0.56399999999999995</v>
      </c>
      <c r="AK825" t="s">
        <v>501</v>
      </c>
      <c r="AL825" t="s">
        <v>2769</v>
      </c>
      <c r="AM825">
        <v>200000</v>
      </c>
      <c r="AN825" t="s">
        <v>92</v>
      </c>
      <c r="AO825">
        <v>1</v>
      </c>
      <c r="AP825">
        <v>0</v>
      </c>
      <c r="AQ825">
        <v>16666.666666666668</v>
      </c>
      <c r="AR825" t="s">
        <v>2825</v>
      </c>
      <c r="AS825" t="s">
        <v>78</v>
      </c>
      <c r="AX825" t="s">
        <v>79</v>
      </c>
      <c r="AY825" t="s">
        <v>137</v>
      </c>
      <c r="AZ825">
        <v>0</v>
      </c>
      <c r="BA825" t="s">
        <v>137</v>
      </c>
      <c r="BB825">
        <v>0</v>
      </c>
      <c r="BE825">
        <v>0</v>
      </c>
    </row>
    <row r="826" spans="1:58" ht="12.75">
      <c r="A826" s="2" t="str">
        <f>HYPERLINK("https://ibp.a2mac1.com/costing(costing:projects/details/8191/part/5383631)","Pad")</f>
        <v>Pad</v>
      </c>
      <c r="B826">
        <v>5383631</v>
      </c>
      <c r="C826">
        <v>5383532</v>
      </c>
      <c r="E826">
        <v>5.06999493</v>
      </c>
      <c r="F826">
        <v>0</v>
      </c>
      <c r="G826">
        <v>0</v>
      </c>
      <c r="H826">
        <v>0.025718470522105262</v>
      </c>
      <c r="I826" t="s">
        <v>137</v>
      </c>
      <c r="J826">
        <v>0.17789455894736841</v>
      </c>
      <c r="K826">
        <v>5.2736079594694738</v>
      </c>
      <c r="L826">
        <v>0.044599252838539744</v>
      </c>
      <c r="M826">
        <v>0.26759551703123846</v>
      </c>
      <c r="N826">
        <v>5.5412034765007121</v>
      </c>
      <c r="O826" t="s">
        <v>90</v>
      </c>
      <c r="P826">
        <v>0</v>
      </c>
      <c r="Q826" t="s">
        <v>90</v>
      </c>
      <c r="R826">
        <v>0</v>
      </c>
      <c r="S826" t="s">
        <v>90</v>
      </c>
      <c r="T826">
        <v>0</v>
      </c>
      <c r="U826" t="s">
        <v>90</v>
      </c>
      <c r="V826">
        <v>0</v>
      </c>
      <c r="W826" t="s">
        <v>90</v>
      </c>
      <c r="X826">
        <v>0</v>
      </c>
      <c r="Y826">
        <v>5.5412034765007121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605</v>
      </c>
      <c r="AF826">
        <v>505</v>
      </c>
      <c r="AG826">
        <v>165</v>
      </c>
      <c r="AI826">
        <v>1.43</v>
      </c>
      <c r="AJ826" t="s">
        <v>2775</v>
      </c>
      <c r="AK826" t="s">
        <v>501</v>
      </c>
      <c r="AL826" t="s">
        <v>2703</v>
      </c>
      <c r="AM826">
        <v>200000</v>
      </c>
      <c r="AN826" t="s">
        <v>92</v>
      </c>
      <c r="AO826">
        <v>1</v>
      </c>
      <c r="AP826">
        <v>0</v>
      </c>
      <c r="AQ826">
        <v>16666.666666666668</v>
      </c>
      <c r="AR826" t="s">
        <v>2830</v>
      </c>
      <c r="AS826" t="s">
        <v>78</v>
      </c>
      <c r="AX826" t="s">
        <v>79</v>
      </c>
      <c r="AY826" t="s">
        <v>137</v>
      </c>
      <c r="AZ826">
        <v>0</v>
      </c>
      <c r="BA826" t="s">
        <v>137</v>
      </c>
      <c r="BB826">
        <v>0</v>
      </c>
      <c r="BE826">
        <v>0</v>
      </c>
    </row>
    <row r="827" spans="1:58" ht="12.75">
      <c r="A827" s="2" t="str">
        <f>HYPERLINK("https://ibp.a2mac1.com/costing(costing:projects/details/8191/part/5383632)","Frame")</f>
        <v>Frame</v>
      </c>
      <c r="B827">
        <v>5383632</v>
      </c>
      <c r="C827">
        <v>5383532</v>
      </c>
      <c r="E827">
        <v>3.6061216699999998</v>
      </c>
      <c r="F827">
        <v>0</v>
      </c>
      <c r="G827">
        <v>0</v>
      </c>
      <c r="H827">
        <v>0.021038418412</v>
      </c>
      <c r="I827" t="s">
        <v>137</v>
      </c>
      <c r="J827">
        <v>0.145522657</v>
      </c>
      <c r="K827">
        <v>3.7726827454120002</v>
      </c>
      <c r="L827">
        <v>0.26566485737787998</v>
      </c>
      <c r="M827">
        <v>1.59398914426728</v>
      </c>
      <c r="N827">
        <v>5.3666718896792798</v>
      </c>
      <c r="O827" t="s">
        <v>90</v>
      </c>
      <c r="P827">
        <v>0</v>
      </c>
      <c r="Q827" t="s">
        <v>90</v>
      </c>
      <c r="R827">
        <v>0</v>
      </c>
      <c r="S827" t="s">
        <v>90</v>
      </c>
      <c r="T827">
        <v>0</v>
      </c>
      <c r="U827" t="s">
        <v>90</v>
      </c>
      <c r="V827">
        <v>0</v>
      </c>
      <c r="W827" t="s">
        <v>90</v>
      </c>
      <c r="X827">
        <v>0</v>
      </c>
      <c r="Y827">
        <v>5.3666718896792798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482</v>
      </c>
      <c r="AF827">
        <v>505</v>
      </c>
      <c r="AG827">
        <v>123</v>
      </c>
      <c r="AI827">
        <v>3.485</v>
      </c>
      <c r="AJ827" t="s">
        <v>2775</v>
      </c>
      <c r="AK827" t="s">
        <v>501</v>
      </c>
      <c r="AL827" t="s">
        <v>720</v>
      </c>
      <c r="AM827">
        <v>200000</v>
      </c>
      <c r="AN827" t="s">
        <v>92</v>
      </c>
      <c r="AO827">
        <v>1</v>
      </c>
      <c r="AP827">
        <v>0</v>
      </c>
      <c r="AQ827">
        <v>16666.666666666668</v>
      </c>
      <c r="AR827" t="s">
        <v>2835</v>
      </c>
      <c r="AS827" t="s">
        <v>78</v>
      </c>
      <c r="AX827" t="s">
        <v>79</v>
      </c>
      <c r="AY827" t="s">
        <v>137</v>
      </c>
      <c r="AZ827">
        <v>0</v>
      </c>
      <c r="BA827" t="s">
        <v>137</v>
      </c>
      <c r="BB827">
        <v>0</v>
      </c>
      <c r="BE827">
        <v>0</v>
      </c>
    </row>
    <row r="828" spans="1:58" ht="12.75">
      <c r="A828" s="2" t="str">
        <f>HYPERLINK("https://ibp.a2mac1.com/costing(costing:projects/details/8191/part/5383633)","Base Assembly")</f>
        <v>Base Assembly</v>
      </c>
      <c r="B828">
        <v>5383633</v>
      </c>
      <c r="C828">
        <v>5383532</v>
      </c>
      <c r="E828">
        <v>1.2286470678461539</v>
      </c>
      <c r="F828">
        <v>0</v>
      </c>
      <c r="G828">
        <v>0</v>
      </c>
      <c r="H828">
        <v>0.006696992361230769</v>
      </c>
      <c r="I828" t="s">
        <v>137</v>
      </c>
      <c r="J828">
        <v>0.046323069692307692</v>
      </c>
      <c r="K828">
        <v>1.2816671298996922</v>
      </c>
      <c r="L828">
        <v>0.1273716593309592</v>
      </c>
      <c r="M828">
        <v>0.76422995598575516</v>
      </c>
      <c r="N828">
        <v>2.0458970858854477</v>
      </c>
      <c r="O828" t="s">
        <v>90</v>
      </c>
      <c r="P828">
        <v>0</v>
      </c>
      <c r="Q828" t="s">
        <v>90</v>
      </c>
      <c r="R828">
        <v>0</v>
      </c>
      <c r="S828" t="s">
        <v>90</v>
      </c>
      <c r="T828">
        <v>0</v>
      </c>
      <c r="U828" t="s">
        <v>90</v>
      </c>
      <c r="V828">
        <v>0</v>
      </c>
      <c r="W828" t="s">
        <v>90</v>
      </c>
      <c r="X828">
        <v>0</v>
      </c>
      <c r="Y828">
        <v>2.0458970858854477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360</v>
      </c>
      <c r="AF828">
        <v>460</v>
      </c>
      <c r="AG828">
        <v>88</v>
      </c>
      <c r="AI828">
        <v>1.113</v>
      </c>
      <c r="AK828" t="s">
        <v>501</v>
      </c>
      <c r="AL828" t="s">
        <v>720</v>
      </c>
      <c r="AM828">
        <v>200000</v>
      </c>
      <c r="AN828" t="s">
        <v>92</v>
      </c>
      <c r="AO828">
        <v>1</v>
      </c>
      <c r="AP828">
        <v>0</v>
      </c>
      <c r="AQ828">
        <v>16666.666666666668</v>
      </c>
      <c r="AR828" t="s">
        <v>2842</v>
      </c>
      <c r="AS828" t="s">
        <v>78</v>
      </c>
      <c r="AX828" t="s">
        <v>79</v>
      </c>
      <c r="AY828" t="s">
        <v>137</v>
      </c>
      <c r="AZ828">
        <v>0</v>
      </c>
      <c r="BA828" t="s">
        <v>137</v>
      </c>
      <c r="BB828">
        <v>0</v>
      </c>
      <c r="BE828">
        <v>0</v>
      </c>
    </row>
    <row r="829" spans="1:58" ht="12.75">
      <c r="A829" s="2" t="str">
        <f>HYPERLINK("https://ibp.a2mac1.com/costing(costing:projects/details/8191/part/5383634)","Suspension")</f>
        <v>Suspension</v>
      </c>
      <c r="B829">
        <v>5383634</v>
      </c>
      <c r="C829">
        <v>5383532</v>
      </c>
      <c r="E829">
        <v>1.81</v>
      </c>
      <c r="F829">
        <v>0</v>
      </c>
      <c r="G829">
        <v>0</v>
      </c>
      <c r="H829">
        <v>0</v>
      </c>
      <c r="I829" t="s">
        <v>74</v>
      </c>
      <c r="J829">
        <v>0</v>
      </c>
      <c r="K829">
        <v>1.81</v>
      </c>
      <c r="L829">
        <v>0</v>
      </c>
      <c r="M829">
        <v>0</v>
      </c>
      <c r="N829">
        <v>1.81</v>
      </c>
      <c r="O829" t="s">
        <v>74</v>
      </c>
      <c r="P829">
        <v>0</v>
      </c>
      <c r="Q829" t="s">
        <v>74</v>
      </c>
      <c r="R829">
        <v>0</v>
      </c>
      <c r="S829" t="s">
        <v>74</v>
      </c>
      <c r="T829">
        <v>0</v>
      </c>
      <c r="U829" t="s">
        <v>74</v>
      </c>
      <c r="V829">
        <v>0</v>
      </c>
      <c r="W829" t="s">
        <v>74</v>
      </c>
      <c r="X829">
        <v>0</v>
      </c>
      <c r="Y829">
        <v>1.81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60</v>
      </c>
      <c r="AF829">
        <v>347</v>
      </c>
      <c r="AG829">
        <v>290</v>
      </c>
      <c r="AI829">
        <v>0.32100000000000001</v>
      </c>
      <c r="AJ829" t="s">
        <v>2843</v>
      </c>
      <c r="AK829" t="s">
        <v>501</v>
      </c>
      <c r="AL829" t="s">
        <v>774</v>
      </c>
      <c r="AM829">
        <v>200000</v>
      </c>
      <c r="AN829" t="s">
        <v>92</v>
      </c>
      <c r="AO829">
        <v>1</v>
      </c>
      <c r="AP829">
        <v>0</v>
      </c>
      <c r="AQ829">
        <v>16666.666666666668</v>
      </c>
      <c r="AR829" t="s">
        <v>2844</v>
      </c>
      <c r="AS829" t="s">
        <v>78</v>
      </c>
      <c r="AX829" t="s">
        <v>79</v>
      </c>
      <c r="AY829" t="s">
        <v>74</v>
      </c>
      <c r="AZ829">
        <v>0</v>
      </c>
      <c r="BA829" t="s">
        <v>74</v>
      </c>
      <c r="BB829">
        <v>0</v>
      </c>
      <c r="BD829">
        <v>1.81</v>
      </c>
      <c r="BE829">
        <v>0</v>
      </c>
    </row>
    <row r="830" spans="1:58" ht="12.75">
      <c r="A830" s="2" t="str">
        <f>HYPERLINK("https://ibp.a2mac1.com/costing(costing:projects/details/8191/part/5383896)","Airbag Support")</f>
        <v>Airbag Support</v>
      </c>
      <c r="B830">
        <v>5383896</v>
      </c>
      <c r="C830">
        <v>5383640</v>
      </c>
      <c r="E830">
        <v>0.066696223999999998</v>
      </c>
      <c r="F830">
        <v>0.05</v>
      </c>
      <c r="G830">
        <v>0</v>
      </c>
      <c r="H830">
        <v>1.6885119999999999E-06</v>
      </c>
      <c r="I830" t="s">
        <v>137</v>
      </c>
      <c r="J830">
        <v>0.0029548959999999998</v>
      </c>
      <c r="K830">
        <v>0.121402808512</v>
      </c>
      <c r="L830">
        <v>0.026621704491934038</v>
      </c>
      <c r="M830">
        <v>0.15973022695160424</v>
      </c>
      <c r="N830">
        <v>0.28113303546360424</v>
      </c>
      <c r="O830" t="s">
        <v>138</v>
      </c>
      <c r="P830">
        <v>0.0072841685107199999</v>
      </c>
      <c r="Q830" t="s">
        <v>138</v>
      </c>
      <c r="R830">
        <v>0.0095838136170962544</v>
      </c>
      <c r="S830" t="s">
        <v>139</v>
      </c>
      <c r="T830">
        <v>0.033735964255632508</v>
      </c>
      <c r="U830" t="s">
        <v>90</v>
      </c>
      <c r="V830">
        <v>0</v>
      </c>
      <c r="W830" t="s">
        <v>90</v>
      </c>
      <c r="X830">
        <v>0</v>
      </c>
      <c r="Y830">
        <v>0.33173698184705303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40</v>
      </c>
      <c r="AF830">
        <v>34</v>
      </c>
      <c r="AG830">
        <v>200</v>
      </c>
      <c r="AI830">
        <v>0.048000000000000001</v>
      </c>
      <c r="AK830" t="s">
        <v>501</v>
      </c>
      <c r="AL830" t="s">
        <v>2853</v>
      </c>
      <c r="AM830">
        <v>200000</v>
      </c>
      <c r="AN830" t="s">
        <v>76</v>
      </c>
      <c r="AO830">
        <v>1</v>
      </c>
      <c r="AP830">
        <v>0</v>
      </c>
      <c r="AQ830">
        <v>16666.666666666668</v>
      </c>
      <c r="AR830" t="s">
        <v>2854</v>
      </c>
      <c r="AS830" t="s">
        <v>78</v>
      </c>
      <c r="AX830" t="s">
        <v>79</v>
      </c>
      <c r="AY830" t="s">
        <v>137</v>
      </c>
      <c r="AZ830">
        <v>0.00175</v>
      </c>
      <c r="BA830" t="s">
        <v>137</v>
      </c>
      <c r="BB830">
        <v>0</v>
      </c>
      <c r="BE830">
        <v>0</v>
      </c>
    </row>
    <row r="831" spans="1:58" ht="12.75">
      <c r="A831" s="2" t="str">
        <f>HYPERLINK("https://ibp.a2mac1.com/costing(costing:projects/details/8191/part/5383897)","Airbag Cylinder")</f>
        <v>Airbag Cylinder</v>
      </c>
      <c r="B831">
        <v>5383897</v>
      </c>
      <c r="C831">
        <v>5383640</v>
      </c>
      <c r="D831" t="s">
        <v>2855</v>
      </c>
      <c r="E831">
        <v>6.0675999999999997</v>
      </c>
      <c r="F831">
        <v>0</v>
      </c>
      <c r="G831">
        <v>0</v>
      </c>
      <c r="H831">
        <v>0</v>
      </c>
      <c r="I831" t="s">
        <v>74</v>
      </c>
      <c r="J831">
        <v>0</v>
      </c>
      <c r="K831">
        <v>6.0675999999999997</v>
      </c>
      <c r="L831">
        <v>0</v>
      </c>
      <c r="M831">
        <v>0</v>
      </c>
      <c r="N831">
        <v>6.0675999999999997</v>
      </c>
      <c r="O831" t="s">
        <v>74</v>
      </c>
      <c r="P831">
        <v>0</v>
      </c>
      <c r="Q831" t="s">
        <v>74</v>
      </c>
      <c r="R831">
        <v>0</v>
      </c>
      <c r="S831" t="s">
        <v>74</v>
      </c>
      <c r="T831">
        <v>0</v>
      </c>
      <c r="U831" t="s">
        <v>74</v>
      </c>
      <c r="V831">
        <v>0</v>
      </c>
      <c r="W831" t="s">
        <v>74</v>
      </c>
      <c r="X831">
        <v>0</v>
      </c>
      <c r="Y831">
        <v>6.0675999999999997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40</v>
      </c>
      <c r="AF831">
        <v>23</v>
      </c>
      <c r="AG831">
        <v>139</v>
      </c>
      <c r="AH831">
        <v>0</v>
      </c>
      <c r="AI831">
        <v>0.16600000000000001</v>
      </c>
      <c r="AK831" t="s">
        <v>501</v>
      </c>
      <c r="AM831">
        <v>200000</v>
      </c>
      <c r="AN831" t="s">
        <v>76</v>
      </c>
      <c r="AO831">
        <v>1</v>
      </c>
      <c r="AP831">
        <v>0</v>
      </c>
      <c r="AQ831">
        <v>16666.666666666668</v>
      </c>
      <c r="AR831" t="s">
        <v>2856</v>
      </c>
      <c r="AS831" t="s">
        <v>78</v>
      </c>
      <c r="AX831" t="s">
        <v>79</v>
      </c>
      <c r="AY831" t="s">
        <v>74</v>
      </c>
      <c r="AZ831">
        <v>0</v>
      </c>
      <c r="BA831" t="s">
        <v>74</v>
      </c>
      <c r="BB831">
        <v>0</v>
      </c>
      <c r="BD831">
        <v>6.0675999999999997</v>
      </c>
      <c r="BE831">
        <v>0</v>
      </c>
    </row>
    <row r="832" spans="1:58" ht="12.75">
      <c r="A832" s="2" t="str">
        <f>HYPERLINK("https://ibp.a2mac1.com/costing(costing:projects/details/8191/part/5383898)","Side Airbag")</f>
        <v>Side Airbag</v>
      </c>
      <c r="B832">
        <v>5383898</v>
      </c>
      <c r="C832">
        <v>5383640</v>
      </c>
      <c r="D832" t="s">
        <v>2868</v>
      </c>
      <c r="E832">
        <v>2.725</v>
      </c>
      <c r="F832">
        <v>0</v>
      </c>
      <c r="G832">
        <v>0</v>
      </c>
      <c r="H832">
        <v>0.097990999999999995</v>
      </c>
      <c r="I832" t="s">
        <v>137</v>
      </c>
      <c r="J832">
        <v>0.095375000000000001</v>
      </c>
      <c r="K832">
        <v>2.9183659999999998</v>
      </c>
      <c r="L832">
        <v>0.050437394316375408</v>
      </c>
      <c r="M832">
        <v>0.30262436589825242</v>
      </c>
      <c r="N832">
        <v>3.2209903658982526</v>
      </c>
      <c r="O832" t="s">
        <v>90</v>
      </c>
      <c r="P832">
        <v>0</v>
      </c>
      <c r="Q832" t="s">
        <v>90</v>
      </c>
      <c r="R832">
        <v>0</v>
      </c>
      <c r="S832" t="s">
        <v>90</v>
      </c>
      <c r="T832">
        <v>0</v>
      </c>
      <c r="U832" t="s">
        <v>90</v>
      </c>
      <c r="V832">
        <v>0</v>
      </c>
      <c r="W832" t="s">
        <v>90</v>
      </c>
      <c r="X832">
        <v>0</v>
      </c>
      <c r="Y832">
        <v>3.2209903658982526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</v>
      </c>
      <c r="AF832">
        <v>585</v>
      </c>
      <c r="AG832">
        <v>42</v>
      </c>
      <c r="AH832">
        <v>0</v>
      </c>
      <c r="AI832">
        <v>0.109</v>
      </c>
      <c r="AK832" t="s">
        <v>501</v>
      </c>
      <c r="AM832">
        <v>200000</v>
      </c>
      <c r="AN832" t="s">
        <v>92</v>
      </c>
      <c r="AO832">
        <v>1</v>
      </c>
      <c r="AP832">
        <v>0</v>
      </c>
      <c r="AQ832">
        <v>16666.666666666668</v>
      </c>
      <c r="AR832" t="s">
        <v>2869</v>
      </c>
      <c r="AS832" t="s">
        <v>78</v>
      </c>
      <c r="AX832" t="s">
        <v>79</v>
      </c>
      <c r="AY832" t="s">
        <v>137</v>
      </c>
      <c r="AZ832">
        <v>0</v>
      </c>
      <c r="BA832" t="s">
        <v>137</v>
      </c>
      <c r="BB832">
        <v>0</v>
      </c>
      <c r="BE832">
        <v>0</v>
      </c>
    </row>
    <row r="833" spans="1:58" ht="12.75">
      <c r="A833" s="2" t="str">
        <f>HYPERLINK("https://ibp.a2mac1.com/costing(costing:projects/details/8191/part/5383637)","Airbag Garnish")</f>
        <v>Airbag Garnish</v>
      </c>
      <c r="B833">
        <v>5383637</v>
      </c>
      <c r="C833">
        <v>5383533</v>
      </c>
      <c r="E833">
        <v>0.30</v>
      </c>
      <c r="F833">
        <v>0</v>
      </c>
      <c r="G833">
        <v>0</v>
      </c>
      <c r="H833">
        <v>0</v>
      </c>
      <c r="I833" t="s">
        <v>74</v>
      </c>
      <c r="J833">
        <v>0</v>
      </c>
      <c r="K833">
        <v>0.30</v>
      </c>
      <c r="L833">
        <v>0</v>
      </c>
      <c r="M833">
        <v>0</v>
      </c>
      <c r="N833">
        <v>0.30</v>
      </c>
      <c r="O833" t="s">
        <v>74</v>
      </c>
      <c r="P833">
        <v>0</v>
      </c>
      <c r="Q833" t="s">
        <v>74</v>
      </c>
      <c r="R833">
        <v>0</v>
      </c>
      <c r="S833" t="s">
        <v>74</v>
      </c>
      <c r="T833">
        <v>0</v>
      </c>
      <c r="U833" t="s">
        <v>74</v>
      </c>
      <c r="V833">
        <v>0</v>
      </c>
      <c r="W833" t="s">
        <v>74</v>
      </c>
      <c r="X833">
        <v>0</v>
      </c>
      <c r="Y833">
        <v>0.30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120</v>
      </c>
      <c r="AG833">
        <v>280</v>
      </c>
      <c r="AI833">
        <v>0.0060000000000000001</v>
      </c>
      <c r="AJ833" t="s">
        <v>2874</v>
      </c>
      <c r="AK833" t="s">
        <v>501</v>
      </c>
      <c r="AL833" t="s">
        <v>1182</v>
      </c>
      <c r="AM833">
        <v>200000</v>
      </c>
      <c r="AN833" t="s">
        <v>76</v>
      </c>
      <c r="AO833">
        <v>1</v>
      </c>
      <c r="AP833">
        <v>0</v>
      </c>
      <c r="AQ833">
        <v>16666.666666666668</v>
      </c>
      <c r="AR833" t="s">
        <v>2875</v>
      </c>
      <c r="AS833" t="s">
        <v>78</v>
      </c>
      <c r="AX833" t="s">
        <v>79</v>
      </c>
      <c r="AY833" t="s">
        <v>74</v>
      </c>
      <c r="AZ833">
        <v>0</v>
      </c>
      <c r="BA833" t="s">
        <v>74</v>
      </c>
      <c r="BB833">
        <v>0</v>
      </c>
      <c r="BD833">
        <v>0.30</v>
      </c>
      <c r="BE833">
        <v>0</v>
      </c>
    </row>
    <row r="834" spans="1:58" ht="12.75">
      <c r="A834" s="2" t="str">
        <f>HYPERLINK("https://ibp.a2mac1.com/costing(costing:projects/details/8191/part/5383638)","Occupant Detection")</f>
        <v>Occupant Detection</v>
      </c>
      <c r="B834">
        <v>5383638</v>
      </c>
      <c r="C834">
        <v>5383533</v>
      </c>
      <c r="E834">
        <v>1.66093</v>
      </c>
      <c r="F834">
        <v>0</v>
      </c>
      <c r="G834">
        <v>0</v>
      </c>
      <c r="H834">
        <v>0</v>
      </c>
      <c r="I834" t="s">
        <v>74</v>
      </c>
      <c r="J834">
        <v>0</v>
      </c>
      <c r="K834">
        <v>1.66093</v>
      </c>
      <c r="L834">
        <v>0</v>
      </c>
      <c r="M834">
        <v>0</v>
      </c>
      <c r="N834">
        <v>1.66093</v>
      </c>
      <c r="O834" t="s">
        <v>74</v>
      </c>
      <c r="P834">
        <v>0</v>
      </c>
      <c r="Q834" t="s">
        <v>74</v>
      </c>
      <c r="R834">
        <v>0</v>
      </c>
      <c r="S834" t="s">
        <v>74</v>
      </c>
      <c r="T834">
        <v>0</v>
      </c>
      <c r="U834" t="s">
        <v>74</v>
      </c>
      <c r="V834">
        <v>0</v>
      </c>
      <c r="W834" t="s">
        <v>74</v>
      </c>
      <c r="X834">
        <v>0</v>
      </c>
      <c r="Y834">
        <v>1.66093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15</v>
      </c>
      <c r="AF834">
        <v>34</v>
      </c>
      <c r="AG834">
        <v>56</v>
      </c>
      <c r="AI834">
        <v>0.015</v>
      </c>
      <c r="AK834" t="s">
        <v>686</v>
      </c>
      <c r="AL834" t="s">
        <v>2876</v>
      </c>
      <c r="AM834">
        <v>200000</v>
      </c>
      <c r="AN834" t="s">
        <v>76</v>
      </c>
      <c r="AO834">
        <v>1</v>
      </c>
      <c r="AP834">
        <v>0</v>
      </c>
      <c r="AQ834">
        <v>16666.666666666668</v>
      </c>
      <c r="AR834" t="s">
        <v>2877</v>
      </c>
      <c r="AS834" t="s">
        <v>78</v>
      </c>
      <c r="AX834" t="s">
        <v>79</v>
      </c>
      <c r="AY834" t="s">
        <v>74</v>
      </c>
      <c r="AZ834">
        <v>0</v>
      </c>
      <c r="BA834" t="s">
        <v>74</v>
      </c>
      <c r="BB834">
        <v>0</v>
      </c>
      <c r="BD834">
        <v>1.66093</v>
      </c>
      <c r="BE834">
        <v>0</v>
      </c>
    </row>
    <row r="835" spans="1:58" ht="12.75">
      <c r="A835" s="2" t="str">
        <f>HYPERLINK("https://ibp.a2mac1.com/costing(costing:projects/details/8191/part/5383639)","Occupant Detection Support")</f>
        <v>Occupant Detection Support</v>
      </c>
      <c r="B835">
        <v>5383639</v>
      </c>
      <c r="C835">
        <v>5383533</v>
      </c>
      <c r="E835">
        <v>0.028984137</v>
      </c>
      <c r="F835">
        <v>0</v>
      </c>
      <c r="G835">
        <v>0</v>
      </c>
      <c r="H835">
        <v>0.00014702730147368422</v>
      </c>
      <c r="I835" t="s">
        <v>137</v>
      </c>
      <c r="J835">
        <v>0.0010169872631578948</v>
      </c>
      <c r="K835">
        <v>0.030148151564631579</v>
      </c>
      <c r="L835">
        <v>0.00060344524918508596</v>
      </c>
      <c r="M835">
        <v>0.0036206714951105162</v>
      </c>
      <c r="N835">
        <v>0.033768823059742097</v>
      </c>
      <c r="O835" t="s">
        <v>138</v>
      </c>
      <c r="P835">
        <v>0.0018088890938778948</v>
      </c>
      <c r="Q835" t="s">
        <v>138</v>
      </c>
      <c r="R835">
        <v>0.00021724028970663097</v>
      </c>
      <c r="S835" t="s">
        <v>139</v>
      </c>
      <c r="T835">
        <v>0.0040522587671690518</v>
      </c>
      <c r="U835" t="s">
        <v>90</v>
      </c>
      <c r="V835">
        <v>0</v>
      </c>
      <c r="W835" t="s">
        <v>90</v>
      </c>
      <c r="X835">
        <v>0</v>
      </c>
      <c r="Y835">
        <v>0.03984721121049567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13</v>
      </c>
      <c r="AF835">
        <v>83</v>
      </c>
      <c r="AG835">
        <v>61</v>
      </c>
      <c r="AI835">
        <v>0.012999999999999999</v>
      </c>
      <c r="AK835" t="s">
        <v>501</v>
      </c>
      <c r="AL835" t="s">
        <v>1332</v>
      </c>
      <c r="AM835">
        <v>200000</v>
      </c>
      <c r="AN835" t="s">
        <v>76</v>
      </c>
      <c r="AO835">
        <v>1</v>
      </c>
      <c r="AP835">
        <v>0</v>
      </c>
      <c r="AQ835">
        <v>16666.666666666668</v>
      </c>
      <c r="AR835" t="s">
        <v>2882</v>
      </c>
      <c r="AS835" t="s">
        <v>78</v>
      </c>
      <c r="AX835" t="s">
        <v>79</v>
      </c>
      <c r="AY835" t="s">
        <v>137</v>
      </c>
      <c r="AZ835">
        <v>0</v>
      </c>
      <c r="BA835" t="s">
        <v>137</v>
      </c>
      <c r="BB835">
        <v>0</v>
      </c>
      <c r="BE835">
        <v>0</v>
      </c>
    </row>
    <row r="836" spans="1:58" ht="12.75">
      <c r="A836" s="2" t="str">
        <f>HYPERLINK("https://ibp.a2mac1.com/costing(costing:projects/details/8191/part/5384056)","Inner Side")</f>
        <v>Inner Side</v>
      </c>
      <c r="B836">
        <v>5384056</v>
      </c>
      <c r="C836">
        <v>5383904</v>
      </c>
      <c r="E836">
        <v>1.1434919859999999</v>
      </c>
      <c r="F836">
        <v>0</v>
      </c>
      <c r="G836">
        <v>0</v>
      </c>
      <c r="H836">
        <v>0.0063583180759999997</v>
      </c>
      <c r="I836" t="s">
        <v>137</v>
      </c>
      <c r="J836">
        <v>0.043980460999999998</v>
      </c>
      <c r="K836">
        <v>1.1938307650760001</v>
      </c>
      <c r="L836">
        <v>0.69206888468921912</v>
      </c>
      <c r="M836">
        <v>4.1524133081353147</v>
      </c>
      <c r="N836">
        <v>5.3462440732113148</v>
      </c>
      <c r="O836" t="s">
        <v>90</v>
      </c>
      <c r="P836">
        <v>0</v>
      </c>
      <c r="Q836" t="s">
        <v>90</v>
      </c>
      <c r="R836">
        <v>0</v>
      </c>
      <c r="S836" t="s">
        <v>90</v>
      </c>
      <c r="T836">
        <v>0</v>
      </c>
      <c r="U836" t="s">
        <v>90</v>
      </c>
      <c r="V836">
        <v>0</v>
      </c>
      <c r="W836" t="s">
        <v>90</v>
      </c>
      <c r="X836">
        <v>0</v>
      </c>
      <c r="Y836">
        <v>5.3462440732113148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483</v>
      </c>
      <c r="AF836">
        <v>62</v>
      </c>
      <c r="AG836">
        <v>101</v>
      </c>
      <c r="AI836">
        <v>1.667</v>
      </c>
      <c r="AK836" t="s">
        <v>501</v>
      </c>
      <c r="AL836" t="s">
        <v>720</v>
      </c>
      <c r="AM836">
        <v>200000</v>
      </c>
      <c r="AN836" t="s">
        <v>92</v>
      </c>
      <c r="AO836">
        <v>1</v>
      </c>
      <c r="AP836">
        <v>0</v>
      </c>
      <c r="AQ836">
        <v>16666.666666666668</v>
      </c>
      <c r="AR836" t="s">
        <v>2891</v>
      </c>
      <c r="AS836" t="s">
        <v>78</v>
      </c>
      <c r="AX836" t="s">
        <v>79</v>
      </c>
      <c r="AY836" t="s">
        <v>137</v>
      </c>
      <c r="AZ836">
        <v>0</v>
      </c>
      <c r="BA836" t="s">
        <v>137</v>
      </c>
      <c r="BB836">
        <v>0</v>
      </c>
      <c r="BE836">
        <v>0</v>
      </c>
    </row>
    <row r="837" spans="1:58" ht="12.75">
      <c r="A837" s="2" t="str">
        <f>HYPERLINK("https://ibp.a2mac1.com/costing(costing:projects/details/8191/part/5384057)","Outer Side")</f>
        <v>Outer Side</v>
      </c>
      <c r="B837">
        <v>5384057</v>
      </c>
      <c r="C837">
        <v>5383904</v>
      </c>
      <c r="E837">
        <v>1.0666646900000001</v>
      </c>
      <c r="F837">
        <v>0</v>
      </c>
      <c r="G837">
        <v>0</v>
      </c>
      <c r="H837">
        <v>0.0059311245399999999</v>
      </c>
      <c r="I837" t="s">
        <v>137</v>
      </c>
      <c r="J837">
        <v>0.041025565</v>
      </c>
      <c r="K837">
        <v>1.1136213795400001</v>
      </c>
      <c r="L837">
        <v>0.69206888468921912</v>
      </c>
      <c r="M837">
        <v>4.1524133081353147</v>
      </c>
      <c r="N837">
        <v>5.2660346876753144</v>
      </c>
      <c r="O837" t="s">
        <v>90</v>
      </c>
      <c r="P837">
        <v>0</v>
      </c>
      <c r="Q837" t="s">
        <v>90</v>
      </c>
      <c r="R837">
        <v>0</v>
      </c>
      <c r="S837" t="s">
        <v>90</v>
      </c>
      <c r="T837">
        <v>0</v>
      </c>
      <c r="U837" t="s">
        <v>90</v>
      </c>
      <c r="V837">
        <v>0</v>
      </c>
      <c r="W837" t="s">
        <v>90</v>
      </c>
      <c r="X837">
        <v>0</v>
      </c>
      <c r="Y837">
        <v>5.2660346876753144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477</v>
      </c>
      <c r="AF837">
        <v>49</v>
      </c>
      <c r="AG837">
        <v>55</v>
      </c>
      <c r="AI837">
        <v>1.555</v>
      </c>
      <c r="AK837" t="s">
        <v>501</v>
      </c>
      <c r="AL837" t="s">
        <v>720</v>
      </c>
      <c r="AM837">
        <v>200000</v>
      </c>
      <c r="AN837" t="s">
        <v>92</v>
      </c>
      <c r="AO837">
        <v>1</v>
      </c>
      <c r="AP837">
        <v>0</v>
      </c>
      <c r="AQ837">
        <v>16666.666666666668</v>
      </c>
      <c r="AR837" t="s">
        <v>2896</v>
      </c>
      <c r="AS837" t="s">
        <v>78</v>
      </c>
      <c r="AX837" t="s">
        <v>79</v>
      </c>
      <c r="AY837" t="s">
        <v>137</v>
      </c>
      <c r="AZ837">
        <v>0</v>
      </c>
      <c r="BA837" t="s">
        <v>137</v>
      </c>
      <c r="BB837">
        <v>0</v>
      </c>
      <c r="BE837">
        <v>0</v>
      </c>
    </row>
    <row r="838" spans="1:58" ht="12.75">
      <c r="A838" s="2" t="str">
        <f>HYPERLINK("https://ibp.a2mac1.com/costing(costing:projects/details/8191/part/5383899)","Motor")</f>
        <v>Motor</v>
      </c>
      <c r="B838">
        <v>5383899</v>
      </c>
      <c r="C838">
        <v>5383644</v>
      </c>
      <c r="E838">
        <v>3.2941799999999999</v>
      </c>
      <c r="F838">
        <v>0</v>
      </c>
      <c r="G838">
        <v>0</v>
      </c>
      <c r="H838">
        <v>0</v>
      </c>
      <c r="I838" t="s">
        <v>74</v>
      </c>
      <c r="J838">
        <v>0</v>
      </c>
      <c r="K838">
        <v>3.2941799999999999</v>
      </c>
      <c r="L838">
        <v>0</v>
      </c>
      <c r="M838">
        <v>0</v>
      </c>
      <c r="N838">
        <v>3.2941799999999999</v>
      </c>
      <c r="O838" t="s">
        <v>74</v>
      </c>
      <c r="P838">
        <v>0</v>
      </c>
      <c r="Q838" t="s">
        <v>74</v>
      </c>
      <c r="R838">
        <v>0</v>
      </c>
      <c r="S838" t="s">
        <v>74</v>
      </c>
      <c r="T838">
        <v>0</v>
      </c>
      <c r="U838" t="s">
        <v>74</v>
      </c>
      <c r="V838">
        <v>0</v>
      </c>
      <c r="W838" t="s">
        <v>74</v>
      </c>
      <c r="X838">
        <v>0</v>
      </c>
      <c r="Y838">
        <v>3.2941799999999999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52</v>
      </c>
      <c r="AF838">
        <v>98</v>
      </c>
      <c r="AG838">
        <v>35</v>
      </c>
      <c r="AI838">
        <v>0.27800000000000002</v>
      </c>
      <c r="AJ838" t="s">
        <v>2898</v>
      </c>
      <c r="AK838" t="s">
        <v>686</v>
      </c>
      <c r="AL838" t="s">
        <v>2899</v>
      </c>
      <c r="AM838">
        <v>200000</v>
      </c>
      <c r="AN838" t="s">
        <v>76</v>
      </c>
      <c r="AO838">
        <v>1</v>
      </c>
      <c r="AP838">
        <v>0</v>
      </c>
      <c r="AQ838">
        <v>16666.666666666668</v>
      </c>
      <c r="AR838" t="s">
        <v>2900</v>
      </c>
      <c r="AS838" t="s">
        <v>78</v>
      </c>
      <c r="AX838" t="s">
        <v>79</v>
      </c>
      <c r="AY838" t="s">
        <v>74</v>
      </c>
      <c r="AZ838">
        <v>0</v>
      </c>
      <c r="BA838" t="s">
        <v>74</v>
      </c>
      <c r="BB838">
        <v>0</v>
      </c>
      <c r="BD838">
        <v>3.2941799999999999</v>
      </c>
      <c r="BE838">
        <v>0</v>
      </c>
    </row>
    <row r="839" spans="1:58" ht="12.75">
      <c r="A839" s="2" t="str">
        <f>HYPERLINK("https://ibp.a2mac1.com/costing(costing:projects/details/8191/part/5383900)","Mount Bracket")</f>
        <v>Mount Bracket</v>
      </c>
      <c r="B839">
        <v>5383900</v>
      </c>
      <c r="C839">
        <v>5383644</v>
      </c>
      <c r="E839">
        <v>0.207845274</v>
      </c>
      <c r="F839">
        <v>0</v>
      </c>
      <c r="G839">
        <v>0</v>
      </c>
      <c r="H839">
        <v>0.0011557110839999999</v>
      </c>
      <c r="I839" t="s">
        <v>137</v>
      </c>
      <c r="J839">
        <v>0.0079940489999999996</v>
      </c>
      <c r="K839">
        <v>0.216995034084</v>
      </c>
      <c r="L839">
        <v>0.069749493478075533</v>
      </c>
      <c r="M839">
        <v>0.41849696086845323</v>
      </c>
      <c r="N839">
        <v>0.63549199495245323</v>
      </c>
      <c r="O839" t="s">
        <v>90</v>
      </c>
      <c r="P839">
        <v>0</v>
      </c>
      <c r="Q839" t="s">
        <v>90</v>
      </c>
      <c r="R839">
        <v>0</v>
      </c>
      <c r="S839" t="s">
        <v>90</v>
      </c>
      <c r="T839">
        <v>0</v>
      </c>
      <c r="U839" t="s">
        <v>90</v>
      </c>
      <c r="V839">
        <v>0</v>
      </c>
      <c r="W839" t="s">
        <v>90</v>
      </c>
      <c r="X839">
        <v>0</v>
      </c>
      <c r="Y839">
        <v>0.63549199495245323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88</v>
      </c>
      <c r="AF839">
        <v>501</v>
      </c>
      <c r="AG839">
        <v>39</v>
      </c>
      <c r="AI839">
        <v>0.30299999999999999</v>
      </c>
      <c r="AK839" t="s">
        <v>501</v>
      </c>
      <c r="AL839" t="s">
        <v>720</v>
      </c>
      <c r="AM839">
        <v>200000</v>
      </c>
      <c r="AN839" t="s">
        <v>92</v>
      </c>
      <c r="AO839">
        <v>1</v>
      </c>
      <c r="AP839">
        <v>0</v>
      </c>
      <c r="AQ839">
        <v>16666.666666666668</v>
      </c>
      <c r="AR839" t="s">
        <v>2905</v>
      </c>
      <c r="AS839" t="s">
        <v>78</v>
      </c>
      <c r="AX839" t="s">
        <v>79</v>
      </c>
      <c r="AY839" t="s">
        <v>137</v>
      </c>
      <c r="AZ839">
        <v>0</v>
      </c>
      <c r="BA839" t="s">
        <v>137</v>
      </c>
      <c r="BB839">
        <v>0</v>
      </c>
      <c r="BE839">
        <v>0</v>
      </c>
    </row>
    <row r="840" spans="1:58" ht="12.75">
      <c r="A840" s="2" t="str">
        <f>HYPERLINK("https://ibp.a2mac1.com/costing(costing:projects/details/8191/part/5383901)","Crosstalk Shaft Inner")</f>
        <v>Crosstalk Shaft Inner</v>
      </c>
      <c r="B840">
        <v>5383901</v>
      </c>
      <c r="C840">
        <v>5383644</v>
      </c>
      <c r="E840">
        <v>0</v>
      </c>
      <c r="F840">
        <v>0.25019999999999998</v>
      </c>
      <c r="G840">
        <v>0</v>
      </c>
      <c r="H840">
        <v>0</v>
      </c>
      <c r="I840" t="s">
        <v>137</v>
      </c>
      <c r="J840">
        <v>0</v>
      </c>
      <c r="K840">
        <v>0.25895699999999999</v>
      </c>
      <c r="L840">
        <v>0</v>
      </c>
      <c r="M840">
        <v>0</v>
      </c>
      <c r="N840">
        <v>0.25895699999999999</v>
      </c>
      <c r="O840" t="s">
        <v>90</v>
      </c>
      <c r="P840">
        <v>0</v>
      </c>
      <c r="Q840" t="s">
        <v>90</v>
      </c>
      <c r="R840">
        <v>0</v>
      </c>
      <c r="S840" t="s">
        <v>90</v>
      </c>
      <c r="T840">
        <v>0</v>
      </c>
      <c r="U840" t="s">
        <v>90</v>
      </c>
      <c r="V840">
        <v>0</v>
      </c>
      <c r="W840" t="s">
        <v>90</v>
      </c>
      <c r="X840">
        <v>0</v>
      </c>
      <c r="Y840">
        <v>0.25895699999999999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3</v>
      </c>
      <c r="AF840">
        <v>72</v>
      </c>
      <c r="AG840">
        <v>3</v>
      </c>
      <c r="AI840">
        <v>0.0040000000000000001</v>
      </c>
      <c r="AK840" t="s">
        <v>501</v>
      </c>
      <c r="AL840" t="s">
        <v>754</v>
      </c>
      <c r="AM840">
        <v>200000</v>
      </c>
      <c r="AN840" t="s">
        <v>92</v>
      </c>
      <c r="AO840">
        <v>1</v>
      </c>
      <c r="AP840">
        <v>0</v>
      </c>
      <c r="AQ840">
        <v>16666.666666666668</v>
      </c>
      <c r="AR840" t="s">
        <v>2908</v>
      </c>
      <c r="AS840" t="s">
        <v>78</v>
      </c>
      <c r="AX840" t="s">
        <v>79</v>
      </c>
      <c r="AY840" t="s">
        <v>137</v>
      </c>
      <c r="AZ840">
        <v>0.0087569999999999992</v>
      </c>
      <c r="BA840" t="s">
        <v>137</v>
      </c>
      <c r="BB840">
        <v>0</v>
      </c>
      <c r="BE840">
        <v>0</v>
      </c>
    </row>
    <row r="841" spans="1:58" ht="12.75">
      <c r="A841" s="2" t="str">
        <f>HYPERLINK("https://ibp.a2mac1.com/costing(costing:projects/details/8191/part/5383902)","Crosstalk Shaft Outer")</f>
        <v>Crosstalk Shaft Outer</v>
      </c>
      <c r="B841">
        <v>5383902</v>
      </c>
      <c r="C841">
        <v>5383644</v>
      </c>
      <c r="E841">
        <v>1</v>
      </c>
      <c r="F841">
        <v>0</v>
      </c>
      <c r="G841">
        <v>0</v>
      </c>
      <c r="H841">
        <v>0</v>
      </c>
      <c r="I841" t="s">
        <v>74</v>
      </c>
      <c r="J841">
        <v>0</v>
      </c>
      <c r="K841">
        <v>1</v>
      </c>
      <c r="L841">
        <v>0</v>
      </c>
      <c r="M841">
        <v>0</v>
      </c>
      <c r="N841">
        <v>1</v>
      </c>
      <c r="O841" t="s">
        <v>74</v>
      </c>
      <c r="P841">
        <v>0</v>
      </c>
      <c r="Q841" t="s">
        <v>74</v>
      </c>
      <c r="R841">
        <v>0</v>
      </c>
      <c r="S841" t="s">
        <v>74</v>
      </c>
      <c r="T841">
        <v>0</v>
      </c>
      <c r="U841" t="s">
        <v>74</v>
      </c>
      <c r="V841">
        <v>0</v>
      </c>
      <c r="W841" t="s">
        <v>74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5</v>
      </c>
      <c r="AF841">
        <v>345</v>
      </c>
      <c r="AG841">
        <v>5</v>
      </c>
      <c r="AI841">
        <v>0.021999999999999999</v>
      </c>
      <c r="AK841" t="s">
        <v>501</v>
      </c>
      <c r="AL841" t="s">
        <v>754</v>
      </c>
      <c r="AM841">
        <v>200000</v>
      </c>
      <c r="AN841" t="s">
        <v>92</v>
      </c>
      <c r="AO841">
        <v>1</v>
      </c>
      <c r="AP841">
        <v>0</v>
      </c>
      <c r="AQ841">
        <v>16666.666666666668</v>
      </c>
      <c r="AR841" t="s">
        <v>2909</v>
      </c>
      <c r="AS841" t="s">
        <v>78</v>
      </c>
      <c r="AX841" t="s">
        <v>79</v>
      </c>
      <c r="AY841" t="s">
        <v>74</v>
      </c>
      <c r="AZ841">
        <v>0</v>
      </c>
      <c r="BA841" t="s">
        <v>74</v>
      </c>
      <c r="BB841">
        <v>0</v>
      </c>
      <c r="BD841">
        <v>1</v>
      </c>
      <c r="BE841">
        <v>0</v>
      </c>
    </row>
    <row r="842" spans="1:58" ht="12.75">
      <c r="A842" s="2" t="str">
        <f>HYPERLINK("https://ibp.a2mac1.com/costing(costing:projects/details/8191/part/5383903)","Crosstalk Shaft Cover")</f>
        <v>Crosstalk Shaft Cover</v>
      </c>
      <c r="B842">
        <v>5383903</v>
      </c>
      <c r="C842">
        <v>5383644</v>
      </c>
      <c r="E842">
        <v>0.15606843000000001</v>
      </c>
      <c r="F842">
        <v>0</v>
      </c>
      <c r="G842">
        <v>0</v>
      </c>
      <c r="H842">
        <v>0.00079168546947368419</v>
      </c>
      <c r="I842" t="s">
        <v>137</v>
      </c>
      <c r="J842">
        <v>0.0054760852631578951</v>
      </c>
      <c r="K842">
        <v>0.16233620073263158</v>
      </c>
      <c r="L842">
        <v>0.0032497883561902934</v>
      </c>
      <c r="M842">
        <v>0.019498730137141762</v>
      </c>
      <c r="N842">
        <v>0.18183493086977334</v>
      </c>
      <c r="O842" t="s">
        <v>90</v>
      </c>
      <c r="P842">
        <v>0</v>
      </c>
      <c r="Q842" t="s">
        <v>90</v>
      </c>
      <c r="R842">
        <v>0</v>
      </c>
      <c r="S842" t="s">
        <v>90</v>
      </c>
      <c r="T842">
        <v>0</v>
      </c>
      <c r="U842" t="s">
        <v>90</v>
      </c>
      <c r="V842">
        <v>0</v>
      </c>
      <c r="W842" t="s">
        <v>90</v>
      </c>
      <c r="X842">
        <v>0</v>
      </c>
      <c r="Y842">
        <v>0.18183493086977334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44</v>
      </c>
      <c r="AF842">
        <v>323</v>
      </c>
      <c r="AG842">
        <v>27</v>
      </c>
      <c r="AI842">
        <v>0.07</v>
      </c>
      <c r="AK842" t="s">
        <v>501</v>
      </c>
      <c r="AL842" t="s">
        <v>1332</v>
      </c>
      <c r="AM842">
        <v>200000</v>
      </c>
      <c r="AN842" t="s">
        <v>92</v>
      </c>
      <c r="AO842">
        <v>1</v>
      </c>
      <c r="AP842">
        <v>0</v>
      </c>
      <c r="AQ842">
        <v>16666.666666666668</v>
      </c>
      <c r="AR842" t="s">
        <v>2914</v>
      </c>
      <c r="AS842" t="s">
        <v>78</v>
      </c>
      <c r="AX842" t="s">
        <v>79</v>
      </c>
      <c r="AY842" t="s">
        <v>137</v>
      </c>
      <c r="AZ842">
        <v>0</v>
      </c>
      <c r="BA842" t="s">
        <v>137</v>
      </c>
      <c r="BB842">
        <v>0</v>
      </c>
      <c r="BE842">
        <v>0</v>
      </c>
    </row>
    <row r="843" spans="1:58" ht="12.75">
      <c r="A843" s="2" t="str">
        <f>HYPERLINK("https://ibp.a2mac1.com/costing(costing:projects/details/8191/part/5384058)","Motor")</f>
        <v>Motor</v>
      </c>
      <c r="B843">
        <v>5384058</v>
      </c>
      <c r="C843">
        <v>5383906</v>
      </c>
      <c r="E843">
        <v>7.50</v>
      </c>
      <c r="F843">
        <v>0</v>
      </c>
      <c r="G843">
        <v>0</v>
      </c>
      <c r="H843">
        <v>0</v>
      </c>
      <c r="I843" t="s">
        <v>74</v>
      </c>
      <c r="J843">
        <v>0</v>
      </c>
      <c r="K843">
        <v>7.50</v>
      </c>
      <c r="L843">
        <v>0</v>
      </c>
      <c r="M843">
        <v>0</v>
      </c>
      <c r="N843">
        <v>7.50</v>
      </c>
      <c r="O843" t="s">
        <v>74</v>
      </c>
      <c r="P843">
        <v>0</v>
      </c>
      <c r="Q843" t="s">
        <v>74</v>
      </c>
      <c r="R843">
        <v>0</v>
      </c>
      <c r="S843" t="s">
        <v>74</v>
      </c>
      <c r="T843">
        <v>0</v>
      </c>
      <c r="U843" t="s">
        <v>74</v>
      </c>
      <c r="V843">
        <v>0</v>
      </c>
      <c r="W843" t="s">
        <v>74</v>
      </c>
      <c r="X843">
        <v>0</v>
      </c>
      <c r="Y843">
        <v>7.50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113</v>
      </c>
      <c r="AF843">
        <v>146</v>
      </c>
      <c r="AG843">
        <v>46</v>
      </c>
      <c r="AI843">
        <v>0.585</v>
      </c>
      <c r="AJ843" t="s">
        <v>2898</v>
      </c>
      <c r="AK843" t="s">
        <v>686</v>
      </c>
      <c r="AL843" t="s">
        <v>2918</v>
      </c>
      <c r="AM843">
        <v>200000</v>
      </c>
      <c r="AN843" t="s">
        <v>76</v>
      </c>
      <c r="AO843">
        <v>1</v>
      </c>
      <c r="AP843">
        <v>0</v>
      </c>
      <c r="AQ843">
        <v>16666.666666666668</v>
      </c>
      <c r="AR843" t="s">
        <v>2919</v>
      </c>
      <c r="AS843" t="s">
        <v>78</v>
      </c>
      <c r="AX843" t="s">
        <v>79</v>
      </c>
      <c r="AY843" t="s">
        <v>74</v>
      </c>
      <c r="AZ843">
        <v>0</v>
      </c>
      <c r="BA843" t="s">
        <v>74</v>
      </c>
      <c r="BB843">
        <v>0</v>
      </c>
      <c r="BD843">
        <v>7.50</v>
      </c>
      <c r="BE843">
        <v>0</v>
      </c>
    </row>
    <row r="844" spans="1:58" ht="12.75">
      <c r="A844" s="2" t="str">
        <f>HYPERLINK("https://ibp.a2mac1.com/costing(costing:projects/details/8191/part/5384059)","Motor")</f>
        <v>Motor</v>
      </c>
      <c r="B844">
        <v>5384059</v>
      </c>
      <c r="C844">
        <v>5383907</v>
      </c>
      <c r="E844">
        <v>7.50</v>
      </c>
      <c r="F844">
        <v>0</v>
      </c>
      <c r="G844">
        <v>0</v>
      </c>
      <c r="H844">
        <v>0</v>
      </c>
      <c r="I844" t="s">
        <v>74</v>
      </c>
      <c r="J844">
        <v>0</v>
      </c>
      <c r="K844">
        <v>7.50</v>
      </c>
      <c r="L844">
        <v>0</v>
      </c>
      <c r="M844">
        <v>0</v>
      </c>
      <c r="N844">
        <v>7.50</v>
      </c>
      <c r="O844" t="s">
        <v>74</v>
      </c>
      <c r="P844">
        <v>0</v>
      </c>
      <c r="Q844" t="s">
        <v>74</v>
      </c>
      <c r="R844">
        <v>0</v>
      </c>
      <c r="S844" t="s">
        <v>74</v>
      </c>
      <c r="T844">
        <v>0</v>
      </c>
      <c r="U844" t="s">
        <v>74</v>
      </c>
      <c r="V844">
        <v>0</v>
      </c>
      <c r="W844" t="s">
        <v>74</v>
      </c>
      <c r="X844">
        <v>0</v>
      </c>
      <c r="Y844">
        <v>7.50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175</v>
      </c>
      <c r="AF844">
        <v>64</v>
      </c>
      <c r="AG844">
        <v>89</v>
      </c>
      <c r="AI844">
        <v>0.67200000000000004</v>
      </c>
      <c r="AJ844" t="s">
        <v>2898</v>
      </c>
      <c r="AK844" t="s">
        <v>686</v>
      </c>
      <c r="AL844" t="s">
        <v>2922</v>
      </c>
      <c r="AM844">
        <v>200000</v>
      </c>
      <c r="AN844" t="s">
        <v>76</v>
      </c>
      <c r="AO844">
        <v>1</v>
      </c>
      <c r="AP844">
        <v>0</v>
      </c>
      <c r="AQ844">
        <v>16666.666666666668</v>
      </c>
      <c r="AR844" t="s">
        <v>2923</v>
      </c>
      <c r="AS844" t="s">
        <v>78</v>
      </c>
      <c r="AX844" t="s">
        <v>79</v>
      </c>
      <c r="AY844" t="s">
        <v>74</v>
      </c>
      <c r="AZ844">
        <v>0</v>
      </c>
      <c r="BA844" t="s">
        <v>74</v>
      </c>
      <c r="BB844">
        <v>0</v>
      </c>
      <c r="BD844">
        <v>7.50</v>
      </c>
      <c r="BE844">
        <v>0</v>
      </c>
    </row>
    <row r="845" spans="1:58" ht="12.75">
      <c r="A845" s="2" t="str">
        <f>HYPERLINK("https://ibp.a2mac1.com/costing(costing:projects/details/8191/part/5384060)","Motor Support")</f>
        <v>Motor Support</v>
      </c>
      <c r="B845">
        <v>5384060</v>
      </c>
      <c r="C845">
        <v>5383907</v>
      </c>
      <c r="E845">
        <v>0.68013620171892075</v>
      </c>
      <c r="F845">
        <v>0</v>
      </c>
      <c r="G845">
        <v>0</v>
      </c>
      <c r="H845">
        <v>0.00096662975866811086</v>
      </c>
      <c r="I845" t="s">
        <v>137</v>
      </c>
      <c r="J845">
        <v>0.032530809185946037</v>
      </c>
      <c r="K845">
        <v>0.71363364066353496</v>
      </c>
      <c r="L845">
        <v>0.045338905754029629</v>
      </c>
      <c r="M845">
        <v>0.27203343452417778</v>
      </c>
      <c r="N845">
        <v>0.98566707518771268</v>
      </c>
      <c r="O845" t="s">
        <v>90</v>
      </c>
      <c r="P845">
        <v>0</v>
      </c>
      <c r="Q845" t="s">
        <v>90</v>
      </c>
      <c r="R845">
        <v>0</v>
      </c>
      <c r="S845" t="s">
        <v>90</v>
      </c>
      <c r="T845">
        <v>0</v>
      </c>
      <c r="U845" t="s">
        <v>90</v>
      </c>
      <c r="V845">
        <v>0</v>
      </c>
      <c r="W845" t="s">
        <v>90</v>
      </c>
      <c r="X845">
        <v>0</v>
      </c>
      <c r="Y845">
        <v>0.98566707518771268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41</v>
      </c>
      <c r="AF845">
        <v>95</v>
      </c>
      <c r="AG845">
        <v>100</v>
      </c>
      <c r="AI845">
        <v>0.14099999999999999</v>
      </c>
      <c r="AK845" t="s">
        <v>501</v>
      </c>
      <c r="AL845" t="s">
        <v>720</v>
      </c>
      <c r="AM845">
        <v>200000</v>
      </c>
      <c r="AN845" t="s">
        <v>92</v>
      </c>
      <c r="AO845">
        <v>1</v>
      </c>
      <c r="AP845">
        <v>0</v>
      </c>
      <c r="AQ845">
        <v>16666.666666666668</v>
      </c>
      <c r="AR845" t="s">
        <v>2933</v>
      </c>
      <c r="AS845" t="s">
        <v>78</v>
      </c>
      <c r="AX845" t="s">
        <v>79</v>
      </c>
      <c r="AY845" t="s">
        <v>137</v>
      </c>
      <c r="AZ845">
        <v>0</v>
      </c>
      <c r="BA845" t="s">
        <v>137</v>
      </c>
      <c r="BB845">
        <v>0</v>
      </c>
      <c r="BE845">
        <v>0</v>
      </c>
    </row>
    <row r="846" spans="1:58" ht="12.75">
      <c r="A846" s="2" t="str">
        <f>HYPERLINK("https://ibp.a2mac1.com/costing(costing:projects/details/8191/part/5383905)","Return Spring")</f>
        <v>Return Spring</v>
      </c>
      <c r="B846">
        <v>5383905</v>
      </c>
      <c r="C846">
        <v>5383645</v>
      </c>
      <c r="E846">
        <v>0.50</v>
      </c>
      <c r="F846">
        <v>0</v>
      </c>
      <c r="G846">
        <v>0</v>
      </c>
      <c r="H846">
        <v>0</v>
      </c>
      <c r="I846" t="s">
        <v>74</v>
      </c>
      <c r="J846">
        <v>0</v>
      </c>
      <c r="K846">
        <v>0.50</v>
      </c>
      <c r="L846">
        <v>0</v>
      </c>
      <c r="M846">
        <v>0</v>
      </c>
      <c r="N846">
        <v>0.50</v>
      </c>
      <c r="O846" t="s">
        <v>74</v>
      </c>
      <c r="P846">
        <v>0</v>
      </c>
      <c r="Q846" t="s">
        <v>74</v>
      </c>
      <c r="R846">
        <v>0</v>
      </c>
      <c r="S846" t="s">
        <v>74</v>
      </c>
      <c r="T846">
        <v>0</v>
      </c>
      <c r="U846" t="s">
        <v>74</v>
      </c>
      <c r="V846">
        <v>0</v>
      </c>
      <c r="W846" t="s">
        <v>74</v>
      </c>
      <c r="X846">
        <v>0</v>
      </c>
      <c r="Y846">
        <v>0.50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65</v>
      </c>
      <c r="AF846">
        <v>48</v>
      </c>
      <c r="AG846">
        <v>21</v>
      </c>
      <c r="AI846">
        <v>0.185</v>
      </c>
      <c r="AK846" t="s">
        <v>501</v>
      </c>
      <c r="AL846" t="s">
        <v>720</v>
      </c>
      <c r="AM846">
        <v>200000</v>
      </c>
      <c r="AN846" t="s">
        <v>92</v>
      </c>
      <c r="AO846">
        <v>1</v>
      </c>
      <c r="AP846">
        <v>0</v>
      </c>
      <c r="AQ846">
        <v>16666.666666666668</v>
      </c>
      <c r="AR846" t="s">
        <v>2935</v>
      </c>
      <c r="AS846" t="s">
        <v>78</v>
      </c>
      <c r="AX846" t="s">
        <v>79</v>
      </c>
      <c r="AY846" t="s">
        <v>74</v>
      </c>
      <c r="AZ846">
        <v>0</v>
      </c>
      <c r="BA846" t="s">
        <v>74</v>
      </c>
      <c r="BB846">
        <v>0</v>
      </c>
      <c r="BD846">
        <v>0.50</v>
      </c>
      <c r="BE846">
        <v>0</v>
      </c>
    </row>
    <row r="847" spans="1:58" ht="12.75">
      <c r="A847" s="2" t="str">
        <f>HYPERLINK("https://ibp.a2mac1.com/costing(costing:projects/details/8191/part/5384061)","Linking Bar")</f>
        <v>Linking Bar</v>
      </c>
      <c r="B847">
        <v>5384061</v>
      </c>
      <c r="C847">
        <v>5383909</v>
      </c>
      <c r="E847">
        <v>0.48</v>
      </c>
      <c r="F847">
        <v>0</v>
      </c>
      <c r="G847">
        <v>0</v>
      </c>
      <c r="H847">
        <v>0</v>
      </c>
      <c r="I847" t="s">
        <v>74</v>
      </c>
      <c r="J847">
        <v>0</v>
      </c>
      <c r="K847">
        <v>0.48</v>
      </c>
      <c r="L847">
        <v>0</v>
      </c>
      <c r="M847">
        <v>0</v>
      </c>
      <c r="N847">
        <v>0.48</v>
      </c>
      <c r="O847" t="s">
        <v>74</v>
      </c>
      <c r="P847">
        <v>0</v>
      </c>
      <c r="Q847" t="s">
        <v>74</v>
      </c>
      <c r="R847">
        <v>0</v>
      </c>
      <c r="S847" t="s">
        <v>74</v>
      </c>
      <c r="T847">
        <v>0</v>
      </c>
      <c r="U847" t="s">
        <v>74</v>
      </c>
      <c r="V847">
        <v>0</v>
      </c>
      <c r="W847" t="s">
        <v>74</v>
      </c>
      <c r="X847">
        <v>0</v>
      </c>
      <c r="Y847">
        <v>0.48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12</v>
      </c>
      <c r="AF847">
        <v>475</v>
      </c>
      <c r="AG847">
        <v>13</v>
      </c>
      <c r="AI847">
        <v>0.095</v>
      </c>
      <c r="AK847" t="s">
        <v>501</v>
      </c>
      <c r="AL847" t="s">
        <v>720</v>
      </c>
      <c r="AM847">
        <v>200000</v>
      </c>
      <c r="AN847" t="s">
        <v>76</v>
      </c>
      <c r="AO847">
        <v>1</v>
      </c>
      <c r="AP847">
        <v>0</v>
      </c>
      <c r="AQ847">
        <v>16666.666666666668</v>
      </c>
      <c r="AR847" t="s">
        <v>2939</v>
      </c>
      <c r="AS847" t="s">
        <v>78</v>
      </c>
      <c r="AX847" t="s">
        <v>79</v>
      </c>
      <c r="AY847" t="s">
        <v>74</v>
      </c>
      <c r="AZ847">
        <v>0</v>
      </c>
      <c r="BA847" t="s">
        <v>74</v>
      </c>
      <c r="BB847">
        <v>0</v>
      </c>
      <c r="BD847">
        <v>0.48</v>
      </c>
      <c r="BE847">
        <v>0</v>
      </c>
    </row>
    <row r="848" spans="1:58" ht="12.75">
      <c r="A848" s="2" t="str">
        <f>HYPERLINK("https://ibp.a2mac1.com/costing(costing:projects/details/8191/part/5383908)","Motor")</f>
        <v>Motor</v>
      </c>
      <c r="B848">
        <v>5383908</v>
      </c>
      <c r="C848">
        <v>5383646</v>
      </c>
      <c r="E848">
        <v>6</v>
      </c>
      <c r="F848">
        <v>0</v>
      </c>
      <c r="G848">
        <v>0</v>
      </c>
      <c r="H848">
        <v>0</v>
      </c>
      <c r="I848" t="s">
        <v>74</v>
      </c>
      <c r="J848">
        <v>0</v>
      </c>
      <c r="K848">
        <v>6</v>
      </c>
      <c r="L848">
        <v>0</v>
      </c>
      <c r="M848">
        <v>0</v>
      </c>
      <c r="N848">
        <v>6</v>
      </c>
      <c r="O848" t="s">
        <v>74</v>
      </c>
      <c r="P848">
        <v>0</v>
      </c>
      <c r="Q848" t="s">
        <v>74</v>
      </c>
      <c r="R848">
        <v>0</v>
      </c>
      <c r="S848" t="s">
        <v>74</v>
      </c>
      <c r="T848">
        <v>0</v>
      </c>
      <c r="U848" t="s">
        <v>74</v>
      </c>
      <c r="V848">
        <v>0</v>
      </c>
      <c r="W848" t="s">
        <v>74</v>
      </c>
      <c r="X848">
        <v>0</v>
      </c>
      <c r="Y848">
        <v>6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90</v>
      </c>
      <c r="AF848">
        <v>34</v>
      </c>
      <c r="AG848">
        <v>172</v>
      </c>
      <c r="AI848">
        <v>0.39300000000000002</v>
      </c>
      <c r="AJ848" t="s">
        <v>1342</v>
      </c>
      <c r="AK848" t="s">
        <v>686</v>
      </c>
      <c r="AL848" t="s">
        <v>2899</v>
      </c>
      <c r="AM848">
        <v>200000</v>
      </c>
      <c r="AN848" t="s">
        <v>76</v>
      </c>
      <c r="AO848">
        <v>1</v>
      </c>
      <c r="AP848">
        <v>0</v>
      </c>
      <c r="AQ848">
        <v>16666.666666666668</v>
      </c>
      <c r="AR848" t="s">
        <v>2941</v>
      </c>
      <c r="AS848" t="s">
        <v>78</v>
      </c>
      <c r="AX848" t="s">
        <v>79</v>
      </c>
      <c r="AY848" t="s">
        <v>74</v>
      </c>
      <c r="AZ848">
        <v>0</v>
      </c>
      <c r="BA848" t="s">
        <v>74</v>
      </c>
      <c r="BB848">
        <v>0</v>
      </c>
      <c r="BD848">
        <v>6</v>
      </c>
      <c r="BE848">
        <v>0</v>
      </c>
    </row>
    <row r="849" spans="1:58" ht="12.75">
      <c r="A849" s="2" t="str">
        <f>HYPERLINK("https://ibp.a2mac1.com/costing(costing:projects/details/8191/part/5384062)","Pressure Knob")</f>
        <v>Pressure Knob</v>
      </c>
      <c r="B849">
        <v>5384062</v>
      </c>
      <c r="C849">
        <v>5383913</v>
      </c>
      <c r="E849">
        <v>0.73996425300000002</v>
      </c>
      <c r="F849">
        <v>0</v>
      </c>
      <c r="G849">
        <v>0</v>
      </c>
      <c r="H849">
        <v>0.0037536031279999998</v>
      </c>
      <c r="I849" t="s">
        <v>137</v>
      </c>
      <c r="J849">
        <v>0.025963658000000001</v>
      </c>
      <c r="K849">
        <v>0.76968151412800001</v>
      </c>
      <c r="L849">
        <v>0.0074994584633906701</v>
      </c>
      <c r="M849">
        <v>0.044996750780344021</v>
      </c>
      <c r="N849">
        <v>0.81467826490834405</v>
      </c>
      <c r="O849" t="s">
        <v>138</v>
      </c>
      <c r="P849">
        <v>0.046180890847679998</v>
      </c>
      <c r="Q849" t="s">
        <v>138</v>
      </c>
      <c r="R849">
        <v>0.0026998050468206411</v>
      </c>
      <c r="S849" t="s">
        <v>139</v>
      </c>
      <c r="T849">
        <v>0.097761391789001284</v>
      </c>
      <c r="U849" t="s">
        <v>90</v>
      </c>
      <c r="V849">
        <v>0</v>
      </c>
      <c r="W849" t="s">
        <v>90</v>
      </c>
      <c r="X849">
        <v>0</v>
      </c>
      <c r="Y849">
        <v>0.96132035259184589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13</v>
      </c>
      <c r="AF849">
        <v>255</v>
      </c>
      <c r="AG849">
        <v>325</v>
      </c>
      <c r="AI849">
        <v>0.32300000000000001</v>
      </c>
      <c r="AK849" t="s">
        <v>501</v>
      </c>
      <c r="AL849" t="s">
        <v>2949</v>
      </c>
      <c r="AM849">
        <v>200000</v>
      </c>
      <c r="AN849" t="s">
        <v>76</v>
      </c>
      <c r="AO849">
        <v>1</v>
      </c>
      <c r="AP849">
        <v>0</v>
      </c>
      <c r="AQ849">
        <v>16666.666666666668</v>
      </c>
      <c r="AR849" t="s">
        <v>2950</v>
      </c>
      <c r="AS849" t="s">
        <v>78</v>
      </c>
      <c r="AX849" t="s">
        <v>79</v>
      </c>
      <c r="AY849" t="s">
        <v>137</v>
      </c>
      <c r="AZ849">
        <v>0</v>
      </c>
      <c r="BA849" t="s">
        <v>137</v>
      </c>
      <c r="BB849">
        <v>0</v>
      </c>
      <c r="BE849">
        <v>0</v>
      </c>
    </row>
    <row r="850" spans="1:58" ht="12.75">
      <c r="A850" s="2" t="str">
        <f>HYPERLINK("https://ibp.a2mac1.com/costing(costing:projects/details/8191/part/5384063)","Pressure Knob Support")</f>
        <v>Pressure Knob Support</v>
      </c>
      <c r="B850">
        <v>5384063</v>
      </c>
      <c r="C850">
        <v>5383913</v>
      </c>
      <c r="E850">
        <v>0.20183027549999999</v>
      </c>
      <c r="F850">
        <v>0</v>
      </c>
      <c r="G850">
        <v>0</v>
      </c>
      <c r="H850">
        <v>0.0010238207458947368</v>
      </c>
      <c r="I850" t="s">
        <v>137</v>
      </c>
      <c r="J850">
        <v>0.0070817640526315787</v>
      </c>
      <c r="K850">
        <v>0.20993586029852632</v>
      </c>
      <c r="L850">
        <v>0.005176991090146868</v>
      </c>
      <c r="M850">
        <v>0.031061946540881211</v>
      </c>
      <c r="N850">
        <v>0.24099780683940752</v>
      </c>
      <c r="O850" t="s">
        <v>90</v>
      </c>
      <c r="P850">
        <v>0</v>
      </c>
      <c r="Q850" t="s">
        <v>90</v>
      </c>
      <c r="R850">
        <v>0</v>
      </c>
      <c r="S850" t="s">
        <v>90</v>
      </c>
      <c r="T850">
        <v>0</v>
      </c>
      <c r="U850" t="s">
        <v>90</v>
      </c>
      <c r="V850">
        <v>0</v>
      </c>
      <c r="W850" t="s">
        <v>90</v>
      </c>
      <c r="X850">
        <v>0</v>
      </c>
      <c r="Y850">
        <v>0.24099780683940752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25</v>
      </c>
      <c r="AF850">
        <v>300</v>
      </c>
      <c r="AG850">
        <v>457</v>
      </c>
      <c r="AI850">
        <v>0.223</v>
      </c>
      <c r="AK850" t="s">
        <v>501</v>
      </c>
      <c r="AL850" t="s">
        <v>2730</v>
      </c>
      <c r="AM850">
        <v>200000</v>
      </c>
      <c r="AN850" t="s">
        <v>92</v>
      </c>
      <c r="AO850">
        <v>1</v>
      </c>
      <c r="AP850">
        <v>0</v>
      </c>
      <c r="AQ850">
        <v>16666.666666666668</v>
      </c>
      <c r="AR850" t="s">
        <v>2955</v>
      </c>
      <c r="AS850" t="s">
        <v>78</v>
      </c>
      <c r="AX850" t="s">
        <v>79</v>
      </c>
      <c r="AY850" t="s">
        <v>137</v>
      </c>
      <c r="AZ850">
        <v>0</v>
      </c>
      <c r="BA850" t="s">
        <v>137</v>
      </c>
      <c r="BB850">
        <v>0</v>
      </c>
      <c r="BE850">
        <v>0</v>
      </c>
    </row>
    <row r="851" spans="1:58" ht="12.75">
      <c r="A851" s="2" t="str">
        <f>HYPERLINK("https://ibp.a2mac1.com/costing(costing:projects/details/8191/part/5383910)","Control")</f>
        <v>Control</v>
      </c>
      <c r="B851">
        <v>5383910</v>
      </c>
      <c r="C851">
        <v>5383647</v>
      </c>
      <c r="E851">
        <v>1.84548</v>
      </c>
      <c r="F851">
        <v>0</v>
      </c>
      <c r="G851">
        <v>0</v>
      </c>
      <c r="H851">
        <v>0</v>
      </c>
      <c r="I851" t="s">
        <v>74</v>
      </c>
      <c r="J851">
        <v>0</v>
      </c>
      <c r="K851">
        <v>1.84548</v>
      </c>
      <c r="L851">
        <v>0</v>
      </c>
      <c r="M851">
        <v>0</v>
      </c>
      <c r="N851">
        <v>1.84548</v>
      </c>
      <c r="O851" t="s">
        <v>74</v>
      </c>
      <c r="P851">
        <v>0</v>
      </c>
      <c r="Q851" t="s">
        <v>74</v>
      </c>
      <c r="R851">
        <v>0</v>
      </c>
      <c r="S851" t="s">
        <v>74</v>
      </c>
      <c r="T851">
        <v>0</v>
      </c>
      <c r="U851" t="s">
        <v>74</v>
      </c>
      <c r="V851">
        <v>0</v>
      </c>
      <c r="W851" t="s">
        <v>74</v>
      </c>
      <c r="X851">
        <v>0</v>
      </c>
      <c r="Y851">
        <v>1.84548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21</v>
      </c>
      <c r="AF851">
        <v>56</v>
      </c>
      <c r="AG851">
        <v>56</v>
      </c>
      <c r="AI851">
        <v>0.035</v>
      </c>
      <c r="AJ851" t="s">
        <v>2957</v>
      </c>
      <c r="AK851" t="s">
        <v>501</v>
      </c>
      <c r="AL851" t="s">
        <v>681</v>
      </c>
      <c r="AM851">
        <v>200000</v>
      </c>
      <c r="AN851" t="s">
        <v>92</v>
      </c>
      <c r="AO851">
        <v>1</v>
      </c>
      <c r="AP851">
        <v>0</v>
      </c>
      <c r="AQ851">
        <v>16666.666666666668</v>
      </c>
      <c r="AR851" t="s">
        <v>2958</v>
      </c>
      <c r="AS851" t="s">
        <v>78</v>
      </c>
      <c r="AX851" t="s">
        <v>79</v>
      </c>
      <c r="AY851" t="s">
        <v>74</v>
      </c>
      <c r="AZ851">
        <v>0</v>
      </c>
      <c r="BA851" t="s">
        <v>74</v>
      </c>
      <c r="BB851">
        <v>0</v>
      </c>
      <c r="BD851">
        <v>1.84548</v>
      </c>
      <c r="BE851">
        <v>0</v>
      </c>
    </row>
    <row r="852" spans="1:58" ht="12.75">
      <c r="A852" s="2" t="str">
        <f>HYPERLINK("https://ibp.a2mac1.com/costing(costing:projects/details/8191/part/5383911)","Compressor")</f>
        <v>Compressor</v>
      </c>
      <c r="B852">
        <v>5383911</v>
      </c>
      <c r="C852">
        <v>5383647</v>
      </c>
      <c r="E852">
        <v>2.3068499999999998</v>
      </c>
      <c r="F852">
        <v>0</v>
      </c>
      <c r="G852">
        <v>0</v>
      </c>
      <c r="H852">
        <v>0</v>
      </c>
      <c r="I852" t="s">
        <v>74</v>
      </c>
      <c r="J852">
        <v>0</v>
      </c>
      <c r="K852">
        <v>2.3068499999999998</v>
      </c>
      <c r="L852">
        <v>0</v>
      </c>
      <c r="M852">
        <v>0</v>
      </c>
      <c r="N852">
        <v>2.3068499999999998</v>
      </c>
      <c r="O852" t="s">
        <v>74</v>
      </c>
      <c r="P852">
        <v>0</v>
      </c>
      <c r="Q852" t="s">
        <v>74</v>
      </c>
      <c r="R852">
        <v>0</v>
      </c>
      <c r="S852" t="s">
        <v>74</v>
      </c>
      <c r="T852">
        <v>0</v>
      </c>
      <c r="U852" t="s">
        <v>74</v>
      </c>
      <c r="V852">
        <v>0</v>
      </c>
      <c r="W852" t="s">
        <v>74</v>
      </c>
      <c r="X852">
        <v>0</v>
      </c>
      <c r="Y852">
        <v>2.3068499999999998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46</v>
      </c>
      <c r="AF852">
        <v>80</v>
      </c>
      <c r="AG852">
        <v>139</v>
      </c>
      <c r="AI852">
        <v>0.235</v>
      </c>
      <c r="AJ852" t="s">
        <v>2959</v>
      </c>
      <c r="AK852" t="s">
        <v>598</v>
      </c>
      <c r="AL852" t="s">
        <v>2960</v>
      </c>
      <c r="AM852">
        <v>200000</v>
      </c>
      <c r="AN852" t="s">
        <v>76</v>
      </c>
      <c r="AO852">
        <v>1</v>
      </c>
      <c r="AP852">
        <v>0</v>
      </c>
      <c r="AQ852">
        <v>16666.666666666668</v>
      </c>
      <c r="AR852" t="s">
        <v>2961</v>
      </c>
      <c r="AS852" t="s">
        <v>78</v>
      </c>
      <c r="AX852" t="s">
        <v>79</v>
      </c>
      <c r="AY852" t="s">
        <v>74</v>
      </c>
      <c r="AZ852">
        <v>0</v>
      </c>
      <c r="BA852" t="s">
        <v>74</v>
      </c>
      <c r="BB852">
        <v>0</v>
      </c>
      <c r="BD852">
        <v>2.3068499999999998</v>
      </c>
      <c r="BE852">
        <v>0</v>
      </c>
    </row>
    <row r="853" spans="1:58" ht="12.75">
      <c r="A853" s="2" t="str">
        <f>HYPERLINK("https://ibp.a2mac1.com/costing(costing:projects/details/8191/part/5383912)","Air Distributor")</f>
        <v>Air Distributor</v>
      </c>
      <c r="B853">
        <v>5383912</v>
      </c>
      <c r="C853">
        <v>5383647</v>
      </c>
      <c r="E853">
        <v>0</v>
      </c>
      <c r="F853">
        <v>6.2527493604053284</v>
      </c>
      <c r="G853">
        <v>0</v>
      </c>
      <c r="H853">
        <v>0</v>
      </c>
      <c r="I853" t="s">
        <v>137</v>
      </c>
      <c r="J853">
        <v>0</v>
      </c>
      <c r="K853">
        <v>6.4715955880195146</v>
      </c>
      <c r="L853">
        <v>0.25112196172915874</v>
      </c>
      <c r="M853">
        <v>0.87892686605205561</v>
      </c>
      <c r="N853">
        <v>7.3505224540715703</v>
      </c>
      <c r="O853" t="s">
        <v>138</v>
      </c>
      <c r="P853">
        <v>0.38829573528117084</v>
      </c>
      <c r="Q853" t="s">
        <v>138</v>
      </c>
      <c r="R853">
        <v>0.052735611963123333</v>
      </c>
      <c r="S853" t="s">
        <v>139</v>
      </c>
      <c r="T853">
        <v>0.88206269448858843</v>
      </c>
      <c r="U853" t="s">
        <v>90</v>
      </c>
      <c r="V853">
        <v>0</v>
      </c>
      <c r="W853" t="s">
        <v>90</v>
      </c>
      <c r="X853">
        <v>0</v>
      </c>
      <c r="Y853">
        <v>8.6736164958044526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15</v>
      </c>
      <c r="AF853">
        <v>104</v>
      </c>
      <c r="AG853">
        <v>69</v>
      </c>
      <c r="AI853">
        <v>0.063</v>
      </c>
      <c r="AJ853" t="s">
        <v>2959</v>
      </c>
      <c r="AK853" t="s">
        <v>576</v>
      </c>
      <c r="AL853" t="s">
        <v>681</v>
      </c>
      <c r="AM853">
        <v>200000</v>
      </c>
      <c r="AN853" t="s">
        <v>76</v>
      </c>
      <c r="AO853">
        <v>1</v>
      </c>
      <c r="AP853">
        <v>0</v>
      </c>
      <c r="AQ853">
        <v>16666.666666666668</v>
      </c>
      <c r="AR853" t="s">
        <v>2964</v>
      </c>
      <c r="AS853" t="s">
        <v>78</v>
      </c>
      <c r="AX853" t="s">
        <v>79</v>
      </c>
      <c r="AY853" t="s">
        <v>137</v>
      </c>
      <c r="AZ853">
        <v>0.21884622761418648</v>
      </c>
      <c r="BA853" t="s">
        <v>137</v>
      </c>
      <c r="BB853">
        <v>0</v>
      </c>
      <c r="BE853">
        <v>0</v>
      </c>
    </row>
    <row r="854" spans="1:58" ht="12.75">
      <c r="A854" s="2" t="str">
        <f>HYPERLINK("https://ibp.a2mac1.com/costing(costing:projects/details/8191/part/5383914)","Control")</f>
        <v>Control</v>
      </c>
      <c r="B854">
        <v>5383914</v>
      </c>
      <c r="C854">
        <v>5383648</v>
      </c>
      <c r="E854">
        <v>2</v>
      </c>
      <c r="F854">
        <v>0</v>
      </c>
      <c r="G854">
        <v>0</v>
      </c>
      <c r="H854">
        <v>0</v>
      </c>
      <c r="I854" t="s">
        <v>74</v>
      </c>
      <c r="J854">
        <v>0</v>
      </c>
      <c r="K854">
        <v>2</v>
      </c>
      <c r="L854">
        <v>0</v>
      </c>
      <c r="M854">
        <v>0</v>
      </c>
      <c r="N854">
        <v>2</v>
      </c>
      <c r="O854" t="s">
        <v>74</v>
      </c>
      <c r="P854">
        <v>0</v>
      </c>
      <c r="Q854" t="s">
        <v>74</v>
      </c>
      <c r="R854">
        <v>0</v>
      </c>
      <c r="S854" t="s">
        <v>74</v>
      </c>
      <c r="T854">
        <v>0</v>
      </c>
      <c r="U854" t="s">
        <v>74</v>
      </c>
      <c r="V854">
        <v>0</v>
      </c>
      <c r="W854" t="s">
        <v>74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31</v>
      </c>
      <c r="AF854">
        <v>13</v>
      </c>
      <c r="AG854">
        <v>77</v>
      </c>
      <c r="AI854">
        <v>0.025999999999999999</v>
      </c>
      <c r="AJ854" t="s">
        <v>685</v>
      </c>
      <c r="AK854" t="s">
        <v>501</v>
      </c>
      <c r="AL854" t="s">
        <v>2967</v>
      </c>
      <c r="AM854">
        <v>200000</v>
      </c>
      <c r="AN854" t="s">
        <v>92</v>
      </c>
      <c r="AO854">
        <v>1</v>
      </c>
      <c r="AP854">
        <v>0</v>
      </c>
      <c r="AQ854">
        <v>16666.666666666668</v>
      </c>
      <c r="AR854" t="s">
        <v>2968</v>
      </c>
      <c r="AS854" t="s">
        <v>78</v>
      </c>
      <c r="AX854" t="s">
        <v>79</v>
      </c>
      <c r="AY854" t="s">
        <v>74</v>
      </c>
      <c r="AZ854">
        <v>0</v>
      </c>
      <c r="BA854" t="s">
        <v>74</v>
      </c>
      <c r="BB854">
        <v>0</v>
      </c>
      <c r="BD854">
        <v>2</v>
      </c>
      <c r="BE854">
        <v>0</v>
      </c>
    </row>
    <row r="855" spans="1:58" ht="12.75">
      <c r="A855" s="2" t="str">
        <f>HYPERLINK("https://ibp.a2mac1.com/costing(costing:projects/details/8191/part/5383641)","Adjustment Control")</f>
        <v>Adjustment Control</v>
      </c>
      <c r="B855">
        <v>5383641</v>
      </c>
      <c r="C855">
        <v>5383534</v>
      </c>
      <c r="E855">
        <v>0</v>
      </c>
      <c r="F855">
        <v>3.873443207389494</v>
      </c>
      <c r="G855">
        <v>0</v>
      </c>
      <c r="H855">
        <v>0</v>
      </c>
      <c r="I855" t="s">
        <v>137</v>
      </c>
      <c r="J855">
        <v>0</v>
      </c>
      <c r="K855">
        <v>4.0090137196481264</v>
      </c>
      <c r="L855">
        <v>0.13698880063814858</v>
      </c>
      <c r="M855">
        <v>0.47946080223352006</v>
      </c>
      <c r="N855">
        <v>4.4884745218816464</v>
      </c>
      <c r="O855" t="s">
        <v>138</v>
      </c>
      <c r="P855">
        <v>0.24054082317888759</v>
      </c>
      <c r="Q855" t="s">
        <v>138</v>
      </c>
      <c r="R855">
        <v>0.028767648134011205</v>
      </c>
      <c r="S855" t="s">
        <v>139</v>
      </c>
      <c r="T855">
        <v>0.53861694262579751</v>
      </c>
      <c r="U855" t="s">
        <v>90</v>
      </c>
      <c r="V855">
        <v>0</v>
      </c>
      <c r="W855" t="s">
        <v>90</v>
      </c>
      <c r="X855">
        <v>0</v>
      </c>
      <c r="Y855">
        <v>5.2963999358203431</v>
      </c>
      <c r="Z855">
        <v>0</v>
      </c>
      <c r="AA855">
        <v>0</v>
      </c>
      <c r="AB855">
        <v>0</v>
      </c>
      <c r="AC855">
        <v>0</v>
      </c>
      <c r="AD855">
        <v>0</v>
      </c>
      <c r="AF855">
        <v>36</v>
      </c>
      <c r="AG855">
        <v>62</v>
      </c>
      <c r="AI855">
        <v>0.113</v>
      </c>
      <c r="AJ855" t="s">
        <v>2957</v>
      </c>
      <c r="AK855" t="s">
        <v>576</v>
      </c>
      <c r="AL855" t="s">
        <v>681</v>
      </c>
      <c r="AM855">
        <v>200000</v>
      </c>
      <c r="AN855" t="s">
        <v>76</v>
      </c>
      <c r="AO855">
        <v>1</v>
      </c>
      <c r="AP855">
        <v>0</v>
      </c>
      <c r="AQ855">
        <v>16666.666666666668</v>
      </c>
      <c r="AR855" t="s">
        <v>2972</v>
      </c>
      <c r="AS855" t="s">
        <v>78</v>
      </c>
      <c r="AX855" t="s">
        <v>79</v>
      </c>
      <c r="AY855" t="s">
        <v>137</v>
      </c>
      <c r="AZ855">
        <v>0.13557051225863229</v>
      </c>
      <c r="BA855" t="s">
        <v>137</v>
      </c>
      <c r="BB855">
        <v>0</v>
      </c>
      <c r="BE855">
        <v>0</v>
      </c>
    </row>
    <row r="856" spans="1:58" ht="12.75">
      <c r="A856" s="2" t="str">
        <f>HYPERLINK("https://ibp.a2mac1.com/costing(costing:projects/details/8191/part/5383642)","Driver Seat ECU")</f>
        <v>Driver Seat ECU</v>
      </c>
      <c r="B856">
        <v>5383642</v>
      </c>
      <c r="C856">
        <v>5383534</v>
      </c>
      <c r="E856">
        <v>0</v>
      </c>
      <c r="F856">
        <v>9.0671028473391342</v>
      </c>
      <c r="G856">
        <v>0</v>
      </c>
      <c r="H856">
        <v>0</v>
      </c>
      <c r="I856" t="s">
        <v>137</v>
      </c>
      <c r="J856">
        <v>0</v>
      </c>
      <c r="K856">
        <v>9.384451446996005</v>
      </c>
      <c r="L856">
        <v>0.45656165169297702</v>
      </c>
      <c r="M856">
        <v>1.5979657809254195</v>
      </c>
      <c r="N856">
        <v>10.982417227921424</v>
      </c>
      <c r="O856" t="s">
        <v>138</v>
      </c>
      <c r="P856">
        <v>0.56306708681976025</v>
      </c>
      <c r="Q856" t="s">
        <v>138</v>
      </c>
      <c r="R856">
        <v>0.09587794685552517</v>
      </c>
      <c r="S856" t="s">
        <v>139</v>
      </c>
      <c r="T856">
        <v>1.3178900673505709</v>
      </c>
      <c r="U856" t="s">
        <v>90</v>
      </c>
      <c r="V856">
        <v>0</v>
      </c>
      <c r="W856" t="s">
        <v>90</v>
      </c>
      <c r="X856">
        <v>0</v>
      </c>
      <c r="Y856">
        <v>12.959252328947279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33</v>
      </c>
      <c r="AF856">
        <v>163</v>
      </c>
      <c r="AG856">
        <v>103</v>
      </c>
      <c r="AI856">
        <v>0.19</v>
      </c>
      <c r="AJ856" t="s">
        <v>1355</v>
      </c>
      <c r="AK856" t="s">
        <v>576</v>
      </c>
      <c r="AL856" t="s">
        <v>1219</v>
      </c>
      <c r="AM856">
        <v>200000</v>
      </c>
      <c r="AN856" t="s">
        <v>76</v>
      </c>
      <c r="AO856">
        <v>1</v>
      </c>
      <c r="AP856">
        <v>0</v>
      </c>
      <c r="AQ856">
        <v>16666.666666666668</v>
      </c>
      <c r="AR856" t="s">
        <v>2975</v>
      </c>
      <c r="AS856" t="s">
        <v>78</v>
      </c>
      <c r="AX856" t="s">
        <v>79</v>
      </c>
      <c r="AY856" t="s">
        <v>137</v>
      </c>
      <c r="AZ856">
        <v>0.31734859965686973</v>
      </c>
      <c r="BA856" t="s">
        <v>137</v>
      </c>
      <c r="BB856">
        <v>0</v>
      </c>
      <c r="BE856">
        <v>0</v>
      </c>
    </row>
    <row r="857" spans="1:58" ht="12.75">
      <c r="A857" s="2" t="str">
        <f>HYPERLINK("https://ibp.a2mac1.com/costing(costing:projects/details/8191/part/5383643)","Driver Seat ECU Support")</f>
        <v>Driver Seat ECU Support</v>
      </c>
      <c r="B857">
        <v>5383643</v>
      </c>
      <c r="C857">
        <v>5383534</v>
      </c>
      <c r="E857">
        <v>0.34140999999999999</v>
      </c>
      <c r="F857">
        <v>0</v>
      </c>
      <c r="G857">
        <v>0</v>
      </c>
      <c r="H857">
        <v>0</v>
      </c>
      <c r="I857" t="s">
        <v>74</v>
      </c>
      <c r="J857">
        <v>0</v>
      </c>
      <c r="K857">
        <v>0.34140999999999999</v>
      </c>
      <c r="L857">
        <v>0</v>
      </c>
      <c r="M857">
        <v>0</v>
      </c>
      <c r="N857">
        <v>0.34140999999999999</v>
      </c>
      <c r="O857" t="s">
        <v>74</v>
      </c>
      <c r="P857">
        <v>0</v>
      </c>
      <c r="Q857" t="s">
        <v>74</v>
      </c>
      <c r="R857">
        <v>0</v>
      </c>
      <c r="S857" t="s">
        <v>74</v>
      </c>
      <c r="T857">
        <v>0</v>
      </c>
      <c r="U857" t="s">
        <v>74</v>
      </c>
      <c r="V857">
        <v>0</v>
      </c>
      <c r="W857" t="s">
        <v>74</v>
      </c>
      <c r="X857">
        <v>0</v>
      </c>
      <c r="Y857">
        <v>0.34140999999999999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56</v>
      </c>
      <c r="AF857">
        <v>184</v>
      </c>
      <c r="AG857">
        <v>115</v>
      </c>
      <c r="AI857">
        <v>0.071999999999999995</v>
      </c>
      <c r="AJ857" t="s">
        <v>685</v>
      </c>
      <c r="AK857" t="s">
        <v>501</v>
      </c>
      <c r="AL857" t="s">
        <v>1261</v>
      </c>
      <c r="AM857">
        <v>200000</v>
      </c>
      <c r="AN857" t="s">
        <v>92</v>
      </c>
      <c r="AO857">
        <v>1</v>
      </c>
      <c r="AP857">
        <v>0</v>
      </c>
      <c r="AQ857">
        <v>16666.666666666668</v>
      </c>
      <c r="AR857" t="s">
        <v>2976</v>
      </c>
      <c r="AS857" t="s">
        <v>78</v>
      </c>
      <c r="AX857" t="s">
        <v>79</v>
      </c>
      <c r="AY857" t="s">
        <v>74</v>
      </c>
      <c r="AZ857">
        <v>0</v>
      </c>
      <c r="BA857" t="s">
        <v>74</v>
      </c>
      <c r="BB857">
        <v>0</v>
      </c>
      <c r="BD857">
        <v>0.34140999999999999</v>
      </c>
      <c r="BE857">
        <v>0</v>
      </c>
    </row>
    <row r="858" spans="1:58" ht="12.75">
      <c r="A858" s="2" t="str">
        <f>HYPERLINK("https://ibp.a2mac1.com/costing(costing:projects/details/8191/part/5383649)","Front Inner Trim and Outer if the Same")</f>
        <v>Front Inner Trim and Outer if the Same</v>
      </c>
      <c r="B858">
        <v>5383649</v>
      </c>
      <c r="C858">
        <v>5383535</v>
      </c>
      <c r="E858">
        <v>0.013268167500000001</v>
      </c>
      <c r="F858">
        <v>0</v>
      </c>
      <c r="G858">
        <v>0</v>
      </c>
      <c r="H858">
        <v>6.7305190526315787E-05</v>
      </c>
      <c r="I858" t="s">
        <v>137</v>
      </c>
      <c r="J858">
        <v>0.00046554973684210529</v>
      </c>
      <c r="K858">
        <v>0.013801022427368421</v>
      </c>
      <c r="L858">
        <v>0.00023208963704919518</v>
      </c>
      <c r="M858">
        <v>0.0013925378222951711</v>
      </c>
      <c r="N858">
        <v>0.015193560249663592</v>
      </c>
      <c r="O858" t="s">
        <v>90</v>
      </c>
      <c r="P858">
        <v>0</v>
      </c>
      <c r="Q858" t="s">
        <v>90</v>
      </c>
      <c r="R858">
        <v>0</v>
      </c>
      <c r="S858" t="s">
        <v>90</v>
      </c>
      <c r="T858">
        <v>0</v>
      </c>
      <c r="U858" t="s">
        <v>90</v>
      </c>
      <c r="V858">
        <v>0</v>
      </c>
      <c r="W858" t="s">
        <v>90</v>
      </c>
      <c r="X858">
        <v>0</v>
      </c>
      <c r="Y858">
        <v>0.015193560249663592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25</v>
      </c>
      <c r="AF858">
        <v>50</v>
      </c>
      <c r="AG858">
        <v>33</v>
      </c>
      <c r="AI858">
        <v>0.005</v>
      </c>
      <c r="AJ858" t="s">
        <v>2983</v>
      </c>
      <c r="AK858" t="s">
        <v>501</v>
      </c>
      <c r="AL858" t="s">
        <v>1288</v>
      </c>
      <c r="AM858">
        <v>200000</v>
      </c>
      <c r="AN858" t="s">
        <v>92</v>
      </c>
      <c r="AO858">
        <v>1</v>
      </c>
      <c r="AP858">
        <v>0</v>
      </c>
      <c r="AQ858">
        <v>16666.666666666668</v>
      </c>
      <c r="AR858" t="s">
        <v>2984</v>
      </c>
      <c r="AS858" t="s">
        <v>78</v>
      </c>
      <c r="AX858" t="s">
        <v>79</v>
      </c>
      <c r="AY858" t="s">
        <v>137</v>
      </c>
      <c r="AZ858">
        <v>0</v>
      </c>
      <c r="BA858" t="s">
        <v>137</v>
      </c>
      <c r="BB858">
        <v>0</v>
      </c>
      <c r="BE858">
        <v>0</v>
      </c>
    </row>
    <row r="859" spans="1:58" ht="12.75">
      <c r="A859" s="2" t="str">
        <f>HYPERLINK("https://ibp.a2mac1.com/costing(costing:projects/details/8191/part/5383650)","Front Outer Trim")</f>
        <v>Front Outer Trim</v>
      </c>
      <c r="B859">
        <v>5383650</v>
      </c>
      <c r="C859">
        <v>5383535</v>
      </c>
      <c r="E859">
        <v>0.013268167500000001</v>
      </c>
      <c r="F859">
        <v>0</v>
      </c>
      <c r="G859">
        <v>0</v>
      </c>
      <c r="H859">
        <v>6.7305190526315787E-05</v>
      </c>
      <c r="I859" t="s">
        <v>137</v>
      </c>
      <c r="J859">
        <v>0.00046554973684210529</v>
      </c>
      <c r="K859">
        <v>0.013801022427368421</v>
      </c>
      <c r="L859">
        <v>0.00023208963704919518</v>
      </c>
      <c r="M859">
        <v>0.0013925378222951711</v>
      </c>
      <c r="N859">
        <v>0.015193560249663592</v>
      </c>
      <c r="O859" t="s">
        <v>90</v>
      </c>
      <c r="P859">
        <v>0</v>
      </c>
      <c r="Q859" t="s">
        <v>90</v>
      </c>
      <c r="R859">
        <v>0</v>
      </c>
      <c r="S859" t="s">
        <v>90</v>
      </c>
      <c r="T859">
        <v>0</v>
      </c>
      <c r="U859" t="s">
        <v>90</v>
      </c>
      <c r="V859">
        <v>0</v>
      </c>
      <c r="W859" t="s">
        <v>90</v>
      </c>
      <c r="X859">
        <v>0</v>
      </c>
      <c r="Y859">
        <v>0.015193560249663592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25</v>
      </c>
      <c r="AG859">
        <v>35</v>
      </c>
      <c r="AI859">
        <v>0.005</v>
      </c>
      <c r="AJ859" t="s">
        <v>2983</v>
      </c>
      <c r="AK859" t="s">
        <v>501</v>
      </c>
      <c r="AL859" t="s">
        <v>1288</v>
      </c>
      <c r="AM859">
        <v>200000</v>
      </c>
      <c r="AN859" t="s">
        <v>92</v>
      </c>
      <c r="AO859">
        <v>1</v>
      </c>
      <c r="AP859">
        <v>0</v>
      </c>
      <c r="AQ859">
        <v>16666.666666666668</v>
      </c>
      <c r="AR859" t="s">
        <v>2987</v>
      </c>
      <c r="AS859" t="s">
        <v>78</v>
      </c>
      <c r="AX859" t="s">
        <v>79</v>
      </c>
      <c r="AY859" t="s">
        <v>137</v>
      </c>
      <c r="AZ859">
        <v>0</v>
      </c>
      <c r="BA859" t="s">
        <v>137</v>
      </c>
      <c r="BB859">
        <v>0</v>
      </c>
      <c r="BE859">
        <v>0</v>
      </c>
    </row>
    <row r="860" spans="1:58" ht="12.75">
      <c r="A860" s="2" t="str">
        <f>HYPERLINK("https://ibp.a2mac1.com/costing(costing:projects/details/8191/part/5383651)","Cushion Heating")</f>
        <v>Cushion Heating</v>
      </c>
      <c r="B860">
        <v>5383651</v>
      </c>
      <c r="C860">
        <v>5383536</v>
      </c>
      <c r="E860">
        <v>5</v>
      </c>
      <c r="F860">
        <v>0</v>
      </c>
      <c r="G860">
        <v>0</v>
      </c>
      <c r="H860">
        <v>0</v>
      </c>
      <c r="I860" t="s">
        <v>74</v>
      </c>
      <c r="J860">
        <v>0</v>
      </c>
      <c r="K860">
        <v>5</v>
      </c>
      <c r="L860">
        <v>0</v>
      </c>
      <c r="M860">
        <v>0</v>
      </c>
      <c r="N860">
        <v>5</v>
      </c>
      <c r="O860" t="s">
        <v>74</v>
      </c>
      <c r="P860">
        <v>0</v>
      </c>
      <c r="Q860" t="s">
        <v>74</v>
      </c>
      <c r="R860">
        <v>0</v>
      </c>
      <c r="S860" t="s">
        <v>74</v>
      </c>
      <c r="T860">
        <v>0</v>
      </c>
      <c r="U860" t="s">
        <v>74</v>
      </c>
      <c r="V860">
        <v>0</v>
      </c>
      <c r="W860" t="s">
        <v>74</v>
      </c>
      <c r="X860">
        <v>0</v>
      </c>
      <c r="Y860">
        <v>5</v>
      </c>
      <c r="Z860">
        <v>0</v>
      </c>
      <c r="AA860">
        <v>0</v>
      </c>
      <c r="AB860">
        <v>0</v>
      </c>
      <c r="AC860">
        <v>0</v>
      </c>
      <c r="AD860">
        <v>0</v>
      </c>
      <c r="AF860">
        <v>2</v>
      </c>
      <c r="AG860">
        <v>670</v>
      </c>
      <c r="AI860">
        <v>0.065</v>
      </c>
      <c r="AJ860" t="s">
        <v>2990</v>
      </c>
      <c r="AK860" t="s">
        <v>686</v>
      </c>
      <c r="AL860" t="s">
        <v>2991</v>
      </c>
      <c r="AM860">
        <v>200000</v>
      </c>
      <c r="AN860" t="s">
        <v>76</v>
      </c>
      <c r="AO860">
        <v>1</v>
      </c>
      <c r="AP860">
        <v>0</v>
      </c>
      <c r="AQ860">
        <v>16666.666666666668</v>
      </c>
      <c r="AR860" t="s">
        <v>2992</v>
      </c>
      <c r="AS860" t="s">
        <v>78</v>
      </c>
      <c r="AX860" t="s">
        <v>79</v>
      </c>
      <c r="AY860" t="s">
        <v>74</v>
      </c>
      <c r="AZ860">
        <v>0</v>
      </c>
      <c r="BA860" t="s">
        <v>74</v>
      </c>
      <c r="BB860">
        <v>0</v>
      </c>
      <c r="BD860">
        <v>5</v>
      </c>
      <c r="BE860">
        <v>0</v>
      </c>
    </row>
    <row r="861" spans="1:58" ht="12.75">
      <c r="A861" s="2" t="str">
        <f>HYPERLINK("https://ibp.a2mac1.com/costing(costing:projects/details/8191/part/5383652)","Back Heating")</f>
        <v>Back Heating</v>
      </c>
      <c r="B861">
        <v>5383652</v>
      </c>
      <c r="C861">
        <v>5383536</v>
      </c>
      <c r="E861">
        <v>5</v>
      </c>
      <c r="F861">
        <v>0</v>
      </c>
      <c r="G861">
        <v>0</v>
      </c>
      <c r="H861">
        <v>0</v>
      </c>
      <c r="I861" t="s">
        <v>74</v>
      </c>
      <c r="J861">
        <v>0</v>
      </c>
      <c r="K861">
        <v>5</v>
      </c>
      <c r="L861">
        <v>0</v>
      </c>
      <c r="M861">
        <v>0</v>
      </c>
      <c r="N861">
        <v>5</v>
      </c>
      <c r="O861" t="s">
        <v>74</v>
      </c>
      <c r="P861">
        <v>0</v>
      </c>
      <c r="Q861" t="s">
        <v>74</v>
      </c>
      <c r="R861">
        <v>0</v>
      </c>
      <c r="S861" t="s">
        <v>74</v>
      </c>
      <c r="T861">
        <v>0</v>
      </c>
      <c r="U861" t="s">
        <v>74</v>
      </c>
      <c r="V861">
        <v>0</v>
      </c>
      <c r="W861" t="s">
        <v>74</v>
      </c>
      <c r="X861">
        <v>0</v>
      </c>
      <c r="Y861">
        <v>5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276</v>
      </c>
      <c r="AG861">
        <v>596</v>
      </c>
      <c r="AI861">
        <v>0.033000000000000002</v>
      </c>
      <c r="AJ861" t="s">
        <v>2990</v>
      </c>
      <c r="AK861" t="s">
        <v>686</v>
      </c>
      <c r="AL861" t="s">
        <v>2991</v>
      </c>
      <c r="AM861">
        <v>200000</v>
      </c>
      <c r="AN861" t="s">
        <v>76</v>
      </c>
      <c r="AO861">
        <v>1</v>
      </c>
      <c r="AP861">
        <v>0</v>
      </c>
      <c r="AQ861">
        <v>16666.666666666668</v>
      </c>
      <c r="AR861" t="s">
        <v>2993</v>
      </c>
      <c r="AS861" t="s">
        <v>78</v>
      </c>
      <c r="AX861" t="s">
        <v>79</v>
      </c>
      <c r="AY861" t="s">
        <v>74</v>
      </c>
      <c r="AZ861">
        <v>0</v>
      </c>
      <c r="BA861" t="s">
        <v>74</v>
      </c>
      <c r="BB861">
        <v>0</v>
      </c>
      <c r="BD861">
        <v>5</v>
      </c>
      <c r="BE861">
        <v>0</v>
      </c>
    </row>
    <row r="862" spans="1:58" ht="12.75">
      <c r="A862" s="2" t="str">
        <f>HYPERLINK("https://ibp.a2mac1.com/costing(costing:projects/details/8191/part/5383527)","Wiring Harness")</f>
        <v>Wiring Harness</v>
      </c>
      <c r="B862">
        <v>5383527</v>
      </c>
      <c r="C862">
        <v>5383399</v>
      </c>
      <c r="E862">
        <v>0</v>
      </c>
      <c r="F862">
        <v>13.487287960674644</v>
      </c>
      <c r="G862">
        <v>0</v>
      </c>
      <c r="H862">
        <v>0</v>
      </c>
      <c r="I862" t="s">
        <v>137</v>
      </c>
      <c r="J862">
        <v>0</v>
      </c>
      <c r="K862">
        <v>13.959343039298256</v>
      </c>
      <c r="L862">
        <v>0.88782738428180508</v>
      </c>
      <c r="M862">
        <v>3.1073958449863182</v>
      </c>
      <c r="N862">
        <v>17.066738884284575</v>
      </c>
      <c r="O862" t="s">
        <v>138</v>
      </c>
      <c r="P862">
        <v>0.83756058235789543</v>
      </c>
      <c r="Q862" t="s">
        <v>138</v>
      </c>
      <c r="R862">
        <v>0.18644375069917907</v>
      </c>
      <c r="S862" t="s">
        <v>1643</v>
      </c>
      <c r="T862">
        <v>1.7066738884284574</v>
      </c>
      <c r="U862" t="s">
        <v>90</v>
      </c>
      <c r="V862">
        <v>0</v>
      </c>
      <c r="W862" t="s">
        <v>90</v>
      </c>
      <c r="X862">
        <v>0</v>
      </c>
      <c r="Y862">
        <v>19.797417105770105</v>
      </c>
      <c r="Z862">
        <v>0</v>
      </c>
      <c r="AA862">
        <v>0</v>
      </c>
      <c r="AB862">
        <v>0</v>
      </c>
      <c r="AC862">
        <v>0</v>
      </c>
      <c r="AD862">
        <v>0</v>
      </c>
      <c r="AI862">
        <v>0.565</v>
      </c>
      <c r="AK862" t="s">
        <v>1645</v>
      </c>
      <c r="AL862" t="s">
        <v>1658</v>
      </c>
      <c r="AM862">
        <v>200000</v>
      </c>
      <c r="AN862" t="s">
        <v>76</v>
      </c>
      <c r="AO862">
        <v>1</v>
      </c>
      <c r="AP862">
        <v>0</v>
      </c>
      <c r="AQ862">
        <v>16666.666666666668</v>
      </c>
      <c r="AR862" t="s">
        <v>2997</v>
      </c>
      <c r="AS862" t="s">
        <v>78</v>
      </c>
      <c r="AX862" t="s">
        <v>79</v>
      </c>
      <c r="AY862" t="s">
        <v>137</v>
      </c>
      <c r="AZ862">
        <v>0.47205507862361257</v>
      </c>
      <c r="BA862" t="s">
        <v>137</v>
      </c>
      <c r="BB862">
        <v>0</v>
      </c>
      <c r="BE862">
        <v>0</v>
      </c>
    </row>
    <row r="863" spans="1:58" ht="12.75">
      <c r="A863" s="2" t="str">
        <f>HYPERLINK("https://ibp.a2mac1.com/costing(costing:projects/details/8191/part/5383528)","Position Sensor")</f>
        <v>Position Sensor</v>
      </c>
      <c r="B863">
        <v>5383528</v>
      </c>
      <c r="C863">
        <v>5383399</v>
      </c>
      <c r="E863">
        <v>3.69096</v>
      </c>
      <c r="F863">
        <v>0</v>
      </c>
      <c r="G863">
        <v>0</v>
      </c>
      <c r="H863">
        <v>0</v>
      </c>
      <c r="I863" t="s">
        <v>74</v>
      </c>
      <c r="J863">
        <v>0</v>
      </c>
      <c r="K863">
        <v>3.69096</v>
      </c>
      <c r="L863">
        <v>0</v>
      </c>
      <c r="M863">
        <v>0</v>
      </c>
      <c r="N863">
        <v>3.69096</v>
      </c>
      <c r="O863" t="s">
        <v>74</v>
      </c>
      <c r="P863">
        <v>0</v>
      </c>
      <c r="Q863" t="s">
        <v>74</v>
      </c>
      <c r="R863">
        <v>0</v>
      </c>
      <c r="S863" t="s">
        <v>74</v>
      </c>
      <c r="T863">
        <v>0</v>
      </c>
      <c r="U863" t="s">
        <v>74</v>
      </c>
      <c r="V863">
        <v>0</v>
      </c>
      <c r="W863" t="s">
        <v>74</v>
      </c>
      <c r="X863">
        <v>0</v>
      </c>
      <c r="Y863">
        <v>3.69096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35</v>
      </c>
      <c r="AF863">
        <v>24</v>
      </c>
      <c r="AG863">
        <v>29</v>
      </c>
      <c r="AI863">
        <v>0.001</v>
      </c>
      <c r="AJ863" t="s">
        <v>685</v>
      </c>
      <c r="AK863" t="s">
        <v>598</v>
      </c>
      <c r="AL863" t="s">
        <v>1760</v>
      </c>
      <c r="AM863">
        <v>200000</v>
      </c>
      <c r="AN863" t="s">
        <v>76</v>
      </c>
      <c r="AO863">
        <v>1</v>
      </c>
      <c r="AP863">
        <v>0</v>
      </c>
      <c r="AQ863">
        <v>16666.666666666668</v>
      </c>
      <c r="AR863" t="s">
        <v>2998</v>
      </c>
      <c r="AS863" t="s">
        <v>78</v>
      </c>
      <c r="AX863" t="s">
        <v>79</v>
      </c>
      <c r="AY863" t="s">
        <v>74</v>
      </c>
      <c r="AZ863">
        <v>0</v>
      </c>
      <c r="BA863" t="s">
        <v>74</v>
      </c>
      <c r="BB863">
        <v>0</v>
      </c>
      <c r="BD863">
        <v>3.69096</v>
      </c>
      <c r="BE863">
        <v>0</v>
      </c>
    </row>
    <row r="864" spans="1:58" ht="12.75">
      <c r="A864" s="2" t="str">
        <f>HYPERLINK("https://ibp.a2mac1.com/costing(costing:projects/details/8191/part/5383529)","Position Sensor Support")</f>
        <v>Position Sensor Support</v>
      </c>
      <c r="B864">
        <v>5383529</v>
      </c>
      <c r="C864">
        <v>5383399</v>
      </c>
      <c r="E864">
        <v>0.0049808665302681241</v>
      </c>
      <c r="F864">
        <v>0</v>
      </c>
      <c r="G864">
        <v>0</v>
      </c>
      <c r="H864">
        <v>0.00010416863262955272</v>
      </c>
      <c r="I864" t="s">
        <v>137</v>
      </c>
      <c r="J864">
        <v>0.00017854564848356245</v>
      </c>
      <c r="K864">
        <v>0.0052635808113812386</v>
      </c>
      <c r="L864">
        <v>0.0011180654609061068</v>
      </c>
      <c r="M864">
        <v>0.0067083927654366408</v>
      </c>
      <c r="N864">
        <v>0.01197197357681788</v>
      </c>
      <c r="O864" t="s">
        <v>90</v>
      </c>
      <c r="P864">
        <v>0</v>
      </c>
      <c r="Q864" t="s">
        <v>90</v>
      </c>
      <c r="R864">
        <v>0</v>
      </c>
      <c r="S864" t="s">
        <v>90</v>
      </c>
      <c r="T864">
        <v>0</v>
      </c>
      <c r="U864" t="s">
        <v>90</v>
      </c>
      <c r="V864">
        <v>0</v>
      </c>
      <c r="W864" t="s">
        <v>90</v>
      </c>
      <c r="X864">
        <v>0</v>
      </c>
      <c r="Y864">
        <v>0.01197197357681788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24</v>
      </c>
      <c r="AF864">
        <v>20</v>
      </c>
      <c r="AG864">
        <v>11</v>
      </c>
      <c r="AI864">
        <v>0.001</v>
      </c>
      <c r="AK864" t="s">
        <v>501</v>
      </c>
      <c r="AL864" t="s">
        <v>1721</v>
      </c>
      <c r="AM864">
        <v>200000</v>
      </c>
      <c r="AN864" t="s">
        <v>92</v>
      </c>
      <c r="AO864">
        <v>1</v>
      </c>
      <c r="AP864">
        <v>0</v>
      </c>
      <c r="AQ864">
        <v>16666.666666666668</v>
      </c>
      <c r="AR864" t="s">
        <v>3004</v>
      </c>
      <c r="AS864" t="s">
        <v>78</v>
      </c>
      <c r="AX864" t="s">
        <v>79</v>
      </c>
      <c r="AY864" t="s">
        <v>137</v>
      </c>
      <c r="AZ864">
        <v>0</v>
      </c>
      <c r="BA864" t="s">
        <v>137</v>
      </c>
      <c r="BB864">
        <v>0</v>
      </c>
      <c r="BE864">
        <v>0</v>
      </c>
    </row>
    <row r="865" spans="1:58" ht="12.75">
      <c r="A865" s="2" t="str">
        <f>HYPERLINK("https://ibp.a2mac1.com/costing(costing:projects/details/8191/part/5383915)","Lock Support")</f>
        <v>Lock Support</v>
      </c>
      <c r="B865">
        <v>5383915</v>
      </c>
      <c r="C865">
        <v>5383655</v>
      </c>
      <c r="E865">
        <v>0.045282047999999998</v>
      </c>
      <c r="F865">
        <v>0</v>
      </c>
      <c r="G865">
        <v>0</v>
      </c>
      <c r="H865">
        <v>0.00022970141642105263</v>
      </c>
      <c r="I865" t="s">
        <v>137</v>
      </c>
      <c r="J865">
        <v>0.0015888437894736843</v>
      </c>
      <c r="K865">
        <v>0.047100593205894735</v>
      </c>
      <c r="L865">
        <v>0.0014854749716206401</v>
      </c>
      <c r="M865">
        <v>0.0089128498297238404</v>
      </c>
      <c r="N865">
        <v>0.056013443035618581</v>
      </c>
      <c r="O865" t="s">
        <v>90</v>
      </c>
      <c r="P865">
        <v>0</v>
      </c>
      <c r="Q865" t="s">
        <v>90</v>
      </c>
      <c r="R865">
        <v>0</v>
      </c>
      <c r="S865" t="s">
        <v>90</v>
      </c>
      <c r="T865">
        <v>0</v>
      </c>
      <c r="U865" t="s">
        <v>90</v>
      </c>
      <c r="V865">
        <v>0</v>
      </c>
      <c r="W865" t="s">
        <v>90</v>
      </c>
      <c r="X865">
        <v>0</v>
      </c>
      <c r="Y865">
        <v>0.056013443035618581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45</v>
      </c>
      <c r="AF865">
        <v>50</v>
      </c>
      <c r="AG865">
        <v>134</v>
      </c>
      <c r="AI865">
        <v>0.032000000000000001</v>
      </c>
      <c r="AJ865" t="s">
        <v>1211</v>
      </c>
      <c r="AK865" t="s">
        <v>501</v>
      </c>
      <c r="AL865" t="s">
        <v>728</v>
      </c>
      <c r="AM865">
        <v>200000</v>
      </c>
      <c r="AN865" t="s">
        <v>92</v>
      </c>
      <c r="AO865">
        <v>1</v>
      </c>
      <c r="AP865">
        <v>0</v>
      </c>
      <c r="AQ865">
        <v>16666.666666666668</v>
      </c>
      <c r="AR865" t="s">
        <v>3012</v>
      </c>
      <c r="AS865" t="s">
        <v>78</v>
      </c>
      <c r="AX865" t="s">
        <v>79</v>
      </c>
      <c r="AY865" t="s">
        <v>137</v>
      </c>
      <c r="AZ865">
        <v>0</v>
      </c>
      <c r="BA865" t="s">
        <v>137</v>
      </c>
      <c r="BB865">
        <v>0</v>
      </c>
      <c r="BE865">
        <v>0</v>
      </c>
    </row>
    <row r="866" spans="1:58" ht="12.75">
      <c r="A866" s="2" t="str">
        <f>HYPERLINK("https://ibp.a2mac1.com/costing(costing:projects/details/8191/part/5383916)","Simple Guide Support")</f>
        <v>Simple Guide Support</v>
      </c>
      <c r="B866">
        <v>5383916</v>
      </c>
      <c r="C866">
        <v>5383655</v>
      </c>
      <c r="E866">
        <v>0.032546472</v>
      </c>
      <c r="F866">
        <v>0</v>
      </c>
      <c r="G866">
        <v>0</v>
      </c>
      <c r="H866">
        <v>0.00016509789305263158</v>
      </c>
      <c r="I866" t="s">
        <v>137</v>
      </c>
      <c r="J866">
        <v>0.0011419814736842106</v>
      </c>
      <c r="K866">
        <v>0.033853551366736845</v>
      </c>
      <c r="L866">
        <v>0.0010676608673769893</v>
      </c>
      <c r="M866">
        <v>0.0064059652042619359</v>
      </c>
      <c r="N866">
        <v>0.040259516570998778</v>
      </c>
      <c r="O866" t="s">
        <v>90</v>
      </c>
      <c r="P866">
        <v>0</v>
      </c>
      <c r="Q866" t="s">
        <v>90</v>
      </c>
      <c r="R866">
        <v>0</v>
      </c>
      <c r="S866" t="s">
        <v>90</v>
      </c>
      <c r="T866">
        <v>0</v>
      </c>
      <c r="U866" t="s">
        <v>90</v>
      </c>
      <c r="V866">
        <v>0</v>
      </c>
      <c r="W866" t="s">
        <v>90</v>
      </c>
      <c r="X866">
        <v>0</v>
      </c>
      <c r="Y866">
        <v>0.040259516570998778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44</v>
      </c>
      <c r="AF866">
        <v>50</v>
      </c>
      <c r="AG866">
        <v>133</v>
      </c>
      <c r="AI866">
        <v>0.023</v>
      </c>
      <c r="AJ866" t="s">
        <v>1211</v>
      </c>
      <c r="AK866" t="s">
        <v>501</v>
      </c>
      <c r="AL866" t="s">
        <v>728</v>
      </c>
      <c r="AM866">
        <v>200000</v>
      </c>
      <c r="AN866" t="s">
        <v>92</v>
      </c>
      <c r="AO866">
        <v>1</v>
      </c>
      <c r="AP866">
        <v>0</v>
      </c>
      <c r="AQ866">
        <v>16666.666666666668</v>
      </c>
      <c r="AR866" t="s">
        <v>3015</v>
      </c>
      <c r="AS866" t="s">
        <v>78</v>
      </c>
      <c r="AX866" t="s">
        <v>79</v>
      </c>
      <c r="AY866" t="s">
        <v>137</v>
      </c>
      <c r="AZ866">
        <v>0</v>
      </c>
      <c r="BA866" t="s">
        <v>137</v>
      </c>
      <c r="BB866">
        <v>0</v>
      </c>
      <c r="BE866">
        <v>0</v>
      </c>
    </row>
    <row r="867" spans="1:58" ht="12.75">
      <c r="A867" s="2" t="str">
        <f>HYPERLINK("https://ibp.a2mac1.com/costing(costing:projects/details/8191/part/5383917)","Cover")</f>
        <v>Cover</v>
      </c>
      <c r="B867">
        <v>5383917</v>
      </c>
      <c r="C867">
        <v>5383658</v>
      </c>
      <c r="E867">
        <v>1.1965333333333332</v>
      </c>
      <c r="F867">
        <v>0</v>
      </c>
      <c r="G867">
        <v>0</v>
      </c>
      <c r="H867">
        <v>0.0024648586666666666</v>
      </c>
      <c r="I867" t="s">
        <v>137</v>
      </c>
      <c r="J867">
        <v>0.041878666666666668</v>
      </c>
      <c r="K867">
        <v>1.2408768586666667</v>
      </c>
      <c r="L867">
        <v>0.11779782217158324</v>
      </c>
      <c r="M867">
        <v>0.70678693302949946</v>
      </c>
      <c r="N867">
        <v>1.9476637916961661</v>
      </c>
      <c r="O867" t="s">
        <v>90</v>
      </c>
      <c r="P867">
        <v>0</v>
      </c>
      <c r="Q867" t="s">
        <v>90</v>
      </c>
      <c r="R867">
        <v>0</v>
      </c>
      <c r="S867" t="s">
        <v>90</v>
      </c>
      <c r="T867">
        <v>0</v>
      </c>
      <c r="U867" t="s">
        <v>90</v>
      </c>
      <c r="V867">
        <v>0</v>
      </c>
      <c r="W867" t="s">
        <v>90</v>
      </c>
      <c r="X867">
        <v>0</v>
      </c>
      <c r="Y867">
        <v>1.9476637916961661</v>
      </c>
      <c r="Z867">
        <v>0</v>
      </c>
      <c r="AA867">
        <v>0</v>
      </c>
      <c r="AB867">
        <v>0</v>
      </c>
      <c r="AC867">
        <v>0</v>
      </c>
      <c r="AD867">
        <v>0</v>
      </c>
      <c r="AI867">
        <v>0.055</v>
      </c>
      <c r="AK867" t="s">
        <v>501</v>
      </c>
      <c r="AL867" t="s">
        <v>1345</v>
      </c>
      <c r="AM867">
        <v>200000</v>
      </c>
      <c r="AN867" t="s">
        <v>92</v>
      </c>
      <c r="AO867">
        <v>1</v>
      </c>
      <c r="AP867">
        <v>0</v>
      </c>
      <c r="AQ867">
        <v>16666.666666666668</v>
      </c>
      <c r="AR867" t="s">
        <v>3021</v>
      </c>
      <c r="AS867" t="s">
        <v>78</v>
      </c>
      <c r="AX867" t="s">
        <v>79</v>
      </c>
      <c r="AY867" t="s">
        <v>137</v>
      </c>
      <c r="AZ867">
        <v>0</v>
      </c>
      <c r="BA867" t="s">
        <v>137</v>
      </c>
      <c r="BB867">
        <v>0</v>
      </c>
      <c r="BE867">
        <v>0</v>
      </c>
    </row>
    <row r="868" spans="1:58" ht="12.75">
      <c r="A868" s="2" t="str">
        <f>HYPERLINK("https://ibp.a2mac1.com/costing(costing:projects/details/8191/part/5383918)","Pad")</f>
        <v>Pad</v>
      </c>
      <c r="B868">
        <v>5383918</v>
      </c>
      <c r="C868">
        <v>5383658</v>
      </c>
      <c r="E868">
        <v>0.216272511</v>
      </c>
      <c r="F868">
        <v>0</v>
      </c>
      <c r="G868">
        <v>0</v>
      </c>
      <c r="H868">
        <v>0.0010970816096842104</v>
      </c>
      <c r="I868" t="s">
        <v>137</v>
      </c>
      <c r="J868">
        <v>0.0075885091578947366</v>
      </c>
      <c r="K868">
        <v>0.22495810176757894</v>
      </c>
      <c r="L868">
        <v>0.0028318940604628918</v>
      </c>
      <c r="M868">
        <v>0.016991364362777348</v>
      </c>
      <c r="N868">
        <v>0.24194946613035631</v>
      </c>
      <c r="O868" t="s">
        <v>138</v>
      </c>
      <c r="P868">
        <v>0.013497486106054737</v>
      </c>
      <c r="Q868" t="s">
        <v>138</v>
      </c>
      <c r="R868">
        <v>0.0010194818617666409</v>
      </c>
      <c r="S868" t="s">
        <v>139</v>
      </c>
      <c r="T868">
        <v>0.029033935935642755</v>
      </c>
      <c r="U868" t="s">
        <v>216</v>
      </c>
      <c r="V868">
        <v>0.0012097473306517815</v>
      </c>
      <c r="W868" t="s">
        <v>217</v>
      </c>
      <c r="X868">
        <v>0.004838989322607126</v>
      </c>
      <c r="Y868">
        <v>0.29154910668707934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70</v>
      </c>
      <c r="AF868">
        <v>375</v>
      </c>
      <c r="AG868">
        <v>58</v>
      </c>
      <c r="AI868">
        <v>0.060999999999999999</v>
      </c>
      <c r="AK868" t="s">
        <v>218</v>
      </c>
      <c r="AL868" t="s">
        <v>2703</v>
      </c>
      <c r="AM868">
        <v>200000</v>
      </c>
      <c r="AN868" t="s">
        <v>76</v>
      </c>
      <c r="AO868">
        <v>1</v>
      </c>
      <c r="AP868">
        <v>0</v>
      </c>
      <c r="AQ868">
        <v>16666.666666666668</v>
      </c>
      <c r="AR868" t="s">
        <v>9</v>
      </c>
      <c r="AS868" t="s">
        <v>78</v>
      </c>
      <c r="AX868" t="s">
        <v>79</v>
      </c>
      <c r="AY868" t="s">
        <v>137</v>
      </c>
      <c r="AZ868">
        <v>0</v>
      </c>
      <c r="BA868" t="s">
        <v>137</v>
      </c>
      <c r="BB868">
        <v>0</v>
      </c>
      <c r="BE868">
        <v>0</v>
      </c>
    </row>
    <row r="869" spans="1:58" ht="12.75">
      <c r="A869" s="2" t="str">
        <f>HYPERLINK("https://ibp.a2mac1.com/costing(costing:projects/details/8191/part/5383919)","Frame")</f>
        <v>Frame</v>
      </c>
      <c r="B869">
        <v>5383919</v>
      </c>
      <c r="C869">
        <v>5383658</v>
      </c>
      <c r="E869">
        <v>0.400040277</v>
      </c>
      <c r="F869">
        <v>0.075929999999999997</v>
      </c>
      <c r="G869">
        <v>0</v>
      </c>
      <c r="H869">
        <v>0.0020292769941052629</v>
      </c>
      <c r="I869" t="s">
        <v>137</v>
      </c>
      <c r="J869">
        <v>0.01403650094736842</v>
      </c>
      <c r="K869">
        <v>0.49469360494147369</v>
      </c>
      <c r="L869">
        <v>0.010263958479019376</v>
      </c>
      <c r="M869">
        <v>0.061583750874116258</v>
      </c>
      <c r="N869">
        <v>0.5562773558155899</v>
      </c>
      <c r="O869" t="s">
        <v>138</v>
      </c>
      <c r="P869">
        <v>0.029681616296488422</v>
      </c>
      <c r="Q869" t="s">
        <v>138</v>
      </c>
      <c r="R869">
        <v>0.0036950250524469754</v>
      </c>
      <c r="S869" t="s">
        <v>139</v>
      </c>
      <c r="T869">
        <v>0.066753282697870786</v>
      </c>
      <c r="U869" t="s">
        <v>216</v>
      </c>
      <c r="V869">
        <v>0.0027813867790779496</v>
      </c>
      <c r="W869" t="s">
        <v>217</v>
      </c>
      <c r="X869">
        <v>0.011125547116311798</v>
      </c>
      <c r="Y869">
        <v>0.67031421375778588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70</v>
      </c>
      <c r="AF869">
        <v>380</v>
      </c>
      <c r="AG869">
        <v>92</v>
      </c>
      <c r="AI869">
        <v>0.442</v>
      </c>
      <c r="AJ869" t="s">
        <v>2729</v>
      </c>
      <c r="AK869" t="s">
        <v>218</v>
      </c>
      <c r="AL869" t="s">
        <v>2730</v>
      </c>
      <c r="AM869">
        <v>200000</v>
      </c>
      <c r="AN869" t="s">
        <v>76</v>
      </c>
      <c r="AO869">
        <v>1</v>
      </c>
      <c r="AP869">
        <v>0</v>
      </c>
      <c r="AQ869">
        <v>16666.666666666668</v>
      </c>
      <c r="AR869" t="s">
        <v>9</v>
      </c>
      <c r="AS869" t="s">
        <v>78</v>
      </c>
      <c r="AX869" t="s">
        <v>79</v>
      </c>
      <c r="AY869" t="s">
        <v>137</v>
      </c>
      <c r="AZ869">
        <v>0.0026575499999999998</v>
      </c>
      <c r="BA869" t="s">
        <v>137</v>
      </c>
      <c r="BB869">
        <v>0</v>
      </c>
      <c r="BE869">
        <v>0</v>
      </c>
    </row>
    <row r="870" spans="1:58" ht="12.75">
      <c r="A870" s="2" t="str">
        <f>HYPERLINK("https://ibp.a2mac1.com/costing(costing:projects/details/8191/part/5383920)","Armrest Inner Trim")</f>
        <v>Armrest Inner Trim</v>
      </c>
      <c r="B870">
        <v>5383920</v>
      </c>
      <c r="C870">
        <v>5383658</v>
      </c>
      <c r="E870">
        <v>0.22873872000000001</v>
      </c>
      <c r="F870">
        <v>0.075929999999999997</v>
      </c>
      <c r="G870">
        <v>0</v>
      </c>
      <c r="H870">
        <v>0.00116031872</v>
      </c>
      <c r="I870" t="s">
        <v>137</v>
      </c>
      <c r="J870">
        <v>0.0080259200000000006</v>
      </c>
      <c r="K870">
        <v>0.31651250871999997</v>
      </c>
      <c r="L870">
        <v>0.0044107054974815976</v>
      </c>
      <c r="M870">
        <v>0.026464232984889587</v>
      </c>
      <c r="N870">
        <v>0.34297674170488957</v>
      </c>
      <c r="O870" t="s">
        <v>138</v>
      </c>
      <c r="P870">
        <v>0.018990750523200001</v>
      </c>
      <c r="Q870" t="s">
        <v>138</v>
      </c>
      <c r="R870">
        <v>0.0015878539790933751</v>
      </c>
      <c r="S870" t="s">
        <v>139</v>
      </c>
      <c r="T870">
        <v>0.041157209004586748</v>
      </c>
      <c r="U870" t="s">
        <v>216</v>
      </c>
      <c r="V870">
        <v>0.001714883708524448</v>
      </c>
      <c r="W870" t="s">
        <v>217</v>
      </c>
      <c r="X870">
        <v>0.0068595348340977922</v>
      </c>
      <c r="Y870">
        <v>0.41328697375439194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58</v>
      </c>
      <c r="AF870">
        <v>37</v>
      </c>
      <c r="AG870">
        <v>45</v>
      </c>
      <c r="AI870">
        <v>0.095</v>
      </c>
      <c r="AJ870" t="s">
        <v>685</v>
      </c>
      <c r="AK870" t="s">
        <v>218</v>
      </c>
      <c r="AL870" t="s">
        <v>1275</v>
      </c>
      <c r="AM870">
        <v>200000</v>
      </c>
      <c r="AN870" t="s">
        <v>76</v>
      </c>
      <c r="AO870">
        <v>1</v>
      </c>
      <c r="AP870">
        <v>0</v>
      </c>
      <c r="AQ870">
        <v>16666.666666666668</v>
      </c>
      <c r="AR870" t="s">
        <v>9</v>
      </c>
      <c r="AS870" t="s">
        <v>78</v>
      </c>
      <c r="AX870" t="s">
        <v>79</v>
      </c>
      <c r="AY870" t="s">
        <v>137</v>
      </c>
      <c r="AZ870">
        <v>0.0026575499999999998</v>
      </c>
      <c r="BA870" t="s">
        <v>137</v>
      </c>
      <c r="BB870">
        <v>0</v>
      </c>
      <c r="BE870">
        <v>0</v>
      </c>
    </row>
    <row r="871" spans="1:58" ht="12.75">
      <c r="A871" s="2" t="str">
        <f>HYPERLINK("https://ibp.a2mac1.com/costing(costing:projects/details/8191/part/5383922)","Armrest Adjuster Shaft")</f>
        <v>Armrest Adjuster Shaft</v>
      </c>
      <c r="B871">
        <v>5383922</v>
      </c>
      <c r="C871">
        <v>5383658</v>
      </c>
      <c r="E871">
        <v>0.137570412</v>
      </c>
      <c r="F871">
        <v>0</v>
      </c>
      <c r="G871">
        <v>0</v>
      </c>
      <c r="H871">
        <v>0.00069785091200000001</v>
      </c>
      <c r="I871" t="s">
        <v>137</v>
      </c>
      <c r="J871">
        <v>0.0048270320000000002</v>
      </c>
      <c r="K871">
        <v>0.14309529491199999</v>
      </c>
      <c r="L871">
        <v>0.0035283951048529147</v>
      </c>
      <c r="M871">
        <v>0.021170370629117488</v>
      </c>
      <c r="N871">
        <v>0.16426566554111749</v>
      </c>
      <c r="O871" t="s">
        <v>138</v>
      </c>
      <c r="P871">
        <v>0.0085857176947199999</v>
      </c>
      <c r="Q871" t="s">
        <v>138</v>
      </c>
      <c r="R871">
        <v>0.0012702222377470494</v>
      </c>
      <c r="S871" t="s">
        <v>139</v>
      </c>
      <c r="T871">
        <v>0.019711879864934098</v>
      </c>
      <c r="U871" t="s">
        <v>216</v>
      </c>
      <c r="V871">
        <v>0.00082132832770558746</v>
      </c>
      <c r="W871" t="s">
        <v>217</v>
      </c>
      <c r="X871">
        <v>0.0032853133108223498</v>
      </c>
      <c r="Y871">
        <v>0.19794012697704658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195</v>
      </c>
      <c r="AF871">
        <v>44</v>
      </c>
      <c r="AG871">
        <v>40</v>
      </c>
      <c r="AI871">
        <v>0.152</v>
      </c>
      <c r="AJ871" t="s">
        <v>685</v>
      </c>
      <c r="AK871" t="s">
        <v>218</v>
      </c>
      <c r="AL871" t="s">
        <v>2740</v>
      </c>
      <c r="AM871">
        <v>200000</v>
      </c>
      <c r="AN871" t="s">
        <v>76</v>
      </c>
      <c r="AO871">
        <v>1</v>
      </c>
      <c r="AP871">
        <v>0</v>
      </c>
      <c r="AQ871">
        <v>16666.666666666668</v>
      </c>
      <c r="AR871" t="s">
        <v>9</v>
      </c>
      <c r="AS871" t="s">
        <v>78</v>
      </c>
      <c r="AX871" t="s">
        <v>79</v>
      </c>
      <c r="AY871" t="s">
        <v>137</v>
      </c>
      <c r="AZ871">
        <v>0</v>
      </c>
      <c r="BA871" t="s">
        <v>137</v>
      </c>
      <c r="BB871">
        <v>0</v>
      </c>
      <c r="BE871">
        <v>0</v>
      </c>
    </row>
    <row r="872" spans="1:58" ht="12.75">
      <c r="A872" s="2" t="str">
        <f>HYPERLINK("https://ibp.a2mac1.com/costing(costing:projects/details/8191/part/5383923)","Fastener Cover")</f>
        <v>Fastener Cover</v>
      </c>
      <c r="B872">
        <v>5383923</v>
      </c>
      <c r="C872">
        <v>5383658</v>
      </c>
      <c r="E872">
        <v>0.092316987000000003</v>
      </c>
      <c r="F872">
        <v>0</v>
      </c>
      <c r="G872">
        <v>0</v>
      </c>
      <c r="H872">
        <v>0.0004682946909473684</v>
      </c>
      <c r="I872" t="s">
        <v>137</v>
      </c>
      <c r="J872">
        <v>0.0032391925263157897</v>
      </c>
      <c r="K872">
        <v>0.096024474217263164</v>
      </c>
      <c r="L872">
        <v>0.002367589340622376</v>
      </c>
      <c r="M872">
        <v>0.014205536043734255</v>
      </c>
      <c r="N872">
        <v>0.11023001026099741</v>
      </c>
      <c r="O872" t="s">
        <v>90</v>
      </c>
      <c r="P872">
        <v>0</v>
      </c>
      <c r="Q872" t="s">
        <v>90</v>
      </c>
      <c r="R872">
        <v>0</v>
      </c>
      <c r="S872" t="s">
        <v>90</v>
      </c>
      <c r="T872">
        <v>0</v>
      </c>
      <c r="U872" t="s">
        <v>90</v>
      </c>
      <c r="V872">
        <v>0</v>
      </c>
      <c r="W872" t="s">
        <v>90</v>
      </c>
      <c r="X872">
        <v>0</v>
      </c>
      <c r="Y872">
        <v>0.11023001026099741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51</v>
      </c>
      <c r="AF872">
        <v>122</v>
      </c>
      <c r="AG872">
        <v>71</v>
      </c>
      <c r="AI872">
        <v>0.050999999999999997</v>
      </c>
      <c r="AJ872" t="s">
        <v>685</v>
      </c>
      <c r="AK872" t="s">
        <v>501</v>
      </c>
      <c r="AL872" t="s">
        <v>1261</v>
      </c>
      <c r="AM872">
        <v>200000</v>
      </c>
      <c r="AN872" t="s">
        <v>92</v>
      </c>
      <c r="AO872">
        <v>1</v>
      </c>
      <c r="AP872">
        <v>0</v>
      </c>
      <c r="AQ872">
        <v>16666.666666666668</v>
      </c>
      <c r="AR872" t="s">
        <v>3032</v>
      </c>
      <c r="AS872" t="s">
        <v>78</v>
      </c>
      <c r="AX872" t="s">
        <v>79</v>
      </c>
      <c r="AY872" t="s">
        <v>137</v>
      </c>
      <c r="AZ872">
        <v>0</v>
      </c>
      <c r="BA872" t="s">
        <v>137</v>
      </c>
      <c r="BB872">
        <v>0</v>
      </c>
      <c r="BE872">
        <v>0</v>
      </c>
    </row>
    <row r="873" spans="1:58" ht="12.75">
      <c r="A873" s="2" t="str">
        <f>HYPERLINK("https://ibp.a2mac1.com/costing(costing:projects/details/8191/part/5383653)","Frame Protection")</f>
        <v>Frame Protection</v>
      </c>
      <c r="B873">
        <v>5383653</v>
      </c>
      <c r="C873">
        <v>5383538</v>
      </c>
      <c r="E873">
        <v>0.0085434719999999999</v>
      </c>
      <c r="F873">
        <v>0</v>
      </c>
      <c r="G873">
        <v>0</v>
      </c>
      <c r="H873">
        <v>4.3338314105263159E-05</v>
      </c>
      <c r="I873" t="s">
        <v>137</v>
      </c>
      <c r="J873">
        <v>0.00029977094736842105</v>
      </c>
      <c r="K873">
        <v>0.008886581261473684</v>
      </c>
      <c r="L873">
        <v>0.00018567124068331081</v>
      </c>
      <c r="M873">
        <v>0.0011140274440998648</v>
      </c>
      <c r="N873">
        <v>0.010000608705573549</v>
      </c>
      <c r="O873" t="s">
        <v>90</v>
      </c>
      <c r="P873">
        <v>0</v>
      </c>
      <c r="Q873" t="s">
        <v>90</v>
      </c>
      <c r="R873">
        <v>0</v>
      </c>
      <c r="S873" t="s">
        <v>90</v>
      </c>
      <c r="T873">
        <v>0</v>
      </c>
      <c r="U873" t="s">
        <v>90</v>
      </c>
      <c r="V873">
        <v>0</v>
      </c>
      <c r="W873" t="s">
        <v>90</v>
      </c>
      <c r="X873">
        <v>0</v>
      </c>
      <c r="Y873">
        <v>0.010000608705573549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91</v>
      </c>
      <c r="AF873">
        <v>27</v>
      </c>
      <c r="AG873">
        <v>48</v>
      </c>
      <c r="AI873">
        <v>0.0040000000000000001</v>
      </c>
      <c r="AJ873" t="s">
        <v>685</v>
      </c>
      <c r="AK873" t="s">
        <v>501</v>
      </c>
      <c r="AL873" t="s">
        <v>1721</v>
      </c>
      <c r="AM873">
        <v>200000</v>
      </c>
      <c r="AN873" t="s">
        <v>92</v>
      </c>
      <c r="AO873">
        <v>1</v>
      </c>
      <c r="AP873">
        <v>0</v>
      </c>
      <c r="AQ873">
        <v>16666.666666666668</v>
      </c>
      <c r="AR873" t="s">
        <v>3038</v>
      </c>
      <c r="AS873" t="s">
        <v>78</v>
      </c>
      <c r="AX873" t="s">
        <v>79</v>
      </c>
      <c r="AY873" t="s">
        <v>137</v>
      </c>
      <c r="AZ873">
        <v>0</v>
      </c>
      <c r="BA873" t="s">
        <v>137</v>
      </c>
      <c r="BB873">
        <v>0</v>
      </c>
      <c r="BE873">
        <v>0</v>
      </c>
    </row>
    <row r="874" spans="1:58" ht="12.75">
      <c r="A874" s="2" t="str">
        <f>HYPERLINK("https://ibp.a2mac1.com/costing(costing:projects/details/8191/part/5383654)","Sound Insulation Sheet")</f>
        <v>Sound Insulation Sheet</v>
      </c>
      <c r="B874">
        <v>5383654</v>
      </c>
      <c r="C874">
        <v>5383538</v>
      </c>
      <c r="E874">
        <v>0.087733967999999996</v>
      </c>
      <c r="F874">
        <v>0</v>
      </c>
      <c r="G874">
        <v>0</v>
      </c>
      <c r="H874">
        <v>0.00044504649431578947</v>
      </c>
      <c r="I874" t="s">
        <v>137</v>
      </c>
      <c r="J874">
        <v>0.0030783848421052631</v>
      </c>
      <c r="K874">
        <v>0.091257399336421047</v>
      </c>
      <c r="L874">
        <v>0.002878325822076068</v>
      </c>
      <c r="M874">
        <v>0.017269954932456408</v>
      </c>
      <c r="N874">
        <v>0.10852735426887745</v>
      </c>
      <c r="O874" t="s">
        <v>90</v>
      </c>
      <c r="P874">
        <v>0</v>
      </c>
      <c r="Q874" t="s">
        <v>90</v>
      </c>
      <c r="R874">
        <v>0</v>
      </c>
      <c r="S874" t="s">
        <v>90</v>
      </c>
      <c r="T874">
        <v>0</v>
      </c>
      <c r="U874" t="s">
        <v>90</v>
      </c>
      <c r="V874">
        <v>0</v>
      </c>
      <c r="W874" t="s">
        <v>90</v>
      </c>
      <c r="X874">
        <v>0</v>
      </c>
      <c r="Y874">
        <v>0.10852735426887745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4</v>
      </c>
      <c r="AF874">
        <v>302</v>
      </c>
      <c r="AG874">
        <v>440</v>
      </c>
      <c r="AI874">
        <v>0.062</v>
      </c>
      <c r="AJ874" t="s">
        <v>685</v>
      </c>
      <c r="AK874" t="s">
        <v>501</v>
      </c>
      <c r="AL874" t="s">
        <v>728</v>
      </c>
      <c r="AM874">
        <v>200000</v>
      </c>
      <c r="AN874" t="s">
        <v>92</v>
      </c>
      <c r="AO874">
        <v>1</v>
      </c>
      <c r="AP874">
        <v>0</v>
      </c>
      <c r="AQ874">
        <v>16666.666666666668</v>
      </c>
      <c r="AR874" t="s">
        <v>3043</v>
      </c>
      <c r="AS874" t="s">
        <v>78</v>
      </c>
      <c r="AX874" t="s">
        <v>79</v>
      </c>
      <c r="AY874" t="s">
        <v>137</v>
      </c>
      <c r="AZ874">
        <v>0</v>
      </c>
      <c r="BA874" t="s">
        <v>137</v>
      </c>
      <c r="BB874">
        <v>0</v>
      </c>
      <c r="BE874">
        <v>0</v>
      </c>
    </row>
    <row r="875" spans="1:58" ht="12.75">
      <c r="A875" s="2" t="str">
        <f>HYPERLINK("https://ibp.a2mac1.com/costing(costing:projects/details/8191/part/5383656)","Frame")</f>
        <v>Frame</v>
      </c>
      <c r="B875">
        <v>5383656</v>
      </c>
      <c r="C875">
        <v>5383538</v>
      </c>
      <c r="E875">
        <v>2.4350395038095236</v>
      </c>
      <c r="F875">
        <v>6.0303599999999999</v>
      </c>
      <c r="G875">
        <v>0</v>
      </c>
      <c r="H875">
        <v>0.013140977486476191</v>
      </c>
      <c r="I875" t="s">
        <v>137</v>
      </c>
      <c r="J875">
        <v>0.090896089333333333</v>
      </c>
      <c r="K875">
        <v>8.7804991706293336</v>
      </c>
      <c r="L875">
        <v>0.46158022127768444</v>
      </c>
      <c r="M875">
        <v>2.7694813276661066</v>
      </c>
      <c r="N875">
        <v>11.54998049829544</v>
      </c>
      <c r="O875" t="s">
        <v>90</v>
      </c>
      <c r="P875">
        <v>0</v>
      </c>
      <c r="Q875" t="s">
        <v>90</v>
      </c>
      <c r="R875">
        <v>0</v>
      </c>
      <c r="S875" t="s">
        <v>90</v>
      </c>
      <c r="T875">
        <v>0</v>
      </c>
      <c r="U875" t="s">
        <v>90</v>
      </c>
      <c r="V875">
        <v>0</v>
      </c>
      <c r="W875" t="s">
        <v>90</v>
      </c>
      <c r="X875">
        <v>0</v>
      </c>
      <c r="Y875">
        <v>11.54998049829544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140</v>
      </c>
      <c r="AF875">
        <v>487</v>
      </c>
      <c r="AG875">
        <v>675</v>
      </c>
      <c r="AI875">
        <v>3.57</v>
      </c>
      <c r="AJ875" t="s">
        <v>685</v>
      </c>
      <c r="AK875" t="s">
        <v>501</v>
      </c>
      <c r="AL875" t="s">
        <v>720</v>
      </c>
      <c r="AM875">
        <v>200000</v>
      </c>
      <c r="AN875" t="s">
        <v>92</v>
      </c>
      <c r="AO875">
        <v>1</v>
      </c>
      <c r="AP875">
        <v>0</v>
      </c>
      <c r="AQ875">
        <v>16666.666666666668</v>
      </c>
      <c r="AR875" t="s">
        <v>3046</v>
      </c>
      <c r="AS875" t="s">
        <v>78</v>
      </c>
      <c r="AX875" t="s">
        <v>79</v>
      </c>
      <c r="AY875" t="s">
        <v>137</v>
      </c>
      <c r="AZ875">
        <v>0.21106259999999999</v>
      </c>
      <c r="BA875" t="s">
        <v>137</v>
      </c>
      <c r="BB875">
        <v>0</v>
      </c>
      <c r="BE875">
        <v>0</v>
      </c>
    </row>
    <row r="876" spans="1:58" ht="12.75">
      <c r="A876" s="2" t="str">
        <f>HYPERLINK("https://ibp.a2mac1.com/costing(costing:projects/details/8191/part/5383657)","Cover")</f>
        <v>Cover</v>
      </c>
      <c r="B876">
        <v>5383657</v>
      </c>
      <c r="C876">
        <v>5383538</v>
      </c>
      <c r="E876">
        <v>14.810331666666666</v>
      </c>
      <c r="F876">
        <v>0</v>
      </c>
      <c r="G876">
        <v>0</v>
      </c>
      <c r="H876">
        <v>0.031616522933333335</v>
      </c>
      <c r="I876" t="s">
        <v>137</v>
      </c>
      <c r="J876">
        <v>0.5371739333333333</v>
      </c>
      <c r="K876">
        <v>15.379122122933333</v>
      </c>
      <c r="L876">
        <v>0.6196096641922576</v>
      </c>
      <c r="M876">
        <v>3.7176579851535454</v>
      </c>
      <c r="N876">
        <v>19.096780108086879</v>
      </c>
      <c r="O876" t="s">
        <v>90</v>
      </c>
      <c r="P876">
        <v>0</v>
      </c>
      <c r="Q876" t="s">
        <v>90</v>
      </c>
      <c r="R876">
        <v>0</v>
      </c>
      <c r="S876" t="s">
        <v>90</v>
      </c>
      <c r="T876">
        <v>0</v>
      </c>
      <c r="U876" t="s">
        <v>90</v>
      </c>
      <c r="V876">
        <v>0</v>
      </c>
      <c r="W876" t="s">
        <v>90</v>
      </c>
      <c r="X876">
        <v>0</v>
      </c>
      <c r="Y876">
        <v>19.096780108086879</v>
      </c>
      <c r="Z876">
        <v>0</v>
      </c>
      <c r="AA876">
        <v>0</v>
      </c>
      <c r="AB876">
        <v>0</v>
      </c>
      <c r="AC876">
        <v>0</v>
      </c>
      <c r="AD876">
        <v>0</v>
      </c>
      <c r="AI876">
        <v>1.2130000000000001</v>
      </c>
      <c r="AJ876" t="s">
        <v>685</v>
      </c>
      <c r="AK876" t="s">
        <v>501</v>
      </c>
      <c r="AL876" t="s">
        <v>2769</v>
      </c>
      <c r="AM876">
        <v>200000</v>
      </c>
      <c r="AN876" t="s">
        <v>92</v>
      </c>
      <c r="AO876">
        <v>1</v>
      </c>
      <c r="AP876">
        <v>0</v>
      </c>
      <c r="AQ876">
        <v>16666.666666666668</v>
      </c>
      <c r="AR876" t="s">
        <v>3050</v>
      </c>
      <c r="AS876" t="s">
        <v>78</v>
      </c>
      <c r="AX876" t="s">
        <v>79</v>
      </c>
      <c r="AY876" t="s">
        <v>137</v>
      </c>
      <c r="AZ876">
        <v>0</v>
      </c>
      <c r="BA876" t="s">
        <v>137</v>
      </c>
      <c r="BB876">
        <v>0</v>
      </c>
      <c r="BE876">
        <v>0</v>
      </c>
    </row>
    <row r="877" spans="1:58" ht="12.75">
      <c r="A877" s="2" t="str">
        <f>HYPERLINK("https://ibp.a2mac1.com/costing(costing:projects/details/8191/part/5383659)","Pad")</f>
        <v>Pad</v>
      </c>
      <c r="B877">
        <v>5383659</v>
      </c>
      <c r="C877">
        <v>5383538</v>
      </c>
      <c r="E877">
        <v>5.3571764609999999</v>
      </c>
      <c r="F877">
        <v>0</v>
      </c>
      <c r="G877">
        <v>0</v>
      </c>
      <c r="H877">
        <v>0.027175251020210525</v>
      </c>
      <c r="I877" t="s">
        <v>137</v>
      </c>
      <c r="J877">
        <v>0.18797110389473684</v>
      </c>
      <c r="K877">
        <v>5.5723228159149469</v>
      </c>
      <c r="L877">
        <v>0.046700627136922072</v>
      </c>
      <c r="M877">
        <v>0.28020376282153242</v>
      </c>
      <c r="N877">
        <v>5.8525265787364802</v>
      </c>
      <c r="O877" t="s">
        <v>90</v>
      </c>
      <c r="P877">
        <v>0</v>
      </c>
      <c r="Q877" t="s">
        <v>90</v>
      </c>
      <c r="R877">
        <v>0</v>
      </c>
      <c r="S877" t="s">
        <v>90</v>
      </c>
      <c r="T877">
        <v>0</v>
      </c>
      <c r="U877" t="s">
        <v>90</v>
      </c>
      <c r="V877">
        <v>0</v>
      </c>
      <c r="W877" t="s">
        <v>90</v>
      </c>
      <c r="X877">
        <v>0</v>
      </c>
      <c r="Y877">
        <v>5.8525265787364802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222</v>
      </c>
      <c r="AF877">
        <v>485</v>
      </c>
      <c r="AG877">
        <v>720</v>
      </c>
      <c r="AI877">
        <v>1.4970000000000001</v>
      </c>
      <c r="AJ877" t="s">
        <v>2775</v>
      </c>
      <c r="AK877" t="s">
        <v>501</v>
      </c>
      <c r="AL877" t="s">
        <v>2703</v>
      </c>
      <c r="AM877">
        <v>200000</v>
      </c>
      <c r="AN877" t="s">
        <v>92</v>
      </c>
      <c r="AO877">
        <v>1</v>
      </c>
      <c r="AP877">
        <v>0</v>
      </c>
      <c r="AQ877">
        <v>16666.666666666668</v>
      </c>
      <c r="AR877" t="s">
        <v>3055</v>
      </c>
      <c r="AS877" t="s">
        <v>78</v>
      </c>
      <c r="AX877" t="s">
        <v>79</v>
      </c>
      <c r="AY877" t="s">
        <v>137</v>
      </c>
      <c r="AZ877">
        <v>0</v>
      </c>
      <c r="BA877" t="s">
        <v>137</v>
      </c>
      <c r="BB877">
        <v>0</v>
      </c>
      <c r="BE877">
        <v>0</v>
      </c>
    </row>
    <row r="878" spans="1:58" ht="12.75">
      <c r="A878" s="2" t="str">
        <f>HYPERLINK("https://ibp.a2mac1.com/costing(costing:projects/details/8191/part/5383924)","Outer Side")</f>
        <v>Outer Side</v>
      </c>
      <c r="B878">
        <v>5383924</v>
      </c>
      <c r="C878">
        <v>5383661</v>
      </c>
      <c r="E878">
        <v>0.38631247200000002</v>
      </c>
      <c r="F878">
        <v>0</v>
      </c>
      <c r="G878">
        <v>0</v>
      </c>
      <c r="H878">
        <v>0.0019596402088421054</v>
      </c>
      <c r="I878" t="s">
        <v>137</v>
      </c>
      <c r="J878">
        <v>0.013554823578947368</v>
      </c>
      <c r="K878">
        <v>0.4018269357877895</v>
      </c>
      <c r="L878">
        <v>0.012680671857911158</v>
      </c>
      <c r="M878">
        <v>0.076084031147466952</v>
      </c>
      <c r="N878">
        <v>0.47791096693525642</v>
      </c>
      <c r="O878" t="s">
        <v>90</v>
      </c>
      <c r="P878">
        <v>0</v>
      </c>
      <c r="Q878" t="s">
        <v>90</v>
      </c>
      <c r="R878">
        <v>0</v>
      </c>
      <c r="S878" t="s">
        <v>90</v>
      </c>
      <c r="T878">
        <v>0</v>
      </c>
      <c r="U878" t="s">
        <v>90</v>
      </c>
      <c r="V878">
        <v>0</v>
      </c>
      <c r="W878" t="s">
        <v>90</v>
      </c>
      <c r="X878">
        <v>0</v>
      </c>
      <c r="Y878">
        <v>0.47791096693525642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107</v>
      </c>
      <c r="AF878">
        <v>580</v>
      </c>
      <c r="AG878">
        <v>160</v>
      </c>
      <c r="AI878">
        <v>0.27300000000000002</v>
      </c>
      <c r="AJ878" t="s">
        <v>2797</v>
      </c>
      <c r="AK878" t="s">
        <v>501</v>
      </c>
      <c r="AL878" t="s">
        <v>728</v>
      </c>
      <c r="AM878">
        <v>200000</v>
      </c>
      <c r="AN878" t="s">
        <v>92</v>
      </c>
      <c r="AO878">
        <v>1</v>
      </c>
      <c r="AP878">
        <v>0</v>
      </c>
      <c r="AQ878">
        <v>16666.666666666668</v>
      </c>
      <c r="AR878" t="s">
        <v>3063</v>
      </c>
      <c r="AS878" t="s">
        <v>78</v>
      </c>
      <c r="AX878" t="s">
        <v>79</v>
      </c>
      <c r="AY878" t="s">
        <v>137</v>
      </c>
      <c r="AZ878">
        <v>0</v>
      </c>
      <c r="BA878" t="s">
        <v>137</v>
      </c>
      <c r="BB878">
        <v>0</v>
      </c>
      <c r="BE878">
        <v>0</v>
      </c>
    </row>
    <row r="879" spans="1:58" ht="12.75">
      <c r="A879" s="2" t="str">
        <f>HYPERLINK("https://ibp.a2mac1.com/costing(costing:projects/details/8191/part/5383925)","Inner Side")</f>
        <v>Inner Side</v>
      </c>
      <c r="B879">
        <v>5383925</v>
      </c>
      <c r="C879">
        <v>5383661</v>
      </c>
      <c r="E879">
        <v>0.123110568</v>
      </c>
      <c r="F879">
        <v>0</v>
      </c>
      <c r="G879">
        <v>0</v>
      </c>
      <c r="H879">
        <v>0.00062450072589473684</v>
      </c>
      <c r="I879" t="s">
        <v>137</v>
      </c>
      <c r="J879">
        <v>0.0043196690526315787</v>
      </c>
      <c r="K879">
        <v>0.12805473777852633</v>
      </c>
      <c r="L879">
        <v>0.0040391960677628397</v>
      </c>
      <c r="M879">
        <v>0.024235176406577037</v>
      </c>
      <c r="N879">
        <v>0.15228991418510335</v>
      </c>
      <c r="O879" t="s">
        <v>90</v>
      </c>
      <c r="P879">
        <v>0</v>
      </c>
      <c r="Q879" t="s">
        <v>90</v>
      </c>
      <c r="R879">
        <v>0</v>
      </c>
      <c r="S879" t="s">
        <v>90</v>
      </c>
      <c r="T879">
        <v>0</v>
      </c>
      <c r="U879" t="s">
        <v>90</v>
      </c>
      <c r="V879">
        <v>0</v>
      </c>
      <c r="W879" t="s">
        <v>90</v>
      </c>
      <c r="X879">
        <v>0</v>
      </c>
      <c r="Y879">
        <v>0.15228991418510335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57</v>
      </c>
      <c r="AF879">
        <v>235</v>
      </c>
      <c r="AG879">
        <v>162</v>
      </c>
      <c r="AI879">
        <v>0.086999999999999994</v>
      </c>
      <c r="AJ879" t="s">
        <v>2797</v>
      </c>
      <c r="AK879" t="s">
        <v>501</v>
      </c>
      <c r="AL879" t="s">
        <v>728</v>
      </c>
      <c r="AM879">
        <v>200000</v>
      </c>
      <c r="AN879" t="s">
        <v>92</v>
      </c>
      <c r="AO879">
        <v>1</v>
      </c>
      <c r="AP879">
        <v>0</v>
      </c>
      <c r="AQ879">
        <v>16666.666666666668</v>
      </c>
      <c r="AR879" t="s">
        <v>3068</v>
      </c>
      <c r="AS879" t="s">
        <v>78</v>
      </c>
      <c r="AX879" t="s">
        <v>79</v>
      </c>
      <c r="AY879" t="s">
        <v>137</v>
      </c>
      <c r="AZ879">
        <v>0</v>
      </c>
      <c r="BA879" t="s">
        <v>137</v>
      </c>
      <c r="BB879">
        <v>0</v>
      </c>
      <c r="BE879">
        <v>0</v>
      </c>
    </row>
    <row r="880" spans="1:58" ht="12.75">
      <c r="A880" s="2" t="str">
        <f>HYPERLINK("https://ibp.a2mac1.com/costing(costing:projects/details/8191/part/5383926)","Exterior Trim Support")</f>
        <v>Exterior Trim Support</v>
      </c>
      <c r="B880">
        <v>5383926</v>
      </c>
      <c r="C880">
        <v>5383661</v>
      </c>
      <c r="E880">
        <v>0.136991421</v>
      </c>
      <c r="F880">
        <v>0</v>
      </c>
      <c r="G880">
        <v>0</v>
      </c>
      <c r="H880">
        <v>0.00069491387494736837</v>
      </c>
      <c r="I880" t="s">
        <v>137</v>
      </c>
      <c r="J880">
        <v>0.0048067165263157895</v>
      </c>
      <c r="K880">
        <v>0.14249305140126317</v>
      </c>
      <c r="L880">
        <v>0.0059897879910945041</v>
      </c>
      <c r="M880">
        <v>0.035938727946567023</v>
      </c>
      <c r="N880">
        <v>0.17843177934783019</v>
      </c>
      <c r="O880" t="s">
        <v>90</v>
      </c>
      <c r="P880">
        <v>0</v>
      </c>
      <c r="Q880" t="s">
        <v>90</v>
      </c>
      <c r="R880">
        <v>0</v>
      </c>
      <c r="S880" t="s">
        <v>90</v>
      </c>
      <c r="T880">
        <v>0</v>
      </c>
      <c r="U880" t="s">
        <v>90</v>
      </c>
      <c r="V880">
        <v>0</v>
      </c>
      <c r="W880" t="s">
        <v>90</v>
      </c>
      <c r="X880">
        <v>0</v>
      </c>
      <c r="Y880">
        <v>0.17843177934783019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90</v>
      </c>
      <c r="AF880">
        <v>372</v>
      </c>
      <c r="AG880">
        <v>110</v>
      </c>
      <c r="AI880">
        <v>0.129</v>
      </c>
      <c r="AJ880" t="s">
        <v>2797</v>
      </c>
      <c r="AK880" t="s">
        <v>501</v>
      </c>
      <c r="AL880" t="s">
        <v>1182</v>
      </c>
      <c r="AM880">
        <v>200000</v>
      </c>
      <c r="AN880" t="s">
        <v>92</v>
      </c>
      <c r="AO880">
        <v>1</v>
      </c>
      <c r="AP880">
        <v>0</v>
      </c>
      <c r="AQ880">
        <v>16666.666666666668</v>
      </c>
      <c r="AR880" t="s">
        <v>3073</v>
      </c>
      <c r="AS880" t="s">
        <v>78</v>
      </c>
      <c r="AX880" t="s">
        <v>79</v>
      </c>
      <c r="AY880" t="s">
        <v>137</v>
      </c>
      <c r="AZ880">
        <v>0</v>
      </c>
      <c r="BA880" t="s">
        <v>137</v>
      </c>
      <c r="BB880">
        <v>0</v>
      </c>
      <c r="BE880">
        <v>0</v>
      </c>
    </row>
    <row r="881" spans="1:58" ht="12.75">
      <c r="A881" s="2" t="str">
        <f>HYPERLINK("https://ibp.a2mac1.com/costing(costing:projects/details/8191/part/5383927)","Lighting")</f>
        <v>Lighting</v>
      </c>
      <c r="B881">
        <v>5383927</v>
      </c>
      <c r="C881">
        <v>5383662</v>
      </c>
      <c r="E881">
        <v>1.38411</v>
      </c>
      <c r="F881">
        <v>0</v>
      </c>
      <c r="G881">
        <v>0</v>
      </c>
      <c r="H881">
        <v>0</v>
      </c>
      <c r="I881" t="s">
        <v>74</v>
      </c>
      <c r="J881">
        <v>0</v>
      </c>
      <c r="K881">
        <v>1.38411</v>
      </c>
      <c r="L881">
        <v>0</v>
      </c>
      <c r="M881">
        <v>0</v>
      </c>
      <c r="N881">
        <v>1.38411</v>
      </c>
      <c r="O881" t="s">
        <v>74</v>
      </c>
      <c r="P881">
        <v>0</v>
      </c>
      <c r="Q881" t="s">
        <v>74</v>
      </c>
      <c r="R881">
        <v>0</v>
      </c>
      <c r="S881" t="s">
        <v>74</v>
      </c>
      <c r="T881">
        <v>0</v>
      </c>
      <c r="U881" t="s">
        <v>74</v>
      </c>
      <c r="V881">
        <v>0</v>
      </c>
      <c r="W881" t="s">
        <v>74</v>
      </c>
      <c r="X881">
        <v>0</v>
      </c>
      <c r="Y881">
        <v>1.38411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16</v>
      </c>
      <c r="AF881">
        <v>41</v>
      </c>
      <c r="AG881">
        <v>15</v>
      </c>
      <c r="AI881">
        <v>0.0030000000000000001</v>
      </c>
      <c r="AJ881" t="s">
        <v>685</v>
      </c>
      <c r="AK881" t="s">
        <v>576</v>
      </c>
      <c r="AL881" t="s">
        <v>2811</v>
      </c>
      <c r="AM881">
        <v>200000</v>
      </c>
      <c r="AN881" t="s">
        <v>76</v>
      </c>
      <c r="AO881">
        <v>1</v>
      </c>
      <c r="AP881">
        <v>0</v>
      </c>
      <c r="AQ881">
        <v>16666.666666666668</v>
      </c>
      <c r="AR881" t="s">
        <v>3076</v>
      </c>
      <c r="AS881" t="s">
        <v>78</v>
      </c>
      <c r="AX881" t="s">
        <v>79</v>
      </c>
      <c r="AY881" t="s">
        <v>74</v>
      </c>
      <c r="AZ881">
        <v>0</v>
      </c>
      <c r="BA881" t="s">
        <v>74</v>
      </c>
      <c r="BB881">
        <v>0</v>
      </c>
      <c r="BD881">
        <v>1.38411</v>
      </c>
      <c r="BE881">
        <v>0</v>
      </c>
    </row>
    <row r="882" spans="1:58" ht="12.75">
      <c r="A882" s="2" t="str">
        <f>HYPERLINK("https://ibp.a2mac1.com/costing(costing:projects/details/8191/part/5383928)","Support ")</f>
        <v xml:space="preserve">Support </v>
      </c>
      <c r="B882">
        <v>5383928</v>
      </c>
      <c r="C882">
        <v>5383662</v>
      </c>
      <c r="E882">
        <v>0.064589999999999995</v>
      </c>
      <c r="F882">
        <v>0</v>
      </c>
      <c r="G882">
        <v>0</v>
      </c>
      <c r="H882">
        <v>0</v>
      </c>
      <c r="I882" t="s">
        <v>74</v>
      </c>
      <c r="J882">
        <v>0</v>
      </c>
      <c r="K882">
        <v>0.064589999999999995</v>
      </c>
      <c r="L882">
        <v>0</v>
      </c>
      <c r="M882">
        <v>0</v>
      </c>
      <c r="N882">
        <v>0.064589999999999995</v>
      </c>
      <c r="O882" t="s">
        <v>74</v>
      </c>
      <c r="P882">
        <v>0</v>
      </c>
      <c r="Q882" t="s">
        <v>74</v>
      </c>
      <c r="R882">
        <v>0</v>
      </c>
      <c r="S882" t="s">
        <v>74</v>
      </c>
      <c r="T882">
        <v>0</v>
      </c>
      <c r="U882" t="s">
        <v>74</v>
      </c>
      <c r="V882">
        <v>0</v>
      </c>
      <c r="W882" t="s">
        <v>74</v>
      </c>
      <c r="X882">
        <v>0</v>
      </c>
      <c r="Y882">
        <v>0.064589999999999995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27</v>
      </c>
      <c r="AF882">
        <v>122</v>
      </c>
      <c r="AG882">
        <v>34</v>
      </c>
      <c r="AI882">
        <v>0.012</v>
      </c>
      <c r="AJ882" t="s">
        <v>685</v>
      </c>
      <c r="AK882" t="s">
        <v>501</v>
      </c>
      <c r="AL882" t="s">
        <v>1182</v>
      </c>
      <c r="AM882">
        <v>200000</v>
      </c>
      <c r="AN882" t="s">
        <v>92</v>
      </c>
      <c r="AO882">
        <v>1</v>
      </c>
      <c r="AP882">
        <v>0</v>
      </c>
      <c r="AQ882">
        <v>16666.666666666668</v>
      </c>
      <c r="AR882" t="s">
        <v>3077</v>
      </c>
      <c r="AS882" t="s">
        <v>78</v>
      </c>
      <c r="AX882" t="s">
        <v>79</v>
      </c>
      <c r="AY882" t="s">
        <v>74</v>
      </c>
      <c r="AZ882">
        <v>0</v>
      </c>
      <c r="BA882" t="s">
        <v>74</v>
      </c>
      <c r="BB882">
        <v>0</v>
      </c>
      <c r="BD882">
        <v>0.064589999999999995</v>
      </c>
      <c r="BE882">
        <v>0</v>
      </c>
    </row>
    <row r="883" spans="1:58" ht="12.75">
      <c r="A883" s="2" t="str">
        <f>HYPERLINK("https://ibp.a2mac1.com/costing(costing:projects/details/8191/part/5383660)","Pad")</f>
        <v>Pad</v>
      </c>
      <c r="B883">
        <v>5383660</v>
      </c>
      <c r="C883">
        <v>5383539</v>
      </c>
      <c r="E883">
        <v>5.06999493</v>
      </c>
      <c r="F883">
        <v>0</v>
      </c>
      <c r="G883">
        <v>0</v>
      </c>
      <c r="H883">
        <v>0.025718470522105262</v>
      </c>
      <c r="I883" t="s">
        <v>137</v>
      </c>
      <c r="J883">
        <v>0.17789455894736841</v>
      </c>
      <c r="K883">
        <v>5.2736079594694738</v>
      </c>
      <c r="L883">
        <v>0.044599252838539744</v>
      </c>
      <c r="M883">
        <v>0.26759551703123846</v>
      </c>
      <c r="N883">
        <v>5.5412034765007121</v>
      </c>
      <c r="O883" t="s">
        <v>90</v>
      </c>
      <c r="P883">
        <v>0</v>
      </c>
      <c r="Q883" t="s">
        <v>90</v>
      </c>
      <c r="R883">
        <v>0</v>
      </c>
      <c r="S883" t="s">
        <v>90</v>
      </c>
      <c r="T883">
        <v>0</v>
      </c>
      <c r="U883" t="s">
        <v>90</v>
      </c>
      <c r="V883">
        <v>0</v>
      </c>
      <c r="W883" t="s">
        <v>90</v>
      </c>
      <c r="X883">
        <v>0</v>
      </c>
      <c r="Y883">
        <v>5.5412034765007121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605</v>
      </c>
      <c r="AF883">
        <v>500</v>
      </c>
      <c r="AG883">
        <v>150</v>
      </c>
      <c r="AI883">
        <v>1.43</v>
      </c>
      <c r="AJ883" t="s">
        <v>2775</v>
      </c>
      <c r="AK883" t="s">
        <v>501</v>
      </c>
      <c r="AL883" t="s">
        <v>2703</v>
      </c>
      <c r="AM883">
        <v>200000</v>
      </c>
      <c r="AN883" t="s">
        <v>92</v>
      </c>
      <c r="AO883">
        <v>1</v>
      </c>
      <c r="AP883">
        <v>0</v>
      </c>
      <c r="AQ883">
        <v>16666.666666666668</v>
      </c>
      <c r="AR883" t="s">
        <v>3081</v>
      </c>
      <c r="AS883" t="s">
        <v>78</v>
      </c>
      <c r="AX883" t="s">
        <v>79</v>
      </c>
      <c r="AY883" t="s">
        <v>137</v>
      </c>
      <c r="AZ883">
        <v>0</v>
      </c>
      <c r="BA883" t="s">
        <v>137</v>
      </c>
      <c r="BB883">
        <v>0</v>
      </c>
      <c r="BE883">
        <v>0</v>
      </c>
    </row>
    <row r="884" spans="1:58" ht="12.75">
      <c r="A884" s="2" t="str">
        <f>HYPERLINK("https://ibp.a2mac1.com/costing(costing:projects/details/8191/part/5383663)","Cover")</f>
        <v>Cover</v>
      </c>
      <c r="B884">
        <v>5383663</v>
      </c>
      <c r="C884">
        <v>5383539</v>
      </c>
      <c r="E884">
        <v>9.0427776000000009</v>
      </c>
      <c r="F884">
        <v>0</v>
      </c>
      <c r="G884">
        <v>0</v>
      </c>
      <c r="H884">
        <v>0.019920421930666666</v>
      </c>
      <c r="I884" t="s">
        <v>137</v>
      </c>
      <c r="J884">
        <v>0.33845377066666665</v>
      </c>
      <c r="K884">
        <v>9.401151792597334</v>
      </c>
      <c r="L884">
        <v>0.47814038245665025</v>
      </c>
      <c r="M884">
        <v>2.8688422947399013</v>
      </c>
      <c r="N884">
        <v>12.269994087337235</v>
      </c>
      <c r="O884" t="s">
        <v>90</v>
      </c>
      <c r="P884">
        <v>0</v>
      </c>
      <c r="Q884" t="s">
        <v>90</v>
      </c>
      <c r="R884">
        <v>0</v>
      </c>
      <c r="S884" t="s">
        <v>90</v>
      </c>
      <c r="T884">
        <v>0</v>
      </c>
      <c r="U884" t="s">
        <v>90</v>
      </c>
      <c r="V884">
        <v>0</v>
      </c>
      <c r="W884" t="s">
        <v>90</v>
      </c>
      <c r="X884">
        <v>0</v>
      </c>
      <c r="Y884">
        <v>12.269994087337235</v>
      </c>
      <c r="Z884">
        <v>0</v>
      </c>
      <c r="AA884">
        <v>0</v>
      </c>
      <c r="AB884">
        <v>0</v>
      </c>
      <c r="AC884">
        <v>0</v>
      </c>
      <c r="AD884">
        <v>0</v>
      </c>
      <c r="AI884">
        <v>0.56399999999999995</v>
      </c>
      <c r="AK884" t="s">
        <v>501</v>
      </c>
      <c r="AL884" t="s">
        <v>2769</v>
      </c>
      <c r="AM884">
        <v>200000</v>
      </c>
      <c r="AN884" t="s">
        <v>92</v>
      </c>
      <c r="AO884">
        <v>1</v>
      </c>
      <c r="AP884">
        <v>0</v>
      </c>
      <c r="AQ884">
        <v>16666.666666666668</v>
      </c>
      <c r="AR884" t="s">
        <v>3085</v>
      </c>
      <c r="AS884" t="s">
        <v>78</v>
      </c>
      <c r="AX884" t="s">
        <v>79</v>
      </c>
      <c r="AY884" t="s">
        <v>137</v>
      </c>
      <c r="AZ884">
        <v>0</v>
      </c>
      <c r="BA884" t="s">
        <v>137</v>
      </c>
      <c r="BB884">
        <v>0</v>
      </c>
      <c r="BE884">
        <v>0</v>
      </c>
    </row>
    <row r="885" spans="1:58" ht="12.75">
      <c r="A885" s="2" t="str">
        <f>HYPERLINK("https://ibp.a2mac1.com/costing(costing:projects/details/8191/part/5383664)","Frame")</f>
        <v>Frame</v>
      </c>
      <c r="B885">
        <v>5383664</v>
      </c>
      <c r="C885">
        <v>5383539</v>
      </c>
      <c r="E885">
        <v>3.6061216699999998</v>
      </c>
      <c r="F885">
        <v>0</v>
      </c>
      <c r="G885">
        <v>0</v>
      </c>
      <c r="H885">
        <v>0.021038418412</v>
      </c>
      <c r="I885" t="s">
        <v>137</v>
      </c>
      <c r="J885">
        <v>0.145522657</v>
      </c>
      <c r="K885">
        <v>3.7726827454120002</v>
      </c>
      <c r="L885">
        <v>0.26566485737787998</v>
      </c>
      <c r="M885">
        <v>1.59398914426728</v>
      </c>
      <c r="N885">
        <v>5.3666718896792798</v>
      </c>
      <c r="O885" t="s">
        <v>90</v>
      </c>
      <c r="P885">
        <v>0</v>
      </c>
      <c r="Q885" t="s">
        <v>90</v>
      </c>
      <c r="R885">
        <v>0</v>
      </c>
      <c r="S885" t="s">
        <v>90</v>
      </c>
      <c r="T885">
        <v>0</v>
      </c>
      <c r="U885" t="s">
        <v>90</v>
      </c>
      <c r="V885">
        <v>0</v>
      </c>
      <c r="W885" t="s">
        <v>90</v>
      </c>
      <c r="X885">
        <v>0</v>
      </c>
      <c r="Y885">
        <v>5.3666718896792798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482</v>
      </c>
      <c r="AF885">
        <v>505</v>
      </c>
      <c r="AG885">
        <v>123</v>
      </c>
      <c r="AI885">
        <v>3.485</v>
      </c>
      <c r="AJ885" t="s">
        <v>2775</v>
      </c>
      <c r="AK885" t="s">
        <v>501</v>
      </c>
      <c r="AL885" t="s">
        <v>720</v>
      </c>
      <c r="AM885">
        <v>200000</v>
      </c>
      <c r="AN885" t="s">
        <v>92</v>
      </c>
      <c r="AO885">
        <v>1</v>
      </c>
      <c r="AP885">
        <v>0</v>
      </c>
      <c r="AQ885">
        <v>16666.666666666668</v>
      </c>
      <c r="AR885" t="s">
        <v>3088</v>
      </c>
      <c r="AS885" t="s">
        <v>78</v>
      </c>
      <c r="AX885" t="s">
        <v>79</v>
      </c>
      <c r="AY885" t="s">
        <v>137</v>
      </c>
      <c r="AZ885">
        <v>0</v>
      </c>
      <c r="BA885" t="s">
        <v>137</v>
      </c>
      <c r="BB885">
        <v>0</v>
      </c>
      <c r="BE885">
        <v>0</v>
      </c>
    </row>
    <row r="886" spans="1:58" ht="12.75">
      <c r="A886" s="2" t="str">
        <f>HYPERLINK("https://ibp.a2mac1.com/costing(costing:projects/details/8191/part/5383665)","Base Assembly")</f>
        <v>Base Assembly</v>
      </c>
      <c r="B886">
        <v>5383665</v>
      </c>
      <c r="C886">
        <v>5383539</v>
      </c>
      <c r="E886">
        <v>1.2286470678461539</v>
      </c>
      <c r="F886">
        <v>0</v>
      </c>
      <c r="G886">
        <v>0</v>
      </c>
      <c r="H886">
        <v>0.006696992361230769</v>
      </c>
      <c r="I886" t="s">
        <v>137</v>
      </c>
      <c r="J886">
        <v>0.046323069692307692</v>
      </c>
      <c r="K886">
        <v>1.2816671298996922</v>
      </c>
      <c r="L886">
        <v>0.1273716593309592</v>
      </c>
      <c r="M886">
        <v>0.76422995598575516</v>
      </c>
      <c r="N886">
        <v>2.0458970858854477</v>
      </c>
      <c r="O886" t="s">
        <v>90</v>
      </c>
      <c r="P886">
        <v>0</v>
      </c>
      <c r="Q886" t="s">
        <v>90</v>
      </c>
      <c r="R886">
        <v>0</v>
      </c>
      <c r="S886" t="s">
        <v>90</v>
      </c>
      <c r="T886">
        <v>0</v>
      </c>
      <c r="U886" t="s">
        <v>90</v>
      </c>
      <c r="V886">
        <v>0</v>
      </c>
      <c r="W886" t="s">
        <v>90</v>
      </c>
      <c r="X886">
        <v>0</v>
      </c>
      <c r="Y886">
        <v>2.0458970858854477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360</v>
      </c>
      <c r="AF886">
        <v>460</v>
      </c>
      <c r="AG886">
        <v>88</v>
      </c>
      <c r="AI886">
        <v>1.113</v>
      </c>
      <c r="AK886" t="s">
        <v>501</v>
      </c>
      <c r="AL886" t="s">
        <v>720</v>
      </c>
      <c r="AM886">
        <v>200000</v>
      </c>
      <c r="AN886" t="s">
        <v>92</v>
      </c>
      <c r="AO886">
        <v>1</v>
      </c>
      <c r="AP886">
        <v>0</v>
      </c>
      <c r="AQ886">
        <v>16666.666666666668</v>
      </c>
      <c r="AR886" t="s">
        <v>3091</v>
      </c>
      <c r="AS886" t="s">
        <v>78</v>
      </c>
      <c r="AX886" t="s">
        <v>79</v>
      </c>
      <c r="AY886" t="s">
        <v>137</v>
      </c>
      <c r="AZ886">
        <v>0</v>
      </c>
      <c r="BA886" t="s">
        <v>137</v>
      </c>
      <c r="BB886">
        <v>0</v>
      </c>
      <c r="BE886">
        <v>0</v>
      </c>
    </row>
    <row r="887" spans="1:58" ht="12.75">
      <c r="A887" s="2" t="str">
        <f>HYPERLINK("https://ibp.a2mac1.com/costing(costing:projects/details/8191/part/5383666)","Suspension")</f>
        <v>Suspension</v>
      </c>
      <c r="B887">
        <v>5383666</v>
      </c>
      <c r="C887">
        <v>5383539</v>
      </c>
      <c r="E887">
        <v>1.81</v>
      </c>
      <c r="F887">
        <v>0</v>
      </c>
      <c r="G887">
        <v>0</v>
      </c>
      <c r="H887">
        <v>0</v>
      </c>
      <c r="I887" t="s">
        <v>74</v>
      </c>
      <c r="J887">
        <v>0</v>
      </c>
      <c r="K887">
        <v>1.81</v>
      </c>
      <c r="L887">
        <v>0</v>
      </c>
      <c r="M887">
        <v>0</v>
      </c>
      <c r="N887">
        <v>1.81</v>
      </c>
      <c r="O887" t="s">
        <v>74</v>
      </c>
      <c r="P887">
        <v>0</v>
      </c>
      <c r="Q887" t="s">
        <v>74</v>
      </c>
      <c r="R887">
        <v>0</v>
      </c>
      <c r="S887" t="s">
        <v>74</v>
      </c>
      <c r="T887">
        <v>0</v>
      </c>
      <c r="U887" t="s">
        <v>74</v>
      </c>
      <c r="V887">
        <v>0</v>
      </c>
      <c r="W887" t="s">
        <v>74</v>
      </c>
      <c r="X887">
        <v>0</v>
      </c>
      <c r="Y887">
        <v>1.81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60</v>
      </c>
      <c r="AF887">
        <v>347</v>
      </c>
      <c r="AG887">
        <v>290</v>
      </c>
      <c r="AI887">
        <v>0.32100000000000001</v>
      </c>
      <c r="AJ887" t="s">
        <v>2843</v>
      </c>
      <c r="AK887" t="s">
        <v>501</v>
      </c>
      <c r="AL887" t="s">
        <v>774</v>
      </c>
      <c r="AM887">
        <v>200000</v>
      </c>
      <c r="AN887" t="s">
        <v>92</v>
      </c>
      <c r="AO887">
        <v>1</v>
      </c>
      <c r="AP887">
        <v>0</v>
      </c>
      <c r="AQ887">
        <v>16666.666666666668</v>
      </c>
      <c r="AR887" t="s">
        <v>3092</v>
      </c>
      <c r="AS887" t="s">
        <v>78</v>
      </c>
      <c r="AX887" t="s">
        <v>79</v>
      </c>
      <c r="AY887" t="s">
        <v>74</v>
      </c>
      <c r="AZ887">
        <v>0</v>
      </c>
      <c r="BA887" t="s">
        <v>74</v>
      </c>
      <c r="BB887">
        <v>0</v>
      </c>
      <c r="BD887">
        <v>1.81</v>
      </c>
      <c r="BE887">
        <v>0</v>
      </c>
    </row>
    <row r="888" spans="1:58" ht="12.75">
      <c r="A888" s="2" t="str">
        <f>HYPERLINK("https://ibp.a2mac1.com/costing(costing:projects/details/8191/part/5383929)","Sensor")</f>
        <v>Sensor</v>
      </c>
      <c r="B888">
        <v>5383929</v>
      </c>
      <c r="C888">
        <v>5383668</v>
      </c>
      <c r="E888">
        <v>1.84548</v>
      </c>
      <c r="F888">
        <v>0</v>
      </c>
      <c r="G888">
        <v>0</v>
      </c>
      <c r="H888">
        <v>0</v>
      </c>
      <c r="I888" t="s">
        <v>74</v>
      </c>
      <c r="J888">
        <v>0</v>
      </c>
      <c r="K888">
        <v>1.84548</v>
      </c>
      <c r="L888">
        <v>0</v>
      </c>
      <c r="M888">
        <v>0</v>
      </c>
      <c r="N888">
        <v>1.84548</v>
      </c>
      <c r="O888" t="s">
        <v>74</v>
      </c>
      <c r="P888">
        <v>0</v>
      </c>
      <c r="Q888" t="s">
        <v>74</v>
      </c>
      <c r="R888">
        <v>0</v>
      </c>
      <c r="S888" t="s">
        <v>74</v>
      </c>
      <c r="T888">
        <v>0</v>
      </c>
      <c r="U888" t="s">
        <v>74</v>
      </c>
      <c r="V888">
        <v>0</v>
      </c>
      <c r="W888" t="s">
        <v>74</v>
      </c>
      <c r="X888">
        <v>0</v>
      </c>
      <c r="Y888">
        <v>1.84548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35</v>
      </c>
      <c r="AF888">
        <v>24</v>
      </c>
      <c r="AG888">
        <v>29</v>
      </c>
      <c r="AI888">
        <v>0.001</v>
      </c>
      <c r="AJ888" t="s">
        <v>685</v>
      </c>
      <c r="AK888" t="s">
        <v>598</v>
      </c>
      <c r="AL888" t="s">
        <v>1760</v>
      </c>
      <c r="AM888">
        <v>200000</v>
      </c>
      <c r="AN888" t="s">
        <v>76</v>
      </c>
      <c r="AO888">
        <v>1</v>
      </c>
      <c r="AP888">
        <v>0</v>
      </c>
      <c r="AQ888">
        <v>16666.666666666668</v>
      </c>
      <c r="AR888" t="s">
        <v>3096</v>
      </c>
      <c r="AS888" t="s">
        <v>78</v>
      </c>
      <c r="AX888" t="s">
        <v>79</v>
      </c>
      <c r="AY888" t="s">
        <v>74</v>
      </c>
      <c r="AZ888">
        <v>0</v>
      </c>
      <c r="BA888" t="s">
        <v>74</v>
      </c>
      <c r="BB888">
        <v>0</v>
      </c>
      <c r="BD888">
        <v>1.84548</v>
      </c>
      <c r="BE888">
        <v>0</v>
      </c>
    </row>
    <row r="889" spans="1:58" ht="12.75">
      <c r="A889" s="2" t="str">
        <f>HYPERLINK("https://ibp.a2mac1.com/costing(costing:projects/details/8191/part/5383930)","Sensor Support")</f>
        <v>Sensor Support</v>
      </c>
      <c r="B889">
        <v>5383930</v>
      </c>
      <c r="C889">
        <v>5383668</v>
      </c>
      <c r="E889">
        <v>0.002135868</v>
      </c>
      <c r="F889">
        <v>0</v>
      </c>
      <c r="G889">
        <v>0</v>
      </c>
      <c r="H889">
        <v>1.083457852631579E-05</v>
      </c>
      <c r="I889" t="s">
        <v>137</v>
      </c>
      <c r="J889">
        <v>7.4942736842105264E-05</v>
      </c>
      <c r="K889">
        <v>0.002221645315368421</v>
      </c>
      <c r="L889">
        <v>0.00046212847462690231</v>
      </c>
      <c r="M889">
        <v>0.0027727708477614139</v>
      </c>
      <c r="N889">
        <v>0.0049944161631298349</v>
      </c>
      <c r="O889" t="s">
        <v>138</v>
      </c>
      <c r="P889">
        <v>0.00013329871892210526</v>
      </c>
      <c r="Q889" t="s">
        <v>138</v>
      </c>
      <c r="R889">
        <v>0.00016636625086568482</v>
      </c>
      <c r="S889" t="s">
        <v>139</v>
      </c>
      <c r="T889">
        <v>0.00059932993957558022</v>
      </c>
      <c r="U889" t="s">
        <v>90</v>
      </c>
      <c r="V889">
        <v>0</v>
      </c>
      <c r="W889" t="s">
        <v>90</v>
      </c>
      <c r="X889">
        <v>0</v>
      </c>
      <c r="Y889">
        <v>0.0058934110724932053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24</v>
      </c>
      <c r="AF889">
        <v>20</v>
      </c>
      <c r="AG889">
        <v>11</v>
      </c>
      <c r="AI889">
        <v>0.001</v>
      </c>
      <c r="AK889" t="s">
        <v>501</v>
      </c>
      <c r="AL889" t="s">
        <v>1721</v>
      </c>
      <c r="AM889">
        <v>200000</v>
      </c>
      <c r="AN889" t="s">
        <v>76</v>
      </c>
      <c r="AO889">
        <v>1</v>
      </c>
      <c r="AP889">
        <v>0</v>
      </c>
      <c r="AQ889">
        <v>16666.666666666668</v>
      </c>
      <c r="AR889" t="s">
        <v>3100</v>
      </c>
      <c r="AS889" t="s">
        <v>78</v>
      </c>
      <c r="AX889" t="s">
        <v>79</v>
      </c>
      <c r="AY889" t="s">
        <v>137</v>
      </c>
      <c r="AZ889">
        <v>0</v>
      </c>
      <c r="BA889" t="s">
        <v>137</v>
      </c>
      <c r="BB889">
        <v>0</v>
      </c>
      <c r="BE889">
        <v>0</v>
      </c>
    </row>
    <row r="890" spans="1:58" ht="12.75">
      <c r="A890" s="2" t="str">
        <f>HYPERLINK("https://ibp.a2mac1.com/costing(costing:projects/details/8191/part/5383931)","Occupant Detection Module")</f>
        <v>Occupant Detection Module</v>
      </c>
      <c r="B890">
        <v>5383931</v>
      </c>
      <c r="C890">
        <v>5383668</v>
      </c>
      <c r="E890">
        <v>1.66093</v>
      </c>
      <c r="F890">
        <v>0</v>
      </c>
      <c r="G890">
        <v>0</v>
      </c>
      <c r="H890">
        <v>0</v>
      </c>
      <c r="I890" t="s">
        <v>74</v>
      </c>
      <c r="J890">
        <v>0</v>
      </c>
      <c r="K890">
        <v>1.66093</v>
      </c>
      <c r="L890">
        <v>0</v>
      </c>
      <c r="M890">
        <v>0</v>
      </c>
      <c r="N890">
        <v>1.66093</v>
      </c>
      <c r="O890" t="s">
        <v>74</v>
      </c>
      <c r="P890">
        <v>0</v>
      </c>
      <c r="Q890" t="s">
        <v>74</v>
      </c>
      <c r="R890">
        <v>0</v>
      </c>
      <c r="S890" t="s">
        <v>74</v>
      </c>
      <c r="T890">
        <v>0</v>
      </c>
      <c r="U890" t="s">
        <v>74</v>
      </c>
      <c r="V890">
        <v>0</v>
      </c>
      <c r="W890" t="s">
        <v>74</v>
      </c>
      <c r="X890">
        <v>0</v>
      </c>
      <c r="Y890">
        <v>1.66093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31</v>
      </c>
      <c r="AF890">
        <v>115</v>
      </c>
      <c r="AG890">
        <v>81</v>
      </c>
      <c r="AI890">
        <v>0.13</v>
      </c>
      <c r="AJ890" t="s">
        <v>685</v>
      </c>
      <c r="AK890" t="s">
        <v>501</v>
      </c>
      <c r="AL890" t="s">
        <v>1309</v>
      </c>
      <c r="AM890">
        <v>200000</v>
      </c>
      <c r="AN890" t="s">
        <v>76</v>
      </c>
      <c r="AO890">
        <v>1</v>
      </c>
      <c r="AP890">
        <v>0</v>
      </c>
      <c r="AQ890">
        <v>16666.666666666668</v>
      </c>
      <c r="AR890" t="s">
        <v>3101</v>
      </c>
      <c r="AS890" t="s">
        <v>78</v>
      </c>
      <c r="AX890" t="s">
        <v>79</v>
      </c>
      <c r="AY890" t="s">
        <v>74</v>
      </c>
      <c r="AZ890">
        <v>0</v>
      </c>
      <c r="BA890" t="s">
        <v>74</v>
      </c>
      <c r="BB890">
        <v>0</v>
      </c>
      <c r="BD890">
        <v>1.66093</v>
      </c>
      <c r="BE890">
        <v>0</v>
      </c>
    </row>
    <row r="891" spans="1:58" ht="12.75">
      <c r="A891" s="2" t="str">
        <f>HYPERLINK("https://ibp.a2mac1.com/costing(costing:projects/details/8191/part/5383932)","Detection of Position System Module Support")</f>
        <v>Detection of Position System Module Support</v>
      </c>
      <c r="B891">
        <v>5383932</v>
      </c>
      <c r="C891">
        <v>5383668</v>
      </c>
      <c r="E891">
        <v>0.039823013999999997</v>
      </c>
      <c r="F891">
        <v>0</v>
      </c>
      <c r="G891">
        <v>0</v>
      </c>
      <c r="H891">
        <v>0.00020200947452631579</v>
      </c>
      <c r="I891" t="s">
        <v>137</v>
      </c>
      <c r="J891">
        <v>0.0013972987368421053</v>
      </c>
      <c r="K891">
        <v>0.04142232221136842</v>
      </c>
      <c r="L891">
        <v>0.0027148757237045467</v>
      </c>
      <c r="M891">
        <v>0.016289254342227281</v>
      </c>
      <c r="N891">
        <v>0.057711576553595705</v>
      </c>
      <c r="O891" t="s">
        <v>138</v>
      </c>
      <c r="P891">
        <v>0.0024853393326821054</v>
      </c>
      <c r="Q891" t="s">
        <v>138</v>
      </c>
      <c r="R891">
        <v>0.00097735526053363683</v>
      </c>
      <c r="S891" t="s">
        <v>139</v>
      </c>
      <c r="T891">
        <v>0.0069253891864314845</v>
      </c>
      <c r="U891" t="s">
        <v>90</v>
      </c>
      <c r="V891">
        <v>0</v>
      </c>
      <c r="W891" t="s">
        <v>90</v>
      </c>
      <c r="X891">
        <v>0</v>
      </c>
      <c r="Y891">
        <v>0.068099660333242926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37</v>
      </c>
      <c r="AF891">
        <v>120</v>
      </c>
      <c r="AG891">
        <v>105</v>
      </c>
      <c r="AI891">
        <v>0.021999999999999999</v>
      </c>
      <c r="AJ891" t="s">
        <v>685</v>
      </c>
      <c r="AK891" t="s">
        <v>598</v>
      </c>
      <c r="AL891" t="s">
        <v>1261</v>
      </c>
      <c r="AM891">
        <v>200000</v>
      </c>
      <c r="AN891" t="s">
        <v>76</v>
      </c>
      <c r="AO891">
        <v>1</v>
      </c>
      <c r="AP891">
        <v>0</v>
      </c>
      <c r="AQ891">
        <v>16666.666666666668</v>
      </c>
      <c r="AR891" t="s">
        <v>3106</v>
      </c>
      <c r="AS891" t="s">
        <v>78</v>
      </c>
      <c r="AX891" t="s">
        <v>79</v>
      </c>
      <c r="AY891" t="s">
        <v>137</v>
      </c>
      <c r="AZ891">
        <v>0</v>
      </c>
      <c r="BA891" t="s">
        <v>137</v>
      </c>
      <c r="BB891">
        <v>0</v>
      </c>
      <c r="BE891">
        <v>0</v>
      </c>
    </row>
    <row r="892" spans="1:58" ht="12.75">
      <c r="A892" s="2" t="str">
        <f>HYPERLINK("https://ibp.a2mac1.com/costing(costing:projects/details/8191/part/5383667)","Side Airbag")</f>
        <v>Side Airbag</v>
      </c>
      <c r="B892">
        <v>5383667</v>
      </c>
      <c r="C892">
        <v>5383540</v>
      </c>
      <c r="E892">
        <v>11.90</v>
      </c>
      <c r="F892">
        <v>0</v>
      </c>
      <c r="G892">
        <v>0</v>
      </c>
      <c r="H892">
        <v>0</v>
      </c>
      <c r="I892" t="s">
        <v>74</v>
      </c>
      <c r="J892">
        <v>0</v>
      </c>
      <c r="K892">
        <v>11.90</v>
      </c>
      <c r="L892">
        <v>0</v>
      </c>
      <c r="M892">
        <v>0</v>
      </c>
      <c r="N892">
        <v>11.90</v>
      </c>
      <c r="O892" t="s">
        <v>74</v>
      </c>
      <c r="P892">
        <v>0</v>
      </c>
      <c r="Q892" t="s">
        <v>74</v>
      </c>
      <c r="R892">
        <v>0</v>
      </c>
      <c r="S892" t="s">
        <v>74</v>
      </c>
      <c r="T892">
        <v>0</v>
      </c>
      <c r="U892" t="s">
        <v>74</v>
      </c>
      <c r="V892">
        <v>0</v>
      </c>
      <c r="W892" t="s">
        <v>74</v>
      </c>
      <c r="X892">
        <v>0</v>
      </c>
      <c r="Y892">
        <v>11.90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38</v>
      </c>
      <c r="AF892">
        <v>72</v>
      </c>
      <c r="AG892">
        <v>264</v>
      </c>
      <c r="AI892">
        <v>0.28199999999999997</v>
      </c>
      <c r="AJ892" t="s">
        <v>2874</v>
      </c>
      <c r="AK892" t="s">
        <v>661</v>
      </c>
      <c r="AL892" t="s">
        <v>3108</v>
      </c>
      <c r="AM892">
        <v>200000</v>
      </c>
      <c r="AN892" t="s">
        <v>76</v>
      </c>
      <c r="AO892">
        <v>1</v>
      </c>
      <c r="AP892">
        <v>0</v>
      </c>
      <c r="AQ892">
        <v>16666.666666666668</v>
      </c>
      <c r="AR892" t="s">
        <v>3109</v>
      </c>
      <c r="AS892" t="s">
        <v>78</v>
      </c>
      <c r="AX892" t="s">
        <v>79</v>
      </c>
      <c r="AY892" t="s">
        <v>74</v>
      </c>
      <c r="AZ892">
        <v>0</v>
      </c>
      <c r="BA892" t="s">
        <v>74</v>
      </c>
      <c r="BB892">
        <v>0</v>
      </c>
      <c r="BD892">
        <v>11.90</v>
      </c>
      <c r="BE892">
        <v>0</v>
      </c>
    </row>
    <row r="893" spans="1:58" ht="12.75">
      <c r="A893" s="2" t="str">
        <f>HYPERLINK("https://ibp.a2mac1.com/costing(costing:projects/details/8191/part/5383669)","Airbag Support")</f>
        <v>Airbag Support</v>
      </c>
      <c r="B893">
        <v>5383669</v>
      </c>
      <c r="C893">
        <v>5383540</v>
      </c>
      <c r="E893">
        <v>0.066696223999999998</v>
      </c>
      <c r="F893">
        <v>0.05</v>
      </c>
      <c r="G893">
        <v>0</v>
      </c>
      <c r="H893">
        <v>1.6885119999999999E-06</v>
      </c>
      <c r="I893" t="s">
        <v>137</v>
      </c>
      <c r="J893">
        <v>0.0029548959999999998</v>
      </c>
      <c r="K893">
        <v>0.121402808512</v>
      </c>
      <c r="L893">
        <v>0.026621704491934038</v>
      </c>
      <c r="M893">
        <v>0.15973022695160424</v>
      </c>
      <c r="N893">
        <v>0.28113303546360424</v>
      </c>
      <c r="O893" t="s">
        <v>138</v>
      </c>
      <c r="P893">
        <v>0.0072841685107199999</v>
      </c>
      <c r="Q893" t="s">
        <v>138</v>
      </c>
      <c r="R893">
        <v>0.0095838136170962544</v>
      </c>
      <c r="S893" t="s">
        <v>139</v>
      </c>
      <c r="T893">
        <v>0.033735964255632508</v>
      </c>
      <c r="U893" t="s">
        <v>90</v>
      </c>
      <c r="V893">
        <v>0</v>
      </c>
      <c r="W893" t="s">
        <v>90</v>
      </c>
      <c r="X893">
        <v>0</v>
      </c>
      <c r="Y893">
        <v>0.33173698184705303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40</v>
      </c>
      <c r="AF893">
        <v>34</v>
      </c>
      <c r="AG893">
        <v>200</v>
      </c>
      <c r="AI893">
        <v>0.048000000000000001</v>
      </c>
      <c r="AK893" t="s">
        <v>501</v>
      </c>
      <c r="AL893" t="s">
        <v>2853</v>
      </c>
      <c r="AM893">
        <v>200000</v>
      </c>
      <c r="AN893" t="s">
        <v>76</v>
      </c>
      <c r="AO893">
        <v>1</v>
      </c>
      <c r="AP893">
        <v>0</v>
      </c>
      <c r="AQ893">
        <v>16666.666666666668</v>
      </c>
      <c r="AR893" t="s">
        <v>3114</v>
      </c>
      <c r="AS893" t="s">
        <v>78</v>
      </c>
      <c r="AX893" t="s">
        <v>79</v>
      </c>
      <c r="AY893" t="s">
        <v>137</v>
      </c>
      <c r="AZ893">
        <v>0.00175</v>
      </c>
      <c r="BA893" t="s">
        <v>137</v>
      </c>
      <c r="BB893">
        <v>0</v>
      </c>
      <c r="BE893">
        <v>0</v>
      </c>
    </row>
    <row r="894" spans="1:58" ht="12.75">
      <c r="A894" s="2" t="str">
        <f>HYPERLINK("https://ibp.a2mac1.com/costing(costing:projects/details/8191/part/5384064)","Inner Side")</f>
        <v>Inner Side</v>
      </c>
      <c r="B894">
        <v>5384064</v>
      </c>
      <c r="C894">
        <v>5383938</v>
      </c>
      <c r="E894">
        <v>1.1434919859999999</v>
      </c>
      <c r="F894">
        <v>0</v>
      </c>
      <c r="G894">
        <v>0</v>
      </c>
      <c r="H894">
        <v>0.0063583180759999997</v>
      </c>
      <c r="I894" t="s">
        <v>137</v>
      </c>
      <c r="J894">
        <v>0.043980460999999998</v>
      </c>
      <c r="K894">
        <v>1.1938307650760001</v>
      </c>
      <c r="L894">
        <v>0.69206888468921912</v>
      </c>
      <c r="M894">
        <v>4.1524133081353147</v>
      </c>
      <c r="N894">
        <v>5.3462440732113148</v>
      </c>
      <c r="O894" t="s">
        <v>90</v>
      </c>
      <c r="P894">
        <v>0</v>
      </c>
      <c r="Q894" t="s">
        <v>90</v>
      </c>
      <c r="R894">
        <v>0</v>
      </c>
      <c r="S894" t="s">
        <v>90</v>
      </c>
      <c r="T894">
        <v>0</v>
      </c>
      <c r="U894" t="s">
        <v>90</v>
      </c>
      <c r="V894">
        <v>0</v>
      </c>
      <c r="W894" t="s">
        <v>90</v>
      </c>
      <c r="X894">
        <v>0</v>
      </c>
      <c r="Y894">
        <v>5.3462440732113148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483</v>
      </c>
      <c r="AF894">
        <v>63</v>
      </c>
      <c r="AG894">
        <v>100</v>
      </c>
      <c r="AI894">
        <v>1.679</v>
      </c>
      <c r="AK894" t="s">
        <v>501</v>
      </c>
      <c r="AL894" t="s">
        <v>720</v>
      </c>
      <c r="AM894">
        <v>200000</v>
      </c>
      <c r="AN894" t="s">
        <v>92</v>
      </c>
      <c r="AO894">
        <v>1</v>
      </c>
      <c r="AP894">
        <v>0</v>
      </c>
      <c r="AQ894">
        <v>16666.666666666668</v>
      </c>
      <c r="AR894" t="s">
        <v>3121</v>
      </c>
      <c r="AS894" t="s">
        <v>78</v>
      </c>
      <c r="AX894" t="s">
        <v>79</v>
      </c>
      <c r="AY894" t="s">
        <v>137</v>
      </c>
      <c r="AZ894">
        <v>0</v>
      </c>
      <c r="BA894" t="s">
        <v>137</v>
      </c>
      <c r="BB894">
        <v>0</v>
      </c>
      <c r="BE894">
        <v>0</v>
      </c>
    </row>
    <row r="895" spans="1:58" ht="12.75">
      <c r="A895" s="2" t="str">
        <f>HYPERLINK("https://ibp.a2mac1.com/costing(costing:projects/details/8191/part/5384065)","Outer Side")</f>
        <v>Outer Side</v>
      </c>
      <c r="B895">
        <v>5384065</v>
      </c>
      <c r="C895">
        <v>5383938</v>
      </c>
      <c r="E895">
        <v>1.0666646900000001</v>
      </c>
      <c r="F895">
        <v>0</v>
      </c>
      <c r="G895">
        <v>0</v>
      </c>
      <c r="H895">
        <v>0.0059311245399999999</v>
      </c>
      <c r="I895" t="s">
        <v>137</v>
      </c>
      <c r="J895">
        <v>0.041025565</v>
      </c>
      <c r="K895">
        <v>1.1136213795400001</v>
      </c>
      <c r="L895">
        <v>0.69206888468921912</v>
      </c>
      <c r="M895">
        <v>4.1524133081353147</v>
      </c>
      <c r="N895">
        <v>5.2660346876753144</v>
      </c>
      <c r="O895" t="s">
        <v>90</v>
      </c>
      <c r="P895">
        <v>0</v>
      </c>
      <c r="Q895" t="s">
        <v>90</v>
      </c>
      <c r="R895">
        <v>0</v>
      </c>
      <c r="S895" t="s">
        <v>90</v>
      </c>
      <c r="T895">
        <v>0</v>
      </c>
      <c r="U895" t="s">
        <v>90</v>
      </c>
      <c r="V895">
        <v>0</v>
      </c>
      <c r="W895" t="s">
        <v>90</v>
      </c>
      <c r="X895">
        <v>0</v>
      </c>
      <c r="Y895">
        <v>5.2660346876753144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477</v>
      </c>
      <c r="AF895">
        <v>49</v>
      </c>
      <c r="AG895">
        <v>55</v>
      </c>
      <c r="AI895">
        <v>1.552</v>
      </c>
      <c r="AJ895" t="s">
        <v>685</v>
      </c>
      <c r="AK895" t="s">
        <v>501</v>
      </c>
      <c r="AL895" t="s">
        <v>720</v>
      </c>
      <c r="AM895">
        <v>200000</v>
      </c>
      <c r="AN895" t="s">
        <v>92</v>
      </c>
      <c r="AO895">
        <v>1</v>
      </c>
      <c r="AP895">
        <v>0</v>
      </c>
      <c r="AQ895">
        <v>16666.666666666668</v>
      </c>
      <c r="AR895" t="s">
        <v>3124</v>
      </c>
      <c r="AS895" t="s">
        <v>78</v>
      </c>
      <c r="AX895" t="s">
        <v>79</v>
      </c>
      <c r="AY895" t="s">
        <v>137</v>
      </c>
      <c r="AZ895">
        <v>0</v>
      </c>
      <c r="BA895" t="s">
        <v>137</v>
      </c>
      <c r="BB895">
        <v>0</v>
      </c>
      <c r="BE895">
        <v>0</v>
      </c>
    </row>
    <row r="896" spans="1:58" ht="12.75">
      <c r="A896" s="2" t="str">
        <f>HYPERLINK("https://ibp.a2mac1.com/costing(costing:projects/details/8191/part/5383933)","Motor")</f>
        <v>Motor</v>
      </c>
      <c r="B896">
        <v>5383933</v>
      </c>
      <c r="C896">
        <v>5383674</v>
      </c>
      <c r="E896">
        <v>3.2941799999999999</v>
      </c>
      <c r="F896">
        <v>0</v>
      </c>
      <c r="G896">
        <v>0</v>
      </c>
      <c r="H896">
        <v>0</v>
      </c>
      <c r="I896" t="s">
        <v>74</v>
      </c>
      <c r="J896">
        <v>0</v>
      </c>
      <c r="K896">
        <v>3.2941799999999999</v>
      </c>
      <c r="L896">
        <v>0</v>
      </c>
      <c r="M896">
        <v>0</v>
      </c>
      <c r="N896">
        <v>3.2941799999999999</v>
      </c>
      <c r="O896" t="s">
        <v>74</v>
      </c>
      <c r="P896">
        <v>0</v>
      </c>
      <c r="Q896" t="s">
        <v>74</v>
      </c>
      <c r="R896">
        <v>0</v>
      </c>
      <c r="S896" t="s">
        <v>74</v>
      </c>
      <c r="T896">
        <v>0</v>
      </c>
      <c r="U896" t="s">
        <v>74</v>
      </c>
      <c r="V896">
        <v>0</v>
      </c>
      <c r="W896" t="s">
        <v>74</v>
      </c>
      <c r="X896">
        <v>0</v>
      </c>
      <c r="Y896">
        <v>3.2941799999999999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51</v>
      </c>
      <c r="AF896">
        <v>97</v>
      </c>
      <c r="AG896">
        <v>35</v>
      </c>
      <c r="AI896">
        <v>0.27900000000000003</v>
      </c>
      <c r="AJ896" t="s">
        <v>1342</v>
      </c>
      <c r="AK896" t="s">
        <v>686</v>
      </c>
      <c r="AL896" t="s">
        <v>3126</v>
      </c>
      <c r="AM896">
        <v>200000</v>
      </c>
      <c r="AN896" t="s">
        <v>76</v>
      </c>
      <c r="AO896">
        <v>1</v>
      </c>
      <c r="AP896">
        <v>0</v>
      </c>
      <c r="AQ896">
        <v>16666.666666666668</v>
      </c>
      <c r="AR896" t="s">
        <v>3127</v>
      </c>
      <c r="AS896" t="s">
        <v>78</v>
      </c>
      <c r="AX896" t="s">
        <v>79</v>
      </c>
      <c r="AY896" t="s">
        <v>74</v>
      </c>
      <c r="AZ896">
        <v>0</v>
      </c>
      <c r="BA896" t="s">
        <v>74</v>
      </c>
      <c r="BB896">
        <v>0</v>
      </c>
      <c r="BD896">
        <v>3.2941799999999999</v>
      </c>
      <c r="BE896">
        <v>0</v>
      </c>
    </row>
    <row r="897" spans="1:58" ht="12.75">
      <c r="A897" s="2" t="str">
        <f>HYPERLINK("https://ibp.a2mac1.com/costing(costing:projects/details/8191/part/5383934)","Mount Bracket")</f>
        <v>Mount Bracket</v>
      </c>
      <c r="B897">
        <v>5383934</v>
      </c>
      <c r="C897">
        <v>5383674</v>
      </c>
      <c r="E897">
        <v>0.207845274</v>
      </c>
      <c r="F897">
        <v>0</v>
      </c>
      <c r="G897">
        <v>0</v>
      </c>
      <c r="H897">
        <v>0.0011557110839999999</v>
      </c>
      <c r="I897" t="s">
        <v>137</v>
      </c>
      <c r="J897">
        <v>0.0079940489999999996</v>
      </c>
      <c r="K897">
        <v>0.216995034084</v>
      </c>
      <c r="L897">
        <v>0.069749493478075533</v>
      </c>
      <c r="M897">
        <v>0.41849696086845323</v>
      </c>
      <c r="N897">
        <v>0.63549199495245323</v>
      </c>
      <c r="O897" t="s">
        <v>90</v>
      </c>
      <c r="P897">
        <v>0</v>
      </c>
      <c r="Q897" t="s">
        <v>90</v>
      </c>
      <c r="R897">
        <v>0</v>
      </c>
      <c r="S897" t="s">
        <v>90</v>
      </c>
      <c r="T897">
        <v>0</v>
      </c>
      <c r="U897" t="s">
        <v>90</v>
      </c>
      <c r="V897">
        <v>0</v>
      </c>
      <c r="W897" t="s">
        <v>90</v>
      </c>
      <c r="X897">
        <v>0</v>
      </c>
      <c r="Y897">
        <v>0.63549199495245323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88</v>
      </c>
      <c r="AF897">
        <v>500</v>
      </c>
      <c r="AG897">
        <v>39</v>
      </c>
      <c r="AI897">
        <v>0.30399999999999999</v>
      </c>
      <c r="AK897" t="s">
        <v>501</v>
      </c>
      <c r="AL897" t="s">
        <v>720</v>
      </c>
      <c r="AM897">
        <v>200000</v>
      </c>
      <c r="AN897" t="s">
        <v>92</v>
      </c>
      <c r="AO897">
        <v>1</v>
      </c>
      <c r="AP897">
        <v>0</v>
      </c>
      <c r="AQ897">
        <v>16666.666666666668</v>
      </c>
      <c r="AR897" t="s">
        <v>3130</v>
      </c>
      <c r="AS897" t="s">
        <v>78</v>
      </c>
      <c r="AX897" t="s">
        <v>79</v>
      </c>
      <c r="AY897" t="s">
        <v>137</v>
      </c>
      <c r="AZ897">
        <v>0</v>
      </c>
      <c r="BA897" t="s">
        <v>137</v>
      </c>
      <c r="BB897">
        <v>0</v>
      </c>
      <c r="BE897">
        <v>0</v>
      </c>
    </row>
    <row r="898" spans="1:58" ht="12.75">
      <c r="A898" s="2" t="str">
        <f>HYPERLINK("https://ibp.a2mac1.com/costing(costing:projects/details/8191/part/5383935)","Crosstalk Shaft Inner")</f>
        <v>Crosstalk Shaft Inner</v>
      </c>
      <c r="B898">
        <v>5383935</v>
      </c>
      <c r="C898">
        <v>5383674</v>
      </c>
      <c r="E898">
        <v>0.0033180842105263158</v>
      </c>
      <c r="F898">
        <v>0</v>
      </c>
      <c r="G898">
        <v>0</v>
      </c>
      <c r="H898">
        <v>1.6789506105263158E-05</v>
      </c>
      <c r="I898" t="s">
        <v>137</v>
      </c>
      <c r="J898">
        <v>0.00011613294736842105</v>
      </c>
      <c r="K898">
        <v>0.0034510066639999999</v>
      </c>
      <c r="L898">
        <v>9.2835151385610077E-05</v>
      </c>
      <c r="M898">
        <v>0.00055701090831366043</v>
      </c>
      <c r="N898">
        <v>0.0040080175723136609</v>
      </c>
      <c r="O898" t="s">
        <v>90</v>
      </c>
      <c r="P898">
        <v>0</v>
      </c>
      <c r="Q898" t="s">
        <v>90</v>
      </c>
      <c r="R898">
        <v>0</v>
      </c>
      <c r="S898" t="s">
        <v>90</v>
      </c>
      <c r="T898">
        <v>0</v>
      </c>
      <c r="U898" t="s">
        <v>90</v>
      </c>
      <c r="V898">
        <v>0</v>
      </c>
      <c r="W898" t="s">
        <v>90</v>
      </c>
      <c r="X898">
        <v>0</v>
      </c>
      <c r="Y898">
        <v>0.0040080175723136609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3</v>
      </c>
      <c r="AF898">
        <v>73</v>
      </c>
      <c r="AG898">
        <v>3</v>
      </c>
      <c r="AI898">
        <v>0.0040000000000000001</v>
      </c>
      <c r="AK898" t="s">
        <v>501</v>
      </c>
      <c r="AL898" t="s">
        <v>754</v>
      </c>
      <c r="AM898">
        <v>200000</v>
      </c>
      <c r="AN898" t="s">
        <v>92</v>
      </c>
      <c r="AO898">
        <v>1</v>
      </c>
      <c r="AP898">
        <v>0</v>
      </c>
      <c r="AQ898">
        <v>16666.666666666668</v>
      </c>
      <c r="AR898" t="s">
        <v>3135</v>
      </c>
      <c r="AS898" t="s">
        <v>78</v>
      </c>
      <c r="AX898" t="s">
        <v>79</v>
      </c>
      <c r="AY898" t="s">
        <v>137</v>
      </c>
      <c r="AZ898">
        <v>0</v>
      </c>
      <c r="BA898" t="s">
        <v>137</v>
      </c>
      <c r="BB898">
        <v>0</v>
      </c>
      <c r="BE898">
        <v>0</v>
      </c>
    </row>
    <row r="899" spans="1:58" ht="12.75">
      <c r="A899" s="2" t="str">
        <f>HYPERLINK("https://ibp.a2mac1.com/costing(costing:projects/details/8191/part/5383936)","Crosstalk Shaft Outer")</f>
        <v>Crosstalk Shaft Outer</v>
      </c>
      <c r="B899">
        <v>5383936</v>
      </c>
      <c r="C899">
        <v>5383674</v>
      </c>
      <c r="E899">
        <v>0.018249463157894736</v>
      </c>
      <c r="F899">
        <v>0</v>
      </c>
      <c r="G899">
        <v>0</v>
      </c>
      <c r="H899">
        <v>9.234228357894737E-05</v>
      </c>
      <c r="I899" t="s">
        <v>137</v>
      </c>
      <c r="J899">
        <v>0.0006387312105263158</v>
      </c>
      <c r="K899">
        <v>0.018980536651999998</v>
      </c>
      <c r="L899">
        <v>0.00051060493928297736</v>
      </c>
      <c r="M899">
        <v>0.0030636296356978637</v>
      </c>
      <c r="N899">
        <v>0.022044166287697863</v>
      </c>
      <c r="O899" t="s">
        <v>90</v>
      </c>
      <c r="P899">
        <v>0</v>
      </c>
      <c r="Q899" t="s">
        <v>90</v>
      </c>
      <c r="R899">
        <v>0</v>
      </c>
      <c r="S899" t="s">
        <v>90</v>
      </c>
      <c r="T899">
        <v>0</v>
      </c>
      <c r="U899" t="s">
        <v>90</v>
      </c>
      <c r="V899">
        <v>0</v>
      </c>
      <c r="W899" t="s">
        <v>90</v>
      </c>
      <c r="X899">
        <v>0</v>
      </c>
      <c r="Y899">
        <v>0.022044166287697863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5</v>
      </c>
      <c r="AF899">
        <v>350</v>
      </c>
      <c r="AG899">
        <v>5</v>
      </c>
      <c r="AI899">
        <v>0.021999999999999999</v>
      </c>
      <c r="AK899" t="s">
        <v>501</v>
      </c>
      <c r="AL899" t="s">
        <v>754</v>
      </c>
      <c r="AM899">
        <v>200000</v>
      </c>
      <c r="AN899" t="s">
        <v>92</v>
      </c>
      <c r="AO899">
        <v>1</v>
      </c>
      <c r="AP899">
        <v>0</v>
      </c>
      <c r="AQ899">
        <v>16666.666666666668</v>
      </c>
      <c r="AR899" t="s">
        <v>3140</v>
      </c>
      <c r="AS899" t="s">
        <v>78</v>
      </c>
      <c r="AX899" t="s">
        <v>79</v>
      </c>
      <c r="AY899" t="s">
        <v>137</v>
      </c>
      <c r="AZ899">
        <v>0</v>
      </c>
      <c r="BA899" t="s">
        <v>137</v>
      </c>
      <c r="BB899">
        <v>0</v>
      </c>
      <c r="BE899">
        <v>0</v>
      </c>
    </row>
    <row r="900" spans="1:58" ht="12.75">
      <c r="A900" s="2" t="str">
        <f>HYPERLINK("https://ibp.a2mac1.com/costing(costing:projects/details/8191/part/5383937)","Crosstalk Shaft Cover")</f>
        <v>Crosstalk Shaft Cover</v>
      </c>
      <c r="B900">
        <v>5383937</v>
      </c>
      <c r="C900">
        <v>5383674</v>
      </c>
      <c r="E900">
        <v>0.15829797900000001</v>
      </c>
      <c r="F900">
        <v>0</v>
      </c>
      <c r="G900">
        <v>0</v>
      </c>
      <c r="H900">
        <v>0.00080299526189473683</v>
      </c>
      <c r="I900" t="s">
        <v>137</v>
      </c>
      <c r="J900">
        <v>0.0055543150526315786</v>
      </c>
      <c r="K900">
        <v>0.1646552893145263</v>
      </c>
      <c r="L900">
        <v>0.0032962222281056738</v>
      </c>
      <c r="M900">
        <v>0.019777333368634041</v>
      </c>
      <c r="N900">
        <v>0.18443262268316035</v>
      </c>
      <c r="O900" t="s">
        <v>90</v>
      </c>
      <c r="P900">
        <v>0</v>
      </c>
      <c r="Q900" t="s">
        <v>90</v>
      </c>
      <c r="R900">
        <v>0</v>
      </c>
      <c r="S900" t="s">
        <v>90</v>
      </c>
      <c r="T900">
        <v>0</v>
      </c>
      <c r="U900" t="s">
        <v>90</v>
      </c>
      <c r="V900">
        <v>0</v>
      </c>
      <c r="W900" t="s">
        <v>90</v>
      </c>
      <c r="X900">
        <v>0</v>
      </c>
      <c r="Y900">
        <v>0.18443262268316035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44</v>
      </c>
      <c r="AF900">
        <v>323</v>
      </c>
      <c r="AG900">
        <v>28</v>
      </c>
      <c r="AI900">
        <v>0.070999999999999994</v>
      </c>
      <c r="AJ900" t="s">
        <v>2898</v>
      </c>
      <c r="AK900" t="s">
        <v>501</v>
      </c>
      <c r="AL900" t="s">
        <v>1332</v>
      </c>
      <c r="AM900">
        <v>200000</v>
      </c>
      <c r="AN900" t="s">
        <v>92</v>
      </c>
      <c r="AO900">
        <v>1</v>
      </c>
      <c r="AP900">
        <v>0</v>
      </c>
      <c r="AQ900">
        <v>16666.666666666668</v>
      </c>
      <c r="AR900" t="s">
        <v>3145</v>
      </c>
      <c r="AS900" t="s">
        <v>78</v>
      </c>
      <c r="AX900" t="s">
        <v>79</v>
      </c>
      <c r="AY900" t="s">
        <v>137</v>
      </c>
      <c r="AZ900">
        <v>0</v>
      </c>
      <c r="BA900" t="s">
        <v>137</v>
      </c>
      <c r="BB900">
        <v>0</v>
      </c>
      <c r="BE900">
        <v>0</v>
      </c>
    </row>
    <row r="901" spans="1:58" ht="12.75">
      <c r="A901" s="2" t="str">
        <f>HYPERLINK("https://ibp.a2mac1.com/costing(costing:projects/details/8191/part/5384066)","Motor")</f>
        <v>Motor</v>
      </c>
      <c r="B901">
        <v>5384066</v>
      </c>
      <c r="C901">
        <v>5383940</v>
      </c>
      <c r="E901">
        <v>7.50</v>
      </c>
      <c r="F901">
        <v>0</v>
      </c>
      <c r="G901">
        <v>0</v>
      </c>
      <c r="H901">
        <v>0</v>
      </c>
      <c r="I901" t="s">
        <v>74</v>
      </c>
      <c r="J901">
        <v>0</v>
      </c>
      <c r="K901">
        <v>7.50</v>
      </c>
      <c r="L901">
        <v>0</v>
      </c>
      <c r="M901">
        <v>0</v>
      </c>
      <c r="N901">
        <v>7.50</v>
      </c>
      <c r="O901" t="s">
        <v>74</v>
      </c>
      <c r="P901">
        <v>0</v>
      </c>
      <c r="Q901" t="s">
        <v>74</v>
      </c>
      <c r="R901">
        <v>0</v>
      </c>
      <c r="S901" t="s">
        <v>74</v>
      </c>
      <c r="T901">
        <v>0</v>
      </c>
      <c r="U901" t="s">
        <v>74</v>
      </c>
      <c r="V901">
        <v>0</v>
      </c>
      <c r="W901" t="s">
        <v>74</v>
      </c>
      <c r="X901">
        <v>0</v>
      </c>
      <c r="Y901">
        <v>7.50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126</v>
      </c>
      <c r="AF901">
        <v>145</v>
      </c>
      <c r="AG901">
        <v>46</v>
      </c>
      <c r="AI901">
        <v>0.58399999999999996</v>
      </c>
      <c r="AJ901" t="s">
        <v>2898</v>
      </c>
      <c r="AK901" t="s">
        <v>727</v>
      </c>
      <c r="AL901" t="s">
        <v>3149</v>
      </c>
      <c r="AM901">
        <v>200000</v>
      </c>
      <c r="AN901" t="s">
        <v>76</v>
      </c>
      <c r="AO901">
        <v>1</v>
      </c>
      <c r="AP901">
        <v>0</v>
      </c>
      <c r="AQ901">
        <v>16666.666666666668</v>
      </c>
      <c r="AR901" t="s">
        <v>3150</v>
      </c>
      <c r="AS901" t="s">
        <v>78</v>
      </c>
      <c r="AX901" t="s">
        <v>79</v>
      </c>
      <c r="AY901" t="s">
        <v>74</v>
      </c>
      <c r="AZ901">
        <v>0</v>
      </c>
      <c r="BA901" t="s">
        <v>74</v>
      </c>
      <c r="BB901">
        <v>0</v>
      </c>
      <c r="BD901">
        <v>7.50</v>
      </c>
      <c r="BE901">
        <v>0</v>
      </c>
    </row>
    <row r="902" spans="1:58" ht="12.75">
      <c r="A902" s="2" t="str">
        <f>HYPERLINK("https://ibp.a2mac1.com/costing(costing:projects/details/8191/part/5384067)","Motor")</f>
        <v>Motor</v>
      </c>
      <c r="B902">
        <v>5384067</v>
      </c>
      <c r="C902">
        <v>5383941</v>
      </c>
      <c r="E902">
        <v>7.50</v>
      </c>
      <c r="F902">
        <v>0</v>
      </c>
      <c r="G902">
        <v>0</v>
      </c>
      <c r="H902">
        <v>0</v>
      </c>
      <c r="I902" t="s">
        <v>74</v>
      </c>
      <c r="J902">
        <v>0</v>
      </c>
      <c r="K902">
        <v>7.50</v>
      </c>
      <c r="L902">
        <v>0</v>
      </c>
      <c r="M902">
        <v>0</v>
      </c>
      <c r="N902">
        <v>7.50</v>
      </c>
      <c r="O902" t="s">
        <v>74</v>
      </c>
      <c r="P902">
        <v>0</v>
      </c>
      <c r="Q902" t="s">
        <v>74</v>
      </c>
      <c r="R902">
        <v>0</v>
      </c>
      <c r="S902" t="s">
        <v>74</v>
      </c>
      <c r="T902">
        <v>0</v>
      </c>
      <c r="U902" t="s">
        <v>74</v>
      </c>
      <c r="V902">
        <v>0</v>
      </c>
      <c r="W902" t="s">
        <v>74</v>
      </c>
      <c r="X902">
        <v>0</v>
      </c>
      <c r="Y902">
        <v>7.50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67</v>
      </c>
      <c r="AF902">
        <v>169</v>
      </c>
      <c r="AG902">
        <v>85</v>
      </c>
      <c r="AI902">
        <v>0.66900000000000004</v>
      </c>
      <c r="AJ902" t="s">
        <v>2898</v>
      </c>
      <c r="AK902" t="s">
        <v>598</v>
      </c>
      <c r="AL902" t="s">
        <v>3153</v>
      </c>
      <c r="AM902">
        <v>200000</v>
      </c>
      <c r="AN902" t="s">
        <v>76</v>
      </c>
      <c r="AO902">
        <v>1</v>
      </c>
      <c r="AP902">
        <v>0</v>
      </c>
      <c r="AQ902">
        <v>16666.666666666668</v>
      </c>
      <c r="AR902" t="s">
        <v>3154</v>
      </c>
      <c r="AS902" t="s">
        <v>78</v>
      </c>
      <c r="AX902" t="s">
        <v>79</v>
      </c>
      <c r="AY902" t="s">
        <v>74</v>
      </c>
      <c r="AZ902">
        <v>0</v>
      </c>
      <c r="BA902" t="s">
        <v>74</v>
      </c>
      <c r="BB902">
        <v>0</v>
      </c>
      <c r="BD902">
        <v>7.50</v>
      </c>
      <c r="BE902">
        <v>0</v>
      </c>
    </row>
    <row r="903" spans="1:58" ht="12.75">
      <c r="A903" s="2" t="str">
        <f>HYPERLINK("https://ibp.a2mac1.com/costing(costing:projects/details/8191/part/5384068)","Motor Support")</f>
        <v>Motor Support</v>
      </c>
      <c r="B903">
        <v>5384068</v>
      </c>
      <c r="C903">
        <v>5383941</v>
      </c>
      <c r="E903">
        <v>0.68013620171892075</v>
      </c>
      <c r="F903">
        <v>0</v>
      </c>
      <c r="G903">
        <v>0</v>
      </c>
      <c r="H903">
        <v>0.00096662975866811086</v>
      </c>
      <c r="I903" t="s">
        <v>137</v>
      </c>
      <c r="J903">
        <v>0.032530809185946037</v>
      </c>
      <c r="K903">
        <v>0.71363364066353496</v>
      </c>
      <c r="L903">
        <v>0.045338905754029629</v>
      </c>
      <c r="M903">
        <v>0.27203343452417778</v>
      </c>
      <c r="N903">
        <v>0.98566707518771268</v>
      </c>
      <c r="O903" t="s">
        <v>90</v>
      </c>
      <c r="P903">
        <v>0</v>
      </c>
      <c r="Q903" t="s">
        <v>90</v>
      </c>
      <c r="R903">
        <v>0</v>
      </c>
      <c r="S903" t="s">
        <v>90</v>
      </c>
      <c r="T903">
        <v>0</v>
      </c>
      <c r="U903" t="s">
        <v>90</v>
      </c>
      <c r="V903">
        <v>0</v>
      </c>
      <c r="W903" t="s">
        <v>90</v>
      </c>
      <c r="X903">
        <v>0</v>
      </c>
      <c r="Y903">
        <v>0.98566707518771268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40</v>
      </c>
      <c r="AF903">
        <v>95</v>
      </c>
      <c r="AG903">
        <v>100</v>
      </c>
      <c r="AI903">
        <v>0.14099999999999999</v>
      </c>
      <c r="AK903" t="s">
        <v>501</v>
      </c>
      <c r="AL903" t="s">
        <v>720</v>
      </c>
      <c r="AM903">
        <v>200000</v>
      </c>
      <c r="AN903" t="s">
        <v>92</v>
      </c>
      <c r="AO903">
        <v>1</v>
      </c>
      <c r="AP903">
        <v>0</v>
      </c>
      <c r="AQ903">
        <v>16666.666666666668</v>
      </c>
      <c r="AR903" t="s">
        <v>3159</v>
      </c>
      <c r="AS903" t="s">
        <v>78</v>
      </c>
      <c r="AX903" t="s">
        <v>79</v>
      </c>
      <c r="AY903" t="s">
        <v>137</v>
      </c>
      <c r="AZ903">
        <v>0</v>
      </c>
      <c r="BA903" t="s">
        <v>137</v>
      </c>
      <c r="BB903">
        <v>0</v>
      </c>
      <c r="BE903">
        <v>0</v>
      </c>
    </row>
    <row r="904" spans="1:58" ht="12.75">
      <c r="A904" s="2" t="str">
        <f>HYPERLINK("https://ibp.a2mac1.com/costing(costing:projects/details/8191/part/5383939)","Return Spring")</f>
        <v>Return Spring</v>
      </c>
      <c r="B904">
        <v>5383939</v>
      </c>
      <c r="C904">
        <v>5383675</v>
      </c>
      <c r="E904">
        <v>0.50</v>
      </c>
      <c r="F904">
        <v>0</v>
      </c>
      <c r="G904">
        <v>0</v>
      </c>
      <c r="H904">
        <v>0</v>
      </c>
      <c r="I904" t="s">
        <v>74</v>
      </c>
      <c r="J904">
        <v>0</v>
      </c>
      <c r="K904">
        <v>0.50</v>
      </c>
      <c r="L904">
        <v>0</v>
      </c>
      <c r="M904">
        <v>0</v>
      </c>
      <c r="N904">
        <v>0.50</v>
      </c>
      <c r="O904" t="s">
        <v>74</v>
      </c>
      <c r="P904">
        <v>0</v>
      </c>
      <c r="Q904" t="s">
        <v>74</v>
      </c>
      <c r="R904">
        <v>0</v>
      </c>
      <c r="S904" t="s">
        <v>74</v>
      </c>
      <c r="T904">
        <v>0</v>
      </c>
      <c r="U904" t="s">
        <v>74</v>
      </c>
      <c r="V904">
        <v>0</v>
      </c>
      <c r="W904" t="s">
        <v>74</v>
      </c>
      <c r="X904">
        <v>0</v>
      </c>
      <c r="Y904">
        <v>0.50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70</v>
      </c>
      <c r="AF904">
        <v>500</v>
      </c>
      <c r="AG904">
        <v>20</v>
      </c>
      <c r="AI904">
        <v>0.185</v>
      </c>
      <c r="AK904" t="s">
        <v>501</v>
      </c>
      <c r="AL904" t="s">
        <v>720</v>
      </c>
      <c r="AM904">
        <v>200000</v>
      </c>
      <c r="AN904" t="s">
        <v>92</v>
      </c>
      <c r="AO904">
        <v>1</v>
      </c>
      <c r="AP904">
        <v>0</v>
      </c>
      <c r="AQ904">
        <v>16666.666666666668</v>
      </c>
      <c r="AR904" t="s">
        <v>3161</v>
      </c>
      <c r="AS904" t="s">
        <v>78</v>
      </c>
      <c r="AX904" t="s">
        <v>79</v>
      </c>
      <c r="AY904" t="s">
        <v>74</v>
      </c>
      <c r="AZ904">
        <v>0</v>
      </c>
      <c r="BA904" t="s">
        <v>74</v>
      </c>
      <c r="BB904">
        <v>0</v>
      </c>
      <c r="BD904">
        <v>0.50</v>
      </c>
      <c r="BE904">
        <v>0</v>
      </c>
    </row>
    <row r="905" spans="1:58" ht="12.75">
      <c r="A905" s="2" t="str">
        <f>HYPERLINK("https://ibp.a2mac1.com/costing(costing:projects/details/8191/part/5384069)","Linking Bar")</f>
        <v>Linking Bar</v>
      </c>
      <c r="B905">
        <v>5384069</v>
      </c>
      <c r="C905">
        <v>5383943</v>
      </c>
      <c r="E905">
        <v>0.48</v>
      </c>
      <c r="F905">
        <v>0</v>
      </c>
      <c r="G905">
        <v>0</v>
      </c>
      <c r="H905">
        <v>0</v>
      </c>
      <c r="I905" t="s">
        <v>74</v>
      </c>
      <c r="J905">
        <v>0</v>
      </c>
      <c r="K905">
        <v>0.48</v>
      </c>
      <c r="L905">
        <v>0</v>
      </c>
      <c r="M905">
        <v>0</v>
      </c>
      <c r="N905">
        <v>0.48</v>
      </c>
      <c r="O905" t="s">
        <v>74</v>
      </c>
      <c r="P905">
        <v>0</v>
      </c>
      <c r="Q905" t="s">
        <v>74</v>
      </c>
      <c r="R905">
        <v>0</v>
      </c>
      <c r="S905" t="s">
        <v>74</v>
      </c>
      <c r="T905">
        <v>0</v>
      </c>
      <c r="U905" t="s">
        <v>74</v>
      </c>
      <c r="V905">
        <v>0</v>
      </c>
      <c r="W905" t="s">
        <v>74</v>
      </c>
      <c r="X905">
        <v>0</v>
      </c>
      <c r="Y905">
        <v>0.48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12</v>
      </c>
      <c r="AF905">
        <v>472</v>
      </c>
      <c r="AG905">
        <v>12</v>
      </c>
      <c r="AI905">
        <v>0.10100000000000001</v>
      </c>
      <c r="AK905" t="s">
        <v>501</v>
      </c>
      <c r="AL905" t="s">
        <v>720</v>
      </c>
      <c r="AM905">
        <v>200000</v>
      </c>
      <c r="AN905" t="s">
        <v>92</v>
      </c>
      <c r="AO905">
        <v>1</v>
      </c>
      <c r="AP905">
        <v>0</v>
      </c>
      <c r="AQ905">
        <v>16666.666666666668</v>
      </c>
      <c r="AR905" t="s">
        <v>3165</v>
      </c>
      <c r="AS905" t="s">
        <v>78</v>
      </c>
      <c r="AX905" t="s">
        <v>79</v>
      </c>
      <c r="AY905" t="s">
        <v>74</v>
      </c>
      <c r="AZ905">
        <v>0</v>
      </c>
      <c r="BA905" t="s">
        <v>74</v>
      </c>
      <c r="BB905">
        <v>0</v>
      </c>
      <c r="BD905">
        <v>0.48</v>
      </c>
      <c r="BE905">
        <v>0</v>
      </c>
    </row>
    <row r="906" spans="1:58" ht="12.75">
      <c r="A906" s="2" t="str">
        <f>HYPERLINK("https://ibp.a2mac1.com/costing(costing:projects/details/8191/part/5383942)","Motor")</f>
        <v>Motor</v>
      </c>
      <c r="B906">
        <v>5383942</v>
      </c>
      <c r="C906">
        <v>5383676</v>
      </c>
      <c r="E906">
        <v>6</v>
      </c>
      <c r="F906">
        <v>0</v>
      </c>
      <c r="G906">
        <v>0</v>
      </c>
      <c r="H906">
        <v>0</v>
      </c>
      <c r="I906" t="s">
        <v>74</v>
      </c>
      <c r="J906">
        <v>0</v>
      </c>
      <c r="K906">
        <v>6</v>
      </c>
      <c r="L906">
        <v>0</v>
      </c>
      <c r="M906">
        <v>0</v>
      </c>
      <c r="N906">
        <v>6</v>
      </c>
      <c r="O906" t="s">
        <v>74</v>
      </c>
      <c r="P906">
        <v>0</v>
      </c>
      <c r="Q906" t="s">
        <v>74</v>
      </c>
      <c r="R906">
        <v>0</v>
      </c>
      <c r="S906" t="s">
        <v>74</v>
      </c>
      <c r="T906">
        <v>0</v>
      </c>
      <c r="U906" t="s">
        <v>74</v>
      </c>
      <c r="V906">
        <v>0</v>
      </c>
      <c r="W906" t="s">
        <v>74</v>
      </c>
      <c r="X906">
        <v>0</v>
      </c>
      <c r="Y906">
        <v>6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88</v>
      </c>
      <c r="AF906">
        <v>37</v>
      </c>
      <c r="AG906">
        <v>170</v>
      </c>
      <c r="AI906">
        <v>0.395</v>
      </c>
      <c r="AJ906" t="s">
        <v>1342</v>
      </c>
      <c r="AK906" t="s">
        <v>686</v>
      </c>
      <c r="AL906" t="s">
        <v>3167</v>
      </c>
      <c r="AM906">
        <v>200000</v>
      </c>
      <c r="AN906" t="s">
        <v>76</v>
      </c>
      <c r="AO906">
        <v>1</v>
      </c>
      <c r="AP906">
        <v>0</v>
      </c>
      <c r="AQ906">
        <v>16666.666666666668</v>
      </c>
      <c r="AR906" t="s">
        <v>3168</v>
      </c>
      <c r="AS906" t="s">
        <v>78</v>
      </c>
      <c r="AX906" t="s">
        <v>79</v>
      </c>
      <c r="AY906" t="s">
        <v>74</v>
      </c>
      <c r="AZ906">
        <v>0</v>
      </c>
      <c r="BA906" t="s">
        <v>74</v>
      </c>
      <c r="BB906">
        <v>0</v>
      </c>
      <c r="BD906">
        <v>6</v>
      </c>
      <c r="BE906">
        <v>0</v>
      </c>
    </row>
    <row r="907" spans="1:58" ht="12.75">
      <c r="A907" s="2" t="str">
        <f>HYPERLINK("https://ibp.a2mac1.com/costing(costing:projects/details/8191/part/5384070)","Pressure Knob Support")</f>
        <v>Pressure Knob Support</v>
      </c>
      <c r="B907">
        <v>5384070</v>
      </c>
      <c r="C907">
        <v>5383947</v>
      </c>
      <c r="E907">
        <v>0.20183027549999999</v>
      </c>
      <c r="F907">
        <v>0</v>
      </c>
      <c r="G907">
        <v>0</v>
      </c>
      <c r="H907">
        <v>0.0010238207458947368</v>
      </c>
      <c r="I907" t="s">
        <v>137</v>
      </c>
      <c r="J907">
        <v>0.0070817640526315787</v>
      </c>
      <c r="K907">
        <v>0.20993586029852632</v>
      </c>
      <c r="L907">
        <v>0.005176991090146868</v>
      </c>
      <c r="M907">
        <v>0.031061946540881211</v>
      </c>
      <c r="N907">
        <v>0.24099780683940752</v>
      </c>
      <c r="O907" t="s">
        <v>90</v>
      </c>
      <c r="P907">
        <v>0</v>
      </c>
      <c r="Q907" t="s">
        <v>90</v>
      </c>
      <c r="R907">
        <v>0</v>
      </c>
      <c r="S907" t="s">
        <v>90</v>
      </c>
      <c r="T907">
        <v>0</v>
      </c>
      <c r="U907" t="s">
        <v>90</v>
      </c>
      <c r="V907">
        <v>0</v>
      </c>
      <c r="W907" t="s">
        <v>90</v>
      </c>
      <c r="X907">
        <v>0</v>
      </c>
      <c r="Y907">
        <v>0.24099780683940752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30</v>
      </c>
      <c r="AF907">
        <v>303</v>
      </c>
      <c r="AG907">
        <v>505</v>
      </c>
      <c r="AI907">
        <v>0.223</v>
      </c>
      <c r="AK907" t="s">
        <v>501</v>
      </c>
      <c r="AL907" t="s">
        <v>2730</v>
      </c>
      <c r="AM907">
        <v>200000</v>
      </c>
      <c r="AN907" t="s">
        <v>92</v>
      </c>
      <c r="AO907">
        <v>1</v>
      </c>
      <c r="AP907">
        <v>0</v>
      </c>
      <c r="AQ907">
        <v>16666.666666666668</v>
      </c>
      <c r="AR907" t="s">
        <v>3174</v>
      </c>
      <c r="AS907" t="s">
        <v>78</v>
      </c>
      <c r="AX907" t="s">
        <v>79</v>
      </c>
      <c r="AY907" t="s">
        <v>137</v>
      </c>
      <c r="AZ907">
        <v>0</v>
      </c>
      <c r="BA907" t="s">
        <v>137</v>
      </c>
      <c r="BB907">
        <v>0</v>
      </c>
      <c r="BE907">
        <v>0</v>
      </c>
    </row>
    <row r="908" spans="1:58" ht="12.75">
      <c r="A908" s="2" t="str">
        <f>HYPERLINK("https://ibp.a2mac1.com/costing(costing:projects/details/8191/part/5384071)","Pressure Knob")</f>
        <v>Pressure Knob</v>
      </c>
      <c r="B908">
        <v>5384071</v>
      </c>
      <c r="C908">
        <v>5383947</v>
      </c>
      <c r="E908">
        <v>0.73996425300000002</v>
      </c>
      <c r="F908">
        <v>0</v>
      </c>
      <c r="G908">
        <v>0</v>
      </c>
      <c r="H908">
        <v>0.0037536031279999998</v>
      </c>
      <c r="I908" t="s">
        <v>137</v>
      </c>
      <c r="J908">
        <v>0.025963658000000001</v>
      </c>
      <c r="K908">
        <v>0.76968151412800001</v>
      </c>
      <c r="L908">
        <v>0.03236513591226365</v>
      </c>
      <c r="M908">
        <v>0.19419081547358188</v>
      </c>
      <c r="N908">
        <v>0.96387232960158187</v>
      </c>
      <c r="O908" t="s">
        <v>138</v>
      </c>
      <c r="P908">
        <v>0.046180890847679998</v>
      </c>
      <c r="Q908" t="s">
        <v>138</v>
      </c>
      <c r="R908">
        <v>0.011651448928414913</v>
      </c>
      <c r="S908" t="s">
        <v>139</v>
      </c>
      <c r="T908">
        <v>0.11566467955218983</v>
      </c>
      <c r="U908" t="s">
        <v>90</v>
      </c>
      <c r="V908">
        <v>0</v>
      </c>
      <c r="W908" t="s">
        <v>90</v>
      </c>
      <c r="X908">
        <v>0</v>
      </c>
      <c r="Y908">
        <v>1.1373693489298666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13</v>
      </c>
      <c r="AF908">
        <v>255</v>
      </c>
      <c r="AG908">
        <v>325</v>
      </c>
      <c r="AI908">
        <v>0.32300000000000001</v>
      </c>
      <c r="AK908" t="s">
        <v>501</v>
      </c>
      <c r="AL908" t="s">
        <v>2949</v>
      </c>
      <c r="AM908">
        <v>200000</v>
      </c>
      <c r="AN908" t="s">
        <v>76</v>
      </c>
      <c r="AO908">
        <v>1</v>
      </c>
      <c r="AP908">
        <v>0</v>
      </c>
      <c r="AQ908">
        <v>16666.666666666668</v>
      </c>
      <c r="AR908" t="s">
        <v>3177</v>
      </c>
      <c r="AS908" t="s">
        <v>78</v>
      </c>
      <c r="AX908" t="s">
        <v>79</v>
      </c>
      <c r="AY908" t="s">
        <v>137</v>
      </c>
      <c r="AZ908">
        <v>0</v>
      </c>
      <c r="BA908" t="s">
        <v>137</v>
      </c>
      <c r="BB908">
        <v>0</v>
      </c>
      <c r="BE908">
        <v>0</v>
      </c>
    </row>
    <row r="909" spans="1:58" ht="12.75">
      <c r="A909" s="2" t="str">
        <f>HYPERLINK("https://ibp.a2mac1.com/costing(costing:projects/details/8191/part/5383944)","Control")</f>
        <v>Control</v>
      </c>
      <c r="B909">
        <v>5383944</v>
      </c>
      <c r="C909">
        <v>5383677</v>
      </c>
      <c r="E909">
        <v>1.84548</v>
      </c>
      <c r="F909">
        <v>0</v>
      </c>
      <c r="G909">
        <v>0</v>
      </c>
      <c r="H909">
        <v>0</v>
      </c>
      <c r="I909" t="s">
        <v>74</v>
      </c>
      <c r="J909">
        <v>0</v>
      </c>
      <c r="K909">
        <v>1.84548</v>
      </c>
      <c r="L909">
        <v>0</v>
      </c>
      <c r="M909">
        <v>0</v>
      </c>
      <c r="N909">
        <v>1.84548</v>
      </c>
      <c r="O909" t="s">
        <v>74</v>
      </c>
      <c r="P909">
        <v>0</v>
      </c>
      <c r="Q909" t="s">
        <v>74</v>
      </c>
      <c r="R909">
        <v>0</v>
      </c>
      <c r="S909" t="s">
        <v>74</v>
      </c>
      <c r="T909">
        <v>0</v>
      </c>
      <c r="U909" t="s">
        <v>74</v>
      </c>
      <c r="V909">
        <v>0</v>
      </c>
      <c r="W909" t="s">
        <v>74</v>
      </c>
      <c r="X909">
        <v>0</v>
      </c>
      <c r="Y909">
        <v>1.84548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30</v>
      </c>
      <c r="AF909">
        <v>63</v>
      </c>
      <c r="AG909">
        <v>64</v>
      </c>
      <c r="AI909">
        <v>0.035</v>
      </c>
      <c r="AJ909" t="s">
        <v>2957</v>
      </c>
      <c r="AK909" t="s">
        <v>501</v>
      </c>
      <c r="AL909" t="s">
        <v>3179</v>
      </c>
      <c r="AM909">
        <v>200000</v>
      </c>
      <c r="AN909" t="s">
        <v>92</v>
      </c>
      <c r="AO909">
        <v>1</v>
      </c>
      <c r="AP909">
        <v>0</v>
      </c>
      <c r="AQ909">
        <v>16666.666666666668</v>
      </c>
      <c r="AR909" t="s">
        <v>3180</v>
      </c>
      <c r="AS909" t="s">
        <v>78</v>
      </c>
      <c r="AX909" t="s">
        <v>79</v>
      </c>
      <c r="AY909" t="s">
        <v>74</v>
      </c>
      <c r="AZ909">
        <v>0</v>
      </c>
      <c r="BA909" t="s">
        <v>74</v>
      </c>
      <c r="BB909">
        <v>0</v>
      </c>
      <c r="BD909">
        <v>1.84548</v>
      </c>
      <c r="BE909">
        <v>0</v>
      </c>
    </row>
    <row r="910" spans="1:58" ht="12.75">
      <c r="A910" s="2" t="str">
        <f>HYPERLINK("https://ibp.a2mac1.com/costing(costing:projects/details/8191/part/5383945)","Compressor")</f>
        <v>Compressor</v>
      </c>
      <c r="B910">
        <v>5383945</v>
      </c>
      <c r="C910">
        <v>5383677</v>
      </c>
      <c r="E910">
        <v>2.3068499999999998</v>
      </c>
      <c r="F910">
        <v>0</v>
      </c>
      <c r="G910">
        <v>0</v>
      </c>
      <c r="H910">
        <v>0</v>
      </c>
      <c r="I910" t="s">
        <v>74</v>
      </c>
      <c r="J910">
        <v>0</v>
      </c>
      <c r="K910">
        <v>2.3068499999999998</v>
      </c>
      <c r="L910">
        <v>0</v>
      </c>
      <c r="M910">
        <v>0</v>
      </c>
      <c r="N910">
        <v>2.3068499999999998</v>
      </c>
      <c r="O910" t="s">
        <v>74</v>
      </c>
      <c r="P910">
        <v>0</v>
      </c>
      <c r="Q910" t="s">
        <v>74</v>
      </c>
      <c r="R910">
        <v>0</v>
      </c>
      <c r="S910" t="s">
        <v>74</v>
      </c>
      <c r="T910">
        <v>0</v>
      </c>
      <c r="U910" t="s">
        <v>74</v>
      </c>
      <c r="V910">
        <v>0</v>
      </c>
      <c r="W910" t="s">
        <v>74</v>
      </c>
      <c r="X910">
        <v>0</v>
      </c>
      <c r="Y910">
        <v>2.3068499999999998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46</v>
      </c>
      <c r="AF910">
        <v>69</v>
      </c>
      <c r="AG910">
        <v>141</v>
      </c>
      <c r="AI910">
        <v>0.23400000000000001</v>
      </c>
      <c r="AJ910" t="s">
        <v>2959</v>
      </c>
      <c r="AK910" t="s">
        <v>598</v>
      </c>
      <c r="AL910" t="s">
        <v>3181</v>
      </c>
      <c r="AM910">
        <v>200000</v>
      </c>
      <c r="AN910" t="s">
        <v>76</v>
      </c>
      <c r="AO910">
        <v>1</v>
      </c>
      <c r="AP910">
        <v>0</v>
      </c>
      <c r="AQ910">
        <v>16666.666666666668</v>
      </c>
      <c r="AR910" t="s">
        <v>3182</v>
      </c>
      <c r="AS910" t="s">
        <v>78</v>
      </c>
      <c r="AX910" t="s">
        <v>79</v>
      </c>
      <c r="AY910" t="s">
        <v>74</v>
      </c>
      <c r="AZ910">
        <v>0</v>
      </c>
      <c r="BA910" t="s">
        <v>74</v>
      </c>
      <c r="BB910">
        <v>0</v>
      </c>
      <c r="BD910">
        <v>2.3068499999999998</v>
      </c>
      <c r="BE910">
        <v>0</v>
      </c>
    </row>
    <row r="911" spans="1:58" ht="12.75">
      <c r="A911" s="2" t="str">
        <f>HYPERLINK("https://ibp.a2mac1.com/costing(costing:projects/details/8191/part/5383946)","Air Distributor")</f>
        <v>Air Distributor</v>
      </c>
      <c r="B911">
        <v>5383946</v>
      </c>
      <c r="C911">
        <v>5383677</v>
      </c>
      <c r="E911">
        <v>0</v>
      </c>
      <c r="F911">
        <v>6.2527493604053284</v>
      </c>
      <c r="G911">
        <v>0</v>
      </c>
      <c r="H911">
        <v>0</v>
      </c>
      <c r="I911" t="s">
        <v>137</v>
      </c>
      <c r="J911">
        <v>0</v>
      </c>
      <c r="K911">
        <v>6.4715955880195146</v>
      </c>
      <c r="L911">
        <v>0.25112196172915874</v>
      </c>
      <c r="M911">
        <v>0.87892686605205561</v>
      </c>
      <c r="N911">
        <v>7.3505224540715703</v>
      </c>
      <c r="O911" t="s">
        <v>138</v>
      </c>
      <c r="P911">
        <v>0.38829573528117084</v>
      </c>
      <c r="Q911" t="s">
        <v>138</v>
      </c>
      <c r="R911">
        <v>0.052735611963123333</v>
      </c>
      <c r="S911" t="s">
        <v>139</v>
      </c>
      <c r="T911">
        <v>0.88206269448858843</v>
      </c>
      <c r="U911" t="s">
        <v>90</v>
      </c>
      <c r="V911">
        <v>0</v>
      </c>
      <c r="W911" t="s">
        <v>90</v>
      </c>
      <c r="X911">
        <v>0</v>
      </c>
      <c r="Y911">
        <v>8.6736164958044526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15</v>
      </c>
      <c r="AF911">
        <v>107</v>
      </c>
      <c r="AG911">
        <v>69</v>
      </c>
      <c r="AI911">
        <v>0.062</v>
      </c>
      <c r="AJ911" t="s">
        <v>2959</v>
      </c>
      <c r="AK911" t="s">
        <v>576</v>
      </c>
      <c r="AL911" t="s">
        <v>1193</v>
      </c>
      <c r="AM911">
        <v>200000</v>
      </c>
      <c r="AN911" t="s">
        <v>76</v>
      </c>
      <c r="AO911">
        <v>1</v>
      </c>
      <c r="AP911">
        <v>0</v>
      </c>
      <c r="AQ911">
        <v>16666.666666666668</v>
      </c>
      <c r="AR911" t="s">
        <v>3185</v>
      </c>
      <c r="AS911" t="s">
        <v>78</v>
      </c>
      <c r="AX911" t="s">
        <v>79</v>
      </c>
      <c r="AY911" t="s">
        <v>137</v>
      </c>
      <c r="AZ911">
        <v>0.21884622761418648</v>
      </c>
      <c r="BA911" t="s">
        <v>137</v>
      </c>
      <c r="BB911">
        <v>0</v>
      </c>
      <c r="BE911">
        <v>0</v>
      </c>
    </row>
    <row r="912" spans="1:58" ht="12.75">
      <c r="A912" s="2" t="str">
        <f>HYPERLINK("https://ibp.a2mac1.com/costing(costing:projects/details/8191/part/5383670)","Passenger Seat button")</f>
        <v>Passenger Seat button</v>
      </c>
      <c r="B912">
        <v>5383670</v>
      </c>
      <c r="C912">
        <v>5383541</v>
      </c>
      <c r="E912">
        <v>1.38411</v>
      </c>
      <c r="F912">
        <v>0</v>
      </c>
      <c r="G912">
        <v>0</v>
      </c>
      <c r="H912">
        <v>0</v>
      </c>
      <c r="I912" t="s">
        <v>74</v>
      </c>
      <c r="J912">
        <v>0</v>
      </c>
      <c r="K912">
        <v>1.38411</v>
      </c>
      <c r="L912">
        <v>0</v>
      </c>
      <c r="M912">
        <v>0</v>
      </c>
      <c r="N912">
        <v>1.38411</v>
      </c>
      <c r="O912" t="s">
        <v>74</v>
      </c>
      <c r="P912">
        <v>0</v>
      </c>
      <c r="Q912" t="s">
        <v>74</v>
      </c>
      <c r="R912">
        <v>0</v>
      </c>
      <c r="S912" t="s">
        <v>74</v>
      </c>
      <c r="T912">
        <v>0</v>
      </c>
      <c r="U912" t="s">
        <v>74</v>
      </c>
      <c r="V912">
        <v>0</v>
      </c>
      <c r="W912" t="s">
        <v>74</v>
      </c>
      <c r="X912">
        <v>0</v>
      </c>
      <c r="Y912">
        <v>1.38411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35</v>
      </c>
      <c r="AF912">
        <v>163</v>
      </c>
      <c r="AG912">
        <v>104</v>
      </c>
      <c r="AI912">
        <v>0.191</v>
      </c>
      <c r="AJ912" t="s">
        <v>1355</v>
      </c>
      <c r="AK912" t="s">
        <v>576</v>
      </c>
      <c r="AL912" t="s">
        <v>3187</v>
      </c>
      <c r="AM912">
        <v>200000</v>
      </c>
      <c r="AN912" t="s">
        <v>76</v>
      </c>
      <c r="AO912">
        <v>1</v>
      </c>
      <c r="AP912">
        <v>0</v>
      </c>
      <c r="AQ912">
        <v>16666.666666666668</v>
      </c>
      <c r="AR912" t="s">
        <v>3188</v>
      </c>
      <c r="AS912" t="s">
        <v>78</v>
      </c>
      <c r="AX912" t="s">
        <v>79</v>
      </c>
      <c r="AY912" t="s">
        <v>74</v>
      </c>
      <c r="AZ912">
        <v>0</v>
      </c>
      <c r="BA912" t="s">
        <v>74</v>
      </c>
      <c r="BB912">
        <v>0</v>
      </c>
      <c r="BD912">
        <v>1.38411</v>
      </c>
      <c r="BE912">
        <v>0</v>
      </c>
    </row>
    <row r="913" spans="1:58" ht="12.75">
      <c r="A913" s="2" t="str">
        <f>HYPERLINK("https://ibp.a2mac1.com/costing(costing:projects/details/8191/part/5383671)","Passenger Seat ECU Support")</f>
        <v>Passenger Seat ECU Support</v>
      </c>
      <c r="B913">
        <v>5383671</v>
      </c>
      <c r="C913">
        <v>5383541</v>
      </c>
      <c r="E913">
        <v>0.34</v>
      </c>
      <c r="F913">
        <v>0</v>
      </c>
      <c r="G913">
        <v>0</v>
      </c>
      <c r="H913">
        <v>0</v>
      </c>
      <c r="I913" t="s">
        <v>74</v>
      </c>
      <c r="J913">
        <v>0</v>
      </c>
      <c r="K913">
        <v>0.34</v>
      </c>
      <c r="L913">
        <v>0</v>
      </c>
      <c r="M913">
        <v>0</v>
      </c>
      <c r="N913">
        <v>0.34</v>
      </c>
      <c r="O913" t="s">
        <v>74</v>
      </c>
      <c r="P913">
        <v>0</v>
      </c>
      <c r="Q913" t="s">
        <v>74</v>
      </c>
      <c r="R913">
        <v>0</v>
      </c>
      <c r="S913" t="s">
        <v>74</v>
      </c>
      <c r="T913">
        <v>0</v>
      </c>
      <c r="U913" t="s">
        <v>74</v>
      </c>
      <c r="V913">
        <v>0</v>
      </c>
      <c r="W913" t="s">
        <v>74</v>
      </c>
      <c r="X913">
        <v>0</v>
      </c>
      <c r="Y913">
        <v>0.34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67</v>
      </c>
      <c r="AF913">
        <v>193</v>
      </c>
      <c r="AG913">
        <v>118</v>
      </c>
      <c r="AI913">
        <v>0.073999999999999996</v>
      </c>
      <c r="AJ913" t="s">
        <v>685</v>
      </c>
      <c r="AK913" t="s">
        <v>501</v>
      </c>
      <c r="AL913" t="s">
        <v>1261</v>
      </c>
      <c r="AM913">
        <v>200000</v>
      </c>
      <c r="AN913" t="s">
        <v>92</v>
      </c>
      <c r="AO913">
        <v>1</v>
      </c>
      <c r="AP913">
        <v>0</v>
      </c>
      <c r="AQ913">
        <v>16666.666666666668</v>
      </c>
      <c r="AR913" t="s">
        <v>3189</v>
      </c>
      <c r="AS913" t="s">
        <v>78</v>
      </c>
      <c r="AX913" t="s">
        <v>79</v>
      </c>
      <c r="AY913" t="s">
        <v>74</v>
      </c>
      <c r="AZ913">
        <v>0</v>
      </c>
      <c r="BA913" t="s">
        <v>74</v>
      </c>
      <c r="BB913">
        <v>0</v>
      </c>
      <c r="BD913">
        <v>0.34</v>
      </c>
      <c r="BE913">
        <v>0</v>
      </c>
    </row>
    <row r="914" spans="1:58" ht="12.75">
      <c r="A914" s="2" t="str">
        <f>HYPERLINK("https://ibp.a2mac1.com/costing(costing:projects/details/8191/part/5383672)","Adjustment Control")</f>
        <v>Adjustment Control</v>
      </c>
      <c r="B914">
        <v>5383672</v>
      </c>
      <c r="C914">
        <v>5383541</v>
      </c>
      <c r="E914">
        <v>0</v>
      </c>
      <c r="F914">
        <v>3.873443207389494</v>
      </c>
      <c r="G914">
        <v>0</v>
      </c>
      <c r="H914">
        <v>0</v>
      </c>
      <c r="I914" t="s">
        <v>137</v>
      </c>
      <c r="J914">
        <v>0</v>
      </c>
      <c r="K914">
        <v>4.0090137196481264</v>
      </c>
      <c r="L914">
        <v>0.13698880063814858</v>
      </c>
      <c r="M914">
        <v>0.47946080223352006</v>
      </c>
      <c r="N914">
        <v>4.4884745218816464</v>
      </c>
      <c r="O914" t="s">
        <v>138</v>
      </c>
      <c r="P914">
        <v>0.24054082317888759</v>
      </c>
      <c r="Q914" t="s">
        <v>138</v>
      </c>
      <c r="R914">
        <v>0.028767648134011205</v>
      </c>
      <c r="S914" t="s">
        <v>139</v>
      </c>
      <c r="T914">
        <v>0.53861694262579751</v>
      </c>
      <c r="U914" t="s">
        <v>90</v>
      </c>
      <c r="V914">
        <v>0</v>
      </c>
      <c r="W914" t="s">
        <v>90</v>
      </c>
      <c r="X914">
        <v>0</v>
      </c>
      <c r="Y914">
        <v>5.2963999358203431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39</v>
      </c>
      <c r="AF914">
        <v>138</v>
      </c>
      <c r="AG914">
        <v>72</v>
      </c>
      <c r="AI914">
        <v>0.114</v>
      </c>
      <c r="AJ914" t="s">
        <v>2957</v>
      </c>
      <c r="AK914" t="s">
        <v>576</v>
      </c>
      <c r="AL914" t="s">
        <v>1309</v>
      </c>
      <c r="AM914">
        <v>200000</v>
      </c>
      <c r="AN914" t="s">
        <v>76</v>
      </c>
      <c r="AO914">
        <v>1</v>
      </c>
      <c r="AP914">
        <v>0</v>
      </c>
      <c r="AQ914">
        <v>16666.666666666668</v>
      </c>
      <c r="AR914" t="s">
        <v>3192</v>
      </c>
      <c r="AS914" t="s">
        <v>78</v>
      </c>
      <c r="AX914" t="s">
        <v>79</v>
      </c>
      <c r="AY914" t="s">
        <v>137</v>
      </c>
      <c r="AZ914">
        <v>0.13557051225863229</v>
      </c>
      <c r="BA914" t="s">
        <v>137</v>
      </c>
      <c r="BB914">
        <v>0</v>
      </c>
      <c r="BE914">
        <v>0</v>
      </c>
    </row>
    <row r="915" spans="1:58" ht="12.75">
      <c r="A915" s="2" t="str">
        <f>HYPERLINK("https://ibp.a2mac1.com/costing(costing:projects/details/8191/part/5383673)","Presetting Control")</f>
        <v>Presetting Control</v>
      </c>
      <c r="B915">
        <v>5383673</v>
      </c>
      <c r="C915">
        <v>5383541</v>
      </c>
      <c r="E915">
        <v>0</v>
      </c>
      <c r="F915">
        <v>8.9306064093897284</v>
      </c>
      <c r="G915">
        <v>0</v>
      </c>
      <c r="H915">
        <v>0</v>
      </c>
      <c r="I915" t="s">
        <v>137</v>
      </c>
      <c r="J915">
        <v>0</v>
      </c>
      <c r="K915">
        <v>9.2431776337183678</v>
      </c>
      <c r="L915">
        <v>0.22828082584648851</v>
      </c>
      <c r="M915">
        <v>1.369684955078931</v>
      </c>
      <c r="N915">
        <v>10.612862588797299</v>
      </c>
      <c r="O915" t="s">
        <v>90</v>
      </c>
      <c r="P915">
        <v>0</v>
      </c>
      <c r="Q915" t="s">
        <v>90</v>
      </c>
      <c r="R915">
        <v>0</v>
      </c>
      <c r="S915" t="s">
        <v>90</v>
      </c>
      <c r="T915">
        <v>0</v>
      </c>
      <c r="U915" t="s">
        <v>90</v>
      </c>
      <c r="V915">
        <v>0</v>
      </c>
      <c r="W915" t="s">
        <v>90</v>
      </c>
      <c r="X915">
        <v>0</v>
      </c>
      <c r="Y915">
        <v>10.612862588797299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41</v>
      </c>
      <c r="AF915">
        <v>24</v>
      </c>
      <c r="AG915">
        <v>87</v>
      </c>
      <c r="AI915">
        <v>0.025</v>
      </c>
      <c r="AJ915" t="s">
        <v>685</v>
      </c>
      <c r="AK915" t="s">
        <v>501</v>
      </c>
      <c r="AL915" t="s">
        <v>2967</v>
      </c>
      <c r="AM915">
        <v>200000</v>
      </c>
      <c r="AN915" t="s">
        <v>92</v>
      </c>
      <c r="AO915">
        <v>1</v>
      </c>
      <c r="AP915">
        <v>0</v>
      </c>
      <c r="AQ915">
        <v>16666.666666666668</v>
      </c>
      <c r="AR915" t="s">
        <v>3195</v>
      </c>
      <c r="AS915" t="s">
        <v>78</v>
      </c>
      <c r="AX915" t="s">
        <v>79</v>
      </c>
      <c r="AY915" t="s">
        <v>137</v>
      </c>
      <c r="AZ915">
        <v>0.31257122432864048</v>
      </c>
      <c r="BA915" t="s">
        <v>137</v>
      </c>
      <c r="BB915">
        <v>0</v>
      </c>
      <c r="BE915">
        <v>0</v>
      </c>
    </row>
    <row r="916" spans="1:58" ht="12.75">
      <c r="A916" s="2" t="str">
        <f>HYPERLINK("https://ibp.a2mac1.com/costing(costing:projects/details/8191/part/5383678)","Passenger Seat ECU")</f>
        <v>Passenger Seat ECU</v>
      </c>
      <c r="B916">
        <v>5383678</v>
      </c>
      <c r="C916">
        <v>5383541</v>
      </c>
      <c r="E916">
        <v>0</v>
      </c>
      <c r="F916">
        <v>9.0671028473391342</v>
      </c>
      <c r="G916">
        <v>0</v>
      </c>
      <c r="H916">
        <v>0</v>
      </c>
      <c r="I916" t="s">
        <v>137</v>
      </c>
      <c r="J916">
        <v>0</v>
      </c>
      <c r="K916">
        <v>9.384451446996005</v>
      </c>
      <c r="L916">
        <v>0.45656165169297702</v>
      </c>
      <c r="M916">
        <v>1.5979657809254195</v>
      </c>
      <c r="N916">
        <v>10.982417227921424</v>
      </c>
      <c r="O916" t="s">
        <v>138</v>
      </c>
      <c r="P916">
        <v>0.56306708681976025</v>
      </c>
      <c r="Q916" t="s">
        <v>138</v>
      </c>
      <c r="R916">
        <v>0.09587794685552517</v>
      </c>
      <c r="S916" t="s">
        <v>139</v>
      </c>
      <c r="T916">
        <v>1.3178900673505709</v>
      </c>
      <c r="U916" t="s">
        <v>90</v>
      </c>
      <c r="V916">
        <v>0</v>
      </c>
      <c r="W916" t="s">
        <v>90</v>
      </c>
      <c r="X916">
        <v>0</v>
      </c>
      <c r="Y916">
        <v>12.959252328947279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33</v>
      </c>
      <c r="AF916">
        <v>163</v>
      </c>
      <c r="AG916">
        <v>103</v>
      </c>
      <c r="AI916">
        <v>0.19</v>
      </c>
      <c r="AJ916" t="s">
        <v>1355</v>
      </c>
      <c r="AK916" t="s">
        <v>576</v>
      </c>
      <c r="AL916" t="s">
        <v>1219</v>
      </c>
      <c r="AM916">
        <v>200000</v>
      </c>
      <c r="AN916" t="s">
        <v>76</v>
      </c>
      <c r="AO916">
        <v>1</v>
      </c>
      <c r="AP916">
        <v>0</v>
      </c>
      <c r="AQ916">
        <v>16666.666666666668</v>
      </c>
      <c r="AR916" t="s">
        <v>3198</v>
      </c>
      <c r="AS916" t="s">
        <v>78</v>
      </c>
      <c r="AX916" t="s">
        <v>79</v>
      </c>
      <c r="AY916" t="s">
        <v>137</v>
      </c>
      <c r="AZ916">
        <v>0.31734859965686973</v>
      </c>
      <c r="BA916" t="s">
        <v>137</v>
      </c>
      <c r="BB916">
        <v>0</v>
      </c>
      <c r="BE916">
        <v>0</v>
      </c>
    </row>
    <row r="917" spans="1:58" ht="12.75">
      <c r="A917" s="2" t="str">
        <f>HYPERLINK("https://ibp.a2mac1.com/costing(costing:projects/details/8191/part/5383679)","Front Inner Trim and Outer if Similar")</f>
        <v>Front Inner Trim and Outer if Similar</v>
      </c>
      <c r="B917">
        <v>5383679</v>
      </c>
      <c r="C917">
        <v>5383542</v>
      </c>
      <c r="E917">
        <v>0.013268167500000001</v>
      </c>
      <c r="F917">
        <v>0</v>
      </c>
      <c r="G917">
        <v>0</v>
      </c>
      <c r="H917">
        <v>6.7305190526315787E-05</v>
      </c>
      <c r="I917" t="s">
        <v>137</v>
      </c>
      <c r="J917">
        <v>0.00046554973684210529</v>
      </c>
      <c r="K917">
        <v>0.013801022427368421</v>
      </c>
      <c r="L917">
        <v>0.00023208963704919518</v>
      </c>
      <c r="M917">
        <v>0.0013925378222951711</v>
      </c>
      <c r="N917">
        <v>0.015193560249663592</v>
      </c>
      <c r="O917" t="s">
        <v>90</v>
      </c>
      <c r="P917">
        <v>0</v>
      </c>
      <c r="Q917" t="s">
        <v>90</v>
      </c>
      <c r="R917">
        <v>0</v>
      </c>
      <c r="S917" t="s">
        <v>90</v>
      </c>
      <c r="T917">
        <v>0</v>
      </c>
      <c r="U917" t="s">
        <v>90</v>
      </c>
      <c r="V917">
        <v>0</v>
      </c>
      <c r="W917" t="s">
        <v>90</v>
      </c>
      <c r="X917">
        <v>0</v>
      </c>
      <c r="Y917">
        <v>0.015193560249663592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31</v>
      </c>
      <c r="AF917">
        <v>53</v>
      </c>
      <c r="AG917">
        <v>36</v>
      </c>
      <c r="AI917">
        <v>0.005</v>
      </c>
      <c r="AJ917" t="s">
        <v>2983</v>
      </c>
      <c r="AK917" t="s">
        <v>501</v>
      </c>
      <c r="AL917" t="s">
        <v>1288</v>
      </c>
      <c r="AM917">
        <v>200000</v>
      </c>
      <c r="AN917" t="s">
        <v>92</v>
      </c>
      <c r="AO917">
        <v>1</v>
      </c>
      <c r="AP917">
        <v>0</v>
      </c>
      <c r="AQ917">
        <v>16666.666666666668</v>
      </c>
      <c r="AR917" t="s">
        <v>3203</v>
      </c>
      <c r="AS917" t="s">
        <v>78</v>
      </c>
      <c r="AX917" t="s">
        <v>79</v>
      </c>
      <c r="AY917" t="s">
        <v>137</v>
      </c>
      <c r="AZ917">
        <v>0</v>
      </c>
      <c r="BA917" t="s">
        <v>137</v>
      </c>
      <c r="BB917">
        <v>0</v>
      </c>
      <c r="BE917">
        <v>0</v>
      </c>
    </row>
    <row r="918" spans="1:58" ht="12.75">
      <c r="A918" s="2" t="str">
        <f>HYPERLINK("https://ibp.a2mac1.com/costing(costing:projects/details/8191/part/5383680)","Front Outer Trim")</f>
        <v>Front Outer Trim</v>
      </c>
      <c r="B918">
        <v>5383680</v>
      </c>
      <c r="C918">
        <v>5383542</v>
      </c>
      <c r="E918">
        <v>0.013268167500000001</v>
      </c>
      <c r="F918">
        <v>0</v>
      </c>
      <c r="G918">
        <v>0</v>
      </c>
      <c r="H918">
        <v>6.7305190526315787E-05</v>
      </c>
      <c r="I918" t="s">
        <v>137</v>
      </c>
      <c r="J918">
        <v>0.00046554973684210529</v>
      </c>
      <c r="K918">
        <v>0.013801022427368421</v>
      </c>
      <c r="L918">
        <v>0.00023208963704919518</v>
      </c>
      <c r="M918">
        <v>0.0013925378222951711</v>
      </c>
      <c r="N918">
        <v>0.015193560249663592</v>
      </c>
      <c r="O918" t="s">
        <v>90</v>
      </c>
      <c r="P918">
        <v>0</v>
      </c>
      <c r="Q918" t="s">
        <v>90</v>
      </c>
      <c r="R918">
        <v>0</v>
      </c>
      <c r="S918" t="s">
        <v>90</v>
      </c>
      <c r="T918">
        <v>0</v>
      </c>
      <c r="U918" t="s">
        <v>90</v>
      </c>
      <c r="V918">
        <v>0</v>
      </c>
      <c r="W918" t="s">
        <v>90</v>
      </c>
      <c r="X918">
        <v>0</v>
      </c>
      <c r="Y918">
        <v>0.015193560249663592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28</v>
      </c>
      <c r="AF918">
        <v>53</v>
      </c>
      <c r="AG918">
        <v>36</v>
      </c>
      <c r="AI918">
        <v>0.005</v>
      </c>
      <c r="AJ918" t="s">
        <v>2983</v>
      </c>
      <c r="AK918" t="s">
        <v>501</v>
      </c>
      <c r="AL918" t="s">
        <v>1288</v>
      </c>
      <c r="AM918">
        <v>200000</v>
      </c>
      <c r="AN918" t="s">
        <v>92</v>
      </c>
      <c r="AO918">
        <v>1</v>
      </c>
      <c r="AP918">
        <v>0</v>
      </c>
      <c r="AQ918">
        <v>16666.666666666668</v>
      </c>
      <c r="AR918" t="s">
        <v>3206</v>
      </c>
      <c r="AS918" t="s">
        <v>78</v>
      </c>
      <c r="AX918" t="s">
        <v>79</v>
      </c>
      <c r="AY918" t="s">
        <v>137</v>
      </c>
      <c r="AZ918">
        <v>0</v>
      </c>
      <c r="BA918" t="s">
        <v>137</v>
      </c>
      <c r="BB918">
        <v>0</v>
      </c>
      <c r="BE918">
        <v>0</v>
      </c>
    </row>
    <row r="919" spans="1:58" ht="12.75">
      <c r="A919" s="2" t="str">
        <f>HYPERLINK("https://ibp.a2mac1.com/costing(costing:projects/details/8191/part/5383681)","Cover")</f>
        <v>Cover</v>
      </c>
      <c r="B919">
        <v>5383681</v>
      </c>
      <c r="C919">
        <v>5383543</v>
      </c>
      <c r="E919">
        <v>2.8203999999999998</v>
      </c>
      <c r="F919">
        <v>0</v>
      </c>
      <c r="G919">
        <v>0</v>
      </c>
      <c r="H919">
        <v>0.0058100239999999996</v>
      </c>
      <c r="I919" t="s">
        <v>137</v>
      </c>
      <c r="J919">
        <v>0.098713999999999996</v>
      </c>
      <c r="K919">
        <v>2.9249240240000001</v>
      </c>
      <c r="L919">
        <v>0.18599237058481763</v>
      </c>
      <c r="M919">
        <v>1.1159542235089057</v>
      </c>
      <c r="N919">
        <v>4.040878247508906</v>
      </c>
      <c r="O919" t="s">
        <v>138</v>
      </c>
      <c r="P919">
        <v>0.17549544144000001</v>
      </c>
      <c r="Q919" t="s">
        <v>138</v>
      </c>
      <c r="R919">
        <v>0.066957253410534351</v>
      </c>
      <c r="S919" t="s">
        <v>139</v>
      </c>
      <c r="T919">
        <v>0.48490538970106867</v>
      </c>
      <c r="U919" t="s">
        <v>90</v>
      </c>
      <c r="V919">
        <v>0</v>
      </c>
      <c r="W919" t="s">
        <v>90</v>
      </c>
      <c r="X919">
        <v>0</v>
      </c>
      <c r="Y919">
        <v>4.7682363320605088</v>
      </c>
      <c r="Z919">
        <v>0</v>
      </c>
      <c r="AA919">
        <v>0</v>
      </c>
      <c r="AB919">
        <v>0</v>
      </c>
      <c r="AC919">
        <v>0</v>
      </c>
      <c r="AD919">
        <v>0</v>
      </c>
      <c r="AI919">
        <v>0.161</v>
      </c>
      <c r="AJ919" t="s">
        <v>2697</v>
      </c>
      <c r="AK919" t="s">
        <v>3212</v>
      </c>
      <c r="AL919" t="s">
        <v>1182</v>
      </c>
      <c r="AM919">
        <v>200000</v>
      </c>
      <c r="AN919" t="s">
        <v>76</v>
      </c>
      <c r="AO919">
        <v>1</v>
      </c>
      <c r="AP919">
        <v>0</v>
      </c>
      <c r="AQ919">
        <v>16666.666666666668</v>
      </c>
      <c r="AR919" t="s">
        <v>9</v>
      </c>
      <c r="AS919" t="s">
        <v>78</v>
      </c>
      <c r="AX919" t="s">
        <v>79</v>
      </c>
      <c r="AY919" t="s">
        <v>137</v>
      </c>
      <c r="AZ919">
        <v>0</v>
      </c>
      <c r="BA919" t="s">
        <v>137</v>
      </c>
      <c r="BB919">
        <v>0</v>
      </c>
      <c r="BE919">
        <v>0</v>
      </c>
    </row>
    <row r="920" spans="1:58" ht="12.75">
      <c r="A920" s="2" t="str">
        <f>HYPERLINK("https://ibp.a2mac1.com/costing(costing:projects/details/8191/part/5383682)","Padding")</f>
        <v>Padding</v>
      </c>
      <c r="B920">
        <v>5383682</v>
      </c>
      <c r="C920">
        <v>5383543</v>
      </c>
      <c r="E920">
        <v>0.76936286700000001</v>
      </c>
      <c r="F920">
        <v>0</v>
      </c>
      <c r="G920">
        <v>0</v>
      </c>
      <c r="H920">
        <v>0.0039027329393684211</v>
      </c>
      <c r="I920" t="s">
        <v>137</v>
      </c>
      <c r="J920">
        <v>0.026995188315789474</v>
      </c>
      <c r="K920">
        <v>0.8002607882551579</v>
      </c>
      <c r="L920">
        <v>0.026783507879850274</v>
      </c>
      <c r="M920">
        <v>0.16070104727910164</v>
      </c>
      <c r="N920">
        <v>0.96096183553425951</v>
      </c>
      <c r="O920" t="s">
        <v>138</v>
      </c>
      <c r="P920">
        <v>0.048015647295309473</v>
      </c>
      <c r="Q920" t="s">
        <v>138</v>
      </c>
      <c r="R920">
        <v>0.0096420628367460993</v>
      </c>
      <c r="S920" t="s">
        <v>139</v>
      </c>
      <c r="T920">
        <v>0.11531542026411115</v>
      </c>
      <c r="U920" t="s">
        <v>90</v>
      </c>
      <c r="V920">
        <v>0</v>
      </c>
      <c r="W920" t="s">
        <v>90</v>
      </c>
      <c r="X920">
        <v>0</v>
      </c>
      <c r="Y920">
        <v>1.1339349659304263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145</v>
      </c>
      <c r="AF920">
        <v>240</v>
      </c>
      <c r="AG920">
        <v>245</v>
      </c>
      <c r="AI920">
        <v>0.217</v>
      </c>
      <c r="AJ920" t="s">
        <v>2697</v>
      </c>
      <c r="AK920" t="s">
        <v>3212</v>
      </c>
      <c r="AL920" t="s">
        <v>2703</v>
      </c>
      <c r="AM920">
        <v>200000</v>
      </c>
      <c r="AN920" t="s">
        <v>76</v>
      </c>
      <c r="AO920">
        <v>1</v>
      </c>
      <c r="AP920">
        <v>0</v>
      </c>
      <c r="AQ920">
        <v>16666.666666666668</v>
      </c>
      <c r="AR920" t="s">
        <v>9</v>
      </c>
      <c r="AS920" t="s">
        <v>78</v>
      </c>
      <c r="AX920" t="s">
        <v>79</v>
      </c>
      <c r="AY920" t="s">
        <v>137</v>
      </c>
      <c r="AZ920">
        <v>0</v>
      </c>
      <c r="BA920" t="s">
        <v>137</v>
      </c>
      <c r="BB920">
        <v>0</v>
      </c>
      <c r="BE920">
        <v>0</v>
      </c>
    </row>
    <row r="921" spans="1:58" ht="12.75">
      <c r="A921" s="2" t="str">
        <f>HYPERLINK("https://ibp.a2mac1.com/costing(costing:projects/details/8191/part/5383683)","Frame / Reinforcement Mechanism")</f>
        <v>Frame / Reinforcement Mechanism</v>
      </c>
      <c r="B921">
        <v>5383683</v>
      </c>
      <c r="C921">
        <v>5383543</v>
      </c>
      <c r="E921">
        <v>0.45936454959183676</v>
      </c>
      <c r="F921">
        <v>0</v>
      </c>
      <c r="G921">
        <v>0</v>
      </c>
      <c r="H921">
        <v>0.0023328680632867882</v>
      </c>
      <c r="I921" t="s">
        <v>137</v>
      </c>
      <c r="J921">
        <v>0.016136439172932331</v>
      </c>
      <c r="K921">
        <v>0.47783385682805585</v>
      </c>
      <c r="L921">
        <v>0.070520132977448066</v>
      </c>
      <c r="M921">
        <v>0.42312079786468842</v>
      </c>
      <c r="N921">
        <v>0.90095465469274427</v>
      </c>
      <c r="O921" t="s">
        <v>138</v>
      </c>
      <c r="P921">
        <v>0.028670031409683352</v>
      </c>
      <c r="Q921" t="s">
        <v>138</v>
      </c>
      <c r="R921">
        <v>0.025387247871881305</v>
      </c>
      <c r="S921" t="s">
        <v>139</v>
      </c>
      <c r="T921">
        <v>0.10811455856312931</v>
      </c>
      <c r="U921" t="s">
        <v>90</v>
      </c>
      <c r="V921">
        <v>0</v>
      </c>
      <c r="W921" t="s">
        <v>90</v>
      </c>
      <c r="X921">
        <v>0</v>
      </c>
      <c r="Y921">
        <v>1.0631264925374382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95</v>
      </c>
      <c r="AF921">
        <v>212</v>
      </c>
      <c r="AG921">
        <v>365</v>
      </c>
      <c r="AI921">
        <v>0.61</v>
      </c>
      <c r="AK921" t="s">
        <v>3212</v>
      </c>
      <c r="AL921" t="s">
        <v>2710</v>
      </c>
      <c r="AM921">
        <v>200000</v>
      </c>
      <c r="AN921" t="s">
        <v>76</v>
      </c>
      <c r="AO921">
        <v>1</v>
      </c>
      <c r="AP921">
        <v>0</v>
      </c>
      <c r="AQ921">
        <v>16666.666666666668</v>
      </c>
      <c r="AR921" t="s">
        <v>9</v>
      </c>
      <c r="AS921" t="s">
        <v>78</v>
      </c>
      <c r="AX921" t="s">
        <v>79</v>
      </c>
      <c r="AY921" t="s">
        <v>137</v>
      </c>
      <c r="AZ921">
        <v>0</v>
      </c>
      <c r="BA921" t="s">
        <v>137</v>
      </c>
      <c r="BB921">
        <v>0</v>
      </c>
      <c r="BE921">
        <v>0</v>
      </c>
    </row>
    <row r="922" spans="1:58" ht="12.75">
      <c r="A922" s="2" t="str">
        <f>HYPERLINK("https://ibp.a2mac1.com/costing(costing:projects/details/8191/part/5383684)","Cushion Heating")</f>
        <v>Cushion Heating</v>
      </c>
      <c r="B922">
        <v>5383684</v>
      </c>
      <c r="C922">
        <v>5383544</v>
      </c>
      <c r="E922">
        <v>5</v>
      </c>
      <c r="F922">
        <v>0</v>
      </c>
      <c r="G922">
        <v>0</v>
      </c>
      <c r="H922">
        <v>0</v>
      </c>
      <c r="I922" t="s">
        <v>74</v>
      </c>
      <c r="J922">
        <v>0</v>
      </c>
      <c r="K922">
        <v>5</v>
      </c>
      <c r="L922">
        <v>0</v>
      </c>
      <c r="M922">
        <v>0</v>
      </c>
      <c r="N922">
        <v>5</v>
      </c>
      <c r="O922" t="s">
        <v>74</v>
      </c>
      <c r="P922">
        <v>0</v>
      </c>
      <c r="Q922" t="s">
        <v>74</v>
      </c>
      <c r="R922">
        <v>0</v>
      </c>
      <c r="S922" t="s">
        <v>74</v>
      </c>
      <c r="T922">
        <v>0</v>
      </c>
      <c r="U922" t="s">
        <v>74</v>
      </c>
      <c r="V922">
        <v>0</v>
      </c>
      <c r="W922" t="s">
        <v>74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0</v>
      </c>
      <c r="AF922">
        <v>2</v>
      </c>
      <c r="AG922">
        <v>670</v>
      </c>
      <c r="AI922">
        <v>0.065</v>
      </c>
      <c r="AJ922" t="s">
        <v>2990</v>
      </c>
      <c r="AK922" t="s">
        <v>686</v>
      </c>
      <c r="AL922" t="s">
        <v>2991</v>
      </c>
      <c r="AM922">
        <v>200000</v>
      </c>
      <c r="AN922" t="s">
        <v>76</v>
      </c>
      <c r="AO922">
        <v>1</v>
      </c>
      <c r="AP922">
        <v>0</v>
      </c>
      <c r="AQ922">
        <v>16666.666666666668</v>
      </c>
      <c r="AR922" t="s">
        <v>3219</v>
      </c>
      <c r="AS922" t="s">
        <v>78</v>
      </c>
      <c r="AX922" t="s">
        <v>79</v>
      </c>
      <c r="AY922" t="s">
        <v>74</v>
      </c>
      <c r="AZ922">
        <v>0</v>
      </c>
      <c r="BA922" t="s">
        <v>74</v>
      </c>
      <c r="BB922">
        <v>0</v>
      </c>
      <c r="BD922">
        <v>5</v>
      </c>
      <c r="BE922">
        <v>0</v>
      </c>
    </row>
    <row r="923" spans="1:58" ht="12.75">
      <c r="A923" s="2" t="str">
        <f>HYPERLINK("https://ibp.a2mac1.com/costing(costing:projects/details/8191/part/5383685)","Back Heating")</f>
        <v>Back Heating</v>
      </c>
      <c r="B923">
        <v>5383685</v>
      </c>
      <c r="C923">
        <v>5383544</v>
      </c>
      <c r="E923">
        <v>5</v>
      </c>
      <c r="F923">
        <v>0</v>
      </c>
      <c r="G923">
        <v>0</v>
      </c>
      <c r="H923">
        <v>0</v>
      </c>
      <c r="I923" t="s">
        <v>74</v>
      </c>
      <c r="J923">
        <v>0</v>
      </c>
      <c r="K923">
        <v>5</v>
      </c>
      <c r="L923">
        <v>0</v>
      </c>
      <c r="M923">
        <v>0</v>
      </c>
      <c r="N923">
        <v>5</v>
      </c>
      <c r="O923" t="s">
        <v>74</v>
      </c>
      <c r="P923">
        <v>0</v>
      </c>
      <c r="Q923" t="s">
        <v>74</v>
      </c>
      <c r="R923">
        <v>0</v>
      </c>
      <c r="S923" t="s">
        <v>74</v>
      </c>
      <c r="T923">
        <v>0</v>
      </c>
      <c r="U923" t="s">
        <v>74</v>
      </c>
      <c r="V923">
        <v>0</v>
      </c>
      <c r="W923" t="s">
        <v>74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276</v>
      </c>
      <c r="AG923">
        <v>596</v>
      </c>
      <c r="AI923">
        <v>0.033000000000000002</v>
      </c>
      <c r="AJ923" t="s">
        <v>2990</v>
      </c>
      <c r="AK923" t="s">
        <v>686</v>
      </c>
      <c r="AL923" t="s">
        <v>2991</v>
      </c>
      <c r="AM923">
        <v>200000</v>
      </c>
      <c r="AN923" t="s">
        <v>76</v>
      </c>
      <c r="AO923">
        <v>1</v>
      </c>
      <c r="AP923">
        <v>0</v>
      </c>
      <c r="AQ923">
        <v>16666.666666666668</v>
      </c>
      <c r="AR923" t="s">
        <v>3220</v>
      </c>
      <c r="AS923" t="s">
        <v>78</v>
      </c>
      <c r="AX923" t="s">
        <v>79</v>
      </c>
      <c r="AY923" t="s">
        <v>74</v>
      </c>
      <c r="AZ923">
        <v>0</v>
      </c>
      <c r="BA923" t="s">
        <v>74</v>
      </c>
      <c r="BB923">
        <v>0</v>
      </c>
      <c r="BD923">
        <v>5</v>
      </c>
      <c r="BE923">
        <v>0</v>
      </c>
    </row>
    <row r="924" spans="1:58" ht="12.75">
      <c r="A924" s="2" t="str">
        <f>HYPERLINK("https://ibp.a2mac1.com/costing(costing:projects/details/8191/part/5383537)","Wiring Harness")</f>
        <v>Wiring Harness</v>
      </c>
      <c r="B924">
        <v>5383537</v>
      </c>
      <c r="C924">
        <v>5383400</v>
      </c>
      <c r="E924">
        <v>0</v>
      </c>
      <c r="F924">
        <v>11.647748207946789</v>
      </c>
      <c r="G924">
        <v>0</v>
      </c>
      <c r="H924">
        <v>0</v>
      </c>
      <c r="I924" t="s">
        <v>137</v>
      </c>
      <c r="J924">
        <v>0</v>
      </c>
      <c r="K924">
        <v>12.055419395224927</v>
      </c>
      <c r="L924">
        <v>0.632211882930239</v>
      </c>
      <c r="M924">
        <v>2.2127415902558365</v>
      </c>
      <c r="N924">
        <v>14.268160985480764</v>
      </c>
      <c r="O924" t="s">
        <v>138</v>
      </c>
      <c r="P924">
        <v>0.72332516371349564</v>
      </c>
      <c r="Q924" t="s">
        <v>138</v>
      </c>
      <c r="R924">
        <v>0.13276449541535018</v>
      </c>
      <c r="S924" t="s">
        <v>1643</v>
      </c>
      <c r="T924">
        <v>1.4268160985480765</v>
      </c>
      <c r="U924" t="s">
        <v>90</v>
      </c>
      <c r="V924">
        <v>0</v>
      </c>
      <c r="W924" t="s">
        <v>90</v>
      </c>
      <c r="X924">
        <v>0</v>
      </c>
      <c r="Y924">
        <v>16.551066743157687</v>
      </c>
      <c r="Z924">
        <v>0</v>
      </c>
      <c r="AA924">
        <v>0</v>
      </c>
      <c r="AB924">
        <v>0</v>
      </c>
      <c r="AC924">
        <v>0</v>
      </c>
      <c r="AD924">
        <v>0</v>
      </c>
      <c r="AI924">
        <v>0.66600000000000004</v>
      </c>
      <c r="AJ924" t="s">
        <v>3224</v>
      </c>
      <c r="AK924" t="s">
        <v>1645</v>
      </c>
      <c r="AL924" t="s">
        <v>1658</v>
      </c>
      <c r="AM924">
        <v>200000</v>
      </c>
      <c r="AN924" t="s">
        <v>76</v>
      </c>
      <c r="AO924">
        <v>1</v>
      </c>
      <c r="AP924">
        <v>0</v>
      </c>
      <c r="AQ924">
        <v>16666.666666666668</v>
      </c>
      <c r="AR924" t="s">
        <v>3225</v>
      </c>
      <c r="AS924" t="s">
        <v>78</v>
      </c>
      <c r="AX924" t="s">
        <v>79</v>
      </c>
      <c r="AY924" t="s">
        <v>137</v>
      </c>
      <c r="AZ924">
        <v>0.40767118727813761</v>
      </c>
      <c r="BA924" t="s">
        <v>137</v>
      </c>
      <c r="BB924">
        <v>0</v>
      </c>
      <c r="BE924">
        <v>0</v>
      </c>
    </row>
    <row r="925" spans="1:58" ht="12.75">
      <c r="A925" s="2" t="str">
        <f>HYPERLINK("https://ibp.a2mac1.com/costing(costing:projects/details/8191/part/5383948)","Cover")</f>
        <v>Cover</v>
      </c>
      <c r="B925">
        <v>5383948</v>
      </c>
      <c r="C925">
        <v>5383686</v>
      </c>
      <c r="E925">
        <v>2.0512000000000001</v>
      </c>
      <c r="F925">
        <v>0</v>
      </c>
      <c r="G925">
        <v>0</v>
      </c>
      <c r="H925">
        <v>0.0042254720000000001</v>
      </c>
      <c r="I925" t="s">
        <v>137</v>
      </c>
      <c r="J925">
        <v>0.071791999999999995</v>
      </c>
      <c r="K925">
        <v>2.1272174719999999</v>
      </c>
      <c r="L925">
        <v>0.16438068550609006</v>
      </c>
      <c r="M925">
        <v>0.98628411303654029</v>
      </c>
      <c r="N925">
        <v>3.1135015850365404</v>
      </c>
      <c r="O925" t="s">
        <v>90</v>
      </c>
      <c r="P925">
        <v>0</v>
      </c>
      <c r="Q925" t="s">
        <v>90</v>
      </c>
      <c r="R925">
        <v>0</v>
      </c>
      <c r="S925" t="s">
        <v>90</v>
      </c>
      <c r="T925">
        <v>0</v>
      </c>
      <c r="U925" t="s">
        <v>90</v>
      </c>
      <c r="V925">
        <v>0</v>
      </c>
      <c r="W925" t="s">
        <v>90</v>
      </c>
      <c r="X925">
        <v>0</v>
      </c>
      <c r="Y925">
        <v>3.1135015850365404</v>
      </c>
      <c r="Z925">
        <v>0</v>
      </c>
      <c r="AA925">
        <v>0</v>
      </c>
      <c r="AB925">
        <v>0</v>
      </c>
      <c r="AC925">
        <v>0</v>
      </c>
      <c r="AD925">
        <v>0</v>
      </c>
      <c r="AI925">
        <v>0.126</v>
      </c>
      <c r="AJ925" t="s">
        <v>685</v>
      </c>
      <c r="AK925" t="s">
        <v>501</v>
      </c>
      <c r="AL925" t="s">
        <v>1345</v>
      </c>
      <c r="AM925">
        <v>200000</v>
      </c>
      <c r="AN925" t="s">
        <v>92</v>
      </c>
      <c r="AO925">
        <v>1</v>
      </c>
      <c r="AP925">
        <v>0</v>
      </c>
      <c r="AQ925">
        <v>16666.666666666668</v>
      </c>
      <c r="AR925" t="s">
        <v>3235</v>
      </c>
      <c r="AS925" t="s">
        <v>78</v>
      </c>
      <c r="AX925" t="s">
        <v>79</v>
      </c>
      <c r="AY925" t="s">
        <v>137</v>
      </c>
      <c r="AZ925">
        <v>0</v>
      </c>
      <c r="BA925" t="s">
        <v>137</v>
      </c>
      <c r="BB925">
        <v>0</v>
      </c>
      <c r="BE925">
        <v>0</v>
      </c>
    </row>
    <row r="926" spans="1:58" ht="12.75">
      <c r="A926" s="2" t="str">
        <f>HYPERLINK("https://ibp.a2mac1.com/costing(costing:projects/details/8191/part/5383949)","Padding")</f>
        <v>Padding</v>
      </c>
      <c r="B926">
        <v>5383949</v>
      </c>
      <c r="C926">
        <v>5383686</v>
      </c>
      <c r="E926">
        <v>0.38645415900000002</v>
      </c>
      <c r="F926">
        <v>0</v>
      </c>
      <c r="G926">
        <v>0</v>
      </c>
      <c r="H926">
        <v>0.0019603589418947368</v>
      </c>
      <c r="I926" t="s">
        <v>137</v>
      </c>
      <c r="J926">
        <v>0.013559795052631579</v>
      </c>
      <c r="K926">
        <v>0.40197431299452629</v>
      </c>
      <c r="L926">
        <v>0.026783507879850274</v>
      </c>
      <c r="M926">
        <v>0.16070104727910164</v>
      </c>
      <c r="N926">
        <v>0.56267536027362797</v>
      </c>
      <c r="O926" t="s">
        <v>90</v>
      </c>
      <c r="P926">
        <v>0</v>
      </c>
      <c r="Q926" t="s">
        <v>90</v>
      </c>
      <c r="R926">
        <v>0</v>
      </c>
      <c r="S926" t="s">
        <v>90</v>
      </c>
      <c r="T926">
        <v>0</v>
      </c>
      <c r="U926" t="s">
        <v>90</v>
      </c>
      <c r="V926">
        <v>0</v>
      </c>
      <c r="W926" t="s">
        <v>90</v>
      </c>
      <c r="X926">
        <v>0</v>
      </c>
      <c r="Y926">
        <v>0.56267536027362797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140</v>
      </c>
      <c r="AF926">
        <v>220</v>
      </c>
      <c r="AG926">
        <v>155</v>
      </c>
      <c r="AI926">
        <v>0.109</v>
      </c>
      <c r="AJ926" t="s">
        <v>685</v>
      </c>
      <c r="AK926" t="s">
        <v>501</v>
      </c>
      <c r="AL926" t="s">
        <v>2703</v>
      </c>
      <c r="AM926">
        <v>200000</v>
      </c>
      <c r="AN926" t="s">
        <v>92</v>
      </c>
      <c r="AO926">
        <v>1</v>
      </c>
      <c r="AP926">
        <v>0</v>
      </c>
      <c r="AQ926">
        <v>16666.666666666668</v>
      </c>
      <c r="AR926" t="s">
        <v>3240</v>
      </c>
      <c r="AS926" t="s">
        <v>78</v>
      </c>
      <c r="AX926" t="s">
        <v>79</v>
      </c>
      <c r="AY926" t="s">
        <v>137</v>
      </c>
      <c r="AZ926">
        <v>0</v>
      </c>
      <c r="BA926" t="s">
        <v>137</v>
      </c>
      <c r="BB926">
        <v>0</v>
      </c>
      <c r="BE926">
        <v>0</v>
      </c>
    </row>
    <row r="927" spans="1:58" ht="12.75">
      <c r="A927" s="2" t="str">
        <f>HYPERLINK("https://ibp.a2mac1.com/costing(costing:projects/details/8191/part/5383950)","Frame")</f>
        <v>Frame</v>
      </c>
      <c r="B927">
        <v>5383950</v>
      </c>
      <c r="C927">
        <v>5383686</v>
      </c>
      <c r="E927">
        <v>0.19325110707070708</v>
      </c>
      <c r="F927">
        <v>0</v>
      </c>
      <c r="G927">
        <v>0</v>
      </c>
      <c r="H927">
        <v>0.00097400107070707068</v>
      </c>
      <c r="I927" t="s">
        <v>137</v>
      </c>
      <c r="J927">
        <v>0.0067773434343434344</v>
      </c>
      <c r="K927">
        <v>0.20100245157575758</v>
      </c>
      <c r="L927">
        <v>0.065822173382775934</v>
      </c>
      <c r="M927">
        <v>0.3949330402966556</v>
      </c>
      <c r="N927">
        <v>0.59593549187241313</v>
      </c>
      <c r="O927" t="s">
        <v>90</v>
      </c>
      <c r="P927">
        <v>0</v>
      </c>
      <c r="Q927" t="s">
        <v>90</v>
      </c>
      <c r="R927">
        <v>0</v>
      </c>
      <c r="S927" t="s">
        <v>90</v>
      </c>
      <c r="T927">
        <v>0</v>
      </c>
      <c r="U927" t="s">
        <v>90</v>
      </c>
      <c r="V927">
        <v>0</v>
      </c>
      <c r="W927" t="s">
        <v>90</v>
      </c>
      <c r="X927">
        <v>0</v>
      </c>
      <c r="Y927">
        <v>0.59593549187241313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14</v>
      </c>
      <c r="AF927">
        <v>14</v>
      </c>
      <c r="AG927">
        <v>184</v>
      </c>
      <c r="AI927">
        <v>0.072999999999999995</v>
      </c>
      <c r="AK927" t="s">
        <v>501</v>
      </c>
      <c r="AL927" t="s">
        <v>720</v>
      </c>
      <c r="AM927">
        <v>400000</v>
      </c>
      <c r="AN927" t="s">
        <v>92</v>
      </c>
      <c r="AO927">
        <v>2</v>
      </c>
      <c r="AP927">
        <v>0</v>
      </c>
      <c r="AQ927">
        <v>33333.333333333336</v>
      </c>
      <c r="AR927" t="s">
        <v>3244</v>
      </c>
      <c r="AS927" t="s">
        <v>78</v>
      </c>
      <c r="AX927" t="s">
        <v>79</v>
      </c>
      <c r="AY927" t="s">
        <v>137</v>
      </c>
      <c r="AZ927">
        <v>0</v>
      </c>
      <c r="BA927" t="s">
        <v>137</v>
      </c>
      <c r="BB927">
        <v>0</v>
      </c>
      <c r="BE927">
        <v>0</v>
      </c>
    </row>
    <row r="928" spans="1:58" ht="12.75">
      <c r="A928" s="2" t="str">
        <f>HYPERLINK("https://ibp.a2mac1.com/costing(costing:projects/details/8191/part/5383951)","Reinforcement")</f>
        <v>Reinforcement</v>
      </c>
      <c r="B928">
        <v>5383951</v>
      </c>
      <c r="C928">
        <v>5383686</v>
      </c>
      <c r="E928">
        <v>0.221887953</v>
      </c>
      <c r="F928">
        <v>0</v>
      </c>
      <c r="G928">
        <v>0</v>
      </c>
      <c r="H928">
        <v>0.0011255669595789473</v>
      </c>
      <c r="I928" t="s">
        <v>137</v>
      </c>
      <c r="J928">
        <v>0.0077855422105263155</v>
      </c>
      <c r="K928">
        <v>0.23079906217010526</v>
      </c>
      <c r="L928">
        <v>0.010171020626259838</v>
      </c>
      <c r="M928">
        <v>0.061026123757559031</v>
      </c>
      <c r="N928">
        <v>0.29182518592766432</v>
      </c>
      <c r="O928" t="s">
        <v>90</v>
      </c>
      <c r="P928">
        <v>0</v>
      </c>
      <c r="Q928" t="s">
        <v>90</v>
      </c>
      <c r="R928">
        <v>0</v>
      </c>
      <c r="S928" t="s">
        <v>90</v>
      </c>
      <c r="T928">
        <v>0</v>
      </c>
      <c r="U928" t="s">
        <v>90</v>
      </c>
      <c r="V928">
        <v>0</v>
      </c>
      <c r="W928" t="s">
        <v>90</v>
      </c>
      <c r="X928">
        <v>0</v>
      </c>
      <c r="Y928">
        <v>0.29182518592766432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85</v>
      </c>
      <c r="AF928">
        <v>189</v>
      </c>
      <c r="AG928">
        <v>140</v>
      </c>
      <c r="AI928">
        <v>0.219</v>
      </c>
      <c r="AJ928" t="s">
        <v>685</v>
      </c>
      <c r="AK928" t="s">
        <v>501</v>
      </c>
      <c r="AL928" t="s">
        <v>3249</v>
      </c>
      <c r="AM928">
        <v>200000</v>
      </c>
      <c r="AN928" t="s">
        <v>92</v>
      </c>
      <c r="AO928">
        <v>1</v>
      </c>
      <c r="AP928">
        <v>0</v>
      </c>
      <c r="AQ928">
        <v>16666.666666666668</v>
      </c>
      <c r="AR928" t="s">
        <v>3250</v>
      </c>
      <c r="AS928" t="s">
        <v>78</v>
      </c>
      <c r="AX928" t="s">
        <v>79</v>
      </c>
      <c r="AY928" t="s">
        <v>137</v>
      </c>
      <c r="AZ928">
        <v>0</v>
      </c>
      <c r="BA928" t="s">
        <v>137</v>
      </c>
      <c r="BB928">
        <v>0</v>
      </c>
      <c r="BE928">
        <v>0</v>
      </c>
    </row>
    <row r="929" spans="1:58" ht="12.75">
      <c r="A929" s="2" t="str">
        <f>HYPERLINK("https://ibp.a2mac1.com/costing(costing:projects/details/8191/part/5384072)","Lock Support")</f>
        <v>Lock Support</v>
      </c>
      <c r="B929">
        <v>5384072</v>
      </c>
      <c r="C929">
        <v>5383956</v>
      </c>
      <c r="E929">
        <v>0.039621792000000003</v>
      </c>
      <c r="F929">
        <v>0</v>
      </c>
      <c r="G929">
        <v>0</v>
      </c>
      <c r="H929">
        <v>0.00020098873936842104</v>
      </c>
      <c r="I929" t="s">
        <v>137</v>
      </c>
      <c r="J929">
        <v>0.0013902383157894736</v>
      </c>
      <c r="K929">
        <v>0.041213019055157896</v>
      </c>
      <c r="L929">
        <v>0.015095224524624912</v>
      </c>
      <c r="M929">
        <v>0.090571347147749476</v>
      </c>
      <c r="N929">
        <v>0.13178436620290737</v>
      </c>
      <c r="O929" t="s">
        <v>90</v>
      </c>
      <c r="P929">
        <v>0</v>
      </c>
      <c r="Q929" t="s">
        <v>90</v>
      </c>
      <c r="R929">
        <v>0</v>
      </c>
      <c r="S929" t="s">
        <v>90</v>
      </c>
      <c r="T929">
        <v>0</v>
      </c>
      <c r="U929" t="s">
        <v>90</v>
      </c>
      <c r="V929">
        <v>0</v>
      </c>
      <c r="W929" t="s">
        <v>90</v>
      </c>
      <c r="X929">
        <v>0</v>
      </c>
      <c r="Y929">
        <v>0.13178436620290737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43</v>
      </c>
      <c r="AF929">
        <v>45</v>
      </c>
      <c r="AG929">
        <v>85</v>
      </c>
      <c r="AI929">
        <v>0.028000000000000001</v>
      </c>
      <c r="AJ929" t="s">
        <v>3258</v>
      </c>
      <c r="AK929" t="s">
        <v>501</v>
      </c>
      <c r="AL929" t="s">
        <v>728</v>
      </c>
      <c r="AM929">
        <v>200000</v>
      </c>
      <c r="AN929" t="s">
        <v>92</v>
      </c>
      <c r="AO929">
        <v>1</v>
      </c>
      <c r="AP929">
        <v>0</v>
      </c>
      <c r="AQ929">
        <v>16666.666666666668</v>
      </c>
      <c r="AR929" t="s">
        <v>3259</v>
      </c>
      <c r="AS929" t="s">
        <v>78</v>
      </c>
      <c r="AX929" t="s">
        <v>79</v>
      </c>
      <c r="AY929" t="s">
        <v>137</v>
      </c>
      <c r="AZ929">
        <v>0</v>
      </c>
      <c r="BA929" t="s">
        <v>137</v>
      </c>
      <c r="BB929">
        <v>0</v>
      </c>
      <c r="BE929">
        <v>0</v>
      </c>
    </row>
    <row r="930" spans="1:58" ht="12.75">
      <c r="A930" s="2" t="str">
        <f>HYPERLINK("https://ibp.a2mac1.com/costing(costing:projects/details/8191/part/5384073)","Simple Guide Support")</f>
        <v>Simple Guide Support</v>
      </c>
      <c r="B930">
        <v>5384073</v>
      </c>
      <c r="C930">
        <v>5383956</v>
      </c>
      <c r="E930">
        <v>0.039621792000000003</v>
      </c>
      <c r="F930">
        <v>0</v>
      </c>
      <c r="G930">
        <v>0</v>
      </c>
      <c r="H930">
        <v>0.00020098873936842104</v>
      </c>
      <c r="I930" t="s">
        <v>137</v>
      </c>
      <c r="J930">
        <v>0.0013902383157894736</v>
      </c>
      <c r="K930">
        <v>0.041213019055157896</v>
      </c>
      <c r="L930">
        <v>0.012939685922245831</v>
      </c>
      <c r="M930">
        <v>0.077638115533474994</v>
      </c>
      <c r="N930">
        <v>0.11885113458863288</v>
      </c>
      <c r="O930" t="s">
        <v>90</v>
      </c>
      <c r="P930">
        <v>0</v>
      </c>
      <c r="Q930" t="s">
        <v>90</v>
      </c>
      <c r="R930">
        <v>0</v>
      </c>
      <c r="S930" t="s">
        <v>90</v>
      </c>
      <c r="T930">
        <v>0</v>
      </c>
      <c r="U930" t="s">
        <v>90</v>
      </c>
      <c r="V930">
        <v>0</v>
      </c>
      <c r="W930" t="s">
        <v>90</v>
      </c>
      <c r="X930">
        <v>0</v>
      </c>
      <c r="Y930">
        <v>0.11885113458863288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44</v>
      </c>
      <c r="AF930">
        <v>44</v>
      </c>
      <c r="AG930">
        <v>86</v>
      </c>
      <c r="AI930">
        <v>0.028000000000000001</v>
      </c>
      <c r="AJ930" t="s">
        <v>3258</v>
      </c>
      <c r="AK930" t="s">
        <v>501</v>
      </c>
      <c r="AL930" t="s">
        <v>728</v>
      </c>
      <c r="AM930">
        <v>200000</v>
      </c>
      <c r="AN930" t="s">
        <v>92</v>
      </c>
      <c r="AO930">
        <v>1</v>
      </c>
      <c r="AP930">
        <v>0</v>
      </c>
      <c r="AQ930">
        <v>16666.666666666668</v>
      </c>
      <c r="AR930" t="s">
        <v>3262</v>
      </c>
      <c r="AS930" t="s">
        <v>78</v>
      </c>
      <c r="AX930" t="s">
        <v>79</v>
      </c>
      <c r="AY930" t="s">
        <v>137</v>
      </c>
      <c r="AZ930">
        <v>0</v>
      </c>
      <c r="BA930" t="s">
        <v>137</v>
      </c>
      <c r="BB930">
        <v>0</v>
      </c>
      <c r="BE930">
        <v>0</v>
      </c>
    </row>
    <row r="931" spans="1:58" ht="12.75">
      <c r="A931" s="2" t="str">
        <f>HYPERLINK("https://ibp.a2mac1.com/costing(costing:projects/details/8191/part/5384074)","Lock")</f>
        <v>Lock</v>
      </c>
      <c r="B931">
        <v>5384074</v>
      </c>
      <c r="C931">
        <v>5383957</v>
      </c>
      <c r="E931">
        <v>2</v>
      </c>
      <c r="F931">
        <v>0</v>
      </c>
      <c r="G931">
        <v>0</v>
      </c>
      <c r="H931">
        <v>0</v>
      </c>
      <c r="I931" t="s">
        <v>74</v>
      </c>
      <c r="J931">
        <v>0</v>
      </c>
      <c r="K931">
        <v>2</v>
      </c>
      <c r="L931">
        <v>0</v>
      </c>
      <c r="M931">
        <v>0</v>
      </c>
      <c r="N931">
        <v>2</v>
      </c>
      <c r="O931" t="s">
        <v>74</v>
      </c>
      <c r="P931">
        <v>0</v>
      </c>
      <c r="Q931" t="s">
        <v>74</v>
      </c>
      <c r="R931">
        <v>0</v>
      </c>
      <c r="S931" t="s">
        <v>74</v>
      </c>
      <c r="T931">
        <v>0</v>
      </c>
      <c r="U931" t="s">
        <v>74</v>
      </c>
      <c r="V931">
        <v>0</v>
      </c>
      <c r="W931" t="s">
        <v>74</v>
      </c>
      <c r="X931">
        <v>0</v>
      </c>
      <c r="Y931">
        <v>2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87</v>
      </c>
      <c r="AF931">
        <v>85</v>
      </c>
      <c r="AG931">
        <v>217</v>
      </c>
      <c r="AI931">
        <v>0.315</v>
      </c>
      <c r="AJ931" t="s">
        <v>3265</v>
      </c>
      <c r="AK931" t="s">
        <v>501</v>
      </c>
      <c r="AL931" t="s">
        <v>769</v>
      </c>
      <c r="AM931">
        <v>200000</v>
      </c>
      <c r="AN931" t="s">
        <v>92</v>
      </c>
      <c r="AO931">
        <v>1</v>
      </c>
      <c r="AP931">
        <v>0</v>
      </c>
      <c r="AQ931">
        <v>16666.666666666668</v>
      </c>
      <c r="AR931" t="s">
        <v>3266</v>
      </c>
      <c r="AS931" t="s">
        <v>78</v>
      </c>
      <c r="AX931" t="s">
        <v>79</v>
      </c>
      <c r="AY931" t="s">
        <v>74</v>
      </c>
      <c r="AZ931">
        <v>0</v>
      </c>
      <c r="BA931" t="s">
        <v>74</v>
      </c>
      <c r="BB931">
        <v>0</v>
      </c>
      <c r="BD931">
        <v>2</v>
      </c>
      <c r="BE931">
        <v>0</v>
      </c>
    </row>
    <row r="932" spans="1:58" ht="12.75">
      <c r="A932" s="2" t="str">
        <f>HYPERLINK("https://ibp.a2mac1.com/costing(costing:projects/details/8191/part/5384075)","Lock cover")</f>
        <v>Lock cover</v>
      </c>
      <c r="B932">
        <v>5384075</v>
      </c>
      <c r="C932">
        <v>5383957</v>
      </c>
      <c r="E932">
        <v>0.101126592</v>
      </c>
      <c r="F932">
        <v>0</v>
      </c>
      <c r="G932">
        <v>0</v>
      </c>
      <c r="H932">
        <v>0.00051298301305263163</v>
      </c>
      <c r="I932" t="s">
        <v>137</v>
      </c>
      <c r="J932">
        <v>0.0035483014736842106</v>
      </c>
      <c r="K932">
        <v>0.10518787648673684</v>
      </c>
      <c r="L932">
        <v>0.032342829434181902</v>
      </c>
      <c r="M932">
        <v>0.19405697660509139</v>
      </c>
      <c r="N932">
        <v>0.29924485309182824</v>
      </c>
      <c r="O932" t="s">
        <v>90</v>
      </c>
      <c r="P932">
        <v>0</v>
      </c>
      <c r="Q932" t="s">
        <v>90</v>
      </c>
      <c r="R932">
        <v>0</v>
      </c>
      <c r="S932" t="s">
        <v>90</v>
      </c>
      <c r="T932">
        <v>0</v>
      </c>
      <c r="U932" t="s">
        <v>90</v>
      </c>
      <c r="V932">
        <v>0</v>
      </c>
      <c r="W932" t="s">
        <v>90</v>
      </c>
      <c r="X932">
        <v>0</v>
      </c>
      <c r="Y932">
        <v>0.29924485309182824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110</v>
      </c>
      <c r="AF932">
        <v>90</v>
      </c>
      <c r="AG932">
        <v>47</v>
      </c>
      <c r="AI932">
        <v>0.042000000000000003</v>
      </c>
      <c r="AJ932" t="s">
        <v>685</v>
      </c>
      <c r="AK932" t="s">
        <v>501</v>
      </c>
      <c r="AL932" t="s">
        <v>1275</v>
      </c>
      <c r="AM932">
        <v>200000</v>
      </c>
      <c r="AN932" t="s">
        <v>92</v>
      </c>
      <c r="AO932">
        <v>1</v>
      </c>
      <c r="AP932">
        <v>0</v>
      </c>
      <c r="AQ932">
        <v>16666.666666666668</v>
      </c>
      <c r="AR932" t="s">
        <v>3271</v>
      </c>
      <c r="AS932" t="s">
        <v>78</v>
      </c>
      <c r="AX932" t="s">
        <v>79</v>
      </c>
      <c r="AY932" t="s">
        <v>137</v>
      </c>
      <c r="AZ932">
        <v>0</v>
      </c>
      <c r="BA932" t="s">
        <v>137</v>
      </c>
      <c r="BB932">
        <v>0</v>
      </c>
      <c r="BE932">
        <v>0</v>
      </c>
    </row>
    <row r="933" spans="1:58" ht="12.75">
      <c r="A933" s="2" t="str">
        <f>HYPERLINK("https://ibp.a2mac1.com/costing(costing:projects/details/8191/part/5383952)","Cover")</f>
        <v>Cover</v>
      </c>
      <c r="B933">
        <v>5383952</v>
      </c>
      <c r="C933">
        <v>5383687</v>
      </c>
      <c r="E933">
        <v>10.341105333333333</v>
      </c>
      <c r="F933">
        <v>0</v>
      </c>
      <c r="G933">
        <v>0</v>
      </c>
      <c r="H933">
        <v>0.022308635413333333</v>
      </c>
      <c r="I933" t="s">
        <v>137</v>
      </c>
      <c r="J933">
        <v>0.37903021333333331</v>
      </c>
      <c r="K933">
        <v>10.74244418208</v>
      </c>
      <c r="L933">
        <v>0.37598749010777688</v>
      </c>
      <c r="M933">
        <v>2.2559249406466613</v>
      </c>
      <c r="N933">
        <v>12.998369122726661</v>
      </c>
      <c r="O933" t="s">
        <v>90</v>
      </c>
      <c r="P933">
        <v>0</v>
      </c>
      <c r="Q933" t="s">
        <v>90</v>
      </c>
      <c r="R933">
        <v>0</v>
      </c>
      <c r="S933" t="s">
        <v>90</v>
      </c>
      <c r="T933">
        <v>0</v>
      </c>
      <c r="U933" t="s">
        <v>90</v>
      </c>
      <c r="V933">
        <v>0</v>
      </c>
      <c r="W933" t="s">
        <v>90</v>
      </c>
      <c r="X933">
        <v>0</v>
      </c>
      <c r="Y933">
        <v>12.998369122726661</v>
      </c>
      <c r="Z933">
        <v>0</v>
      </c>
      <c r="AA933">
        <v>0</v>
      </c>
      <c r="AB933">
        <v>0</v>
      </c>
      <c r="AC933">
        <v>0</v>
      </c>
      <c r="AD933">
        <v>0</v>
      </c>
      <c r="AI933">
        <v>0.52200000000000002</v>
      </c>
      <c r="AJ933" t="s">
        <v>3281</v>
      </c>
      <c r="AK933" t="s">
        <v>501</v>
      </c>
      <c r="AL933" t="s">
        <v>2769</v>
      </c>
      <c r="AM933">
        <v>200000</v>
      </c>
      <c r="AN933" t="s">
        <v>92</v>
      </c>
      <c r="AO933">
        <v>1</v>
      </c>
      <c r="AP933">
        <v>0</v>
      </c>
      <c r="AQ933">
        <v>16666.666666666668</v>
      </c>
      <c r="AR933" t="s">
        <v>3282</v>
      </c>
      <c r="AS933" t="s">
        <v>78</v>
      </c>
      <c r="AX933" t="s">
        <v>79</v>
      </c>
      <c r="AY933" t="s">
        <v>137</v>
      </c>
      <c r="AZ933">
        <v>0</v>
      </c>
      <c r="BA933" t="s">
        <v>137</v>
      </c>
      <c r="BB933">
        <v>0</v>
      </c>
      <c r="BE933">
        <v>0</v>
      </c>
    </row>
    <row r="934" spans="1:58" ht="12.75">
      <c r="A934" s="2" t="str">
        <f>HYPERLINK("https://ibp.a2mac1.com/costing(costing:projects/details/8191/part/5383953)","Pad")</f>
        <v>Pad</v>
      </c>
      <c r="B934">
        <v>5383953</v>
      </c>
      <c r="C934">
        <v>5383687</v>
      </c>
      <c r="E934">
        <v>3.4142693130000001</v>
      </c>
      <c r="F934">
        <v>0</v>
      </c>
      <c r="G934">
        <v>0</v>
      </c>
      <c r="H934">
        <v>0.017319501477473683</v>
      </c>
      <c r="I934" t="s">
        <v>137</v>
      </c>
      <c r="J934">
        <v>0.1197989232631579</v>
      </c>
      <c r="K934">
        <v>3.5513877377406318</v>
      </c>
      <c r="L934">
        <v>0.04480862341453546</v>
      </c>
      <c r="M934">
        <v>0.26885174048721278</v>
      </c>
      <c r="N934">
        <v>3.8202394782278444</v>
      </c>
      <c r="O934" t="s">
        <v>90</v>
      </c>
      <c r="P934">
        <v>0</v>
      </c>
      <c r="Q934" t="s">
        <v>90</v>
      </c>
      <c r="R934">
        <v>0</v>
      </c>
      <c r="S934" t="s">
        <v>90</v>
      </c>
      <c r="T934">
        <v>0</v>
      </c>
      <c r="U934" t="s">
        <v>90</v>
      </c>
      <c r="V934">
        <v>0</v>
      </c>
      <c r="W934" t="s">
        <v>90</v>
      </c>
      <c r="X934">
        <v>0</v>
      </c>
      <c r="Y934">
        <v>3.8202394782278444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120</v>
      </c>
      <c r="AF934">
        <v>460</v>
      </c>
      <c r="AG934">
        <v>625</v>
      </c>
      <c r="AI934">
        <v>0.96299999999999997</v>
      </c>
      <c r="AJ934" t="s">
        <v>2775</v>
      </c>
      <c r="AK934" t="s">
        <v>501</v>
      </c>
      <c r="AL934" t="s">
        <v>2703</v>
      </c>
      <c r="AM934">
        <v>200000</v>
      </c>
      <c r="AN934" t="s">
        <v>92</v>
      </c>
      <c r="AO934">
        <v>1</v>
      </c>
      <c r="AP934">
        <v>0</v>
      </c>
      <c r="AQ934">
        <v>16666.666666666668</v>
      </c>
      <c r="AR934" t="s">
        <v>3287</v>
      </c>
      <c r="AS934" t="s">
        <v>78</v>
      </c>
      <c r="AX934" t="s">
        <v>79</v>
      </c>
      <c r="AY934" t="s">
        <v>137</v>
      </c>
      <c r="AZ934">
        <v>0</v>
      </c>
      <c r="BA934" t="s">
        <v>137</v>
      </c>
      <c r="BB934">
        <v>0</v>
      </c>
      <c r="BE934">
        <v>0</v>
      </c>
    </row>
    <row r="935" spans="1:58" ht="12.75">
      <c r="A935" s="2" t="str">
        <f>HYPERLINK("https://ibp.a2mac1.com/costing(costing:projects/details/8191/part/5383954)","Frame")</f>
        <v>Frame</v>
      </c>
      <c r="B935">
        <v>5383954</v>
      </c>
      <c r="C935">
        <v>5383687</v>
      </c>
      <c r="E935">
        <v>2.7551634190340137</v>
      </c>
      <c r="F935">
        <v>0</v>
      </c>
      <c r="G935">
        <v>0</v>
      </c>
      <c r="H935">
        <v>0.014870539837072108</v>
      </c>
      <c r="I935" t="s">
        <v>137</v>
      </c>
      <c r="J935">
        <v>0.10285946527619047</v>
      </c>
      <c r="K935">
        <v>2.8728934241472763</v>
      </c>
      <c r="L935">
        <v>0.41548248859537751</v>
      </c>
      <c r="M935">
        <v>2.4928949315722653</v>
      </c>
      <c r="N935">
        <v>5.3657883557195412</v>
      </c>
      <c r="O935" t="s">
        <v>90</v>
      </c>
      <c r="P935">
        <v>0</v>
      </c>
      <c r="Q935" t="s">
        <v>90</v>
      </c>
      <c r="R935">
        <v>0</v>
      </c>
      <c r="S935" t="s">
        <v>90</v>
      </c>
      <c r="T935">
        <v>0</v>
      </c>
      <c r="U935" t="s">
        <v>90</v>
      </c>
      <c r="V935">
        <v>0</v>
      </c>
      <c r="W935" t="s">
        <v>90</v>
      </c>
      <c r="X935">
        <v>0</v>
      </c>
      <c r="Y935">
        <v>5.3657883557195412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67</v>
      </c>
      <c r="AF935">
        <v>417</v>
      </c>
      <c r="AG935">
        <v>594</v>
      </c>
      <c r="AI935">
        <v>3.4809999999999999</v>
      </c>
      <c r="AJ935" t="s">
        <v>3293</v>
      </c>
      <c r="AK935" t="s">
        <v>501</v>
      </c>
      <c r="AL935" t="s">
        <v>720</v>
      </c>
      <c r="AM935">
        <v>200000</v>
      </c>
      <c r="AN935" t="s">
        <v>92</v>
      </c>
      <c r="AO935">
        <v>1</v>
      </c>
      <c r="AP935">
        <v>0</v>
      </c>
      <c r="AQ935">
        <v>16666.666666666668</v>
      </c>
      <c r="AR935" t="s">
        <v>3294</v>
      </c>
      <c r="AS935" t="s">
        <v>78</v>
      </c>
      <c r="AX935" t="s">
        <v>79</v>
      </c>
      <c r="AY935" t="s">
        <v>137</v>
      </c>
      <c r="AZ935">
        <v>0</v>
      </c>
      <c r="BA935" t="s">
        <v>137</v>
      </c>
      <c r="BB935">
        <v>0</v>
      </c>
      <c r="BE935">
        <v>0</v>
      </c>
    </row>
    <row r="936" spans="1:58" ht="12.75">
      <c r="A936" s="2" t="str">
        <f>HYPERLINK("https://ibp.a2mac1.com/costing(costing:projects/details/8191/part/5383955)","Rear Panel")</f>
        <v>Rear Panel</v>
      </c>
      <c r="B936">
        <v>5383955</v>
      </c>
      <c r="C936">
        <v>5383687</v>
      </c>
      <c r="E936">
        <v>0.72</v>
      </c>
      <c r="F936">
        <v>0</v>
      </c>
      <c r="G936">
        <v>0</v>
      </c>
      <c r="H936">
        <v>0.0036432000000000001</v>
      </c>
      <c r="I936" t="s">
        <v>137</v>
      </c>
      <c r="J936">
        <v>0.0252</v>
      </c>
      <c r="K936">
        <v>0.74884320000000004</v>
      </c>
      <c r="L936">
        <v>0.0096598792012610058</v>
      </c>
      <c r="M936">
        <v>0.057959275207566038</v>
      </c>
      <c r="N936">
        <v>0.80680247520756598</v>
      </c>
      <c r="O936" t="s">
        <v>90</v>
      </c>
      <c r="P936">
        <v>0</v>
      </c>
      <c r="Q936" t="s">
        <v>90</v>
      </c>
      <c r="R936">
        <v>0</v>
      </c>
      <c r="S936" t="s">
        <v>90</v>
      </c>
      <c r="T936">
        <v>0</v>
      </c>
      <c r="U936" t="s">
        <v>90</v>
      </c>
      <c r="V936">
        <v>0</v>
      </c>
      <c r="W936" t="s">
        <v>90</v>
      </c>
      <c r="X936">
        <v>0</v>
      </c>
      <c r="Y936">
        <v>0.80680247520756598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4</v>
      </c>
      <c r="AF936">
        <v>405</v>
      </c>
      <c r="AG936">
        <v>588</v>
      </c>
      <c r="AI936">
        <v>0.20799999999999999</v>
      </c>
      <c r="AK936" t="s">
        <v>501</v>
      </c>
      <c r="AL936" t="s">
        <v>1345</v>
      </c>
      <c r="AM936">
        <v>200000</v>
      </c>
      <c r="AN936" t="s">
        <v>92</v>
      </c>
      <c r="AO936">
        <v>1</v>
      </c>
      <c r="AP936">
        <v>0</v>
      </c>
      <c r="AQ936">
        <v>16666.666666666668</v>
      </c>
      <c r="AR936" t="s">
        <v>3297</v>
      </c>
      <c r="AS936" t="s">
        <v>78</v>
      </c>
      <c r="AX936" t="s">
        <v>79</v>
      </c>
      <c r="AY936" t="s">
        <v>137</v>
      </c>
      <c r="AZ936">
        <v>0</v>
      </c>
      <c r="BA936" t="s">
        <v>137</v>
      </c>
      <c r="BB936">
        <v>0</v>
      </c>
      <c r="BE936">
        <v>0</v>
      </c>
    </row>
    <row r="937" spans="1:58" ht="12.75">
      <c r="A937" s="2" t="str">
        <f>HYPERLINK("https://ibp.a2mac1.com/costing(costing:projects/details/8191/part/5384076)","Cover")</f>
        <v>Cover</v>
      </c>
      <c r="B937">
        <v>5384076</v>
      </c>
      <c r="C937">
        <v>5383958</v>
      </c>
      <c r="E937">
        <v>1.7948</v>
      </c>
      <c r="F937">
        <v>0</v>
      </c>
      <c r="G937">
        <v>0</v>
      </c>
      <c r="H937">
        <v>0.003697288</v>
      </c>
      <c r="I937" t="s">
        <v>137</v>
      </c>
      <c r="J937">
        <v>0.062817999999999999</v>
      </c>
      <c r="K937">
        <v>1.8613152879999999</v>
      </c>
      <c r="L937">
        <v>0.14265319016962</v>
      </c>
      <c r="M937">
        <v>0.85591914101772004</v>
      </c>
      <c r="N937">
        <v>2.7172344290177199</v>
      </c>
      <c r="O937" t="s">
        <v>90</v>
      </c>
      <c r="P937">
        <v>0</v>
      </c>
      <c r="Q937" t="s">
        <v>90</v>
      </c>
      <c r="R937">
        <v>0</v>
      </c>
      <c r="S937" t="s">
        <v>90</v>
      </c>
      <c r="T937">
        <v>0</v>
      </c>
      <c r="U937" t="s">
        <v>90</v>
      </c>
      <c r="V937">
        <v>0</v>
      </c>
      <c r="W937" t="s">
        <v>90</v>
      </c>
      <c r="X937">
        <v>0</v>
      </c>
      <c r="Y937">
        <v>2.7172344290177199</v>
      </c>
      <c r="Z937">
        <v>0</v>
      </c>
      <c r="AA937">
        <v>0</v>
      </c>
      <c r="AB937">
        <v>0</v>
      </c>
      <c r="AC937">
        <v>0</v>
      </c>
      <c r="AD937">
        <v>0</v>
      </c>
      <c r="AI937">
        <v>0.113</v>
      </c>
      <c r="AJ937" t="s">
        <v>685</v>
      </c>
      <c r="AK937" t="s">
        <v>501</v>
      </c>
      <c r="AL937" t="s">
        <v>1345</v>
      </c>
      <c r="AM937">
        <v>200000</v>
      </c>
      <c r="AN937" t="s">
        <v>92</v>
      </c>
      <c r="AO937">
        <v>1</v>
      </c>
      <c r="AP937">
        <v>0</v>
      </c>
      <c r="AQ937">
        <v>16666.666666666668</v>
      </c>
      <c r="AR937" t="s">
        <v>3308</v>
      </c>
      <c r="AS937" t="s">
        <v>78</v>
      </c>
      <c r="AX937" t="s">
        <v>79</v>
      </c>
      <c r="AY937" t="s">
        <v>137</v>
      </c>
      <c r="AZ937">
        <v>0</v>
      </c>
      <c r="BA937" t="s">
        <v>137</v>
      </c>
      <c r="BB937">
        <v>0</v>
      </c>
      <c r="BE937">
        <v>0</v>
      </c>
    </row>
    <row r="938" spans="1:58" ht="12.75">
      <c r="A938" s="2" t="str">
        <f>HYPERLINK("https://ibp.a2mac1.com/costing(costing:projects/details/8191/part/5384077)","Padding")</f>
        <v>Padding</v>
      </c>
      <c r="B938">
        <v>5384077</v>
      </c>
      <c r="C938">
        <v>5383958</v>
      </c>
      <c r="E938">
        <v>0.30845423700000002</v>
      </c>
      <c r="F938">
        <v>0</v>
      </c>
      <c r="G938">
        <v>0</v>
      </c>
      <c r="H938">
        <v>0.0015646901646315789</v>
      </c>
      <c r="I938" t="s">
        <v>137</v>
      </c>
      <c r="J938">
        <v>0.010822955684210525</v>
      </c>
      <c r="K938">
        <v>0.32084188284884213</v>
      </c>
      <c r="L938">
        <v>0.026783507879850274</v>
      </c>
      <c r="M938">
        <v>0.16070104727910164</v>
      </c>
      <c r="N938">
        <v>0.48154293012794375</v>
      </c>
      <c r="O938" t="s">
        <v>90</v>
      </c>
      <c r="P938">
        <v>0</v>
      </c>
      <c r="Q938" t="s">
        <v>90</v>
      </c>
      <c r="R938">
        <v>0</v>
      </c>
      <c r="S938" t="s">
        <v>90</v>
      </c>
      <c r="T938">
        <v>0</v>
      </c>
      <c r="U938" t="s">
        <v>90</v>
      </c>
      <c r="V938">
        <v>0</v>
      </c>
      <c r="W938" t="s">
        <v>90</v>
      </c>
      <c r="X938">
        <v>0</v>
      </c>
      <c r="Y938">
        <v>0.48154293012794375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167</v>
      </c>
      <c r="AF938">
        <v>205</v>
      </c>
      <c r="AG938">
        <v>107</v>
      </c>
      <c r="AI938">
        <v>0.086999999999999994</v>
      </c>
      <c r="AJ938" t="s">
        <v>685</v>
      </c>
      <c r="AK938" t="s">
        <v>501</v>
      </c>
      <c r="AL938" t="s">
        <v>2703</v>
      </c>
      <c r="AM938">
        <v>200000</v>
      </c>
      <c r="AN938" t="s">
        <v>92</v>
      </c>
      <c r="AO938">
        <v>1</v>
      </c>
      <c r="AP938">
        <v>0</v>
      </c>
      <c r="AQ938">
        <v>16666.666666666668</v>
      </c>
      <c r="AR938" t="s">
        <v>3311</v>
      </c>
      <c r="AS938" t="s">
        <v>78</v>
      </c>
      <c r="AX938" t="s">
        <v>79</v>
      </c>
      <c r="AY938" t="s">
        <v>137</v>
      </c>
      <c r="AZ938">
        <v>0</v>
      </c>
      <c r="BA938" t="s">
        <v>137</v>
      </c>
      <c r="BB938">
        <v>0</v>
      </c>
      <c r="BE938">
        <v>0</v>
      </c>
    </row>
    <row r="939" spans="1:58" ht="12.75">
      <c r="A939" s="2" t="str">
        <f>HYPERLINK("https://ibp.a2mac1.com/costing(costing:projects/details/8191/part/5384078)","Frame")</f>
        <v>Frame</v>
      </c>
      <c r="B939">
        <v>5384078</v>
      </c>
      <c r="C939">
        <v>5383958</v>
      </c>
      <c r="E939">
        <v>0.22223877313131313</v>
      </c>
      <c r="F939">
        <v>0</v>
      </c>
      <c r="G939">
        <v>0</v>
      </c>
      <c r="H939">
        <v>0.0011201012313131313</v>
      </c>
      <c r="I939" t="s">
        <v>137</v>
      </c>
      <c r="J939">
        <v>0.0077939449494949494</v>
      </c>
      <c r="K939">
        <v>0.2311528193121212</v>
      </c>
      <c r="L939">
        <v>0.065822173382775934</v>
      </c>
      <c r="M939">
        <v>0.3949330402966556</v>
      </c>
      <c r="N939">
        <v>0.62608585960877683</v>
      </c>
      <c r="O939" t="s">
        <v>90</v>
      </c>
      <c r="P939">
        <v>0</v>
      </c>
      <c r="Q939" t="s">
        <v>90</v>
      </c>
      <c r="R939">
        <v>0</v>
      </c>
      <c r="S939" t="s">
        <v>90</v>
      </c>
      <c r="T939">
        <v>0</v>
      </c>
      <c r="U939" t="s">
        <v>90</v>
      </c>
      <c r="V939">
        <v>0</v>
      </c>
      <c r="W939" t="s">
        <v>90</v>
      </c>
      <c r="X939">
        <v>0</v>
      </c>
      <c r="Y939">
        <v>0.62608585960877683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14</v>
      </c>
      <c r="AF939">
        <v>14</v>
      </c>
      <c r="AG939">
        <v>190</v>
      </c>
      <c r="AI939">
        <v>0.080500000000000002</v>
      </c>
      <c r="AK939" t="s">
        <v>501</v>
      </c>
      <c r="AL939" t="s">
        <v>720</v>
      </c>
      <c r="AM939">
        <v>400000</v>
      </c>
      <c r="AN939" t="s">
        <v>92</v>
      </c>
      <c r="AO939">
        <v>2</v>
      </c>
      <c r="AP939">
        <v>0</v>
      </c>
      <c r="AQ939">
        <v>33333.333333333336</v>
      </c>
      <c r="AR939" t="s">
        <v>3316</v>
      </c>
      <c r="AS939" t="s">
        <v>78</v>
      </c>
      <c r="AX939" t="s">
        <v>79</v>
      </c>
      <c r="AY939" t="s">
        <v>137</v>
      </c>
      <c r="AZ939">
        <v>0</v>
      </c>
      <c r="BA939" t="s">
        <v>137</v>
      </c>
      <c r="BB939">
        <v>0</v>
      </c>
      <c r="BE939">
        <v>0</v>
      </c>
    </row>
    <row r="940" spans="1:58" ht="12.75">
      <c r="A940" s="2" t="str">
        <f>HYPERLINK("https://ibp.a2mac1.com/costing(costing:projects/details/8191/part/5384079)","Reinforcement")</f>
        <v>Reinforcement</v>
      </c>
      <c r="B940">
        <v>5384079</v>
      </c>
      <c r="C940">
        <v>5383958</v>
      </c>
      <c r="E940">
        <v>0.173254977</v>
      </c>
      <c r="F940">
        <v>0</v>
      </c>
      <c r="G940">
        <v>0</v>
      </c>
      <c r="H940">
        <v>0.00087886735199999998</v>
      </c>
      <c r="I940" t="s">
        <v>137</v>
      </c>
      <c r="J940">
        <v>0.0060791220000000002</v>
      </c>
      <c r="K940">
        <v>0.18021296635199999</v>
      </c>
      <c r="L940">
        <v>0.0079407935336581487</v>
      </c>
      <c r="M940">
        <v>0.047644761201948889</v>
      </c>
      <c r="N940">
        <v>0.2278577275539489</v>
      </c>
      <c r="O940" t="s">
        <v>90</v>
      </c>
      <c r="P940">
        <v>0</v>
      </c>
      <c r="Q940" t="s">
        <v>90</v>
      </c>
      <c r="R940">
        <v>0</v>
      </c>
      <c r="S940" t="s">
        <v>90</v>
      </c>
      <c r="T940">
        <v>0</v>
      </c>
      <c r="U940" t="s">
        <v>90</v>
      </c>
      <c r="V940">
        <v>0</v>
      </c>
      <c r="W940" t="s">
        <v>90</v>
      </c>
      <c r="X940">
        <v>0</v>
      </c>
      <c r="Y940">
        <v>0.2278577275539489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135</v>
      </c>
      <c r="AF940">
        <v>175</v>
      </c>
      <c r="AG940">
        <v>67</v>
      </c>
      <c r="AI940">
        <v>0.17100000000000001</v>
      </c>
      <c r="AJ940" t="s">
        <v>685</v>
      </c>
      <c r="AK940" t="s">
        <v>501</v>
      </c>
      <c r="AL940" t="s">
        <v>3249</v>
      </c>
      <c r="AM940">
        <v>200000</v>
      </c>
      <c r="AN940" t="s">
        <v>92</v>
      </c>
      <c r="AO940">
        <v>1</v>
      </c>
      <c r="AP940">
        <v>0</v>
      </c>
      <c r="AQ940">
        <v>16666.666666666668</v>
      </c>
      <c r="AR940" t="s">
        <v>3321</v>
      </c>
      <c r="AS940" t="s">
        <v>78</v>
      </c>
      <c r="AX940" t="s">
        <v>79</v>
      </c>
      <c r="AY940" t="s">
        <v>137</v>
      </c>
      <c r="AZ940">
        <v>0</v>
      </c>
      <c r="BA940" t="s">
        <v>137</v>
      </c>
      <c r="BB940">
        <v>0</v>
      </c>
      <c r="BE940">
        <v>0</v>
      </c>
    </row>
    <row r="941" spans="1:58" ht="12.75">
      <c r="A941" s="2" t="str">
        <f>HYPERLINK("https://ibp.a2mac1.com/costing(costing:projects/details/8191/part/5384080)","Cover")</f>
        <v>Cover</v>
      </c>
      <c r="B941">
        <v>5384080</v>
      </c>
      <c r="C941">
        <v>5383959</v>
      </c>
      <c r="E941">
        <v>2.0512000000000001</v>
      </c>
      <c r="F941">
        <v>0</v>
      </c>
      <c r="G941">
        <v>0</v>
      </c>
      <c r="H941">
        <v>0.0042254720000000001</v>
      </c>
      <c r="I941" t="s">
        <v>137</v>
      </c>
      <c r="J941">
        <v>0.071791999999999995</v>
      </c>
      <c r="K941">
        <v>2.1272174719999999</v>
      </c>
      <c r="L941">
        <v>0.16438068550609006</v>
      </c>
      <c r="M941">
        <v>0.98628411303654029</v>
      </c>
      <c r="N941">
        <v>3.1135015850365404</v>
      </c>
      <c r="O941" t="s">
        <v>138</v>
      </c>
      <c r="P941">
        <v>0.12763304832</v>
      </c>
      <c r="Q941" t="s">
        <v>138</v>
      </c>
      <c r="R941">
        <v>0.059177046782192419</v>
      </c>
      <c r="S941" t="s">
        <v>139</v>
      </c>
      <c r="T941">
        <v>0.37362019020438481</v>
      </c>
      <c r="U941" t="s">
        <v>216</v>
      </c>
      <c r="V941">
        <v>0.015567507925182701</v>
      </c>
      <c r="W941" t="s">
        <v>217</v>
      </c>
      <c r="X941">
        <v>0.062270031700730803</v>
      </c>
      <c r="Y941">
        <v>3.7517694099690311</v>
      </c>
      <c r="Z941">
        <v>0</v>
      </c>
      <c r="AA941">
        <v>0</v>
      </c>
      <c r="AB941">
        <v>0</v>
      </c>
      <c r="AC941">
        <v>0</v>
      </c>
      <c r="AD941">
        <v>0</v>
      </c>
      <c r="AI941">
        <v>0.126</v>
      </c>
      <c r="AJ941" t="s">
        <v>685</v>
      </c>
      <c r="AK941" t="s">
        <v>218</v>
      </c>
      <c r="AL941" t="s">
        <v>1345</v>
      </c>
      <c r="AM941">
        <v>200000</v>
      </c>
      <c r="AN941" t="s">
        <v>76</v>
      </c>
      <c r="AO941">
        <v>1</v>
      </c>
      <c r="AP941">
        <v>0</v>
      </c>
      <c r="AQ941">
        <v>16666.666666666668</v>
      </c>
      <c r="AR941" t="s">
        <v>9</v>
      </c>
      <c r="AS941" t="s">
        <v>78</v>
      </c>
      <c r="AX941" t="s">
        <v>79</v>
      </c>
      <c r="AY941" t="s">
        <v>137</v>
      </c>
      <c r="AZ941">
        <v>0</v>
      </c>
      <c r="BA941" t="s">
        <v>137</v>
      </c>
      <c r="BB941">
        <v>0</v>
      </c>
      <c r="BE941">
        <v>0</v>
      </c>
    </row>
    <row r="942" spans="1:58" ht="12.75">
      <c r="A942" s="2" t="str">
        <f>HYPERLINK("https://ibp.a2mac1.com/costing(costing:projects/details/8191/part/5384081)","Padding")</f>
        <v>Padding</v>
      </c>
      <c r="B942">
        <v>5384081</v>
      </c>
      <c r="C942">
        <v>5383959</v>
      </c>
      <c r="E942">
        <v>0.38645415900000002</v>
      </c>
      <c r="F942">
        <v>0</v>
      </c>
      <c r="G942">
        <v>0</v>
      </c>
      <c r="H942">
        <v>0.0019603589418947368</v>
      </c>
      <c r="I942" t="s">
        <v>137</v>
      </c>
      <c r="J942">
        <v>0.013559795052631579</v>
      </c>
      <c r="K942">
        <v>0.40197431299452629</v>
      </c>
      <c r="L942">
        <v>0.026783507879850274</v>
      </c>
      <c r="M942">
        <v>0.16070104727910164</v>
      </c>
      <c r="N942">
        <v>0.56267536027362797</v>
      </c>
      <c r="O942" t="s">
        <v>138</v>
      </c>
      <c r="P942">
        <v>0.02411845877967158</v>
      </c>
      <c r="Q942" t="s">
        <v>138</v>
      </c>
      <c r="R942">
        <v>0.0096420628367460993</v>
      </c>
      <c r="S942" t="s">
        <v>139</v>
      </c>
      <c r="T942">
        <v>0.067521043232835351</v>
      </c>
      <c r="U942" t="s">
        <v>216</v>
      </c>
      <c r="V942">
        <v>0.0028133768013681396</v>
      </c>
      <c r="W942" t="s">
        <v>217</v>
      </c>
      <c r="X942">
        <v>0.011253507205472559</v>
      </c>
      <c r="Y942">
        <v>0.67802380912972171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140</v>
      </c>
      <c r="AF942">
        <v>220</v>
      </c>
      <c r="AG942">
        <v>155</v>
      </c>
      <c r="AI942">
        <v>0.109</v>
      </c>
      <c r="AJ942" t="s">
        <v>685</v>
      </c>
      <c r="AK942" t="s">
        <v>218</v>
      </c>
      <c r="AL942" t="s">
        <v>2703</v>
      </c>
      <c r="AM942">
        <v>200000</v>
      </c>
      <c r="AN942" t="s">
        <v>76</v>
      </c>
      <c r="AO942">
        <v>1</v>
      </c>
      <c r="AP942">
        <v>0</v>
      </c>
      <c r="AQ942">
        <v>16666.666666666668</v>
      </c>
      <c r="AR942" t="s">
        <v>9</v>
      </c>
      <c r="AS942" t="s">
        <v>78</v>
      </c>
      <c r="AX942" t="s">
        <v>79</v>
      </c>
      <c r="AY942" t="s">
        <v>137</v>
      </c>
      <c r="AZ942">
        <v>0</v>
      </c>
      <c r="BA942" t="s">
        <v>137</v>
      </c>
      <c r="BB942">
        <v>0</v>
      </c>
      <c r="BE942">
        <v>0</v>
      </c>
    </row>
    <row r="943" spans="1:58" ht="12.75">
      <c r="A943" s="2" t="str">
        <f>HYPERLINK("https://ibp.a2mac1.com/costing(costing:projects/details/8191/part/5384082)","Frame")</f>
        <v>Frame</v>
      </c>
      <c r="B943">
        <v>5384082</v>
      </c>
      <c r="C943">
        <v>5383959</v>
      </c>
      <c r="E943">
        <v>0.19325110707070708</v>
      </c>
      <c r="F943">
        <v>0</v>
      </c>
      <c r="G943">
        <v>0</v>
      </c>
      <c r="H943">
        <v>0.00097400107070707068</v>
      </c>
      <c r="I943" t="s">
        <v>137</v>
      </c>
      <c r="J943">
        <v>0.0067773434343434344</v>
      </c>
      <c r="K943">
        <v>0.20100245157575758</v>
      </c>
      <c r="L943">
        <v>0.065822173382775934</v>
      </c>
      <c r="M943">
        <v>0.3949330402966556</v>
      </c>
      <c r="N943">
        <v>0.59593549187241313</v>
      </c>
      <c r="O943" t="s">
        <v>138</v>
      </c>
      <c r="P943">
        <v>0.012060147094545455</v>
      </c>
      <c r="Q943" t="s">
        <v>138</v>
      </c>
      <c r="R943">
        <v>0.023695982417799334</v>
      </c>
      <c r="S943" t="s">
        <v>139</v>
      </c>
      <c r="T943">
        <v>0.071512259024689578</v>
      </c>
      <c r="U943" t="s">
        <v>216</v>
      </c>
      <c r="V943">
        <v>0.0029796774593620658</v>
      </c>
      <c r="W943" t="s">
        <v>217</v>
      </c>
      <c r="X943">
        <v>0.011918709837448263</v>
      </c>
      <c r="Y943">
        <v>0.71810226770625785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14</v>
      </c>
      <c r="AF943">
        <v>14</v>
      </c>
      <c r="AG943">
        <v>184</v>
      </c>
      <c r="AI943">
        <v>0.072999999999999995</v>
      </c>
      <c r="AK943" t="s">
        <v>218</v>
      </c>
      <c r="AL943" t="s">
        <v>720</v>
      </c>
      <c r="AM943">
        <v>400000</v>
      </c>
      <c r="AN943" t="s">
        <v>76</v>
      </c>
      <c r="AO943">
        <v>2</v>
      </c>
      <c r="AP943">
        <v>0</v>
      </c>
      <c r="AQ943">
        <v>33333.333333333336</v>
      </c>
      <c r="AR943" t="s">
        <v>9</v>
      </c>
      <c r="AS943" t="s">
        <v>78</v>
      </c>
      <c r="AX943" t="s">
        <v>79</v>
      </c>
      <c r="AY943" t="s">
        <v>137</v>
      </c>
      <c r="AZ943">
        <v>0</v>
      </c>
      <c r="BA943" t="s">
        <v>137</v>
      </c>
      <c r="BB943">
        <v>0</v>
      </c>
      <c r="BE943">
        <v>0</v>
      </c>
    </row>
    <row r="944" spans="1:58" ht="12.75">
      <c r="A944" s="2" t="str">
        <f>HYPERLINK("https://ibp.a2mac1.com/costing(costing:projects/details/8191/part/5384083)","Reinforcement")</f>
        <v>Reinforcement</v>
      </c>
      <c r="B944">
        <v>5384083</v>
      </c>
      <c r="C944">
        <v>5383959</v>
      </c>
      <c r="E944">
        <v>0.221887953</v>
      </c>
      <c r="F944">
        <v>0</v>
      </c>
      <c r="G944">
        <v>0</v>
      </c>
      <c r="H944">
        <v>0.0011255669595789473</v>
      </c>
      <c r="I944" t="s">
        <v>137</v>
      </c>
      <c r="J944">
        <v>0.0077855422105263155</v>
      </c>
      <c r="K944">
        <v>0.23079906217010526</v>
      </c>
      <c r="L944">
        <v>0.010171020626259838</v>
      </c>
      <c r="M944">
        <v>0.061026123757559031</v>
      </c>
      <c r="N944">
        <v>0.29182518592766432</v>
      </c>
      <c r="O944" t="s">
        <v>138</v>
      </c>
      <c r="P944">
        <v>0.013847943730206315</v>
      </c>
      <c r="Q944" t="s">
        <v>138</v>
      </c>
      <c r="R944">
        <v>0.0036615674254535419</v>
      </c>
      <c r="S944" t="s">
        <v>139</v>
      </c>
      <c r="T944">
        <v>0.035019022311319717</v>
      </c>
      <c r="U944" t="s">
        <v>216</v>
      </c>
      <c r="V944">
        <v>0.0014591259296383215</v>
      </c>
      <c r="W944" t="s">
        <v>217</v>
      </c>
      <c r="X944">
        <v>0.0058365037185532861</v>
      </c>
      <c r="Y944">
        <v>0.35164934904283546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85</v>
      </c>
      <c r="AF944">
        <v>189</v>
      </c>
      <c r="AG944">
        <v>140</v>
      </c>
      <c r="AI944">
        <v>0.219</v>
      </c>
      <c r="AJ944" t="s">
        <v>685</v>
      </c>
      <c r="AK944" t="s">
        <v>218</v>
      </c>
      <c r="AL944" t="s">
        <v>3249</v>
      </c>
      <c r="AM944">
        <v>200000</v>
      </c>
      <c r="AN944" t="s">
        <v>76</v>
      </c>
      <c r="AO944">
        <v>1</v>
      </c>
      <c r="AP944">
        <v>0</v>
      </c>
      <c r="AQ944">
        <v>16666.666666666668</v>
      </c>
      <c r="AR944" t="s">
        <v>9</v>
      </c>
      <c r="AS944" t="s">
        <v>78</v>
      </c>
      <c r="AX944" t="s">
        <v>79</v>
      </c>
      <c r="AY944" t="s">
        <v>137</v>
      </c>
      <c r="AZ944">
        <v>0</v>
      </c>
      <c r="BA944" t="s">
        <v>137</v>
      </c>
      <c r="BB944">
        <v>0</v>
      </c>
      <c r="BE944">
        <v>0</v>
      </c>
    </row>
    <row r="945" spans="1:58" ht="12.75">
      <c r="A945" s="2" t="str">
        <f>HYPERLINK("https://ibp.a2mac1.com/costing(costing:projects/details/8191/part/5384084)","Lock Support")</f>
        <v>Lock Support</v>
      </c>
      <c r="B945">
        <v>5384084</v>
      </c>
      <c r="C945">
        <v>5383965</v>
      </c>
      <c r="E945">
        <v>0.039621792000000003</v>
      </c>
      <c r="F945">
        <v>0</v>
      </c>
      <c r="G945">
        <v>0</v>
      </c>
      <c r="H945">
        <v>0.00020098873936842104</v>
      </c>
      <c r="I945" t="s">
        <v>137</v>
      </c>
      <c r="J945">
        <v>0.0013902383157894736</v>
      </c>
      <c r="K945">
        <v>0.041213019055157896</v>
      </c>
      <c r="L945">
        <v>0.015095224524624912</v>
      </c>
      <c r="M945">
        <v>0.090571347147749476</v>
      </c>
      <c r="N945">
        <v>0.13178436620290737</v>
      </c>
      <c r="O945" t="s">
        <v>90</v>
      </c>
      <c r="P945">
        <v>0</v>
      </c>
      <c r="Q945" t="s">
        <v>90</v>
      </c>
      <c r="R945">
        <v>0</v>
      </c>
      <c r="S945" t="s">
        <v>90</v>
      </c>
      <c r="T945">
        <v>0</v>
      </c>
      <c r="U945" t="s">
        <v>90</v>
      </c>
      <c r="V945">
        <v>0</v>
      </c>
      <c r="W945" t="s">
        <v>90</v>
      </c>
      <c r="X945">
        <v>0</v>
      </c>
      <c r="Y945">
        <v>0.13178436620290737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42</v>
      </c>
      <c r="AF945">
        <v>44</v>
      </c>
      <c r="AG945">
        <v>85</v>
      </c>
      <c r="AI945">
        <v>0.028000000000000001</v>
      </c>
      <c r="AJ945" t="s">
        <v>3258</v>
      </c>
      <c r="AK945" t="s">
        <v>501</v>
      </c>
      <c r="AL945" t="s">
        <v>728</v>
      </c>
      <c r="AM945">
        <v>200000</v>
      </c>
      <c r="AN945" t="s">
        <v>92</v>
      </c>
      <c r="AO945">
        <v>1</v>
      </c>
      <c r="AP945">
        <v>0</v>
      </c>
      <c r="AQ945">
        <v>16666.666666666668</v>
      </c>
      <c r="AR945" t="s">
        <v>3339</v>
      </c>
      <c r="AS945" t="s">
        <v>78</v>
      </c>
      <c r="AX945" t="s">
        <v>79</v>
      </c>
      <c r="AY945" t="s">
        <v>137</v>
      </c>
      <c r="AZ945">
        <v>0</v>
      </c>
      <c r="BA945" t="s">
        <v>137</v>
      </c>
      <c r="BB945">
        <v>0</v>
      </c>
      <c r="BE945">
        <v>0</v>
      </c>
    </row>
    <row r="946" spans="1:58" ht="12.75">
      <c r="A946" s="2" t="str">
        <f>HYPERLINK("https://ibp.a2mac1.com/costing(costing:projects/details/8191/part/5384085)","Simple Guide Support")</f>
        <v>Simple Guide Support</v>
      </c>
      <c r="B946">
        <v>5384085</v>
      </c>
      <c r="C946">
        <v>5383965</v>
      </c>
      <c r="E946">
        <v>0.039621792000000003</v>
      </c>
      <c r="F946">
        <v>0</v>
      </c>
      <c r="G946">
        <v>0</v>
      </c>
      <c r="H946">
        <v>0.00020098873936842104</v>
      </c>
      <c r="I946" t="s">
        <v>137</v>
      </c>
      <c r="J946">
        <v>0.0013902383157894736</v>
      </c>
      <c r="K946">
        <v>0.041213019055157896</v>
      </c>
      <c r="L946">
        <v>0.012939685922245831</v>
      </c>
      <c r="M946">
        <v>0.077638115533474994</v>
      </c>
      <c r="N946">
        <v>0.11885113458863288</v>
      </c>
      <c r="O946" t="s">
        <v>90</v>
      </c>
      <c r="P946">
        <v>0</v>
      </c>
      <c r="Q946" t="s">
        <v>90</v>
      </c>
      <c r="R946">
        <v>0</v>
      </c>
      <c r="S946" t="s">
        <v>90</v>
      </c>
      <c r="T946">
        <v>0</v>
      </c>
      <c r="U946" t="s">
        <v>90</v>
      </c>
      <c r="V946">
        <v>0</v>
      </c>
      <c r="W946" t="s">
        <v>90</v>
      </c>
      <c r="X946">
        <v>0</v>
      </c>
      <c r="Y946">
        <v>0.11885113458863288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43</v>
      </c>
      <c r="AF946">
        <v>44</v>
      </c>
      <c r="AG946">
        <v>86</v>
      </c>
      <c r="AI946">
        <v>0.028000000000000001</v>
      </c>
      <c r="AJ946" t="s">
        <v>3258</v>
      </c>
      <c r="AK946" t="s">
        <v>501</v>
      </c>
      <c r="AL946" t="s">
        <v>728</v>
      </c>
      <c r="AM946">
        <v>200000</v>
      </c>
      <c r="AN946" t="s">
        <v>92</v>
      </c>
      <c r="AO946">
        <v>1</v>
      </c>
      <c r="AP946">
        <v>0</v>
      </c>
      <c r="AQ946">
        <v>16666.666666666668</v>
      </c>
      <c r="AR946" t="s">
        <v>3342</v>
      </c>
      <c r="AS946" t="s">
        <v>78</v>
      </c>
      <c r="AX946" t="s">
        <v>79</v>
      </c>
      <c r="AY946" t="s">
        <v>137</v>
      </c>
      <c r="AZ946">
        <v>0</v>
      </c>
      <c r="BA946" t="s">
        <v>137</v>
      </c>
      <c r="BB946">
        <v>0</v>
      </c>
      <c r="BE946">
        <v>0</v>
      </c>
    </row>
    <row r="947" spans="1:58" ht="12.75">
      <c r="A947" s="2" t="str">
        <f>HYPERLINK("https://ibp.a2mac1.com/costing(costing:projects/details/8191/part/5384086)","Center Lock Support if Different")</f>
        <v>Center Lock Support if Different</v>
      </c>
      <c r="B947">
        <v>5384086</v>
      </c>
      <c r="C947">
        <v>5383965</v>
      </c>
      <c r="E947">
        <v>0.039621792000000003</v>
      </c>
      <c r="F947">
        <v>0</v>
      </c>
      <c r="G947">
        <v>0</v>
      </c>
      <c r="H947">
        <v>0.00020098873936842104</v>
      </c>
      <c r="I947" t="s">
        <v>137</v>
      </c>
      <c r="J947">
        <v>0.0013902383157894736</v>
      </c>
      <c r="K947">
        <v>0.041213019055157896</v>
      </c>
      <c r="L947">
        <v>0.015095224524624912</v>
      </c>
      <c r="M947">
        <v>0.090571347147749476</v>
      </c>
      <c r="N947">
        <v>0.13178436620290737</v>
      </c>
      <c r="O947" t="s">
        <v>90</v>
      </c>
      <c r="P947">
        <v>0</v>
      </c>
      <c r="Q947" t="s">
        <v>90</v>
      </c>
      <c r="R947">
        <v>0</v>
      </c>
      <c r="S947" t="s">
        <v>90</v>
      </c>
      <c r="T947">
        <v>0</v>
      </c>
      <c r="U947" t="s">
        <v>90</v>
      </c>
      <c r="V947">
        <v>0</v>
      </c>
      <c r="W947" t="s">
        <v>90</v>
      </c>
      <c r="X947">
        <v>0</v>
      </c>
      <c r="Y947">
        <v>0.13178436620290737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43</v>
      </c>
      <c r="AF947">
        <v>44</v>
      </c>
      <c r="AG947">
        <v>85</v>
      </c>
      <c r="AI947">
        <v>0.028000000000000001</v>
      </c>
      <c r="AJ947" t="s">
        <v>3258</v>
      </c>
      <c r="AK947" t="s">
        <v>501</v>
      </c>
      <c r="AL947" t="s">
        <v>728</v>
      </c>
      <c r="AM947">
        <v>200000</v>
      </c>
      <c r="AN947" t="s">
        <v>92</v>
      </c>
      <c r="AO947">
        <v>1</v>
      </c>
      <c r="AP947">
        <v>0</v>
      </c>
      <c r="AQ947">
        <v>16666.666666666668</v>
      </c>
      <c r="AR947" t="s">
        <v>3345</v>
      </c>
      <c r="AS947" t="s">
        <v>78</v>
      </c>
      <c r="AX947" t="s">
        <v>79</v>
      </c>
      <c r="AY947" t="s">
        <v>137</v>
      </c>
      <c r="AZ947">
        <v>0</v>
      </c>
      <c r="BA947" t="s">
        <v>137</v>
      </c>
      <c r="BB947">
        <v>0</v>
      </c>
      <c r="BE947">
        <v>0</v>
      </c>
    </row>
    <row r="948" spans="1:58" ht="12.75">
      <c r="A948" s="2" t="str">
        <f>HYPERLINK("https://ibp.a2mac1.com/costing(costing:projects/details/8191/part/5384087)","Center Simple Guide Support if Different")</f>
        <v>Center Simple Guide Support if Different</v>
      </c>
      <c r="B948">
        <v>5384087</v>
      </c>
      <c r="C948">
        <v>5383965</v>
      </c>
      <c r="E948">
        <v>0.039621792000000003</v>
      </c>
      <c r="F948">
        <v>0</v>
      </c>
      <c r="G948">
        <v>0</v>
      </c>
      <c r="H948">
        <v>0.00020098873936842104</v>
      </c>
      <c r="I948" t="s">
        <v>137</v>
      </c>
      <c r="J948">
        <v>0.0013902383157894736</v>
      </c>
      <c r="K948">
        <v>0.041213019055157896</v>
      </c>
      <c r="L948">
        <v>0.012939685922245831</v>
      </c>
      <c r="M948">
        <v>0.077638115533474994</v>
      </c>
      <c r="N948">
        <v>0.11885113458863288</v>
      </c>
      <c r="O948" t="s">
        <v>90</v>
      </c>
      <c r="P948">
        <v>0</v>
      </c>
      <c r="Q948" t="s">
        <v>90</v>
      </c>
      <c r="R948">
        <v>0</v>
      </c>
      <c r="S948" t="s">
        <v>90</v>
      </c>
      <c r="T948">
        <v>0</v>
      </c>
      <c r="U948" t="s">
        <v>90</v>
      </c>
      <c r="V948">
        <v>0</v>
      </c>
      <c r="W948" t="s">
        <v>90</v>
      </c>
      <c r="X948">
        <v>0</v>
      </c>
      <c r="Y948">
        <v>0.11885113458863288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43</v>
      </c>
      <c r="AF948">
        <v>44</v>
      </c>
      <c r="AG948">
        <v>86</v>
      </c>
      <c r="AI948">
        <v>0.028000000000000001</v>
      </c>
      <c r="AJ948" t="s">
        <v>3258</v>
      </c>
      <c r="AK948" t="s">
        <v>501</v>
      </c>
      <c r="AL948" t="s">
        <v>728</v>
      </c>
      <c r="AM948">
        <v>200000</v>
      </c>
      <c r="AN948" t="s">
        <v>92</v>
      </c>
      <c r="AO948">
        <v>1</v>
      </c>
      <c r="AP948">
        <v>0</v>
      </c>
      <c r="AQ948">
        <v>16666.666666666668</v>
      </c>
      <c r="AR948" t="s">
        <v>3348</v>
      </c>
      <c r="AS948" t="s">
        <v>78</v>
      </c>
      <c r="AX948" t="s">
        <v>79</v>
      </c>
      <c r="AY948" t="s">
        <v>137</v>
      </c>
      <c r="AZ948">
        <v>0</v>
      </c>
      <c r="BA948" t="s">
        <v>137</v>
      </c>
      <c r="BB948">
        <v>0</v>
      </c>
      <c r="BE948">
        <v>0</v>
      </c>
    </row>
    <row r="949" spans="1:58" ht="12.75">
      <c r="A949" s="2" t="str">
        <f>HYPERLINK("https://ibp.a2mac1.com/costing(costing:projects/details/8191/part/5384088)","Lock")</f>
        <v>Lock</v>
      </c>
      <c r="B949">
        <v>5384088</v>
      </c>
      <c r="C949">
        <v>5383966</v>
      </c>
      <c r="E949">
        <v>2</v>
      </c>
      <c r="F949">
        <v>0</v>
      </c>
      <c r="G949">
        <v>0</v>
      </c>
      <c r="H949">
        <v>0</v>
      </c>
      <c r="I949" t="s">
        <v>74</v>
      </c>
      <c r="J949">
        <v>0</v>
      </c>
      <c r="K949">
        <v>2</v>
      </c>
      <c r="L949">
        <v>0</v>
      </c>
      <c r="M949">
        <v>0</v>
      </c>
      <c r="N949">
        <v>2</v>
      </c>
      <c r="O949" t="s">
        <v>74</v>
      </c>
      <c r="P949">
        <v>0</v>
      </c>
      <c r="Q949" t="s">
        <v>74</v>
      </c>
      <c r="R949">
        <v>0</v>
      </c>
      <c r="S949" t="s">
        <v>74</v>
      </c>
      <c r="T949">
        <v>0</v>
      </c>
      <c r="U949" t="s">
        <v>74</v>
      </c>
      <c r="V949">
        <v>0</v>
      </c>
      <c r="W949" t="s">
        <v>74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86</v>
      </c>
      <c r="AF949">
        <v>86</v>
      </c>
      <c r="AG949">
        <v>224</v>
      </c>
      <c r="AI949">
        <v>0.315</v>
      </c>
      <c r="AJ949" t="s">
        <v>3265</v>
      </c>
      <c r="AK949" t="s">
        <v>501</v>
      </c>
      <c r="AL949" t="s">
        <v>3351</v>
      </c>
      <c r="AM949">
        <v>200000</v>
      </c>
      <c r="AN949" t="s">
        <v>92</v>
      </c>
      <c r="AO949">
        <v>1</v>
      </c>
      <c r="AP949">
        <v>0</v>
      </c>
      <c r="AQ949">
        <v>16666.666666666668</v>
      </c>
      <c r="AR949" t="s">
        <v>3352</v>
      </c>
      <c r="AS949" t="s">
        <v>78</v>
      </c>
      <c r="AX949" t="s">
        <v>79</v>
      </c>
      <c r="AY949" t="s">
        <v>74</v>
      </c>
      <c r="AZ949">
        <v>0</v>
      </c>
      <c r="BA949" t="s">
        <v>74</v>
      </c>
      <c r="BB949">
        <v>0</v>
      </c>
      <c r="BD949">
        <v>2</v>
      </c>
      <c r="BE949">
        <v>0</v>
      </c>
    </row>
    <row r="950" spans="1:58" ht="12.75">
      <c r="A950" s="2" t="str">
        <f>HYPERLINK("https://ibp.a2mac1.com/costing(costing:projects/details/8191/part/5384089)","Lock Cover")</f>
        <v>Lock Cover</v>
      </c>
      <c r="B950">
        <v>5384089</v>
      </c>
      <c r="C950">
        <v>5383966</v>
      </c>
      <c r="E950">
        <v>0.096311040000000001</v>
      </c>
      <c r="F950">
        <v>0</v>
      </c>
      <c r="G950">
        <v>0</v>
      </c>
      <c r="H950">
        <v>0.00048855525052631584</v>
      </c>
      <c r="I950" t="s">
        <v>137</v>
      </c>
      <c r="J950">
        <v>0.0033793347368421055</v>
      </c>
      <c r="K950">
        <v>0.10017892998736842</v>
      </c>
      <c r="L950">
        <v>0.01848532187793377</v>
      </c>
      <c r="M950">
        <v>0.11091193126760261</v>
      </c>
      <c r="N950">
        <v>0.21109086125497104</v>
      </c>
      <c r="O950" t="s">
        <v>90</v>
      </c>
      <c r="P950">
        <v>0</v>
      </c>
      <c r="Q950" t="s">
        <v>90</v>
      </c>
      <c r="R950">
        <v>0</v>
      </c>
      <c r="S950" t="s">
        <v>90</v>
      </c>
      <c r="T950">
        <v>0</v>
      </c>
      <c r="U950" t="s">
        <v>90</v>
      </c>
      <c r="V950">
        <v>0</v>
      </c>
      <c r="W950" t="s">
        <v>90</v>
      </c>
      <c r="X950">
        <v>0</v>
      </c>
      <c r="Y950">
        <v>0.21109086125497104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108</v>
      </c>
      <c r="AF950">
        <v>90</v>
      </c>
      <c r="AG950">
        <v>47</v>
      </c>
      <c r="AI950">
        <v>0.04</v>
      </c>
      <c r="AJ950" t="s">
        <v>685</v>
      </c>
      <c r="AK950" t="s">
        <v>501</v>
      </c>
      <c r="AL950" t="s">
        <v>1275</v>
      </c>
      <c r="AM950">
        <v>200000</v>
      </c>
      <c r="AN950" t="s">
        <v>92</v>
      </c>
      <c r="AO950">
        <v>1</v>
      </c>
      <c r="AP950">
        <v>0</v>
      </c>
      <c r="AQ950">
        <v>16666.666666666668</v>
      </c>
      <c r="AR950" t="s">
        <v>3356</v>
      </c>
      <c r="AS950" t="s">
        <v>78</v>
      </c>
      <c r="AX950" t="s">
        <v>79</v>
      </c>
      <c r="AY950" t="s">
        <v>137</v>
      </c>
      <c r="AZ950">
        <v>0</v>
      </c>
      <c r="BA950" t="s">
        <v>137</v>
      </c>
      <c r="BB950">
        <v>0</v>
      </c>
      <c r="BE950">
        <v>0</v>
      </c>
    </row>
    <row r="951" spans="1:58" ht="12.75">
      <c r="A951" s="2" t="str">
        <f>HYPERLINK("https://ibp.a2mac1.com/costing(costing:projects/details/8191/part/5384090)","Center Bezel")</f>
        <v>Center Bezel</v>
      </c>
      <c r="B951">
        <v>5384090</v>
      </c>
      <c r="C951">
        <v>5383967</v>
      </c>
      <c r="E951">
        <v>0.041036855999999997</v>
      </c>
      <c r="F951">
        <v>0</v>
      </c>
      <c r="G951">
        <v>0</v>
      </c>
      <c r="H951">
        <v>0.00020816690863157894</v>
      </c>
      <c r="I951" t="s">
        <v>137</v>
      </c>
      <c r="J951">
        <v>0.0014398896842105263</v>
      </c>
      <c r="K951">
        <v>0.042684912592842107</v>
      </c>
      <c r="L951">
        <v>0.013401820962257368</v>
      </c>
      <c r="M951">
        <v>0.080410925773544209</v>
      </c>
      <c r="N951">
        <v>0.12309583836638631</v>
      </c>
      <c r="O951" t="s">
        <v>90</v>
      </c>
      <c r="P951">
        <v>0</v>
      </c>
      <c r="Q951" t="s">
        <v>90</v>
      </c>
      <c r="R951">
        <v>0</v>
      </c>
      <c r="S951" t="s">
        <v>90</v>
      </c>
      <c r="T951">
        <v>0</v>
      </c>
      <c r="U951" t="s">
        <v>90</v>
      </c>
      <c r="V951">
        <v>0</v>
      </c>
      <c r="W951" t="s">
        <v>90</v>
      </c>
      <c r="X951">
        <v>0</v>
      </c>
      <c r="Y951">
        <v>0.12309583836638631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67</v>
      </c>
      <c r="AF951">
        <v>58</v>
      </c>
      <c r="AG951">
        <v>140</v>
      </c>
      <c r="AI951">
        <v>0.029000000000000001</v>
      </c>
      <c r="AJ951" t="s">
        <v>685</v>
      </c>
      <c r="AK951" t="s">
        <v>501</v>
      </c>
      <c r="AL951" t="s">
        <v>728</v>
      </c>
      <c r="AM951">
        <v>200000</v>
      </c>
      <c r="AN951" t="s">
        <v>92</v>
      </c>
      <c r="AO951">
        <v>1</v>
      </c>
      <c r="AP951">
        <v>0</v>
      </c>
      <c r="AQ951">
        <v>16666.666666666668</v>
      </c>
      <c r="AR951" t="s">
        <v>3363</v>
      </c>
      <c r="AS951" t="s">
        <v>78</v>
      </c>
      <c r="AX951" t="s">
        <v>79</v>
      </c>
      <c r="AY951" t="s">
        <v>137</v>
      </c>
      <c r="AZ951">
        <v>0</v>
      </c>
      <c r="BA951" t="s">
        <v>137</v>
      </c>
      <c r="BB951">
        <v>0</v>
      </c>
      <c r="BE951">
        <v>0</v>
      </c>
    </row>
    <row r="952" spans="1:58" ht="12.75">
      <c r="A952" s="2" t="str">
        <f>HYPERLINK("https://ibp.a2mac1.com/costing(costing:projects/details/8191/part/5384091)","Load Through Lid")</f>
        <v>Load Through Lid</v>
      </c>
      <c r="B952">
        <v>5384091</v>
      </c>
      <c r="C952">
        <v>5383968</v>
      </c>
      <c r="E952">
        <v>1.1516769389999999</v>
      </c>
      <c r="F952">
        <v>0</v>
      </c>
      <c r="G952">
        <v>0</v>
      </c>
      <c r="H952">
        <v>0.0058420905376842108</v>
      </c>
      <c r="I952" t="s">
        <v>137</v>
      </c>
      <c r="J952">
        <v>0.040409717157894737</v>
      </c>
      <c r="K952">
        <v>1.197928746695579</v>
      </c>
      <c r="L952">
        <v>0.020167208758434019</v>
      </c>
      <c r="M952">
        <v>0.12100325255060411</v>
      </c>
      <c r="N952">
        <v>1.318931999246183</v>
      </c>
      <c r="O952" t="s">
        <v>90</v>
      </c>
      <c r="P952">
        <v>0</v>
      </c>
      <c r="Q952" t="s">
        <v>90</v>
      </c>
      <c r="R952">
        <v>0</v>
      </c>
      <c r="S952" t="s">
        <v>90</v>
      </c>
      <c r="T952">
        <v>0</v>
      </c>
      <c r="U952" t="s">
        <v>90</v>
      </c>
      <c r="V952">
        <v>0</v>
      </c>
      <c r="W952" t="s">
        <v>90</v>
      </c>
      <c r="X952">
        <v>0</v>
      </c>
      <c r="Y952">
        <v>1.318931999246183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65</v>
      </c>
      <c r="AF952">
        <v>255</v>
      </c>
      <c r="AG952">
        <v>488</v>
      </c>
      <c r="AI952">
        <v>0.434</v>
      </c>
      <c r="AJ952" t="s">
        <v>2697</v>
      </c>
      <c r="AK952" t="s">
        <v>501</v>
      </c>
      <c r="AL952" t="s">
        <v>1288</v>
      </c>
      <c r="AM952">
        <v>200000</v>
      </c>
      <c r="AN952" t="s">
        <v>92</v>
      </c>
      <c r="AO952">
        <v>1</v>
      </c>
      <c r="AP952">
        <v>0</v>
      </c>
      <c r="AQ952">
        <v>16666.666666666668</v>
      </c>
      <c r="AR952" t="s">
        <v>3370</v>
      </c>
      <c r="AS952" t="s">
        <v>78</v>
      </c>
      <c r="AX952" t="s">
        <v>79</v>
      </c>
      <c r="AY952" t="s">
        <v>137</v>
      </c>
      <c r="AZ952">
        <v>0</v>
      </c>
      <c r="BA952" t="s">
        <v>137</v>
      </c>
      <c r="BB952">
        <v>0</v>
      </c>
      <c r="BE952">
        <v>0</v>
      </c>
    </row>
    <row r="953" spans="1:58" ht="12.75">
      <c r="A953" s="2" t="str">
        <f>HYPERLINK("https://ibp.a2mac1.com/costing(costing:projects/details/8191/part/5384092)","Bezel")</f>
        <v>Bezel</v>
      </c>
      <c r="B953">
        <v>5384092</v>
      </c>
      <c r="C953">
        <v>5383968</v>
      </c>
      <c r="E953">
        <v>0.063687203999999997</v>
      </c>
      <c r="F953">
        <v>0</v>
      </c>
      <c r="G953">
        <v>0</v>
      </c>
      <c r="H953">
        <v>0.00032306491452631581</v>
      </c>
      <c r="I953" t="s">
        <v>137</v>
      </c>
      <c r="J953">
        <v>0.0022346387368421053</v>
      </c>
      <c r="K953">
        <v>0.066244907651368423</v>
      </c>
      <c r="L953">
        <v>0.0029616882351502314</v>
      </c>
      <c r="M953">
        <v>0.017770129410901388</v>
      </c>
      <c r="N953">
        <v>0.084015037062269815</v>
      </c>
      <c r="O953" t="s">
        <v>90</v>
      </c>
      <c r="P953">
        <v>0</v>
      </c>
      <c r="Q953" t="s">
        <v>90</v>
      </c>
      <c r="R953">
        <v>0</v>
      </c>
      <c r="S953" t="s">
        <v>90</v>
      </c>
      <c r="T953">
        <v>0</v>
      </c>
      <c r="U953" t="s">
        <v>90</v>
      </c>
      <c r="V953">
        <v>0</v>
      </c>
      <c r="W953" t="s">
        <v>90</v>
      </c>
      <c r="X953">
        <v>0</v>
      </c>
      <c r="Y953">
        <v>0.084015037062269815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22</v>
      </c>
      <c r="AF953">
        <v>210</v>
      </c>
      <c r="AG953">
        <v>27</v>
      </c>
      <c r="AI953">
        <v>0.024</v>
      </c>
      <c r="AJ953" t="s">
        <v>685</v>
      </c>
      <c r="AK953" t="s">
        <v>501</v>
      </c>
      <c r="AL953" t="s">
        <v>1288</v>
      </c>
      <c r="AM953">
        <v>200000</v>
      </c>
      <c r="AN953" t="s">
        <v>92</v>
      </c>
      <c r="AO953">
        <v>1</v>
      </c>
      <c r="AP953">
        <v>0</v>
      </c>
      <c r="AQ953">
        <v>16666.666666666668</v>
      </c>
      <c r="AR953" t="s">
        <v>3375</v>
      </c>
      <c r="AS953" t="s">
        <v>78</v>
      </c>
      <c r="AX953" t="s">
        <v>79</v>
      </c>
      <c r="AY953" t="s">
        <v>137</v>
      </c>
      <c r="AZ953">
        <v>0</v>
      </c>
      <c r="BA953" t="s">
        <v>137</v>
      </c>
      <c r="BB953">
        <v>0</v>
      </c>
      <c r="BE953">
        <v>0</v>
      </c>
    </row>
    <row r="954" spans="1:58" ht="12.75">
      <c r="A954" s="2" t="str">
        <f>HYPERLINK("https://ibp.a2mac1.com/costing(costing:projects/details/8191/part/5384093)","Rear Trim")</f>
        <v>Rear Trim</v>
      </c>
      <c r="B954">
        <v>5384093</v>
      </c>
      <c r="C954">
        <v>5383968</v>
      </c>
      <c r="E954">
        <v>0.26536335</v>
      </c>
      <c r="F954">
        <v>0</v>
      </c>
      <c r="G954">
        <v>0</v>
      </c>
      <c r="H954">
        <v>0.0013461038105263157</v>
      </c>
      <c r="I954" t="s">
        <v>137</v>
      </c>
      <c r="J954">
        <v>0.0093109947368421059</v>
      </c>
      <c r="K954">
        <v>0.2760204485473684</v>
      </c>
      <c r="L954">
        <v>0.0046429065115915586</v>
      </c>
      <c r="M954">
        <v>0.02785743906954935</v>
      </c>
      <c r="N954">
        <v>0.30387788761691775</v>
      </c>
      <c r="O954" t="s">
        <v>90</v>
      </c>
      <c r="P954">
        <v>0</v>
      </c>
      <c r="Q954" t="s">
        <v>90</v>
      </c>
      <c r="R954">
        <v>0</v>
      </c>
      <c r="S954" t="s">
        <v>90</v>
      </c>
      <c r="T954">
        <v>0</v>
      </c>
      <c r="U954" t="s">
        <v>90</v>
      </c>
      <c r="V954">
        <v>0</v>
      </c>
      <c r="W954" t="s">
        <v>90</v>
      </c>
      <c r="X954">
        <v>0</v>
      </c>
      <c r="Y954">
        <v>0.30387788761691775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20</v>
      </c>
      <c r="AF954">
        <v>236</v>
      </c>
      <c r="AG954">
        <v>428</v>
      </c>
      <c r="AI954">
        <v>0.10</v>
      </c>
      <c r="AJ954" t="s">
        <v>1211</v>
      </c>
      <c r="AK954" t="s">
        <v>501</v>
      </c>
      <c r="AL954" t="s">
        <v>1288</v>
      </c>
      <c r="AM954">
        <v>200000</v>
      </c>
      <c r="AN954" t="s">
        <v>92</v>
      </c>
      <c r="AO954">
        <v>1</v>
      </c>
      <c r="AP954">
        <v>0</v>
      </c>
      <c r="AQ954">
        <v>16666.666666666668</v>
      </c>
      <c r="AR954" t="s">
        <v>3380</v>
      </c>
      <c r="AS954" t="s">
        <v>78</v>
      </c>
      <c r="AX954" t="s">
        <v>79</v>
      </c>
      <c r="AY954" t="s">
        <v>137</v>
      </c>
      <c r="AZ954">
        <v>0</v>
      </c>
      <c r="BA954" t="s">
        <v>137</v>
      </c>
      <c r="BB954">
        <v>0</v>
      </c>
      <c r="BE954">
        <v>0</v>
      </c>
    </row>
    <row r="955" spans="1:58" ht="12.75">
      <c r="A955" s="2" t="str">
        <f>HYPERLINK("https://ibp.a2mac1.com/costing(costing:projects/details/8191/part/5384094)","Frame")</f>
        <v>Frame</v>
      </c>
      <c r="B955">
        <v>5384094</v>
      </c>
      <c r="C955">
        <v>5383968</v>
      </c>
      <c r="E955">
        <v>1.5356747965170068</v>
      </c>
      <c r="F955">
        <v>0</v>
      </c>
      <c r="G955">
        <v>0</v>
      </c>
      <c r="H955">
        <v>0.0088267504881360537</v>
      </c>
      <c r="I955" t="s">
        <v>137</v>
      </c>
      <c r="J955">
        <v>0.06105459823809524</v>
      </c>
      <c r="K955">
        <v>1.6055561452432381</v>
      </c>
      <c r="L955">
        <v>0.17346939201326614</v>
      </c>
      <c r="M955">
        <v>1.0408163520795968</v>
      </c>
      <c r="N955">
        <v>2.6463724973228349</v>
      </c>
      <c r="O955" t="s">
        <v>90</v>
      </c>
      <c r="P955">
        <v>0</v>
      </c>
      <c r="Q955" t="s">
        <v>90</v>
      </c>
      <c r="R955">
        <v>0</v>
      </c>
      <c r="S955" t="s">
        <v>90</v>
      </c>
      <c r="T955">
        <v>0</v>
      </c>
      <c r="U955" t="s">
        <v>90</v>
      </c>
      <c r="V955">
        <v>0</v>
      </c>
      <c r="W955" t="s">
        <v>90</v>
      </c>
      <c r="X955">
        <v>0</v>
      </c>
      <c r="Y955">
        <v>2.6463724973228349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90</v>
      </c>
      <c r="AF955">
        <v>250</v>
      </c>
      <c r="AG955">
        <v>423</v>
      </c>
      <c r="AI955">
        <v>1.978</v>
      </c>
      <c r="AJ955" t="s">
        <v>2697</v>
      </c>
      <c r="AK955" t="s">
        <v>501</v>
      </c>
      <c r="AL955" t="s">
        <v>720</v>
      </c>
      <c r="AM955">
        <v>200000</v>
      </c>
      <c r="AN955" t="s">
        <v>92</v>
      </c>
      <c r="AO955">
        <v>1</v>
      </c>
      <c r="AP955">
        <v>0</v>
      </c>
      <c r="AQ955">
        <v>16666.666666666668</v>
      </c>
      <c r="AR955" t="s">
        <v>3387</v>
      </c>
      <c r="AS955" t="s">
        <v>78</v>
      </c>
      <c r="AX955" t="s">
        <v>79</v>
      </c>
      <c r="AY955" t="s">
        <v>137</v>
      </c>
      <c r="AZ955">
        <v>0</v>
      </c>
      <c r="BA955" t="s">
        <v>137</v>
      </c>
      <c r="BB955">
        <v>0</v>
      </c>
      <c r="BE955">
        <v>0</v>
      </c>
    </row>
    <row r="956" spans="1:58" ht="12.75">
      <c r="A956" s="2" t="str">
        <f>HYPERLINK("https://ibp.a2mac1.com/costing(costing:projects/details/8191/part/5384095)","Lock Mechanism")</f>
        <v>Lock Mechanism</v>
      </c>
      <c r="B956">
        <v>5384095</v>
      </c>
      <c r="C956">
        <v>5383968</v>
      </c>
      <c r="E956">
        <v>0.39007145100000001</v>
      </c>
      <c r="F956">
        <v>0</v>
      </c>
      <c r="G956">
        <v>0</v>
      </c>
      <c r="H956">
        <v>0.0019787083128421051</v>
      </c>
      <c r="I956" t="s">
        <v>137</v>
      </c>
      <c r="J956">
        <v>0.013686717578947368</v>
      </c>
      <c r="K956">
        <v>0.4057368768917895</v>
      </c>
      <c r="L956">
        <v>0.064316071421585727</v>
      </c>
      <c r="M956">
        <v>0.38589642852951439</v>
      </c>
      <c r="N956">
        <v>0.79163330542130383</v>
      </c>
      <c r="O956" t="s">
        <v>90</v>
      </c>
      <c r="P956">
        <v>0</v>
      </c>
      <c r="Q956" t="s">
        <v>90</v>
      </c>
      <c r="R956">
        <v>0</v>
      </c>
      <c r="S956" t="s">
        <v>90</v>
      </c>
      <c r="T956">
        <v>0</v>
      </c>
      <c r="U956" t="s">
        <v>90</v>
      </c>
      <c r="V956">
        <v>0</v>
      </c>
      <c r="W956" t="s">
        <v>90</v>
      </c>
      <c r="X956">
        <v>0</v>
      </c>
      <c r="Y956">
        <v>0.79163330542130383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30</v>
      </c>
      <c r="AF956">
        <v>207</v>
      </c>
      <c r="AG956">
        <v>187</v>
      </c>
      <c r="AI956">
        <v>0.24199999999999999</v>
      </c>
      <c r="AJ956" t="s">
        <v>685</v>
      </c>
      <c r="AK956" t="s">
        <v>501</v>
      </c>
      <c r="AL956" t="s">
        <v>3392</v>
      </c>
      <c r="AM956">
        <v>200000</v>
      </c>
      <c r="AN956" t="s">
        <v>92</v>
      </c>
      <c r="AO956">
        <v>1</v>
      </c>
      <c r="AP956">
        <v>0</v>
      </c>
      <c r="AQ956">
        <v>16666.666666666668</v>
      </c>
      <c r="AR956" t="s">
        <v>3393</v>
      </c>
      <c r="AS956" t="s">
        <v>78</v>
      </c>
      <c r="AX956" t="s">
        <v>79</v>
      </c>
      <c r="AY956" t="s">
        <v>137</v>
      </c>
      <c r="AZ956">
        <v>0</v>
      </c>
      <c r="BA956" t="s">
        <v>137</v>
      </c>
      <c r="BB956">
        <v>0</v>
      </c>
      <c r="BE956">
        <v>0</v>
      </c>
    </row>
    <row r="957" spans="1:58" ht="12.75">
      <c r="A957" s="2" t="str">
        <f>HYPERLINK("https://ibp.a2mac1.com/costing(costing:projects/details/8191/part/5384096)","Handle")</f>
        <v>Handle</v>
      </c>
      <c r="B957">
        <v>5384096</v>
      </c>
      <c r="C957">
        <v>5383968</v>
      </c>
      <c r="E957">
        <v>0.068994471000000002</v>
      </c>
      <c r="F957">
        <v>0</v>
      </c>
      <c r="G957">
        <v>0</v>
      </c>
      <c r="H957">
        <v>0.00034998699073684211</v>
      </c>
      <c r="I957" t="s">
        <v>137</v>
      </c>
      <c r="J957">
        <v>0.0024208586315789473</v>
      </c>
      <c r="K957">
        <v>0.071765316622315792</v>
      </c>
      <c r="L957">
        <v>0.0012069301251560023</v>
      </c>
      <c r="M957">
        <v>0.007241580750936014</v>
      </c>
      <c r="N957">
        <v>0.079006897373251797</v>
      </c>
      <c r="O957" t="s">
        <v>90</v>
      </c>
      <c r="P957">
        <v>0</v>
      </c>
      <c r="Q957" t="s">
        <v>90</v>
      </c>
      <c r="R957">
        <v>0</v>
      </c>
      <c r="S957" t="s">
        <v>90</v>
      </c>
      <c r="T957">
        <v>0</v>
      </c>
      <c r="U957" t="s">
        <v>90</v>
      </c>
      <c r="V957">
        <v>0</v>
      </c>
      <c r="W957" t="s">
        <v>90</v>
      </c>
      <c r="X957">
        <v>0</v>
      </c>
      <c r="Y957">
        <v>0.079006897373251797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29</v>
      </c>
      <c r="AF957">
        <v>124</v>
      </c>
      <c r="AG957">
        <v>50</v>
      </c>
      <c r="AI957">
        <v>0.025999999999999999</v>
      </c>
      <c r="AJ957" t="s">
        <v>2697</v>
      </c>
      <c r="AK957" t="s">
        <v>501</v>
      </c>
      <c r="AL957" t="s">
        <v>1288</v>
      </c>
      <c r="AM957">
        <v>200000</v>
      </c>
      <c r="AN957" t="s">
        <v>92</v>
      </c>
      <c r="AO957">
        <v>1</v>
      </c>
      <c r="AP957">
        <v>0</v>
      </c>
      <c r="AQ957">
        <v>16666.666666666668</v>
      </c>
      <c r="AR957" t="s">
        <v>3398</v>
      </c>
      <c r="AS957" t="s">
        <v>78</v>
      </c>
      <c r="AX957" t="s">
        <v>79</v>
      </c>
      <c r="AY957" t="s">
        <v>137</v>
      </c>
      <c r="AZ957">
        <v>0</v>
      </c>
      <c r="BA957" t="s">
        <v>137</v>
      </c>
      <c r="BB957">
        <v>0</v>
      </c>
      <c r="BE957">
        <v>0</v>
      </c>
    </row>
    <row r="958" spans="1:58" ht="12.75">
      <c r="A958" s="2" t="str">
        <f>HYPERLINK("https://ibp.a2mac1.com/costing(costing:projects/details/8191/part/5384097)","Anchor Covers")</f>
        <v>Anchor Covers</v>
      </c>
      <c r="B958">
        <v>5384097</v>
      </c>
      <c r="C958">
        <v>5383968</v>
      </c>
      <c r="E958">
        <v>0.034497235500000001</v>
      </c>
      <c r="F958">
        <v>0</v>
      </c>
      <c r="G958">
        <v>0</v>
      </c>
      <c r="H958">
        <v>0.0001739559845263158</v>
      </c>
      <c r="I958" t="s">
        <v>137</v>
      </c>
      <c r="J958">
        <v>0.0012104293157894736</v>
      </c>
      <c r="K958">
        <v>0.035881620800315789</v>
      </c>
      <c r="L958">
        <v>0.0060060173366495292</v>
      </c>
      <c r="M958">
        <v>0.036036104019897174</v>
      </c>
      <c r="N958">
        <v>0.071917724820212969</v>
      </c>
      <c r="O958" t="s">
        <v>90</v>
      </c>
      <c r="P958">
        <v>0</v>
      </c>
      <c r="Q958" t="s">
        <v>90</v>
      </c>
      <c r="R958">
        <v>0</v>
      </c>
      <c r="S958" t="s">
        <v>90</v>
      </c>
      <c r="T958">
        <v>0</v>
      </c>
      <c r="U958" t="s">
        <v>90</v>
      </c>
      <c r="V958">
        <v>0</v>
      </c>
      <c r="W958" t="s">
        <v>90</v>
      </c>
      <c r="X958">
        <v>0</v>
      </c>
      <c r="Y958">
        <v>0.071917724820212969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24</v>
      </c>
      <c r="AF958">
        <v>22</v>
      </c>
      <c r="AG958">
        <v>75</v>
      </c>
      <c r="AI958">
        <v>0.0064999999999999997</v>
      </c>
      <c r="AJ958" t="s">
        <v>1211</v>
      </c>
      <c r="AK958" t="s">
        <v>501</v>
      </c>
      <c r="AL958" t="s">
        <v>1288</v>
      </c>
      <c r="AM958">
        <v>400000</v>
      </c>
      <c r="AN958" t="s">
        <v>92</v>
      </c>
      <c r="AO958">
        <v>2</v>
      </c>
      <c r="AP958">
        <v>0</v>
      </c>
      <c r="AQ958">
        <v>33333.333333333336</v>
      </c>
      <c r="AR958" t="s">
        <v>3401</v>
      </c>
      <c r="AS958" t="s">
        <v>78</v>
      </c>
      <c r="AX958" t="s">
        <v>79</v>
      </c>
      <c r="AY958" t="s">
        <v>137</v>
      </c>
      <c r="AZ958">
        <v>0</v>
      </c>
      <c r="BA958" t="s">
        <v>137</v>
      </c>
      <c r="BB958">
        <v>0</v>
      </c>
      <c r="BE958">
        <v>0</v>
      </c>
    </row>
    <row r="959" spans="1:58" ht="12.75">
      <c r="A959" s="2" t="str">
        <f>HYPERLINK("https://ibp.a2mac1.com/costing(costing:projects/details/8191/part/5384098)","Rear frame panel")</f>
        <v>Rear frame panel</v>
      </c>
      <c r="B959">
        <v>5384098</v>
      </c>
      <c r="C959">
        <v>5383968</v>
      </c>
      <c r="E959">
        <v>0.24</v>
      </c>
      <c r="F959">
        <v>0</v>
      </c>
      <c r="G959">
        <v>0</v>
      </c>
      <c r="H959">
        <v>0.0012144</v>
      </c>
      <c r="I959" t="s">
        <v>137</v>
      </c>
      <c r="J959">
        <v>0.0083999999999999995</v>
      </c>
      <c r="K959">
        <v>0.24961439999999999</v>
      </c>
      <c r="L959">
        <v>0.0080732909543054579</v>
      </c>
      <c r="M959">
        <v>0.048439745725832754</v>
      </c>
      <c r="N959">
        <v>0.29805414572583278</v>
      </c>
      <c r="O959" t="s">
        <v>90</v>
      </c>
      <c r="P959">
        <v>0</v>
      </c>
      <c r="Q959" t="s">
        <v>90</v>
      </c>
      <c r="R959">
        <v>0</v>
      </c>
      <c r="S959" t="s">
        <v>90</v>
      </c>
      <c r="T959">
        <v>0</v>
      </c>
      <c r="U959" t="s">
        <v>90</v>
      </c>
      <c r="V959">
        <v>0</v>
      </c>
      <c r="W959" t="s">
        <v>90</v>
      </c>
      <c r="X959">
        <v>0</v>
      </c>
      <c r="Y959">
        <v>0.29805414572583278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4</v>
      </c>
      <c r="AF959">
        <v>193</v>
      </c>
      <c r="AG959">
        <v>380</v>
      </c>
      <c r="AI959">
        <v>0.056000000000000001</v>
      </c>
      <c r="AK959" t="s">
        <v>501</v>
      </c>
      <c r="AL959" t="s">
        <v>2991</v>
      </c>
      <c r="AM959">
        <v>200000</v>
      </c>
      <c r="AN959" t="s">
        <v>92</v>
      </c>
      <c r="AO959">
        <v>1</v>
      </c>
      <c r="AP959">
        <v>0</v>
      </c>
      <c r="AQ959">
        <v>16666.666666666668</v>
      </c>
      <c r="AR959" t="s">
        <v>3405</v>
      </c>
      <c r="AS959" t="s">
        <v>78</v>
      </c>
      <c r="AX959" t="s">
        <v>79</v>
      </c>
      <c r="AY959" t="s">
        <v>137</v>
      </c>
      <c r="AZ959">
        <v>0</v>
      </c>
      <c r="BA959" t="s">
        <v>137</v>
      </c>
      <c r="BB959">
        <v>0</v>
      </c>
      <c r="BE959">
        <v>0</v>
      </c>
    </row>
    <row r="960" spans="1:58" ht="12.75">
      <c r="A960" s="2" t="str">
        <f>HYPERLINK("https://ibp.a2mac1.com/costing(costing:projects/details/8191/part/5384255)","Interior")</f>
        <v>Interior</v>
      </c>
      <c r="B960">
        <v>5384255</v>
      </c>
      <c r="C960">
        <v>5384101</v>
      </c>
      <c r="E960">
        <v>0.033443235000000002</v>
      </c>
      <c r="F960">
        <v>0</v>
      </c>
      <c r="G960">
        <v>0</v>
      </c>
      <c r="H960">
        <v>0.00016964688631578947</v>
      </c>
      <c r="I960" t="s">
        <v>137</v>
      </c>
      <c r="J960">
        <v>0.0011734468421052632</v>
      </c>
      <c r="K960">
        <v>0.034786328728421051</v>
      </c>
      <c r="L960">
        <v>0.00069628649699928532</v>
      </c>
      <c r="M960">
        <v>0.0041777189819957126</v>
      </c>
      <c r="N960">
        <v>0.038964047710416762</v>
      </c>
      <c r="O960" t="s">
        <v>90</v>
      </c>
      <c r="P960">
        <v>0</v>
      </c>
      <c r="Q960" t="s">
        <v>90</v>
      </c>
      <c r="R960">
        <v>0</v>
      </c>
      <c r="S960" t="s">
        <v>90</v>
      </c>
      <c r="T960">
        <v>0</v>
      </c>
      <c r="U960" t="s">
        <v>90</v>
      </c>
      <c r="V960">
        <v>0</v>
      </c>
      <c r="W960" t="s">
        <v>90</v>
      </c>
      <c r="X960">
        <v>0</v>
      </c>
      <c r="Y960">
        <v>0.038964047710416762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74</v>
      </c>
      <c r="AF960">
        <v>15</v>
      </c>
      <c r="AG960">
        <v>39</v>
      </c>
      <c r="AI960">
        <v>0.015</v>
      </c>
      <c r="AK960" t="s">
        <v>501</v>
      </c>
      <c r="AL960" t="s">
        <v>1332</v>
      </c>
      <c r="AM960">
        <v>200000</v>
      </c>
      <c r="AN960" t="s">
        <v>92</v>
      </c>
      <c r="AO960">
        <v>1</v>
      </c>
      <c r="AP960">
        <v>0</v>
      </c>
      <c r="AQ960">
        <v>16666.666666666668</v>
      </c>
      <c r="AR960" t="s">
        <v>3412</v>
      </c>
      <c r="AS960" t="s">
        <v>78</v>
      </c>
      <c r="AX960" t="s">
        <v>79</v>
      </c>
      <c r="AY960" t="s">
        <v>137</v>
      </c>
      <c r="AZ960">
        <v>0</v>
      </c>
      <c r="BA960" t="s">
        <v>137</v>
      </c>
      <c r="BB960">
        <v>0</v>
      </c>
      <c r="BE960">
        <v>0</v>
      </c>
    </row>
    <row r="961" spans="1:58" ht="12.75">
      <c r="A961" s="2" t="str">
        <f>HYPERLINK("https://ibp.a2mac1.com/costing(costing:projects/details/8191/part/5384256)","Exterior")</f>
        <v>Exterior</v>
      </c>
      <c r="B961">
        <v>5384256</v>
      </c>
      <c r="C961">
        <v>5384101</v>
      </c>
      <c r="E961">
        <v>0.035672783999999999</v>
      </c>
      <c r="F961">
        <v>0</v>
      </c>
      <c r="G961">
        <v>0</v>
      </c>
      <c r="H961">
        <v>0.00018095667873684211</v>
      </c>
      <c r="I961" t="s">
        <v>137</v>
      </c>
      <c r="J961">
        <v>0.0012516766315789473</v>
      </c>
      <c r="K961">
        <v>0.037105417310315789</v>
      </c>
      <c r="L961">
        <v>0.00074270747262341903</v>
      </c>
      <c r="M961">
        <v>0.004456244835740514</v>
      </c>
      <c r="N961">
        <v>0.041561662146056305</v>
      </c>
      <c r="O961" t="s">
        <v>90</v>
      </c>
      <c r="P961">
        <v>0</v>
      </c>
      <c r="Q961" t="s">
        <v>90</v>
      </c>
      <c r="R961">
        <v>0</v>
      </c>
      <c r="S961" t="s">
        <v>90</v>
      </c>
      <c r="T961">
        <v>0</v>
      </c>
      <c r="U961" t="s">
        <v>90</v>
      </c>
      <c r="V961">
        <v>0</v>
      </c>
      <c r="W961" t="s">
        <v>90</v>
      </c>
      <c r="X961">
        <v>0</v>
      </c>
      <c r="Y961">
        <v>0.041561662146056305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74</v>
      </c>
      <c r="AF961">
        <v>15</v>
      </c>
      <c r="AG961">
        <v>39</v>
      </c>
      <c r="AI961">
        <v>0.016</v>
      </c>
      <c r="AK961" t="s">
        <v>501</v>
      </c>
      <c r="AL961" t="s">
        <v>1332</v>
      </c>
      <c r="AM961">
        <v>200000</v>
      </c>
      <c r="AN961" t="s">
        <v>92</v>
      </c>
      <c r="AO961">
        <v>1</v>
      </c>
      <c r="AP961">
        <v>0</v>
      </c>
      <c r="AQ961">
        <v>16666.666666666668</v>
      </c>
      <c r="AR961" t="s">
        <v>3417</v>
      </c>
      <c r="AS961" t="s">
        <v>78</v>
      </c>
      <c r="AX961" t="s">
        <v>79</v>
      </c>
      <c r="AY961" t="s">
        <v>137</v>
      </c>
      <c r="AZ961">
        <v>0</v>
      </c>
      <c r="BA961" t="s">
        <v>137</v>
      </c>
      <c r="BB961">
        <v>0</v>
      </c>
      <c r="BE961">
        <v>0</v>
      </c>
    </row>
    <row r="962" spans="1:58" ht="12.75">
      <c r="A962" s="2" t="str">
        <f>HYPERLINK("https://ibp.a2mac1.com/costing(costing:projects/details/8191/part/5384257)","Cup Holder")</f>
        <v>Cup Holder</v>
      </c>
      <c r="B962">
        <v>5384257</v>
      </c>
      <c r="C962">
        <v>5384102</v>
      </c>
      <c r="E962">
        <v>0.30501424799999999</v>
      </c>
      <c r="F962">
        <v>0</v>
      </c>
      <c r="G962">
        <v>0</v>
      </c>
      <c r="H962">
        <v>0.001547240195368421</v>
      </c>
      <c r="I962" t="s">
        <v>137</v>
      </c>
      <c r="J962">
        <v>0.010702254315789474</v>
      </c>
      <c r="K962">
        <v>0.31726374251115791</v>
      </c>
      <c r="L962">
        <v>0.017770939766947717</v>
      </c>
      <c r="M962">
        <v>0.10662563860168629</v>
      </c>
      <c r="N962">
        <v>0.42388938111284419</v>
      </c>
      <c r="O962" t="s">
        <v>90</v>
      </c>
      <c r="P962">
        <v>0</v>
      </c>
      <c r="Q962" t="s">
        <v>90</v>
      </c>
      <c r="R962">
        <v>0</v>
      </c>
      <c r="S962" t="s">
        <v>90</v>
      </c>
      <c r="T962">
        <v>0</v>
      </c>
      <c r="U962" t="s">
        <v>90</v>
      </c>
      <c r="V962">
        <v>0</v>
      </c>
      <c r="W962" t="s">
        <v>90</v>
      </c>
      <c r="X962">
        <v>0</v>
      </c>
      <c r="Y962">
        <v>0.42388938111284419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58</v>
      </c>
      <c r="AF962">
        <v>117</v>
      </c>
      <c r="AG962">
        <v>227</v>
      </c>
      <c r="AI962">
        <v>0.14399999999999999</v>
      </c>
      <c r="AJ962" t="s">
        <v>685</v>
      </c>
      <c r="AK962" t="s">
        <v>501</v>
      </c>
      <c r="AL962" t="s">
        <v>3424</v>
      </c>
      <c r="AM962">
        <v>200000</v>
      </c>
      <c r="AN962" t="s">
        <v>92</v>
      </c>
      <c r="AO962">
        <v>1</v>
      </c>
      <c r="AP962">
        <v>0</v>
      </c>
      <c r="AQ962">
        <v>16666.666666666668</v>
      </c>
      <c r="AR962" t="s">
        <v>3425</v>
      </c>
      <c r="AS962" t="s">
        <v>78</v>
      </c>
      <c r="AX962" t="s">
        <v>79</v>
      </c>
      <c r="AY962" t="s">
        <v>137</v>
      </c>
      <c r="AZ962">
        <v>0</v>
      </c>
      <c r="BA962" t="s">
        <v>137</v>
      </c>
      <c r="BB962">
        <v>0</v>
      </c>
      <c r="BE962">
        <v>0</v>
      </c>
    </row>
    <row r="963" spans="1:58" ht="12.75">
      <c r="A963" s="2" t="str">
        <f>HYPERLINK("https://ibp.a2mac1.com/costing(costing:projects/details/8191/part/5384258)","Inner")</f>
        <v>Inner</v>
      </c>
      <c r="B963">
        <v>5384258</v>
      </c>
      <c r="C963">
        <v>5384103</v>
      </c>
      <c r="E963">
        <v>0.96592259400000002</v>
      </c>
      <c r="F963">
        <v>0</v>
      </c>
      <c r="G963">
        <v>0</v>
      </c>
      <c r="H963">
        <v>0.0048998178703157898</v>
      </c>
      <c r="I963" t="s">
        <v>137</v>
      </c>
      <c r="J963">
        <v>0.033892020842105262</v>
      </c>
      <c r="K963">
        <v>1.0047144327124211</v>
      </c>
      <c r="L963">
        <v>0.016911445902226242</v>
      </c>
      <c r="M963">
        <v>0.10146867541335745</v>
      </c>
      <c r="N963">
        <v>1.1061831081257785</v>
      </c>
      <c r="O963" t="s">
        <v>90</v>
      </c>
      <c r="P963">
        <v>0</v>
      </c>
      <c r="Q963" t="s">
        <v>90</v>
      </c>
      <c r="R963">
        <v>0</v>
      </c>
      <c r="S963" t="s">
        <v>90</v>
      </c>
      <c r="T963">
        <v>0</v>
      </c>
      <c r="U963" t="s">
        <v>90</v>
      </c>
      <c r="V963">
        <v>0</v>
      </c>
      <c r="W963" t="s">
        <v>90</v>
      </c>
      <c r="X963">
        <v>0</v>
      </c>
      <c r="Y963">
        <v>1.1061831081257785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84</v>
      </c>
      <c r="AF963">
        <v>256</v>
      </c>
      <c r="AG963">
        <v>423</v>
      </c>
      <c r="AI963">
        <v>0.36399999999999999</v>
      </c>
      <c r="AJ963" t="s">
        <v>2697</v>
      </c>
      <c r="AK963" t="s">
        <v>501</v>
      </c>
      <c r="AL963" t="s">
        <v>1288</v>
      </c>
      <c r="AM963">
        <v>200000</v>
      </c>
      <c r="AN963" t="s">
        <v>92</v>
      </c>
      <c r="AO963">
        <v>1</v>
      </c>
      <c r="AP963">
        <v>0</v>
      </c>
      <c r="AQ963">
        <v>16666.666666666668</v>
      </c>
      <c r="AR963" t="s">
        <v>3432</v>
      </c>
      <c r="AS963" t="s">
        <v>78</v>
      </c>
      <c r="AX963" t="s">
        <v>79</v>
      </c>
      <c r="AY963" t="s">
        <v>137</v>
      </c>
      <c r="AZ963">
        <v>0</v>
      </c>
      <c r="BA963" t="s">
        <v>137</v>
      </c>
      <c r="BB963">
        <v>0</v>
      </c>
      <c r="BE963">
        <v>0</v>
      </c>
    </row>
    <row r="964" spans="1:58" ht="12.75">
      <c r="A964" s="2" t="str">
        <f>HYPERLINK("https://ibp.a2mac1.com/costing(costing:projects/details/8191/part/5384099)","Lid")</f>
        <v>Lid</v>
      </c>
      <c r="B964">
        <v>5384099</v>
      </c>
      <c r="C964">
        <v>5383969</v>
      </c>
      <c r="E964">
        <v>4.5750666666666664</v>
      </c>
      <c r="F964">
        <v>0</v>
      </c>
      <c r="G964">
        <v>0</v>
      </c>
      <c r="H964">
        <v>0.0094246373333333328</v>
      </c>
      <c r="I964" t="s">
        <v>137</v>
      </c>
      <c r="J964">
        <v>0.16012733333333334</v>
      </c>
      <c r="K964">
        <v>4.7446186373333337</v>
      </c>
      <c r="L964">
        <v>0.22810407490860546</v>
      </c>
      <c r="M964">
        <v>1.3686244494516329</v>
      </c>
      <c r="N964">
        <v>6.1132430867849665</v>
      </c>
      <c r="O964" t="s">
        <v>90</v>
      </c>
      <c r="P964">
        <v>0</v>
      </c>
      <c r="Q964" t="s">
        <v>90</v>
      </c>
      <c r="R964">
        <v>0</v>
      </c>
      <c r="S964" t="s">
        <v>90</v>
      </c>
      <c r="T964">
        <v>0</v>
      </c>
      <c r="U964" t="s">
        <v>90</v>
      </c>
      <c r="V964">
        <v>0</v>
      </c>
      <c r="W964" t="s">
        <v>90</v>
      </c>
      <c r="X964">
        <v>0</v>
      </c>
      <c r="Y964">
        <v>6.1132430867849665</v>
      </c>
      <c r="Z964">
        <v>0</v>
      </c>
      <c r="AA964">
        <v>0</v>
      </c>
      <c r="AB964">
        <v>0</v>
      </c>
      <c r="AC964">
        <v>0</v>
      </c>
      <c r="AD964">
        <v>0</v>
      </c>
      <c r="AI964">
        <v>0.23200000000000001</v>
      </c>
      <c r="AJ964" t="s">
        <v>685</v>
      </c>
      <c r="AK964" t="s">
        <v>501</v>
      </c>
      <c r="AL964" t="s">
        <v>3441</v>
      </c>
      <c r="AM964">
        <v>200000</v>
      </c>
      <c r="AN964" t="s">
        <v>92</v>
      </c>
      <c r="AO964">
        <v>1</v>
      </c>
      <c r="AP964">
        <v>0</v>
      </c>
      <c r="AQ964">
        <v>16666.666666666668</v>
      </c>
      <c r="AR964" t="s">
        <v>3442</v>
      </c>
      <c r="AS964" t="s">
        <v>78</v>
      </c>
      <c r="AX964" t="s">
        <v>79</v>
      </c>
      <c r="AY964" t="s">
        <v>137</v>
      </c>
      <c r="AZ964">
        <v>0</v>
      </c>
      <c r="BA964" t="s">
        <v>137</v>
      </c>
      <c r="BB964">
        <v>0</v>
      </c>
      <c r="BE964">
        <v>0</v>
      </c>
    </row>
    <row r="965" spans="1:58" ht="12.75">
      <c r="A965" s="2" t="str">
        <f>HYPERLINK("https://ibp.a2mac1.com/costing(costing:projects/details/8191/part/5384100)","Stuffing and Framework")</f>
        <v>Stuffing and Framework</v>
      </c>
      <c r="B965">
        <v>5384100</v>
      </c>
      <c r="C965">
        <v>5383969</v>
      </c>
      <c r="E965">
        <v>1.9898052698299999</v>
      </c>
      <c r="F965">
        <v>0</v>
      </c>
      <c r="G965">
        <v>0</v>
      </c>
      <c r="H965">
        <v>0.010247556232922105</v>
      </c>
      <c r="I965" t="s">
        <v>137</v>
      </c>
      <c r="J965">
        <v>0.070882305958947373</v>
      </c>
      <c r="K965">
        <v>2.0709351320218694</v>
      </c>
      <c r="L965">
        <v>0.10402766849300187</v>
      </c>
      <c r="M965">
        <v>0.62416601095801116</v>
      </c>
      <c r="N965">
        <v>2.6951011429798806</v>
      </c>
      <c r="O965" t="s">
        <v>90</v>
      </c>
      <c r="P965">
        <v>0</v>
      </c>
      <c r="Q965" t="s">
        <v>90</v>
      </c>
      <c r="R965">
        <v>0</v>
      </c>
      <c r="S965" t="s">
        <v>90</v>
      </c>
      <c r="T965">
        <v>0</v>
      </c>
      <c r="U965" t="s">
        <v>90</v>
      </c>
      <c r="V965">
        <v>0</v>
      </c>
      <c r="W965" t="s">
        <v>90</v>
      </c>
      <c r="X965">
        <v>0</v>
      </c>
      <c r="Y965">
        <v>2.6951011429798806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415</v>
      </c>
      <c r="AF965">
        <v>255</v>
      </c>
      <c r="AG965">
        <v>87</v>
      </c>
      <c r="AI965">
        <v>1.264</v>
      </c>
      <c r="AJ965" t="s">
        <v>2697</v>
      </c>
      <c r="AK965" t="s">
        <v>501</v>
      </c>
      <c r="AL965" t="s">
        <v>3448</v>
      </c>
      <c r="AM965">
        <v>200000</v>
      </c>
      <c r="AN965" t="s">
        <v>92</v>
      </c>
      <c r="AO965">
        <v>1</v>
      </c>
      <c r="AP965">
        <v>0</v>
      </c>
      <c r="AQ965">
        <v>16666.666666666668</v>
      </c>
      <c r="AR965" t="s">
        <v>3449</v>
      </c>
      <c r="AS965" t="s">
        <v>78</v>
      </c>
      <c r="AX965" t="s">
        <v>79</v>
      </c>
      <c r="AY965" t="s">
        <v>137</v>
      </c>
      <c r="AZ965">
        <v>0</v>
      </c>
      <c r="BA965" t="s">
        <v>137</v>
      </c>
      <c r="BB965">
        <v>0</v>
      </c>
      <c r="BE965">
        <v>0</v>
      </c>
    </row>
    <row r="966" spans="1:58" ht="12.75">
      <c r="A966" s="2" t="str">
        <f>HYPERLINK("https://ibp.a2mac1.com/costing(costing:projects/details/8191/part/5384104)","Padding")</f>
        <v>Padding</v>
      </c>
      <c r="B966">
        <v>5384104</v>
      </c>
      <c r="C966">
        <v>5383970</v>
      </c>
      <c r="E966">
        <v>0.24109066800000001</v>
      </c>
      <c r="F966">
        <v>0</v>
      </c>
      <c r="G966">
        <v>0</v>
      </c>
      <c r="H966">
        <v>0.0012229762206315789</v>
      </c>
      <c r="I966" t="s">
        <v>137</v>
      </c>
      <c r="J966">
        <v>0.0084593216842105256</v>
      </c>
      <c r="K966">
        <v>0.2507729659048421</v>
      </c>
      <c r="L966">
        <v>0.0031569213157936009</v>
      </c>
      <c r="M966">
        <v>0.018941527894761608</v>
      </c>
      <c r="N966">
        <v>0.26971449379960372</v>
      </c>
      <c r="O966" t="s">
        <v>90</v>
      </c>
      <c r="P966">
        <v>0</v>
      </c>
      <c r="Q966" t="s">
        <v>90</v>
      </c>
      <c r="R966">
        <v>0</v>
      </c>
      <c r="S966" t="s">
        <v>90</v>
      </c>
      <c r="T966">
        <v>0</v>
      </c>
      <c r="U966" t="s">
        <v>90</v>
      </c>
      <c r="V966">
        <v>0</v>
      </c>
      <c r="W966" t="s">
        <v>90</v>
      </c>
      <c r="X966">
        <v>0</v>
      </c>
      <c r="Y966">
        <v>0.26971449379960372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57</v>
      </c>
      <c r="AF966">
        <v>257</v>
      </c>
      <c r="AG966">
        <v>93</v>
      </c>
      <c r="AI966">
        <v>0.068000000000000005</v>
      </c>
      <c r="AJ966" t="s">
        <v>2697</v>
      </c>
      <c r="AK966" t="s">
        <v>501</v>
      </c>
      <c r="AL966" t="s">
        <v>2703</v>
      </c>
      <c r="AM966">
        <v>200000</v>
      </c>
      <c r="AN966" t="s">
        <v>92</v>
      </c>
      <c r="AO966">
        <v>1</v>
      </c>
      <c r="AP966">
        <v>0</v>
      </c>
      <c r="AQ966">
        <v>16666.666666666668</v>
      </c>
      <c r="AR966" t="s">
        <v>3456</v>
      </c>
      <c r="AS966" t="s">
        <v>78</v>
      </c>
      <c r="AX966" t="s">
        <v>79</v>
      </c>
      <c r="AY966" t="s">
        <v>137</v>
      </c>
      <c r="AZ966">
        <v>0</v>
      </c>
      <c r="BA966" t="s">
        <v>137</v>
      </c>
      <c r="BB966">
        <v>0</v>
      </c>
      <c r="BE966">
        <v>0</v>
      </c>
    </row>
    <row r="967" spans="1:58" ht="12.75">
      <c r="A967" s="2" t="str">
        <f>HYPERLINK("https://ibp.a2mac1.com/costing(costing:projects/details/8191/part/5384105)","Cover")</f>
        <v>Cover</v>
      </c>
      <c r="B967">
        <v>5384105</v>
      </c>
      <c r="C967">
        <v>5383970</v>
      </c>
      <c r="E967">
        <v>1.3674666666666666</v>
      </c>
      <c r="F967">
        <v>0</v>
      </c>
      <c r="G967">
        <v>0</v>
      </c>
      <c r="H967">
        <v>0.0028169813333333332</v>
      </c>
      <c r="I967" t="s">
        <v>137</v>
      </c>
      <c r="J967">
        <v>0.047861333333333332</v>
      </c>
      <c r="K967">
        <v>1.4181449813333333</v>
      </c>
      <c r="L967">
        <v>0.12383866538185537</v>
      </c>
      <c r="M967">
        <v>0.74303199229113226</v>
      </c>
      <c r="N967">
        <v>2.1611769736244657</v>
      </c>
      <c r="O967" t="s">
        <v>90</v>
      </c>
      <c r="P967">
        <v>0</v>
      </c>
      <c r="Q967" t="s">
        <v>90</v>
      </c>
      <c r="R967">
        <v>0</v>
      </c>
      <c r="S967" t="s">
        <v>90</v>
      </c>
      <c r="T967">
        <v>0</v>
      </c>
      <c r="U967" t="s">
        <v>90</v>
      </c>
      <c r="V967">
        <v>0</v>
      </c>
      <c r="W967" t="s">
        <v>90</v>
      </c>
      <c r="X967">
        <v>0</v>
      </c>
      <c r="Y967">
        <v>2.1611769736244657</v>
      </c>
      <c r="Z967">
        <v>0</v>
      </c>
      <c r="AA967">
        <v>0</v>
      </c>
      <c r="AB967">
        <v>0</v>
      </c>
      <c r="AC967">
        <v>0</v>
      </c>
      <c r="AD967">
        <v>0</v>
      </c>
      <c r="AI967">
        <v>0.055</v>
      </c>
      <c r="AJ967" t="s">
        <v>685</v>
      </c>
      <c r="AK967" t="s">
        <v>501</v>
      </c>
      <c r="AL967" t="s">
        <v>3441</v>
      </c>
      <c r="AM967">
        <v>200000</v>
      </c>
      <c r="AN967" t="s">
        <v>92</v>
      </c>
      <c r="AO967">
        <v>1</v>
      </c>
      <c r="AP967">
        <v>0</v>
      </c>
      <c r="AQ967">
        <v>16666.666666666668</v>
      </c>
      <c r="AR967" t="s">
        <v>3460</v>
      </c>
      <c r="AS967" t="s">
        <v>78</v>
      </c>
      <c r="AX967" t="s">
        <v>79</v>
      </c>
      <c r="AY967" t="s">
        <v>137</v>
      </c>
      <c r="AZ967">
        <v>0</v>
      </c>
      <c r="BA967" t="s">
        <v>137</v>
      </c>
      <c r="BB967">
        <v>0</v>
      </c>
      <c r="BE967">
        <v>0</v>
      </c>
    </row>
    <row r="968" spans="1:58" ht="12.75">
      <c r="A968" s="2" t="str">
        <f>HYPERLINK("https://ibp.a2mac1.com/costing(costing:projects/details/8191/part/5384106)","Framework")</f>
        <v>Framework</v>
      </c>
      <c r="B968">
        <v>5384106</v>
      </c>
      <c r="C968">
        <v>5383970</v>
      </c>
      <c r="E968">
        <v>0.16772710499999999</v>
      </c>
      <c r="F968">
        <v>0</v>
      </c>
      <c r="G968">
        <v>0</v>
      </c>
      <c r="H968">
        <v>0.00085082621684210531</v>
      </c>
      <c r="I968" t="s">
        <v>137</v>
      </c>
      <c r="J968">
        <v>0.0058851615789473682</v>
      </c>
      <c r="K968">
        <v>0.17446309279578948</v>
      </c>
      <c r="L968">
        <v>0.010119659058834518</v>
      </c>
      <c r="M968">
        <v>0.060717954353007114</v>
      </c>
      <c r="N968">
        <v>0.23518104714879659</v>
      </c>
      <c r="O968" t="s">
        <v>90</v>
      </c>
      <c r="P968">
        <v>0</v>
      </c>
      <c r="Q968" t="s">
        <v>90</v>
      </c>
      <c r="R968">
        <v>0</v>
      </c>
      <c r="S968" t="s">
        <v>90</v>
      </c>
      <c r="T968">
        <v>0</v>
      </c>
      <c r="U968" t="s">
        <v>90</v>
      </c>
      <c r="V968">
        <v>0</v>
      </c>
      <c r="W968" t="s">
        <v>90</v>
      </c>
      <c r="X968">
        <v>0</v>
      </c>
      <c r="Y968">
        <v>0.23518104714879659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42</v>
      </c>
      <c r="AF968">
        <v>218</v>
      </c>
      <c r="AG968">
        <v>92</v>
      </c>
      <c r="AI968">
        <v>0.082000000000000003</v>
      </c>
      <c r="AJ968" t="s">
        <v>2697</v>
      </c>
      <c r="AK968" t="s">
        <v>501</v>
      </c>
      <c r="AL968" t="s">
        <v>3465</v>
      </c>
      <c r="AM968">
        <v>200000</v>
      </c>
      <c r="AN968" t="s">
        <v>92</v>
      </c>
      <c r="AO968">
        <v>1</v>
      </c>
      <c r="AP968">
        <v>0</v>
      </c>
      <c r="AQ968">
        <v>16666.666666666668</v>
      </c>
      <c r="AR968" t="s">
        <v>3466</v>
      </c>
      <c r="AS968" t="s">
        <v>78</v>
      </c>
      <c r="AX968" t="s">
        <v>79</v>
      </c>
      <c r="AY968" t="s">
        <v>137</v>
      </c>
      <c r="AZ968">
        <v>0</v>
      </c>
      <c r="BA968" t="s">
        <v>137</v>
      </c>
      <c r="BB968">
        <v>0</v>
      </c>
      <c r="BE968">
        <v>0</v>
      </c>
    </row>
    <row r="969" spans="1:58" ht="12.75">
      <c r="A969" s="2" t="str">
        <f>HYPERLINK("https://ibp.a2mac1.com/costing(costing:projects/details/8191/part/5383960)","Cover")</f>
        <v>Cover</v>
      </c>
      <c r="B969">
        <v>5383960</v>
      </c>
      <c r="C969">
        <v>5383689</v>
      </c>
      <c r="E969">
        <v>13.1774398</v>
      </c>
      <c r="F969">
        <v>0</v>
      </c>
      <c r="G969">
        <v>0</v>
      </c>
      <c r="H969">
        <v>0.030423311605333334</v>
      </c>
      <c r="I969" t="s">
        <v>137</v>
      </c>
      <c r="J969">
        <v>0.51690092533333332</v>
      </c>
      <c r="K969">
        <v>13.724764036938666</v>
      </c>
      <c r="L969">
        <v>0.6699762896755509</v>
      </c>
      <c r="M969">
        <v>4.0198577380533056</v>
      </c>
      <c r="N969">
        <v>17.744621774991973</v>
      </c>
      <c r="O969" t="s">
        <v>90</v>
      </c>
      <c r="P969">
        <v>0</v>
      </c>
      <c r="Q969" t="s">
        <v>90</v>
      </c>
      <c r="R969">
        <v>0</v>
      </c>
      <c r="S969" t="s">
        <v>90</v>
      </c>
      <c r="T969">
        <v>0</v>
      </c>
      <c r="U969" t="s">
        <v>90</v>
      </c>
      <c r="V969">
        <v>0</v>
      </c>
      <c r="W969" t="s">
        <v>90</v>
      </c>
      <c r="X969">
        <v>0</v>
      </c>
      <c r="Y969">
        <v>17.744621774991973</v>
      </c>
      <c r="Z969">
        <v>0</v>
      </c>
      <c r="AA969">
        <v>0</v>
      </c>
      <c r="AB969">
        <v>0</v>
      </c>
      <c r="AC969">
        <v>0</v>
      </c>
      <c r="AD969">
        <v>0</v>
      </c>
      <c r="AI969">
        <v>0.65800000000000003</v>
      </c>
      <c r="AJ969" t="s">
        <v>3281</v>
      </c>
      <c r="AK969" t="s">
        <v>501</v>
      </c>
      <c r="AL969" t="s">
        <v>2769</v>
      </c>
      <c r="AM969">
        <v>200000</v>
      </c>
      <c r="AN969" t="s">
        <v>92</v>
      </c>
      <c r="AO969">
        <v>1</v>
      </c>
      <c r="AP969">
        <v>0</v>
      </c>
      <c r="AQ969">
        <v>16666.666666666668</v>
      </c>
      <c r="AR969" t="s">
        <v>3473</v>
      </c>
      <c r="AS969" t="s">
        <v>78</v>
      </c>
      <c r="AX969" t="s">
        <v>79</v>
      </c>
      <c r="AY969" t="s">
        <v>137</v>
      </c>
      <c r="AZ969">
        <v>0</v>
      </c>
      <c r="BA969" t="s">
        <v>137</v>
      </c>
      <c r="BB969">
        <v>0</v>
      </c>
      <c r="BE969">
        <v>0</v>
      </c>
    </row>
    <row r="970" spans="1:58" ht="12.75">
      <c r="A970" s="2" t="str">
        <f>HYPERLINK("https://ibp.a2mac1.com/costing(costing:projects/details/8191/part/5383961)","Pad")</f>
        <v>Pad</v>
      </c>
      <c r="B970">
        <v>5383961</v>
      </c>
      <c r="C970">
        <v>5383689</v>
      </c>
      <c r="E970">
        <v>3.5950873140000001</v>
      </c>
      <c r="F970">
        <v>0</v>
      </c>
      <c r="G970">
        <v>0</v>
      </c>
      <c r="H970">
        <v>0.018236733642947367</v>
      </c>
      <c r="I970" t="s">
        <v>137</v>
      </c>
      <c r="J970">
        <v>0.12614341452631578</v>
      </c>
      <c r="K970">
        <v>3.7394674621692632</v>
      </c>
      <c r="L970">
        <v>0.086218374081649021</v>
      </c>
      <c r="M970">
        <v>0.51731024448989416</v>
      </c>
      <c r="N970">
        <v>4.2567777066591574</v>
      </c>
      <c r="O970" t="s">
        <v>90</v>
      </c>
      <c r="P970">
        <v>0</v>
      </c>
      <c r="Q970" t="s">
        <v>90</v>
      </c>
      <c r="R970">
        <v>0</v>
      </c>
      <c r="S970" t="s">
        <v>90</v>
      </c>
      <c r="T970">
        <v>0</v>
      </c>
      <c r="U970" t="s">
        <v>90</v>
      </c>
      <c r="V970">
        <v>0</v>
      </c>
      <c r="W970" t="s">
        <v>90</v>
      </c>
      <c r="X970">
        <v>0</v>
      </c>
      <c r="Y970">
        <v>4.2567777066591574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120</v>
      </c>
      <c r="AF970">
        <v>720</v>
      </c>
      <c r="AG970">
        <v>630</v>
      </c>
      <c r="AI970">
        <v>1.014</v>
      </c>
      <c r="AJ970" t="s">
        <v>2775</v>
      </c>
      <c r="AK970" t="s">
        <v>501</v>
      </c>
      <c r="AL970" t="s">
        <v>2703</v>
      </c>
      <c r="AM970">
        <v>200000</v>
      </c>
      <c r="AN970" t="s">
        <v>92</v>
      </c>
      <c r="AO970">
        <v>1</v>
      </c>
      <c r="AP970">
        <v>0</v>
      </c>
      <c r="AQ970">
        <v>16666.666666666668</v>
      </c>
      <c r="AR970" t="s">
        <v>3478</v>
      </c>
      <c r="AS970" t="s">
        <v>78</v>
      </c>
      <c r="AX970" t="s">
        <v>79</v>
      </c>
      <c r="AY970" t="s">
        <v>137</v>
      </c>
      <c r="AZ970">
        <v>0</v>
      </c>
      <c r="BA970" t="s">
        <v>137</v>
      </c>
      <c r="BB970">
        <v>0</v>
      </c>
      <c r="BE970">
        <v>0</v>
      </c>
    </row>
    <row r="971" spans="1:58" ht="12.75">
      <c r="A971" s="2" t="str">
        <f>HYPERLINK("https://ibp.a2mac1.com/costing(costing:projects/details/8191/part/5383962)","Frame")</f>
        <v>Frame</v>
      </c>
      <c r="B971">
        <v>5383962</v>
      </c>
      <c r="C971">
        <v>5383689</v>
      </c>
      <c r="E971">
        <v>5.521101055292517</v>
      </c>
      <c r="F971">
        <v>0</v>
      </c>
      <c r="G971">
        <v>0</v>
      </c>
      <c r="H971">
        <v>0.031323882088340138</v>
      </c>
      <c r="I971" t="s">
        <v>137</v>
      </c>
      <c r="J971">
        <v>0.2166671685952381</v>
      </c>
      <c r="K971">
        <v>5.7690921059760951</v>
      </c>
      <c r="L971">
        <v>0.54801347005700995</v>
      </c>
      <c r="M971">
        <v>3.2880808203420595</v>
      </c>
      <c r="N971">
        <v>9.0571729263181542</v>
      </c>
      <c r="O971" t="s">
        <v>90</v>
      </c>
      <c r="P971">
        <v>0</v>
      </c>
      <c r="Q971" t="s">
        <v>90</v>
      </c>
      <c r="R971">
        <v>0</v>
      </c>
      <c r="S971" t="s">
        <v>90</v>
      </c>
      <c r="T971">
        <v>0</v>
      </c>
      <c r="U971" t="s">
        <v>90</v>
      </c>
      <c r="V971">
        <v>0</v>
      </c>
      <c r="W971" t="s">
        <v>90</v>
      </c>
      <c r="X971">
        <v>0</v>
      </c>
      <c r="Y971">
        <v>9.0571729263181542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75</v>
      </c>
      <c r="AF971">
        <v>675</v>
      </c>
      <c r="AG971">
        <v>595</v>
      </c>
      <c r="AI971">
        <v>6.343</v>
      </c>
      <c r="AJ971" t="s">
        <v>3293</v>
      </c>
      <c r="AK971" t="s">
        <v>501</v>
      </c>
      <c r="AL971" t="s">
        <v>720</v>
      </c>
      <c r="AM971">
        <v>200000</v>
      </c>
      <c r="AN971" t="s">
        <v>92</v>
      </c>
      <c r="AO971">
        <v>1</v>
      </c>
      <c r="AP971">
        <v>0</v>
      </c>
      <c r="AQ971">
        <v>16666.666666666668</v>
      </c>
      <c r="AR971" t="s">
        <v>3484</v>
      </c>
      <c r="AS971" t="s">
        <v>78</v>
      </c>
      <c r="AX971" t="s">
        <v>79</v>
      </c>
      <c r="AY971" t="s">
        <v>137</v>
      </c>
      <c r="AZ971">
        <v>0</v>
      </c>
      <c r="BA971" t="s">
        <v>137</v>
      </c>
      <c r="BB971">
        <v>0</v>
      </c>
      <c r="BE971">
        <v>0</v>
      </c>
    </row>
    <row r="972" spans="1:58" ht="12.75">
      <c r="A972" s="2" t="str">
        <f>HYPERLINK("https://ibp.a2mac1.com/costing(costing:projects/details/8191/part/5383963)","Rear Panel")</f>
        <v>Rear Panel</v>
      </c>
      <c r="B972">
        <v>5383963</v>
      </c>
      <c r="C972">
        <v>5383689</v>
      </c>
      <c r="E972">
        <v>1.08</v>
      </c>
      <c r="F972">
        <v>0</v>
      </c>
      <c r="G972">
        <v>0</v>
      </c>
      <c r="H972">
        <v>0.0054647999999999997</v>
      </c>
      <c r="I972" t="s">
        <v>137</v>
      </c>
      <c r="J972">
        <v>0.0378</v>
      </c>
      <c r="K972">
        <v>1.1232648000000001</v>
      </c>
      <c r="L972">
        <v>0.012076434073009467</v>
      </c>
      <c r="M972">
        <v>0.072458604438056809</v>
      </c>
      <c r="N972">
        <v>1.1957234044380569</v>
      </c>
      <c r="O972" t="s">
        <v>90</v>
      </c>
      <c r="P972">
        <v>0</v>
      </c>
      <c r="Q972" t="s">
        <v>90</v>
      </c>
      <c r="R972">
        <v>0</v>
      </c>
      <c r="S972" t="s">
        <v>90</v>
      </c>
      <c r="T972">
        <v>0</v>
      </c>
      <c r="U972" t="s">
        <v>90</v>
      </c>
      <c r="V972">
        <v>0</v>
      </c>
      <c r="W972" t="s">
        <v>90</v>
      </c>
      <c r="X972">
        <v>0</v>
      </c>
      <c r="Y972">
        <v>1.1957234044380569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4</v>
      </c>
      <c r="AF972">
        <v>665</v>
      </c>
      <c r="AG972">
        <v>585</v>
      </c>
      <c r="AI972">
        <v>0.26</v>
      </c>
      <c r="AK972" t="s">
        <v>501</v>
      </c>
      <c r="AL972" t="s">
        <v>1345</v>
      </c>
      <c r="AM972">
        <v>200000</v>
      </c>
      <c r="AN972" t="s">
        <v>92</v>
      </c>
      <c r="AO972">
        <v>1</v>
      </c>
      <c r="AP972">
        <v>0</v>
      </c>
      <c r="AQ972">
        <v>16666.666666666668</v>
      </c>
      <c r="AR972" t="s">
        <v>3489</v>
      </c>
      <c r="AS972" t="s">
        <v>78</v>
      </c>
      <c r="AX972" t="s">
        <v>79</v>
      </c>
      <c r="AY972" t="s">
        <v>137</v>
      </c>
      <c r="AZ972">
        <v>0</v>
      </c>
      <c r="BA972" t="s">
        <v>137</v>
      </c>
      <c r="BB972">
        <v>0</v>
      </c>
      <c r="BE972">
        <v>0</v>
      </c>
    </row>
    <row r="973" spans="1:58" ht="12.75">
      <c r="A973" s="2" t="str">
        <f>HYPERLINK("https://ibp.a2mac1.com/costing(costing:projects/details/8191/part/5383964)","Fastener Support")</f>
        <v>Fastener Support</v>
      </c>
      <c r="B973">
        <v>5383964</v>
      </c>
      <c r="C973">
        <v>5383689</v>
      </c>
      <c r="E973">
        <v>0.041540033499999997</v>
      </c>
      <c r="F973">
        <v>0</v>
      </c>
      <c r="G973">
        <v>0</v>
      </c>
      <c r="H973">
        <v>0.00022360911649999999</v>
      </c>
      <c r="I973" t="s">
        <v>137</v>
      </c>
      <c r="J973">
        <v>0.001546703375</v>
      </c>
      <c r="K973">
        <v>0.0433103459915</v>
      </c>
      <c r="L973">
        <v>0.0063651110399035099</v>
      </c>
      <c r="M973">
        <v>0.038190666239421057</v>
      </c>
      <c r="N973">
        <v>0.081501012230921058</v>
      </c>
      <c r="O973" t="s">
        <v>90</v>
      </c>
      <c r="P973">
        <v>0</v>
      </c>
      <c r="Q973" t="s">
        <v>90</v>
      </c>
      <c r="R973">
        <v>0</v>
      </c>
      <c r="S973" t="s">
        <v>90</v>
      </c>
      <c r="T973">
        <v>0</v>
      </c>
      <c r="U973" t="s">
        <v>90</v>
      </c>
      <c r="V973">
        <v>0</v>
      </c>
      <c r="W973" t="s">
        <v>90</v>
      </c>
      <c r="X973">
        <v>0</v>
      </c>
      <c r="Y973">
        <v>0.081501012230921058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45</v>
      </c>
      <c r="AF973">
        <v>28</v>
      </c>
      <c r="AG973">
        <v>68</v>
      </c>
      <c r="AI973">
        <v>0.066000000000000003</v>
      </c>
      <c r="AJ973" t="s">
        <v>685</v>
      </c>
      <c r="AK973" t="s">
        <v>501</v>
      </c>
      <c r="AL973" t="s">
        <v>720</v>
      </c>
      <c r="AM973">
        <v>200000</v>
      </c>
      <c r="AN973" t="s">
        <v>92</v>
      </c>
      <c r="AO973">
        <v>1</v>
      </c>
      <c r="AP973">
        <v>0</v>
      </c>
      <c r="AQ973">
        <v>16666.666666666668</v>
      </c>
      <c r="AR973" t="s">
        <v>3494</v>
      </c>
      <c r="AS973" t="s">
        <v>78</v>
      </c>
      <c r="AX973" t="s">
        <v>79</v>
      </c>
      <c r="AY973" t="s">
        <v>137</v>
      </c>
      <c r="AZ973">
        <v>0</v>
      </c>
      <c r="BA973" t="s">
        <v>137</v>
      </c>
      <c r="BB973">
        <v>0</v>
      </c>
      <c r="BE973">
        <v>0</v>
      </c>
    </row>
    <row r="974" spans="1:58" ht="12.75">
      <c r="A974" s="2" t="str">
        <f>HYPERLINK("https://ibp.a2mac1.com/costing(costing:projects/details/8191/part/5383690)","Frame")</f>
        <v>Frame</v>
      </c>
      <c r="B974">
        <v>5383690</v>
      </c>
      <c r="C974">
        <v>5383548</v>
      </c>
      <c r="E974">
        <v>4.6074875706666667</v>
      </c>
      <c r="F974">
        <v>0</v>
      </c>
      <c r="G974">
        <v>0</v>
      </c>
      <c r="H974">
        <v>0.024711877954133335</v>
      </c>
      <c r="I974" t="s">
        <v>137</v>
      </c>
      <c r="J974">
        <v>0.17093196213333334</v>
      </c>
      <c r="K974">
        <v>4.8031314107541334</v>
      </c>
      <c r="L974">
        <v>0.63444671883633541</v>
      </c>
      <c r="M974">
        <v>3.8066803130180125</v>
      </c>
      <c r="N974">
        <v>8.6098117237721468</v>
      </c>
      <c r="O974" t="s">
        <v>90</v>
      </c>
      <c r="P974">
        <v>0</v>
      </c>
      <c r="Q974" t="s">
        <v>90</v>
      </c>
      <c r="R974">
        <v>0</v>
      </c>
      <c r="S974" t="s">
        <v>90</v>
      </c>
      <c r="T974">
        <v>0</v>
      </c>
      <c r="U974" t="s">
        <v>90</v>
      </c>
      <c r="V974">
        <v>0</v>
      </c>
      <c r="W974" t="s">
        <v>90</v>
      </c>
      <c r="X974">
        <v>0</v>
      </c>
      <c r="Y974">
        <v>8.6098117237721468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510</v>
      </c>
      <c r="AF974">
        <v>1269</v>
      </c>
      <c r="AG974">
        <v>117</v>
      </c>
      <c r="AI974">
        <v>5.2359999999999998</v>
      </c>
      <c r="AK974" t="s">
        <v>501</v>
      </c>
      <c r="AL974" t="s">
        <v>720</v>
      </c>
      <c r="AM974">
        <v>200000</v>
      </c>
      <c r="AN974" t="s">
        <v>92</v>
      </c>
      <c r="AO974">
        <v>1</v>
      </c>
      <c r="AP974">
        <v>0</v>
      </c>
      <c r="AQ974">
        <v>16666.666666666668</v>
      </c>
      <c r="AR974" t="s">
        <v>3502</v>
      </c>
      <c r="AS974" t="s">
        <v>78</v>
      </c>
      <c r="AX974" t="s">
        <v>79</v>
      </c>
      <c r="AY974" t="s">
        <v>137</v>
      </c>
      <c r="AZ974">
        <v>0</v>
      </c>
      <c r="BA974" t="s">
        <v>137</v>
      </c>
      <c r="BB974">
        <v>0</v>
      </c>
      <c r="BE974">
        <v>0</v>
      </c>
    </row>
    <row r="975" spans="1:58" ht="12.75">
      <c r="A975" s="2" t="str">
        <f>HYPERLINK("https://ibp.a2mac1.com/costing(costing:projects/details/8191/part/5383691)","Cover")</f>
        <v>Cover</v>
      </c>
      <c r="B975">
        <v>5383691</v>
      </c>
      <c r="C975">
        <v>5383548</v>
      </c>
      <c r="E975">
        <v>28.203117533333334</v>
      </c>
      <c r="F975">
        <v>0</v>
      </c>
      <c r="G975">
        <v>0</v>
      </c>
      <c r="H975">
        <v>0.10145177008800001</v>
      </c>
      <c r="I975" t="s">
        <v>137</v>
      </c>
      <c r="J975">
        <v>1.0458096180000001</v>
      </c>
      <c r="K975">
        <v>29.350378921421335</v>
      </c>
      <c r="L975">
        <v>1.4799078259737084</v>
      </c>
      <c r="M975">
        <v>8.8794469558422495</v>
      </c>
      <c r="N975">
        <v>38.229825877263586</v>
      </c>
      <c r="O975" t="s">
        <v>90</v>
      </c>
      <c r="P975">
        <v>0</v>
      </c>
      <c r="Q975" t="s">
        <v>90</v>
      </c>
      <c r="R975">
        <v>0</v>
      </c>
      <c r="S975" t="s">
        <v>90</v>
      </c>
      <c r="T975">
        <v>0</v>
      </c>
      <c r="U975" t="s">
        <v>90</v>
      </c>
      <c r="V975">
        <v>0</v>
      </c>
      <c r="W975" t="s">
        <v>90</v>
      </c>
      <c r="X975">
        <v>0</v>
      </c>
      <c r="Y975">
        <v>38.229825877263586</v>
      </c>
      <c r="Z975">
        <v>0</v>
      </c>
      <c r="AA975">
        <v>0</v>
      </c>
      <c r="AB975">
        <v>0</v>
      </c>
      <c r="AC975">
        <v>0</v>
      </c>
      <c r="AD975">
        <v>0</v>
      </c>
      <c r="AI975">
        <v>1.235</v>
      </c>
      <c r="AJ975" t="s">
        <v>3281</v>
      </c>
      <c r="AK975" t="s">
        <v>501</v>
      </c>
      <c r="AL975" t="s">
        <v>2769</v>
      </c>
      <c r="AM975">
        <v>200000</v>
      </c>
      <c r="AN975" t="s">
        <v>92</v>
      </c>
      <c r="AO975">
        <v>1</v>
      </c>
      <c r="AP975">
        <v>0</v>
      </c>
      <c r="AQ975">
        <v>16666.666666666668</v>
      </c>
      <c r="AR975" t="s">
        <v>3512</v>
      </c>
      <c r="AS975" t="s">
        <v>78</v>
      </c>
      <c r="AX975" t="s">
        <v>79</v>
      </c>
      <c r="AY975" t="s">
        <v>137</v>
      </c>
      <c r="AZ975">
        <v>0</v>
      </c>
      <c r="BA975" t="s">
        <v>137</v>
      </c>
      <c r="BB975">
        <v>0</v>
      </c>
      <c r="BE975">
        <v>0</v>
      </c>
    </row>
    <row r="976" spans="1:58" ht="12.75">
      <c r="A976" s="2" t="str">
        <f>HYPERLINK("https://ibp.a2mac1.com/costing(costing:projects/details/8191/part/5383692)","Pad")</f>
        <v>Pad</v>
      </c>
      <c r="B976">
        <v>5383692</v>
      </c>
      <c r="C976">
        <v>5383548</v>
      </c>
      <c r="E976">
        <v>11.554809555</v>
      </c>
      <c r="F976">
        <v>0</v>
      </c>
      <c r="G976">
        <v>0</v>
      </c>
      <c r="H976">
        <v>0.058628312943067667</v>
      </c>
      <c r="I976" t="s">
        <v>137</v>
      </c>
      <c r="J976">
        <v>0.40553180889473683</v>
      </c>
      <c r="K976">
        <v>12.018969676837804</v>
      </c>
      <c r="L976">
        <v>0.7612947765227891</v>
      </c>
      <c r="M976">
        <v>4.5677686591367346</v>
      </c>
      <c r="N976">
        <v>16.586738335974538</v>
      </c>
      <c r="O976" t="s">
        <v>90</v>
      </c>
      <c r="P976">
        <v>0</v>
      </c>
      <c r="Q976" t="s">
        <v>90</v>
      </c>
      <c r="R976">
        <v>0</v>
      </c>
      <c r="S976" t="s">
        <v>90</v>
      </c>
      <c r="T976">
        <v>0</v>
      </c>
      <c r="U976" t="s">
        <v>90</v>
      </c>
      <c r="V976">
        <v>0</v>
      </c>
      <c r="W976" t="s">
        <v>90</v>
      </c>
      <c r="X976">
        <v>0</v>
      </c>
      <c r="Y976">
        <v>16.586738335974538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550</v>
      </c>
      <c r="AF976">
        <v>1275</v>
      </c>
      <c r="AG976">
        <v>150</v>
      </c>
      <c r="AI976">
        <v>4.3890000000000002</v>
      </c>
      <c r="AJ976" t="s">
        <v>2775</v>
      </c>
      <c r="AK976" t="s">
        <v>501</v>
      </c>
      <c r="AL976" t="s">
        <v>3519</v>
      </c>
      <c r="AM976">
        <v>200000</v>
      </c>
      <c r="AN976" t="s">
        <v>92</v>
      </c>
      <c r="AO976">
        <v>1</v>
      </c>
      <c r="AP976">
        <v>0</v>
      </c>
      <c r="AQ976">
        <v>16666.666666666668</v>
      </c>
      <c r="AR976" t="s">
        <v>3520</v>
      </c>
      <c r="AS976" t="s">
        <v>78</v>
      </c>
      <c r="AX976" t="s">
        <v>79</v>
      </c>
      <c r="AY976" t="s">
        <v>137</v>
      </c>
      <c r="AZ976">
        <v>0</v>
      </c>
      <c r="BA976" t="s">
        <v>137</v>
      </c>
      <c r="BB976">
        <v>0</v>
      </c>
      <c r="BE976">
        <v>0</v>
      </c>
    </row>
    <row r="977" spans="1:58" ht="12.75">
      <c r="A977" s="2" t="str">
        <f>HYPERLINK("https://ibp.a2mac1.com/costing(costing:projects/details/8191/part/5383693)","Isofix Cover Support")</f>
        <v>Isofix Cover Support</v>
      </c>
      <c r="B977">
        <v>5383693</v>
      </c>
      <c r="C977">
        <v>5383549</v>
      </c>
      <c r="E977">
        <v>0.23169753600000001</v>
      </c>
      <c r="F977">
        <v>0</v>
      </c>
      <c r="G977">
        <v>0</v>
      </c>
      <c r="H977">
        <v>0.0011683595048421053</v>
      </c>
      <c r="I977" t="s">
        <v>137</v>
      </c>
      <c r="J977">
        <v>0.0081297381052631585</v>
      </c>
      <c r="K977">
        <v>0.24099563361010526</v>
      </c>
      <c r="L977">
        <v>0.019714584388536707</v>
      </c>
      <c r="M977">
        <v>0.11828750633122023</v>
      </c>
      <c r="N977">
        <v>0.35928313994132549</v>
      </c>
      <c r="O977" t="s">
        <v>90</v>
      </c>
      <c r="P977">
        <v>0</v>
      </c>
      <c r="Q977" t="s">
        <v>90</v>
      </c>
      <c r="R977">
        <v>0</v>
      </c>
      <c r="S977" t="s">
        <v>90</v>
      </c>
      <c r="T977">
        <v>0</v>
      </c>
      <c r="U977" t="s">
        <v>90</v>
      </c>
      <c r="V977">
        <v>0</v>
      </c>
      <c r="W977" t="s">
        <v>90</v>
      </c>
      <c r="X977">
        <v>0</v>
      </c>
      <c r="Y977">
        <v>0.35928313994132549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70</v>
      </c>
      <c r="AF977">
        <v>61</v>
      </c>
      <c r="AG977">
        <v>78</v>
      </c>
      <c r="AI977">
        <v>0.032000000000000001</v>
      </c>
      <c r="AJ977" t="s">
        <v>685</v>
      </c>
      <c r="AK977" t="s">
        <v>501</v>
      </c>
      <c r="AL977" t="s">
        <v>1261</v>
      </c>
      <c r="AM977">
        <v>800000</v>
      </c>
      <c r="AN977" t="s">
        <v>92</v>
      </c>
      <c r="AO977">
        <v>4</v>
      </c>
      <c r="AP977">
        <v>0</v>
      </c>
      <c r="AQ977">
        <v>66666.666666666672</v>
      </c>
      <c r="AR977" t="s">
        <v>3525</v>
      </c>
      <c r="AS977" t="s">
        <v>78</v>
      </c>
      <c r="AX977" t="s">
        <v>79</v>
      </c>
      <c r="AY977" t="s">
        <v>137</v>
      </c>
      <c r="AZ977">
        <v>0</v>
      </c>
      <c r="BA977" t="s">
        <v>137</v>
      </c>
      <c r="BB977">
        <v>0</v>
      </c>
      <c r="BE977">
        <v>0</v>
      </c>
    </row>
    <row r="978" spans="1:58" ht="12.75">
      <c r="A978" s="2" t="str">
        <f>HYPERLINK("https://ibp.a2mac1.com/costing(costing:projects/details/8191/part/5383545)","Top Tether Cover")</f>
        <v>Top Tether Cover</v>
      </c>
      <c r="B978">
        <v>5383545</v>
      </c>
      <c r="C978">
        <v>5383401</v>
      </c>
      <c r="E978">
        <v>0.088696712999999996</v>
      </c>
      <c r="F978">
        <v>0</v>
      </c>
      <c r="G978">
        <v>0</v>
      </c>
      <c r="H978">
        <v>0.00044726262294736841</v>
      </c>
      <c r="I978" t="s">
        <v>137</v>
      </c>
      <c r="J978">
        <v>0.0031121653684210524</v>
      </c>
      <c r="K978">
        <v>0.092256140991368418</v>
      </c>
      <c r="L978">
        <v>0.0022688852728308148</v>
      </c>
      <c r="M978">
        <v>0.013613311636984888</v>
      </c>
      <c r="N978">
        <v>0.1058694526283533</v>
      </c>
      <c r="O978" t="s">
        <v>90</v>
      </c>
      <c r="P978">
        <v>0</v>
      </c>
      <c r="Q978" t="s">
        <v>90</v>
      </c>
      <c r="R978">
        <v>0</v>
      </c>
      <c r="S978" t="s">
        <v>90</v>
      </c>
      <c r="T978">
        <v>0</v>
      </c>
      <c r="U978" t="s">
        <v>90</v>
      </c>
      <c r="V978">
        <v>0</v>
      </c>
      <c r="W978" t="s">
        <v>90</v>
      </c>
      <c r="X978">
        <v>0</v>
      </c>
      <c r="Y978">
        <v>0.1058694526283533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34</v>
      </c>
      <c r="AF978">
        <v>53</v>
      </c>
      <c r="AG978">
        <v>86</v>
      </c>
      <c r="AI978">
        <v>0.024500000000000001</v>
      </c>
      <c r="AJ978" t="s">
        <v>685</v>
      </c>
      <c r="AK978" t="s">
        <v>501</v>
      </c>
      <c r="AL978" t="s">
        <v>1261</v>
      </c>
      <c r="AM978">
        <v>400000</v>
      </c>
      <c r="AN978" t="s">
        <v>92</v>
      </c>
      <c r="AO978">
        <v>2</v>
      </c>
      <c r="AP978">
        <v>0</v>
      </c>
      <c r="AQ978">
        <v>33333.333333333336</v>
      </c>
      <c r="AR978" t="s">
        <v>3531</v>
      </c>
      <c r="AS978" t="s">
        <v>78</v>
      </c>
      <c r="AX978" t="s">
        <v>79</v>
      </c>
      <c r="AY978" t="s">
        <v>137</v>
      </c>
      <c r="AZ978">
        <v>0</v>
      </c>
      <c r="BA978" t="s">
        <v>137</v>
      </c>
      <c r="BB978">
        <v>0</v>
      </c>
      <c r="BE978">
        <v>0</v>
      </c>
    </row>
    <row r="979" spans="1:58" ht="12.75">
      <c r="A979" s="2" t="str">
        <f>HYPERLINK("https://ibp.a2mac1.com/costing(costing:projects/details/8191/part/5384852)","IP Reinforcement")</f>
        <v>IP Reinforcement</v>
      </c>
      <c r="B979">
        <v>5384852</v>
      </c>
      <c r="C979">
        <v>5384802</v>
      </c>
      <c r="E979">
        <v>4.2645481199999997</v>
      </c>
      <c r="F979">
        <v>0</v>
      </c>
      <c r="G979">
        <v>0</v>
      </c>
      <c r="H979">
        <v>0.021578613487199999</v>
      </c>
      <c r="I979" t="s">
        <v>137</v>
      </c>
      <c r="J979">
        <v>0.14925918420000001</v>
      </c>
      <c r="K979">
        <v>4.4353859176872001</v>
      </c>
      <c r="L979">
        <v>2.0510154348260112</v>
      </c>
      <c r="M979">
        <v>12.306092608956066</v>
      </c>
      <c r="N979">
        <v>16.741478526643267</v>
      </c>
      <c r="O979" t="s">
        <v>138</v>
      </c>
      <c r="P979">
        <v>0.26612315506123202</v>
      </c>
      <c r="Q979" t="s">
        <v>138</v>
      </c>
      <c r="R979">
        <v>0.73836555653736402</v>
      </c>
      <c r="S979" t="s">
        <v>139</v>
      </c>
      <c r="T979">
        <v>2.0089774231971922</v>
      </c>
      <c r="U979" t="s">
        <v>90</v>
      </c>
      <c r="V979">
        <v>0</v>
      </c>
      <c r="W979" t="s">
        <v>90</v>
      </c>
      <c r="X979">
        <v>0</v>
      </c>
      <c r="Y979">
        <v>19.754944661439055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575</v>
      </c>
      <c r="AF979">
        <v>1356</v>
      </c>
      <c r="AG979">
        <v>609</v>
      </c>
      <c r="AI979">
        <v>7.605</v>
      </c>
      <c r="AJ979" t="s">
        <v>3541</v>
      </c>
      <c r="AK979" t="s">
        <v>501</v>
      </c>
      <c r="AL979" t="s">
        <v>720</v>
      </c>
      <c r="AM979">
        <v>200000</v>
      </c>
      <c r="AN979" t="s">
        <v>76</v>
      </c>
      <c r="AO979">
        <v>1</v>
      </c>
      <c r="AP979">
        <v>0</v>
      </c>
      <c r="AQ979">
        <v>16666.666666666668</v>
      </c>
      <c r="AR979" t="s">
        <v>3542</v>
      </c>
      <c r="AS979" t="s">
        <v>78</v>
      </c>
      <c r="AX979" t="s">
        <v>79</v>
      </c>
      <c r="AY979" t="s">
        <v>137</v>
      </c>
      <c r="AZ979">
        <v>0</v>
      </c>
      <c r="BA979" t="s">
        <v>137</v>
      </c>
      <c r="BB979">
        <v>0</v>
      </c>
      <c r="BE979">
        <v>0</v>
      </c>
    </row>
    <row r="980" spans="1:58" ht="12.75">
      <c r="A980" s="2" t="str">
        <f>HYPERLINK("https://ibp.a2mac1.com/costing(costing:projects/details/8191/part/5384853)","Passenger Side")</f>
        <v>Passenger Side</v>
      </c>
      <c r="B980">
        <v>5384853</v>
      </c>
      <c r="C980">
        <v>5384802</v>
      </c>
      <c r="E980">
        <v>0.36514071999999997</v>
      </c>
      <c r="F980">
        <v>0</v>
      </c>
      <c r="G980">
        <v>0</v>
      </c>
      <c r="H980">
        <v>0.0018476120432</v>
      </c>
      <c r="I980" t="s">
        <v>137</v>
      </c>
      <c r="J980">
        <v>0.0127799252</v>
      </c>
      <c r="K980">
        <v>0.37976825724320001</v>
      </c>
      <c r="L980">
        <v>0.069469488026516396</v>
      </c>
      <c r="M980">
        <v>0.41681692815909838</v>
      </c>
      <c r="N980">
        <v>0.79658518540229839</v>
      </c>
      <c r="O980" t="s">
        <v>138</v>
      </c>
      <c r="P980">
        <v>0.022786095434592001</v>
      </c>
      <c r="Q980" t="s">
        <v>138</v>
      </c>
      <c r="R980">
        <v>0.025009015689545902</v>
      </c>
      <c r="S980" t="s">
        <v>139</v>
      </c>
      <c r="T980">
        <v>0.095590222248275805</v>
      </c>
      <c r="U980" t="s">
        <v>90</v>
      </c>
      <c r="V980">
        <v>0</v>
      </c>
      <c r="W980" t="s">
        <v>90</v>
      </c>
      <c r="X980">
        <v>0</v>
      </c>
      <c r="Y980">
        <v>0.93997051877471205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150</v>
      </c>
      <c r="AF980">
        <v>483</v>
      </c>
      <c r="AG980">
        <v>105</v>
      </c>
      <c r="AI980">
        <v>0.64800000000000002</v>
      </c>
      <c r="AJ980" t="s">
        <v>685</v>
      </c>
      <c r="AK980" t="s">
        <v>501</v>
      </c>
      <c r="AL980" t="s">
        <v>720</v>
      </c>
      <c r="AM980">
        <v>200000</v>
      </c>
      <c r="AN980" t="s">
        <v>76</v>
      </c>
      <c r="AO980">
        <v>1</v>
      </c>
      <c r="AP980">
        <v>0</v>
      </c>
      <c r="AQ980">
        <v>16666.666666666668</v>
      </c>
      <c r="AR980" t="s">
        <v>3547</v>
      </c>
      <c r="AS980" t="s">
        <v>78</v>
      </c>
      <c r="AX980" t="s">
        <v>79</v>
      </c>
      <c r="AY980" t="s">
        <v>137</v>
      </c>
      <c r="AZ980">
        <v>0</v>
      </c>
      <c r="BA980" t="s">
        <v>137</v>
      </c>
      <c r="BB980">
        <v>0</v>
      </c>
      <c r="BE980">
        <v>0</v>
      </c>
    </row>
    <row r="981" spans="1:58" ht="12.75">
      <c r="A981" s="2" t="str">
        <f>HYPERLINK("https://ibp.a2mac1.com/costing(costing:projects/details/8191/part/5384854)","Central Reinforcement")</f>
        <v>Central Reinforcement</v>
      </c>
      <c r="B981">
        <v>5384854</v>
      </c>
      <c r="C981">
        <v>5384802</v>
      </c>
      <c r="E981">
        <v>0.39055766400000003</v>
      </c>
      <c r="F981">
        <v>0</v>
      </c>
      <c r="G981">
        <v>0</v>
      </c>
      <c r="H981">
        <v>0.0019811747166315788</v>
      </c>
      <c r="I981" t="s">
        <v>137</v>
      </c>
      <c r="J981">
        <v>0.013703777684210527</v>
      </c>
      <c r="K981">
        <v>0.40624261640084208</v>
      </c>
      <c r="L981">
        <v>0.012820116974207169</v>
      </c>
      <c r="M981">
        <v>0.076920701845243009</v>
      </c>
      <c r="N981">
        <v>0.48316331824608511</v>
      </c>
      <c r="O981" t="s">
        <v>138</v>
      </c>
      <c r="P981">
        <v>0.024374556984050527</v>
      </c>
      <c r="Q981" t="s">
        <v>138</v>
      </c>
      <c r="R981">
        <v>0.004615242110714581</v>
      </c>
      <c r="S981" t="s">
        <v>139</v>
      </c>
      <c r="T981">
        <v>0.057979598189530211</v>
      </c>
      <c r="U981" t="s">
        <v>90</v>
      </c>
      <c r="V981">
        <v>0</v>
      </c>
      <c r="W981" t="s">
        <v>90</v>
      </c>
      <c r="X981">
        <v>0</v>
      </c>
      <c r="Y981">
        <v>0.57013271553038047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287</v>
      </c>
      <c r="AF981">
        <v>91</v>
      </c>
      <c r="AG981">
        <v>220</v>
      </c>
      <c r="AI981">
        <v>0.27600000000000002</v>
      </c>
      <c r="AJ981" t="s">
        <v>685</v>
      </c>
      <c r="AK981" t="s">
        <v>501</v>
      </c>
      <c r="AL981" t="s">
        <v>728</v>
      </c>
      <c r="AM981">
        <v>200000</v>
      </c>
      <c r="AN981" t="s">
        <v>76</v>
      </c>
      <c r="AO981">
        <v>1</v>
      </c>
      <c r="AP981">
        <v>0</v>
      </c>
      <c r="AQ981">
        <v>16666.666666666668</v>
      </c>
      <c r="AR981" t="s">
        <v>3552</v>
      </c>
      <c r="AS981" t="s">
        <v>78</v>
      </c>
      <c r="AX981" t="s">
        <v>79</v>
      </c>
      <c r="AY981" t="s">
        <v>137</v>
      </c>
      <c r="AZ981">
        <v>0</v>
      </c>
      <c r="BA981" t="s">
        <v>137</v>
      </c>
      <c r="BB981">
        <v>0</v>
      </c>
      <c r="BE981">
        <v>0</v>
      </c>
    </row>
    <row r="982" spans="1:58" ht="12.75">
      <c r="A982" s="2" t="str">
        <f>HYPERLINK("https://ibp.a2mac1.com/costing(costing:projects/details/8191/part/5384855)","Front Body Panel Support")</f>
        <v>Front Body Panel Support</v>
      </c>
      <c r="B982">
        <v>5384855</v>
      </c>
      <c r="C982">
        <v>5384802</v>
      </c>
      <c r="E982">
        <v>0.103299672</v>
      </c>
      <c r="F982">
        <v>0</v>
      </c>
      <c r="G982">
        <v>0</v>
      </c>
      <c r="H982">
        <v>0.00052400635621052628</v>
      </c>
      <c r="I982" t="s">
        <v>137</v>
      </c>
      <c r="J982">
        <v>0.0036245498947368423</v>
      </c>
      <c r="K982">
        <v>0.10744822825094737</v>
      </c>
      <c r="L982">
        <v>0.0033890906753705021</v>
      </c>
      <c r="M982">
        <v>0.020334544052223014</v>
      </c>
      <c r="N982">
        <v>0.12778277230317039</v>
      </c>
      <c r="O982" t="s">
        <v>138</v>
      </c>
      <c r="P982">
        <v>0.0064468936950568424</v>
      </c>
      <c r="Q982" t="s">
        <v>138</v>
      </c>
      <c r="R982">
        <v>0.0012200726431333807</v>
      </c>
      <c r="S982" t="s">
        <v>139</v>
      </c>
      <c r="T982">
        <v>0.015333932676380446</v>
      </c>
      <c r="U982" t="s">
        <v>90</v>
      </c>
      <c r="V982">
        <v>0</v>
      </c>
      <c r="W982" t="s">
        <v>90</v>
      </c>
      <c r="X982">
        <v>0</v>
      </c>
      <c r="Y982">
        <v>0.15078367131774106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174</v>
      </c>
      <c r="AF982">
        <v>37</v>
      </c>
      <c r="AG982">
        <v>165</v>
      </c>
      <c r="AI982">
        <v>0.072999999999999995</v>
      </c>
      <c r="AJ982" t="s">
        <v>685</v>
      </c>
      <c r="AK982" t="s">
        <v>501</v>
      </c>
      <c r="AL982" t="s">
        <v>728</v>
      </c>
      <c r="AM982">
        <v>200000</v>
      </c>
      <c r="AN982" t="s">
        <v>76</v>
      </c>
      <c r="AO982">
        <v>1</v>
      </c>
      <c r="AP982">
        <v>0</v>
      </c>
      <c r="AQ982">
        <v>16666.666666666668</v>
      </c>
      <c r="AR982" t="s">
        <v>3556</v>
      </c>
      <c r="AS982" t="s">
        <v>78</v>
      </c>
      <c r="AX982" t="s">
        <v>79</v>
      </c>
      <c r="AY982" t="s">
        <v>137</v>
      </c>
      <c r="AZ982">
        <v>0</v>
      </c>
      <c r="BA982" t="s">
        <v>137</v>
      </c>
      <c r="BB982">
        <v>0</v>
      </c>
      <c r="BE982">
        <v>0</v>
      </c>
    </row>
    <row r="983" spans="1:58" ht="12.75">
      <c r="A983" s="2" t="str">
        <f>HYPERLINK("https://ibp.a2mac1.com/costing(costing:projects/details/8191/part/5384856)","2nd Front Body Panel Support")</f>
        <v>2nd Front Body Panel Support</v>
      </c>
      <c r="B983">
        <v>5384856</v>
      </c>
      <c r="C983">
        <v>5384802</v>
      </c>
      <c r="E983">
        <v>0.234900624</v>
      </c>
      <c r="F983">
        <v>0</v>
      </c>
      <c r="G983">
        <v>0</v>
      </c>
      <c r="H983">
        <v>0.0011915760976842105</v>
      </c>
      <c r="I983" t="s">
        <v>137</v>
      </c>
      <c r="J983">
        <v>0.0082421271578947373</v>
      </c>
      <c r="K983">
        <v>0.24433432725557894</v>
      </c>
      <c r="L983">
        <v>0.0077085092798501419</v>
      </c>
      <c r="M983">
        <v>0.046251055679100851</v>
      </c>
      <c r="N983">
        <v>0.29058538293467978</v>
      </c>
      <c r="O983" t="s">
        <v>138</v>
      </c>
      <c r="P983">
        <v>0.014660059635334738</v>
      </c>
      <c r="Q983" t="s">
        <v>138</v>
      </c>
      <c r="R983">
        <v>0.0027750633407460511</v>
      </c>
      <c r="S983" t="s">
        <v>139</v>
      </c>
      <c r="T983">
        <v>0.034870245952161573</v>
      </c>
      <c r="U983" t="s">
        <v>90</v>
      </c>
      <c r="V983">
        <v>0</v>
      </c>
      <c r="W983" t="s">
        <v>90</v>
      </c>
      <c r="X983">
        <v>0</v>
      </c>
      <c r="Y983">
        <v>0.34289075186292217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275</v>
      </c>
      <c r="AF983">
        <v>80</v>
      </c>
      <c r="AG983">
        <v>210</v>
      </c>
      <c r="AI983">
        <v>0.16600000000000001</v>
      </c>
      <c r="AK983" t="s">
        <v>501</v>
      </c>
      <c r="AL983" t="s">
        <v>728</v>
      </c>
      <c r="AM983">
        <v>200000</v>
      </c>
      <c r="AN983" t="s">
        <v>76</v>
      </c>
      <c r="AO983">
        <v>1</v>
      </c>
      <c r="AP983">
        <v>0</v>
      </c>
      <c r="AQ983">
        <v>16666.666666666668</v>
      </c>
      <c r="AR983" t="s">
        <v>3561</v>
      </c>
      <c r="AS983" t="s">
        <v>78</v>
      </c>
      <c r="AX983" t="s">
        <v>79</v>
      </c>
      <c r="AY983" t="s">
        <v>137</v>
      </c>
      <c r="AZ983">
        <v>0</v>
      </c>
      <c r="BA983" t="s">
        <v>137</v>
      </c>
      <c r="BB983">
        <v>0</v>
      </c>
      <c r="BE983">
        <v>0</v>
      </c>
    </row>
    <row r="984" spans="1:58" ht="12.75">
      <c r="A984" s="2" t="str">
        <f>HYPERLINK("https://ibp.a2mac1.com/costing(costing:projects/details/8191/part/5384965)","Upper Panel")</f>
        <v>Upper Panel</v>
      </c>
      <c r="B984">
        <v>5384965</v>
      </c>
      <c r="C984">
        <v>5384860</v>
      </c>
      <c r="E984">
        <v>1.044317232</v>
      </c>
      <c r="F984">
        <v>0</v>
      </c>
      <c r="G984">
        <v>0</v>
      </c>
      <c r="H984">
        <v>0.0052974889162105262</v>
      </c>
      <c r="I984" t="s">
        <v>137</v>
      </c>
      <c r="J984">
        <v>0.036642709894736843</v>
      </c>
      <c r="K984">
        <v>1.0862574308109474</v>
      </c>
      <c r="L984">
        <v>0.034319851340597347</v>
      </c>
      <c r="M984">
        <v>0.2059191080435841</v>
      </c>
      <c r="N984">
        <v>1.2921765388545314</v>
      </c>
      <c r="O984" t="s">
        <v>90</v>
      </c>
      <c r="P984">
        <v>0</v>
      </c>
      <c r="Q984" t="s">
        <v>90</v>
      </c>
      <c r="R984">
        <v>0</v>
      </c>
      <c r="S984" t="s">
        <v>90</v>
      </c>
      <c r="T984">
        <v>0</v>
      </c>
      <c r="U984" t="s">
        <v>90</v>
      </c>
      <c r="V984">
        <v>0</v>
      </c>
      <c r="W984" t="s">
        <v>90</v>
      </c>
      <c r="X984">
        <v>0</v>
      </c>
      <c r="Y984">
        <v>1.2921765388545314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330</v>
      </c>
      <c r="AF984">
        <v>830</v>
      </c>
      <c r="AG984">
        <v>30</v>
      </c>
      <c r="AI984">
        <v>0.73799999999999999</v>
      </c>
      <c r="AJ984" t="s">
        <v>685</v>
      </c>
      <c r="AK984" t="s">
        <v>501</v>
      </c>
      <c r="AL984" t="s">
        <v>728</v>
      </c>
      <c r="AM984">
        <v>200000</v>
      </c>
      <c r="AN984" t="s">
        <v>92</v>
      </c>
      <c r="AO984">
        <v>1</v>
      </c>
      <c r="AP984">
        <v>0</v>
      </c>
      <c r="AQ984">
        <v>16666.666666666668</v>
      </c>
      <c r="AR984" t="s">
        <v>3569</v>
      </c>
      <c r="AS984" t="s">
        <v>78</v>
      </c>
      <c r="AX984" t="s">
        <v>79</v>
      </c>
      <c r="AY984" t="s">
        <v>137</v>
      </c>
      <c r="AZ984">
        <v>0</v>
      </c>
      <c r="BA984" t="s">
        <v>137</v>
      </c>
      <c r="BB984">
        <v>0</v>
      </c>
      <c r="BE984">
        <v>0</v>
      </c>
    </row>
    <row r="985" spans="1:58" ht="12.75">
      <c r="A985" s="2" t="str">
        <f>HYPERLINK("https://ibp.a2mac1.com/costing(costing:projects/details/8191/part/5384966)","Cover Under Steering Column")</f>
        <v>Cover Under Steering Column</v>
      </c>
      <c r="B985">
        <v>5384966</v>
      </c>
      <c r="C985">
        <v>5384860</v>
      </c>
      <c r="E985">
        <v>0.53913938400000005</v>
      </c>
      <c r="F985">
        <v>0</v>
      </c>
      <c r="G985">
        <v>0</v>
      </c>
      <c r="H985">
        <v>0.0027348824892631579</v>
      </c>
      <c r="I985" t="s">
        <v>137</v>
      </c>
      <c r="J985">
        <v>0.018917171368421054</v>
      </c>
      <c r="K985">
        <v>0.56079143785768426</v>
      </c>
      <c r="L985">
        <v>0.017702025534956062</v>
      </c>
      <c r="M985">
        <v>0.10621215320973638</v>
      </c>
      <c r="N985">
        <v>0.66700359106742058</v>
      </c>
      <c r="O985" t="s">
        <v>90</v>
      </c>
      <c r="P985">
        <v>0</v>
      </c>
      <c r="Q985" t="s">
        <v>90</v>
      </c>
      <c r="R985">
        <v>0</v>
      </c>
      <c r="S985" t="s">
        <v>90</v>
      </c>
      <c r="T985">
        <v>0</v>
      </c>
      <c r="U985" t="s">
        <v>90</v>
      </c>
      <c r="V985">
        <v>0</v>
      </c>
      <c r="W985" t="s">
        <v>90</v>
      </c>
      <c r="X985">
        <v>0</v>
      </c>
      <c r="Y985">
        <v>0.66700359106742058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149</v>
      </c>
      <c r="AF985">
        <v>387</v>
      </c>
      <c r="AG985">
        <v>302</v>
      </c>
      <c r="AI985">
        <v>0.38100000000000001</v>
      </c>
      <c r="AJ985" t="s">
        <v>685</v>
      </c>
      <c r="AK985" t="s">
        <v>501</v>
      </c>
      <c r="AL985" t="s">
        <v>728</v>
      </c>
      <c r="AM985">
        <v>200000</v>
      </c>
      <c r="AN985" t="s">
        <v>92</v>
      </c>
      <c r="AO985">
        <v>1</v>
      </c>
      <c r="AP985">
        <v>0</v>
      </c>
      <c r="AQ985">
        <v>16666.666666666668</v>
      </c>
      <c r="AR985" t="s">
        <v>3572</v>
      </c>
      <c r="AS985" t="s">
        <v>78</v>
      </c>
      <c r="AX985" t="s">
        <v>79</v>
      </c>
      <c r="AY985" t="s">
        <v>137</v>
      </c>
      <c r="AZ985">
        <v>0</v>
      </c>
      <c r="BA985" t="s">
        <v>137</v>
      </c>
      <c r="BB985">
        <v>0</v>
      </c>
      <c r="BE985">
        <v>0</v>
      </c>
    </row>
    <row r="986" spans="1:58" ht="12.75">
      <c r="A986" s="2" t="str">
        <f>HYPERLINK("https://ibp.a2mac1.com/costing(costing:projects/details/8191/part/5384967)","Cover Under Steering Column Support")</f>
        <v>Cover Under Steering Column Support</v>
      </c>
      <c r="B986">
        <v>5384967</v>
      </c>
      <c r="C986">
        <v>5384860</v>
      </c>
      <c r="E986">
        <v>0.25380581099999999</v>
      </c>
      <c r="F986">
        <v>0</v>
      </c>
      <c r="G986">
        <v>0</v>
      </c>
      <c r="H986">
        <v>0.0012874760938947369</v>
      </c>
      <c r="I986" t="s">
        <v>137</v>
      </c>
      <c r="J986">
        <v>0.0089054670526315782</v>
      </c>
      <c r="K986">
        <v>0.26399875414652629</v>
      </c>
      <c r="L986">
        <v>0.011100441359899288</v>
      </c>
      <c r="M986">
        <v>0.066602648159395733</v>
      </c>
      <c r="N986">
        <v>0.33060140230592205</v>
      </c>
      <c r="O986" t="s">
        <v>90</v>
      </c>
      <c r="P986">
        <v>0</v>
      </c>
      <c r="Q986" t="s">
        <v>90</v>
      </c>
      <c r="R986">
        <v>0</v>
      </c>
      <c r="S986" t="s">
        <v>90</v>
      </c>
      <c r="T986">
        <v>0</v>
      </c>
      <c r="U986" t="s">
        <v>90</v>
      </c>
      <c r="V986">
        <v>0</v>
      </c>
      <c r="W986" t="s">
        <v>90</v>
      </c>
      <c r="X986">
        <v>0</v>
      </c>
      <c r="Y986">
        <v>0.33060140230592205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108</v>
      </c>
      <c r="AF986">
        <v>326</v>
      </c>
      <c r="AG986">
        <v>297</v>
      </c>
      <c r="AI986">
        <v>0.23899999999999999</v>
      </c>
      <c r="AJ986" t="s">
        <v>685</v>
      </c>
      <c r="AK986" t="s">
        <v>501</v>
      </c>
      <c r="AL986" t="s">
        <v>1182</v>
      </c>
      <c r="AM986">
        <v>200000</v>
      </c>
      <c r="AN986" t="s">
        <v>92</v>
      </c>
      <c r="AO986">
        <v>1</v>
      </c>
      <c r="AP986">
        <v>0</v>
      </c>
      <c r="AQ986">
        <v>16666.666666666668</v>
      </c>
      <c r="AR986" t="s">
        <v>3577</v>
      </c>
      <c r="AS986" t="s">
        <v>78</v>
      </c>
      <c r="AX986" t="s">
        <v>79</v>
      </c>
      <c r="AY986" t="s">
        <v>137</v>
      </c>
      <c r="AZ986">
        <v>0</v>
      </c>
      <c r="BA986" t="s">
        <v>137</v>
      </c>
      <c r="BB986">
        <v>0</v>
      </c>
      <c r="BE986">
        <v>0</v>
      </c>
    </row>
    <row r="987" spans="1:58" ht="12.75">
      <c r="A987" s="2" t="str">
        <f>HYPERLINK("https://ibp.a2mac1.com/costing(costing:projects/details/8191/part/5384968)","Foot Well Trim")</f>
        <v>Foot Well Trim</v>
      </c>
      <c r="B987">
        <v>5384968</v>
      </c>
      <c r="C987">
        <v>5384860</v>
      </c>
      <c r="E987">
        <v>0.17532</v>
      </c>
      <c r="F987">
        <v>0</v>
      </c>
      <c r="G987">
        <v>0</v>
      </c>
      <c r="H987">
        <v>0.00088711919999999997</v>
      </c>
      <c r="I987" t="s">
        <v>137</v>
      </c>
      <c r="J987">
        <v>0.0061361999999999996</v>
      </c>
      <c r="K987">
        <v>0.18234331919999999</v>
      </c>
      <c r="L987">
        <v>0.012071766751129963</v>
      </c>
      <c r="M987">
        <v>0.072430600506779783</v>
      </c>
      <c r="N987">
        <v>0.25477391970677976</v>
      </c>
      <c r="O987" t="s">
        <v>90</v>
      </c>
      <c r="P987">
        <v>0</v>
      </c>
      <c r="Q987" t="s">
        <v>90</v>
      </c>
      <c r="R987">
        <v>0</v>
      </c>
      <c r="S987" t="s">
        <v>90</v>
      </c>
      <c r="T987">
        <v>0</v>
      </c>
      <c r="U987" t="s">
        <v>90</v>
      </c>
      <c r="V987">
        <v>0</v>
      </c>
      <c r="W987" t="s">
        <v>90</v>
      </c>
      <c r="X987">
        <v>0</v>
      </c>
      <c r="Y987">
        <v>0.25477391970677976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350</v>
      </c>
      <c r="AF987">
        <v>465</v>
      </c>
      <c r="AG987">
        <v>40</v>
      </c>
      <c r="AI987">
        <v>0.114</v>
      </c>
      <c r="AJ987" t="s">
        <v>3581</v>
      </c>
      <c r="AK987" t="s">
        <v>501</v>
      </c>
      <c r="AL987" t="s">
        <v>3579</v>
      </c>
      <c r="AM987">
        <v>200000</v>
      </c>
      <c r="AN987" t="s">
        <v>92</v>
      </c>
      <c r="AO987">
        <v>1</v>
      </c>
      <c r="AP987">
        <v>0</v>
      </c>
      <c r="AQ987">
        <v>16666.666666666668</v>
      </c>
      <c r="AR987" t="s">
        <v>3582</v>
      </c>
      <c r="AS987" t="s">
        <v>78</v>
      </c>
      <c r="AX987" t="s">
        <v>79</v>
      </c>
      <c r="AY987" t="s">
        <v>137</v>
      </c>
      <c r="AZ987">
        <v>0</v>
      </c>
      <c r="BA987" t="s">
        <v>137</v>
      </c>
      <c r="BB987">
        <v>0</v>
      </c>
      <c r="BE987">
        <v>0</v>
      </c>
    </row>
    <row r="988" spans="1:58" ht="12.75">
      <c r="A988" s="2" t="str">
        <f>HYPERLINK("https://ibp.a2mac1.com/costing(costing:projects/details/8191/part/5384969)","Lower Panel")</f>
        <v>Lower Panel</v>
      </c>
      <c r="B988">
        <v>5384969</v>
      </c>
      <c r="C988">
        <v>5384861</v>
      </c>
      <c r="E988">
        <v>1.574966232</v>
      </c>
      <c r="F988">
        <v>0</v>
      </c>
      <c r="G988">
        <v>0</v>
      </c>
      <c r="H988">
        <v>0.0079893023898947365</v>
      </c>
      <c r="I988" t="s">
        <v>137</v>
      </c>
      <c r="J988">
        <v>0.055261973052631579</v>
      </c>
      <c r="K988">
        <v>1.6382175074425263</v>
      </c>
      <c r="L988">
        <v>0.05180773282488163</v>
      </c>
      <c r="M988">
        <v>0.31084639694928978</v>
      </c>
      <c r="N988">
        <v>1.9490639043918161</v>
      </c>
      <c r="O988" t="s">
        <v>90</v>
      </c>
      <c r="P988">
        <v>0</v>
      </c>
      <c r="Q988" t="s">
        <v>90</v>
      </c>
      <c r="R988">
        <v>0</v>
      </c>
      <c r="S988" t="s">
        <v>90</v>
      </c>
      <c r="T988">
        <v>0</v>
      </c>
      <c r="U988" t="s">
        <v>90</v>
      </c>
      <c r="V988">
        <v>0</v>
      </c>
      <c r="W988" t="s">
        <v>90</v>
      </c>
      <c r="X988">
        <v>0</v>
      </c>
      <c r="Y988">
        <v>1.9490639043918161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160</v>
      </c>
      <c r="AF988">
        <v>1060</v>
      </c>
      <c r="AG988">
        <v>400</v>
      </c>
      <c r="AI988">
        <v>1.113</v>
      </c>
      <c r="AJ988" t="s">
        <v>685</v>
      </c>
      <c r="AK988" t="s">
        <v>501</v>
      </c>
      <c r="AL988" t="s">
        <v>728</v>
      </c>
      <c r="AM988">
        <v>200000</v>
      </c>
      <c r="AN988" t="s">
        <v>92</v>
      </c>
      <c r="AO988">
        <v>1</v>
      </c>
      <c r="AP988">
        <v>0</v>
      </c>
      <c r="AQ988">
        <v>16666.666666666668</v>
      </c>
      <c r="AR988" t="s">
        <v>3588</v>
      </c>
      <c r="AS988" t="s">
        <v>78</v>
      </c>
      <c r="AX988" t="s">
        <v>79</v>
      </c>
      <c r="AY988" t="s">
        <v>137</v>
      </c>
      <c r="AZ988">
        <v>0</v>
      </c>
      <c r="BA988" t="s">
        <v>137</v>
      </c>
      <c r="BB988">
        <v>0</v>
      </c>
      <c r="BE988">
        <v>0</v>
      </c>
    </row>
    <row r="989" spans="1:58" ht="12.75">
      <c r="A989" s="2" t="str">
        <f>HYPERLINK("https://ibp.a2mac1.com/costing(costing:projects/details/8191/part/5384970)","Lower Part")</f>
        <v>Lower Part</v>
      </c>
      <c r="B989">
        <v>5384970</v>
      </c>
      <c r="C989">
        <v>5384862</v>
      </c>
      <c r="E989">
        <v>0.82781243999999998</v>
      </c>
      <c r="F989">
        <v>0</v>
      </c>
      <c r="G989">
        <v>0</v>
      </c>
      <c r="H989">
        <v>0.0041992290189473685</v>
      </c>
      <c r="I989" t="s">
        <v>137</v>
      </c>
      <c r="J989">
        <v>0.02904605052631579</v>
      </c>
      <c r="K989">
        <v>0.86105771954526311</v>
      </c>
      <c r="L989">
        <v>0.027194266731300817</v>
      </c>
      <c r="M989">
        <v>0.16316560038780489</v>
      </c>
      <c r="N989">
        <v>1.0242233199330681</v>
      </c>
      <c r="O989" t="s">
        <v>90</v>
      </c>
      <c r="P989">
        <v>0</v>
      </c>
      <c r="Q989" t="s">
        <v>90</v>
      </c>
      <c r="R989">
        <v>0</v>
      </c>
      <c r="S989" t="s">
        <v>90</v>
      </c>
      <c r="T989">
        <v>0</v>
      </c>
      <c r="U989" t="s">
        <v>90</v>
      </c>
      <c r="V989">
        <v>0</v>
      </c>
      <c r="W989" t="s">
        <v>90</v>
      </c>
      <c r="X989">
        <v>0</v>
      </c>
      <c r="Y989">
        <v>1.0242233199330681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460</v>
      </c>
      <c r="AF989">
        <v>355</v>
      </c>
      <c r="AG989">
        <v>187</v>
      </c>
      <c r="AI989">
        <v>0.585</v>
      </c>
      <c r="AJ989" t="s">
        <v>685</v>
      </c>
      <c r="AK989" t="s">
        <v>501</v>
      </c>
      <c r="AL989" t="s">
        <v>728</v>
      </c>
      <c r="AM989">
        <v>200000</v>
      </c>
      <c r="AN989" t="s">
        <v>92</v>
      </c>
      <c r="AO989">
        <v>1</v>
      </c>
      <c r="AP989">
        <v>0</v>
      </c>
      <c r="AQ989">
        <v>16666.666666666668</v>
      </c>
      <c r="AR989" t="s">
        <v>3595</v>
      </c>
      <c r="AS989" t="s">
        <v>78</v>
      </c>
      <c r="AX989" t="s">
        <v>79</v>
      </c>
      <c r="AY989" t="s">
        <v>137</v>
      </c>
      <c r="AZ989">
        <v>0</v>
      </c>
      <c r="BA989" t="s">
        <v>137</v>
      </c>
      <c r="BB989">
        <v>0</v>
      </c>
      <c r="BE989">
        <v>0</v>
      </c>
    </row>
    <row r="990" spans="1:58" ht="12.75">
      <c r="A990" s="2" t="str">
        <f>HYPERLINK("https://ibp.a2mac1.com/costing(costing:projects/details/8191/part/5384857)","Garnish Left Side")</f>
        <v>Garnish Left Side</v>
      </c>
      <c r="B990">
        <v>5384857</v>
      </c>
      <c r="C990">
        <v>5384803</v>
      </c>
      <c r="E990">
        <v>0.16556248800000001</v>
      </c>
      <c r="F990">
        <v>0</v>
      </c>
      <c r="G990">
        <v>0</v>
      </c>
      <c r="H990">
        <v>0.00083984580378947365</v>
      </c>
      <c r="I990" t="s">
        <v>137</v>
      </c>
      <c r="J990">
        <v>0.005809210105263158</v>
      </c>
      <c r="K990">
        <v>0.17221154390905263</v>
      </c>
      <c r="L990">
        <v>0.0054324338069556633</v>
      </c>
      <c r="M990">
        <v>0.032594602841733974</v>
      </c>
      <c r="N990">
        <v>0.20480614675078662</v>
      </c>
      <c r="O990" t="s">
        <v>90</v>
      </c>
      <c r="P990">
        <v>0</v>
      </c>
      <c r="Q990" t="s">
        <v>90</v>
      </c>
      <c r="R990">
        <v>0</v>
      </c>
      <c r="S990" t="s">
        <v>90</v>
      </c>
      <c r="T990">
        <v>0</v>
      </c>
      <c r="U990" t="s">
        <v>90</v>
      </c>
      <c r="V990">
        <v>0</v>
      </c>
      <c r="W990" t="s">
        <v>90</v>
      </c>
      <c r="X990">
        <v>0</v>
      </c>
      <c r="Y990">
        <v>0.20480614675078662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228</v>
      </c>
      <c r="AF990">
        <v>31</v>
      </c>
      <c r="AG990">
        <v>304</v>
      </c>
      <c r="AI990">
        <v>0.11700000000000001</v>
      </c>
      <c r="AJ990" t="s">
        <v>685</v>
      </c>
      <c r="AK990" t="s">
        <v>501</v>
      </c>
      <c r="AL990" t="s">
        <v>728</v>
      </c>
      <c r="AM990">
        <v>200000</v>
      </c>
      <c r="AN990" t="s">
        <v>92</v>
      </c>
      <c r="AO990">
        <v>1</v>
      </c>
      <c r="AP990">
        <v>0</v>
      </c>
      <c r="AQ990">
        <v>16666.666666666668</v>
      </c>
      <c r="AR990" t="s">
        <v>3601</v>
      </c>
      <c r="AS990" t="s">
        <v>78</v>
      </c>
      <c r="AX990" t="s">
        <v>79</v>
      </c>
      <c r="AY990" t="s">
        <v>137</v>
      </c>
      <c r="AZ990">
        <v>0</v>
      </c>
      <c r="BA990" t="s">
        <v>137</v>
      </c>
      <c r="BB990">
        <v>0</v>
      </c>
      <c r="BE990">
        <v>0</v>
      </c>
    </row>
    <row r="991" spans="1:58" ht="12.75">
      <c r="A991" s="2" t="str">
        <f>HYPERLINK("https://ibp.a2mac1.com/costing(costing:projects/details/8191/part/5384858)","Garnish Right Side")</f>
        <v>Garnish Right Side</v>
      </c>
      <c r="B991">
        <v>5384858</v>
      </c>
      <c r="C991">
        <v>5384803</v>
      </c>
      <c r="E991">
        <v>0.166977552</v>
      </c>
      <c r="F991">
        <v>0</v>
      </c>
      <c r="G991">
        <v>0</v>
      </c>
      <c r="H991">
        <v>0.00084702397305263155</v>
      </c>
      <c r="I991" t="s">
        <v>137</v>
      </c>
      <c r="J991">
        <v>0.0058588614736842107</v>
      </c>
      <c r="K991">
        <v>0.17368343744673684</v>
      </c>
      <c r="L991">
        <v>0.0054788786993381087</v>
      </c>
      <c r="M991">
        <v>0.032873272196028654</v>
      </c>
      <c r="N991">
        <v>0.20655670964276548</v>
      </c>
      <c r="O991" t="s">
        <v>90</v>
      </c>
      <c r="P991">
        <v>0</v>
      </c>
      <c r="Q991" t="s">
        <v>90</v>
      </c>
      <c r="R991">
        <v>0</v>
      </c>
      <c r="S991" t="s">
        <v>90</v>
      </c>
      <c r="T991">
        <v>0</v>
      </c>
      <c r="U991" t="s">
        <v>90</v>
      </c>
      <c r="V991">
        <v>0</v>
      </c>
      <c r="W991" t="s">
        <v>90</v>
      </c>
      <c r="X991">
        <v>0</v>
      </c>
      <c r="Y991">
        <v>0.20655670964276548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165</v>
      </c>
      <c r="AF991">
        <v>29</v>
      </c>
      <c r="AG991">
        <v>305</v>
      </c>
      <c r="AI991">
        <v>0.11799999999999999</v>
      </c>
      <c r="AJ991" t="s">
        <v>685</v>
      </c>
      <c r="AK991" t="s">
        <v>501</v>
      </c>
      <c r="AL991" t="s">
        <v>728</v>
      </c>
      <c r="AM991">
        <v>200000</v>
      </c>
      <c r="AN991" t="s">
        <v>92</v>
      </c>
      <c r="AO991">
        <v>1</v>
      </c>
      <c r="AP991">
        <v>0</v>
      </c>
      <c r="AQ991">
        <v>16666.666666666668</v>
      </c>
      <c r="AR991" t="s">
        <v>3606</v>
      </c>
      <c r="AS991" t="s">
        <v>78</v>
      </c>
      <c r="AX991" t="s">
        <v>79</v>
      </c>
      <c r="AY991" t="s">
        <v>137</v>
      </c>
      <c r="AZ991">
        <v>0</v>
      </c>
      <c r="BA991" t="s">
        <v>137</v>
      </c>
      <c r="BB991">
        <v>0</v>
      </c>
      <c r="BE991">
        <v>0</v>
      </c>
    </row>
    <row r="992" spans="1:58" ht="12.75">
      <c r="A992" s="2" t="str">
        <f>HYPERLINK("https://ibp.a2mac1.com/costing(costing:projects/details/8191/part/5384859)","Upper Skin Support")</f>
        <v>Upper Skin Support</v>
      </c>
      <c r="B992">
        <v>5384859</v>
      </c>
      <c r="C992">
        <v>5384803</v>
      </c>
      <c r="E992">
        <v>0.35044317000000003</v>
      </c>
      <c r="F992">
        <v>0</v>
      </c>
      <c r="G992">
        <v>0</v>
      </c>
      <c r="H992">
        <v>0.0017776866568421053</v>
      </c>
      <c r="I992" t="s">
        <v>137</v>
      </c>
      <c r="J992">
        <v>0.012296251578947369</v>
      </c>
      <c r="K992">
        <v>0.36451710823578948</v>
      </c>
      <c r="L992">
        <v>0.015330489929212248</v>
      </c>
      <c r="M992">
        <v>0.091982939575273495</v>
      </c>
      <c r="N992">
        <v>0.45650004781106296</v>
      </c>
      <c r="O992" t="s">
        <v>90</v>
      </c>
      <c r="P992">
        <v>0</v>
      </c>
      <c r="Q992" t="s">
        <v>90</v>
      </c>
      <c r="R992">
        <v>0</v>
      </c>
      <c r="S992" t="s">
        <v>90</v>
      </c>
      <c r="T992">
        <v>0</v>
      </c>
      <c r="U992" t="s">
        <v>90</v>
      </c>
      <c r="V992">
        <v>0</v>
      </c>
      <c r="W992" t="s">
        <v>90</v>
      </c>
      <c r="X992">
        <v>0</v>
      </c>
      <c r="Y992">
        <v>0.45650004781106296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280</v>
      </c>
      <c r="AF992">
        <v>400</v>
      </c>
      <c r="AG992">
        <v>58</v>
      </c>
      <c r="AI992">
        <v>0.33</v>
      </c>
      <c r="AK992" t="s">
        <v>501</v>
      </c>
      <c r="AL992" t="s">
        <v>1182</v>
      </c>
      <c r="AM992">
        <v>200000</v>
      </c>
      <c r="AN992" t="s">
        <v>92</v>
      </c>
      <c r="AO992">
        <v>1</v>
      </c>
      <c r="AP992">
        <v>0</v>
      </c>
      <c r="AQ992">
        <v>16666.666666666668</v>
      </c>
      <c r="AR992" t="s">
        <v>3610</v>
      </c>
      <c r="AS992" t="s">
        <v>78</v>
      </c>
      <c r="AX992" t="s">
        <v>79</v>
      </c>
      <c r="AY992" t="s">
        <v>137</v>
      </c>
      <c r="AZ992">
        <v>0</v>
      </c>
      <c r="BA992" t="s">
        <v>137</v>
      </c>
      <c r="BB992">
        <v>0</v>
      </c>
      <c r="BE992">
        <v>0</v>
      </c>
    </row>
    <row r="993" spans="1:58" ht="12.75">
      <c r="A993" s="2" t="str">
        <f>HYPERLINK("https://ibp.a2mac1.com/costing(costing:projects/details/8191/part/5384971)","Left Bezel")</f>
        <v>Left Bezel</v>
      </c>
      <c r="B993">
        <v>5384971</v>
      </c>
      <c r="C993">
        <v>5384863</v>
      </c>
      <c r="E993">
        <v>0.20888091155555555</v>
      </c>
      <c r="F993">
        <v>0</v>
      </c>
      <c r="G993">
        <v>0</v>
      </c>
      <c r="H993">
        <v>0.0066117880862900588</v>
      </c>
      <c r="I993" t="s">
        <v>137</v>
      </c>
      <c r="J993">
        <v>0.007313155197076023</v>
      </c>
      <c r="K993">
        <v>0.22280585483892162</v>
      </c>
      <c r="L993">
        <v>0.043778810592264829</v>
      </c>
      <c r="M993">
        <v>0.26267286355358899</v>
      </c>
      <c r="N993">
        <v>0.48547871839251061</v>
      </c>
      <c r="O993" t="s">
        <v>138</v>
      </c>
      <c r="P993">
        <v>0.013368351290335298</v>
      </c>
      <c r="Q993" t="s">
        <v>138</v>
      </c>
      <c r="R993">
        <v>0.015760371813215338</v>
      </c>
      <c r="S993" t="s">
        <v>139</v>
      </c>
      <c r="T993">
        <v>0.058257446207101271</v>
      </c>
      <c r="U993" t="s">
        <v>90</v>
      </c>
      <c r="V993">
        <v>0</v>
      </c>
      <c r="W993" t="s">
        <v>90</v>
      </c>
      <c r="X993">
        <v>0</v>
      </c>
      <c r="Y993">
        <v>0.57286488770316246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36</v>
      </c>
      <c r="AF993">
        <v>219</v>
      </c>
      <c r="AG993">
        <v>32</v>
      </c>
      <c r="AI993">
        <v>0.010999999999999999</v>
      </c>
      <c r="AJ993" t="s">
        <v>685</v>
      </c>
      <c r="AK993" t="s">
        <v>501</v>
      </c>
      <c r="AL993" t="s">
        <v>1275</v>
      </c>
      <c r="AM993">
        <v>200000</v>
      </c>
      <c r="AN993" t="s">
        <v>76</v>
      </c>
      <c r="AO993">
        <v>1</v>
      </c>
      <c r="AP993">
        <v>0</v>
      </c>
      <c r="AQ993">
        <v>16666.666666666668</v>
      </c>
      <c r="AR993" t="s">
        <v>3620</v>
      </c>
      <c r="AS993" t="s">
        <v>78</v>
      </c>
      <c r="AX993" t="s">
        <v>79</v>
      </c>
      <c r="AY993" t="s">
        <v>137</v>
      </c>
      <c r="AZ993">
        <v>0</v>
      </c>
      <c r="BA993" t="s">
        <v>137</v>
      </c>
      <c r="BB993">
        <v>0</v>
      </c>
      <c r="BE993">
        <v>0</v>
      </c>
    </row>
    <row r="994" spans="1:58" ht="12.75">
      <c r="A994" s="2" t="str">
        <f>HYPERLINK("https://ibp.a2mac1.com/costing(costing:projects/details/8191/part/5384972)","Bezel")</f>
        <v>Bezel</v>
      </c>
      <c r="B994">
        <v>5384972</v>
      </c>
      <c r="C994">
        <v>5384864</v>
      </c>
      <c r="E994">
        <v>0.80537442800000003</v>
      </c>
      <c r="F994">
        <v>0</v>
      </c>
      <c r="G994">
        <v>0</v>
      </c>
      <c r="H994">
        <v>0.010694068316210526</v>
      </c>
      <c r="I994" t="s">
        <v>137</v>
      </c>
      <c r="J994">
        <v>0.028230980289473684</v>
      </c>
      <c r="K994">
        <v>0.84429947660568416</v>
      </c>
      <c r="L994">
        <v>0.67392469934192312</v>
      </c>
      <c r="M994">
        <v>4.0435481960515389</v>
      </c>
      <c r="N994">
        <v>4.8878476726572231</v>
      </c>
      <c r="O994" t="s">
        <v>138</v>
      </c>
      <c r="P994">
        <v>0.050657968596341051</v>
      </c>
      <c r="Q994" t="s">
        <v>138</v>
      </c>
      <c r="R994">
        <v>0.24261289176309234</v>
      </c>
      <c r="S994" t="s">
        <v>139</v>
      </c>
      <c r="T994">
        <v>0.58654172071886679</v>
      </c>
      <c r="U994" t="s">
        <v>90</v>
      </c>
      <c r="V994">
        <v>0</v>
      </c>
      <c r="W994" t="s">
        <v>90</v>
      </c>
      <c r="X994">
        <v>0</v>
      </c>
      <c r="Y994">
        <v>5.7676602537355235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120</v>
      </c>
      <c r="AF994">
        <v>940</v>
      </c>
      <c r="AG994">
        <v>66</v>
      </c>
      <c r="AI994">
        <v>0.20300000000000001</v>
      </c>
      <c r="AJ994" t="s">
        <v>685</v>
      </c>
      <c r="AK994" t="s">
        <v>501</v>
      </c>
      <c r="AL994" t="s">
        <v>1275</v>
      </c>
      <c r="AM994">
        <v>200000</v>
      </c>
      <c r="AN994" t="s">
        <v>76</v>
      </c>
      <c r="AO994">
        <v>1</v>
      </c>
      <c r="AP994">
        <v>0</v>
      </c>
      <c r="AQ994">
        <v>16666.666666666668</v>
      </c>
      <c r="AR994" t="s">
        <v>3634</v>
      </c>
      <c r="AS994" t="s">
        <v>78</v>
      </c>
      <c r="AX994" t="s">
        <v>79</v>
      </c>
      <c r="AY994" t="s">
        <v>137</v>
      </c>
      <c r="AZ994">
        <v>0</v>
      </c>
      <c r="BA994" t="s">
        <v>137</v>
      </c>
      <c r="BB994">
        <v>0</v>
      </c>
      <c r="BE994">
        <v>0</v>
      </c>
    </row>
    <row r="995" spans="1:58" ht="12.75">
      <c r="A995" s="2" t="str">
        <f>HYPERLINK("https://ibp.a2mac1.com/costing(costing:projects/details/8191/part/5385096)","Main Single Bezel")</f>
        <v>Main Single Bezel</v>
      </c>
      <c r="B995">
        <v>5385096</v>
      </c>
      <c r="C995">
        <v>5384974</v>
      </c>
      <c r="E995">
        <v>0.25836999999999999</v>
      </c>
      <c r="F995">
        <v>0</v>
      </c>
      <c r="G995">
        <v>0</v>
      </c>
      <c r="H995">
        <v>0</v>
      </c>
      <c r="I995" t="s">
        <v>74</v>
      </c>
      <c r="J995">
        <v>0</v>
      </c>
      <c r="K995">
        <v>0.25836999999999999</v>
      </c>
      <c r="L995">
        <v>0</v>
      </c>
      <c r="M995">
        <v>0</v>
      </c>
      <c r="N995">
        <v>0.25836999999999999</v>
      </c>
      <c r="O995" t="s">
        <v>74</v>
      </c>
      <c r="P995">
        <v>0</v>
      </c>
      <c r="Q995" t="s">
        <v>74</v>
      </c>
      <c r="R995">
        <v>0</v>
      </c>
      <c r="S995" t="s">
        <v>74</v>
      </c>
      <c r="T995">
        <v>0</v>
      </c>
      <c r="U995" t="s">
        <v>74</v>
      </c>
      <c r="V995">
        <v>0</v>
      </c>
      <c r="W995" t="s">
        <v>74</v>
      </c>
      <c r="X995">
        <v>0</v>
      </c>
      <c r="Y995">
        <v>0.25836999999999999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42</v>
      </c>
      <c r="AF995">
        <v>186</v>
      </c>
      <c r="AG995">
        <v>130</v>
      </c>
      <c r="AI995">
        <v>0.048000000000000001</v>
      </c>
      <c r="AJ995" t="s">
        <v>685</v>
      </c>
      <c r="AK995" t="s">
        <v>501</v>
      </c>
      <c r="AL995" t="s">
        <v>1261</v>
      </c>
      <c r="AM995">
        <v>200000</v>
      </c>
      <c r="AN995" t="s">
        <v>76</v>
      </c>
      <c r="AO995">
        <v>1</v>
      </c>
      <c r="AP995">
        <v>0</v>
      </c>
      <c r="AQ995">
        <v>16666.666666666668</v>
      </c>
      <c r="AR995" t="s">
        <v>3640</v>
      </c>
      <c r="AS995" t="s">
        <v>78</v>
      </c>
      <c r="AX995" t="s">
        <v>79</v>
      </c>
      <c r="AY995" t="s">
        <v>74</v>
      </c>
      <c r="AZ995">
        <v>0</v>
      </c>
      <c r="BA995" t="s">
        <v>74</v>
      </c>
      <c r="BB995">
        <v>0</v>
      </c>
      <c r="BD995">
        <v>0.25836999999999999</v>
      </c>
      <c r="BE995">
        <v>0</v>
      </c>
    </row>
    <row r="996" spans="1:58" ht="12.75">
      <c r="A996" s="2" t="str">
        <f>HYPERLINK("https://ibp.a2mac1.com/costing(costing:projects/details/8191/part/5384973)","Cluster")</f>
        <v>Cluster</v>
      </c>
      <c r="B996">
        <v>5384973</v>
      </c>
      <c r="C996">
        <v>5384866</v>
      </c>
      <c r="E996">
        <v>0</v>
      </c>
      <c r="F996">
        <v>44.420889306597552</v>
      </c>
      <c r="G996">
        <v>0</v>
      </c>
      <c r="H996">
        <v>0</v>
      </c>
      <c r="I996" t="s">
        <v>137</v>
      </c>
      <c r="J996">
        <v>0</v>
      </c>
      <c r="K996">
        <v>45.975620432328462</v>
      </c>
      <c r="L996">
        <v>2.2142123324945331</v>
      </c>
      <c r="M996">
        <v>7.7497431637308667</v>
      </c>
      <c r="N996">
        <v>53.725363596059331</v>
      </c>
      <c r="O996" t="s">
        <v>138</v>
      </c>
      <c r="P996">
        <v>2.7585372259397078</v>
      </c>
      <c r="Q996" t="s">
        <v>138</v>
      </c>
      <c r="R996">
        <v>0.46498458982385199</v>
      </c>
      <c r="S996" t="s">
        <v>139</v>
      </c>
      <c r="T996">
        <v>6.4470436315271193</v>
      </c>
      <c r="U996" t="s">
        <v>90</v>
      </c>
      <c r="V996">
        <v>0</v>
      </c>
      <c r="W996" t="s">
        <v>90</v>
      </c>
      <c r="X996">
        <v>0</v>
      </c>
      <c r="Y996">
        <v>63.395929043350009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140</v>
      </c>
      <c r="AF996">
        <v>297</v>
      </c>
      <c r="AG996">
        <v>181</v>
      </c>
      <c r="AI996">
        <v>0.66700000000000004</v>
      </c>
      <c r="AK996" t="s">
        <v>576</v>
      </c>
      <c r="AL996" t="s">
        <v>3644</v>
      </c>
      <c r="AM996">
        <v>200000</v>
      </c>
      <c r="AN996" t="s">
        <v>76</v>
      </c>
      <c r="AO996">
        <v>1</v>
      </c>
      <c r="AP996">
        <v>0</v>
      </c>
      <c r="AQ996">
        <v>16666.666666666668</v>
      </c>
      <c r="AR996" t="s">
        <v>3645</v>
      </c>
      <c r="AS996" t="s">
        <v>78</v>
      </c>
      <c r="AX996" t="s">
        <v>79</v>
      </c>
      <c r="AY996" t="s">
        <v>137</v>
      </c>
      <c r="AZ996">
        <v>1.5547311257309142</v>
      </c>
      <c r="BA996" t="s">
        <v>137</v>
      </c>
      <c r="BB996">
        <v>0</v>
      </c>
      <c r="BE996">
        <v>0</v>
      </c>
    </row>
    <row r="997" spans="1:58" ht="12.75">
      <c r="A997" s="2" t="str">
        <f>HYPERLINK("https://ibp.a2mac1.com/costing(costing:projects/details/8191/part/5384975)","Radio")</f>
        <v>Radio</v>
      </c>
      <c r="B997">
        <v>5384975</v>
      </c>
      <c r="C997">
        <v>5384867</v>
      </c>
      <c r="E997">
        <v>0</v>
      </c>
      <c r="F997">
        <v>161.07103031583566</v>
      </c>
      <c r="G997">
        <v>0</v>
      </c>
      <c r="H997">
        <v>0</v>
      </c>
      <c r="I997" t="s">
        <v>137</v>
      </c>
      <c r="J997">
        <v>0</v>
      </c>
      <c r="K997">
        <v>166.70851637688992</v>
      </c>
      <c r="L997">
        <v>2.3283454935855432</v>
      </c>
      <c r="M997">
        <v>8.1492092275494024</v>
      </c>
      <c r="N997">
        <v>174.85772560443931</v>
      </c>
      <c r="O997" t="s">
        <v>138</v>
      </c>
      <c r="P997">
        <v>10.002510982613394</v>
      </c>
      <c r="Q997" t="s">
        <v>138</v>
      </c>
      <c r="R997">
        <v>0.48895255365296414</v>
      </c>
      <c r="S997" t="s">
        <v>139</v>
      </c>
      <c r="T997">
        <v>20.982927072532718</v>
      </c>
      <c r="U997" t="s">
        <v>90</v>
      </c>
      <c r="V997">
        <v>0</v>
      </c>
      <c r="W997" t="s">
        <v>90</v>
      </c>
      <c r="X997">
        <v>0</v>
      </c>
      <c r="Y997">
        <v>206.33211621323841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195</v>
      </c>
      <c r="AF997">
        <v>190</v>
      </c>
      <c r="AG997">
        <v>58</v>
      </c>
      <c r="AI997">
        <v>1.036</v>
      </c>
      <c r="AJ997" t="s">
        <v>1258</v>
      </c>
      <c r="AK997" t="s">
        <v>576</v>
      </c>
      <c r="AL997" t="s">
        <v>3650</v>
      </c>
      <c r="AM997">
        <v>200000</v>
      </c>
      <c r="AN997" t="s">
        <v>76</v>
      </c>
      <c r="AO997">
        <v>1</v>
      </c>
      <c r="AP997">
        <v>0</v>
      </c>
      <c r="AQ997">
        <v>16666.666666666668</v>
      </c>
      <c r="AR997" t="s">
        <v>3651</v>
      </c>
      <c r="AS997" t="s">
        <v>78</v>
      </c>
      <c r="AX997" t="s">
        <v>79</v>
      </c>
      <c r="AY997" t="s">
        <v>137</v>
      </c>
      <c r="AZ997">
        <v>5.6374860610542488</v>
      </c>
      <c r="BA997" t="s">
        <v>137</v>
      </c>
      <c r="BB997">
        <v>0</v>
      </c>
      <c r="BE997">
        <v>0</v>
      </c>
    </row>
    <row r="998" spans="1:58" ht="12.75">
      <c r="A998" s="2" t="str">
        <f>HYPERLINK("https://ibp.a2mac1.com/costing(costing:projects/details/8191/part/5384976)","Radio Support")</f>
        <v>Radio Support</v>
      </c>
      <c r="B998">
        <v>5384976</v>
      </c>
      <c r="C998">
        <v>5384867</v>
      </c>
      <c r="E998">
        <v>1.01492</v>
      </c>
      <c r="F998">
        <v>0</v>
      </c>
      <c r="G998">
        <v>0</v>
      </c>
      <c r="H998">
        <v>0</v>
      </c>
      <c r="I998" t="s">
        <v>74</v>
      </c>
      <c r="J998">
        <v>0</v>
      </c>
      <c r="K998">
        <v>1.01492</v>
      </c>
      <c r="L998">
        <v>0</v>
      </c>
      <c r="M998">
        <v>0</v>
      </c>
      <c r="N998">
        <v>1.01492</v>
      </c>
      <c r="O998" t="s">
        <v>74</v>
      </c>
      <c r="P998">
        <v>0</v>
      </c>
      <c r="Q998" t="s">
        <v>74</v>
      </c>
      <c r="R998">
        <v>0</v>
      </c>
      <c r="S998" t="s">
        <v>74</v>
      </c>
      <c r="T998">
        <v>0</v>
      </c>
      <c r="U998" t="s">
        <v>74</v>
      </c>
      <c r="V998">
        <v>0</v>
      </c>
      <c r="W998" t="s">
        <v>74</v>
      </c>
      <c r="X998">
        <v>0</v>
      </c>
      <c r="Y998">
        <v>1.01492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252</v>
      </c>
      <c r="AF998">
        <v>201</v>
      </c>
      <c r="AG998">
        <v>241</v>
      </c>
      <c r="AI998">
        <v>0.52100000000000002</v>
      </c>
      <c r="AJ998" t="s">
        <v>685</v>
      </c>
      <c r="AK998" t="s">
        <v>501</v>
      </c>
      <c r="AL998" t="s">
        <v>1182</v>
      </c>
      <c r="AM998">
        <v>200000</v>
      </c>
      <c r="AN998" t="s">
        <v>92</v>
      </c>
      <c r="AO998">
        <v>1</v>
      </c>
      <c r="AP998">
        <v>0</v>
      </c>
      <c r="AQ998">
        <v>16666.666666666668</v>
      </c>
      <c r="AR998" t="s">
        <v>3652</v>
      </c>
      <c r="AS998" t="s">
        <v>78</v>
      </c>
      <c r="AX998" t="s">
        <v>79</v>
      </c>
      <c r="AY998" t="s">
        <v>74</v>
      </c>
      <c r="AZ998">
        <v>0</v>
      </c>
      <c r="BA998" t="s">
        <v>74</v>
      </c>
      <c r="BB998">
        <v>0</v>
      </c>
      <c r="BD998">
        <v>1.01492</v>
      </c>
      <c r="BE998">
        <v>0</v>
      </c>
    </row>
    <row r="999" spans="1:58" ht="12.75">
      <c r="A999" s="2" t="str">
        <f>HYPERLINK("https://ibp.a2mac1.com/costing(costing:projects/details/8191/part/5384977)","Screen")</f>
        <v>Screen</v>
      </c>
      <c r="B999">
        <v>5384977</v>
      </c>
      <c r="C999">
        <v>5384868</v>
      </c>
      <c r="E999">
        <v>14.394740000000001</v>
      </c>
      <c r="F999">
        <v>90.715120649863948</v>
      </c>
      <c r="G999">
        <v>0</v>
      </c>
      <c r="H999">
        <v>0</v>
      </c>
      <c r="I999" t="s">
        <v>137</v>
      </c>
      <c r="J999">
        <v>0</v>
      </c>
      <c r="K999">
        <v>108.28488987260918</v>
      </c>
      <c r="L999">
        <v>0</v>
      </c>
      <c r="M999">
        <v>0</v>
      </c>
      <c r="N999">
        <v>108.28488987260918</v>
      </c>
      <c r="O999" t="s">
        <v>138</v>
      </c>
      <c r="P999">
        <v>5.6334089923565509</v>
      </c>
      <c r="Q999" t="s">
        <v>138</v>
      </c>
      <c r="R999">
        <v>0</v>
      </c>
      <c r="S999" t="s">
        <v>139</v>
      </c>
      <c r="T999">
        <v>11.266817984713102</v>
      </c>
      <c r="U999" t="s">
        <v>90</v>
      </c>
      <c r="V999">
        <v>0</v>
      </c>
      <c r="W999" t="s">
        <v>90</v>
      </c>
      <c r="X999">
        <v>0</v>
      </c>
      <c r="Y999">
        <v>125.18511684967883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168</v>
      </c>
      <c r="AF999">
        <v>326</v>
      </c>
      <c r="AG999">
        <v>215</v>
      </c>
      <c r="AI999">
        <v>1.495</v>
      </c>
      <c r="AJ999" t="s">
        <v>685</v>
      </c>
      <c r="AK999" t="s">
        <v>576</v>
      </c>
      <c r="AL999" t="s">
        <v>3657</v>
      </c>
      <c r="AM999">
        <v>200000</v>
      </c>
      <c r="AN999" t="s">
        <v>76</v>
      </c>
      <c r="AO999">
        <v>1</v>
      </c>
      <c r="AP999">
        <v>0</v>
      </c>
      <c r="AQ999">
        <v>16666.666666666668</v>
      </c>
      <c r="AR999" t="s">
        <v>3658</v>
      </c>
      <c r="AS999" t="s">
        <v>78</v>
      </c>
      <c r="AX999" t="s">
        <v>79</v>
      </c>
      <c r="AY999" t="s">
        <v>137</v>
      </c>
      <c r="AZ999">
        <v>3.1750292227452381</v>
      </c>
      <c r="BA999" t="s">
        <v>137</v>
      </c>
      <c r="BB999">
        <v>0</v>
      </c>
      <c r="BE999">
        <v>0</v>
      </c>
    </row>
    <row r="1000" spans="1:58" ht="12.75">
      <c r="A1000" s="2" t="str">
        <f>HYPERLINK("https://ibp.a2mac1.com/costing(costing:projects/details/8191/part/5384978)","LCD Screen Bezel")</f>
        <v>LCD Screen Bezel</v>
      </c>
      <c r="B1000">
        <v>5384978</v>
      </c>
      <c r="C1000">
        <v>5384868</v>
      </c>
      <c r="E1000">
        <v>0.32745753599999999</v>
      </c>
      <c r="F1000">
        <v>0</v>
      </c>
      <c r="G1000">
        <v>0</v>
      </c>
      <c r="H1000">
        <v>0.0016610878517894737</v>
      </c>
      <c r="I1000" t="s">
        <v>137</v>
      </c>
      <c r="J1000">
        <v>0.011489738105263159</v>
      </c>
      <c r="K1000">
        <v>0.34060836195705263</v>
      </c>
      <c r="L1000">
        <v>0.0063149268579640013</v>
      </c>
      <c r="M1000">
        <v>0.037889561147784009</v>
      </c>
      <c r="N1000">
        <v>0.37849792310483665</v>
      </c>
      <c r="O1000" t="s">
        <v>90</v>
      </c>
      <c r="P1000">
        <v>0</v>
      </c>
      <c r="Q1000" t="s">
        <v>90</v>
      </c>
      <c r="R1000">
        <v>0</v>
      </c>
      <c r="S1000" t="s">
        <v>90</v>
      </c>
      <c r="T1000">
        <v>0</v>
      </c>
      <c r="U1000" t="s">
        <v>90</v>
      </c>
      <c r="V1000">
        <v>0</v>
      </c>
      <c r="W1000" t="s">
        <v>90</v>
      </c>
      <c r="X1000">
        <v>0</v>
      </c>
      <c r="Y1000">
        <v>0.37849792310483665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46</v>
      </c>
      <c r="AF1000">
        <v>325</v>
      </c>
      <c r="AG1000">
        <v>220</v>
      </c>
      <c r="AI1000">
        <v>0.13600000000000001</v>
      </c>
      <c r="AK1000" t="s">
        <v>501</v>
      </c>
      <c r="AL1000" t="s">
        <v>1275</v>
      </c>
      <c r="AM1000">
        <v>200000</v>
      </c>
      <c r="AN1000" t="s">
        <v>92</v>
      </c>
      <c r="AO1000">
        <v>1</v>
      </c>
      <c r="AP1000">
        <v>0</v>
      </c>
      <c r="AQ1000">
        <v>16666.666666666668</v>
      </c>
      <c r="AR1000" t="s">
        <v>3663</v>
      </c>
      <c r="AS1000" t="s">
        <v>78</v>
      </c>
      <c r="AX1000" t="s">
        <v>79</v>
      </c>
      <c r="AY1000" t="s">
        <v>137</v>
      </c>
      <c r="AZ1000">
        <v>0</v>
      </c>
      <c r="BA1000" t="s">
        <v>137</v>
      </c>
      <c r="BB1000">
        <v>0</v>
      </c>
      <c r="BE1000">
        <v>0</v>
      </c>
    </row>
    <row r="1001" spans="1:58" ht="12.75">
      <c r="A1001" s="2" t="str">
        <f>HYPERLINK("https://ibp.a2mac1.com/costing(costing:projects/details/8191/part/5384979)","2nd Trim")</f>
        <v>2nd Trim</v>
      </c>
      <c r="B1001">
        <v>5384979</v>
      </c>
      <c r="C1001">
        <v>5384868</v>
      </c>
      <c r="E1001">
        <v>0.050563296000000001</v>
      </c>
      <c r="F1001">
        <v>0</v>
      </c>
      <c r="G1001">
        <v>0</v>
      </c>
      <c r="H1001">
        <v>0.00025649150652631581</v>
      </c>
      <c r="I1001" t="s">
        <v>137</v>
      </c>
      <c r="J1001">
        <v>0.0017741507368421053</v>
      </c>
      <c r="K1001">
        <v>0.052593938243368422</v>
      </c>
      <c r="L1001">
        <v>0.00097481586791442736</v>
      </c>
      <c r="M1001">
        <v>0.0058488952074865642</v>
      </c>
      <c r="N1001">
        <v>0.058442833450854985</v>
      </c>
      <c r="O1001" t="s">
        <v>90</v>
      </c>
      <c r="P1001">
        <v>0</v>
      </c>
      <c r="Q1001" t="s">
        <v>90</v>
      </c>
      <c r="R1001">
        <v>0</v>
      </c>
      <c r="S1001" t="s">
        <v>90</v>
      </c>
      <c r="T1001">
        <v>0</v>
      </c>
      <c r="U1001" t="s">
        <v>90</v>
      </c>
      <c r="V1001">
        <v>0</v>
      </c>
      <c r="W1001" t="s">
        <v>90</v>
      </c>
      <c r="X1001">
        <v>0</v>
      </c>
      <c r="Y1001">
        <v>0.058442833450854985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24</v>
      </c>
      <c r="AF1001">
        <v>200</v>
      </c>
      <c r="AG1001">
        <v>46</v>
      </c>
      <c r="AI1001">
        <v>0.021000000000000001</v>
      </c>
      <c r="AJ1001" t="s">
        <v>685</v>
      </c>
      <c r="AK1001" t="s">
        <v>501</v>
      </c>
      <c r="AL1001" t="s">
        <v>1275</v>
      </c>
      <c r="AM1001">
        <v>200000</v>
      </c>
      <c r="AN1001" t="s">
        <v>92</v>
      </c>
      <c r="AO1001">
        <v>1</v>
      </c>
      <c r="AP1001">
        <v>0</v>
      </c>
      <c r="AQ1001">
        <v>16666.666666666668</v>
      </c>
      <c r="AR1001" t="s">
        <v>3668</v>
      </c>
      <c r="AS1001" t="s">
        <v>78</v>
      </c>
      <c r="AX1001" t="s">
        <v>79</v>
      </c>
      <c r="AY1001" t="s">
        <v>137</v>
      </c>
      <c r="AZ1001">
        <v>0</v>
      </c>
      <c r="BA1001" t="s">
        <v>137</v>
      </c>
      <c r="BB1001">
        <v>0</v>
      </c>
      <c r="BE1001">
        <v>0</v>
      </c>
    </row>
    <row r="1002" spans="1:58" ht="12.75">
      <c r="A1002" s="2" t="str">
        <f>HYPERLINK("https://ibp.a2mac1.com/costing(costing:projects/details/8191/part/5384980)","LCD Support")</f>
        <v>LCD Support</v>
      </c>
      <c r="B1002">
        <v>5384980</v>
      </c>
      <c r="C1002">
        <v>5384868</v>
      </c>
      <c r="E1002">
        <v>0.23991999999999999</v>
      </c>
      <c r="F1002">
        <v>0</v>
      </c>
      <c r="G1002">
        <v>0</v>
      </c>
      <c r="H1002">
        <v>0</v>
      </c>
      <c r="I1002" t="s">
        <v>74</v>
      </c>
      <c r="J1002">
        <v>0</v>
      </c>
      <c r="K1002">
        <v>0.23991999999999999</v>
      </c>
      <c r="L1002">
        <v>0</v>
      </c>
      <c r="M1002">
        <v>0</v>
      </c>
      <c r="N1002">
        <v>0.23991999999999999</v>
      </c>
      <c r="O1002" t="s">
        <v>74</v>
      </c>
      <c r="P1002">
        <v>0</v>
      </c>
      <c r="Q1002" t="s">
        <v>74</v>
      </c>
      <c r="R1002">
        <v>0</v>
      </c>
      <c r="S1002" t="s">
        <v>74</v>
      </c>
      <c r="T1002">
        <v>0</v>
      </c>
      <c r="U1002" t="s">
        <v>74</v>
      </c>
      <c r="V1002">
        <v>0</v>
      </c>
      <c r="W1002" t="s">
        <v>74</v>
      </c>
      <c r="X1002">
        <v>0</v>
      </c>
      <c r="Y1002">
        <v>0.23991999999999999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103</v>
      </c>
      <c r="AF1002">
        <v>14</v>
      </c>
      <c r="AG1002">
        <v>19</v>
      </c>
      <c r="AI1002">
        <v>0.0089999999999999993</v>
      </c>
      <c r="AK1002" t="s">
        <v>501</v>
      </c>
      <c r="AL1002" t="s">
        <v>1332</v>
      </c>
      <c r="AM1002">
        <v>400000</v>
      </c>
      <c r="AN1002" t="s">
        <v>92</v>
      </c>
      <c r="AO1002">
        <v>2</v>
      </c>
      <c r="AP1002">
        <v>0</v>
      </c>
      <c r="AQ1002">
        <v>33333.333333333336</v>
      </c>
      <c r="AR1002" t="s">
        <v>3669</v>
      </c>
      <c r="AS1002" t="s">
        <v>78</v>
      </c>
      <c r="AX1002" t="s">
        <v>79</v>
      </c>
      <c r="AY1002" t="s">
        <v>74</v>
      </c>
      <c r="AZ1002">
        <v>0</v>
      </c>
      <c r="BA1002" t="s">
        <v>74</v>
      </c>
      <c r="BB1002">
        <v>0</v>
      </c>
      <c r="BD1002">
        <v>0.11996</v>
      </c>
      <c r="BE1002">
        <v>0</v>
      </c>
    </row>
    <row r="1003" spans="1:58" ht="12.75">
      <c r="A1003" s="2" t="str">
        <f>HYPERLINK("https://ibp.a2mac1.com/costing(costing:projects/details/8191/part/5384981)","Cover for Removable Screen")</f>
        <v>Cover for Removable Screen</v>
      </c>
      <c r="B1003">
        <v>5384981</v>
      </c>
      <c r="C1003">
        <v>5384868</v>
      </c>
      <c r="E1003">
        <v>0.12917999999999999</v>
      </c>
      <c r="F1003">
        <v>0</v>
      </c>
      <c r="G1003">
        <v>0</v>
      </c>
      <c r="H1003">
        <v>0</v>
      </c>
      <c r="I1003" t="s">
        <v>74</v>
      </c>
      <c r="J1003">
        <v>0</v>
      </c>
      <c r="K1003">
        <v>0.12917999999999999</v>
      </c>
      <c r="L1003">
        <v>0</v>
      </c>
      <c r="M1003">
        <v>0</v>
      </c>
      <c r="N1003">
        <v>0.12917999999999999</v>
      </c>
      <c r="O1003" t="s">
        <v>74</v>
      </c>
      <c r="P1003">
        <v>0</v>
      </c>
      <c r="Q1003" t="s">
        <v>74</v>
      </c>
      <c r="R1003">
        <v>0</v>
      </c>
      <c r="S1003" t="s">
        <v>74</v>
      </c>
      <c r="T1003">
        <v>0</v>
      </c>
      <c r="U1003" t="s">
        <v>74</v>
      </c>
      <c r="V1003">
        <v>0</v>
      </c>
      <c r="W1003" t="s">
        <v>74</v>
      </c>
      <c r="X1003">
        <v>0</v>
      </c>
      <c r="Y1003">
        <v>0.12917999999999999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52</v>
      </c>
      <c r="AF1003">
        <v>240</v>
      </c>
      <c r="AG1003">
        <v>30</v>
      </c>
      <c r="AI1003">
        <v>0.042999999999999997</v>
      </c>
      <c r="AK1003" t="s">
        <v>598</v>
      </c>
      <c r="AL1003" t="s">
        <v>728</v>
      </c>
      <c r="AM1003">
        <v>200000</v>
      </c>
      <c r="AN1003" t="s">
        <v>76</v>
      </c>
      <c r="AO1003">
        <v>1</v>
      </c>
      <c r="AP1003">
        <v>0</v>
      </c>
      <c r="AQ1003">
        <v>16666.666666666668</v>
      </c>
      <c r="AR1003" t="s">
        <v>3670</v>
      </c>
      <c r="AS1003" t="s">
        <v>78</v>
      </c>
      <c r="AX1003" t="s">
        <v>79</v>
      </c>
      <c r="AY1003" t="s">
        <v>74</v>
      </c>
      <c r="AZ1003">
        <v>0</v>
      </c>
      <c r="BA1003" t="s">
        <v>74</v>
      </c>
      <c r="BB1003">
        <v>0</v>
      </c>
      <c r="BD1003">
        <v>0.12917999999999999</v>
      </c>
      <c r="BE1003">
        <v>0</v>
      </c>
    </row>
    <row r="1004" spans="1:58" ht="12.75">
      <c r="A1004" s="2" t="str">
        <f>HYPERLINK("https://ibp.a2mac1.com/costing(costing:projects/details/8191/part/5384982)","Light Switch")</f>
        <v>Light Switch</v>
      </c>
      <c r="B1004">
        <v>5384982</v>
      </c>
      <c r="C1004">
        <v>5384869</v>
      </c>
      <c r="E1004">
        <v>4.6136999999999997</v>
      </c>
      <c r="F1004">
        <v>0</v>
      </c>
      <c r="G1004">
        <v>0</v>
      </c>
      <c r="H1004">
        <v>0</v>
      </c>
      <c r="I1004" t="s">
        <v>74</v>
      </c>
      <c r="J1004">
        <v>0</v>
      </c>
      <c r="K1004">
        <v>4.6136999999999997</v>
      </c>
      <c r="L1004">
        <v>0</v>
      </c>
      <c r="M1004">
        <v>0</v>
      </c>
      <c r="N1004">
        <v>4.6136999999999997</v>
      </c>
      <c r="O1004" t="s">
        <v>74</v>
      </c>
      <c r="P1004">
        <v>0</v>
      </c>
      <c r="Q1004" t="s">
        <v>74</v>
      </c>
      <c r="R1004">
        <v>0</v>
      </c>
      <c r="S1004" t="s">
        <v>74</v>
      </c>
      <c r="T1004">
        <v>0</v>
      </c>
      <c r="U1004" t="s">
        <v>74</v>
      </c>
      <c r="V1004">
        <v>0</v>
      </c>
      <c r="W1004" t="s">
        <v>74</v>
      </c>
      <c r="X1004">
        <v>0</v>
      </c>
      <c r="Y1004">
        <v>4.6136999999999997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36</v>
      </c>
      <c r="AF1004">
        <v>87</v>
      </c>
      <c r="AG1004">
        <v>52</v>
      </c>
      <c r="AI1004">
        <v>0.049000000000000002</v>
      </c>
      <c r="AJ1004" t="s">
        <v>685</v>
      </c>
      <c r="AK1004" t="s">
        <v>219</v>
      </c>
      <c r="AL1004" t="s">
        <v>3673</v>
      </c>
      <c r="AM1004">
        <v>200000</v>
      </c>
      <c r="AN1004" t="s">
        <v>76</v>
      </c>
      <c r="AO1004">
        <v>1</v>
      </c>
      <c r="AP1004">
        <v>0</v>
      </c>
      <c r="AQ1004">
        <v>16666.666666666668</v>
      </c>
      <c r="AR1004" t="s">
        <v>3674</v>
      </c>
      <c r="AS1004" t="s">
        <v>78</v>
      </c>
      <c r="AX1004" t="s">
        <v>79</v>
      </c>
      <c r="AY1004" t="s">
        <v>74</v>
      </c>
      <c r="AZ1004">
        <v>0</v>
      </c>
      <c r="BA1004" t="s">
        <v>74</v>
      </c>
      <c r="BB1004">
        <v>0</v>
      </c>
      <c r="BD1004">
        <v>4.6136999999999997</v>
      </c>
      <c r="BE1004">
        <v>0</v>
      </c>
    </row>
    <row r="1005" spans="1:58" ht="12.75">
      <c r="A1005" s="2" t="str">
        <f>HYPERLINK("https://ibp.a2mac1.com/costing(costing:projects/details/8191/part/5384983)","Ignition Switch")</f>
        <v>Ignition Switch</v>
      </c>
      <c r="B1005">
        <v>5384983</v>
      </c>
      <c r="C1005">
        <v>5384870</v>
      </c>
      <c r="E1005">
        <v>2.3068499999999998</v>
      </c>
      <c r="F1005">
        <v>0</v>
      </c>
      <c r="G1005">
        <v>0</v>
      </c>
      <c r="H1005">
        <v>0</v>
      </c>
      <c r="I1005" t="s">
        <v>74</v>
      </c>
      <c r="J1005">
        <v>0</v>
      </c>
      <c r="K1005">
        <v>2.3068499999999998</v>
      </c>
      <c r="L1005">
        <v>0</v>
      </c>
      <c r="M1005">
        <v>0</v>
      </c>
      <c r="N1005">
        <v>2.3068499999999998</v>
      </c>
      <c r="O1005" t="s">
        <v>74</v>
      </c>
      <c r="P1005">
        <v>0</v>
      </c>
      <c r="Q1005" t="s">
        <v>74</v>
      </c>
      <c r="R1005">
        <v>0</v>
      </c>
      <c r="S1005" t="s">
        <v>74</v>
      </c>
      <c r="T1005">
        <v>0</v>
      </c>
      <c r="U1005" t="s">
        <v>74</v>
      </c>
      <c r="V1005">
        <v>0</v>
      </c>
      <c r="W1005" t="s">
        <v>74</v>
      </c>
      <c r="X1005">
        <v>0</v>
      </c>
      <c r="Y1005">
        <v>2.3068499999999998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51</v>
      </c>
      <c r="AF1005">
        <v>24</v>
      </c>
      <c r="AG1005">
        <v>28</v>
      </c>
      <c r="AI1005">
        <v>0.012999999999999999</v>
      </c>
      <c r="AJ1005" t="s">
        <v>3677</v>
      </c>
      <c r="AK1005" t="s">
        <v>219</v>
      </c>
      <c r="AL1005" t="s">
        <v>3678</v>
      </c>
      <c r="AM1005">
        <v>200000</v>
      </c>
      <c r="AN1005" t="s">
        <v>76</v>
      </c>
      <c r="AO1005">
        <v>1</v>
      </c>
      <c r="AP1005">
        <v>0</v>
      </c>
      <c r="AQ1005">
        <v>16666.666666666668</v>
      </c>
      <c r="AR1005" t="s">
        <v>3679</v>
      </c>
      <c r="AS1005" t="s">
        <v>78</v>
      </c>
      <c r="AX1005" t="s">
        <v>79</v>
      </c>
      <c r="AY1005" t="s">
        <v>74</v>
      </c>
      <c r="AZ1005">
        <v>0</v>
      </c>
      <c r="BA1005" t="s">
        <v>74</v>
      </c>
      <c r="BB1005">
        <v>0</v>
      </c>
      <c r="BD1005">
        <v>2.3068499999999998</v>
      </c>
      <c r="BE1005">
        <v>0</v>
      </c>
    </row>
    <row r="1006" spans="1:58" ht="12.75">
      <c r="A1006" s="2" t="str">
        <f>HYPERLINK("https://ibp.a2mac1.com/costing(costing:projects/details/8191/part/5384984)","Ignition Switch Support")</f>
        <v>Ignition Switch Support</v>
      </c>
      <c r="B1006">
        <v>5384984</v>
      </c>
      <c r="C1006">
        <v>5384870</v>
      </c>
      <c r="E1006">
        <v>0.13841000000000001</v>
      </c>
      <c r="F1006">
        <v>0</v>
      </c>
      <c r="G1006">
        <v>0</v>
      </c>
      <c r="H1006">
        <v>0</v>
      </c>
      <c r="I1006" t="s">
        <v>74</v>
      </c>
      <c r="J1006">
        <v>0</v>
      </c>
      <c r="K1006">
        <v>0.13841000000000001</v>
      </c>
      <c r="L1006">
        <v>0</v>
      </c>
      <c r="M1006">
        <v>0</v>
      </c>
      <c r="N1006">
        <v>0.13841000000000001</v>
      </c>
      <c r="O1006" t="s">
        <v>74</v>
      </c>
      <c r="P1006">
        <v>0</v>
      </c>
      <c r="Q1006" t="s">
        <v>74</v>
      </c>
      <c r="R1006">
        <v>0</v>
      </c>
      <c r="S1006" t="s">
        <v>74</v>
      </c>
      <c r="T1006">
        <v>0</v>
      </c>
      <c r="U1006" t="s">
        <v>74</v>
      </c>
      <c r="V1006">
        <v>0</v>
      </c>
      <c r="W1006" t="s">
        <v>74</v>
      </c>
      <c r="X1006">
        <v>0</v>
      </c>
      <c r="Y1006">
        <v>0.13841000000000001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34</v>
      </c>
      <c r="AF1006">
        <v>63</v>
      </c>
      <c r="AG1006">
        <v>57</v>
      </c>
      <c r="AI1006">
        <v>0.01</v>
      </c>
      <c r="AJ1006" t="s">
        <v>685</v>
      </c>
      <c r="AK1006" t="s">
        <v>501</v>
      </c>
      <c r="AL1006" t="s">
        <v>1182</v>
      </c>
      <c r="AM1006">
        <v>200000</v>
      </c>
      <c r="AN1006" t="s">
        <v>92</v>
      </c>
      <c r="AO1006">
        <v>1</v>
      </c>
      <c r="AP1006">
        <v>0</v>
      </c>
      <c r="AQ1006">
        <v>16666.666666666668</v>
      </c>
      <c r="AR1006" t="s">
        <v>3680</v>
      </c>
      <c r="AS1006" t="s">
        <v>78</v>
      </c>
      <c r="AX1006" t="s">
        <v>79</v>
      </c>
      <c r="AY1006" t="s">
        <v>74</v>
      </c>
      <c r="AZ1006">
        <v>0</v>
      </c>
      <c r="BA1006" t="s">
        <v>74</v>
      </c>
      <c r="BB1006">
        <v>0</v>
      </c>
      <c r="BD1006">
        <v>0.13841000000000001</v>
      </c>
      <c r="BE1006">
        <v>0</v>
      </c>
    </row>
    <row r="1007" spans="1:58" ht="12.75">
      <c r="A1007" s="2" t="str">
        <f>HYPERLINK("https://ibp.a2mac1.com/costing(costing:projects/details/8191/part/5384985)","Left Lighting")</f>
        <v>Left Lighting</v>
      </c>
      <c r="B1007">
        <v>5384985</v>
      </c>
      <c r="C1007">
        <v>5384871</v>
      </c>
      <c r="E1007">
        <v>1.84548</v>
      </c>
      <c r="F1007">
        <v>0</v>
      </c>
      <c r="G1007">
        <v>0</v>
      </c>
      <c r="H1007">
        <v>0</v>
      </c>
      <c r="I1007" t="s">
        <v>74</v>
      </c>
      <c r="J1007">
        <v>0</v>
      </c>
      <c r="K1007">
        <v>1.84548</v>
      </c>
      <c r="L1007">
        <v>0</v>
      </c>
      <c r="M1007">
        <v>0</v>
      </c>
      <c r="N1007">
        <v>1.84548</v>
      </c>
      <c r="O1007" t="s">
        <v>74</v>
      </c>
      <c r="P1007">
        <v>0</v>
      </c>
      <c r="Q1007" t="s">
        <v>74</v>
      </c>
      <c r="R1007">
        <v>0</v>
      </c>
      <c r="S1007" t="s">
        <v>74</v>
      </c>
      <c r="T1007">
        <v>0</v>
      </c>
      <c r="U1007" t="s">
        <v>74</v>
      </c>
      <c r="V1007">
        <v>0</v>
      </c>
      <c r="W1007" t="s">
        <v>74</v>
      </c>
      <c r="X1007">
        <v>0</v>
      </c>
      <c r="Y1007">
        <v>1.84548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21</v>
      </c>
      <c r="AF1007">
        <v>18</v>
      </c>
      <c r="AG1007">
        <v>41</v>
      </c>
      <c r="AI1007">
        <v>0.005</v>
      </c>
      <c r="AJ1007" t="s">
        <v>3683</v>
      </c>
      <c r="AK1007" t="s">
        <v>576</v>
      </c>
      <c r="AL1007" t="s">
        <v>2811</v>
      </c>
      <c r="AM1007">
        <v>200000</v>
      </c>
      <c r="AN1007" t="s">
        <v>76</v>
      </c>
      <c r="AO1007">
        <v>1</v>
      </c>
      <c r="AP1007">
        <v>0</v>
      </c>
      <c r="AQ1007">
        <v>16666.666666666668</v>
      </c>
      <c r="AR1007" t="s">
        <v>3684</v>
      </c>
      <c r="AS1007" t="s">
        <v>78</v>
      </c>
      <c r="AX1007" t="s">
        <v>79</v>
      </c>
      <c r="AY1007" t="s">
        <v>74</v>
      </c>
      <c r="AZ1007">
        <v>0</v>
      </c>
      <c r="BA1007" t="s">
        <v>74</v>
      </c>
      <c r="BB1007">
        <v>0</v>
      </c>
      <c r="BD1007">
        <v>1.84548</v>
      </c>
      <c r="BE1007">
        <v>0</v>
      </c>
    </row>
    <row r="1008" spans="1:58" ht="12.75">
      <c r="A1008" s="2" t="str">
        <f>HYPERLINK("https://ibp.a2mac1.com/costing(costing:projects/details/8191/part/5384986)","Right Lighting")</f>
        <v>Right Lighting</v>
      </c>
      <c r="B1008">
        <v>5384986</v>
      </c>
      <c r="C1008">
        <v>5384871</v>
      </c>
      <c r="E1008">
        <v>1.84548</v>
      </c>
      <c r="F1008">
        <v>0</v>
      </c>
      <c r="G1008">
        <v>0</v>
      </c>
      <c r="H1008">
        <v>0</v>
      </c>
      <c r="I1008" t="s">
        <v>74</v>
      </c>
      <c r="J1008">
        <v>0</v>
      </c>
      <c r="K1008">
        <v>1.84548</v>
      </c>
      <c r="L1008">
        <v>0</v>
      </c>
      <c r="M1008">
        <v>0</v>
      </c>
      <c r="N1008">
        <v>1.84548</v>
      </c>
      <c r="O1008" t="s">
        <v>74</v>
      </c>
      <c r="P1008">
        <v>0</v>
      </c>
      <c r="Q1008" t="s">
        <v>74</v>
      </c>
      <c r="R1008">
        <v>0</v>
      </c>
      <c r="S1008" t="s">
        <v>74</v>
      </c>
      <c r="T1008">
        <v>0</v>
      </c>
      <c r="U1008" t="s">
        <v>74</v>
      </c>
      <c r="V1008">
        <v>0</v>
      </c>
      <c r="W1008" t="s">
        <v>74</v>
      </c>
      <c r="X1008">
        <v>0</v>
      </c>
      <c r="Y1008">
        <v>1.84548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20</v>
      </c>
      <c r="AF1008">
        <v>18</v>
      </c>
      <c r="AG1008">
        <v>41</v>
      </c>
      <c r="AI1008">
        <v>0.005</v>
      </c>
      <c r="AJ1008" t="s">
        <v>685</v>
      </c>
      <c r="AK1008" t="s">
        <v>576</v>
      </c>
      <c r="AL1008" t="s">
        <v>2811</v>
      </c>
      <c r="AM1008">
        <v>200000</v>
      </c>
      <c r="AN1008" t="s">
        <v>76</v>
      </c>
      <c r="AO1008">
        <v>1</v>
      </c>
      <c r="AP1008">
        <v>0</v>
      </c>
      <c r="AQ1008">
        <v>16666.666666666668</v>
      </c>
      <c r="AR1008" t="s">
        <v>3685</v>
      </c>
      <c r="AS1008" t="s">
        <v>78</v>
      </c>
      <c r="AX1008" t="s">
        <v>79</v>
      </c>
      <c r="AY1008" t="s">
        <v>74</v>
      </c>
      <c r="AZ1008">
        <v>0</v>
      </c>
      <c r="BA1008" t="s">
        <v>74</v>
      </c>
      <c r="BB1008">
        <v>0</v>
      </c>
      <c r="BD1008">
        <v>1.84548</v>
      </c>
      <c r="BE1008">
        <v>0</v>
      </c>
    </row>
    <row r="1009" spans="1:58" ht="12.75">
      <c r="A1009" s="2" t="str">
        <f>HYPERLINK("https://ibp.a2mac1.com/costing(costing:projects/details/8191/part/5384987)","Right Ambiance Light Support")</f>
        <v>Right Ambiance Light Support</v>
      </c>
      <c r="B1009">
        <v>5384987</v>
      </c>
      <c r="C1009">
        <v>5384871</v>
      </c>
      <c r="E1009">
        <v>0.33218999999999999</v>
      </c>
      <c r="F1009">
        <v>0</v>
      </c>
      <c r="G1009">
        <v>0</v>
      </c>
      <c r="H1009">
        <v>0</v>
      </c>
      <c r="I1009" t="s">
        <v>74</v>
      </c>
      <c r="J1009">
        <v>0</v>
      </c>
      <c r="K1009">
        <v>0.33218999999999999</v>
      </c>
      <c r="L1009">
        <v>0</v>
      </c>
      <c r="M1009">
        <v>0</v>
      </c>
      <c r="N1009">
        <v>0.33218999999999999</v>
      </c>
      <c r="O1009" t="s">
        <v>74</v>
      </c>
      <c r="P1009">
        <v>0</v>
      </c>
      <c r="Q1009" t="s">
        <v>74</v>
      </c>
      <c r="R1009">
        <v>0</v>
      </c>
      <c r="S1009" t="s">
        <v>74</v>
      </c>
      <c r="T1009">
        <v>0</v>
      </c>
      <c r="U1009" t="s">
        <v>74</v>
      </c>
      <c r="V1009">
        <v>0</v>
      </c>
      <c r="W1009" t="s">
        <v>74</v>
      </c>
      <c r="X1009">
        <v>0</v>
      </c>
      <c r="Y1009">
        <v>0.33218999999999999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105</v>
      </c>
      <c r="AF1009">
        <v>910</v>
      </c>
      <c r="AG1009">
        <v>33</v>
      </c>
      <c r="AI1009">
        <v>0.048000000000000001</v>
      </c>
      <c r="AJ1009" t="s">
        <v>3683</v>
      </c>
      <c r="AK1009" t="s">
        <v>501</v>
      </c>
      <c r="AL1009" t="s">
        <v>3686</v>
      </c>
      <c r="AM1009">
        <v>200000</v>
      </c>
      <c r="AN1009" t="s">
        <v>92</v>
      </c>
      <c r="AO1009">
        <v>1</v>
      </c>
      <c r="AP1009">
        <v>0</v>
      </c>
      <c r="AQ1009">
        <v>16666.666666666668</v>
      </c>
      <c r="AR1009" t="s">
        <v>3687</v>
      </c>
      <c r="AS1009" t="s">
        <v>78</v>
      </c>
      <c r="AX1009" t="s">
        <v>79</v>
      </c>
      <c r="AY1009" t="s">
        <v>74</v>
      </c>
      <c r="AZ1009">
        <v>0</v>
      </c>
      <c r="BA1009" t="s">
        <v>74</v>
      </c>
      <c r="BB1009">
        <v>0</v>
      </c>
      <c r="BD1009">
        <v>0.33218999999999999</v>
      </c>
      <c r="BE1009">
        <v>0</v>
      </c>
    </row>
    <row r="1010" spans="1:58" ht="12.75">
      <c r="A1010" s="2" t="str">
        <f>HYPERLINK("https://ibp.a2mac1.com/costing(costing:projects/details/8191/part/5384988)","Right Lighting Diffuser")</f>
        <v>Right Lighting Diffuser</v>
      </c>
      <c r="B1010">
        <v>5384988</v>
      </c>
      <c r="C1010">
        <v>5384871</v>
      </c>
      <c r="E1010">
        <v>0.18454999999999999</v>
      </c>
      <c r="F1010">
        <v>0</v>
      </c>
      <c r="G1010">
        <v>0</v>
      </c>
      <c r="H1010">
        <v>0</v>
      </c>
      <c r="I1010" t="s">
        <v>74</v>
      </c>
      <c r="J1010">
        <v>0</v>
      </c>
      <c r="K1010">
        <v>0.18454999999999999</v>
      </c>
      <c r="L1010">
        <v>0</v>
      </c>
      <c r="M1010">
        <v>0</v>
      </c>
      <c r="N1010">
        <v>0.18454999999999999</v>
      </c>
      <c r="O1010" t="s">
        <v>74</v>
      </c>
      <c r="P1010">
        <v>0</v>
      </c>
      <c r="Q1010" t="s">
        <v>74</v>
      </c>
      <c r="R1010">
        <v>0</v>
      </c>
      <c r="S1010" t="s">
        <v>74</v>
      </c>
      <c r="T1010">
        <v>0</v>
      </c>
      <c r="U1010" t="s">
        <v>74</v>
      </c>
      <c r="V1010">
        <v>0</v>
      </c>
      <c r="W1010" t="s">
        <v>74</v>
      </c>
      <c r="X1010">
        <v>0</v>
      </c>
      <c r="Y1010">
        <v>0.18454999999999999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4</v>
      </c>
      <c r="AF1010">
        <v>530</v>
      </c>
      <c r="AG1010">
        <v>26</v>
      </c>
      <c r="AI1010">
        <v>0.012</v>
      </c>
      <c r="AK1010" t="s">
        <v>501</v>
      </c>
      <c r="AL1010" t="s">
        <v>1345</v>
      </c>
      <c r="AM1010">
        <v>200000</v>
      </c>
      <c r="AN1010" t="s">
        <v>92</v>
      </c>
      <c r="AO1010">
        <v>1</v>
      </c>
      <c r="AP1010">
        <v>0</v>
      </c>
      <c r="AQ1010">
        <v>16666.666666666668</v>
      </c>
      <c r="AR1010" t="s">
        <v>3688</v>
      </c>
      <c r="AS1010" t="s">
        <v>78</v>
      </c>
      <c r="AX1010" t="s">
        <v>79</v>
      </c>
      <c r="AY1010" t="s">
        <v>74</v>
      </c>
      <c r="AZ1010">
        <v>0</v>
      </c>
      <c r="BA1010" t="s">
        <v>74</v>
      </c>
      <c r="BB1010">
        <v>0</v>
      </c>
      <c r="BD1010">
        <v>0.18454999999999999</v>
      </c>
      <c r="BE1010">
        <v>0</v>
      </c>
    </row>
    <row r="1011" spans="1:58" ht="12.75">
      <c r="A1011" s="2" t="str">
        <f>HYPERLINK("https://ibp.a2mac1.com/costing(costing:projects/details/8191/part/5384989)","Upper Center Lighting")</f>
        <v>Upper Center Lighting</v>
      </c>
      <c r="B1011">
        <v>5384989</v>
      </c>
      <c r="C1011">
        <v>5384871</v>
      </c>
      <c r="E1011">
        <v>1.84548</v>
      </c>
      <c r="F1011">
        <v>0</v>
      </c>
      <c r="G1011">
        <v>0</v>
      </c>
      <c r="H1011">
        <v>0</v>
      </c>
      <c r="I1011" t="s">
        <v>74</v>
      </c>
      <c r="J1011">
        <v>0</v>
      </c>
      <c r="K1011">
        <v>1.84548</v>
      </c>
      <c r="L1011">
        <v>0</v>
      </c>
      <c r="M1011">
        <v>0</v>
      </c>
      <c r="N1011">
        <v>1.84548</v>
      </c>
      <c r="O1011" t="s">
        <v>74</v>
      </c>
      <c r="P1011">
        <v>0</v>
      </c>
      <c r="Q1011" t="s">
        <v>74</v>
      </c>
      <c r="R1011">
        <v>0</v>
      </c>
      <c r="S1011" t="s">
        <v>74</v>
      </c>
      <c r="T1011">
        <v>0</v>
      </c>
      <c r="U1011" t="s">
        <v>74</v>
      </c>
      <c r="V1011">
        <v>0</v>
      </c>
      <c r="W1011" t="s">
        <v>74</v>
      </c>
      <c r="X1011">
        <v>0</v>
      </c>
      <c r="Y1011">
        <v>1.84548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20</v>
      </c>
      <c r="AF1011">
        <v>18</v>
      </c>
      <c r="AG1011">
        <v>41</v>
      </c>
      <c r="AI1011">
        <v>0.005</v>
      </c>
      <c r="AJ1011" t="s">
        <v>3683</v>
      </c>
      <c r="AK1011" t="s">
        <v>501</v>
      </c>
      <c r="AL1011" t="s">
        <v>2811</v>
      </c>
      <c r="AM1011">
        <v>200000</v>
      </c>
      <c r="AN1011" t="s">
        <v>92</v>
      </c>
      <c r="AO1011">
        <v>1</v>
      </c>
      <c r="AP1011">
        <v>0</v>
      </c>
      <c r="AQ1011">
        <v>16666.666666666668</v>
      </c>
      <c r="AR1011" t="s">
        <v>3689</v>
      </c>
      <c r="AS1011" t="s">
        <v>78</v>
      </c>
      <c r="AX1011" t="s">
        <v>79</v>
      </c>
      <c r="AY1011" t="s">
        <v>74</v>
      </c>
      <c r="AZ1011">
        <v>0</v>
      </c>
      <c r="BA1011" t="s">
        <v>74</v>
      </c>
      <c r="BB1011">
        <v>0</v>
      </c>
      <c r="BD1011">
        <v>1.84548</v>
      </c>
      <c r="BE1011">
        <v>0</v>
      </c>
    </row>
    <row r="1012" spans="1:58" ht="12.75">
      <c r="A1012" s="2" t="str">
        <f>HYPERLINK("https://ibp.a2mac1.com/costing(costing:projects/details/8191/part/5384990)","Upper Center Lighting Diffuser")</f>
        <v>Upper Center Lighting Diffuser</v>
      </c>
      <c r="B1012">
        <v>5384990</v>
      </c>
      <c r="C1012">
        <v>5384871</v>
      </c>
      <c r="E1012">
        <v>0.18454999999999999</v>
      </c>
      <c r="F1012">
        <v>0</v>
      </c>
      <c r="G1012">
        <v>0</v>
      </c>
      <c r="H1012">
        <v>0</v>
      </c>
      <c r="I1012" t="s">
        <v>74</v>
      </c>
      <c r="J1012">
        <v>0</v>
      </c>
      <c r="K1012">
        <v>0.18454999999999999</v>
      </c>
      <c r="L1012">
        <v>0</v>
      </c>
      <c r="M1012">
        <v>0</v>
      </c>
      <c r="N1012">
        <v>0.18454999999999999</v>
      </c>
      <c r="O1012" t="s">
        <v>74</v>
      </c>
      <c r="P1012">
        <v>0</v>
      </c>
      <c r="Q1012" t="s">
        <v>74</v>
      </c>
      <c r="R1012">
        <v>0</v>
      </c>
      <c r="S1012" t="s">
        <v>74</v>
      </c>
      <c r="T1012">
        <v>0</v>
      </c>
      <c r="U1012" t="s">
        <v>74</v>
      </c>
      <c r="V1012">
        <v>0</v>
      </c>
      <c r="W1012" t="s">
        <v>74</v>
      </c>
      <c r="X1012">
        <v>0</v>
      </c>
      <c r="Y1012">
        <v>0.18454999999999999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76</v>
      </c>
      <c r="AF1012">
        <v>436</v>
      </c>
      <c r="AG1012">
        <v>15</v>
      </c>
      <c r="AI1012">
        <v>0.01</v>
      </c>
      <c r="AK1012" t="s">
        <v>501</v>
      </c>
      <c r="AL1012" t="s">
        <v>1283</v>
      </c>
      <c r="AM1012">
        <v>200000</v>
      </c>
      <c r="AN1012" t="s">
        <v>92</v>
      </c>
      <c r="AO1012">
        <v>1</v>
      </c>
      <c r="AP1012">
        <v>0</v>
      </c>
      <c r="AQ1012">
        <v>16666.666666666668</v>
      </c>
      <c r="AR1012" t="s">
        <v>3690</v>
      </c>
      <c r="AS1012" t="s">
        <v>78</v>
      </c>
      <c r="AX1012" t="s">
        <v>79</v>
      </c>
      <c r="AY1012" t="s">
        <v>74</v>
      </c>
      <c r="AZ1012">
        <v>0</v>
      </c>
      <c r="BA1012" t="s">
        <v>74</v>
      </c>
      <c r="BB1012">
        <v>0</v>
      </c>
      <c r="BD1012">
        <v>0.18454999999999999</v>
      </c>
      <c r="BE1012">
        <v>0</v>
      </c>
    </row>
    <row r="1013" spans="1:58" ht="12.75">
      <c r="A1013" s="2" t="str">
        <f>HYPERLINK("https://ibp.a2mac1.com/costing(costing:projects/details/8191/part/5384991)","Left Lighting Diffuser")</f>
        <v>Left Lighting Diffuser</v>
      </c>
      <c r="B1013">
        <v>5384991</v>
      </c>
      <c r="C1013">
        <v>5384871</v>
      </c>
      <c r="E1013">
        <v>0.092270000000000005</v>
      </c>
      <c r="F1013">
        <v>0</v>
      </c>
      <c r="G1013">
        <v>0</v>
      </c>
      <c r="H1013">
        <v>0</v>
      </c>
      <c r="I1013" t="s">
        <v>74</v>
      </c>
      <c r="J1013">
        <v>0</v>
      </c>
      <c r="K1013">
        <v>0.092270000000000005</v>
      </c>
      <c r="L1013">
        <v>0</v>
      </c>
      <c r="M1013">
        <v>0</v>
      </c>
      <c r="N1013">
        <v>0.092270000000000005</v>
      </c>
      <c r="O1013" t="s">
        <v>74</v>
      </c>
      <c r="P1013">
        <v>0</v>
      </c>
      <c r="Q1013" t="s">
        <v>74</v>
      </c>
      <c r="R1013">
        <v>0</v>
      </c>
      <c r="S1013" t="s">
        <v>74</v>
      </c>
      <c r="T1013">
        <v>0</v>
      </c>
      <c r="U1013" t="s">
        <v>74</v>
      </c>
      <c r="V1013">
        <v>0</v>
      </c>
      <c r="W1013" t="s">
        <v>74</v>
      </c>
      <c r="X1013">
        <v>0</v>
      </c>
      <c r="Y1013">
        <v>0.092270000000000005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86</v>
      </c>
      <c r="AF1013">
        <v>224</v>
      </c>
      <c r="AG1013">
        <v>7</v>
      </c>
      <c r="AI1013">
        <v>0.0040000000000000001</v>
      </c>
      <c r="AK1013" t="s">
        <v>501</v>
      </c>
      <c r="AL1013" t="s">
        <v>1283</v>
      </c>
      <c r="AM1013">
        <v>200000</v>
      </c>
      <c r="AN1013" t="s">
        <v>92</v>
      </c>
      <c r="AO1013">
        <v>1</v>
      </c>
      <c r="AP1013">
        <v>0</v>
      </c>
      <c r="AQ1013">
        <v>16666.666666666668</v>
      </c>
      <c r="AR1013" t="s">
        <v>3691</v>
      </c>
      <c r="AS1013" t="s">
        <v>78</v>
      </c>
      <c r="AX1013" t="s">
        <v>79</v>
      </c>
      <c r="AY1013" t="s">
        <v>74</v>
      </c>
      <c r="AZ1013">
        <v>0</v>
      </c>
      <c r="BA1013" t="s">
        <v>74</v>
      </c>
      <c r="BB1013">
        <v>0</v>
      </c>
      <c r="BD1013">
        <v>0.092270000000000005</v>
      </c>
      <c r="BE1013">
        <v>0</v>
      </c>
    </row>
    <row r="1014" spans="1:58" ht="12.75">
      <c r="A1014" s="2" t="str">
        <f>HYPERLINK("https://ibp.a2mac1.com/costing(costing:projects/details/8191/part/5384992)","Left Lighting Diffuser support")</f>
        <v>Left Lighting Diffuser support</v>
      </c>
      <c r="B1014">
        <v>5384992</v>
      </c>
      <c r="C1014">
        <v>5384871</v>
      </c>
      <c r="E1014">
        <v>0.083049999999999999</v>
      </c>
      <c r="F1014">
        <v>0</v>
      </c>
      <c r="G1014">
        <v>0</v>
      </c>
      <c r="H1014">
        <v>0</v>
      </c>
      <c r="I1014" t="s">
        <v>74</v>
      </c>
      <c r="J1014">
        <v>0</v>
      </c>
      <c r="K1014">
        <v>0.083049999999999999</v>
      </c>
      <c r="L1014">
        <v>0</v>
      </c>
      <c r="M1014">
        <v>0</v>
      </c>
      <c r="N1014">
        <v>0.083049999999999999</v>
      </c>
      <c r="O1014" t="s">
        <v>74</v>
      </c>
      <c r="P1014">
        <v>0</v>
      </c>
      <c r="Q1014" t="s">
        <v>74</v>
      </c>
      <c r="R1014">
        <v>0</v>
      </c>
      <c r="S1014" t="s">
        <v>74</v>
      </c>
      <c r="T1014">
        <v>0</v>
      </c>
      <c r="U1014" t="s">
        <v>74</v>
      </c>
      <c r="V1014">
        <v>0</v>
      </c>
      <c r="W1014" t="s">
        <v>74</v>
      </c>
      <c r="X1014">
        <v>0</v>
      </c>
      <c r="Y1014">
        <v>0.083049999999999999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95</v>
      </c>
      <c r="AF1014">
        <v>255</v>
      </c>
      <c r="AG1014">
        <v>32</v>
      </c>
      <c r="AI1014">
        <v>0.012</v>
      </c>
      <c r="AJ1014" t="s">
        <v>685</v>
      </c>
      <c r="AK1014" t="s">
        <v>501</v>
      </c>
      <c r="AL1014" t="s">
        <v>3692</v>
      </c>
      <c r="AM1014">
        <v>200000</v>
      </c>
      <c r="AN1014" t="s">
        <v>92</v>
      </c>
      <c r="AO1014">
        <v>1</v>
      </c>
      <c r="AP1014">
        <v>0</v>
      </c>
      <c r="AQ1014">
        <v>16666.666666666668</v>
      </c>
      <c r="AR1014" t="s">
        <v>3693</v>
      </c>
      <c r="AS1014" t="s">
        <v>78</v>
      </c>
      <c r="AX1014" t="s">
        <v>79</v>
      </c>
      <c r="AY1014" t="s">
        <v>74</v>
      </c>
      <c r="AZ1014">
        <v>0</v>
      </c>
      <c r="BA1014" t="s">
        <v>74</v>
      </c>
      <c r="BB1014">
        <v>0</v>
      </c>
      <c r="BD1014">
        <v>0.083049999999999999</v>
      </c>
      <c r="BE1014">
        <v>0</v>
      </c>
    </row>
    <row r="1015" spans="1:58" ht="12.75">
      <c r="A1015" s="2" t="str">
        <f>HYPERLINK("https://ibp.a2mac1.com/costing(costing:projects/details/8191/part/5384993)","Center Light")</f>
        <v>Center Light</v>
      </c>
      <c r="B1015">
        <v>5384993</v>
      </c>
      <c r="C1015">
        <v>5384872</v>
      </c>
      <c r="E1015">
        <v>0</v>
      </c>
      <c r="F1015">
        <v>3.7553555529519045</v>
      </c>
      <c r="G1015">
        <v>0</v>
      </c>
      <c r="H1015">
        <v>0</v>
      </c>
      <c r="I1015" t="s">
        <v>137</v>
      </c>
      <c r="J1015">
        <v>0</v>
      </c>
      <c r="K1015">
        <v>3.8867929973052213</v>
      </c>
      <c r="L1015">
        <v>0.091321032537276317</v>
      </c>
      <c r="M1015">
        <v>0.54792619522365793</v>
      </c>
      <c r="N1015">
        <v>4.4347191925288794</v>
      </c>
      <c r="O1015" t="s">
        <v>90</v>
      </c>
      <c r="P1015">
        <v>0</v>
      </c>
      <c r="Q1015" t="s">
        <v>90</v>
      </c>
      <c r="R1015">
        <v>0</v>
      </c>
      <c r="S1015" t="s">
        <v>90</v>
      </c>
      <c r="T1015">
        <v>0</v>
      </c>
      <c r="U1015" t="s">
        <v>90</v>
      </c>
      <c r="V1015">
        <v>0</v>
      </c>
      <c r="W1015" t="s">
        <v>90</v>
      </c>
      <c r="X1015">
        <v>0</v>
      </c>
      <c r="Y1015">
        <v>4.4347191925288794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9</v>
      </c>
      <c r="AF1015">
        <v>386</v>
      </c>
      <c r="AG1015">
        <v>27</v>
      </c>
      <c r="AI1015">
        <v>0.024</v>
      </c>
      <c r="AJ1015" t="s">
        <v>1699</v>
      </c>
      <c r="AK1015" t="s">
        <v>501</v>
      </c>
      <c r="AL1015" t="s">
        <v>3698</v>
      </c>
      <c r="AM1015">
        <v>200000</v>
      </c>
      <c r="AN1015" t="s">
        <v>92</v>
      </c>
      <c r="AO1015">
        <v>1</v>
      </c>
      <c r="AP1015">
        <v>0</v>
      </c>
      <c r="AQ1015">
        <v>16666.666666666668</v>
      </c>
      <c r="AR1015" t="s">
        <v>3699</v>
      </c>
      <c r="AS1015" t="s">
        <v>78</v>
      </c>
      <c r="AX1015" t="s">
        <v>79</v>
      </c>
      <c r="AY1015" t="s">
        <v>137</v>
      </c>
      <c r="AZ1015">
        <v>0.13143744435331667</v>
      </c>
      <c r="BA1015" t="s">
        <v>137</v>
      </c>
      <c r="BB1015">
        <v>0</v>
      </c>
      <c r="BE1015">
        <v>0</v>
      </c>
    </row>
    <row r="1016" spans="1:58" ht="12.75">
      <c r="A1016" s="2" t="str">
        <f>HYPERLINK("https://ibp.a2mac1.com/costing(costing:projects/details/8191/part/5384994)","Left Light")</f>
        <v>Left Light</v>
      </c>
      <c r="B1016">
        <v>5384994</v>
      </c>
      <c r="C1016">
        <v>5384872</v>
      </c>
      <c r="E1016">
        <v>0</v>
      </c>
      <c r="F1016">
        <v>3.7553555529519045</v>
      </c>
      <c r="G1016">
        <v>0</v>
      </c>
      <c r="H1016">
        <v>0</v>
      </c>
      <c r="I1016" t="s">
        <v>137</v>
      </c>
      <c r="J1016">
        <v>0</v>
      </c>
      <c r="K1016">
        <v>3.8867929973052213</v>
      </c>
      <c r="L1016">
        <v>0.091321032537276317</v>
      </c>
      <c r="M1016">
        <v>0.54792619522365793</v>
      </c>
      <c r="N1016">
        <v>4.4347191925288794</v>
      </c>
      <c r="O1016" t="s">
        <v>90</v>
      </c>
      <c r="P1016">
        <v>0</v>
      </c>
      <c r="Q1016" t="s">
        <v>90</v>
      </c>
      <c r="R1016">
        <v>0</v>
      </c>
      <c r="S1016" t="s">
        <v>90</v>
      </c>
      <c r="T1016">
        <v>0</v>
      </c>
      <c r="U1016" t="s">
        <v>90</v>
      </c>
      <c r="V1016">
        <v>0</v>
      </c>
      <c r="W1016" t="s">
        <v>90</v>
      </c>
      <c r="X1016">
        <v>0</v>
      </c>
      <c r="Y1016">
        <v>4.4347191925288794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9</v>
      </c>
      <c r="AF1016">
        <v>383</v>
      </c>
      <c r="AG1016">
        <v>27</v>
      </c>
      <c r="AI1016">
        <v>0.023</v>
      </c>
      <c r="AJ1016" t="s">
        <v>1699</v>
      </c>
      <c r="AK1016" t="s">
        <v>501</v>
      </c>
      <c r="AL1016" t="s">
        <v>681</v>
      </c>
      <c r="AM1016">
        <v>200000</v>
      </c>
      <c r="AN1016" t="s">
        <v>92</v>
      </c>
      <c r="AO1016">
        <v>1</v>
      </c>
      <c r="AP1016">
        <v>0</v>
      </c>
      <c r="AQ1016">
        <v>16666.666666666668</v>
      </c>
      <c r="AR1016" t="s">
        <v>3702</v>
      </c>
      <c r="AS1016" t="s">
        <v>78</v>
      </c>
      <c r="AX1016" t="s">
        <v>79</v>
      </c>
      <c r="AY1016" t="s">
        <v>137</v>
      </c>
      <c r="AZ1016">
        <v>0.13143744435331667</v>
      </c>
      <c r="BA1016" t="s">
        <v>137</v>
      </c>
      <c r="BB1016">
        <v>0</v>
      </c>
      <c r="BE1016">
        <v>0</v>
      </c>
    </row>
    <row r="1017" spans="1:58" ht="12.75">
      <c r="A1017" s="2" t="str">
        <f>HYPERLINK("https://ibp.a2mac1.com/costing(costing:projects/details/8191/part/5384995)","Right Light")</f>
        <v>Right Light</v>
      </c>
      <c r="B1017">
        <v>5384995</v>
      </c>
      <c r="C1017">
        <v>5384872</v>
      </c>
      <c r="E1017">
        <v>0</v>
      </c>
      <c r="F1017">
        <v>3.7553555529519045</v>
      </c>
      <c r="G1017">
        <v>0</v>
      </c>
      <c r="H1017">
        <v>0</v>
      </c>
      <c r="I1017" t="s">
        <v>137</v>
      </c>
      <c r="J1017">
        <v>0</v>
      </c>
      <c r="K1017">
        <v>3.8867929973052213</v>
      </c>
      <c r="L1017">
        <v>0.091321032537276317</v>
      </c>
      <c r="M1017">
        <v>0.54792619522365793</v>
      </c>
      <c r="N1017">
        <v>4.4347191925288794</v>
      </c>
      <c r="O1017" t="s">
        <v>90</v>
      </c>
      <c r="P1017">
        <v>0</v>
      </c>
      <c r="Q1017" t="s">
        <v>90</v>
      </c>
      <c r="R1017">
        <v>0</v>
      </c>
      <c r="S1017" t="s">
        <v>90</v>
      </c>
      <c r="T1017">
        <v>0</v>
      </c>
      <c r="U1017" t="s">
        <v>90</v>
      </c>
      <c r="V1017">
        <v>0</v>
      </c>
      <c r="W1017" t="s">
        <v>90</v>
      </c>
      <c r="X1017">
        <v>0</v>
      </c>
      <c r="Y1017">
        <v>4.4347191925288794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9</v>
      </c>
      <c r="AF1017">
        <v>287</v>
      </c>
      <c r="AG1017">
        <v>27</v>
      </c>
      <c r="AI1017">
        <v>0.021999999999999999</v>
      </c>
      <c r="AJ1017" t="s">
        <v>1699</v>
      </c>
      <c r="AK1017" t="s">
        <v>501</v>
      </c>
      <c r="AL1017" t="s">
        <v>3705</v>
      </c>
      <c r="AM1017">
        <v>200000</v>
      </c>
      <c r="AN1017" t="s">
        <v>92</v>
      </c>
      <c r="AO1017">
        <v>1</v>
      </c>
      <c r="AP1017">
        <v>0</v>
      </c>
      <c r="AQ1017">
        <v>16666.666666666668</v>
      </c>
      <c r="AR1017" t="s">
        <v>3706</v>
      </c>
      <c r="AS1017" t="s">
        <v>78</v>
      </c>
      <c r="AX1017" t="s">
        <v>79</v>
      </c>
      <c r="AY1017" t="s">
        <v>137</v>
      </c>
      <c r="AZ1017">
        <v>0.13143744435331667</v>
      </c>
      <c r="BA1017" t="s">
        <v>137</v>
      </c>
      <c r="BB1017">
        <v>0</v>
      </c>
      <c r="BE1017">
        <v>0</v>
      </c>
    </row>
    <row r="1018" spans="1:58" ht="12.75">
      <c r="A1018" s="2" t="str">
        <f>HYPERLINK("https://ibp.a2mac1.com/costing(costing:projects/details/8191/part/5384996)","Light Diffuser")</f>
        <v>Light Diffuser</v>
      </c>
      <c r="B1018">
        <v>5384996</v>
      </c>
      <c r="C1018">
        <v>5384872</v>
      </c>
      <c r="E1018">
        <v>0.27682000000000001</v>
      </c>
      <c r="F1018">
        <v>0</v>
      </c>
      <c r="G1018">
        <v>0</v>
      </c>
      <c r="H1018">
        <v>0</v>
      </c>
      <c r="I1018" t="s">
        <v>74</v>
      </c>
      <c r="J1018">
        <v>0</v>
      </c>
      <c r="K1018">
        <v>0.27682000000000001</v>
      </c>
      <c r="L1018">
        <v>0</v>
      </c>
      <c r="M1018">
        <v>0</v>
      </c>
      <c r="N1018">
        <v>0.27682000000000001</v>
      </c>
      <c r="O1018" t="s">
        <v>74</v>
      </c>
      <c r="P1018">
        <v>0</v>
      </c>
      <c r="Q1018" t="s">
        <v>74</v>
      </c>
      <c r="R1018">
        <v>0</v>
      </c>
      <c r="S1018" t="s">
        <v>74</v>
      </c>
      <c r="T1018">
        <v>0</v>
      </c>
      <c r="U1018" t="s">
        <v>74</v>
      </c>
      <c r="V1018">
        <v>0</v>
      </c>
      <c r="W1018" t="s">
        <v>74</v>
      </c>
      <c r="X1018">
        <v>0</v>
      </c>
      <c r="Y1018">
        <v>0.27682000000000001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153</v>
      </c>
      <c r="AF1018">
        <v>1154</v>
      </c>
      <c r="AG1018">
        <v>17</v>
      </c>
      <c r="AI1018">
        <v>0.16600000000000001</v>
      </c>
      <c r="AJ1018" t="s">
        <v>3707</v>
      </c>
      <c r="AK1018" t="s">
        <v>501</v>
      </c>
      <c r="AL1018" t="s">
        <v>3708</v>
      </c>
      <c r="AM1018">
        <v>200000</v>
      </c>
      <c r="AN1018" t="s">
        <v>92</v>
      </c>
      <c r="AO1018">
        <v>1</v>
      </c>
      <c r="AP1018">
        <v>0</v>
      </c>
      <c r="AQ1018">
        <v>16666.666666666668</v>
      </c>
      <c r="AR1018" t="s">
        <v>3709</v>
      </c>
      <c r="AS1018" t="s">
        <v>78</v>
      </c>
      <c r="AX1018" t="s">
        <v>79</v>
      </c>
      <c r="AY1018" t="s">
        <v>74</v>
      </c>
      <c r="AZ1018">
        <v>0</v>
      </c>
      <c r="BA1018" t="s">
        <v>74</v>
      </c>
      <c r="BB1018">
        <v>0</v>
      </c>
      <c r="BD1018">
        <v>0.27682000000000001</v>
      </c>
      <c r="BE1018">
        <v>0</v>
      </c>
    </row>
    <row r="1019" spans="1:58" ht="12.75">
      <c r="A1019" s="2" t="str">
        <f>HYPERLINK("https://ibp.a2mac1.com/costing(costing:projects/details/8191/part/5384997)","Upper Cover")</f>
        <v>Upper Cover</v>
      </c>
      <c r="B1019">
        <v>5384997</v>
      </c>
      <c r="C1019">
        <v>5384872</v>
      </c>
      <c r="E1019">
        <v>2.5929000000000002</v>
      </c>
      <c r="F1019">
        <v>0</v>
      </c>
      <c r="G1019">
        <v>0</v>
      </c>
      <c r="H1019">
        <v>0</v>
      </c>
      <c r="I1019" t="s">
        <v>74</v>
      </c>
      <c r="J1019">
        <v>0</v>
      </c>
      <c r="K1019">
        <v>2.5929000000000002</v>
      </c>
      <c r="L1019">
        <v>0</v>
      </c>
      <c r="M1019">
        <v>0</v>
      </c>
      <c r="N1019">
        <v>2.5929000000000002</v>
      </c>
      <c r="O1019" t="s">
        <v>74</v>
      </c>
      <c r="P1019">
        <v>0</v>
      </c>
      <c r="Q1019" t="s">
        <v>74</v>
      </c>
      <c r="R1019">
        <v>0</v>
      </c>
      <c r="S1019" t="s">
        <v>74</v>
      </c>
      <c r="T1019">
        <v>0</v>
      </c>
      <c r="U1019" t="s">
        <v>74</v>
      </c>
      <c r="V1019">
        <v>0</v>
      </c>
      <c r="W1019" t="s">
        <v>74</v>
      </c>
      <c r="X1019">
        <v>0</v>
      </c>
      <c r="Y1019">
        <v>2.5929000000000002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268</v>
      </c>
      <c r="AF1019">
        <v>1373</v>
      </c>
      <c r="AG1019">
        <v>29</v>
      </c>
      <c r="AI1019">
        <v>0.44600000000000001</v>
      </c>
      <c r="AJ1019" t="s">
        <v>3707</v>
      </c>
      <c r="AK1019" t="s">
        <v>501</v>
      </c>
      <c r="AL1019" t="s">
        <v>1275</v>
      </c>
      <c r="AM1019">
        <v>200000</v>
      </c>
      <c r="AN1019" t="s">
        <v>92</v>
      </c>
      <c r="AO1019">
        <v>1</v>
      </c>
      <c r="AP1019">
        <v>0</v>
      </c>
      <c r="AQ1019">
        <v>16666.666666666668</v>
      </c>
      <c r="AR1019" t="s">
        <v>3710</v>
      </c>
      <c r="AS1019" t="s">
        <v>78</v>
      </c>
      <c r="AX1019" t="s">
        <v>79</v>
      </c>
      <c r="AY1019" t="s">
        <v>74</v>
      </c>
      <c r="AZ1019">
        <v>0</v>
      </c>
      <c r="BA1019" t="s">
        <v>74</v>
      </c>
      <c r="BB1019">
        <v>0</v>
      </c>
      <c r="BD1019">
        <v>2.5929000000000002</v>
      </c>
      <c r="BE1019">
        <v>0</v>
      </c>
    </row>
    <row r="1020" spans="1:58" ht="12.75">
      <c r="A1020" s="2" t="str">
        <f>HYPERLINK("https://ibp.a2mac1.com/costing(costing:projects/details/8191/part/5384998)","Lower Cover")</f>
        <v>Lower Cover</v>
      </c>
      <c r="B1020">
        <v>5384998</v>
      </c>
      <c r="C1020">
        <v>5384872</v>
      </c>
      <c r="E1020">
        <v>2.71286</v>
      </c>
      <c r="F1020">
        <v>0</v>
      </c>
      <c r="G1020">
        <v>0</v>
      </c>
      <c r="H1020">
        <v>0</v>
      </c>
      <c r="I1020" t="s">
        <v>74</v>
      </c>
      <c r="J1020">
        <v>0</v>
      </c>
      <c r="K1020">
        <v>2.71286</v>
      </c>
      <c r="L1020">
        <v>0</v>
      </c>
      <c r="M1020">
        <v>0</v>
      </c>
      <c r="N1020">
        <v>2.71286</v>
      </c>
      <c r="O1020" t="s">
        <v>74</v>
      </c>
      <c r="P1020">
        <v>0</v>
      </c>
      <c r="Q1020" t="s">
        <v>74</v>
      </c>
      <c r="R1020">
        <v>0</v>
      </c>
      <c r="S1020" t="s">
        <v>74</v>
      </c>
      <c r="T1020">
        <v>0</v>
      </c>
      <c r="U1020" t="s">
        <v>74</v>
      </c>
      <c r="V1020">
        <v>0</v>
      </c>
      <c r="W1020" t="s">
        <v>74</v>
      </c>
      <c r="X1020">
        <v>0</v>
      </c>
      <c r="Y1020">
        <v>2.71286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258</v>
      </c>
      <c r="AF1020">
        <v>1372</v>
      </c>
      <c r="AG1020">
        <v>68</v>
      </c>
      <c r="AI1020">
        <v>0.47699999999999998</v>
      </c>
      <c r="AJ1020" t="s">
        <v>3707</v>
      </c>
      <c r="AK1020" t="s">
        <v>501</v>
      </c>
      <c r="AL1020" t="s">
        <v>3711</v>
      </c>
      <c r="AM1020">
        <v>200000</v>
      </c>
      <c r="AN1020" t="s">
        <v>92</v>
      </c>
      <c r="AO1020">
        <v>1</v>
      </c>
      <c r="AP1020">
        <v>0</v>
      </c>
      <c r="AQ1020">
        <v>16666.666666666668</v>
      </c>
      <c r="AR1020" t="s">
        <v>3712</v>
      </c>
      <c r="AS1020" t="s">
        <v>78</v>
      </c>
      <c r="AX1020" t="s">
        <v>79</v>
      </c>
      <c r="AY1020" t="s">
        <v>74</v>
      </c>
      <c r="AZ1020">
        <v>0</v>
      </c>
      <c r="BA1020" t="s">
        <v>74</v>
      </c>
      <c r="BB1020">
        <v>0</v>
      </c>
      <c r="BD1020">
        <v>2.71286</v>
      </c>
      <c r="BE1020">
        <v>0</v>
      </c>
    </row>
    <row r="1021" spans="1:58" ht="12.75">
      <c r="A1021" s="2" t="str">
        <f>HYPERLINK("https://ibp.a2mac1.com/costing(costing:projects/details/8191/part/5384865)","Multifunction Control")</f>
        <v>Multifunction Control</v>
      </c>
      <c r="B1021">
        <v>5384865</v>
      </c>
      <c r="C1021">
        <v>5384805</v>
      </c>
      <c r="E1021">
        <v>3.5986899999999999</v>
      </c>
      <c r="F1021">
        <v>0</v>
      </c>
      <c r="G1021">
        <v>0</v>
      </c>
      <c r="H1021">
        <v>0</v>
      </c>
      <c r="I1021" t="s">
        <v>74</v>
      </c>
      <c r="J1021">
        <v>0</v>
      </c>
      <c r="K1021">
        <v>3.5986899999999999</v>
      </c>
      <c r="L1021">
        <v>0</v>
      </c>
      <c r="M1021">
        <v>0</v>
      </c>
      <c r="N1021">
        <v>3.5986899999999999</v>
      </c>
      <c r="O1021" t="s">
        <v>74</v>
      </c>
      <c r="P1021">
        <v>0</v>
      </c>
      <c r="Q1021" t="s">
        <v>74</v>
      </c>
      <c r="R1021">
        <v>0</v>
      </c>
      <c r="S1021" t="s">
        <v>74</v>
      </c>
      <c r="T1021">
        <v>0</v>
      </c>
      <c r="U1021" t="s">
        <v>74</v>
      </c>
      <c r="V1021">
        <v>0</v>
      </c>
      <c r="W1021" t="s">
        <v>74</v>
      </c>
      <c r="X1021">
        <v>0</v>
      </c>
      <c r="Y1021">
        <v>3.5986899999999999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37</v>
      </c>
      <c r="AF1021">
        <v>182</v>
      </c>
      <c r="AG1021">
        <v>28</v>
      </c>
      <c r="AI1021">
        <v>0.068000000000000005</v>
      </c>
      <c r="AJ1021" t="s">
        <v>3714</v>
      </c>
      <c r="AK1021" t="s">
        <v>219</v>
      </c>
      <c r="AL1021" t="s">
        <v>3715</v>
      </c>
      <c r="AM1021">
        <v>200000</v>
      </c>
      <c r="AN1021" t="s">
        <v>76</v>
      </c>
      <c r="AO1021">
        <v>1</v>
      </c>
      <c r="AP1021">
        <v>0</v>
      </c>
      <c r="AQ1021">
        <v>16666.666666666668</v>
      </c>
      <c r="AR1021" t="s">
        <v>3716</v>
      </c>
      <c r="AS1021" t="s">
        <v>78</v>
      </c>
      <c r="AX1021" t="s">
        <v>79</v>
      </c>
      <c r="AY1021" t="s">
        <v>74</v>
      </c>
      <c r="AZ1021">
        <v>0</v>
      </c>
      <c r="BA1021" t="s">
        <v>74</v>
      </c>
      <c r="BB1021">
        <v>0</v>
      </c>
      <c r="BD1021">
        <v>3.5986899999999999</v>
      </c>
      <c r="BE1021">
        <v>0</v>
      </c>
    </row>
    <row r="1022" spans="1:58" ht="12.75">
      <c r="A1022" s="2" t="str">
        <f>HYPERLINK("https://ibp.a2mac1.com/costing(costing:projects/details/8191/part/5385097)","Control")</f>
        <v>Control</v>
      </c>
      <c r="B1022">
        <v>5385097</v>
      </c>
      <c r="C1022">
        <v>5385005</v>
      </c>
      <c r="E1022">
        <v>0.033708863999999998</v>
      </c>
      <c r="F1022">
        <v>0</v>
      </c>
      <c r="G1022">
        <v>0</v>
      </c>
      <c r="H1022">
        <v>0.00017099433768421053</v>
      </c>
      <c r="I1022" t="s">
        <v>137</v>
      </c>
      <c r="J1022">
        <v>0.0011827671578947369</v>
      </c>
      <c r="K1022">
        <v>0.035062625495578946</v>
      </c>
      <c r="L1022">
        <v>0.00064986575585317433</v>
      </c>
      <c r="M1022">
        <v>0.0038991945351190462</v>
      </c>
      <c r="N1022">
        <v>0.038961820030697994</v>
      </c>
      <c r="O1022" t="s">
        <v>90</v>
      </c>
      <c r="P1022">
        <v>0</v>
      </c>
      <c r="Q1022" t="s">
        <v>90</v>
      </c>
      <c r="R1022">
        <v>0</v>
      </c>
      <c r="S1022" t="s">
        <v>90</v>
      </c>
      <c r="T1022">
        <v>0</v>
      </c>
      <c r="U1022" t="s">
        <v>90</v>
      </c>
      <c r="V1022">
        <v>0</v>
      </c>
      <c r="W1022" t="s">
        <v>90</v>
      </c>
      <c r="X1022">
        <v>0</v>
      </c>
      <c r="Y1022">
        <v>0.038961820030697994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38</v>
      </c>
      <c r="AF1022">
        <v>67</v>
      </c>
      <c r="AG1022">
        <v>35</v>
      </c>
      <c r="AI1022">
        <v>0.014</v>
      </c>
      <c r="AJ1022" t="s">
        <v>685</v>
      </c>
      <c r="AK1022" t="s">
        <v>501</v>
      </c>
      <c r="AL1022" t="s">
        <v>1275</v>
      </c>
      <c r="AM1022">
        <v>200000</v>
      </c>
      <c r="AN1022" t="s">
        <v>92</v>
      </c>
      <c r="AO1022">
        <v>1</v>
      </c>
      <c r="AP1022">
        <v>0</v>
      </c>
      <c r="AQ1022">
        <v>16666.666666666668</v>
      </c>
      <c r="AR1022" t="s">
        <v>3724</v>
      </c>
      <c r="AS1022" t="s">
        <v>78</v>
      </c>
      <c r="AX1022" t="s">
        <v>79</v>
      </c>
      <c r="AY1022" t="s">
        <v>137</v>
      </c>
      <c r="AZ1022">
        <v>0</v>
      </c>
      <c r="BA1022" t="s">
        <v>137</v>
      </c>
      <c r="BB1022">
        <v>0</v>
      </c>
      <c r="BE1022">
        <v>0</v>
      </c>
    </row>
    <row r="1023" spans="1:58" ht="12.75">
      <c r="A1023" s="2" t="str">
        <f>HYPERLINK("https://ibp.a2mac1.com/costing(costing:projects/details/8191/part/5385098)","Control Support")</f>
        <v>Control Support</v>
      </c>
      <c r="B1023">
        <v>5385098</v>
      </c>
      <c r="C1023">
        <v>5385005</v>
      </c>
      <c r="E1023">
        <v>0.019222811999999999</v>
      </c>
      <c r="F1023">
        <v>0</v>
      </c>
      <c r="G1023">
        <v>0</v>
      </c>
      <c r="H1023">
        <v>9.7511206736842105E-05</v>
      </c>
      <c r="I1023" t="s">
        <v>137</v>
      </c>
      <c r="J1023">
        <v>0.00067448463157894739</v>
      </c>
      <c r="K1023">
        <v>0.019994807838315788</v>
      </c>
      <c r="L1023">
        <v>0.00041776556729295931</v>
      </c>
      <c r="M1023">
        <v>0.0025065934037577556</v>
      </c>
      <c r="N1023">
        <v>0.022501401242073546</v>
      </c>
      <c r="O1023" t="s">
        <v>90</v>
      </c>
      <c r="P1023">
        <v>0</v>
      </c>
      <c r="Q1023" t="s">
        <v>90</v>
      </c>
      <c r="R1023">
        <v>0</v>
      </c>
      <c r="S1023" t="s">
        <v>90</v>
      </c>
      <c r="T1023">
        <v>0</v>
      </c>
      <c r="U1023" t="s">
        <v>90</v>
      </c>
      <c r="V1023">
        <v>0</v>
      </c>
      <c r="W1023" t="s">
        <v>90</v>
      </c>
      <c r="X1023">
        <v>0</v>
      </c>
      <c r="Y1023">
        <v>0.022501401242073546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25</v>
      </c>
      <c r="AF1023">
        <v>49</v>
      </c>
      <c r="AG1023">
        <v>33</v>
      </c>
      <c r="AI1023">
        <v>0.0089999999999999993</v>
      </c>
      <c r="AJ1023" t="s">
        <v>685</v>
      </c>
      <c r="AK1023" t="s">
        <v>501</v>
      </c>
      <c r="AL1023" t="s">
        <v>1721</v>
      </c>
      <c r="AM1023">
        <v>200000</v>
      </c>
      <c r="AN1023" t="s">
        <v>92</v>
      </c>
      <c r="AO1023">
        <v>1</v>
      </c>
      <c r="AP1023">
        <v>0</v>
      </c>
      <c r="AQ1023">
        <v>16666.666666666668</v>
      </c>
      <c r="AR1023" t="s">
        <v>3729</v>
      </c>
      <c r="AS1023" t="s">
        <v>78</v>
      </c>
      <c r="AX1023" t="s">
        <v>79</v>
      </c>
      <c r="AY1023" t="s">
        <v>137</v>
      </c>
      <c r="AZ1023">
        <v>0</v>
      </c>
      <c r="BA1023" t="s">
        <v>137</v>
      </c>
      <c r="BB1023">
        <v>0</v>
      </c>
      <c r="BE1023">
        <v>0</v>
      </c>
    </row>
    <row r="1024" spans="1:58" ht="12.75">
      <c r="A1024" s="2" t="str">
        <f>HYPERLINK("https://ibp.a2mac1.com/costing(costing:projects/details/8191/part/5385099)","Latch Anchor")</f>
        <v>Latch Anchor</v>
      </c>
      <c r="B1024">
        <v>5385099</v>
      </c>
      <c r="C1024">
        <v>5385005</v>
      </c>
      <c r="E1024">
        <v>0.0089181959999999998</v>
      </c>
      <c r="F1024">
        <v>0</v>
      </c>
      <c r="G1024">
        <v>0</v>
      </c>
      <c r="H1024">
        <v>4.5239169684210529E-05</v>
      </c>
      <c r="I1024" t="s">
        <v>137</v>
      </c>
      <c r="J1024">
        <v>0.00031291915789473683</v>
      </c>
      <c r="K1024">
        <v>0.0092763543275789472</v>
      </c>
      <c r="L1024">
        <v>0.00018567124068331081</v>
      </c>
      <c r="M1024">
        <v>0.0011140274440998648</v>
      </c>
      <c r="N1024">
        <v>0.010390381771678812</v>
      </c>
      <c r="O1024" t="s">
        <v>90</v>
      </c>
      <c r="P1024">
        <v>0</v>
      </c>
      <c r="Q1024" t="s">
        <v>90</v>
      </c>
      <c r="R1024">
        <v>0</v>
      </c>
      <c r="S1024" t="s">
        <v>90</v>
      </c>
      <c r="T1024">
        <v>0</v>
      </c>
      <c r="U1024" t="s">
        <v>90</v>
      </c>
      <c r="V1024">
        <v>0</v>
      </c>
      <c r="W1024" t="s">
        <v>90</v>
      </c>
      <c r="X1024">
        <v>0</v>
      </c>
      <c r="Y1024">
        <v>0.010390381771678812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25</v>
      </c>
      <c r="AF1024">
        <v>15</v>
      </c>
      <c r="AG1024">
        <v>46</v>
      </c>
      <c r="AI1024">
        <v>0.0040000000000000001</v>
      </c>
      <c r="AK1024" t="s">
        <v>501</v>
      </c>
      <c r="AL1024" t="s">
        <v>1332</v>
      </c>
      <c r="AM1024">
        <v>200000</v>
      </c>
      <c r="AN1024" t="s">
        <v>92</v>
      </c>
      <c r="AO1024">
        <v>1</v>
      </c>
      <c r="AP1024">
        <v>0</v>
      </c>
      <c r="AQ1024">
        <v>16666.666666666668</v>
      </c>
      <c r="AR1024" t="s">
        <v>3732</v>
      </c>
      <c r="AS1024" t="s">
        <v>78</v>
      </c>
      <c r="AX1024" t="s">
        <v>79</v>
      </c>
      <c r="AY1024" t="s">
        <v>137</v>
      </c>
      <c r="AZ1024">
        <v>0</v>
      </c>
      <c r="BA1024" t="s">
        <v>137</v>
      </c>
      <c r="BB1024">
        <v>0</v>
      </c>
      <c r="BE1024">
        <v>0</v>
      </c>
    </row>
    <row r="1025" spans="1:58" ht="12.75">
      <c r="A1025" s="2" t="str">
        <f>HYPERLINK("https://ibp.a2mac1.com/costing(costing:projects/details/8191/part/5385100)","2nd Anchor Right")</f>
        <v>2nd Anchor Right</v>
      </c>
      <c r="B1025">
        <v>5385100</v>
      </c>
      <c r="C1025">
        <v>5385005</v>
      </c>
      <c r="E1025">
        <v>0.0066886469999999998</v>
      </c>
      <c r="F1025">
        <v>0</v>
      </c>
      <c r="G1025">
        <v>0</v>
      </c>
      <c r="H1025">
        <v>3.3929377263157895E-05</v>
      </c>
      <c r="I1025" t="s">
        <v>137</v>
      </c>
      <c r="J1025">
        <v>0.00023468936842105262</v>
      </c>
      <c r="K1025">
        <v>0.0069572657456842104</v>
      </c>
      <c r="L1025">
        <v>0.0001392530787954491</v>
      </c>
      <c r="M1025">
        <v>0.00083551847277269474</v>
      </c>
      <c r="N1025">
        <v>0.007792784218456905</v>
      </c>
      <c r="O1025" t="s">
        <v>90</v>
      </c>
      <c r="P1025">
        <v>0</v>
      </c>
      <c r="Q1025" t="s">
        <v>90</v>
      </c>
      <c r="R1025">
        <v>0</v>
      </c>
      <c r="S1025" t="s">
        <v>90</v>
      </c>
      <c r="T1025">
        <v>0</v>
      </c>
      <c r="U1025" t="s">
        <v>90</v>
      </c>
      <c r="V1025">
        <v>0</v>
      </c>
      <c r="W1025" t="s">
        <v>90</v>
      </c>
      <c r="X1025">
        <v>0</v>
      </c>
      <c r="Y1025">
        <v>0.007792784218456905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25</v>
      </c>
      <c r="AF1025">
        <v>15</v>
      </c>
      <c r="AG1025">
        <v>46</v>
      </c>
      <c r="AI1025">
        <v>0.0030000000000000001</v>
      </c>
      <c r="AK1025" t="s">
        <v>501</v>
      </c>
      <c r="AL1025" t="s">
        <v>1332</v>
      </c>
      <c r="AM1025">
        <v>200000</v>
      </c>
      <c r="AN1025" t="s">
        <v>92</v>
      </c>
      <c r="AO1025">
        <v>1</v>
      </c>
      <c r="AP1025">
        <v>0</v>
      </c>
      <c r="AQ1025">
        <v>16666.666666666668</v>
      </c>
      <c r="AR1025" t="s">
        <v>3735</v>
      </c>
      <c r="AS1025" t="s">
        <v>78</v>
      </c>
      <c r="AX1025" t="s">
        <v>79</v>
      </c>
      <c r="AY1025" t="s">
        <v>137</v>
      </c>
      <c r="AZ1025">
        <v>0</v>
      </c>
      <c r="BA1025" t="s">
        <v>137</v>
      </c>
      <c r="BB1025">
        <v>0</v>
      </c>
      <c r="BE1025">
        <v>0</v>
      </c>
    </row>
    <row r="1026" spans="1:58" ht="12.75">
      <c r="A1026" s="2" t="str">
        <f>HYPERLINK("https://ibp.a2mac1.com/costing(costing:projects/details/8191/part/5385101)","Retarder Strut")</f>
        <v>Retarder Strut</v>
      </c>
      <c r="B1026">
        <v>5385101</v>
      </c>
      <c r="C1026">
        <v>5385005</v>
      </c>
      <c r="E1026">
        <v>0.049024552499999999</v>
      </c>
      <c r="F1026">
        <v>0</v>
      </c>
      <c r="G1026">
        <v>0</v>
      </c>
      <c r="H1026">
        <v>0.00024868595052631581</v>
      </c>
      <c r="I1026" t="s">
        <v>137</v>
      </c>
      <c r="J1026">
        <v>0.0017201597368421053</v>
      </c>
      <c r="K1026">
        <v>0.050993398187368422</v>
      </c>
      <c r="L1026">
        <v>0.0010212098785659547</v>
      </c>
      <c r="M1026">
        <v>0.0061272592713957274</v>
      </c>
      <c r="N1026">
        <v>0.05712065745876415</v>
      </c>
      <c r="O1026" t="s">
        <v>90</v>
      </c>
      <c r="P1026">
        <v>0</v>
      </c>
      <c r="Q1026" t="s">
        <v>90</v>
      </c>
      <c r="R1026">
        <v>0</v>
      </c>
      <c r="S1026" t="s">
        <v>90</v>
      </c>
      <c r="T1026">
        <v>0</v>
      </c>
      <c r="U1026" t="s">
        <v>90</v>
      </c>
      <c r="V1026">
        <v>0</v>
      </c>
      <c r="W1026" t="s">
        <v>90</v>
      </c>
      <c r="X1026">
        <v>0</v>
      </c>
      <c r="Y1026">
        <v>0.05712065745876415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154</v>
      </c>
      <c r="AF1026">
        <v>35</v>
      </c>
      <c r="AG1026">
        <v>32</v>
      </c>
      <c r="AI1026">
        <v>0.021999999999999999</v>
      </c>
      <c r="AJ1026" t="s">
        <v>3258</v>
      </c>
      <c r="AK1026" t="s">
        <v>501</v>
      </c>
      <c r="AL1026" t="s">
        <v>3738</v>
      </c>
      <c r="AM1026">
        <v>200000</v>
      </c>
      <c r="AN1026" t="s">
        <v>92</v>
      </c>
      <c r="AO1026">
        <v>1</v>
      </c>
      <c r="AP1026">
        <v>0</v>
      </c>
      <c r="AQ1026">
        <v>16666.666666666668</v>
      </c>
      <c r="AR1026" t="s">
        <v>3739</v>
      </c>
      <c r="AS1026" t="s">
        <v>78</v>
      </c>
      <c r="AX1026" t="s">
        <v>79</v>
      </c>
      <c r="AY1026" t="s">
        <v>137</v>
      </c>
      <c r="AZ1026">
        <v>0</v>
      </c>
      <c r="BA1026" t="s">
        <v>137</v>
      </c>
      <c r="BB1026">
        <v>0</v>
      </c>
      <c r="BE1026">
        <v>0</v>
      </c>
    </row>
    <row r="1027" spans="1:58" ht="12.75">
      <c r="A1027" s="2" t="str">
        <f>HYPERLINK("https://ibp.a2mac1.com/costing(costing:projects/details/8191/part/5385103)","Mechanism")</f>
        <v>Mechanism</v>
      </c>
      <c r="B1027">
        <v>5385103</v>
      </c>
      <c r="C1027">
        <v>5385005</v>
      </c>
      <c r="E1027">
        <v>0.068347775999999999</v>
      </c>
      <c r="F1027">
        <v>0</v>
      </c>
      <c r="G1027">
        <v>0</v>
      </c>
      <c r="H1027">
        <v>0.00034465094063157892</v>
      </c>
      <c r="I1027" t="s">
        <v>137</v>
      </c>
      <c r="J1027">
        <v>0.0023981675789473684</v>
      </c>
      <c r="K1027">
        <v>0.071090594519578942</v>
      </c>
      <c r="L1027">
        <v>0.0014817050504721424</v>
      </c>
      <c r="M1027">
        <v>0.008890230302832855</v>
      </c>
      <c r="N1027">
        <v>0.079980824822411797</v>
      </c>
      <c r="O1027" t="s">
        <v>90</v>
      </c>
      <c r="P1027">
        <v>0</v>
      </c>
      <c r="Q1027" t="s">
        <v>90</v>
      </c>
      <c r="R1027">
        <v>0</v>
      </c>
      <c r="S1027" t="s">
        <v>90</v>
      </c>
      <c r="T1027">
        <v>0</v>
      </c>
      <c r="U1027" t="s">
        <v>90</v>
      </c>
      <c r="V1027">
        <v>0</v>
      </c>
      <c r="W1027" t="s">
        <v>90</v>
      </c>
      <c r="X1027">
        <v>0</v>
      </c>
      <c r="Y1027">
        <v>0.079980824822411797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21</v>
      </c>
      <c r="AF1027">
        <v>207</v>
      </c>
      <c r="AG1027">
        <v>35</v>
      </c>
      <c r="AI1027">
        <v>0.016</v>
      </c>
      <c r="AJ1027" t="s">
        <v>685</v>
      </c>
      <c r="AK1027" t="s">
        <v>501</v>
      </c>
      <c r="AL1027" t="s">
        <v>1721</v>
      </c>
      <c r="AM1027">
        <v>400000</v>
      </c>
      <c r="AN1027" t="s">
        <v>92</v>
      </c>
      <c r="AO1027">
        <v>2</v>
      </c>
      <c r="AP1027">
        <v>0</v>
      </c>
      <c r="AQ1027">
        <v>33333.333333333336</v>
      </c>
      <c r="AR1027" t="s">
        <v>3742</v>
      </c>
      <c r="AS1027" t="s">
        <v>78</v>
      </c>
      <c r="AX1027" t="s">
        <v>79</v>
      </c>
      <c r="AY1027" t="s">
        <v>137</v>
      </c>
      <c r="AZ1027">
        <v>0</v>
      </c>
      <c r="BA1027" t="s">
        <v>137</v>
      </c>
      <c r="BB1027">
        <v>0</v>
      </c>
      <c r="BE1027">
        <v>0</v>
      </c>
    </row>
    <row r="1028" spans="1:58" ht="12.75">
      <c r="A1028" s="2" t="str">
        <f>HYPERLINK("https://ibp.a2mac1.com/costing(costing:projects/details/8191/part/5385104)","Mechanism support")</f>
        <v>Mechanism support</v>
      </c>
      <c r="B1028">
        <v>5385104</v>
      </c>
      <c r="C1028">
        <v>5385005</v>
      </c>
      <c r="E1028">
        <v>0.013377294</v>
      </c>
      <c r="F1028">
        <v>0</v>
      </c>
      <c r="G1028">
        <v>0</v>
      </c>
      <c r="H1028">
        <v>6.7858754526315789E-05</v>
      </c>
      <c r="I1028" t="s">
        <v>137</v>
      </c>
      <c r="J1028">
        <v>0.00046937873684210524</v>
      </c>
      <c r="K1028">
        <v>0.013914531491368421</v>
      </c>
      <c r="L1028">
        <v>0.00027850826789310219</v>
      </c>
      <c r="M1028">
        <v>0.0016710496073586132</v>
      </c>
      <c r="N1028">
        <v>0.015585581098727035</v>
      </c>
      <c r="O1028" t="s">
        <v>90</v>
      </c>
      <c r="P1028">
        <v>0</v>
      </c>
      <c r="Q1028" t="s">
        <v>90</v>
      </c>
      <c r="R1028">
        <v>0</v>
      </c>
      <c r="S1028" t="s">
        <v>90</v>
      </c>
      <c r="T1028">
        <v>0</v>
      </c>
      <c r="U1028" t="s">
        <v>90</v>
      </c>
      <c r="V1028">
        <v>0</v>
      </c>
      <c r="W1028" t="s">
        <v>90</v>
      </c>
      <c r="X1028">
        <v>0</v>
      </c>
      <c r="Y1028">
        <v>0.015585581098727035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20</v>
      </c>
      <c r="AF1028">
        <v>45</v>
      </c>
      <c r="AG1028">
        <v>45</v>
      </c>
      <c r="AI1028">
        <v>0.0060000000000000001</v>
      </c>
      <c r="AJ1028" t="s">
        <v>685</v>
      </c>
      <c r="AK1028" t="s">
        <v>501</v>
      </c>
      <c r="AL1028" t="s">
        <v>1332</v>
      </c>
      <c r="AM1028">
        <v>200000</v>
      </c>
      <c r="AN1028" t="s">
        <v>92</v>
      </c>
      <c r="AO1028">
        <v>1</v>
      </c>
      <c r="AP1028">
        <v>0</v>
      </c>
      <c r="AQ1028">
        <v>16666.666666666668</v>
      </c>
      <c r="AR1028" t="s">
        <v>3747</v>
      </c>
      <c r="AS1028" t="s">
        <v>78</v>
      </c>
      <c r="AX1028" t="s">
        <v>79</v>
      </c>
      <c r="AY1028" t="s">
        <v>137</v>
      </c>
      <c r="AZ1028">
        <v>0</v>
      </c>
      <c r="BA1028" t="s">
        <v>137</v>
      </c>
      <c r="BB1028">
        <v>0</v>
      </c>
      <c r="BE1028">
        <v>0</v>
      </c>
    </row>
    <row r="1029" spans="1:58" ht="12.75">
      <c r="A1029" s="2" t="str">
        <f>HYPERLINK("https://ibp.a2mac1.com/costing(costing:projects/details/8191/part/5385105)","Closing Stopper")</f>
        <v>Closing Stopper</v>
      </c>
      <c r="B1029">
        <v>5385105</v>
      </c>
      <c r="C1029">
        <v>5385005</v>
      </c>
      <c r="E1029">
        <v>0.0029263605</v>
      </c>
      <c r="F1029">
        <v>0</v>
      </c>
      <c r="G1029">
        <v>0</v>
      </c>
      <c r="H1029">
        <v>1.475648452631579E-05</v>
      </c>
      <c r="I1029" t="s">
        <v>137</v>
      </c>
      <c r="J1029">
        <v>0.00010267931578947368</v>
      </c>
      <c r="K1029">
        <v>0.0030437963003157897</v>
      </c>
      <c r="L1029">
        <v>4.630237425203746E-05</v>
      </c>
      <c r="M1029">
        <v>0.00027781424551222479</v>
      </c>
      <c r="N1029">
        <v>0.0033216105458280143</v>
      </c>
      <c r="O1029" t="s">
        <v>138</v>
      </c>
      <c r="P1029">
        <v>0.00018262777801894737</v>
      </c>
      <c r="Q1029" t="s">
        <v>138</v>
      </c>
      <c r="R1029">
        <v>1.6668854730733487E-05</v>
      </c>
      <c r="S1029" t="s">
        <v>139</v>
      </c>
      <c r="T1029">
        <v>0.00039859326549936174</v>
      </c>
      <c r="U1029" t="s">
        <v>90</v>
      </c>
      <c r="V1029">
        <v>0</v>
      </c>
      <c r="W1029" t="s">
        <v>90</v>
      </c>
      <c r="X1029">
        <v>0</v>
      </c>
      <c r="Y1029">
        <v>0.0039195004440770566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19</v>
      </c>
      <c r="AF1029">
        <v>10</v>
      </c>
      <c r="AG1029">
        <v>10</v>
      </c>
      <c r="AI1029">
        <v>0.00050000000000000001</v>
      </c>
      <c r="AK1029" t="s">
        <v>501</v>
      </c>
      <c r="AL1029" t="s">
        <v>3752</v>
      </c>
      <c r="AM1029">
        <v>400000</v>
      </c>
      <c r="AN1029" t="s">
        <v>76</v>
      </c>
      <c r="AO1029">
        <v>2</v>
      </c>
      <c r="AP1029">
        <v>0</v>
      </c>
      <c r="AQ1029">
        <v>33333.333333333336</v>
      </c>
      <c r="AR1029" t="s">
        <v>3753</v>
      </c>
      <c r="AS1029" t="s">
        <v>78</v>
      </c>
      <c r="AX1029" t="s">
        <v>79</v>
      </c>
      <c r="AY1029" t="s">
        <v>137</v>
      </c>
      <c r="AZ1029">
        <v>0</v>
      </c>
      <c r="BA1029" t="s">
        <v>137</v>
      </c>
      <c r="BB1029">
        <v>0</v>
      </c>
      <c r="BE1029">
        <v>0</v>
      </c>
    </row>
    <row r="1030" spans="1:58" ht="12.75">
      <c r="A1030" s="2" t="str">
        <f>HYPERLINK("https://ibp.a2mac1.com/costing(costing:projects/details/8191/part/5385106)","Closing Stopper 2")</f>
        <v>Closing Stopper 2</v>
      </c>
      <c r="B1030">
        <v>5385106</v>
      </c>
      <c r="C1030">
        <v>5385005</v>
      </c>
      <c r="E1030">
        <v>0.0029263605</v>
      </c>
      <c r="F1030">
        <v>0</v>
      </c>
      <c r="G1030">
        <v>0</v>
      </c>
      <c r="H1030">
        <v>1.4844495368421053E-05</v>
      </c>
      <c r="I1030" t="s">
        <v>137</v>
      </c>
      <c r="J1030">
        <v>0.00010267931578947368</v>
      </c>
      <c r="K1030">
        <v>0.0030438843111578948</v>
      </c>
      <c r="L1030">
        <v>4.6417458453793706E-05</v>
      </c>
      <c r="M1030">
        <v>0.00027850475072276222</v>
      </c>
      <c r="N1030">
        <v>0.0033223890618806571</v>
      </c>
      <c r="O1030" t="s">
        <v>90</v>
      </c>
      <c r="P1030">
        <v>0</v>
      </c>
      <c r="Q1030" t="s">
        <v>90</v>
      </c>
      <c r="R1030">
        <v>0</v>
      </c>
      <c r="S1030" t="s">
        <v>90</v>
      </c>
      <c r="T1030">
        <v>0</v>
      </c>
      <c r="U1030" t="s">
        <v>90</v>
      </c>
      <c r="V1030">
        <v>0</v>
      </c>
      <c r="W1030" t="s">
        <v>90</v>
      </c>
      <c r="X1030">
        <v>0</v>
      </c>
      <c r="Y1030">
        <v>0.0033223890618806571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4</v>
      </c>
      <c r="AF1030">
        <v>5</v>
      </c>
      <c r="AG1030">
        <v>5</v>
      </c>
      <c r="AI1030">
        <v>0.001</v>
      </c>
      <c r="AK1030" t="s">
        <v>501</v>
      </c>
      <c r="AL1030" t="s">
        <v>3752</v>
      </c>
      <c r="AM1030">
        <v>200000</v>
      </c>
      <c r="AN1030" t="s">
        <v>92</v>
      </c>
      <c r="AO1030">
        <v>1</v>
      </c>
      <c r="AP1030">
        <v>0</v>
      </c>
      <c r="AQ1030">
        <v>16666.666666666668</v>
      </c>
      <c r="AR1030" t="s">
        <v>3756</v>
      </c>
      <c r="AS1030" t="s">
        <v>78</v>
      </c>
      <c r="AX1030" t="s">
        <v>79</v>
      </c>
      <c r="AY1030" t="s">
        <v>137</v>
      </c>
      <c r="AZ1030">
        <v>0</v>
      </c>
      <c r="BA1030" t="s">
        <v>137</v>
      </c>
      <c r="BB1030">
        <v>0</v>
      </c>
      <c r="BE1030">
        <v>0</v>
      </c>
    </row>
    <row r="1031" spans="1:58" ht="12.75">
      <c r="A1031" s="2" t="str">
        <f>HYPERLINK("https://ibp.a2mac1.com/costing(costing:projects/details/8191/part/5385107)","Opening Stopper")</f>
        <v>Opening Stopper</v>
      </c>
      <c r="B1031">
        <v>5385107</v>
      </c>
      <c r="C1031">
        <v>5385005</v>
      </c>
      <c r="E1031">
        <v>0.0016590421052631579</v>
      </c>
      <c r="F1031">
        <v>0</v>
      </c>
      <c r="G1031">
        <v>0</v>
      </c>
      <c r="H1031">
        <v>8.3449817894736842E-06</v>
      </c>
      <c r="I1031" t="s">
        <v>137</v>
      </c>
      <c r="J1031">
        <v>5.8066473684210524E-05</v>
      </c>
      <c r="K1031">
        <v>0.001725453560736842</v>
      </c>
      <c r="L1031">
        <v>4.630237425203746E-05</v>
      </c>
      <c r="M1031">
        <v>0.00027781424551222479</v>
      </c>
      <c r="N1031">
        <v>0.0020032678062490671</v>
      </c>
      <c r="O1031" t="s">
        <v>90</v>
      </c>
      <c r="P1031">
        <v>0</v>
      </c>
      <c r="Q1031" t="s">
        <v>90</v>
      </c>
      <c r="R1031">
        <v>0</v>
      </c>
      <c r="S1031" t="s">
        <v>90</v>
      </c>
      <c r="T1031">
        <v>0</v>
      </c>
      <c r="U1031" t="s">
        <v>90</v>
      </c>
      <c r="V1031">
        <v>0</v>
      </c>
      <c r="W1031" t="s">
        <v>90</v>
      </c>
      <c r="X1031">
        <v>0</v>
      </c>
      <c r="Y1031">
        <v>0.0020032678062490671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19</v>
      </c>
      <c r="AF1031">
        <v>10</v>
      </c>
      <c r="AG1031">
        <v>10</v>
      </c>
      <c r="AI1031">
        <v>0.00050000000000000001</v>
      </c>
      <c r="AK1031" t="s">
        <v>501</v>
      </c>
      <c r="AL1031" t="s">
        <v>1345</v>
      </c>
      <c r="AM1031">
        <v>400000</v>
      </c>
      <c r="AN1031" t="s">
        <v>92</v>
      </c>
      <c r="AO1031">
        <v>2</v>
      </c>
      <c r="AP1031">
        <v>0</v>
      </c>
      <c r="AQ1031">
        <v>33333.333333333336</v>
      </c>
      <c r="AR1031" t="s">
        <v>3759</v>
      </c>
      <c r="AS1031" t="s">
        <v>78</v>
      </c>
      <c r="AX1031" t="s">
        <v>79</v>
      </c>
      <c r="AY1031" t="s">
        <v>137</v>
      </c>
      <c r="AZ1031">
        <v>0</v>
      </c>
      <c r="BA1031" t="s">
        <v>137</v>
      </c>
      <c r="BB1031">
        <v>0</v>
      </c>
      <c r="BE1031">
        <v>0</v>
      </c>
    </row>
    <row r="1032" spans="1:58" ht="12.75">
      <c r="A1032" s="2" t="str">
        <f>HYPERLINK("https://ibp.a2mac1.com/costing(costing:projects/details/8191/part/5384999)","Box")</f>
        <v>Box</v>
      </c>
      <c r="B1032">
        <v>5384999</v>
      </c>
      <c r="C1032">
        <v>5384873</v>
      </c>
      <c r="E1032">
        <v>1.14620184</v>
      </c>
      <c r="F1032">
        <v>0</v>
      </c>
      <c r="G1032">
        <v>0</v>
      </c>
      <c r="H1032">
        <v>0.0058143171031578948</v>
      </c>
      <c r="I1032" t="s">
        <v>137</v>
      </c>
      <c r="J1032">
        <v>0.040217608421052632</v>
      </c>
      <c r="K1032">
        <v>1.1922337655242106</v>
      </c>
      <c r="L1032">
        <v>0.037674966899308708</v>
      </c>
      <c r="M1032">
        <v>0.22604980139585226</v>
      </c>
      <c r="N1032">
        <v>1.4182835669200629</v>
      </c>
      <c r="O1032" t="s">
        <v>90</v>
      </c>
      <c r="P1032">
        <v>0</v>
      </c>
      <c r="Q1032" t="s">
        <v>90</v>
      </c>
      <c r="R1032">
        <v>0</v>
      </c>
      <c r="S1032" t="s">
        <v>90</v>
      </c>
      <c r="T1032">
        <v>0</v>
      </c>
      <c r="U1032" t="s">
        <v>90</v>
      </c>
      <c r="V1032">
        <v>0</v>
      </c>
      <c r="W1032" t="s">
        <v>90</v>
      </c>
      <c r="X1032">
        <v>0</v>
      </c>
      <c r="Y1032">
        <v>1.4182835669200629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210</v>
      </c>
      <c r="AF1032">
        <v>432</v>
      </c>
      <c r="AG1032">
        <v>302</v>
      </c>
      <c r="AI1032">
        <v>0.81</v>
      </c>
      <c r="AJ1032" t="s">
        <v>685</v>
      </c>
      <c r="AK1032" t="s">
        <v>501</v>
      </c>
      <c r="AL1032" t="s">
        <v>728</v>
      </c>
      <c r="AM1032">
        <v>200000</v>
      </c>
      <c r="AN1032" t="s">
        <v>92</v>
      </c>
      <c r="AO1032">
        <v>1</v>
      </c>
      <c r="AP1032">
        <v>0</v>
      </c>
      <c r="AQ1032">
        <v>16666.666666666668</v>
      </c>
      <c r="AR1032" t="s">
        <v>3764</v>
      </c>
      <c r="AS1032" t="s">
        <v>78</v>
      </c>
      <c r="AX1032" t="s">
        <v>79</v>
      </c>
      <c r="AY1032" t="s">
        <v>137</v>
      </c>
      <c r="AZ1032">
        <v>0</v>
      </c>
      <c r="BA1032" t="s">
        <v>137</v>
      </c>
      <c r="BB1032">
        <v>0</v>
      </c>
      <c r="BE1032">
        <v>0</v>
      </c>
    </row>
    <row r="1033" spans="1:58" ht="12.75">
      <c r="A1033" s="2" t="str">
        <f>HYPERLINK("https://ibp.a2mac1.com/costing(costing:projects/details/8191/part/5385000)","Cover")</f>
        <v>Cover</v>
      </c>
      <c r="B1033">
        <v>5385000</v>
      </c>
      <c r="C1033">
        <v>5384873</v>
      </c>
      <c r="E1033">
        <v>0.59291181599999998</v>
      </c>
      <c r="F1033">
        <v>0</v>
      </c>
      <c r="G1033">
        <v>0</v>
      </c>
      <c r="H1033">
        <v>0.0030076529212631578</v>
      </c>
      <c r="I1033" t="s">
        <v>137</v>
      </c>
      <c r="J1033">
        <v>0.020803923368421053</v>
      </c>
      <c r="K1033">
        <v>0.6167233922896842</v>
      </c>
      <c r="L1033">
        <v>0.01946944856706229</v>
      </c>
      <c r="M1033">
        <v>0.11681669140237373</v>
      </c>
      <c r="N1033">
        <v>0.73354008369205792</v>
      </c>
      <c r="O1033" t="s">
        <v>90</v>
      </c>
      <c r="P1033">
        <v>0</v>
      </c>
      <c r="Q1033" t="s">
        <v>90</v>
      </c>
      <c r="R1033">
        <v>0</v>
      </c>
      <c r="S1033" t="s">
        <v>90</v>
      </c>
      <c r="T1033">
        <v>0</v>
      </c>
      <c r="U1033" t="s">
        <v>90</v>
      </c>
      <c r="V1033">
        <v>0</v>
      </c>
      <c r="W1033" t="s">
        <v>90</v>
      </c>
      <c r="X1033">
        <v>0</v>
      </c>
      <c r="Y1033">
        <v>0.73354008369205792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42</v>
      </c>
      <c r="AF1033">
        <v>439</v>
      </c>
      <c r="AG1033">
        <v>306</v>
      </c>
      <c r="AI1033">
        <v>0.41899999999999998</v>
      </c>
      <c r="AJ1033" t="s">
        <v>685</v>
      </c>
      <c r="AK1033" t="s">
        <v>501</v>
      </c>
      <c r="AL1033" t="s">
        <v>728</v>
      </c>
      <c r="AM1033">
        <v>200000</v>
      </c>
      <c r="AN1033" t="s">
        <v>92</v>
      </c>
      <c r="AO1033">
        <v>1</v>
      </c>
      <c r="AP1033">
        <v>0</v>
      </c>
      <c r="AQ1033">
        <v>16666.666666666668</v>
      </c>
      <c r="AR1033" t="s">
        <v>3769</v>
      </c>
      <c r="AS1033" t="s">
        <v>78</v>
      </c>
      <c r="AX1033" t="s">
        <v>79</v>
      </c>
      <c r="AY1033" t="s">
        <v>137</v>
      </c>
      <c r="AZ1033">
        <v>0</v>
      </c>
      <c r="BA1033" t="s">
        <v>137</v>
      </c>
      <c r="BB1033">
        <v>0</v>
      </c>
      <c r="BE1033">
        <v>0</v>
      </c>
    </row>
    <row r="1034" spans="1:58" ht="12.75">
      <c r="A1034" s="2" t="str">
        <f>HYPERLINK("https://ibp.a2mac1.com/costing(costing:projects/details/8191/part/5385001)","Glovebox Support")</f>
        <v>Glovebox Support</v>
      </c>
      <c r="B1034">
        <v>5385001</v>
      </c>
      <c r="C1034">
        <v>5384873</v>
      </c>
      <c r="E1034">
        <v>1.0924294080000001</v>
      </c>
      <c r="F1034">
        <v>0</v>
      </c>
      <c r="G1034">
        <v>0</v>
      </c>
      <c r="H1034">
        <v>0.0055415466711578945</v>
      </c>
      <c r="I1034" t="s">
        <v>137</v>
      </c>
      <c r="J1034">
        <v>0.038330856421052634</v>
      </c>
      <c r="K1034">
        <v>1.1363018110922105</v>
      </c>
      <c r="L1034">
        <v>0.035904059992741738</v>
      </c>
      <c r="M1034">
        <v>0.21542435995645043</v>
      </c>
      <c r="N1034">
        <v>1.351726171048661</v>
      </c>
      <c r="O1034" t="s">
        <v>90</v>
      </c>
      <c r="P1034">
        <v>0</v>
      </c>
      <c r="Q1034" t="s">
        <v>90</v>
      </c>
      <c r="R1034">
        <v>0</v>
      </c>
      <c r="S1034" t="s">
        <v>90</v>
      </c>
      <c r="T1034">
        <v>0</v>
      </c>
      <c r="U1034" t="s">
        <v>90</v>
      </c>
      <c r="V1034">
        <v>0</v>
      </c>
      <c r="W1034" t="s">
        <v>90</v>
      </c>
      <c r="X1034">
        <v>0</v>
      </c>
      <c r="Y1034">
        <v>1.351726171048661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270</v>
      </c>
      <c r="AF1034">
        <v>565</v>
      </c>
      <c r="AG1034">
        <v>290</v>
      </c>
      <c r="AI1034">
        <v>0.77200000000000002</v>
      </c>
      <c r="AJ1034" t="s">
        <v>685</v>
      </c>
      <c r="AK1034" t="s">
        <v>501</v>
      </c>
      <c r="AL1034" t="s">
        <v>728</v>
      </c>
      <c r="AM1034">
        <v>200000</v>
      </c>
      <c r="AN1034" t="s">
        <v>92</v>
      </c>
      <c r="AO1034">
        <v>1</v>
      </c>
      <c r="AP1034">
        <v>0</v>
      </c>
      <c r="AQ1034">
        <v>16666.666666666668</v>
      </c>
      <c r="AR1034" t="s">
        <v>3774</v>
      </c>
      <c r="AS1034" t="s">
        <v>78</v>
      </c>
      <c r="AX1034" t="s">
        <v>79</v>
      </c>
      <c r="AY1034" t="s">
        <v>137</v>
      </c>
      <c r="AZ1034">
        <v>0</v>
      </c>
      <c r="BA1034" t="s">
        <v>137</v>
      </c>
      <c r="BB1034">
        <v>0</v>
      </c>
      <c r="BE1034">
        <v>0</v>
      </c>
    </row>
    <row r="1035" spans="1:58" ht="12.75">
      <c r="A1035" s="2" t="str">
        <f>HYPERLINK("https://ibp.a2mac1.com/costing(costing:projects/details/8191/part/5385002)","2nd Glovebox Support")</f>
        <v>2nd Glovebox Support</v>
      </c>
      <c r="B1035">
        <v>5385002</v>
      </c>
      <c r="C1035">
        <v>5384873</v>
      </c>
      <c r="E1035">
        <v>0.63536373599999996</v>
      </c>
      <c r="F1035">
        <v>0</v>
      </c>
      <c r="G1035">
        <v>0</v>
      </c>
      <c r="H1035">
        <v>0.0032229979991578949</v>
      </c>
      <c r="I1035" t="s">
        <v>137</v>
      </c>
      <c r="J1035">
        <v>0.022293464421052633</v>
      </c>
      <c r="K1035">
        <v>0.66088019842021051</v>
      </c>
      <c r="L1035">
        <v>0.020865021707360848</v>
      </c>
      <c r="M1035">
        <v>0.12519013024416509</v>
      </c>
      <c r="N1035">
        <v>0.78607032866437565</v>
      </c>
      <c r="O1035" t="s">
        <v>90</v>
      </c>
      <c r="P1035">
        <v>0</v>
      </c>
      <c r="Q1035" t="s">
        <v>90</v>
      </c>
      <c r="R1035">
        <v>0</v>
      </c>
      <c r="S1035" t="s">
        <v>90</v>
      </c>
      <c r="T1035">
        <v>0</v>
      </c>
      <c r="U1035" t="s">
        <v>90</v>
      </c>
      <c r="V1035">
        <v>0</v>
      </c>
      <c r="W1035" t="s">
        <v>90</v>
      </c>
      <c r="X1035">
        <v>0</v>
      </c>
      <c r="Y1035">
        <v>0.78607032866437565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71</v>
      </c>
      <c r="AF1035">
        <v>285</v>
      </c>
      <c r="AG1035">
        <v>235</v>
      </c>
      <c r="AI1035">
        <v>0.44900000000000001</v>
      </c>
      <c r="AJ1035" t="s">
        <v>685</v>
      </c>
      <c r="AK1035" t="s">
        <v>501</v>
      </c>
      <c r="AL1035" t="s">
        <v>728</v>
      </c>
      <c r="AM1035">
        <v>200000</v>
      </c>
      <c r="AN1035" t="s">
        <v>92</v>
      </c>
      <c r="AO1035">
        <v>1</v>
      </c>
      <c r="AP1035">
        <v>0</v>
      </c>
      <c r="AQ1035">
        <v>16666.666666666668</v>
      </c>
      <c r="AR1035" t="s">
        <v>3779</v>
      </c>
      <c r="AS1035" t="s">
        <v>78</v>
      </c>
      <c r="AX1035" t="s">
        <v>79</v>
      </c>
      <c r="AY1035" t="s">
        <v>137</v>
      </c>
      <c r="AZ1035">
        <v>0</v>
      </c>
      <c r="BA1035" t="s">
        <v>137</v>
      </c>
      <c r="BB1035">
        <v>0</v>
      </c>
      <c r="BE1035">
        <v>0</v>
      </c>
    </row>
    <row r="1036" spans="1:58" ht="12.75">
      <c r="A1036" s="2" t="str">
        <f>HYPERLINK("https://ibp.a2mac1.com/costing(costing:projects/details/8191/part/5385003)","Sound Insulation")</f>
        <v>Sound Insulation</v>
      </c>
      <c r="B1036">
        <v>5385003</v>
      </c>
      <c r="C1036">
        <v>5384873</v>
      </c>
      <c r="E1036">
        <v>0.0264537</v>
      </c>
      <c r="F1036">
        <v>0</v>
      </c>
      <c r="G1036">
        <v>0</v>
      </c>
      <c r="H1036">
        <v>0.00013419119999999999</v>
      </c>
      <c r="I1036" t="s">
        <v>137</v>
      </c>
      <c r="J1036">
        <v>0.00092820000000000001</v>
      </c>
      <c r="K1036">
        <v>0.027516091199999999</v>
      </c>
      <c r="L1036">
        <v>0.00088197180636395602</v>
      </c>
      <c r="M1036">
        <v>0.0052918308381837359</v>
      </c>
      <c r="N1036">
        <v>0.032807922038183737</v>
      </c>
      <c r="O1036" t="s">
        <v>138</v>
      </c>
      <c r="P1036">
        <v>0.001650965472</v>
      </c>
      <c r="Q1036" t="s">
        <v>138</v>
      </c>
      <c r="R1036">
        <v>0.00031750985029102417</v>
      </c>
      <c r="S1036" t="s">
        <v>139</v>
      </c>
      <c r="T1036">
        <v>0.0039369506445820482</v>
      </c>
      <c r="U1036" t="s">
        <v>90</v>
      </c>
      <c r="V1036">
        <v>0</v>
      </c>
      <c r="W1036" t="s">
        <v>90</v>
      </c>
      <c r="X1036">
        <v>0</v>
      </c>
      <c r="Y1036">
        <v>0.038713348005056811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18</v>
      </c>
      <c r="AF1036">
        <v>248</v>
      </c>
      <c r="AG1036">
        <v>189</v>
      </c>
      <c r="AI1036">
        <v>0.019</v>
      </c>
      <c r="AK1036" t="s">
        <v>501</v>
      </c>
      <c r="AL1036" t="s">
        <v>2991</v>
      </c>
      <c r="AM1036">
        <v>200000</v>
      </c>
      <c r="AN1036" t="s">
        <v>76</v>
      </c>
      <c r="AO1036">
        <v>1</v>
      </c>
      <c r="AP1036">
        <v>0</v>
      </c>
      <c r="AQ1036">
        <v>16666.666666666668</v>
      </c>
      <c r="AR1036" t="s">
        <v>3784</v>
      </c>
      <c r="AS1036" t="s">
        <v>78</v>
      </c>
      <c r="AX1036" t="s">
        <v>79</v>
      </c>
      <c r="AY1036" t="s">
        <v>137</v>
      </c>
      <c r="AZ1036">
        <v>0</v>
      </c>
      <c r="BA1036" t="s">
        <v>137</v>
      </c>
      <c r="BB1036">
        <v>0</v>
      </c>
      <c r="BE1036">
        <v>0</v>
      </c>
    </row>
    <row r="1037" spans="1:58" ht="12.75">
      <c r="A1037" s="2" t="str">
        <f>HYPERLINK("https://ibp.a2mac1.com/costing(costing:projects/details/8191/part/5385004)","Horizontal Panel")</f>
        <v>Horizontal Panel</v>
      </c>
      <c r="B1037">
        <v>5385004</v>
      </c>
      <c r="C1037">
        <v>5384873</v>
      </c>
      <c r="E1037">
        <v>0.54196951199999999</v>
      </c>
      <c r="F1037">
        <v>0</v>
      </c>
      <c r="G1037">
        <v>0</v>
      </c>
      <c r="H1037">
        <v>0.0027492388277894739</v>
      </c>
      <c r="I1037" t="s">
        <v>137</v>
      </c>
      <c r="J1037">
        <v>0.019016474105263158</v>
      </c>
      <c r="K1037">
        <v>0.56373522493305261</v>
      </c>
      <c r="L1037">
        <v>0.017795039358594944</v>
      </c>
      <c r="M1037">
        <v>0.10677023615156966</v>
      </c>
      <c r="N1037">
        <v>0.67050546108462228</v>
      </c>
      <c r="O1037" t="s">
        <v>90</v>
      </c>
      <c r="P1037">
        <v>0</v>
      </c>
      <c r="Q1037" t="s">
        <v>90</v>
      </c>
      <c r="R1037">
        <v>0</v>
      </c>
      <c r="S1037" t="s">
        <v>90</v>
      </c>
      <c r="T1037">
        <v>0</v>
      </c>
      <c r="U1037" t="s">
        <v>90</v>
      </c>
      <c r="V1037">
        <v>0</v>
      </c>
      <c r="W1037" t="s">
        <v>90</v>
      </c>
      <c r="X1037">
        <v>0</v>
      </c>
      <c r="Y1037">
        <v>0.67050546108462228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93</v>
      </c>
      <c r="AF1037">
        <v>367</v>
      </c>
      <c r="AG1037">
        <v>210</v>
      </c>
      <c r="AI1037">
        <v>0.38300000000000001</v>
      </c>
      <c r="AJ1037" t="s">
        <v>685</v>
      </c>
      <c r="AK1037" t="s">
        <v>501</v>
      </c>
      <c r="AL1037" t="s">
        <v>728</v>
      </c>
      <c r="AM1037">
        <v>200000</v>
      </c>
      <c r="AN1037" t="s">
        <v>92</v>
      </c>
      <c r="AO1037">
        <v>1</v>
      </c>
      <c r="AP1037">
        <v>0</v>
      </c>
      <c r="AQ1037">
        <v>16666.666666666668</v>
      </c>
      <c r="AR1037" t="s">
        <v>3789</v>
      </c>
      <c r="AS1037" t="s">
        <v>78</v>
      </c>
      <c r="AX1037" t="s">
        <v>79</v>
      </c>
      <c r="AY1037" t="s">
        <v>137</v>
      </c>
      <c r="AZ1037">
        <v>0</v>
      </c>
      <c r="BA1037" t="s">
        <v>137</v>
      </c>
      <c r="BB1037">
        <v>0</v>
      </c>
      <c r="BE1037">
        <v>0</v>
      </c>
    </row>
    <row r="1038" spans="1:58" ht="12.75">
      <c r="A1038" s="2" t="str">
        <f>HYPERLINK("https://ibp.a2mac1.com/costing(costing:projects/details/8191/part/5385006)","Air Vent Middle Single")</f>
        <v>Air Vent Middle Single</v>
      </c>
      <c r="B1038">
        <v>5385006</v>
      </c>
      <c r="C1038">
        <v>5384874</v>
      </c>
      <c r="E1038">
        <v>5.76</v>
      </c>
      <c r="F1038">
        <v>0</v>
      </c>
      <c r="G1038">
        <v>0</v>
      </c>
      <c r="H1038">
        <v>0.029145600000000001</v>
      </c>
      <c r="I1038" t="s">
        <v>137</v>
      </c>
      <c r="J1038">
        <v>0.2016</v>
      </c>
      <c r="K1038">
        <v>5.9907456000000003</v>
      </c>
      <c r="L1038">
        <v>0.12951633490517039</v>
      </c>
      <c r="M1038">
        <v>0.77709800943102236</v>
      </c>
      <c r="N1038">
        <v>6.7678436094310221</v>
      </c>
      <c r="O1038" t="s">
        <v>90</v>
      </c>
      <c r="P1038">
        <v>0</v>
      </c>
      <c r="Q1038" t="s">
        <v>90</v>
      </c>
      <c r="R1038">
        <v>0</v>
      </c>
      <c r="S1038" t="s">
        <v>90</v>
      </c>
      <c r="T1038">
        <v>0</v>
      </c>
      <c r="U1038" t="s">
        <v>90</v>
      </c>
      <c r="V1038">
        <v>0</v>
      </c>
      <c r="W1038" t="s">
        <v>90</v>
      </c>
      <c r="X1038">
        <v>0</v>
      </c>
      <c r="Y1038">
        <v>6.7678436094310221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79</v>
      </c>
      <c r="AF1038">
        <v>311</v>
      </c>
      <c r="AG1038">
        <v>69</v>
      </c>
      <c r="AI1038">
        <v>0.23599999999999999</v>
      </c>
      <c r="AJ1038" t="s">
        <v>685</v>
      </c>
      <c r="AK1038" t="s">
        <v>501</v>
      </c>
      <c r="AL1038" t="s">
        <v>1275</v>
      </c>
      <c r="AM1038">
        <v>200000</v>
      </c>
      <c r="AN1038" t="s">
        <v>92</v>
      </c>
      <c r="AO1038">
        <v>1</v>
      </c>
      <c r="AP1038">
        <v>0</v>
      </c>
      <c r="AQ1038">
        <v>16666.666666666668</v>
      </c>
      <c r="AR1038" t="s">
        <v>3796</v>
      </c>
      <c r="AS1038" t="s">
        <v>78</v>
      </c>
      <c r="AX1038" t="s">
        <v>79</v>
      </c>
      <c r="AY1038" t="s">
        <v>137</v>
      </c>
      <c r="AZ1038">
        <v>0</v>
      </c>
      <c r="BA1038" t="s">
        <v>137</v>
      </c>
      <c r="BB1038">
        <v>0</v>
      </c>
      <c r="BE1038">
        <v>0</v>
      </c>
    </row>
    <row r="1039" spans="1:58" ht="12.75">
      <c r="A1039" s="2" t="str">
        <f>HYPERLINK("https://ibp.a2mac1.com/costing(costing:projects/details/8191/part/5385007)","Center Bezel")</f>
        <v>Center Bezel</v>
      </c>
      <c r="B1039">
        <v>5385007</v>
      </c>
      <c r="C1039">
        <v>5384874</v>
      </c>
      <c r="E1039">
        <v>0.065009951999999996</v>
      </c>
      <c r="F1039">
        <v>0</v>
      </c>
      <c r="G1039">
        <v>0</v>
      </c>
      <c r="H1039">
        <v>0.00032977479410526317</v>
      </c>
      <c r="I1039" t="s">
        <v>137</v>
      </c>
      <c r="J1039">
        <v>0.0022810509473684209</v>
      </c>
      <c r="K1039">
        <v>0.067620777741473681</v>
      </c>
      <c r="L1039">
        <v>0.0012533536800383852</v>
      </c>
      <c r="M1039">
        <v>0.0075201220802303117</v>
      </c>
      <c r="N1039">
        <v>0.075140899821703994</v>
      </c>
      <c r="O1039" t="s">
        <v>138</v>
      </c>
      <c r="P1039">
        <v>0.0040572466644884213</v>
      </c>
      <c r="Q1039" t="s">
        <v>138</v>
      </c>
      <c r="R1039">
        <v>0.00045120732481381871</v>
      </c>
      <c r="S1039" t="s">
        <v>139</v>
      </c>
      <c r="T1039">
        <v>0.0090169079786044798</v>
      </c>
      <c r="U1039" t="s">
        <v>90</v>
      </c>
      <c r="V1039">
        <v>0</v>
      </c>
      <c r="W1039" t="s">
        <v>90</v>
      </c>
      <c r="X1039">
        <v>0</v>
      </c>
      <c r="Y1039">
        <v>0.08866626178961072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28</v>
      </c>
      <c r="AF1039">
        <v>339</v>
      </c>
      <c r="AG1039">
        <v>66</v>
      </c>
      <c r="AI1039">
        <v>0.027</v>
      </c>
      <c r="AK1039" t="s">
        <v>501</v>
      </c>
      <c r="AL1039" t="s">
        <v>1275</v>
      </c>
      <c r="AM1039">
        <v>200000</v>
      </c>
      <c r="AN1039" t="s">
        <v>76</v>
      </c>
      <c r="AO1039">
        <v>1</v>
      </c>
      <c r="AP1039">
        <v>0</v>
      </c>
      <c r="AQ1039">
        <v>16666.666666666668</v>
      </c>
      <c r="AR1039" t="s">
        <v>3799</v>
      </c>
      <c r="AS1039" t="s">
        <v>78</v>
      </c>
      <c r="AX1039" t="s">
        <v>79</v>
      </c>
      <c r="AY1039" t="s">
        <v>137</v>
      </c>
      <c r="AZ1039">
        <v>0</v>
      </c>
      <c r="BA1039" t="s">
        <v>137</v>
      </c>
      <c r="BB1039">
        <v>0</v>
      </c>
      <c r="BE1039">
        <v>0</v>
      </c>
    </row>
    <row r="1040" spans="1:58" ht="12.75">
      <c r="A1040" s="2" t="str">
        <f>HYPERLINK("https://ibp.a2mac1.com/costing(costing:projects/details/8191/part/5385008)","Air Vent")</f>
        <v>Air Vent</v>
      </c>
      <c r="B1040">
        <v>5385008</v>
      </c>
      <c r="C1040">
        <v>5384875</v>
      </c>
      <c r="E1040">
        <v>9.67</v>
      </c>
      <c r="F1040">
        <v>0</v>
      </c>
      <c r="G1040">
        <v>0</v>
      </c>
      <c r="H1040">
        <v>0.0489302</v>
      </c>
      <c r="I1040" t="s">
        <v>137</v>
      </c>
      <c r="J1040">
        <v>0.33844999999999997</v>
      </c>
      <c r="K1040">
        <v>10.057380200000001</v>
      </c>
      <c r="L1040">
        <v>0.22311877268167404</v>
      </c>
      <c r="M1040">
        <v>1.3387126360900441</v>
      </c>
      <c r="N1040">
        <v>11.396092836090045</v>
      </c>
      <c r="O1040" t="s">
        <v>90</v>
      </c>
      <c r="P1040">
        <v>0</v>
      </c>
      <c r="Q1040" t="s">
        <v>90</v>
      </c>
      <c r="R1040">
        <v>0</v>
      </c>
      <c r="S1040" t="s">
        <v>90</v>
      </c>
      <c r="T1040">
        <v>0</v>
      </c>
      <c r="U1040" t="s">
        <v>90</v>
      </c>
      <c r="V1040">
        <v>0</v>
      </c>
      <c r="W1040" t="s">
        <v>90</v>
      </c>
      <c r="X1040">
        <v>0</v>
      </c>
      <c r="Y1040">
        <v>11.396092836090045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111</v>
      </c>
      <c r="AF1040">
        <v>1071</v>
      </c>
      <c r="AG1040">
        <v>91</v>
      </c>
      <c r="AI1040">
        <v>0.40799999999999997</v>
      </c>
      <c r="AJ1040" t="s">
        <v>685</v>
      </c>
      <c r="AK1040" t="s">
        <v>501</v>
      </c>
      <c r="AL1040" t="s">
        <v>3804</v>
      </c>
      <c r="AM1040">
        <v>200000</v>
      </c>
      <c r="AN1040" t="s">
        <v>92</v>
      </c>
      <c r="AO1040">
        <v>1</v>
      </c>
      <c r="AP1040">
        <v>0</v>
      </c>
      <c r="AQ1040">
        <v>16666.666666666668</v>
      </c>
      <c r="AR1040" t="s">
        <v>3805</v>
      </c>
      <c r="AS1040" t="s">
        <v>78</v>
      </c>
      <c r="AX1040" t="s">
        <v>79</v>
      </c>
      <c r="AY1040" t="s">
        <v>137</v>
      </c>
      <c r="AZ1040">
        <v>0</v>
      </c>
      <c r="BA1040" t="s">
        <v>137</v>
      </c>
      <c r="BB1040">
        <v>0</v>
      </c>
      <c r="BE1040">
        <v>0</v>
      </c>
    </row>
    <row r="1041" spans="1:58" ht="12.75">
      <c r="A1041" s="2" t="str">
        <f>HYPERLINK("https://ibp.a2mac1.com/costing(costing:projects/details/8191/part/5385033)","Bezel")</f>
        <v>Bezel</v>
      </c>
      <c r="B1041">
        <v>5385033</v>
      </c>
      <c r="C1041">
        <v>5384875</v>
      </c>
      <c r="E1041">
        <v>0.062602175999999995</v>
      </c>
      <c r="F1041">
        <v>0</v>
      </c>
      <c r="G1041">
        <v>0</v>
      </c>
      <c r="H1041">
        <v>0.00031756091284210528</v>
      </c>
      <c r="I1041" t="s">
        <v>137</v>
      </c>
      <c r="J1041">
        <v>0.0021965675789473683</v>
      </c>
      <c r="K1041">
        <v>0.06511630449178947</v>
      </c>
      <c r="L1041">
        <v>0.0012069301251560023</v>
      </c>
      <c r="M1041">
        <v>0.007241580750936014</v>
      </c>
      <c r="N1041">
        <v>0.072357885242725489</v>
      </c>
      <c r="O1041" t="s">
        <v>138</v>
      </c>
      <c r="P1041">
        <v>0.003906978269507368</v>
      </c>
      <c r="Q1041" t="s">
        <v>138</v>
      </c>
      <c r="R1041">
        <v>0.00043449484505616079</v>
      </c>
      <c r="S1041" t="s">
        <v>139</v>
      </c>
      <c r="T1041">
        <v>0.008682946229127058</v>
      </c>
      <c r="U1041" t="s">
        <v>90</v>
      </c>
      <c r="V1041">
        <v>0</v>
      </c>
      <c r="W1041" t="s">
        <v>90</v>
      </c>
      <c r="X1041">
        <v>0</v>
      </c>
      <c r="Y1041">
        <v>0.085382304586416075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30</v>
      </c>
      <c r="AF1041">
        <v>220</v>
      </c>
      <c r="AG1041">
        <v>61</v>
      </c>
      <c r="AI1041">
        <v>0.025999999999999999</v>
      </c>
      <c r="AK1041" t="s">
        <v>501</v>
      </c>
      <c r="AL1041" t="s">
        <v>1275</v>
      </c>
      <c r="AM1041">
        <v>200000</v>
      </c>
      <c r="AN1041" t="s">
        <v>76</v>
      </c>
      <c r="AO1041">
        <v>1</v>
      </c>
      <c r="AP1041">
        <v>0</v>
      </c>
      <c r="AQ1041">
        <v>16666.666666666668</v>
      </c>
      <c r="AR1041" t="s">
        <v>3808</v>
      </c>
      <c r="AS1041" t="s">
        <v>78</v>
      </c>
      <c r="AX1041" t="s">
        <v>79</v>
      </c>
      <c r="AY1041" t="s">
        <v>137</v>
      </c>
      <c r="AZ1041">
        <v>0</v>
      </c>
      <c r="BA1041" t="s">
        <v>137</v>
      </c>
      <c r="BB1041">
        <v>0</v>
      </c>
      <c r="BE1041">
        <v>0</v>
      </c>
    </row>
    <row r="1042" spans="1:58" ht="12.75">
      <c r="A1042" s="2" t="str">
        <f>HYPERLINK("https://ibp.a2mac1.com/costing(costing:projects/details/8191/part/5385034)","Air Vent")</f>
        <v>Air Vent</v>
      </c>
      <c r="B1042">
        <v>5385034</v>
      </c>
      <c r="C1042">
        <v>5384876</v>
      </c>
      <c r="E1042">
        <v>3.69</v>
      </c>
      <c r="F1042">
        <v>0</v>
      </c>
      <c r="G1042">
        <v>0</v>
      </c>
      <c r="H1042">
        <v>0.018671400000000001</v>
      </c>
      <c r="I1042" t="s">
        <v>137</v>
      </c>
      <c r="J1042">
        <v>0.12914999999999999</v>
      </c>
      <c r="K1042">
        <v>3.8378214000000002</v>
      </c>
      <c r="L1042">
        <v>0.083598157882734656</v>
      </c>
      <c r="M1042">
        <v>0.50158894729640791</v>
      </c>
      <c r="N1042">
        <v>4.3394103472964076</v>
      </c>
      <c r="O1042" t="s">
        <v>90</v>
      </c>
      <c r="P1042">
        <v>0</v>
      </c>
      <c r="Q1042" t="s">
        <v>90</v>
      </c>
      <c r="R1042">
        <v>0</v>
      </c>
      <c r="S1042" t="s">
        <v>90</v>
      </c>
      <c r="T1042">
        <v>0</v>
      </c>
      <c r="U1042" t="s">
        <v>90</v>
      </c>
      <c r="V1042">
        <v>0</v>
      </c>
      <c r="W1042" t="s">
        <v>90</v>
      </c>
      <c r="X1042">
        <v>0</v>
      </c>
      <c r="Y1042">
        <v>4.3394103472964076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111</v>
      </c>
      <c r="AF1042">
        <v>1071</v>
      </c>
      <c r="AG1042">
        <v>91</v>
      </c>
      <c r="AI1042">
        <v>0.40799999999999997</v>
      </c>
      <c r="AJ1042" t="s">
        <v>685</v>
      </c>
      <c r="AK1042" t="s">
        <v>501</v>
      </c>
      <c r="AL1042" t="s">
        <v>3804</v>
      </c>
      <c r="AM1042">
        <v>200000</v>
      </c>
      <c r="AN1042" t="s">
        <v>92</v>
      </c>
      <c r="AO1042">
        <v>1</v>
      </c>
      <c r="AP1042">
        <v>0</v>
      </c>
      <c r="AQ1042">
        <v>16666.666666666668</v>
      </c>
      <c r="AR1042" t="s">
        <v>3813</v>
      </c>
      <c r="AS1042" t="s">
        <v>78</v>
      </c>
      <c r="AX1042" t="s">
        <v>79</v>
      </c>
      <c r="AY1042" t="s">
        <v>137</v>
      </c>
      <c r="AZ1042">
        <v>0</v>
      </c>
      <c r="BA1042" t="s">
        <v>137</v>
      </c>
      <c r="BB1042">
        <v>0</v>
      </c>
      <c r="BE1042">
        <v>0</v>
      </c>
    </row>
    <row r="1043" spans="1:58" ht="12.75">
      <c r="A1043" s="2" t="str">
        <f>HYPERLINK("https://ibp.a2mac1.com/costing(costing:projects/details/8191/part/5385035)","Bezel")</f>
        <v>Bezel</v>
      </c>
      <c r="B1043">
        <v>5385035</v>
      </c>
      <c r="C1043">
        <v>5384876</v>
      </c>
      <c r="E1043">
        <v>0.095927875999999995</v>
      </c>
      <c r="F1043">
        <v>0</v>
      </c>
      <c r="G1043">
        <v>0</v>
      </c>
      <c r="H1043">
        <v>0.0012962925764210527</v>
      </c>
      <c r="I1043" t="s">
        <v>137</v>
      </c>
      <c r="J1043">
        <v>0.0033629670789473683</v>
      </c>
      <c r="K1043">
        <v>0.10058713565536842</v>
      </c>
      <c r="L1043">
        <v>0.085575541208531655</v>
      </c>
      <c r="M1043">
        <v>0.51345324725119001</v>
      </c>
      <c r="N1043">
        <v>0.61404038290655838</v>
      </c>
      <c r="O1043" t="s">
        <v>138</v>
      </c>
      <c r="P1043">
        <v>0.0060352281393221052</v>
      </c>
      <c r="Q1043" t="s">
        <v>138</v>
      </c>
      <c r="R1043">
        <v>0.030807194835071397</v>
      </c>
      <c r="S1043" t="s">
        <v>139</v>
      </c>
      <c r="T1043">
        <v>0.073684845948787006</v>
      </c>
      <c r="U1043" t="s">
        <v>90</v>
      </c>
      <c r="V1043">
        <v>0</v>
      </c>
      <c r="W1043" t="s">
        <v>90</v>
      </c>
      <c r="X1043">
        <v>0</v>
      </c>
      <c r="Y1043">
        <v>0.72456765182973892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30</v>
      </c>
      <c r="AF1043">
        <v>220</v>
      </c>
      <c r="AG1043">
        <v>61</v>
      </c>
      <c r="AI1043">
        <v>0.025999999999999999</v>
      </c>
      <c r="AK1043" t="s">
        <v>501</v>
      </c>
      <c r="AL1043" t="s">
        <v>1275</v>
      </c>
      <c r="AM1043">
        <v>200000</v>
      </c>
      <c r="AN1043" t="s">
        <v>76</v>
      </c>
      <c r="AO1043">
        <v>1</v>
      </c>
      <c r="AP1043">
        <v>0</v>
      </c>
      <c r="AQ1043">
        <v>16666.666666666668</v>
      </c>
      <c r="AR1043" t="s">
        <v>3820</v>
      </c>
      <c r="AS1043" t="s">
        <v>78</v>
      </c>
      <c r="AX1043" t="s">
        <v>79</v>
      </c>
      <c r="AY1043" t="s">
        <v>137</v>
      </c>
      <c r="AZ1043">
        <v>0</v>
      </c>
      <c r="BA1043" t="s">
        <v>137</v>
      </c>
      <c r="BB1043">
        <v>0</v>
      </c>
      <c r="BE1043">
        <v>0</v>
      </c>
    </row>
    <row r="1044" spans="1:58" ht="12.75">
      <c r="A1044" s="2" t="str">
        <f>HYPERLINK("https://ibp.a2mac1.com/costing(costing:projects/details/8191/part/5385036)","Center Grille")</f>
        <v>Center Grille</v>
      </c>
      <c r="B1044">
        <v>5385036</v>
      </c>
      <c r="C1044">
        <v>5384878</v>
      </c>
      <c r="E1044">
        <v>0.29527999999999999</v>
      </c>
      <c r="F1044">
        <v>0</v>
      </c>
      <c r="G1044">
        <v>0</v>
      </c>
      <c r="H1044">
        <v>0</v>
      </c>
      <c r="I1044" t="s">
        <v>74</v>
      </c>
      <c r="J1044">
        <v>0</v>
      </c>
      <c r="K1044">
        <v>0.29527999999999999</v>
      </c>
      <c r="L1044">
        <v>0</v>
      </c>
      <c r="M1044">
        <v>0</v>
      </c>
      <c r="N1044">
        <v>0.29527999999999999</v>
      </c>
      <c r="O1044" t="s">
        <v>74</v>
      </c>
      <c r="P1044">
        <v>0</v>
      </c>
      <c r="Q1044" t="s">
        <v>74</v>
      </c>
      <c r="R1044">
        <v>0</v>
      </c>
      <c r="S1044" t="s">
        <v>74</v>
      </c>
      <c r="T1044">
        <v>0</v>
      </c>
      <c r="U1044" t="s">
        <v>74</v>
      </c>
      <c r="V1044">
        <v>0</v>
      </c>
      <c r="W1044" t="s">
        <v>74</v>
      </c>
      <c r="X1044">
        <v>0</v>
      </c>
      <c r="Y1044">
        <v>0.29527999999999999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109</v>
      </c>
      <c r="AF1044">
        <v>320</v>
      </c>
      <c r="AG1044">
        <v>13</v>
      </c>
      <c r="AI1044">
        <v>0.072999999999999995</v>
      </c>
      <c r="AK1044" t="s">
        <v>501</v>
      </c>
      <c r="AL1044" t="s">
        <v>728</v>
      </c>
      <c r="AM1044">
        <v>200000</v>
      </c>
      <c r="AN1044" t="s">
        <v>76</v>
      </c>
      <c r="AO1044">
        <v>1</v>
      </c>
      <c r="AP1044">
        <v>0</v>
      </c>
      <c r="AQ1044">
        <v>16666.666666666668</v>
      </c>
      <c r="AR1044" t="s">
        <v>3825</v>
      </c>
      <c r="AS1044" t="s">
        <v>78</v>
      </c>
      <c r="AX1044" t="s">
        <v>79</v>
      </c>
      <c r="AY1044" t="s">
        <v>74</v>
      </c>
      <c r="AZ1044">
        <v>0</v>
      </c>
      <c r="BA1044" t="s">
        <v>74</v>
      </c>
      <c r="BB1044">
        <v>0</v>
      </c>
      <c r="BD1044">
        <v>0.29527999999999999</v>
      </c>
      <c r="BE1044">
        <v>0</v>
      </c>
    </row>
    <row r="1045" spans="1:58" ht="12.75">
      <c r="A1045" s="2" t="str">
        <f>HYPERLINK("https://ibp.a2mac1.com/costing(costing:projects/details/8191/part/5384877)","Center Speaker")</f>
        <v>Center Speaker</v>
      </c>
      <c r="B1045">
        <v>5384877</v>
      </c>
      <c r="C1045">
        <v>5384808</v>
      </c>
      <c r="E1045">
        <v>1.54098</v>
      </c>
      <c r="F1045">
        <v>0</v>
      </c>
      <c r="G1045">
        <v>0</v>
      </c>
      <c r="H1045">
        <v>0</v>
      </c>
      <c r="I1045" t="s">
        <v>74</v>
      </c>
      <c r="J1045">
        <v>0</v>
      </c>
      <c r="K1045">
        <v>1.54098</v>
      </c>
      <c r="L1045">
        <v>0</v>
      </c>
      <c r="M1045">
        <v>0</v>
      </c>
      <c r="N1045">
        <v>1.54098</v>
      </c>
      <c r="O1045" t="s">
        <v>74</v>
      </c>
      <c r="P1045">
        <v>0</v>
      </c>
      <c r="Q1045" t="s">
        <v>74</v>
      </c>
      <c r="R1045">
        <v>0</v>
      </c>
      <c r="S1045" t="s">
        <v>74</v>
      </c>
      <c r="T1045">
        <v>0</v>
      </c>
      <c r="U1045" t="s">
        <v>74</v>
      </c>
      <c r="V1045">
        <v>0</v>
      </c>
      <c r="W1045" t="s">
        <v>74</v>
      </c>
      <c r="X1045">
        <v>0</v>
      </c>
      <c r="Y1045">
        <v>1.54098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103</v>
      </c>
      <c r="AF1045">
        <v>90</v>
      </c>
      <c r="AG1045">
        <v>41</v>
      </c>
      <c r="AI1045">
        <v>0.23100000000000001</v>
      </c>
      <c r="AJ1045" t="s">
        <v>3827</v>
      </c>
      <c r="AK1045" t="s">
        <v>686</v>
      </c>
      <c r="AL1045" t="s">
        <v>3828</v>
      </c>
      <c r="AM1045">
        <v>200000</v>
      </c>
      <c r="AN1045" t="s">
        <v>76</v>
      </c>
      <c r="AO1045">
        <v>1</v>
      </c>
      <c r="AP1045">
        <v>0</v>
      </c>
      <c r="AQ1045">
        <v>16666.666666666668</v>
      </c>
      <c r="AR1045" t="s">
        <v>3829</v>
      </c>
      <c r="AS1045" t="s">
        <v>78</v>
      </c>
      <c r="AX1045" t="s">
        <v>79</v>
      </c>
      <c r="AY1045" t="s">
        <v>74</v>
      </c>
      <c r="AZ1045">
        <v>0</v>
      </c>
      <c r="BA1045" t="s">
        <v>74</v>
      </c>
      <c r="BB1045">
        <v>0</v>
      </c>
      <c r="BD1045">
        <v>1.54098</v>
      </c>
      <c r="BE1045">
        <v>0</v>
      </c>
    </row>
    <row r="1046" spans="1:58" ht="12.75">
      <c r="A1046" s="2" t="str">
        <f>HYPERLINK("https://ibp.a2mac1.com/costing(costing:projects/details/8191/part/5384879)","Driver Side")</f>
        <v>Driver Side</v>
      </c>
      <c r="B1046">
        <v>5384879</v>
      </c>
      <c r="C1046">
        <v>5384809</v>
      </c>
      <c r="E1046">
        <v>0.107544864</v>
      </c>
      <c r="F1046">
        <v>0</v>
      </c>
      <c r="G1046">
        <v>0</v>
      </c>
      <c r="H1046">
        <v>0.00054554086399999997</v>
      </c>
      <c r="I1046" t="s">
        <v>137</v>
      </c>
      <c r="J1046">
        <v>0.003773504</v>
      </c>
      <c r="K1046">
        <v>0.11186390886399999</v>
      </c>
      <c r="L1046">
        <v>0.0035283951048529147</v>
      </c>
      <c r="M1046">
        <v>0.021170370629117488</v>
      </c>
      <c r="N1046">
        <v>0.1330342794931175</v>
      </c>
      <c r="O1046" t="s">
        <v>90</v>
      </c>
      <c r="P1046">
        <v>0</v>
      </c>
      <c r="Q1046" t="s">
        <v>90</v>
      </c>
      <c r="R1046">
        <v>0</v>
      </c>
      <c r="S1046" t="s">
        <v>90</v>
      </c>
      <c r="T1046">
        <v>0</v>
      </c>
      <c r="U1046" t="s">
        <v>90</v>
      </c>
      <c r="V1046">
        <v>0</v>
      </c>
      <c r="W1046" t="s">
        <v>90</v>
      </c>
      <c r="X1046">
        <v>0</v>
      </c>
      <c r="Y1046">
        <v>0.1330342794931175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28</v>
      </c>
      <c r="AF1046">
        <v>165</v>
      </c>
      <c r="AG1046">
        <v>150</v>
      </c>
      <c r="AI1046">
        <v>0.075999999999999998</v>
      </c>
      <c r="AJ1046" t="s">
        <v>685</v>
      </c>
      <c r="AK1046" t="s">
        <v>501</v>
      </c>
      <c r="AL1046" t="s">
        <v>728</v>
      </c>
      <c r="AM1046">
        <v>200000</v>
      </c>
      <c r="AN1046" t="s">
        <v>92</v>
      </c>
      <c r="AO1046">
        <v>1</v>
      </c>
      <c r="AP1046">
        <v>0</v>
      </c>
      <c r="AQ1046">
        <v>16666.666666666668</v>
      </c>
      <c r="AR1046" t="s">
        <v>3834</v>
      </c>
      <c r="AS1046" t="s">
        <v>78</v>
      </c>
      <c r="AX1046" t="s">
        <v>79</v>
      </c>
      <c r="AY1046" t="s">
        <v>137</v>
      </c>
      <c r="AZ1046">
        <v>0</v>
      </c>
      <c r="BA1046" t="s">
        <v>137</v>
      </c>
      <c r="BB1046">
        <v>0</v>
      </c>
      <c r="BE1046">
        <v>0</v>
      </c>
    </row>
    <row r="1047" spans="1:58" ht="12.75">
      <c r="A1047" s="2" t="str">
        <f>HYPERLINK("https://ibp.a2mac1.com/costing(costing:projects/details/8191/part/5384880)","Fuse Box Trap Support")</f>
        <v>Fuse Box Trap Support</v>
      </c>
      <c r="B1047">
        <v>5384880</v>
      </c>
      <c r="C1047">
        <v>5384809</v>
      </c>
      <c r="E1047">
        <v>0.090564095999999997</v>
      </c>
      <c r="F1047">
        <v>0</v>
      </c>
      <c r="G1047">
        <v>0</v>
      </c>
      <c r="H1047">
        <v>0.00045940283284210526</v>
      </c>
      <c r="I1047" t="s">
        <v>137</v>
      </c>
      <c r="J1047">
        <v>0.0031776875789473686</v>
      </c>
      <c r="K1047">
        <v>0.09420118641178947</v>
      </c>
      <c r="L1047">
        <v>0.0029711900487364882</v>
      </c>
      <c r="M1047">
        <v>0.017827140292418931</v>
      </c>
      <c r="N1047">
        <v>0.1120283267042084</v>
      </c>
      <c r="O1047" t="s">
        <v>90</v>
      </c>
      <c r="P1047">
        <v>0</v>
      </c>
      <c r="Q1047" t="s">
        <v>90</v>
      </c>
      <c r="R1047">
        <v>0</v>
      </c>
      <c r="S1047" t="s">
        <v>90</v>
      </c>
      <c r="T1047">
        <v>0</v>
      </c>
      <c r="U1047" t="s">
        <v>90</v>
      </c>
      <c r="V1047">
        <v>0</v>
      </c>
      <c r="W1047" t="s">
        <v>90</v>
      </c>
      <c r="X1047">
        <v>0</v>
      </c>
      <c r="Y1047">
        <v>0.1120283267042084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16</v>
      </c>
      <c r="AF1047">
        <v>150</v>
      </c>
      <c r="AG1047">
        <v>138</v>
      </c>
      <c r="AI1047">
        <v>0.064000000000000001</v>
      </c>
      <c r="AJ1047" t="s">
        <v>685</v>
      </c>
      <c r="AK1047" t="s">
        <v>501</v>
      </c>
      <c r="AL1047" t="s">
        <v>728</v>
      </c>
      <c r="AM1047">
        <v>200000</v>
      </c>
      <c r="AN1047" t="s">
        <v>92</v>
      </c>
      <c r="AO1047">
        <v>1</v>
      </c>
      <c r="AP1047">
        <v>0</v>
      </c>
      <c r="AQ1047">
        <v>16666.666666666668</v>
      </c>
      <c r="AR1047" t="s">
        <v>3839</v>
      </c>
      <c r="AS1047" t="s">
        <v>78</v>
      </c>
      <c r="AX1047" t="s">
        <v>79</v>
      </c>
      <c r="AY1047" t="s">
        <v>137</v>
      </c>
      <c r="AZ1047">
        <v>0</v>
      </c>
      <c r="BA1047" t="s">
        <v>137</v>
      </c>
      <c r="BB1047">
        <v>0</v>
      </c>
      <c r="BE1047">
        <v>0</v>
      </c>
    </row>
    <row r="1048" spans="1:58" ht="12.75">
      <c r="A1048" s="2" t="str">
        <f>HYPERLINK("https://ibp.a2mac1.com/costing(costing:projects/details/8191/part/5384881)","Light")</f>
        <v>Light</v>
      </c>
      <c r="B1048">
        <v>5384881</v>
      </c>
      <c r="C1048">
        <v>5384810</v>
      </c>
      <c r="E1048">
        <v>1.2918400000000001</v>
      </c>
      <c r="F1048">
        <v>0</v>
      </c>
      <c r="G1048">
        <v>0</v>
      </c>
      <c r="H1048">
        <v>0</v>
      </c>
      <c r="I1048" t="s">
        <v>74</v>
      </c>
      <c r="J1048">
        <v>0</v>
      </c>
      <c r="K1048">
        <v>1.2918400000000001</v>
      </c>
      <c r="L1048">
        <v>0</v>
      </c>
      <c r="M1048">
        <v>0</v>
      </c>
      <c r="N1048">
        <v>1.2918400000000001</v>
      </c>
      <c r="O1048" t="s">
        <v>74</v>
      </c>
      <c r="P1048">
        <v>0</v>
      </c>
      <c r="Q1048" t="s">
        <v>74</v>
      </c>
      <c r="R1048">
        <v>0</v>
      </c>
      <c r="S1048" t="s">
        <v>74</v>
      </c>
      <c r="T1048">
        <v>0</v>
      </c>
      <c r="U1048" t="s">
        <v>74</v>
      </c>
      <c r="V1048">
        <v>0</v>
      </c>
      <c r="W1048" t="s">
        <v>74</v>
      </c>
      <c r="X1048">
        <v>0</v>
      </c>
      <c r="Y1048">
        <v>1.2918400000000001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17</v>
      </c>
      <c r="AF1048">
        <v>15</v>
      </c>
      <c r="AG1048">
        <v>42</v>
      </c>
      <c r="AI1048">
        <v>0.0030000000000000001</v>
      </c>
      <c r="AJ1048" t="s">
        <v>685</v>
      </c>
      <c r="AK1048" t="s">
        <v>598</v>
      </c>
      <c r="AL1048" t="s">
        <v>1267</v>
      </c>
      <c r="AM1048">
        <v>400000</v>
      </c>
      <c r="AN1048" t="s">
        <v>76</v>
      </c>
      <c r="AO1048">
        <v>2</v>
      </c>
      <c r="AP1048">
        <v>0</v>
      </c>
      <c r="AQ1048">
        <v>33333.333333333336</v>
      </c>
      <c r="AR1048" t="s">
        <v>3842</v>
      </c>
      <c r="AS1048" t="s">
        <v>78</v>
      </c>
      <c r="AX1048" t="s">
        <v>79</v>
      </c>
      <c r="AY1048" t="s">
        <v>74</v>
      </c>
      <c r="AZ1048">
        <v>0</v>
      </c>
      <c r="BA1048" t="s">
        <v>74</v>
      </c>
      <c r="BB1048">
        <v>0</v>
      </c>
      <c r="BD1048">
        <v>0.64592000000000005</v>
      </c>
      <c r="BE1048">
        <v>0</v>
      </c>
    </row>
    <row r="1049" spans="1:58" ht="12.75">
      <c r="A1049" s="2" t="str">
        <f>HYPERLINK("https://ibp.a2mac1.com/costing(costing:projects/details/8191/part/5384799)","Dashboard")</f>
        <v>Dashboard</v>
      </c>
      <c r="B1049">
        <v>5384799</v>
      </c>
      <c r="C1049">
        <v>5384795</v>
      </c>
      <c r="E1049">
        <v>14.075143852352941</v>
      </c>
      <c r="F1049">
        <v>0</v>
      </c>
      <c r="G1049">
        <v>0</v>
      </c>
      <c r="H1049">
        <v>0.072015477884705886</v>
      </c>
      <c r="I1049" t="s">
        <v>137</v>
      </c>
      <c r="J1049">
        <v>0.49813077588235294</v>
      </c>
      <c r="K1049">
        <v>14.645290106119999</v>
      </c>
      <c r="L1049">
        <v>0.39352044197891867</v>
      </c>
      <c r="M1049">
        <v>2.361122651873512</v>
      </c>
      <c r="N1049">
        <v>17.006412757993512</v>
      </c>
      <c r="O1049" t="s">
        <v>90</v>
      </c>
      <c r="P1049">
        <v>0</v>
      </c>
      <c r="Q1049" t="s">
        <v>90</v>
      </c>
      <c r="R1049">
        <v>0</v>
      </c>
      <c r="S1049" t="s">
        <v>90</v>
      </c>
      <c r="T1049">
        <v>0</v>
      </c>
      <c r="U1049" t="s">
        <v>90</v>
      </c>
      <c r="V1049">
        <v>0</v>
      </c>
      <c r="W1049" t="s">
        <v>90</v>
      </c>
      <c r="X1049">
        <v>0</v>
      </c>
      <c r="Y1049">
        <v>17.006412757993512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698</v>
      </c>
      <c r="AF1049">
        <v>1445</v>
      </c>
      <c r="AG1049">
        <v>425</v>
      </c>
      <c r="AI1049">
        <v>8.3889999999999993</v>
      </c>
      <c r="AJ1049" t="s">
        <v>685</v>
      </c>
      <c r="AK1049" t="s">
        <v>501</v>
      </c>
      <c r="AL1049" t="s">
        <v>3850</v>
      </c>
      <c r="AM1049">
        <v>200000</v>
      </c>
      <c r="AN1049" t="s">
        <v>92</v>
      </c>
      <c r="AO1049">
        <v>1</v>
      </c>
      <c r="AP1049">
        <v>0</v>
      </c>
      <c r="AQ1049">
        <v>16666.666666666668</v>
      </c>
      <c r="AR1049" t="s">
        <v>3851</v>
      </c>
      <c r="AS1049" t="s">
        <v>78</v>
      </c>
      <c r="AX1049" t="s">
        <v>79</v>
      </c>
      <c r="AY1049" t="s">
        <v>137</v>
      </c>
      <c r="AZ1049">
        <v>0</v>
      </c>
      <c r="BA1049" t="s">
        <v>137</v>
      </c>
      <c r="BB1049">
        <v>0</v>
      </c>
      <c r="BE1049">
        <v>0</v>
      </c>
    </row>
    <row r="1050" spans="1:58" ht="12.75">
      <c r="A1050" s="2" t="str">
        <f>HYPERLINK("https://ibp.a2mac1.com/costing(costing:projects/details/8191/part/5384800)","IP System Guide")</f>
        <v>IP System Guide</v>
      </c>
      <c r="B1050">
        <v>5384800</v>
      </c>
      <c r="C1050">
        <v>5384795</v>
      </c>
      <c r="E1050">
        <v>0.055571585894999997</v>
      </c>
      <c r="F1050">
        <v>0</v>
      </c>
      <c r="G1050">
        <v>0</v>
      </c>
      <c r="H1050">
        <v>0.00028078274978526316</v>
      </c>
      <c r="I1050" t="s">
        <v>137</v>
      </c>
      <c r="J1050">
        <v>0.0019498802068421053</v>
      </c>
      <c r="K1050">
        <v>0.057802248851627366</v>
      </c>
      <c r="L1050">
        <v>0.00087917902080290097</v>
      </c>
      <c r="M1050">
        <v>0.0052750741248174058</v>
      </c>
      <c r="N1050">
        <v>0.063077322976444777</v>
      </c>
      <c r="O1050" t="s">
        <v>90</v>
      </c>
      <c r="P1050">
        <v>0</v>
      </c>
      <c r="Q1050" t="s">
        <v>90</v>
      </c>
      <c r="R1050">
        <v>0</v>
      </c>
      <c r="S1050" t="s">
        <v>90</v>
      </c>
      <c r="T1050">
        <v>0</v>
      </c>
      <c r="U1050" t="s">
        <v>90</v>
      </c>
      <c r="V1050">
        <v>0</v>
      </c>
      <c r="W1050" t="s">
        <v>90</v>
      </c>
      <c r="X1050">
        <v>0</v>
      </c>
      <c r="Y1050">
        <v>0.063077322976444777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42</v>
      </c>
      <c r="AF1050">
        <v>35</v>
      </c>
      <c r="AG1050">
        <v>16</v>
      </c>
      <c r="AI1050">
        <v>0.0063299999999999997</v>
      </c>
      <c r="AJ1050" t="s">
        <v>685</v>
      </c>
      <c r="AK1050" t="s">
        <v>501</v>
      </c>
      <c r="AL1050" t="s">
        <v>3856</v>
      </c>
      <c r="AM1050">
        <v>600000</v>
      </c>
      <c r="AN1050" t="s">
        <v>92</v>
      </c>
      <c r="AO1050">
        <v>3</v>
      </c>
      <c r="AP1050">
        <v>0</v>
      </c>
      <c r="AQ1050">
        <v>50000</v>
      </c>
      <c r="AR1050" t="s">
        <v>3857</v>
      </c>
      <c r="AS1050" t="s">
        <v>78</v>
      </c>
      <c r="AX1050" t="s">
        <v>79</v>
      </c>
      <c r="AY1050" t="s">
        <v>137</v>
      </c>
      <c r="AZ1050">
        <v>0</v>
      </c>
      <c r="BA1050" t="s">
        <v>137</v>
      </c>
      <c r="BB1050">
        <v>0</v>
      </c>
      <c r="BE1050">
        <v>0</v>
      </c>
    </row>
    <row r="1051" spans="1:58" ht="12.75">
      <c r="A1051" s="2" t="str">
        <f>HYPERLINK("https://ibp.a2mac1.com/costing(costing:projects/details/8191/part/5384801)","Diagnostic Plug Support")</f>
        <v>Diagnostic Plug Support</v>
      </c>
      <c r="B1051">
        <v>5384801</v>
      </c>
      <c r="C1051">
        <v>5384795</v>
      </c>
      <c r="E1051">
        <v>0.032582465999999997</v>
      </c>
      <c r="F1051">
        <v>0</v>
      </c>
      <c r="G1051">
        <v>0</v>
      </c>
      <c r="H1051">
        <v>0.00016528047915789475</v>
      </c>
      <c r="I1051" t="s">
        <v>137</v>
      </c>
      <c r="J1051">
        <v>0.0011432444210526316</v>
      </c>
      <c r="K1051">
        <v>0.033890990900210527</v>
      </c>
      <c r="L1051">
        <v>0.00083555012730575438</v>
      </c>
      <c r="M1051">
        <v>0.0050133007638345261</v>
      </c>
      <c r="N1051">
        <v>0.038904291664045056</v>
      </c>
      <c r="O1051" t="s">
        <v>90</v>
      </c>
      <c r="P1051">
        <v>0</v>
      </c>
      <c r="Q1051" t="s">
        <v>90</v>
      </c>
      <c r="R1051">
        <v>0</v>
      </c>
      <c r="S1051" t="s">
        <v>90</v>
      </c>
      <c r="T1051">
        <v>0</v>
      </c>
      <c r="U1051" t="s">
        <v>90</v>
      </c>
      <c r="V1051">
        <v>0</v>
      </c>
      <c r="W1051" t="s">
        <v>90</v>
      </c>
      <c r="X1051">
        <v>0</v>
      </c>
      <c r="Y1051">
        <v>0.038904291664045056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56</v>
      </c>
      <c r="AF1051">
        <v>50</v>
      </c>
      <c r="AG1051">
        <v>61</v>
      </c>
      <c r="AI1051">
        <v>0.017999999999999999</v>
      </c>
      <c r="AJ1051" t="s">
        <v>685</v>
      </c>
      <c r="AK1051" t="s">
        <v>501</v>
      </c>
      <c r="AL1051" t="s">
        <v>1261</v>
      </c>
      <c r="AM1051">
        <v>200000</v>
      </c>
      <c r="AN1051" t="s">
        <v>92</v>
      </c>
      <c r="AO1051">
        <v>1</v>
      </c>
      <c r="AP1051">
        <v>0</v>
      </c>
      <c r="AQ1051">
        <v>16666.666666666668</v>
      </c>
      <c r="AR1051" t="s">
        <v>3860</v>
      </c>
      <c r="AS1051" t="s">
        <v>78</v>
      </c>
      <c r="AX1051" t="s">
        <v>79</v>
      </c>
      <c r="AY1051" t="s">
        <v>137</v>
      </c>
      <c r="AZ1051">
        <v>0</v>
      </c>
      <c r="BA1051" t="s">
        <v>137</v>
      </c>
      <c r="BB1051">
        <v>0</v>
      </c>
      <c r="BE1051">
        <v>0</v>
      </c>
    </row>
    <row r="1052" spans="1:58" ht="12.75">
      <c r="A1052" s="2" t="str">
        <f>HYPERLINK("https://ibp.a2mac1.com/costing(costing:projects/details/8191/part/5384882)","Center Console")</f>
        <v>Center Console</v>
      </c>
      <c r="B1052">
        <v>5384882</v>
      </c>
      <c r="C1052">
        <v>5384826</v>
      </c>
      <c r="E1052">
        <v>0.40020211874535022</v>
      </c>
      <c r="F1052">
        <v>0</v>
      </c>
      <c r="G1052">
        <v>0</v>
      </c>
      <c r="H1052">
        <v>0.01161867182777352</v>
      </c>
      <c r="I1052" t="s">
        <v>137</v>
      </c>
      <c r="J1052">
        <v>0.014011174337515829</v>
      </c>
      <c r="K1052">
        <v>0.42583196491063957</v>
      </c>
      <c r="L1052">
        <v>0.67510054677088804</v>
      </c>
      <c r="M1052">
        <v>4.050603280625328</v>
      </c>
      <c r="N1052">
        <v>4.4764352455359679</v>
      </c>
      <c r="O1052" t="s">
        <v>138</v>
      </c>
      <c r="P1052">
        <v>0.025549917894638372</v>
      </c>
      <c r="Q1052" t="s">
        <v>138</v>
      </c>
      <c r="R1052">
        <v>0.2430361968375197</v>
      </c>
      <c r="S1052" t="s">
        <v>139</v>
      </c>
      <c r="T1052">
        <v>0.5371722294643162</v>
      </c>
      <c r="U1052" t="s">
        <v>90</v>
      </c>
      <c r="V1052">
        <v>0</v>
      </c>
      <c r="W1052" t="s">
        <v>90</v>
      </c>
      <c r="X1052">
        <v>0</v>
      </c>
      <c r="Y1052">
        <v>5.2821935897324419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28</v>
      </c>
      <c r="AF1052">
        <v>165</v>
      </c>
      <c r="AG1052">
        <v>216</v>
      </c>
      <c r="AI1052">
        <v>0.10299999999999999</v>
      </c>
      <c r="AJ1052" t="s">
        <v>685</v>
      </c>
      <c r="AK1052" t="s">
        <v>501</v>
      </c>
      <c r="AL1052" t="s">
        <v>3877</v>
      </c>
      <c r="AM1052">
        <v>200000</v>
      </c>
      <c r="AN1052" t="s">
        <v>76</v>
      </c>
      <c r="AO1052">
        <v>1</v>
      </c>
      <c r="AP1052">
        <v>0</v>
      </c>
      <c r="AQ1052">
        <v>16666.666666666668</v>
      </c>
      <c r="AR1052" t="s">
        <v>3878</v>
      </c>
      <c r="AS1052" t="s">
        <v>78</v>
      </c>
      <c r="AX1052" t="s">
        <v>79</v>
      </c>
      <c r="AY1052" t="s">
        <v>137</v>
      </c>
      <c r="AZ1052">
        <v>0</v>
      </c>
      <c r="BA1052" t="s">
        <v>137</v>
      </c>
      <c r="BB1052">
        <v>0</v>
      </c>
      <c r="BE1052">
        <v>0</v>
      </c>
    </row>
    <row r="1053" spans="1:58" ht="12.75">
      <c r="A1053" s="2" t="str">
        <f>HYPERLINK("https://ibp.a2mac1.com/costing(costing:projects/details/8191/part/5384883)","Rear Insulation")</f>
        <v>Rear Insulation</v>
      </c>
      <c r="B1053">
        <v>5384883</v>
      </c>
      <c r="C1053">
        <v>5384826</v>
      </c>
      <c r="E1053">
        <v>0.061314220000000003</v>
      </c>
      <c r="F1053">
        <v>0</v>
      </c>
      <c r="G1053">
        <v>0</v>
      </c>
      <c r="H1053">
        <v>0.00031024995320000001</v>
      </c>
      <c r="I1053" t="s">
        <v>137</v>
      </c>
      <c r="J1053">
        <v>0.0021459977</v>
      </c>
      <c r="K1053">
        <v>0.063770467653200005</v>
      </c>
      <c r="L1053">
        <v>0.012954808617448894</v>
      </c>
      <c r="M1053">
        <v>0.077728851704693361</v>
      </c>
      <c r="N1053">
        <v>0.14149931935789337</v>
      </c>
      <c r="O1053" t="s">
        <v>138</v>
      </c>
      <c r="P1053">
        <v>0.0038262280591919999</v>
      </c>
      <c r="Q1053" t="s">
        <v>138</v>
      </c>
      <c r="R1053">
        <v>0.0046637311022816015</v>
      </c>
      <c r="S1053" t="s">
        <v>139</v>
      </c>
      <c r="T1053">
        <v>0.016979918322947204</v>
      </c>
      <c r="U1053" t="s">
        <v>90</v>
      </c>
      <c r="V1053">
        <v>0</v>
      </c>
      <c r="W1053" t="s">
        <v>90</v>
      </c>
      <c r="X1053">
        <v>0</v>
      </c>
      <c r="Y1053">
        <v>0.16696919684231418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108</v>
      </c>
      <c r="AG1053">
        <v>119</v>
      </c>
      <c r="AI1053">
        <v>0.021999999999999999</v>
      </c>
      <c r="AJ1053" t="s">
        <v>685</v>
      </c>
      <c r="AK1053" t="s">
        <v>501</v>
      </c>
      <c r="AL1053" t="s">
        <v>3856</v>
      </c>
      <c r="AM1053">
        <v>200000</v>
      </c>
      <c r="AN1053" t="s">
        <v>76</v>
      </c>
      <c r="AO1053">
        <v>1</v>
      </c>
      <c r="AP1053">
        <v>0</v>
      </c>
      <c r="AQ1053">
        <v>16666.666666666668</v>
      </c>
      <c r="AR1053" t="s">
        <v>3882</v>
      </c>
      <c r="AS1053" t="s">
        <v>78</v>
      </c>
      <c r="AX1053" t="s">
        <v>79</v>
      </c>
      <c r="AY1053" t="s">
        <v>137</v>
      </c>
      <c r="AZ1053">
        <v>0</v>
      </c>
      <c r="BA1053" t="s">
        <v>137</v>
      </c>
      <c r="BB1053">
        <v>0</v>
      </c>
      <c r="BE1053">
        <v>0</v>
      </c>
    </row>
    <row r="1054" spans="1:58" ht="12.75">
      <c r="A1054" s="2" t="str">
        <f>HYPERLINK("https://ibp.a2mac1.com/costing(costing:projects/details/8191/part/5384884)","Rear Seat Carpet Insulation")</f>
        <v>Rear Seat Carpet Insulation</v>
      </c>
      <c r="B1054">
        <v>5384884</v>
      </c>
      <c r="C1054">
        <v>5384826</v>
      </c>
      <c r="E1054">
        <v>0.46519433999999998</v>
      </c>
      <c r="F1054">
        <v>0</v>
      </c>
      <c r="G1054">
        <v>0</v>
      </c>
      <c r="H1054">
        <v>0.0095470034400000001</v>
      </c>
      <c r="I1054" t="s">
        <v>137</v>
      </c>
      <c r="J1054">
        <v>0.016363619999999999</v>
      </c>
      <c r="K1054">
        <v>0.49110496343999999</v>
      </c>
      <c r="L1054">
        <v>0.015718308750898493</v>
      </c>
      <c r="M1054">
        <v>0.094309852505390951</v>
      </c>
      <c r="N1054">
        <v>0.58541481594539091</v>
      </c>
      <c r="O1054" t="s">
        <v>138</v>
      </c>
      <c r="P1054">
        <v>0.029466297806400001</v>
      </c>
      <c r="Q1054" t="s">
        <v>138</v>
      </c>
      <c r="R1054">
        <v>0.0056585911503234569</v>
      </c>
      <c r="S1054" t="s">
        <v>139</v>
      </c>
      <c r="T1054">
        <v>0.070249777913446915</v>
      </c>
      <c r="U1054" t="s">
        <v>90</v>
      </c>
      <c r="V1054">
        <v>0</v>
      </c>
      <c r="W1054" t="s">
        <v>90</v>
      </c>
      <c r="X1054">
        <v>0</v>
      </c>
      <c r="Y1054">
        <v>0.6907894828155613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68</v>
      </c>
      <c r="AF1054">
        <v>815</v>
      </c>
      <c r="AG1054">
        <v>266</v>
      </c>
      <c r="AI1054">
        <v>0.219</v>
      </c>
      <c r="AJ1054" t="s">
        <v>685</v>
      </c>
      <c r="AK1054" t="s">
        <v>501</v>
      </c>
      <c r="AL1054" t="s">
        <v>2991</v>
      </c>
      <c r="AM1054">
        <v>200000</v>
      </c>
      <c r="AN1054" t="s">
        <v>76</v>
      </c>
      <c r="AO1054">
        <v>1</v>
      </c>
      <c r="AP1054">
        <v>0</v>
      </c>
      <c r="AQ1054">
        <v>16666.666666666668</v>
      </c>
      <c r="AR1054" t="s">
        <v>3886</v>
      </c>
      <c r="AS1054" t="s">
        <v>78</v>
      </c>
      <c r="AX1054" t="s">
        <v>79</v>
      </c>
      <c r="AY1054" t="s">
        <v>137</v>
      </c>
      <c r="AZ1054">
        <v>0</v>
      </c>
      <c r="BA1054" t="s">
        <v>137</v>
      </c>
      <c r="BB1054">
        <v>0</v>
      </c>
      <c r="BE1054">
        <v>0</v>
      </c>
    </row>
    <row r="1055" spans="1:58" ht="12.75">
      <c r="A1055" s="2" t="str">
        <f>HYPERLINK("https://ibp.a2mac1.com/costing(costing:projects/details/8191/part/5384885)","2nd Cushion Insulation")</f>
        <v>2nd Cushion Insulation</v>
      </c>
      <c r="B1055">
        <v>5384885</v>
      </c>
      <c r="C1055">
        <v>5384826</v>
      </c>
      <c r="E1055">
        <v>1.5226499925000001</v>
      </c>
      <c r="F1055">
        <v>0</v>
      </c>
      <c r="G1055">
        <v>0</v>
      </c>
      <c r="H1055">
        <v>0.015547863239999999</v>
      </c>
      <c r="I1055" t="s">
        <v>137</v>
      </c>
      <c r="J1055">
        <v>0.053560552499999997</v>
      </c>
      <c r="K1055">
        <v>1.59175840824</v>
      </c>
      <c r="L1055">
        <v>0.011552869971529035</v>
      </c>
      <c r="M1055">
        <v>0.069317219829174215</v>
      </c>
      <c r="N1055">
        <v>1.6610756280691743</v>
      </c>
      <c r="O1055" t="s">
        <v>138</v>
      </c>
      <c r="P1055">
        <v>0.095505504494399998</v>
      </c>
      <c r="Q1055" t="s">
        <v>138</v>
      </c>
      <c r="R1055">
        <v>0.0041590331897504527</v>
      </c>
      <c r="S1055" t="s">
        <v>139</v>
      </c>
      <c r="T1055">
        <v>0.19932907536830091</v>
      </c>
      <c r="U1055" t="s">
        <v>90</v>
      </c>
      <c r="V1055">
        <v>0</v>
      </c>
      <c r="W1055" t="s">
        <v>90</v>
      </c>
      <c r="X1055">
        <v>0</v>
      </c>
      <c r="Y1055">
        <v>1.9600692411216256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8</v>
      </c>
      <c r="AF1055">
        <v>1237</v>
      </c>
      <c r="AG1055">
        <v>572</v>
      </c>
      <c r="AI1055">
        <v>0.19</v>
      </c>
      <c r="AJ1055" t="s">
        <v>685</v>
      </c>
      <c r="AK1055" t="s">
        <v>501</v>
      </c>
      <c r="AL1055" t="s">
        <v>1182</v>
      </c>
      <c r="AM1055">
        <v>200000</v>
      </c>
      <c r="AN1055" t="s">
        <v>76</v>
      </c>
      <c r="AO1055">
        <v>1</v>
      </c>
      <c r="AP1055">
        <v>0</v>
      </c>
      <c r="AQ1055">
        <v>16666.666666666668</v>
      </c>
      <c r="AR1055" t="s">
        <v>3892</v>
      </c>
      <c r="AS1055" t="s">
        <v>78</v>
      </c>
      <c r="AX1055" t="s">
        <v>79</v>
      </c>
      <c r="AY1055" t="s">
        <v>137</v>
      </c>
      <c r="AZ1055">
        <v>0</v>
      </c>
      <c r="BA1055" t="s">
        <v>137</v>
      </c>
      <c r="BB1055">
        <v>0</v>
      </c>
      <c r="BE1055">
        <v>0</v>
      </c>
    </row>
    <row r="1056" spans="1:58" ht="12.75">
      <c r="A1056" s="2" t="str">
        <f>HYPERLINK("https://ibp.a2mac1.com/costing(costing:projects/details/8191/part/5384886)","On Left Wheel Arch")</f>
        <v>On Left Wheel Arch</v>
      </c>
      <c r="B1056">
        <v>5384886</v>
      </c>
      <c r="C1056">
        <v>5384827</v>
      </c>
      <c r="E1056">
        <v>1.155</v>
      </c>
      <c r="F1056">
        <v>0</v>
      </c>
      <c r="G1056">
        <v>0</v>
      </c>
      <c r="H1056">
        <v>0.023585100000000001</v>
      </c>
      <c r="I1056" t="s">
        <v>137</v>
      </c>
      <c r="J1056">
        <v>0.040425000000000003</v>
      </c>
      <c r="K1056">
        <v>1.2190101</v>
      </c>
      <c r="L1056">
        <v>0.015718308750898493</v>
      </c>
      <c r="M1056">
        <v>0.094309852505390951</v>
      </c>
      <c r="N1056">
        <v>1.3133199525053909</v>
      </c>
      <c r="O1056" t="s">
        <v>138</v>
      </c>
      <c r="P1056">
        <v>0.073140605999999997</v>
      </c>
      <c r="Q1056" t="s">
        <v>138</v>
      </c>
      <c r="R1056">
        <v>0.0056585911503234569</v>
      </c>
      <c r="S1056" t="s">
        <v>139</v>
      </c>
      <c r="T1056">
        <v>0.15759839430064693</v>
      </c>
      <c r="U1056" t="s">
        <v>90</v>
      </c>
      <c r="V1056">
        <v>0</v>
      </c>
      <c r="W1056" t="s">
        <v>90</v>
      </c>
      <c r="X1056">
        <v>0</v>
      </c>
      <c r="Y1056">
        <v>1.5497175439563613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17</v>
      </c>
      <c r="AF1056">
        <v>783</v>
      </c>
      <c r="AG1056">
        <v>273</v>
      </c>
      <c r="AI1056">
        <v>0.055</v>
      </c>
      <c r="AJ1056" t="s">
        <v>685</v>
      </c>
      <c r="AK1056" t="s">
        <v>501</v>
      </c>
      <c r="AL1056" t="s">
        <v>2991</v>
      </c>
      <c r="AM1056">
        <v>200000</v>
      </c>
      <c r="AN1056" t="s">
        <v>76</v>
      </c>
      <c r="AO1056">
        <v>1</v>
      </c>
      <c r="AP1056">
        <v>0</v>
      </c>
      <c r="AQ1056">
        <v>16666.666666666668</v>
      </c>
      <c r="AR1056" t="s">
        <v>3898</v>
      </c>
      <c r="AS1056" t="s">
        <v>78</v>
      </c>
      <c r="AX1056" t="s">
        <v>79</v>
      </c>
      <c r="AY1056" t="s">
        <v>137</v>
      </c>
      <c r="AZ1056">
        <v>0</v>
      </c>
      <c r="BA1056" t="s">
        <v>137</v>
      </c>
      <c r="BB1056">
        <v>0</v>
      </c>
      <c r="BE1056">
        <v>0</v>
      </c>
    </row>
    <row r="1057" spans="1:58" ht="12.75">
      <c r="A1057" s="2" t="str">
        <f>HYPERLINK("https://ibp.a2mac1.com/costing(costing:projects/details/8191/part/5384887)","On Right Wheel Arch")</f>
        <v>On Right Wheel Arch</v>
      </c>
      <c r="B1057">
        <v>5384887</v>
      </c>
      <c r="C1057">
        <v>5384827</v>
      </c>
      <c r="E1057">
        <v>0.45650000000000002</v>
      </c>
      <c r="F1057">
        <v>0</v>
      </c>
      <c r="G1057">
        <v>0</v>
      </c>
      <c r="H1057">
        <v>0.0093217300000000003</v>
      </c>
      <c r="I1057" t="s">
        <v>137</v>
      </c>
      <c r="J1057">
        <v>0.015977499999999999</v>
      </c>
      <c r="K1057">
        <v>0.48179923000000002</v>
      </c>
      <c r="L1057">
        <v>0.015718308750898493</v>
      </c>
      <c r="M1057">
        <v>0.094309852505390951</v>
      </c>
      <c r="N1057">
        <v>0.57610908250539095</v>
      </c>
      <c r="O1057" t="s">
        <v>138</v>
      </c>
      <c r="P1057">
        <v>0.0289079538</v>
      </c>
      <c r="Q1057" t="s">
        <v>138</v>
      </c>
      <c r="R1057">
        <v>0.0056585911503234569</v>
      </c>
      <c r="S1057" t="s">
        <v>139</v>
      </c>
      <c r="T1057">
        <v>0.069133089900646913</v>
      </c>
      <c r="U1057" t="s">
        <v>90</v>
      </c>
      <c r="V1057">
        <v>0</v>
      </c>
      <c r="W1057" t="s">
        <v>90</v>
      </c>
      <c r="X1057">
        <v>0</v>
      </c>
      <c r="Y1057">
        <v>0.67980871735636128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17</v>
      </c>
      <c r="AF1057">
        <v>275</v>
      </c>
      <c r="AG1057">
        <v>305</v>
      </c>
      <c r="AI1057">
        <v>0.021000000000000001</v>
      </c>
      <c r="AJ1057" t="s">
        <v>685</v>
      </c>
      <c r="AK1057" t="s">
        <v>501</v>
      </c>
      <c r="AL1057" t="s">
        <v>2991</v>
      </c>
      <c r="AM1057">
        <v>200000</v>
      </c>
      <c r="AN1057" t="s">
        <v>76</v>
      </c>
      <c r="AO1057">
        <v>1</v>
      </c>
      <c r="AP1057">
        <v>0</v>
      </c>
      <c r="AQ1057">
        <v>16666.666666666668</v>
      </c>
      <c r="AR1057" t="s">
        <v>3903</v>
      </c>
      <c r="AS1057" t="s">
        <v>78</v>
      </c>
      <c r="AX1057" t="s">
        <v>79</v>
      </c>
      <c r="AY1057" t="s">
        <v>137</v>
      </c>
      <c r="AZ1057">
        <v>0</v>
      </c>
      <c r="BA1057" t="s">
        <v>137</v>
      </c>
      <c r="BB1057">
        <v>0</v>
      </c>
      <c r="BE1057">
        <v>0</v>
      </c>
    </row>
    <row r="1058" spans="1:58" ht="12.75">
      <c r="A1058" s="2" t="str">
        <f>HYPERLINK("https://ibp.a2mac1.com/costing(costing:projects/details/8191/part/5384888)","2nd on Right Fender")</f>
        <v>2nd on Right Fender</v>
      </c>
      <c r="B1058">
        <v>5384888</v>
      </c>
      <c r="C1058">
        <v>5384827</v>
      </c>
      <c r="E1058">
        <v>0.308</v>
      </c>
      <c r="F1058">
        <v>0</v>
      </c>
      <c r="G1058">
        <v>0</v>
      </c>
      <c r="H1058">
        <v>0.0062893599999999999</v>
      </c>
      <c r="I1058" t="s">
        <v>137</v>
      </c>
      <c r="J1058">
        <v>0.01078</v>
      </c>
      <c r="K1058">
        <v>0.32506935999999997</v>
      </c>
      <c r="L1058">
        <v>0.015718308750898493</v>
      </c>
      <c r="M1058">
        <v>0.094309852505390951</v>
      </c>
      <c r="N1058">
        <v>0.41937921250539095</v>
      </c>
      <c r="O1058" t="s">
        <v>138</v>
      </c>
      <c r="P1058">
        <v>0.0195041616</v>
      </c>
      <c r="Q1058" t="s">
        <v>138</v>
      </c>
      <c r="R1058">
        <v>0.0056585911503234569</v>
      </c>
      <c r="S1058" t="s">
        <v>139</v>
      </c>
      <c r="T1058">
        <v>0.050325505500646912</v>
      </c>
      <c r="U1058" t="s">
        <v>90</v>
      </c>
      <c r="V1058">
        <v>0</v>
      </c>
      <c r="W1058" t="s">
        <v>90</v>
      </c>
      <c r="X1058">
        <v>0</v>
      </c>
      <c r="Y1058">
        <v>0.49486747075636134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17</v>
      </c>
      <c r="AF1058">
        <v>200</v>
      </c>
      <c r="AG1058">
        <v>283</v>
      </c>
      <c r="AI1058">
        <v>0.010999999999999999</v>
      </c>
      <c r="AJ1058" t="s">
        <v>685</v>
      </c>
      <c r="AK1058" t="s">
        <v>501</v>
      </c>
      <c r="AL1058" t="s">
        <v>2991</v>
      </c>
      <c r="AM1058">
        <v>200000</v>
      </c>
      <c r="AN1058" t="s">
        <v>76</v>
      </c>
      <c r="AO1058">
        <v>1</v>
      </c>
      <c r="AP1058">
        <v>0</v>
      </c>
      <c r="AQ1058">
        <v>16666.666666666668</v>
      </c>
      <c r="AR1058" t="s">
        <v>3908</v>
      </c>
      <c r="AS1058" t="s">
        <v>78</v>
      </c>
      <c r="AX1058" t="s">
        <v>79</v>
      </c>
      <c r="AY1058" t="s">
        <v>137</v>
      </c>
      <c r="AZ1058">
        <v>0</v>
      </c>
      <c r="BA1058" t="s">
        <v>137</v>
      </c>
      <c r="BB1058">
        <v>0</v>
      </c>
      <c r="BE1058">
        <v>0</v>
      </c>
    </row>
    <row r="1059" spans="1:58" ht="12.75">
      <c r="A1059" s="2" t="str">
        <f>HYPERLINK("https://ibp.a2mac1.com/costing(costing:projects/details/8191/part/5384889)","Left and Right Insulation Same Block")</f>
        <v>Left and Right Insulation Same Block</v>
      </c>
      <c r="B1059">
        <v>5384889</v>
      </c>
      <c r="C1059">
        <v>5384827</v>
      </c>
      <c r="E1059">
        <v>0.060302969999999997</v>
      </c>
      <c r="F1059">
        <v>0</v>
      </c>
      <c r="G1059">
        <v>0</v>
      </c>
      <c r="H1059">
        <v>0.0012375745200000001</v>
      </c>
      <c r="I1059" t="s">
        <v>137</v>
      </c>
      <c r="J1059">
        <v>0.0021212100000000001</v>
      </c>
      <c r="K1059">
        <v>0.063661754520000002</v>
      </c>
      <c r="L1059">
        <v>0.031425719533695246</v>
      </c>
      <c r="M1059">
        <v>0.18855431720217147</v>
      </c>
      <c r="N1059">
        <v>0.25221607172217148</v>
      </c>
      <c r="O1059" t="s">
        <v>138</v>
      </c>
      <c r="P1059">
        <v>0.0038197052712</v>
      </c>
      <c r="Q1059" t="s">
        <v>138</v>
      </c>
      <c r="R1059">
        <v>0.011313259032130289</v>
      </c>
      <c r="S1059" t="s">
        <v>139</v>
      </c>
      <c r="T1059">
        <v>0.030265928606660577</v>
      </c>
      <c r="U1059" t="s">
        <v>90</v>
      </c>
      <c r="V1059">
        <v>0</v>
      </c>
      <c r="W1059" t="s">
        <v>90</v>
      </c>
      <c r="X1059">
        <v>0</v>
      </c>
      <c r="Y1059">
        <v>0.29761496463216236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44</v>
      </c>
      <c r="AF1059">
        <v>119</v>
      </c>
      <c r="AG1059">
        <v>122</v>
      </c>
      <c r="AI1059">
        <v>0.0125</v>
      </c>
      <c r="AJ1059" t="s">
        <v>3912</v>
      </c>
      <c r="AK1059" t="s">
        <v>501</v>
      </c>
      <c r="AL1059" t="s">
        <v>2991</v>
      </c>
      <c r="AM1059">
        <v>400000</v>
      </c>
      <c r="AN1059" t="s">
        <v>76</v>
      </c>
      <c r="AO1059">
        <v>2</v>
      </c>
      <c r="AP1059">
        <v>0</v>
      </c>
      <c r="AQ1059">
        <v>33333.333333333336</v>
      </c>
      <c r="AR1059" t="s">
        <v>3913</v>
      </c>
      <c r="AS1059" t="s">
        <v>78</v>
      </c>
      <c r="AX1059" t="s">
        <v>79</v>
      </c>
      <c r="AY1059" t="s">
        <v>137</v>
      </c>
      <c r="AZ1059">
        <v>0</v>
      </c>
      <c r="BA1059" t="s">
        <v>137</v>
      </c>
      <c r="BB1059">
        <v>0</v>
      </c>
      <c r="BE1059">
        <v>0</v>
      </c>
    </row>
    <row r="1060" spans="1:58" ht="12.75">
      <c r="A1060" s="2" t="str">
        <f>HYPERLINK("https://ibp.a2mac1.com/costing(costing:projects/details/8191/part/5384890)","On A pillar Upper Panel")</f>
        <v>On A pillar Upper Panel</v>
      </c>
      <c r="B1060">
        <v>5384890</v>
      </c>
      <c r="C1060">
        <v>5384828</v>
      </c>
      <c r="E1060">
        <v>0.46200000000000002</v>
      </c>
      <c r="F1060">
        <v>0</v>
      </c>
      <c r="G1060">
        <v>0</v>
      </c>
      <c r="H1060">
        <v>0.0094340399999999994</v>
      </c>
      <c r="I1060" t="s">
        <v>137</v>
      </c>
      <c r="J1060">
        <v>0.01617</v>
      </c>
      <c r="K1060">
        <v>0.48760404000000002</v>
      </c>
      <c r="L1060">
        <v>0.031425719533695246</v>
      </c>
      <c r="M1060">
        <v>0.18855431720217147</v>
      </c>
      <c r="N1060">
        <v>0.67615835720217143</v>
      </c>
      <c r="O1060" t="s">
        <v>138</v>
      </c>
      <c r="P1060">
        <v>0.0292562424</v>
      </c>
      <c r="Q1060" t="s">
        <v>138</v>
      </c>
      <c r="R1060">
        <v>0.011313259032130289</v>
      </c>
      <c r="S1060" t="s">
        <v>139</v>
      </c>
      <c r="T1060">
        <v>0.081139002864260582</v>
      </c>
      <c r="U1060" t="s">
        <v>90</v>
      </c>
      <c r="V1060">
        <v>0</v>
      </c>
      <c r="W1060" t="s">
        <v>90</v>
      </c>
      <c r="X1060">
        <v>0</v>
      </c>
      <c r="Y1060">
        <v>0.79786686149856234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11</v>
      </c>
      <c r="AF1060">
        <v>110</v>
      </c>
      <c r="AG1060">
        <v>382</v>
      </c>
      <c r="AI1060">
        <v>0.01</v>
      </c>
      <c r="AK1060" t="s">
        <v>501</v>
      </c>
      <c r="AL1060" t="s">
        <v>2991</v>
      </c>
      <c r="AM1060">
        <v>400000</v>
      </c>
      <c r="AN1060" t="s">
        <v>76</v>
      </c>
      <c r="AO1060">
        <v>2</v>
      </c>
      <c r="AP1060">
        <v>0</v>
      </c>
      <c r="AQ1060">
        <v>33333.333333333336</v>
      </c>
      <c r="AR1060" t="s">
        <v>3919</v>
      </c>
      <c r="AS1060" t="s">
        <v>78</v>
      </c>
      <c r="AX1060" t="s">
        <v>79</v>
      </c>
      <c r="AY1060" t="s">
        <v>137</v>
      </c>
      <c r="AZ1060">
        <v>0</v>
      </c>
      <c r="BA1060" t="s">
        <v>137</v>
      </c>
      <c r="BB1060">
        <v>0</v>
      </c>
      <c r="BE1060">
        <v>0</v>
      </c>
    </row>
    <row r="1061" spans="1:58" ht="12.75">
      <c r="A1061" s="2" t="str">
        <f>HYPERLINK("https://ibp.a2mac1.com/costing(costing:projects/details/8191/part/5384891)","On A Pillar Lower Panel")</f>
        <v>On A Pillar Lower Panel</v>
      </c>
      <c r="B1061">
        <v>5384891</v>
      </c>
      <c r="C1061">
        <v>5384828</v>
      </c>
      <c r="E1061">
        <v>0.28050000000000003</v>
      </c>
      <c r="F1061">
        <v>0</v>
      </c>
      <c r="G1061">
        <v>0</v>
      </c>
      <c r="H1061">
        <v>0.0057278099999999998</v>
      </c>
      <c r="I1061" t="s">
        <v>137</v>
      </c>
      <c r="J1061">
        <v>0.0098174999999999998</v>
      </c>
      <c r="K1061">
        <v>0.29604531000000001</v>
      </c>
      <c r="L1061">
        <v>0.015718308750898493</v>
      </c>
      <c r="M1061">
        <v>0.094309852505390951</v>
      </c>
      <c r="N1061">
        <v>0.39035516250539093</v>
      </c>
      <c r="O1061" t="s">
        <v>138</v>
      </c>
      <c r="P1061">
        <v>0.017762718600000001</v>
      </c>
      <c r="Q1061" t="s">
        <v>138</v>
      </c>
      <c r="R1061">
        <v>0.0056585911503234569</v>
      </c>
      <c r="S1061" t="s">
        <v>139</v>
      </c>
      <c r="T1061">
        <v>0.046842619500646915</v>
      </c>
      <c r="U1061" t="s">
        <v>90</v>
      </c>
      <c r="V1061">
        <v>0</v>
      </c>
      <c r="W1061" t="s">
        <v>90</v>
      </c>
      <c r="X1061">
        <v>0</v>
      </c>
      <c r="Y1061">
        <v>0.46061909175636134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11</v>
      </c>
      <c r="AF1061">
        <v>173</v>
      </c>
      <c r="AG1061">
        <v>295</v>
      </c>
      <c r="AI1061">
        <v>0.0080000000000000002</v>
      </c>
      <c r="AK1061" t="s">
        <v>501</v>
      </c>
      <c r="AL1061" t="s">
        <v>2991</v>
      </c>
      <c r="AM1061">
        <v>200000</v>
      </c>
      <c r="AN1061" t="s">
        <v>76</v>
      </c>
      <c r="AO1061">
        <v>1</v>
      </c>
      <c r="AP1061">
        <v>0</v>
      </c>
      <c r="AQ1061">
        <v>16666.666666666668</v>
      </c>
      <c r="AR1061" t="s">
        <v>3923</v>
      </c>
      <c r="AS1061" t="s">
        <v>78</v>
      </c>
      <c r="AX1061" t="s">
        <v>79</v>
      </c>
      <c r="AY1061" t="s">
        <v>137</v>
      </c>
      <c r="AZ1061">
        <v>0</v>
      </c>
      <c r="BA1061" t="s">
        <v>137</v>
      </c>
      <c r="BB1061">
        <v>0</v>
      </c>
      <c r="BE1061">
        <v>0</v>
      </c>
    </row>
    <row r="1062" spans="1:58" ht="12.75">
      <c r="A1062" s="2" t="str">
        <f>HYPERLINK("https://ibp.a2mac1.com/costing(costing:projects/details/8191/part/5384892)","On A Pillar Lower Panel Right if Different")</f>
        <v>On A Pillar Lower Panel Right if Different</v>
      </c>
      <c r="B1062">
        <v>5384892</v>
      </c>
      <c r="C1062">
        <v>5384828</v>
      </c>
      <c r="E1062">
        <v>0.31900000000000001</v>
      </c>
      <c r="F1062">
        <v>0</v>
      </c>
      <c r="G1062">
        <v>0</v>
      </c>
      <c r="H1062">
        <v>0.0065139799999999999</v>
      </c>
      <c r="I1062" t="s">
        <v>137</v>
      </c>
      <c r="J1062">
        <v>0.011165</v>
      </c>
      <c r="K1062">
        <v>0.33667898000000002</v>
      </c>
      <c r="L1062">
        <v>0.015718308750898493</v>
      </c>
      <c r="M1062">
        <v>0.094309852505390951</v>
      </c>
      <c r="N1062">
        <v>0.43098883250539094</v>
      </c>
      <c r="O1062" t="s">
        <v>138</v>
      </c>
      <c r="P1062">
        <v>0.0202007388</v>
      </c>
      <c r="Q1062" t="s">
        <v>138</v>
      </c>
      <c r="R1062">
        <v>0.0056585911503234569</v>
      </c>
      <c r="S1062" t="s">
        <v>139</v>
      </c>
      <c r="T1062">
        <v>0.051718659900646911</v>
      </c>
      <c r="U1062" t="s">
        <v>90</v>
      </c>
      <c r="V1062">
        <v>0</v>
      </c>
      <c r="W1062" t="s">
        <v>90</v>
      </c>
      <c r="X1062">
        <v>0</v>
      </c>
      <c r="Y1062">
        <v>0.5085668223563613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11</v>
      </c>
      <c r="AF1062">
        <v>216</v>
      </c>
      <c r="AG1062">
        <v>270</v>
      </c>
      <c r="AI1062">
        <v>0.01</v>
      </c>
      <c r="AK1062" t="s">
        <v>501</v>
      </c>
      <c r="AL1062" t="s">
        <v>2991</v>
      </c>
      <c r="AM1062">
        <v>200000</v>
      </c>
      <c r="AN1062" t="s">
        <v>76</v>
      </c>
      <c r="AO1062">
        <v>1</v>
      </c>
      <c r="AP1062">
        <v>0</v>
      </c>
      <c r="AQ1062">
        <v>16666.666666666668</v>
      </c>
      <c r="AR1062" t="s">
        <v>3927</v>
      </c>
      <c r="AS1062" t="s">
        <v>78</v>
      </c>
      <c r="AX1062" t="s">
        <v>79</v>
      </c>
      <c r="AY1062" t="s">
        <v>137</v>
      </c>
      <c r="AZ1062">
        <v>0</v>
      </c>
      <c r="BA1062" t="s">
        <v>137</v>
      </c>
      <c r="BB1062">
        <v>0</v>
      </c>
      <c r="BE1062">
        <v>0</v>
      </c>
    </row>
    <row r="1063" spans="1:58" ht="12.75">
      <c r="A1063" s="2" t="str">
        <f>HYPERLINK("https://ibp.a2mac1.com/costing(costing:projects/details/8191/part/5384893)","On B Pillar Lower Panel")</f>
        <v>On B Pillar Lower Panel</v>
      </c>
      <c r="B1063">
        <v>5384893</v>
      </c>
      <c r="C1063">
        <v>5384828</v>
      </c>
      <c r="E1063">
        <v>0.91300000000000003</v>
      </c>
      <c r="F1063">
        <v>0</v>
      </c>
      <c r="G1063">
        <v>0</v>
      </c>
      <c r="H1063">
        <v>0.018643460000000001</v>
      </c>
      <c r="I1063" t="s">
        <v>137</v>
      </c>
      <c r="J1063">
        <v>0.031954999999999997</v>
      </c>
      <c r="K1063">
        <v>0.96359846000000005</v>
      </c>
      <c r="L1063">
        <v>0.031425719533695246</v>
      </c>
      <c r="M1063">
        <v>0.18855431720217147</v>
      </c>
      <c r="N1063">
        <v>1.1521527772021716</v>
      </c>
      <c r="O1063" t="s">
        <v>138</v>
      </c>
      <c r="P1063">
        <v>0.057815907600000001</v>
      </c>
      <c r="Q1063" t="s">
        <v>138</v>
      </c>
      <c r="R1063">
        <v>0.011313259032130289</v>
      </c>
      <c r="S1063" t="s">
        <v>139</v>
      </c>
      <c r="T1063">
        <v>0.13825833326426057</v>
      </c>
      <c r="U1063" t="s">
        <v>90</v>
      </c>
      <c r="V1063">
        <v>0</v>
      </c>
      <c r="W1063" t="s">
        <v>90</v>
      </c>
      <c r="X1063">
        <v>0</v>
      </c>
      <c r="Y1063">
        <v>1.3595402770985623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11</v>
      </c>
      <c r="AF1063">
        <v>179</v>
      </c>
      <c r="AG1063">
        <v>467</v>
      </c>
      <c r="AI1063">
        <v>0.017000000000000001</v>
      </c>
      <c r="AK1063" t="s">
        <v>501</v>
      </c>
      <c r="AL1063" t="s">
        <v>2991</v>
      </c>
      <c r="AM1063">
        <v>400000</v>
      </c>
      <c r="AN1063" t="s">
        <v>76</v>
      </c>
      <c r="AO1063">
        <v>2</v>
      </c>
      <c r="AP1063">
        <v>0</v>
      </c>
      <c r="AQ1063">
        <v>33333.333333333336</v>
      </c>
      <c r="AR1063" t="s">
        <v>3930</v>
      </c>
      <c r="AS1063" t="s">
        <v>78</v>
      </c>
      <c r="AX1063" t="s">
        <v>79</v>
      </c>
      <c r="AY1063" t="s">
        <v>137</v>
      </c>
      <c r="AZ1063">
        <v>0</v>
      </c>
      <c r="BA1063" t="s">
        <v>137</v>
      </c>
      <c r="BB1063">
        <v>0</v>
      </c>
      <c r="BE1063">
        <v>0</v>
      </c>
    </row>
    <row r="1064" spans="1:58" ht="12.75">
      <c r="A1064" s="2" t="str">
        <f>HYPERLINK("https://ibp.a2mac1.com/costing(costing:projects/details/8191/part/5384894)","On Lower C Pillar Panel")</f>
        <v>On Lower C Pillar Panel</v>
      </c>
      <c r="B1064">
        <v>5384894</v>
      </c>
      <c r="C1064">
        <v>5384828</v>
      </c>
      <c r="E1064">
        <v>0.865778355</v>
      </c>
      <c r="F1064">
        <v>0</v>
      </c>
      <c r="G1064">
        <v>0</v>
      </c>
      <c r="H1064">
        <v>0.01776803418</v>
      </c>
      <c r="I1064" t="s">
        <v>137</v>
      </c>
      <c r="J1064">
        <v>0.030454515000000001</v>
      </c>
      <c r="K1064">
        <v>0.91400090418000002</v>
      </c>
      <c r="L1064">
        <v>0.031425719533695246</v>
      </c>
      <c r="M1064">
        <v>0.18855431720217147</v>
      </c>
      <c r="N1064">
        <v>1.1025552213821714</v>
      </c>
      <c r="O1064" t="s">
        <v>138</v>
      </c>
      <c r="P1064">
        <v>0.054840054250799998</v>
      </c>
      <c r="Q1064" t="s">
        <v>138</v>
      </c>
      <c r="R1064">
        <v>0.011313259032130289</v>
      </c>
      <c r="S1064" t="s">
        <v>139</v>
      </c>
      <c r="T1064">
        <v>0.13230662656586059</v>
      </c>
      <c r="U1064" t="s">
        <v>90</v>
      </c>
      <c r="V1064">
        <v>0</v>
      </c>
      <c r="W1064" t="s">
        <v>90</v>
      </c>
      <c r="X1064">
        <v>0</v>
      </c>
      <c r="Y1064">
        <v>1.3010151612309624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11</v>
      </c>
      <c r="AF1064">
        <v>1017</v>
      </c>
      <c r="AG1064">
        <v>198</v>
      </c>
      <c r="AI1064">
        <v>0.067000000000000004</v>
      </c>
      <c r="AK1064" t="s">
        <v>501</v>
      </c>
      <c r="AL1064" t="s">
        <v>2991</v>
      </c>
      <c r="AM1064">
        <v>400000</v>
      </c>
      <c r="AN1064" t="s">
        <v>76</v>
      </c>
      <c r="AO1064">
        <v>2</v>
      </c>
      <c r="AP1064">
        <v>0</v>
      </c>
      <c r="AQ1064">
        <v>33333.333333333336</v>
      </c>
      <c r="AR1064" t="s">
        <v>3935</v>
      </c>
      <c r="AS1064" t="s">
        <v>78</v>
      </c>
      <c r="AX1064" t="s">
        <v>79</v>
      </c>
      <c r="AY1064" t="s">
        <v>137</v>
      </c>
      <c r="AZ1064">
        <v>0</v>
      </c>
      <c r="BA1064" t="s">
        <v>137</v>
      </c>
      <c r="BB1064">
        <v>0</v>
      </c>
      <c r="BE1064">
        <v>0</v>
      </c>
    </row>
    <row r="1065" spans="1:58" ht="12.75">
      <c r="A1065" s="2" t="str">
        <f>HYPERLINK("https://ibp.a2mac1.com/costing(costing:projects/details/8191/part/5384895)","Insulation on Rear Quarter Glass Panel")</f>
        <v>Insulation on Rear Quarter Glass Panel</v>
      </c>
      <c r="B1065">
        <v>5384895</v>
      </c>
      <c r="C1065">
        <v>5384828</v>
      </c>
      <c r="E1065">
        <v>0.4708</v>
      </c>
      <c r="F1065">
        <v>0</v>
      </c>
      <c r="G1065">
        <v>0</v>
      </c>
      <c r="H1065">
        <v>0.0096137359999999995</v>
      </c>
      <c r="I1065" t="s">
        <v>137</v>
      </c>
      <c r="J1065">
        <v>0.016478</v>
      </c>
      <c r="K1065">
        <v>0.49689173599999997</v>
      </c>
      <c r="L1065">
        <v>0.031425719533695246</v>
      </c>
      <c r="M1065">
        <v>0.18855431720217147</v>
      </c>
      <c r="N1065">
        <v>0.68544605320217145</v>
      </c>
      <c r="O1065" t="s">
        <v>138</v>
      </c>
      <c r="P1065">
        <v>0.02981350416</v>
      </c>
      <c r="Q1065" t="s">
        <v>138</v>
      </c>
      <c r="R1065">
        <v>0.011313259032130289</v>
      </c>
      <c r="S1065" t="s">
        <v>139</v>
      </c>
      <c r="T1065">
        <v>0.082253526384260575</v>
      </c>
      <c r="U1065" t="s">
        <v>90</v>
      </c>
      <c r="V1065">
        <v>0</v>
      </c>
      <c r="W1065" t="s">
        <v>90</v>
      </c>
      <c r="X1065">
        <v>0</v>
      </c>
      <c r="Y1065">
        <v>0.80882634277856236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8</v>
      </c>
      <c r="AF1065">
        <v>280</v>
      </c>
      <c r="AG1065">
        <v>153</v>
      </c>
      <c r="AI1065">
        <v>0.0070000000000000001</v>
      </c>
      <c r="AK1065" t="s">
        <v>501</v>
      </c>
      <c r="AL1065" t="s">
        <v>2991</v>
      </c>
      <c r="AM1065">
        <v>400000</v>
      </c>
      <c r="AN1065" t="s">
        <v>76</v>
      </c>
      <c r="AO1065">
        <v>2</v>
      </c>
      <c r="AP1065">
        <v>0</v>
      </c>
      <c r="AQ1065">
        <v>33333.333333333336</v>
      </c>
      <c r="AR1065" t="s">
        <v>3940</v>
      </c>
      <c r="AS1065" t="s">
        <v>78</v>
      </c>
      <c r="AX1065" t="s">
        <v>79</v>
      </c>
      <c r="AY1065" t="s">
        <v>137</v>
      </c>
      <c r="AZ1065">
        <v>0</v>
      </c>
      <c r="BA1065" t="s">
        <v>137</v>
      </c>
      <c r="BB1065">
        <v>0</v>
      </c>
      <c r="BE1065">
        <v>0</v>
      </c>
    </row>
    <row r="1066" spans="1:58" ht="12.75">
      <c r="A1066" s="2" t="str">
        <f>HYPERLINK("https://ibp.a2mac1.com/costing(costing:projects/details/8191/part/5384896)","2nd Insulation on Rear Quarter Glass Panel")</f>
        <v>2nd Insulation on Rear Quarter Glass Panel</v>
      </c>
      <c r="B1066">
        <v>5384896</v>
      </c>
      <c r="C1066">
        <v>5384828</v>
      </c>
      <c r="E1066">
        <v>0.075249999999999997</v>
      </c>
      <c r="F1066">
        <v>0</v>
      </c>
      <c r="G1066">
        <v>0</v>
      </c>
      <c r="H1066">
        <v>0.0015366049999999999</v>
      </c>
      <c r="I1066" t="s">
        <v>137</v>
      </c>
      <c r="J1066">
        <v>0.0026337499999999998</v>
      </c>
      <c r="K1066">
        <v>0.079420354999999998</v>
      </c>
      <c r="L1066">
        <v>0.015718308750898493</v>
      </c>
      <c r="M1066">
        <v>0.094309852505390951</v>
      </c>
      <c r="N1066">
        <v>0.17373020750539095</v>
      </c>
      <c r="O1066" t="s">
        <v>138</v>
      </c>
      <c r="P1066">
        <v>0.0047652212999999997</v>
      </c>
      <c r="Q1066" t="s">
        <v>138</v>
      </c>
      <c r="R1066">
        <v>0.0056585911503234569</v>
      </c>
      <c r="S1066" t="s">
        <v>139</v>
      </c>
      <c r="T1066">
        <v>0.020847624900646913</v>
      </c>
      <c r="U1066" t="s">
        <v>90</v>
      </c>
      <c r="V1066">
        <v>0</v>
      </c>
      <c r="W1066" t="s">
        <v>90</v>
      </c>
      <c r="X1066">
        <v>0</v>
      </c>
      <c r="Y1066">
        <v>0.20500164485636133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10</v>
      </c>
      <c r="AF1066">
        <v>215</v>
      </c>
      <c r="AG1066">
        <v>60</v>
      </c>
      <c r="AI1066">
        <v>0.0040000000000000001</v>
      </c>
      <c r="AK1066" t="s">
        <v>501</v>
      </c>
      <c r="AL1066" t="s">
        <v>2991</v>
      </c>
      <c r="AM1066">
        <v>200000</v>
      </c>
      <c r="AN1066" t="s">
        <v>76</v>
      </c>
      <c r="AO1066">
        <v>1</v>
      </c>
      <c r="AP1066">
        <v>0</v>
      </c>
      <c r="AQ1066">
        <v>16666.666666666668</v>
      </c>
      <c r="AR1066" t="s">
        <v>3945</v>
      </c>
      <c r="AS1066" t="s">
        <v>78</v>
      </c>
      <c r="AX1066" t="s">
        <v>79</v>
      </c>
      <c r="AY1066" t="s">
        <v>137</v>
      </c>
      <c r="AZ1066">
        <v>0</v>
      </c>
      <c r="BA1066" t="s">
        <v>137</v>
      </c>
      <c r="BB1066">
        <v>0</v>
      </c>
      <c r="BE1066">
        <v>0</v>
      </c>
    </row>
    <row r="1067" spans="1:58" ht="12.75">
      <c r="A1067" s="2" t="str">
        <f>HYPERLINK("https://ibp.a2mac1.com/costing(costing:projects/details/8191/part/5384897)","3rd Insulation on Rear Quarter Glass Panel")</f>
        <v>3rd Insulation on Rear Quarter Glass Panel</v>
      </c>
      <c r="B1067">
        <v>5384897</v>
      </c>
      <c r="C1067">
        <v>5384828</v>
      </c>
      <c r="E1067">
        <v>0.075249999999999997</v>
      </c>
      <c r="F1067">
        <v>0</v>
      </c>
      <c r="G1067">
        <v>0</v>
      </c>
      <c r="H1067">
        <v>0.0015366049999999999</v>
      </c>
      <c r="I1067" t="s">
        <v>137</v>
      </c>
      <c r="J1067">
        <v>0.0026337499999999998</v>
      </c>
      <c r="K1067">
        <v>0.079420354999999998</v>
      </c>
      <c r="L1067">
        <v>0.015718308750898493</v>
      </c>
      <c r="M1067">
        <v>0.094309852505390951</v>
      </c>
      <c r="N1067">
        <v>0.17373020750539095</v>
      </c>
      <c r="O1067" t="s">
        <v>138</v>
      </c>
      <c r="P1067">
        <v>0.0047652212999999997</v>
      </c>
      <c r="Q1067" t="s">
        <v>138</v>
      </c>
      <c r="R1067">
        <v>0.0056585911503234569</v>
      </c>
      <c r="S1067" t="s">
        <v>139</v>
      </c>
      <c r="T1067">
        <v>0.020847624900646913</v>
      </c>
      <c r="U1067" t="s">
        <v>90</v>
      </c>
      <c r="V1067">
        <v>0</v>
      </c>
      <c r="W1067" t="s">
        <v>90</v>
      </c>
      <c r="X1067">
        <v>0</v>
      </c>
      <c r="Y1067">
        <v>0.20500164485636133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10</v>
      </c>
      <c r="AF1067">
        <v>215</v>
      </c>
      <c r="AG1067">
        <v>60</v>
      </c>
      <c r="AI1067">
        <v>0.0040000000000000001</v>
      </c>
      <c r="AK1067" t="s">
        <v>501</v>
      </c>
      <c r="AL1067" t="s">
        <v>2991</v>
      </c>
      <c r="AM1067">
        <v>200000</v>
      </c>
      <c r="AN1067" t="s">
        <v>76</v>
      </c>
      <c r="AO1067">
        <v>1</v>
      </c>
      <c r="AP1067">
        <v>0</v>
      </c>
      <c r="AQ1067">
        <v>16666.666666666668</v>
      </c>
      <c r="AR1067" t="s">
        <v>3948</v>
      </c>
      <c r="AS1067" t="s">
        <v>78</v>
      </c>
      <c r="AX1067" t="s">
        <v>79</v>
      </c>
      <c r="AY1067" t="s">
        <v>137</v>
      </c>
      <c r="AZ1067">
        <v>0</v>
      </c>
      <c r="BA1067" t="s">
        <v>137</v>
      </c>
      <c r="BB1067">
        <v>0</v>
      </c>
      <c r="BE1067">
        <v>0</v>
      </c>
    </row>
    <row r="1068" spans="1:58" ht="12.75">
      <c r="A1068" s="2" t="str">
        <f>HYPERLINK("https://ibp.a2mac1.com/costing(costing:projects/details/8191/part/5384898)","On Side Upper Trunk Panel")</f>
        <v>On Side Upper Trunk Panel</v>
      </c>
      <c r="B1068">
        <v>5384898</v>
      </c>
      <c r="C1068">
        <v>5384828</v>
      </c>
      <c r="E1068">
        <v>0.24199999999999999</v>
      </c>
      <c r="F1068">
        <v>0</v>
      </c>
      <c r="G1068">
        <v>0</v>
      </c>
      <c r="H1068">
        <v>0.0049416399999999997</v>
      </c>
      <c r="I1068" t="s">
        <v>137</v>
      </c>
      <c r="J1068">
        <v>0.0084700000000000001</v>
      </c>
      <c r="K1068">
        <v>0.25541164</v>
      </c>
      <c r="L1068">
        <v>0.031425719533695246</v>
      </c>
      <c r="M1068">
        <v>0.18855431720217147</v>
      </c>
      <c r="N1068">
        <v>0.44396595720217147</v>
      </c>
      <c r="O1068" t="s">
        <v>138</v>
      </c>
      <c r="P1068">
        <v>0.0153246984</v>
      </c>
      <c r="Q1068" t="s">
        <v>138</v>
      </c>
      <c r="R1068">
        <v>0.011313259032130289</v>
      </c>
      <c r="S1068" t="s">
        <v>139</v>
      </c>
      <c r="T1068">
        <v>0.05327591486426058</v>
      </c>
      <c r="U1068" t="s">
        <v>90</v>
      </c>
      <c r="V1068">
        <v>0</v>
      </c>
      <c r="W1068" t="s">
        <v>90</v>
      </c>
      <c r="X1068">
        <v>0</v>
      </c>
      <c r="Y1068">
        <v>0.52387982949856238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11</v>
      </c>
      <c r="AF1068">
        <v>262</v>
      </c>
      <c r="AG1068">
        <v>85</v>
      </c>
      <c r="AI1068">
        <v>0.0040000000000000001</v>
      </c>
      <c r="AK1068" t="s">
        <v>501</v>
      </c>
      <c r="AL1068" t="s">
        <v>2991</v>
      </c>
      <c r="AM1068">
        <v>400000</v>
      </c>
      <c r="AN1068" t="s">
        <v>76</v>
      </c>
      <c r="AO1068">
        <v>2</v>
      </c>
      <c r="AP1068">
        <v>0</v>
      </c>
      <c r="AQ1068">
        <v>33333.333333333336</v>
      </c>
      <c r="AR1068" t="s">
        <v>3952</v>
      </c>
      <c r="AS1068" t="s">
        <v>78</v>
      </c>
      <c r="AX1068" t="s">
        <v>79</v>
      </c>
      <c r="AY1068" t="s">
        <v>137</v>
      </c>
      <c r="AZ1068">
        <v>0</v>
      </c>
      <c r="BA1068" t="s">
        <v>137</v>
      </c>
      <c r="BB1068">
        <v>0</v>
      </c>
      <c r="BE1068">
        <v>0</v>
      </c>
    </row>
    <row r="1069" spans="1:58" ht="12.75">
      <c r="A1069" s="2" t="str">
        <f>HYPERLINK("https://ibp.a2mac1.com/costing(costing:projects/details/8191/part/5384899)","On Side Lower Trunk Panel Insulation")</f>
        <v>On Side Lower Trunk Panel Insulation</v>
      </c>
      <c r="B1069">
        <v>5384899</v>
      </c>
      <c r="C1069">
        <v>5384828</v>
      </c>
      <c r="E1069">
        <v>1.76</v>
      </c>
      <c r="F1069">
        <v>0</v>
      </c>
      <c r="G1069">
        <v>0</v>
      </c>
      <c r="H1069">
        <v>0.035939199999999998</v>
      </c>
      <c r="I1069" t="s">
        <v>137</v>
      </c>
      <c r="J1069">
        <v>0.061600000000000002</v>
      </c>
      <c r="K1069">
        <v>1.8575391999999999</v>
      </c>
      <c r="L1069">
        <v>0.015718308750898493</v>
      </c>
      <c r="M1069">
        <v>0.094309852505390951</v>
      </c>
      <c r="N1069">
        <v>1.9518490525053909</v>
      </c>
      <c r="O1069" t="s">
        <v>138</v>
      </c>
      <c r="P1069">
        <v>0.111452352</v>
      </c>
      <c r="Q1069" t="s">
        <v>138</v>
      </c>
      <c r="R1069">
        <v>0.0056585911503234569</v>
      </c>
      <c r="S1069" t="s">
        <v>139</v>
      </c>
      <c r="T1069">
        <v>0.23422188630064691</v>
      </c>
      <c r="U1069" t="s">
        <v>90</v>
      </c>
      <c r="V1069">
        <v>0</v>
      </c>
      <c r="W1069" t="s">
        <v>90</v>
      </c>
      <c r="X1069">
        <v>0</v>
      </c>
      <c r="Y1069">
        <v>2.3031818819563612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12</v>
      </c>
      <c r="AF1069">
        <v>738</v>
      </c>
      <c r="AG1069">
        <v>430</v>
      </c>
      <c r="AI1069">
        <v>0.053999999999999999</v>
      </c>
      <c r="AK1069" t="s">
        <v>501</v>
      </c>
      <c r="AL1069" t="s">
        <v>2991</v>
      </c>
      <c r="AM1069">
        <v>200000</v>
      </c>
      <c r="AN1069" t="s">
        <v>76</v>
      </c>
      <c r="AO1069">
        <v>1</v>
      </c>
      <c r="AP1069">
        <v>0</v>
      </c>
      <c r="AQ1069">
        <v>16666.666666666668</v>
      </c>
      <c r="AR1069" t="s">
        <v>3957</v>
      </c>
      <c r="AS1069" t="s">
        <v>78</v>
      </c>
      <c r="AX1069" t="s">
        <v>79</v>
      </c>
      <c r="AY1069" t="s">
        <v>137</v>
      </c>
      <c r="AZ1069">
        <v>0</v>
      </c>
      <c r="BA1069" t="s">
        <v>137</v>
      </c>
      <c r="BB1069">
        <v>0</v>
      </c>
      <c r="BE1069">
        <v>0</v>
      </c>
    </row>
    <row r="1070" spans="1:58" ht="12.75">
      <c r="A1070" s="2" t="str">
        <f>HYPERLINK("https://ibp.a2mac1.com/costing(costing:projects/details/8191/part/5384900)","2nd on Side Lower Trunk Panel Insulation")</f>
        <v>2nd on Side Lower Trunk Panel Insulation</v>
      </c>
      <c r="B1070">
        <v>5384900</v>
      </c>
      <c r="C1070">
        <v>5384828</v>
      </c>
      <c r="E1070">
        <v>1.76</v>
      </c>
      <c r="F1070">
        <v>0</v>
      </c>
      <c r="G1070">
        <v>0</v>
      </c>
      <c r="H1070">
        <v>0.035939199999999998</v>
      </c>
      <c r="I1070" t="s">
        <v>137</v>
      </c>
      <c r="J1070">
        <v>0.061600000000000002</v>
      </c>
      <c r="K1070">
        <v>1.8575391999999999</v>
      </c>
      <c r="L1070">
        <v>0.015718308750898493</v>
      </c>
      <c r="M1070">
        <v>0.094309852505390951</v>
      </c>
      <c r="N1070">
        <v>1.9518490525053909</v>
      </c>
      <c r="O1070" t="s">
        <v>138</v>
      </c>
      <c r="P1070">
        <v>0.111452352</v>
      </c>
      <c r="Q1070" t="s">
        <v>138</v>
      </c>
      <c r="R1070">
        <v>0.0056585911503234569</v>
      </c>
      <c r="S1070" t="s">
        <v>139</v>
      </c>
      <c r="T1070">
        <v>0.23422188630064691</v>
      </c>
      <c r="U1070" t="s">
        <v>90</v>
      </c>
      <c r="V1070">
        <v>0</v>
      </c>
      <c r="W1070" t="s">
        <v>90</v>
      </c>
      <c r="X1070">
        <v>0</v>
      </c>
      <c r="Y1070">
        <v>2.3031818819563612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12</v>
      </c>
      <c r="AF1070">
        <v>703</v>
      </c>
      <c r="AG1070">
        <v>466</v>
      </c>
      <c r="AI1070">
        <v>0.04</v>
      </c>
      <c r="AK1070" t="s">
        <v>501</v>
      </c>
      <c r="AL1070" t="s">
        <v>2991</v>
      </c>
      <c r="AM1070">
        <v>200000</v>
      </c>
      <c r="AN1070" t="s">
        <v>76</v>
      </c>
      <c r="AO1070">
        <v>1</v>
      </c>
      <c r="AP1070">
        <v>0</v>
      </c>
      <c r="AQ1070">
        <v>16666.666666666668</v>
      </c>
      <c r="AR1070" t="s">
        <v>3960</v>
      </c>
      <c r="AS1070" t="s">
        <v>78</v>
      </c>
      <c r="AX1070" t="s">
        <v>79</v>
      </c>
      <c r="AY1070" t="s">
        <v>137</v>
      </c>
      <c r="AZ1070">
        <v>0</v>
      </c>
      <c r="BA1070" t="s">
        <v>137</v>
      </c>
      <c r="BB1070">
        <v>0</v>
      </c>
      <c r="BE1070">
        <v>0</v>
      </c>
    </row>
    <row r="1071" spans="1:58" ht="12.75">
      <c r="A1071" s="2" t="str">
        <f>HYPERLINK("https://ibp.a2mac1.com/costing(costing:projects/details/8191/part/5385037)","Lower On Dashboard Body")</f>
        <v>Lower On Dashboard Body</v>
      </c>
      <c r="B1071">
        <v>5385037</v>
      </c>
      <c r="C1071">
        <v>5384902</v>
      </c>
      <c r="E1071">
        <v>0.058149292499999998</v>
      </c>
      <c r="F1071">
        <v>0</v>
      </c>
      <c r="G1071">
        <v>0</v>
      </c>
      <c r="H1071">
        <v>0.00059376564000000005</v>
      </c>
      <c r="I1071" t="s">
        <v>137</v>
      </c>
      <c r="J1071">
        <v>0.0020454524999999999</v>
      </c>
      <c r="K1071">
        <v>0.060788510640000001</v>
      </c>
      <c r="L1071">
        <v>0.011552869971529035</v>
      </c>
      <c r="M1071">
        <v>0.069317219829174215</v>
      </c>
      <c r="N1071">
        <v>0.1301057304691742</v>
      </c>
      <c r="O1071" t="s">
        <v>138</v>
      </c>
      <c r="P1071">
        <v>0.0036473106383999999</v>
      </c>
      <c r="Q1071" t="s">
        <v>138</v>
      </c>
      <c r="R1071">
        <v>0.0041590331897504527</v>
      </c>
      <c r="S1071" t="s">
        <v>139</v>
      </c>
      <c r="T1071">
        <v>0.015612687656300906</v>
      </c>
      <c r="U1071" t="s">
        <v>90</v>
      </c>
      <c r="V1071">
        <v>0</v>
      </c>
      <c r="W1071" t="s">
        <v>90</v>
      </c>
      <c r="X1071">
        <v>0</v>
      </c>
      <c r="Y1071">
        <v>0.15352476195362558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6</v>
      </c>
      <c r="AF1071">
        <v>290</v>
      </c>
      <c r="AG1071">
        <v>95</v>
      </c>
      <c r="AI1071">
        <v>0.0070000000000000001</v>
      </c>
      <c r="AK1071" t="s">
        <v>501</v>
      </c>
      <c r="AL1071" t="s">
        <v>2991</v>
      </c>
      <c r="AM1071">
        <v>200000</v>
      </c>
      <c r="AN1071" t="s">
        <v>76</v>
      </c>
      <c r="AO1071">
        <v>1</v>
      </c>
      <c r="AP1071">
        <v>0</v>
      </c>
      <c r="AQ1071">
        <v>16666.666666666668</v>
      </c>
      <c r="AR1071" t="s">
        <v>3967</v>
      </c>
      <c r="AS1071" t="s">
        <v>78</v>
      </c>
      <c r="AX1071" t="s">
        <v>79</v>
      </c>
      <c r="AY1071" t="s">
        <v>137</v>
      </c>
      <c r="AZ1071">
        <v>0</v>
      </c>
      <c r="BA1071" t="s">
        <v>137</v>
      </c>
      <c r="BB1071">
        <v>0</v>
      </c>
      <c r="BE1071">
        <v>0</v>
      </c>
    </row>
    <row r="1072" spans="1:58" ht="12.75">
      <c r="A1072" s="2" t="str">
        <f>HYPERLINK("https://ibp.a2mac1.com/costing(costing:projects/details/8191/part/5384901)","Center Side Identical")</f>
        <v>Center Side Identical</v>
      </c>
      <c r="B1072">
        <v>5384901</v>
      </c>
      <c r="C1072">
        <v>5384829</v>
      </c>
      <c r="E1072">
        <v>0.99069165000000003</v>
      </c>
      <c r="F1072">
        <v>0</v>
      </c>
      <c r="G1072">
        <v>0</v>
      </c>
      <c r="H1072">
        <v>0.010116007200000001</v>
      </c>
      <c r="I1072" t="s">
        <v>137</v>
      </c>
      <c r="J1072">
        <v>0.034848450000000003</v>
      </c>
      <c r="K1072">
        <v>1.0356561071999999</v>
      </c>
      <c r="L1072">
        <v>0.011552869971529035</v>
      </c>
      <c r="M1072">
        <v>0.069317219829174215</v>
      </c>
      <c r="N1072">
        <v>1.1049733270291742</v>
      </c>
      <c r="O1072" t="s">
        <v>138</v>
      </c>
      <c r="P1072">
        <v>0.062139366432</v>
      </c>
      <c r="Q1072" t="s">
        <v>138</v>
      </c>
      <c r="R1072">
        <v>0.0041590331897504527</v>
      </c>
      <c r="S1072" t="s">
        <v>139</v>
      </c>
      <c r="T1072">
        <v>0.1325967992435009</v>
      </c>
      <c r="U1072" t="s">
        <v>90</v>
      </c>
      <c r="V1072">
        <v>0</v>
      </c>
      <c r="W1072" t="s">
        <v>90</v>
      </c>
      <c r="X1072">
        <v>0</v>
      </c>
      <c r="Y1072">
        <v>1.3038685258944256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22</v>
      </c>
      <c r="AF1072">
        <v>1230</v>
      </c>
      <c r="AG1072">
        <v>380</v>
      </c>
      <c r="AI1072">
        <v>0.11600000000000001</v>
      </c>
      <c r="AJ1072" t="s">
        <v>685</v>
      </c>
      <c r="AK1072" t="s">
        <v>501</v>
      </c>
      <c r="AL1072" t="s">
        <v>1182</v>
      </c>
      <c r="AM1072">
        <v>200000</v>
      </c>
      <c r="AN1072" t="s">
        <v>76</v>
      </c>
      <c r="AO1072">
        <v>1</v>
      </c>
      <c r="AP1072">
        <v>0</v>
      </c>
      <c r="AQ1072">
        <v>16666.666666666668</v>
      </c>
      <c r="AR1072" t="s">
        <v>3971</v>
      </c>
      <c r="AS1072" t="s">
        <v>78</v>
      </c>
      <c r="AX1072" t="s">
        <v>79</v>
      </c>
      <c r="AY1072" t="s">
        <v>137</v>
      </c>
      <c r="AZ1072">
        <v>0</v>
      </c>
      <c r="BA1072" t="s">
        <v>137</v>
      </c>
      <c r="BB1072">
        <v>0</v>
      </c>
      <c r="BE1072">
        <v>0</v>
      </c>
    </row>
    <row r="1073" spans="1:58" ht="12.75">
      <c r="A1073" s="2" t="str">
        <f>HYPERLINK("https://ibp.a2mac1.com/costing(costing:projects/details/8191/part/5384811)","Sound Insulation Engine Side Single Main")</f>
        <v>Sound Insulation Engine Side Single Main</v>
      </c>
      <c r="B1073">
        <v>5384811</v>
      </c>
      <c r="C1073">
        <v>5384796</v>
      </c>
      <c r="E1073">
        <v>7.9214846322090482</v>
      </c>
      <c r="F1073">
        <v>0</v>
      </c>
      <c r="G1073">
        <v>0</v>
      </c>
      <c r="H1073">
        <v>0.16175671618970877</v>
      </c>
      <c r="I1073" t="s">
        <v>137</v>
      </c>
      <c r="J1073">
        <v>0.27725196212731668</v>
      </c>
      <c r="K1073">
        <v>8.3604933105260741</v>
      </c>
      <c r="L1073">
        <v>0.79204003125849831</v>
      </c>
      <c r="M1073">
        <v>4.7522401875509894</v>
      </c>
      <c r="N1073">
        <v>13.112733498077063</v>
      </c>
      <c r="O1073" t="s">
        <v>138</v>
      </c>
      <c r="P1073">
        <v>0.50162959863156442</v>
      </c>
      <c r="Q1073" t="s">
        <v>138</v>
      </c>
      <c r="R1073">
        <v>0.28513441125305938</v>
      </c>
      <c r="S1073" t="s">
        <v>139</v>
      </c>
      <c r="T1073">
        <v>1.5735280197692476</v>
      </c>
      <c r="U1073" t="s">
        <v>90</v>
      </c>
      <c r="V1073">
        <v>0</v>
      </c>
      <c r="W1073" t="s">
        <v>90</v>
      </c>
      <c r="X1073">
        <v>0</v>
      </c>
      <c r="Y1073">
        <v>15.473025527730934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229</v>
      </c>
      <c r="AF1073">
        <v>1080</v>
      </c>
      <c r="AG1073">
        <v>923</v>
      </c>
      <c r="AI1073">
        <v>0.275</v>
      </c>
      <c r="AJ1073" t="s">
        <v>3980</v>
      </c>
      <c r="AK1073" t="s">
        <v>501</v>
      </c>
      <c r="AL1073" t="s">
        <v>3981</v>
      </c>
      <c r="AM1073">
        <v>200000</v>
      </c>
      <c r="AN1073" t="s">
        <v>76</v>
      </c>
      <c r="AO1073">
        <v>1</v>
      </c>
      <c r="AP1073">
        <v>0</v>
      </c>
      <c r="AQ1073">
        <v>16666.666666666668</v>
      </c>
      <c r="AR1073" t="s">
        <v>3982</v>
      </c>
      <c r="AS1073" t="s">
        <v>78</v>
      </c>
      <c r="AX1073" t="s">
        <v>79</v>
      </c>
      <c r="AY1073" t="s">
        <v>137</v>
      </c>
      <c r="AZ1073">
        <v>0</v>
      </c>
      <c r="BA1073" t="s">
        <v>137</v>
      </c>
      <c r="BB1073">
        <v>0</v>
      </c>
      <c r="BE1073">
        <v>0</v>
      </c>
    </row>
    <row r="1074" spans="1:58" ht="12.75">
      <c r="A1074" s="2" t="str">
        <f>HYPERLINK("https://ibp.a2mac1.com/costing(costing:projects/details/8191/part/5384812)","Sound Insulation Cabin Side")</f>
        <v>Sound Insulation Cabin Side</v>
      </c>
      <c r="B1074">
        <v>5384812</v>
      </c>
      <c r="C1074">
        <v>5384796</v>
      </c>
      <c r="E1074">
        <v>12.618418423167952</v>
      </c>
      <c r="F1074">
        <v>0</v>
      </c>
      <c r="G1074">
        <v>0</v>
      </c>
      <c r="H1074">
        <v>0.35700968278148959</v>
      </c>
      <c r="I1074" t="s">
        <v>137</v>
      </c>
      <c r="J1074">
        <v>0.44176282651087834</v>
      </c>
      <c r="K1074">
        <v>13.41719093246032</v>
      </c>
      <c r="L1074">
        <v>0.72720688984170412</v>
      </c>
      <c r="M1074">
        <v>4.3632413390502247</v>
      </c>
      <c r="N1074">
        <v>17.780432271510545</v>
      </c>
      <c r="O1074" t="s">
        <v>138</v>
      </c>
      <c r="P1074">
        <v>0.80503145594761916</v>
      </c>
      <c r="Q1074" t="s">
        <v>138</v>
      </c>
      <c r="R1074">
        <v>0.2617944803430135</v>
      </c>
      <c r="S1074" t="s">
        <v>139</v>
      </c>
      <c r="T1074">
        <v>2.1336518725812654</v>
      </c>
      <c r="U1074" t="s">
        <v>90</v>
      </c>
      <c r="V1074">
        <v>0</v>
      </c>
      <c r="W1074" t="s">
        <v>90</v>
      </c>
      <c r="X1074">
        <v>0</v>
      </c>
      <c r="Y1074">
        <v>20.980910080382444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140</v>
      </c>
      <c r="AF1074">
        <v>1886</v>
      </c>
      <c r="AG1074">
        <v>617</v>
      </c>
      <c r="AI1074">
        <v>2.955</v>
      </c>
      <c r="AK1074" t="s">
        <v>501</v>
      </c>
      <c r="AL1074" t="s">
        <v>3992</v>
      </c>
      <c r="AM1074">
        <v>200000</v>
      </c>
      <c r="AN1074" t="s">
        <v>76</v>
      </c>
      <c r="AO1074">
        <v>1</v>
      </c>
      <c r="AP1074">
        <v>0</v>
      </c>
      <c r="AQ1074">
        <v>16666.666666666668</v>
      </c>
      <c r="AR1074" t="s">
        <v>3993</v>
      </c>
      <c r="AS1074" t="s">
        <v>78</v>
      </c>
      <c r="AX1074" t="s">
        <v>79</v>
      </c>
      <c r="AY1074" t="s">
        <v>137</v>
      </c>
      <c r="AZ1074">
        <v>0</v>
      </c>
      <c r="BA1074" t="s">
        <v>137</v>
      </c>
      <c r="BB1074">
        <v>0</v>
      </c>
      <c r="BE1074">
        <v>0</v>
      </c>
    </row>
    <row r="1075" spans="1:58" ht="12.75">
      <c r="A1075" s="2" t="str">
        <f>HYPERLINK("https://ibp.a2mac1.com/costing(costing:projects/details/8191/part/5384813)","Right Sound Insulation Cabin Side")</f>
        <v>Right Sound Insulation Cabin Side</v>
      </c>
      <c r="B1075">
        <v>5384813</v>
      </c>
      <c r="C1075">
        <v>5384796</v>
      </c>
      <c r="E1075">
        <v>0.85799999999999998</v>
      </c>
      <c r="F1075">
        <v>0</v>
      </c>
      <c r="G1075">
        <v>0</v>
      </c>
      <c r="H1075">
        <v>0.017520359999999999</v>
      </c>
      <c r="I1075" t="s">
        <v>137</v>
      </c>
      <c r="J1075">
        <v>0.030030000000000001</v>
      </c>
      <c r="K1075">
        <v>0.90555036</v>
      </c>
      <c r="L1075">
        <v>0.015718308750898493</v>
      </c>
      <c r="M1075">
        <v>0.094309852505390951</v>
      </c>
      <c r="N1075">
        <v>0.99986021250539092</v>
      </c>
      <c r="O1075" t="s">
        <v>138</v>
      </c>
      <c r="P1075">
        <v>0.054333021600000003</v>
      </c>
      <c r="Q1075" t="s">
        <v>138</v>
      </c>
      <c r="R1075">
        <v>0.0056585911503234569</v>
      </c>
      <c r="S1075" t="s">
        <v>139</v>
      </c>
      <c r="T1075">
        <v>0.11998322550064691</v>
      </c>
      <c r="U1075" t="s">
        <v>90</v>
      </c>
      <c r="V1075">
        <v>0</v>
      </c>
      <c r="W1075" t="s">
        <v>90</v>
      </c>
      <c r="X1075">
        <v>0</v>
      </c>
      <c r="Y1075">
        <v>1.1798350507563613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13</v>
      </c>
      <c r="AF1075">
        <v>430</v>
      </c>
      <c r="AG1075">
        <v>365</v>
      </c>
      <c r="AI1075">
        <v>0.042999999999999997</v>
      </c>
      <c r="AK1075" t="s">
        <v>501</v>
      </c>
      <c r="AL1075" t="s">
        <v>2991</v>
      </c>
      <c r="AM1075">
        <v>200000</v>
      </c>
      <c r="AN1075" t="s">
        <v>76</v>
      </c>
      <c r="AO1075">
        <v>1</v>
      </c>
      <c r="AP1075">
        <v>0</v>
      </c>
      <c r="AQ1075">
        <v>16666.666666666668</v>
      </c>
      <c r="AR1075" t="s">
        <v>3998</v>
      </c>
      <c r="AS1075" t="s">
        <v>78</v>
      </c>
      <c r="AX1075" t="s">
        <v>79</v>
      </c>
      <c r="AY1075" t="s">
        <v>137</v>
      </c>
      <c r="AZ1075">
        <v>0</v>
      </c>
      <c r="BA1075" t="s">
        <v>137</v>
      </c>
      <c r="BB1075">
        <v>0</v>
      </c>
      <c r="BE1075">
        <v>0</v>
      </c>
    </row>
    <row r="1076" spans="1:58" ht="12.75">
      <c r="A1076" s="2" t="str">
        <f>HYPERLINK("https://ibp.a2mac1.com/costing(costing:projects/details/8191/part/5384814)","Tailgate Insulation")</f>
        <v>Tailgate Insulation</v>
      </c>
      <c r="B1076">
        <v>5384814</v>
      </c>
      <c r="C1076">
        <v>5384796</v>
      </c>
      <c r="E1076">
        <v>0.150757425</v>
      </c>
      <c r="F1076">
        <v>0</v>
      </c>
      <c r="G1076">
        <v>0</v>
      </c>
      <c r="H1076">
        <v>0.0030939362999999999</v>
      </c>
      <c r="I1076" t="s">
        <v>137</v>
      </c>
      <c r="J1076">
        <v>0.0053030250000000003</v>
      </c>
      <c r="K1076">
        <v>0.15915438630000001</v>
      </c>
      <c r="L1076">
        <v>0.015718308750898493</v>
      </c>
      <c r="M1076">
        <v>0.094309852505390951</v>
      </c>
      <c r="N1076">
        <v>0.25346423880539093</v>
      </c>
      <c r="O1076" t="s">
        <v>138</v>
      </c>
      <c r="P1076">
        <v>0.0095492631780000007</v>
      </c>
      <c r="Q1076" t="s">
        <v>138</v>
      </c>
      <c r="R1076">
        <v>0.0056585911503234569</v>
      </c>
      <c r="S1076" t="s">
        <v>139</v>
      </c>
      <c r="T1076">
        <v>0.030415708656646914</v>
      </c>
      <c r="U1076" t="s">
        <v>90</v>
      </c>
      <c r="V1076">
        <v>0</v>
      </c>
      <c r="W1076" t="s">
        <v>90</v>
      </c>
      <c r="X1076">
        <v>0</v>
      </c>
      <c r="Y1076">
        <v>0.29908780179036132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14</v>
      </c>
      <c r="AF1076">
        <v>485</v>
      </c>
      <c r="AG1076">
        <v>145</v>
      </c>
      <c r="AI1076">
        <v>0.024</v>
      </c>
      <c r="AK1076" t="s">
        <v>501</v>
      </c>
      <c r="AL1076" t="s">
        <v>4002</v>
      </c>
      <c r="AM1076">
        <v>200000</v>
      </c>
      <c r="AN1076" t="s">
        <v>76</v>
      </c>
      <c r="AO1076">
        <v>1</v>
      </c>
      <c r="AP1076">
        <v>0</v>
      </c>
      <c r="AQ1076">
        <v>16666.666666666668</v>
      </c>
      <c r="AR1076" t="s">
        <v>4003</v>
      </c>
      <c r="AS1076" t="s">
        <v>78</v>
      </c>
      <c r="AX1076" t="s">
        <v>79</v>
      </c>
      <c r="AY1076" t="s">
        <v>137</v>
      </c>
      <c r="AZ1076">
        <v>0</v>
      </c>
      <c r="BA1076" t="s">
        <v>137</v>
      </c>
      <c r="BB1076">
        <v>0</v>
      </c>
      <c r="BE1076">
        <v>0</v>
      </c>
    </row>
    <row r="1077" spans="1:58" ht="12.75">
      <c r="A1077" s="2" t="str">
        <f>HYPERLINK("https://ibp.a2mac1.com/costing(costing:projects/details/8191/part/5384815)","A Pillar Left Sound Insulation and Right if Similar")</f>
        <v>A Pillar Left Sound Insulation and Right if Similar</v>
      </c>
      <c r="B1077">
        <v>5384815</v>
      </c>
      <c r="C1077">
        <v>5384796</v>
      </c>
      <c r="E1077">
        <v>0.14645006999999999</v>
      </c>
      <c r="F1077">
        <v>0</v>
      </c>
      <c r="G1077">
        <v>0</v>
      </c>
      <c r="H1077">
        <v>0.0030055381199999998</v>
      </c>
      <c r="I1077" t="s">
        <v>137</v>
      </c>
      <c r="J1077">
        <v>0.0051515099999999998</v>
      </c>
      <c r="K1077">
        <v>0.15460711812</v>
      </c>
      <c r="L1077">
        <v>0.015718308750898493</v>
      </c>
      <c r="M1077">
        <v>0.094309852505390951</v>
      </c>
      <c r="N1077">
        <v>0.24891697062539095</v>
      </c>
      <c r="O1077" t="s">
        <v>138</v>
      </c>
      <c r="P1077">
        <v>0.0092764270871999992</v>
      </c>
      <c r="Q1077" t="s">
        <v>138</v>
      </c>
      <c r="R1077">
        <v>0.0056585911503234569</v>
      </c>
      <c r="S1077" t="s">
        <v>139</v>
      </c>
      <c r="T1077">
        <v>0.029870036475046914</v>
      </c>
      <c r="U1077" t="s">
        <v>90</v>
      </c>
      <c r="V1077">
        <v>0</v>
      </c>
      <c r="W1077" t="s">
        <v>90</v>
      </c>
      <c r="X1077">
        <v>0</v>
      </c>
      <c r="Y1077">
        <v>0.29372202533796132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50</v>
      </c>
      <c r="AF1077">
        <v>225</v>
      </c>
      <c r="AG1077">
        <v>305</v>
      </c>
      <c r="AI1077">
        <v>0.029000000000000001</v>
      </c>
      <c r="AJ1077" t="s">
        <v>3912</v>
      </c>
      <c r="AK1077" t="s">
        <v>501</v>
      </c>
      <c r="AL1077" t="s">
        <v>2991</v>
      </c>
      <c r="AM1077">
        <v>200000</v>
      </c>
      <c r="AN1077" t="s">
        <v>76</v>
      </c>
      <c r="AO1077">
        <v>1</v>
      </c>
      <c r="AP1077">
        <v>0</v>
      </c>
      <c r="AQ1077">
        <v>16666.666666666668</v>
      </c>
      <c r="AR1077" t="s">
        <v>4007</v>
      </c>
      <c r="AS1077" t="s">
        <v>78</v>
      </c>
      <c r="AX1077" t="s">
        <v>79</v>
      </c>
      <c r="AY1077" t="s">
        <v>137</v>
      </c>
      <c r="AZ1077">
        <v>0</v>
      </c>
      <c r="BA1077" t="s">
        <v>137</v>
      </c>
      <c r="BB1077">
        <v>0</v>
      </c>
      <c r="BE1077">
        <v>0</v>
      </c>
    </row>
    <row r="1078" spans="1:58" ht="12.75">
      <c r="A1078" s="2" t="str">
        <f>HYPERLINK("https://ibp.a2mac1.com/costing(costing:projects/details/8191/part/5384816)","A Pillar Right Sound Insulation if Different")</f>
        <v>A Pillar Right Sound Insulation if Different</v>
      </c>
      <c r="B1078">
        <v>5384816</v>
      </c>
      <c r="C1078">
        <v>5384796</v>
      </c>
      <c r="E1078">
        <v>0.14645006999999999</v>
      </c>
      <c r="F1078">
        <v>0</v>
      </c>
      <c r="G1078">
        <v>0</v>
      </c>
      <c r="H1078">
        <v>0.0030055381199999998</v>
      </c>
      <c r="I1078" t="s">
        <v>137</v>
      </c>
      <c r="J1078">
        <v>0.0051515099999999998</v>
      </c>
      <c r="K1078">
        <v>0.15460711812</v>
      </c>
      <c r="L1078">
        <v>0.015718308750898493</v>
      </c>
      <c r="M1078">
        <v>0.094309852505390951</v>
      </c>
      <c r="N1078">
        <v>0.24891697062539095</v>
      </c>
      <c r="O1078" t="s">
        <v>138</v>
      </c>
      <c r="P1078">
        <v>0.0092764270871999992</v>
      </c>
      <c r="Q1078" t="s">
        <v>138</v>
      </c>
      <c r="R1078">
        <v>0.0056585911503234569</v>
      </c>
      <c r="S1078" t="s">
        <v>139</v>
      </c>
      <c r="T1078">
        <v>0.029870036475046914</v>
      </c>
      <c r="U1078" t="s">
        <v>90</v>
      </c>
      <c r="V1078">
        <v>0</v>
      </c>
      <c r="W1078" t="s">
        <v>90</v>
      </c>
      <c r="X1078">
        <v>0</v>
      </c>
      <c r="Y1078">
        <v>0.29372202533796132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50</v>
      </c>
      <c r="AF1078">
        <v>225</v>
      </c>
      <c r="AG1078">
        <v>305</v>
      </c>
      <c r="AI1078">
        <v>0.029000000000000001</v>
      </c>
      <c r="AJ1078" t="s">
        <v>3912</v>
      </c>
      <c r="AK1078" t="s">
        <v>501</v>
      </c>
      <c r="AL1078" t="s">
        <v>2991</v>
      </c>
      <c r="AM1078">
        <v>200000</v>
      </c>
      <c r="AN1078" t="s">
        <v>76</v>
      </c>
      <c r="AO1078">
        <v>1</v>
      </c>
      <c r="AP1078">
        <v>0</v>
      </c>
      <c r="AQ1078">
        <v>16666.666666666668</v>
      </c>
      <c r="AR1078" t="s">
        <v>4010</v>
      </c>
      <c r="AS1078" t="s">
        <v>78</v>
      </c>
      <c r="AX1078" t="s">
        <v>79</v>
      </c>
      <c r="AY1078" t="s">
        <v>137</v>
      </c>
      <c r="AZ1078">
        <v>0</v>
      </c>
      <c r="BA1078" t="s">
        <v>137</v>
      </c>
      <c r="BB1078">
        <v>0</v>
      </c>
      <c r="BE1078">
        <v>0</v>
      </c>
    </row>
    <row r="1079" spans="1:58" ht="12.75">
      <c r="A1079" s="2" t="str">
        <f>HYPERLINK("https://ibp.a2mac1.com/costing(costing:projects/details/8191/part/5384817)","Fuel Access Cover Insulation")</f>
        <v>Fuel Access Cover Insulation</v>
      </c>
      <c r="B1079">
        <v>5384817</v>
      </c>
      <c r="C1079">
        <v>5384796</v>
      </c>
      <c r="E1079">
        <v>0.38120091750000001</v>
      </c>
      <c r="F1079">
        <v>0</v>
      </c>
      <c r="G1079">
        <v>0</v>
      </c>
      <c r="H1079">
        <v>0.0078232389300000003</v>
      </c>
      <c r="I1079" t="s">
        <v>137</v>
      </c>
      <c r="J1079">
        <v>0.0134090775</v>
      </c>
      <c r="K1079">
        <v>0.40243323393000002</v>
      </c>
      <c r="L1079">
        <v>0.015718308750898493</v>
      </c>
      <c r="M1079">
        <v>0.094309852505390951</v>
      </c>
      <c r="N1079">
        <v>0.49674308643539095</v>
      </c>
      <c r="O1079" t="s">
        <v>138</v>
      </c>
      <c r="P1079">
        <v>0.024145994035799999</v>
      </c>
      <c r="Q1079" t="s">
        <v>138</v>
      </c>
      <c r="R1079">
        <v>0.0056585911503234569</v>
      </c>
      <c r="S1079" t="s">
        <v>139</v>
      </c>
      <c r="T1079">
        <v>0.059609170372246917</v>
      </c>
      <c r="U1079" t="s">
        <v>90</v>
      </c>
      <c r="V1079">
        <v>0</v>
      </c>
      <c r="W1079" t="s">
        <v>90</v>
      </c>
      <c r="X1079">
        <v>0</v>
      </c>
      <c r="Y1079">
        <v>0.58615684199376128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300</v>
      </c>
      <c r="AF1079">
        <v>590</v>
      </c>
      <c r="AG1079">
        <v>145</v>
      </c>
      <c r="AI1079">
        <v>0.20799999999999999</v>
      </c>
      <c r="AJ1079" t="s">
        <v>3912</v>
      </c>
      <c r="AK1079" t="s">
        <v>501</v>
      </c>
      <c r="AL1079" t="s">
        <v>2991</v>
      </c>
      <c r="AM1079">
        <v>200000</v>
      </c>
      <c r="AN1079" t="s">
        <v>76</v>
      </c>
      <c r="AO1079">
        <v>1</v>
      </c>
      <c r="AP1079">
        <v>0</v>
      </c>
      <c r="AQ1079">
        <v>16666.666666666668</v>
      </c>
      <c r="AR1079" t="s">
        <v>4015</v>
      </c>
      <c r="AS1079" t="s">
        <v>78</v>
      </c>
      <c r="AX1079" t="s">
        <v>79</v>
      </c>
      <c r="AY1079" t="s">
        <v>137</v>
      </c>
      <c r="AZ1079">
        <v>0</v>
      </c>
      <c r="BA1079" t="s">
        <v>137</v>
      </c>
      <c r="BB1079">
        <v>0</v>
      </c>
      <c r="BE1079">
        <v>0</v>
      </c>
    </row>
    <row r="1080" spans="1:58" ht="12.75">
      <c r="A1080" s="2" t="str">
        <f>HYPERLINK("https://ibp.a2mac1.com/costing(costing:projects/details/8191/part/5384818)","Rear Bumper Sound Insulation")</f>
        <v>Rear Bumper Sound Insulation</v>
      </c>
      <c r="B1080">
        <v>5384818</v>
      </c>
      <c r="C1080">
        <v>5384796</v>
      </c>
      <c r="E1080">
        <v>0.35777777777777775</v>
      </c>
      <c r="F1080">
        <v>0</v>
      </c>
      <c r="G1080">
        <v>0</v>
      </c>
      <c r="H1080">
        <v>0.003624288888888889</v>
      </c>
      <c r="I1080" t="s">
        <v>137</v>
      </c>
      <c r="J1080">
        <v>0.012522222222222223</v>
      </c>
      <c r="K1080">
        <v>0.3739242888888889</v>
      </c>
      <c r="L1080">
        <v>0.022840339520443009</v>
      </c>
      <c r="M1080">
        <v>0.13704203712265806</v>
      </c>
      <c r="N1080">
        <v>0.5109663260115469</v>
      </c>
      <c r="O1080" t="s">
        <v>138</v>
      </c>
      <c r="P1080">
        <v>0.022435457333333332</v>
      </c>
      <c r="Q1080" t="s">
        <v>138</v>
      </c>
      <c r="R1080">
        <v>0.0082225222273594831</v>
      </c>
      <c r="S1080" t="s">
        <v>139</v>
      </c>
      <c r="T1080">
        <v>0.061315959121385634</v>
      </c>
      <c r="U1080" t="s">
        <v>90</v>
      </c>
      <c r="V1080">
        <v>0</v>
      </c>
      <c r="W1080" t="s">
        <v>90</v>
      </c>
      <c r="X1080">
        <v>0</v>
      </c>
      <c r="Y1080">
        <v>0.60294026469362538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12</v>
      </c>
      <c r="AF1080">
        <v>219</v>
      </c>
      <c r="AG1080">
        <v>130</v>
      </c>
      <c r="AI1080">
        <v>0.012</v>
      </c>
      <c r="AJ1080" t="s">
        <v>685</v>
      </c>
      <c r="AK1080" t="s">
        <v>501</v>
      </c>
      <c r="AL1080" t="s">
        <v>4019</v>
      </c>
      <c r="AM1080">
        <v>400000</v>
      </c>
      <c r="AN1080" t="s">
        <v>76</v>
      </c>
      <c r="AO1080">
        <v>2</v>
      </c>
      <c r="AP1080">
        <v>0</v>
      </c>
      <c r="AQ1080">
        <v>33333.333333333336</v>
      </c>
      <c r="AR1080" t="s">
        <v>4020</v>
      </c>
      <c r="AS1080" t="s">
        <v>78</v>
      </c>
      <c r="AX1080" t="s">
        <v>79</v>
      </c>
      <c r="AY1080" t="s">
        <v>137</v>
      </c>
      <c r="AZ1080">
        <v>0</v>
      </c>
      <c r="BA1080" t="s">
        <v>137</v>
      </c>
      <c r="BB1080">
        <v>0</v>
      </c>
      <c r="BE1080">
        <v>0</v>
      </c>
    </row>
    <row r="1081" spans="1:58" ht="12.75">
      <c r="A1081" s="2" t="str">
        <f>HYPERLINK("https://ibp.a2mac1.com/costing(costing:projects/details/8191/part/5384819)","Front Left Wheel Housing and Right if Similar")</f>
        <v>Front Left Wheel Housing and Right if Similar</v>
      </c>
      <c r="B1081">
        <v>5384819</v>
      </c>
      <c r="C1081">
        <v>5384796</v>
      </c>
      <c r="E1081">
        <v>0.22488888888888889</v>
      </c>
      <c r="F1081">
        <v>0</v>
      </c>
      <c r="G1081">
        <v>0</v>
      </c>
      <c r="H1081">
        <v>0.0022781244444444446</v>
      </c>
      <c r="I1081" t="s">
        <v>137</v>
      </c>
      <c r="J1081">
        <v>0.0078711111111111117</v>
      </c>
      <c r="K1081">
        <v>0.23503812444444444</v>
      </c>
      <c r="L1081">
        <v>0.022840339520443009</v>
      </c>
      <c r="M1081">
        <v>0.13704203712265806</v>
      </c>
      <c r="N1081">
        <v>0.3720801615671025</v>
      </c>
      <c r="O1081" t="s">
        <v>138</v>
      </c>
      <c r="P1081">
        <v>0.014102287466666667</v>
      </c>
      <c r="Q1081" t="s">
        <v>138</v>
      </c>
      <c r="R1081">
        <v>0.0082225222273594831</v>
      </c>
      <c r="S1081" t="s">
        <v>139</v>
      </c>
      <c r="T1081">
        <v>0.0446496193880523</v>
      </c>
      <c r="U1081" t="s">
        <v>90</v>
      </c>
      <c r="V1081">
        <v>0</v>
      </c>
      <c r="W1081" t="s">
        <v>90</v>
      </c>
      <c r="X1081">
        <v>0</v>
      </c>
      <c r="Y1081">
        <v>0.43905459064918095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12</v>
      </c>
      <c r="AF1081">
        <v>55</v>
      </c>
      <c r="AG1081">
        <v>320</v>
      </c>
      <c r="AI1081">
        <v>0.0060000000000000001</v>
      </c>
      <c r="AK1081" t="s">
        <v>501</v>
      </c>
      <c r="AL1081" t="s">
        <v>1345</v>
      </c>
      <c r="AM1081">
        <v>400000</v>
      </c>
      <c r="AN1081" t="s">
        <v>76</v>
      </c>
      <c r="AO1081">
        <v>2</v>
      </c>
      <c r="AP1081">
        <v>0</v>
      </c>
      <c r="AQ1081">
        <v>33333.333333333336</v>
      </c>
      <c r="AR1081" t="s">
        <v>4025</v>
      </c>
      <c r="AS1081" t="s">
        <v>78</v>
      </c>
      <c r="AX1081" t="s">
        <v>79</v>
      </c>
      <c r="AY1081" t="s">
        <v>137</v>
      </c>
      <c r="AZ1081">
        <v>0</v>
      </c>
      <c r="BA1081" t="s">
        <v>137</v>
      </c>
      <c r="BB1081">
        <v>0</v>
      </c>
      <c r="BE1081">
        <v>0</v>
      </c>
    </row>
    <row r="1082" spans="1:58" ht="12.75">
      <c r="A1082" s="2" t="str">
        <f>HYPERLINK("https://ibp.a2mac1.com/costing(costing:projects/details/8191/part/5384820)","2nd Insulation on Front Left Wheel Housing and right if identical")</f>
        <v>2nd Insulation on Front Left Wheel Housing and right if identical</v>
      </c>
      <c r="B1082">
        <v>5384820</v>
      </c>
      <c r="C1082">
        <v>5384796</v>
      </c>
      <c r="E1082">
        <v>0.595</v>
      </c>
      <c r="F1082">
        <v>0</v>
      </c>
      <c r="G1082">
        <v>0</v>
      </c>
      <c r="H1082">
        <v>0.0060273499999999999</v>
      </c>
      <c r="I1082" t="s">
        <v>137</v>
      </c>
      <c r="J1082">
        <v>0.020825</v>
      </c>
      <c r="K1082">
        <v>0.62185235000000005</v>
      </c>
      <c r="L1082">
        <v>0.022840339520443009</v>
      </c>
      <c r="M1082">
        <v>0.13704203712265806</v>
      </c>
      <c r="N1082">
        <v>0.758894387122658</v>
      </c>
      <c r="O1082" t="s">
        <v>138</v>
      </c>
      <c r="P1082">
        <v>0.037311140999999999</v>
      </c>
      <c r="Q1082" t="s">
        <v>138</v>
      </c>
      <c r="R1082">
        <v>0.0082225222273594831</v>
      </c>
      <c r="S1082" t="s">
        <v>139</v>
      </c>
      <c r="T1082">
        <v>0.091067326454718961</v>
      </c>
      <c r="U1082" t="s">
        <v>90</v>
      </c>
      <c r="V1082">
        <v>0</v>
      </c>
      <c r="W1082" t="s">
        <v>90</v>
      </c>
      <c r="X1082">
        <v>0</v>
      </c>
      <c r="Y1082">
        <v>0.89549537680473645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12</v>
      </c>
      <c r="AF1082">
        <v>135</v>
      </c>
      <c r="AG1082">
        <v>383</v>
      </c>
      <c r="AI1082">
        <v>0.010500000000000001</v>
      </c>
      <c r="AK1082" t="s">
        <v>501</v>
      </c>
      <c r="AL1082" t="s">
        <v>1345</v>
      </c>
      <c r="AM1082">
        <v>400000</v>
      </c>
      <c r="AN1082" t="s">
        <v>76</v>
      </c>
      <c r="AO1082">
        <v>2</v>
      </c>
      <c r="AP1082">
        <v>0</v>
      </c>
      <c r="AQ1082">
        <v>33333.333333333336</v>
      </c>
      <c r="AR1082" t="s">
        <v>4028</v>
      </c>
      <c r="AS1082" t="s">
        <v>78</v>
      </c>
      <c r="AX1082" t="s">
        <v>79</v>
      </c>
      <c r="AY1082" t="s">
        <v>137</v>
      </c>
      <c r="AZ1082">
        <v>0</v>
      </c>
      <c r="BA1082" t="s">
        <v>137</v>
      </c>
      <c r="BB1082">
        <v>0</v>
      </c>
      <c r="BE1082">
        <v>0</v>
      </c>
    </row>
    <row r="1083" spans="1:58" ht="12.75">
      <c r="A1083" s="2" t="str">
        <f>HYPERLINK("https://ibp.a2mac1.com/costing(costing:projects/details/8191/part/5384821)","Rear Left Wheel Housing and Right if Similar")</f>
        <v>Rear Left Wheel Housing and Right if Similar</v>
      </c>
      <c r="B1083">
        <v>5384821</v>
      </c>
      <c r="C1083">
        <v>5384796</v>
      </c>
      <c r="E1083">
        <v>0.40919872499999999</v>
      </c>
      <c r="F1083">
        <v>0</v>
      </c>
      <c r="G1083">
        <v>0</v>
      </c>
      <c r="H1083">
        <v>0.0083978270999999997</v>
      </c>
      <c r="I1083" t="s">
        <v>137</v>
      </c>
      <c r="J1083">
        <v>0.014393925</v>
      </c>
      <c r="K1083">
        <v>0.43199047709999999</v>
      </c>
      <c r="L1083">
        <v>0.015718308750898493</v>
      </c>
      <c r="M1083">
        <v>0.094309852505390951</v>
      </c>
      <c r="N1083">
        <v>0.52630032960539097</v>
      </c>
      <c r="O1083" t="s">
        <v>138</v>
      </c>
      <c r="P1083">
        <v>0.025919428626</v>
      </c>
      <c r="Q1083" t="s">
        <v>138</v>
      </c>
      <c r="R1083">
        <v>0.0056585911503234569</v>
      </c>
      <c r="S1083" t="s">
        <v>139</v>
      </c>
      <c r="T1083">
        <v>0.063156039552646911</v>
      </c>
      <c r="U1083" t="s">
        <v>90</v>
      </c>
      <c r="V1083">
        <v>0</v>
      </c>
      <c r="W1083" t="s">
        <v>90</v>
      </c>
      <c r="X1083">
        <v>0</v>
      </c>
      <c r="Y1083">
        <v>0.62103438893436136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585</v>
      </c>
      <c r="AF1083">
        <v>330</v>
      </c>
      <c r="AG1083">
        <v>75</v>
      </c>
      <c r="AI1083">
        <v>0.20799999999999999</v>
      </c>
      <c r="AJ1083" t="s">
        <v>3912</v>
      </c>
      <c r="AK1083" t="s">
        <v>501</v>
      </c>
      <c r="AL1083" t="s">
        <v>2991</v>
      </c>
      <c r="AM1083">
        <v>200000</v>
      </c>
      <c r="AN1083" t="s">
        <v>76</v>
      </c>
      <c r="AO1083">
        <v>1</v>
      </c>
      <c r="AP1083">
        <v>0</v>
      </c>
      <c r="AQ1083">
        <v>16666.666666666668</v>
      </c>
      <c r="AR1083" t="s">
        <v>4033</v>
      </c>
      <c r="AS1083" t="s">
        <v>78</v>
      </c>
      <c r="AX1083" t="s">
        <v>79</v>
      </c>
      <c r="AY1083" t="s">
        <v>137</v>
      </c>
      <c r="AZ1083">
        <v>0</v>
      </c>
      <c r="BA1083" t="s">
        <v>137</v>
      </c>
      <c r="BB1083">
        <v>0</v>
      </c>
      <c r="BE1083">
        <v>0</v>
      </c>
    </row>
    <row r="1084" spans="1:58" ht="12.75">
      <c r="A1084" s="2" t="str">
        <f>HYPERLINK("https://ibp.a2mac1.com/costing(costing:projects/details/8191/part/5384822)","In Upper Reinforcement")</f>
        <v>In Upper Reinforcement</v>
      </c>
      <c r="B1084">
        <v>5384822</v>
      </c>
      <c r="C1084">
        <v>5384796</v>
      </c>
      <c r="E1084">
        <v>0.20</v>
      </c>
      <c r="F1084">
        <v>0</v>
      </c>
      <c r="G1084">
        <v>0</v>
      </c>
      <c r="H1084">
        <v>0</v>
      </c>
      <c r="I1084" t="s">
        <v>74</v>
      </c>
      <c r="J1084">
        <v>0</v>
      </c>
      <c r="K1084">
        <v>0.20</v>
      </c>
      <c r="L1084">
        <v>0</v>
      </c>
      <c r="M1084">
        <v>0</v>
      </c>
      <c r="N1084">
        <v>0.20</v>
      </c>
      <c r="O1084" t="s">
        <v>74</v>
      </c>
      <c r="P1084">
        <v>0</v>
      </c>
      <c r="Q1084" t="s">
        <v>74</v>
      </c>
      <c r="R1084">
        <v>0</v>
      </c>
      <c r="S1084" t="s">
        <v>74</v>
      </c>
      <c r="T1084">
        <v>0</v>
      </c>
      <c r="U1084" t="s">
        <v>74</v>
      </c>
      <c r="V1084">
        <v>0</v>
      </c>
      <c r="W1084" t="s">
        <v>74</v>
      </c>
      <c r="X1084">
        <v>0</v>
      </c>
      <c r="Y1084">
        <v>0.20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78</v>
      </c>
      <c r="AF1084">
        <v>68</v>
      </c>
      <c r="AG1084">
        <v>50</v>
      </c>
      <c r="AI1084">
        <v>0.0089999999999999993</v>
      </c>
      <c r="AJ1084" t="s">
        <v>685</v>
      </c>
      <c r="AK1084" t="s">
        <v>501</v>
      </c>
      <c r="AL1084" t="s">
        <v>4034</v>
      </c>
      <c r="AM1084">
        <v>400000</v>
      </c>
      <c r="AN1084" t="s">
        <v>76</v>
      </c>
      <c r="AO1084">
        <v>2</v>
      </c>
      <c r="AP1084">
        <v>0</v>
      </c>
      <c r="AQ1084">
        <v>33333.333333333336</v>
      </c>
      <c r="AR1084" t="s">
        <v>4035</v>
      </c>
      <c r="AS1084" t="s">
        <v>78</v>
      </c>
      <c r="AX1084" t="s">
        <v>79</v>
      </c>
      <c r="AY1084" t="s">
        <v>74</v>
      </c>
      <c r="AZ1084">
        <v>0</v>
      </c>
      <c r="BA1084" t="s">
        <v>74</v>
      </c>
      <c r="BB1084">
        <v>0</v>
      </c>
      <c r="BD1084">
        <v>0.10</v>
      </c>
      <c r="BE1084">
        <v>0</v>
      </c>
    </row>
    <row r="1085" spans="1:58" ht="12.75">
      <c r="A1085" s="2" t="str">
        <f>HYPERLINK("https://ibp.a2mac1.com/costing(costing:projects/details/8191/part/5384823)","Insulation Under Body   on Aerodynamics Screens")</f>
        <v>Insulation Under Body   on Aerodynamics Screens</v>
      </c>
      <c r="B1085">
        <v>5384823</v>
      </c>
      <c r="C1085">
        <v>5384796</v>
      </c>
      <c r="E1085">
        <v>0.61240934730056407</v>
      </c>
      <c r="F1085">
        <v>0</v>
      </c>
      <c r="G1085">
        <v>0</v>
      </c>
      <c r="H1085">
        <v>0.012505398871877517</v>
      </c>
      <c r="I1085" t="s">
        <v>137</v>
      </c>
      <c r="J1085">
        <v>0.021434327155519742</v>
      </c>
      <c r="K1085">
        <v>0.64634907332796132</v>
      </c>
      <c r="L1085">
        <v>0.20079783044346708</v>
      </c>
      <c r="M1085">
        <v>1.2047869826608024</v>
      </c>
      <c r="N1085">
        <v>1.8511360559887637</v>
      </c>
      <c r="O1085" t="s">
        <v>138</v>
      </c>
      <c r="P1085">
        <v>0.038780944399677678</v>
      </c>
      <c r="Q1085" t="s">
        <v>138</v>
      </c>
      <c r="R1085">
        <v>0.072287218959648153</v>
      </c>
      <c r="S1085" t="s">
        <v>139</v>
      </c>
      <c r="T1085">
        <v>0.22213632671865166</v>
      </c>
      <c r="U1085" t="s">
        <v>90</v>
      </c>
      <c r="V1085">
        <v>0</v>
      </c>
      <c r="W1085" t="s">
        <v>90</v>
      </c>
      <c r="X1085">
        <v>0</v>
      </c>
      <c r="Y1085">
        <v>2.1843405460667413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450</v>
      </c>
      <c r="AF1085">
        <v>437</v>
      </c>
      <c r="AG1085">
        <v>21</v>
      </c>
      <c r="AI1085">
        <v>0.076999999999999999</v>
      </c>
      <c r="AK1085" t="s">
        <v>501</v>
      </c>
      <c r="AL1085" t="s">
        <v>4042</v>
      </c>
      <c r="AM1085">
        <v>200000</v>
      </c>
      <c r="AN1085" t="s">
        <v>76</v>
      </c>
      <c r="AO1085">
        <v>1</v>
      </c>
      <c r="AP1085">
        <v>0</v>
      </c>
      <c r="AQ1085">
        <v>16666.666666666668</v>
      </c>
      <c r="AR1085" t="s">
        <v>4043</v>
      </c>
      <c r="AS1085" t="s">
        <v>78</v>
      </c>
      <c r="AX1085" t="s">
        <v>79</v>
      </c>
      <c r="AY1085" t="s">
        <v>137</v>
      </c>
      <c r="AZ1085">
        <v>0</v>
      </c>
      <c r="BA1085" t="s">
        <v>137</v>
      </c>
      <c r="BB1085">
        <v>0</v>
      </c>
      <c r="BE1085">
        <v>0</v>
      </c>
    </row>
    <row r="1086" spans="1:58" ht="12.75">
      <c r="A1086" s="2" t="str">
        <f>HYPERLINK("https://ibp.a2mac1.com/costing(costing:projects/details/8191/part/5384824)","2nd Insulation Under Body   on Aerodynamics Screens")</f>
        <v>2nd Insulation Under Body   on Aerodynamics Screens</v>
      </c>
      <c r="B1086">
        <v>5384824</v>
      </c>
      <c r="C1086">
        <v>5384796</v>
      </c>
      <c r="E1086">
        <v>4.2868654311039487</v>
      </c>
      <c r="F1086">
        <v>0</v>
      </c>
      <c r="G1086">
        <v>0</v>
      </c>
      <c r="H1086">
        <v>0.087537792103142623</v>
      </c>
      <c r="I1086" t="s">
        <v>137</v>
      </c>
      <c r="J1086">
        <v>0.1500402900886382</v>
      </c>
      <c r="K1086">
        <v>4.5244435132957292</v>
      </c>
      <c r="L1086">
        <v>0.36737603991585244</v>
      </c>
      <c r="M1086">
        <v>2.2042562394951148</v>
      </c>
      <c r="N1086">
        <v>6.7286997527908436</v>
      </c>
      <c r="O1086" t="s">
        <v>138</v>
      </c>
      <c r="P1086">
        <v>0.27146661079774376</v>
      </c>
      <c r="Q1086" t="s">
        <v>138</v>
      </c>
      <c r="R1086">
        <v>0.13225537436970689</v>
      </c>
      <c r="S1086" t="s">
        <v>139</v>
      </c>
      <c r="T1086">
        <v>0.80744397033490123</v>
      </c>
      <c r="U1086" t="s">
        <v>90</v>
      </c>
      <c r="V1086">
        <v>0</v>
      </c>
      <c r="W1086" t="s">
        <v>90</v>
      </c>
      <c r="X1086">
        <v>0</v>
      </c>
      <c r="Y1086">
        <v>7.9398657082931958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910</v>
      </c>
      <c r="AF1086">
        <v>845</v>
      </c>
      <c r="AG1086">
        <v>285</v>
      </c>
      <c r="AI1086">
        <v>0.32</v>
      </c>
      <c r="AJ1086" t="s">
        <v>3980</v>
      </c>
      <c r="AK1086" t="s">
        <v>501</v>
      </c>
      <c r="AL1086" t="s">
        <v>4042</v>
      </c>
      <c r="AM1086">
        <v>200000</v>
      </c>
      <c r="AN1086" t="s">
        <v>76</v>
      </c>
      <c r="AO1086">
        <v>1</v>
      </c>
      <c r="AP1086">
        <v>0</v>
      </c>
      <c r="AQ1086">
        <v>16666.666666666668</v>
      </c>
      <c r="AR1086" t="s">
        <v>4051</v>
      </c>
      <c r="AS1086" t="s">
        <v>78</v>
      </c>
      <c r="AX1086" t="s">
        <v>79</v>
      </c>
      <c r="AY1086" t="s">
        <v>137</v>
      </c>
      <c r="AZ1086">
        <v>0</v>
      </c>
      <c r="BA1086" t="s">
        <v>137</v>
      </c>
      <c r="BB1086">
        <v>0</v>
      </c>
      <c r="BE1086">
        <v>0</v>
      </c>
    </row>
    <row r="1087" spans="1:58" ht="12.75">
      <c r="A1087" s="2" t="str">
        <f>HYPERLINK("https://ibp.a2mac1.com/costing(costing:projects/details/8191/part/5384825)","3rd Insulation Underbody")</f>
        <v>3rd Insulation Underbody</v>
      </c>
      <c r="B1087">
        <v>5384825</v>
      </c>
      <c r="C1087">
        <v>5384796</v>
      </c>
      <c r="E1087">
        <v>2.3577759871071717</v>
      </c>
      <c r="F1087">
        <v>0</v>
      </c>
      <c r="G1087">
        <v>0</v>
      </c>
      <c r="H1087">
        <v>0.048145785656728446</v>
      </c>
      <c r="I1087" t="s">
        <v>137</v>
      </c>
      <c r="J1087">
        <v>0.082522159548751001</v>
      </c>
      <c r="K1087">
        <v>2.4884439323126513</v>
      </c>
      <c r="L1087">
        <v>0.45230883818438161</v>
      </c>
      <c r="M1087">
        <v>2.7138530291062897</v>
      </c>
      <c r="N1087">
        <v>5.2022969614189405</v>
      </c>
      <c r="O1087" t="s">
        <v>138</v>
      </c>
      <c r="P1087">
        <v>0.14930663593875906</v>
      </c>
      <c r="Q1087" t="s">
        <v>138</v>
      </c>
      <c r="R1087">
        <v>0.16283118174637737</v>
      </c>
      <c r="S1087" t="s">
        <v>139</v>
      </c>
      <c r="T1087">
        <v>0.62427563537027286</v>
      </c>
      <c r="U1087" t="s">
        <v>90</v>
      </c>
      <c r="V1087">
        <v>0</v>
      </c>
      <c r="W1087" t="s">
        <v>90</v>
      </c>
      <c r="X1087">
        <v>0</v>
      </c>
      <c r="Y1087">
        <v>6.1387104144743505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451</v>
      </c>
      <c r="AF1087">
        <v>850</v>
      </c>
      <c r="AG1087">
        <v>240</v>
      </c>
      <c r="AI1087">
        <v>0.214</v>
      </c>
      <c r="AJ1087" t="s">
        <v>3980</v>
      </c>
      <c r="AK1087" t="s">
        <v>501</v>
      </c>
      <c r="AL1087" t="s">
        <v>4042</v>
      </c>
      <c r="AM1087">
        <v>200000</v>
      </c>
      <c r="AN1087" t="s">
        <v>76</v>
      </c>
      <c r="AO1087">
        <v>1</v>
      </c>
      <c r="AP1087">
        <v>0</v>
      </c>
      <c r="AQ1087">
        <v>16666.666666666668</v>
      </c>
      <c r="AR1087" t="s">
        <v>4059</v>
      </c>
      <c r="AS1087" t="s">
        <v>78</v>
      </c>
      <c r="AX1087" t="s">
        <v>79</v>
      </c>
      <c r="AY1087" t="s">
        <v>137</v>
      </c>
      <c r="AZ1087">
        <v>0</v>
      </c>
      <c r="BA1087" t="s">
        <v>137</v>
      </c>
      <c r="BB1087">
        <v>0</v>
      </c>
      <c r="BE1087">
        <v>0</v>
      </c>
    </row>
    <row r="1088" spans="1:58" ht="12.75">
      <c r="A1088" s="2" t="str">
        <f>HYPERLINK("https://ibp.a2mac1.com/costing(costing:projects/details/8191/part/5384903)","Console Main Part Single")</f>
        <v>Console Main Part Single</v>
      </c>
      <c r="B1088">
        <v>5384903</v>
      </c>
      <c r="C1088">
        <v>5384834</v>
      </c>
      <c r="E1088">
        <v>3.7633994159999999</v>
      </c>
      <c r="F1088">
        <v>0</v>
      </c>
      <c r="G1088">
        <v>0</v>
      </c>
      <c r="H1088">
        <v>0.019090527363368422</v>
      </c>
      <c r="I1088" t="s">
        <v>137</v>
      </c>
      <c r="J1088">
        <v>0.13204910231578948</v>
      </c>
      <c r="K1088">
        <v>3.9145390456791578</v>
      </c>
      <c r="L1088">
        <v>0.082151340613544663</v>
      </c>
      <c r="M1088">
        <v>0.49290804368126795</v>
      </c>
      <c r="N1088">
        <v>4.4074470893604261</v>
      </c>
      <c r="O1088" t="s">
        <v>90</v>
      </c>
      <c r="P1088">
        <v>0</v>
      </c>
      <c r="Q1088" t="s">
        <v>90</v>
      </c>
      <c r="R1088">
        <v>0</v>
      </c>
      <c r="S1088" t="s">
        <v>90</v>
      </c>
      <c r="T1088">
        <v>0</v>
      </c>
      <c r="U1088" t="s">
        <v>90</v>
      </c>
      <c r="V1088">
        <v>0</v>
      </c>
      <c r="W1088" t="s">
        <v>90</v>
      </c>
      <c r="X1088">
        <v>0</v>
      </c>
      <c r="Y1088">
        <v>4.4074470893604261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940</v>
      </c>
      <c r="AF1088">
        <v>203</v>
      </c>
      <c r="AG1088">
        <v>279</v>
      </c>
      <c r="AI1088">
        <v>1.762</v>
      </c>
      <c r="AJ1088" t="s">
        <v>4067</v>
      </c>
      <c r="AK1088" t="s">
        <v>501</v>
      </c>
      <c r="AL1088" t="s">
        <v>1721</v>
      </c>
      <c r="AM1088">
        <v>200000</v>
      </c>
      <c r="AN1088" t="s">
        <v>92</v>
      </c>
      <c r="AO1088">
        <v>1</v>
      </c>
      <c r="AP1088">
        <v>0</v>
      </c>
      <c r="AQ1088">
        <v>16666.666666666668</v>
      </c>
      <c r="AR1088" t="s">
        <v>4068</v>
      </c>
      <c r="AS1088" t="s">
        <v>78</v>
      </c>
      <c r="AX1088" t="s">
        <v>79</v>
      </c>
      <c r="AY1088" t="s">
        <v>137</v>
      </c>
      <c r="AZ1088">
        <v>0</v>
      </c>
      <c r="BA1088" t="s">
        <v>137</v>
      </c>
      <c r="BB1088">
        <v>0</v>
      </c>
      <c r="BE1088">
        <v>0</v>
      </c>
    </row>
    <row r="1089" spans="1:58" ht="12.75">
      <c r="A1089" s="2" t="str">
        <f>HYPERLINK("https://ibp.a2mac1.com/costing(costing:projects/details/8191/part/5384904)","Upper Trim")</f>
        <v>Upper Trim</v>
      </c>
      <c r="B1089">
        <v>5384904</v>
      </c>
      <c r="C1089">
        <v>5384834</v>
      </c>
      <c r="E1089">
        <v>0.85328359200000004</v>
      </c>
      <c r="F1089">
        <v>0</v>
      </c>
      <c r="G1089">
        <v>0</v>
      </c>
      <c r="H1089">
        <v>0.0043284360656842104</v>
      </c>
      <c r="I1089" t="s">
        <v>137</v>
      </c>
      <c r="J1089">
        <v>0.029939775157894737</v>
      </c>
      <c r="K1089">
        <v>0.88755180322357896</v>
      </c>
      <c r="L1089">
        <v>0.028032285912185224</v>
      </c>
      <c r="M1089">
        <v>0.16819371547311135</v>
      </c>
      <c r="N1089">
        <v>1.0557455186966902</v>
      </c>
      <c r="O1089" t="s">
        <v>90</v>
      </c>
      <c r="P1089">
        <v>0</v>
      </c>
      <c r="Q1089" t="s">
        <v>90</v>
      </c>
      <c r="R1089">
        <v>0</v>
      </c>
      <c r="S1089" t="s">
        <v>90</v>
      </c>
      <c r="T1089">
        <v>0</v>
      </c>
      <c r="U1089" t="s">
        <v>90</v>
      </c>
      <c r="V1089">
        <v>0</v>
      </c>
      <c r="W1089" t="s">
        <v>90</v>
      </c>
      <c r="X1089">
        <v>0</v>
      </c>
      <c r="Y1089">
        <v>1.0557455186966902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960</v>
      </c>
      <c r="AF1089">
        <v>195</v>
      </c>
      <c r="AG1089">
        <v>120</v>
      </c>
      <c r="AI1089">
        <v>0.60299999999999998</v>
      </c>
      <c r="AJ1089" t="s">
        <v>685</v>
      </c>
      <c r="AK1089" t="s">
        <v>501</v>
      </c>
      <c r="AL1089" t="s">
        <v>728</v>
      </c>
      <c r="AM1089">
        <v>200000</v>
      </c>
      <c r="AN1089" t="s">
        <v>92</v>
      </c>
      <c r="AO1089">
        <v>1</v>
      </c>
      <c r="AP1089">
        <v>0</v>
      </c>
      <c r="AQ1089">
        <v>16666.666666666668</v>
      </c>
      <c r="AR1089" t="s">
        <v>4073</v>
      </c>
      <c r="AS1089" t="s">
        <v>78</v>
      </c>
      <c r="AX1089" t="s">
        <v>79</v>
      </c>
      <c r="AY1089" t="s">
        <v>137</v>
      </c>
      <c r="AZ1089">
        <v>0</v>
      </c>
      <c r="BA1089" t="s">
        <v>137</v>
      </c>
      <c r="BB1089">
        <v>0</v>
      </c>
      <c r="BE1089">
        <v>0</v>
      </c>
    </row>
    <row r="1090" spans="1:58" ht="12.75">
      <c r="A1090" s="2" t="str">
        <f>HYPERLINK("https://ibp.a2mac1.com/costing(costing:projects/details/8191/part/5384905)","Trim Bezel")</f>
        <v>Trim Bezel</v>
      </c>
      <c r="B1090">
        <v>5384905</v>
      </c>
      <c r="C1090">
        <v>5384834</v>
      </c>
      <c r="E1090">
        <v>0.53211849600000005</v>
      </c>
      <c r="F1090">
        <v>0</v>
      </c>
      <c r="G1090">
        <v>0</v>
      </c>
      <c r="H1090">
        <v>0.002699267759157895</v>
      </c>
      <c r="I1090" t="s">
        <v>137</v>
      </c>
      <c r="J1090">
        <v>0.018670824421052633</v>
      </c>
      <c r="K1090">
        <v>0.55348858818021052</v>
      </c>
      <c r="L1090">
        <v>0.010263958479019376</v>
      </c>
      <c r="M1090">
        <v>0.061583750874116258</v>
      </c>
      <c r="N1090">
        <v>0.61507233905432679</v>
      </c>
      <c r="O1090" t="s">
        <v>138</v>
      </c>
      <c r="P1090">
        <v>0.033209315290812634</v>
      </c>
      <c r="Q1090" t="s">
        <v>138</v>
      </c>
      <c r="R1090">
        <v>0.0036950250524469754</v>
      </c>
      <c r="S1090" t="s">
        <v>139</v>
      </c>
      <c r="T1090">
        <v>0.073808680686519218</v>
      </c>
      <c r="U1090" t="s">
        <v>90</v>
      </c>
      <c r="V1090">
        <v>0</v>
      </c>
      <c r="W1090" t="s">
        <v>90</v>
      </c>
      <c r="X1090">
        <v>0</v>
      </c>
      <c r="Y1090">
        <v>0.72578536008410555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385</v>
      </c>
      <c r="AF1090">
        <v>194</v>
      </c>
      <c r="AG1090">
        <v>40</v>
      </c>
      <c r="AI1090">
        <v>0.221</v>
      </c>
      <c r="AK1090" t="s">
        <v>501</v>
      </c>
      <c r="AL1090" t="s">
        <v>1275</v>
      </c>
      <c r="AM1090">
        <v>200000</v>
      </c>
      <c r="AN1090" t="s">
        <v>76</v>
      </c>
      <c r="AO1090">
        <v>1</v>
      </c>
      <c r="AP1090">
        <v>0</v>
      </c>
      <c r="AQ1090">
        <v>16666.666666666668</v>
      </c>
      <c r="AR1090" t="s">
        <v>4076</v>
      </c>
      <c r="AS1090" t="s">
        <v>78</v>
      </c>
      <c r="AX1090" t="s">
        <v>79</v>
      </c>
      <c r="AY1090" t="s">
        <v>137</v>
      </c>
      <c r="AZ1090">
        <v>0</v>
      </c>
      <c r="BA1090" t="s">
        <v>137</v>
      </c>
      <c r="BB1090">
        <v>0</v>
      </c>
      <c r="BE1090">
        <v>0</v>
      </c>
    </row>
    <row r="1091" spans="1:58" ht="12.75">
      <c r="A1091" s="2" t="str">
        <f>HYPERLINK("https://ibp.a2mac1.com/costing(costing:projects/details/8191/part/5385038)","Central")</f>
        <v>Central</v>
      </c>
      <c r="B1091">
        <v>5385038</v>
      </c>
      <c r="C1091">
        <v>5384906</v>
      </c>
      <c r="E1091">
        <v>0.56602560000000002</v>
      </c>
      <c r="F1091">
        <v>0</v>
      </c>
      <c r="G1091">
        <v>0</v>
      </c>
      <c r="H1091">
        <v>0.002871267705263158</v>
      </c>
      <c r="I1091" t="s">
        <v>137</v>
      </c>
      <c r="J1091">
        <v>0.019860547368421053</v>
      </c>
      <c r="K1091">
        <v>0.58875741507368418</v>
      </c>
      <c r="L1091">
        <v>0.018585694727726084</v>
      </c>
      <c r="M1091">
        <v>0.11151416836635651</v>
      </c>
      <c r="N1091">
        <v>0.7002715834400407</v>
      </c>
      <c r="O1091" t="s">
        <v>90</v>
      </c>
      <c r="P1091">
        <v>0</v>
      </c>
      <c r="Q1091" t="s">
        <v>90</v>
      </c>
      <c r="R1091">
        <v>0</v>
      </c>
      <c r="S1091" t="s">
        <v>90</v>
      </c>
      <c r="T1091">
        <v>0</v>
      </c>
      <c r="U1091" t="s">
        <v>90</v>
      </c>
      <c r="V1091">
        <v>0</v>
      </c>
      <c r="W1091" t="s">
        <v>90</v>
      </c>
      <c r="X1091">
        <v>0</v>
      </c>
      <c r="Y1091">
        <v>0.7002715834400407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51</v>
      </c>
      <c r="AF1091">
        <v>960</v>
      </c>
      <c r="AG1091">
        <v>226</v>
      </c>
      <c r="AI1091">
        <v>0.40</v>
      </c>
      <c r="AJ1091" t="s">
        <v>685</v>
      </c>
      <c r="AK1091" t="s">
        <v>501</v>
      </c>
      <c r="AL1091" t="s">
        <v>728</v>
      </c>
      <c r="AM1091">
        <v>200000</v>
      </c>
      <c r="AN1091" t="s">
        <v>92</v>
      </c>
      <c r="AO1091">
        <v>1</v>
      </c>
      <c r="AP1091">
        <v>0</v>
      </c>
      <c r="AQ1091">
        <v>16666.666666666668</v>
      </c>
      <c r="AR1091" t="s">
        <v>4084</v>
      </c>
      <c r="AS1091" t="s">
        <v>78</v>
      </c>
      <c r="AX1091" t="s">
        <v>79</v>
      </c>
      <c r="AY1091" t="s">
        <v>137</v>
      </c>
      <c r="AZ1091">
        <v>0</v>
      </c>
      <c r="BA1091" t="s">
        <v>137</v>
      </c>
      <c r="BB1091">
        <v>0</v>
      </c>
      <c r="BE1091">
        <v>0</v>
      </c>
    </row>
    <row r="1092" spans="1:58" ht="12.75">
      <c r="A1092" s="2" t="str">
        <f>HYPERLINK("https://ibp.a2mac1.com/costing(costing:projects/details/8191/part/5385039)","Central")</f>
        <v>Central</v>
      </c>
      <c r="B1092">
        <v>5385039</v>
      </c>
      <c r="C1092">
        <v>5384907</v>
      </c>
      <c r="E1092">
        <v>0.56885572799999995</v>
      </c>
      <c r="F1092">
        <v>0</v>
      </c>
      <c r="G1092">
        <v>0</v>
      </c>
      <c r="H1092">
        <v>0.0028856240437894736</v>
      </c>
      <c r="I1092" t="s">
        <v>137</v>
      </c>
      <c r="J1092">
        <v>0.019959850105263157</v>
      </c>
      <c r="K1092">
        <v>0.59170120214905264</v>
      </c>
      <c r="L1092">
        <v>0.018678717461529826</v>
      </c>
      <c r="M1092">
        <v>0.11207230476917895</v>
      </c>
      <c r="N1092">
        <v>0.7037735069182316</v>
      </c>
      <c r="O1092" t="s">
        <v>90</v>
      </c>
      <c r="P1092">
        <v>0</v>
      </c>
      <c r="Q1092" t="s">
        <v>90</v>
      </c>
      <c r="R1092">
        <v>0</v>
      </c>
      <c r="S1092" t="s">
        <v>90</v>
      </c>
      <c r="T1092">
        <v>0</v>
      </c>
      <c r="U1092" t="s">
        <v>90</v>
      </c>
      <c r="V1092">
        <v>0</v>
      </c>
      <c r="W1092" t="s">
        <v>90</v>
      </c>
      <c r="X1092">
        <v>0</v>
      </c>
      <c r="Y1092">
        <v>0.7037735069182316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60</v>
      </c>
      <c r="AF1092">
        <v>979</v>
      </c>
      <c r="AG1092">
        <v>194</v>
      </c>
      <c r="AI1092">
        <v>0.40200000000000002</v>
      </c>
      <c r="AJ1092" t="s">
        <v>685</v>
      </c>
      <c r="AK1092" t="s">
        <v>501</v>
      </c>
      <c r="AL1092" t="s">
        <v>728</v>
      </c>
      <c r="AM1092">
        <v>200000</v>
      </c>
      <c r="AN1092" t="s">
        <v>92</v>
      </c>
      <c r="AO1092">
        <v>1</v>
      </c>
      <c r="AP1092">
        <v>0</v>
      </c>
      <c r="AQ1092">
        <v>16666.666666666668</v>
      </c>
      <c r="AR1092" t="s">
        <v>4091</v>
      </c>
      <c r="AS1092" t="s">
        <v>78</v>
      </c>
      <c r="AX1092" t="s">
        <v>79</v>
      </c>
      <c r="AY1092" t="s">
        <v>137</v>
      </c>
      <c r="AZ1092">
        <v>0</v>
      </c>
      <c r="BA1092" t="s">
        <v>137</v>
      </c>
      <c r="BB1092">
        <v>0</v>
      </c>
      <c r="BE1092">
        <v>0</v>
      </c>
    </row>
    <row r="1093" spans="1:58" ht="12.75">
      <c r="A1093" s="2" t="str">
        <f>HYPERLINK("https://ibp.a2mac1.com/costing(costing:projects/details/8191/part/5384908)","Front Left Single and Right if Similar")</f>
        <v>Front Left Single and Right if Similar</v>
      </c>
      <c r="B1093">
        <v>5384908</v>
      </c>
      <c r="C1093">
        <v>5384836</v>
      </c>
      <c r="E1093">
        <v>0.37252795999999999</v>
      </c>
      <c r="F1093">
        <v>0</v>
      </c>
      <c r="G1093">
        <v>0</v>
      </c>
      <c r="H1093">
        <v>0.0011473861168</v>
      </c>
      <c r="I1093" t="s">
        <v>137</v>
      </c>
      <c r="J1093">
        <v>0.0130384786</v>
      </c>
      <c r="K1093">
        <v>0.38671382471679999</v>
      </c>
      <c r="L1093">
        <v>0.023305792316797781</v>
      </c>
      <c r="M1093">
        <v>0.13983475390078667</v>
      </c>
      <c r="N1093">
        <v>0.52654857861758664</v>
      </c>
      <c r="O1093" t="s">
        <v>138</v>
      </c>
      <c r="P1093">
        <v>0.023202829483007999</v>
      </c>
      <c r="Q1093" t="s">
        <v>138</v>
      </c>
      <c r="R1093">
        <v>0.0083900852340472003</v>
      </c>
      <c r="S1093" t="s">
        <v>139</v>
      </c>
      <c r="T1093">
        <v>0.063185829434110399</v>
      </c>
      <c r="U1093" t="s">
        <v>90</v>
      </c>
      <c r="V1093">
        <v>0</v>
      </c>
      <c r="W1093" t="s">
        <v>90</v>
      </c>
      <c r="X1093">
        <v>0</v>
      </c>
      <c r="Y1093">
        <v>0.62132732276875224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247</v>
      </c>
      <c r="AF1093">
        <v>234</v>
      </c>
      <c r="AG1093">
        <v>75</v>
      </c>
      <c r="AI1093">
        <v>0.70599999999999996</v>
      </c>
      <c r="AJ1093" t="s">
        <v>685</v>
      </c>
      <c r="AK1093" t="s">
        <v>501</v>
      </c>
      <c r="AL1093" t="s">
        <v>720</v>
      </c>
      <c r="AM1093">
        <v>200000</v>
      </c>
      <c r="AN1093" t="s">
        <v>76</v>
      </c>
      <c r="AO1093">
        <v>1</v>
      </c>
      <c r="AP1093">
        <v>0</v>
      </c>
      <c r="AQ1093">
        <v>16666.666666666668</v>
      </c>
      <c r="AR1093" t="s">
        <v>4101</v>
      </c>
      <c r="AS1093" t="s">
        <v>78</v>
      </c>
      <c r="AX1093" t="s">
        <v>79</v>
      </c>
      <c r="AY1093" t="s">
        <v>137</v>
      </c>
      <c r="AZ1093">
        <v>0</v>
      </c>
      <c r="BA1093" t="s">
        <v>137</v>
      </c>
      <c r="BB1093">
        <v>0</v>
      </c>
      <c r="BE1093">
        <v>0</v>
      </c>
    </row>
    <row r="1094" spans="1:58" ht="12.75">
      <c r="A1094" s="2" t="str">
        <f>HYPERLINK("https://ibp.a2mac1.com/costing(costing:projects/details/8191/part/5384909)","Rear Single Left")</f>
        <v>Rear Single Left</v>
      </c>
      <c r="B1094">
        <v>5384909</v>
      </c>
      <c r="C1094">
        <v>5384836</v>
      </c>
      <c r="E1094">
        <v>0.14932777999999999</v>
      </c>
      <c r="F1094">
        <v>0</v>
      </c>
      <c r="G1094">
        <v>0</v>
      </c>
      <c r="H1094">
        <v>0.00045992956239999998</v>
      </c>
      <c r="I1094" t="s">
        <v>137</v>
      </c>
      <c r="J1094">
        <v>0.0052264722999999999</v>
      </c>
      <c r="K1094">
        <v>0.15501418186240001</v>
      </c>
      <c r="L1094">
        <v>0.023305792316797781</v>
      </c>
      <c r="M1094">
        <v>0.13983475390078667</v>
      </c>
      <c r="N1094">
        <v>0.29484893576318666</v>
      </c>
      <c r="O1094" t="s">
        <v>138</v>
      </c>
      <c r="P1094">
        <v>0.0093008509117439991</v>
      </c>
      <c r="Q1094" t="s">
        <v>138</v>
      </c>
      <c r="R1094">
        <v>0.0083900852340472003</v>
      </c>
      <c r="S1094" t="s">
        <v>139</v>
      </c>
      <c r="T1094">
        <v>0.035381872291582399</v>
      </c>
      <c r="U1094" t="s">
        <v>90</v>
      </c>
      <c r="V1094">
        <v>0</v>
      </c>
      <c r="W1094" t="s">
        <v>90</v>
      </c>
      <c r="X1094">
        <v>0</v>
      </c>
      <c r="Y1094">
        <v>0.34792174420056027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93</v>
      </c>
      <c r="AF1094">
        <v>204</v>
      </c>
      <c r="AG1094">
        <v>55</v>
      </c>
      <c r="AI1094">
        <v>0.28299999999999997</v>
      </c>
      <c r="AJ1094" t="s">
        <v>685</v>
      </c>
      <c r="AK1094" t="s">
        <v>501</v>
      </c>
      <c r="AL1094" t="s">
        <v>720</v>
      </c>
      <c r="AM1094">
        <v>200000</v>
      </c>
      <c r="AN1094" t="s">
        <v>76</v>
      </c>
      <c r="AO1094">
        <v>1</v>
      </c>
      <c r="AP1094">
        <v>0</v>
      </c>
      <c r="AQ1094">
        <v>16666.666666666668</v>
      </c>
      <c r="AR1094" t="s">
        <v>4108</v>
      </c>
      <c r="AS1094" t="s">
        <v>78</v>
      </c>
      <c r="AX1094" t="s">
        <v>79</v>
      </c>
      <c r="AY1094" t="s">
        <v>137</v>
      </c>
      <c r="AZ1094">
        <v>0</v>
      </c>
      <c r="BA1094" t="s">
        <v>137</v>
      </c>
      <c r="BB1094">
        <v>0</v>
      </c>
      <c r="BE1094">
        <v>0</v>
      </c>
    </row>
    <row r="1095" spans="1:58" ht="12.75">
      <c r="A1095" s="2" t="str">
        <f>HYPERLINK("https://ibp.a2mac1.com/costing(costing:projects/details/8191/part/5384911)","Tray")</f>
        <v>Tray</v>
      </c>
      <c r="B1095">
        <v>5384911</v>
      </c>
      <c r="C1095">
        <v>5384838</v>
      </c>
      <c r="E1095">
        <v>0.34731097898307617</v>
      </c>
      <c r="F1095">
        <v>0</v>
      </c>
      <c r="G1095">
        <v>0</v>
      </c>
      <c r="H1095">
        <v>0.00036155788949726234</v>
      </c>
      <c r="I1095" t="s">
        <v>137</v>
      </c>
      <c r="J1095">
        <v>0.012167813588850175</v>
      </c>
      <c r="K1095">
        <v>0.3598403504614236</v>
      </c>
      <c r="L1095">
        <v>0.011605503457385705</v>
      </c>
      <c r="M1095">
        <v>0.069633020744314225</v>
      </c>
      <c r="N1095">
        <v>0.42947337120573781</v>
      </c>
      <c r="O1095" t="s">
        <v>90</v>
      </c>
      <c r="P1095">
        <v>0</v>
      </c>
      <c r="Q1095" t="s">
        <v>90</v>
      </c>
      <c r="R1095">
        <v>0</v>
      </c>
      <c r="S1095" t="s">
        <v>90</v>
      </c>
      <c r="T1095">
        <v>0</v>
      </c>
      <c r="U1095" t="s">
        <v>90</v>
      </c>
      <c r="V1095">
        <v>0</v>
      </c>
      <c r="W1095" t="s">
        <v>90</v>
      </c>
      <c r="X1095">
        <v>0</v>
      </c>
      <c r="Y1095">
        <v>0.42947337120573781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335</v>
      </c>
      <c r="AF1095">
        <v>150</v>
      </c>
      <c r="AG1095">
        <v>179</v>
      </c>
      <c r="AI1095">
        <v>0.33700000000000002</v>
      </c>
      <c r="AK1095" t="s">
        <v>501</v>
      </c>
      <c r="AL1095" t="s">
        <v>4123</v>
      </c>
      <c r="AM1095">
        <v>200000</v>
      </c>
      <c r="AN1095" t="s">
        <v>92</v>
      </c>
      <c r="AO1095">
        <v>1</v>
      </c>
      <c r="AP1095">
        <v>0</v>
      </c>
      <c r="AQ1095">
        <v>16666.666666666668</v>
      </c>
      <c r="AR1095" t="s">
        <v>4124</v>
      </c>
      <c r="AS1095" t="s">
        <v>78</v>
      </c>
      <c r="AX1095" t="s">
        <v>79</v>
      </c>
      <c r="AY1095" t="s">
        <v>137</v>
      </c>
      <c r="AZ1095">
        <v>0</v>
      </c>
      <c r="BA1095" t="s">
        <v>137</v>
      </c>
      <c r="BB1095">
        <v>0</v>
      </c>
      <c r="BE1095">
        <v>0</v>
      </c>
    </row>
    <row r="1096" spans="1:58" ht="12.75">
      <c r="A1096" s="2" t="str">
        <f>HYPERLINK("https://ibp.a2mac1.com/costing(costing:projects/details/8191/part/5384912)","Support")</f>
        <v>Support</v>
      </c>
      <c r="B1096">
        <v>5384912</v>
      </c>
      <c r="C1096">
        <v>5384838</v>
      </c>
      <c r="E1096">
        <v>0.31541865600000002</v>
      </c>
      <c r="F1096">
        <v>0</v>
      </c>
      <c r="G1096">
        <v>0</v>
      </c>
      <c r="H1096">
        <v>0.0016000184454736841</v>
      </c>
      <c r="I1096" t="s">
        <v>137</v>
      </c>
      <c r="J1096">
        <v>0.011067321263157895</v>
      </c>
      <c r="K1096">
        <v>0.32808599570863156</v>
      </c>
      <c r="L1096">
        <v>0.0060826836378099613</v>
      </c>
      <c r="M1096">
        <v>0.036496101826859764</v>
      </c>
      <c r="N1096">
        <v>0.36458209753549137</v>
      </c>
      <c r="O1096" t="s">
        <v>90</v>
      </c>
      <c r="P1096">
        <v>0</v>
      </c>
      <c r="Q1096" t="s">
        <v>90</v>
      </c>
      <c r="R1096">
        <v>0</v>
      </c>
      <c r="S1096" t="s">
        <v>90</v>
      </c>
      <c r="T1096">
        <v>0</v>
      </c>
      <c r="U1096" t="s">
        <v>90</v>
      </c>
      <c r="V1096">
        <v>0</v>
      </c>
      <c r="W1096" t="s">
        <v>90</v>
      </c>
      <c r="X1096">
        <v>0</v>
      </c>
      <c r="Y1096">
        <v>0.36458209753549137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210</v>
      </c>
      <c r="AF1096">
        <v>173</v>
      </c>
      <c r="AG1096">
        <v>190</v>
      </c>
      <c r="AI1096">
        <v>0.13100000000000001</v>
      </c>
      <c r="AK1096" t="s">
        <v>501</v>
      </c>
      <c r="AL1096" t="s">
        <v>1275</v>
      </c>
      <c r="AM1096">
        <v>200000</v>
      </c>
      <c r="AN1096" t="s">
        <v>92</v>
      </c>
      <c r="AO1096">
        <v>1</v>
      </c>
      <c r="AP1096">
        <v>0</v>
      </c>
      <c r="AQ1096">
        <v>16666.666666666668</v>
      </c>
      <c r="AR1096" t="s">
        <v>4129</v>
      </c>
      <c r="AS1096" t="s">
        <v>78</v>
      </c>
      <c r="AX1096" t="s">
        <v>79</v>
      </c>
      <c r="AY1096" t="s">
        <v>137</v>
      </c>
      <c r="AZ1096">
        <v>0</v>
      </c>
      <c r="BA1096" t="s">
        <v>137</v>
      </c>
      <c r="BB1096">
        <v>0</v>
      </c>
      <c r="BE1096">
        <v>0</v>
      </c>
    </row>
    <row r="1097" spans="1:58" ht="12.75">
      <c r="A1097" s="2" t="str">
        <f>HYPERLINK("https://ibp.a2mac1.com/costing(costing:projects/details/8191/part/5384913)","2nd Support")</f>
        <v>2nd Support</v>
      </c>
      <c r="B1097">
        <v>5384913</v>
      </c>
      <c r="C1097">
        <v>5384838</v>
      </c>
      <c r="E1097">
        <v>0.031301087999999998</v>
      </c>
      <c r="F1097">
        <v>0</v>
      </c>
      <c r="G1097">
        <v>0</v>
      </c>
      <c r="H1097">
        <v>0.00015878045642105264</v>
      </c>
      <c r="I1097" t="s">
        <v>137</v>
      </c>
      <c r="J1097">
        <v>0.0010982837894736842</v>
      </c>
      <c r="K1097">
        <v>0.032558152245894735</v>
      </c>
      <c r="L1097">
        <v>0.00060344524918508596</v>
      </c>
      <c r="M1097">
        <v>0.0036206714951105162</v>
      </c>
      <c r="N1097">
        <v>0.036178823741005256</v>
      </c>
      <c r="O1097" t="s">
        <v>90</v>
      </c>
      <c r="P1097">
        <v>0</v>
      </c>
      <c r="Q1097" t="s">
        <v>90</v>
      </c>
      <c r="R1097">
        <v>0</v>
      </c>
      <c r="S1097" t="s">
        <v>90</v>
      </c>
      <c r="T1097">
        <v>0</v>
      </c>
      <c r="U1097" t="s">
        <v>90</v>
      </c>
      <c r="V1097">
        <v>0</v>
      </c>
      <c r="W1097" t="s">
        <v>90</v>
      </c>
      <c r="X1097">
        <v>0</v>
      </c>
      <c r="Y1097">
        <v>0.036178823741005256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18</v>
      </c>
      <c r="AF1097">
        <v>172</v>
      </c>
      <c r="AG1097">
        <v>21</v>
      </c>
      <c r="AI1097">
        <v>0.012999999999999999</v>
      </c>
      <c r="AK1097" t="s">
        <v>501</v>
      </c>
      <c r="AL1097" t="s">
        <v>1275</v>
      </c>
      <c r="AM1097">
        <v>200000</v>
      </c>
      <c r="AN1097" t="s">
        <v>92</v>
      </c>
      <c r="AO1097">
        <v>1</v>
      </c>
      <c r="AP1097">
        <v>0</v>
      </c>
      <c r="AQ1097">
        <v>16666.666666666668</v>
      </c>
      <c r="AR1097" t="s">
        <v>4132</v>
      </c>
      <c r="AS1097" t="s">
        <v>78</v>
      </c>
      <c r="AX1097" t="s">
        <v>79</v>
      </c>
      <c r="AY1097" t="s">
        <v>137</v>
      </c>
      <c r="AZ1097">
        <v>0</v>
      </c>
      <c r="BA1097" t="s">
        <v>137</v>
      </c>
      <c r="BB1097">
        <v>0</v>
      </c>
      <c r="BE1097">
        <v>0</v>
      </c>
    </row>
    <row r="1098" spans="1:58" ht="12.75">
      <c r="A1098" s="2" t="str">
        <f>HYPERLINK("https://ibp.a2mac1.com/costing(costing:projects/details/8191/part/5384914)","Cover")</f>
        <v>Cover</v>
      </c>
      <c r="B1098">
        <v>5384914</v>
      </c>
      <c r="C1098">
        <v>5384838</v>
      </c>
      <c r="E1098">
        <v>0.64137077549999999</v>
      </c>
      <c r="F1098">
        <v>0</v>
      </c>
      <c r="G1098">
        <v>0</v>
      </c>
      <c r="H1098">
        <v>0.003253469798526316</v>
      </c>
      <c r="I1098" t="s">
        <v>137</v>
      </c>
      <c r="J1098">
        <v>0.022504237736842105</v>
      </c>
      <c r="K1098">
        <v>0.66712848303536842</v>
      </c>
      <c r="L1098">
        <v>0.012676303004773373</v>
      </c>
      <c r="M1098">
        <v>0.076057818028640242</v>
      </c>
      <c r="N1098">
        <v>0.74318630106400863</v>
      </c>
      <c r="O1098" t="s">
        <v>90</v>
      </c>
      <c r="P1098">
        <v>0</v>
      </c>
      <c r="Q1098" t="s">
        <v>90</v>
      </c>
      <c r="R1098">
        <v>0</v>
      </c>
      <c r="S1098" t="s">
        <v>90</v>
      </c>
      <c r="T1098">
        <v>0</v>
      </c>
      <c r="U1098" t="s">
        <v>90</v>
      </c>
      <c r="V1098">
        <v>0</v>
      </c>
      <c r="W1098" t="s">
        <v>90</v>
      </c>
      <c r="X1098">
        <v>0</v>
      </c>
      <c r="Y1098">
        <v>0.74318630106400863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357</v>
      </c>
      <c r="AF1098">
        <v>140</v>
      </c>
      <c r="AG1098">
        <v>20</v>
      </c>
      <c r="AI1098">
        <v>0.27300000000000002</v>
      </c>
      <c r="AK1098" t="s">
        <v>501</v>
      </c>
      <c r="AL1098" t="s">
        <v>4137</v>
      </c>
      <c r="AM1098">
        <v>200000</v>
      </c>
      <c r="AN1098" t="s">
        <v>92</v>
      </c>
      <c r="AO1098">
        <v>1</v>
      </c>
      <c r="AP1098">
        <v>0</v>
      </c>
      <c r="AQ1098">
        <v>16666.666666666668</v>
      </c>
      <c r="AR1098" t="s">
        <v>4138</v>
      </c>
      <c r="AS1098" t="s">
        <v>78</v>
      </c>
      <c r="AX1098" t="s">
        <v>79</v>
      </c>
      <c r="AY1098" t="s">
        <v>137</v>
      </c>
      <c r="AZ1098">
        <v>0</v>
      </c>
      <c r="BA1098" t="s">
        <v>137</v>
      </c>
      <c r="BB1098">
        <v>0</v>
      </c>
      <c r="BE1098">
        <v>0</v>
      </c>
    </row>
    <row r="1099" spans="1:58" ht="12.75">
      <c r="A1099" s="2" t="str">
        <f>HYPERLINK("https://ibp.a2mac1.com/costing(costing:projects/details/8191/part/5384915)","Tracks")</f>
        <v>Tracks</v>
      </c>
      <c r="B1099">
        <v>5384915</v>
      </c>
      <c r="C1099">
        <v>5384838</v>
      </c>
      <c r="E1099">
        <v>0.399690816</v>
      </c>
      <c r="F1099">
        <v>0</v>
      </c>
      <c r="G1099">
        <v>0</v>
      </c>
      <c r="H1099">
        <v>0.0020275042896842105</v>
      </c>
      <c r="I1099" t="s">
        <v>137</v>
      </c>
      <c r="J1099">
        <v>0.014024239157894736</v>
      </c>
      <c r="K1099">
        <v>0.41574255944757893</v>
      </c>
      <c r="L1099">
        <v>0.0077085092798501419</v>
      </c>
      <c r="M1099">
        <v>0.046251055679100851</v>
      </c>
      <c r="N1099">
        <v>0.4619936151266798</v>
      </c>
      <c r="O1099" t="s">
        <v>90</v>
      </c>
      <c r="P1099">
        <v>0</v>
      </c>
      <c r="Q1099" t="s">
        <v>90</v>
      </c>
      <c r="R1099">
        <v>0</v>
      </c>
      <c r="S1099" t="s">
        <v>90</v>
      </c>
      <c r="T1099">
        <v>0</v>
      </c>
      <c r="U1099" t="s">
        <v>90</v>
      </c>
      <c r="V1099">
        <v>0</v>
      </c>
      <c r="W1099" t="s">
        <v>90</v>
      </c>
      <c r="X1099">
        <v>0</v>
      </c>
      <c r="Y1099">
        <v>0.4619936151266798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415</v>
      </c>
      <c r="AF1099">
        <v>112</v>
      </c>
      <c r="AG1099">
        <v>198</v>
      </c>
      <c r="AI1099">
        <v>0.16600000000000001</v>
      </c>
      <c r="AK1099" t="s">
        <v>501</v>
      </c>
      <c r="AL1099" t="s">
        <v>1275</v>
      </c>
      <c r="AM1099">
        <v>200000</v>
      </c>
      <c r="AN1099" t="s">
        <v>92</v>
      </c>
      <c r="AO1099">
        <v>1</v>
      </c>
      <c r="AP1099">
        <v>0</v>
      </c>
      <c r="AQ1099">
        <v>16666.666666666668</v>
      </c>
      <c r="AR1099" t="s">
        <v>4141</v>
      </c>
      <c r="AS1099" t="s">
        <v>78</v>
      </c>
      <c r="AX1099" t="s">
        <v>79</v>
      </c>
      <c r="AY1099" t="s">
        <v>137</v>
      </c>
      <c r="AZ1099">
        <v>0</v>
      </c>
      <c r="BA1099" t="s">
        <v>137</v>
      </c>
      <c r="BB1099">
        <v>0</v>
      </c>
      <c r="BE1099">
        <v>0</v>
      </c>
    </row>
    <row r="1100" spans="1:58" ht="12.75">
      <c r="A1100" s="2" t="str">
        <f>HYPERLINK("https://ibp.a2mac1.com/costing(costing:projects/details/8191/part/5384916)","2nd Tracks if different")</f>
        <v>2nd Tracks if different</v>
      </c>
      <c r="B1100">
        <v>5384916</v>
      </c>
      <c r="C1100">
        <v>5384838</v>
      </c>
      <c r="E1100">
        <v>0.375613056</v>
      </c>
      <c r="F1100">
        <v>0</v>
      </c>
      <c r="G1100">
        <v>0</v>
      </c>
      <c r="H1100">
        <v>0.0019053654770526316</v>
      </c>
      <c r="I1100" t="s">
        <v>137</v>
      </c>
      <c r="J1100">
        <v>0.01317940547368421</v>
      </c>
      <c r="K1100">
        <v>0.39069782695073685</v>
      </c>
      <c r="L1100">
        <v>0.0072439583580858283</v>
      </c>
      <c r="M1100">
        <v>0.043463750148514974</v>
      </c>
      <c r="N1100">
        <v>0.43416157709925179</v>
      </c>
      <c r="O1100" t="s">
        <v>90</v>
      </c>
      <c r="P1100">
        <v>0</v>
      </c>
      <c r="Q1100" t="s">
        <v>90</v>
      </c>
      <c r="R1100">
        <v>0</v>
      </c>
      <c r="S1100" t="s">
        <v>90</v>
      </c>
      <c r="T1100">
        <v>0</v>
      </c>
      <c r="U1100" t="s">
        <v>90</v>
      </c>
      <c r="V1100">
        <v>0</v>
      </c>
      <c r="W1100" t="s">
        <v>90</v>
      </c>
      <c r="X1100">
        <v>0</v>
      </c>
      <c r="Y1100">
        <v>0.43416157709925179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420</v>
      </c>
      <c r="AF1100">
        <v>91</v>
      </c>
      <c r="AG1100">
        <v>201</v>
      </c>
      <c r="AI1100">
        <v>0.156</v>
      </c>
      <c r="AK1100" t="s">
        <v>501</v>
      </c>
      <c r="AL1100" t="s">
        <v>1275</v>
      </c>
      <c r="AM1100">
        <v>200000</v>
      </c>
      <c r="AN1100" t="s">
        <v>92</v>
      </c>
      <c r="AO1100">
        <v>1</v>
      </c>
      <c r="AP1100">
        <v>0</v>
      </c>
      <c r="AQ1100">
        <v>16666.666666666668</v>
      </c>
      <c r="AR1100" t="s">
        <v>4145</v>
      </c>
      <c r="AS1100" t="s">
        <v>78</v>
      </c>
      <c r="AX1100" t="s">
        <v>79</v>
      </c>
      <c r="AY1100" t="s">
        <v>137</v>
      </c>
      <c r="AZ1100">
        <v>0</v>
      </c>
      <c r="BA1100" t="s">
        <v>137</v>
      </c>
      <c r="BB1100">
        <v>0</v>
      </c>
      <c r="BE1100">
        <v>0</v>
      </c>
    </row>
    <row r="1101" spans="1:58" ht="12.75">
      <c r="A1101" s="2" t="str">
        <f>HYPERLINK("https://ibp.a2mac1.com/costing(costing:projects/details/8191/part/5384917)","Bottom of Compartment")</f>
        <v>Bottom of Compartment</v>
      </c>
      <c r="B1101">
        <v>5384917</v>
      </c>
      <c r="C1101">
        <v>5384838</v>
      </c>
      <c r="E1101">
        <v>0.13136206650000001</v>
      </c>
      <c r="F1101">
        <v>0</v>
      </c>
      <c r="G1101">
        <v>0</v>
      </c>
      <c r="H1101">
        <v>0.00066635795136842102</v>
      </c>
      <c r="I1101" t="s">
        <v>137</v>
      </c>
      <c r="J1101">
        <v>0.0046091953157894735</v>
      </c>
      <c r="K1101">
        <v>0.13663761976715791</v>
      </c>
      <c r="L1101">
        <v>0.0038534469803760039</v>
      </c>
      <c r="M1101">
        <v>0.023120681882256022</v>
      </c>
      <c r="N1101">
        <v>0.15975830164941393</v>
      </c>
      <c r="O1101" t="s">
        <v>90</v>
      </c>
      <c r="P1101">
        <v>0</v>
      </c>
      <c r="Q1101" t="s">
        <v>90</v>
      </c>
      <c r="R1101">
        <v>0</v>
      </c>
      <c r="S1101" t="s">
        <v>90</v>
      </c>
      <c r="T1101">
        <v>0</v>
      </c>
      <c r="U1101" t="s">
        <v>90</v>
      </c>
      <c r="V1101">
        <v>0</v>
      </c>
      <c r="W1101" t="s">
        <v>90</v>
      </c>
      <c r="X1101">
        <v>0</v>
      </c>
      <c r="Y1101">
        <v>0.15975830164941393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230</v>
      </c>
      <c r="AF1101">
        <v>125</v>
      </c>
      <c r="AG1101">
        <v>17</v>
      </c>
      <c r="AI1101">
        <v>0.083000000000000004</v>
      </c>
      <c r="AK1101" t="s">
        <v>501</v>
      </c>
      <c r="AL1101" t="s">
        <v>4149</v>
      </c>
      <c r="AM1101">
        <v>200000</v>
      </c>
      <c r="AN1101" t="s">
        <v>92</v>
      </c>
      <c r="AO1101">
        <v>1</v>
      </c>
      <c r="AP1101">
        <v>0</v>
      </c>
      <c r="AQ1101">
        <v>16666.666666666668</v>
      </c>
      <c r="AR1101" t="s">
        <v>4150</v>
      </c>
      <c r="AS1101" t="s">
        <v>78</v>
      </c>
      <c r="AX1101" t="s">
        <v>79</v>
      </c>
      <c r="AY1101" t="s">
        <v>137</v>
      </c>
      <c r="AZ1101">
        <v>0</v>
      </c>
      <c r="BA1101" t="s">
        <v>137</v>
      </c>
      <c r="BB1101">
        <v>0</v>
      </c>
      <c r="BE1101">
        <v>0</v>
      </c>
    </row>
    <row r="1102" spans="1:58" ht="12.75">
      <c r="A1102" s="2" t="str">
        <f>HYPERLINK("https://ibp.a2mac1.com/costing(costing:projects/details/8191/part/5384918)","Lighting")</f>
        <v>Lighting</v>
      </c>
      <c r="B1102">
        <v>5384918</v>
      </c>
      <c r="C1102">
        <v>5384838</v>
      </c>
      <c r="E1102">
        <v>0.92274</v>
      </c>
      <c r="F1102">
        <v>0</v>
      </c>
      <c r="G1102">
        <v>0</v>
      </c>
      <c r="H1102">
        <v>0</v>
      </c>
      <c r="I1102" t="s">
        <v>74</v>
      </c>
      <c r="J1102">
        <v>0</v>
      </c>
      <c r="K1102">
        <v>0.92274</v>
      </c>
      <c r="L1102">
        <v>0</v>
      </c>
      <c r="M1102">
        <v>0</v>
      </c>
      <c r="N1102">
        <v>0.92274</v>
      </c>
      <c r="O1102" t="s">
        <v>74</v>
      </c>
      <c r="P1102">
        <v>0</v>
      </c>
      <c r="Q1102" t="s">
        <v>74</v>
      </c>
      <c r="R1102">
        <v>0</v>
      </c>
      <c r="S1102" t="s">
        <v>74</v>
      </c>
      <c r="T1102">
        <v>0</v>
      </c>
      <c r="U1102" t="s">
        <v>74</v>
      </c>
      <c r="V1102">
        <v>0</v>
      </c>
      <c r="W1102" t="s">
        <v>74</v>
      </c>
      <c r="X1102">
        <v>0</v>
      </c>
      <c r="Y1102">
        <v>0.92274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21</v>
      </c>
      <c r="AF1102">
        <v>18</v>
      </c>
      <c r="AG1102">
        <v>41</v>
      </c>
      <c r="AI1102">
        <v>0.005</v>
      </c>
      <c r="AJ1102" t="s">
        <v>685</v>
      </c>
      <c r="AK1102" t="s">
        <v>501</v>
      </c>
      <c r="AL1102" t="s">
        <v>1676</v>
      </c>
      <c r="AM1102">
        <v>200000</v>
      </c>
      <c r="AN1102" t="s">
        <v>92</v>
      </c>
      <c r="AO1102">
        <v>1</v>
      </c>
      <c r="AP1102">
        <v>0</v>
      </c>
      <c r="AQ1102">
        <v>16666.666666666668</v>
      </c>
      <c r="AR1102" t="s">
        <v>4151</v>
      </c>
      <c r="AS1102" t="s">
        <v>78</v>
      </c>
      <c r="AX1102" t="s">
        <v>79</v>
      </c>
      <c r="AY1102" t="s">
        <v>74</v>
      </c>
      <c r="AZ1102">
        <v>0</v>
      </c>
      <c r="BA1102" t="s">
        <v>74</v>
      </c>
      <c r="BB1102">
        <v>0</v>
      </c>
      <c r="BD1102">
        <v>0.92274</v>
      </c>
      <c r="BE1102">
        <v>0</v>
      </c>
    </row>
    <row r="1103" spans="1:58" ht="12.75">
      <c r="A1103" s="2" t="str">
        <f>HYPERLINK("https://ibp.a2mac1.com/costing(costing:projects/details/8191/part/5384919)","Lighting Diffuser")</f>
        <v>Lighting Diffuser</v>
      </c>
      <c r="B1103">
        <v>5384919</v>
      </c>
      <c r="C1103">
        <v>5384838</v>
      </c>
      <c r="E1103">
        <v>0.055359999999999999</v>
      </c>
      <c r="F1103">
        <v>0</v>
      </c>
      <c r="G1103">
        <v>0</v>
      </c>
      <c r="H1103">
        <v>0</v>
      </c>
      <c r="I1103" t="s">
        <v>74</v>
      </c>
      <c r="J1103">
        <v>0</v>
      </c>
      <c r="K1103">
        <v>0.055359999999999999</v>
      </c>
      <c r="L1103">
        <v>0</v>
      </c>
      <c r="M1103">
        <v>0</v>
      </c>
      <c r="N1103">
        <v>0.055359999999999999</v>
      </c>
      <c r="O1103" t="s">
        <v>74</v>
      </c>
      <c r="P1103">
        <v>0</v>
      </c>
      <c r="Q1103" t="s">
        <v>74</v>
      </c>
      <c r="R1103">
        <v>0</v>
      </c>
      <c r="S1103" t="s">
        <v>74</v>
      </c>
      <c r="T1103">
        <v>0</v>
      </c>
      <c r="U1103" t="s">
        <v>74</v>
      </c>
      <c r="V1103">
        <v>0</v>
      </c>
      <c r="W1103" t="s">
        <v>74</v>
      </c>
      <c r="X1103">
        <v>0</v>
      </c>
      <c r="Y1103">
        <v>0.055359999999999999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87</v>
      </c>
      <c r="AF1103">
        <v>34</v>
      </c>
      <c r="AG1103">
        <v>35</v>
      </c>
      <c r="AI1103">
        <v>0.001</v>
      </c>
      <c r="AK1103" t="s">
        <v>501</v>
      </c>
      <c r="AL1103" t="s">
        <v>1283</v>
      </c>
      <c r="AM1103">
        <v>200000</v>
      </c>
      <c r="AN1103" t="s">
        <v>92</v>
      </c>
      <c r="AO1103">
        <v>1</v>
      </c>
      <c r="AP1103">
        <v>0</v>
      </c>
      <c r="AQ1103">
        <v>16666.666666666668</v>
      </c>
      <c r="AR1103" t="s">
        <v>4152</v>
      </c>
      <c r="AS1103" t="s">
        <v>78</v>
      </c>
      <c r="AX1103" t="s">
        <v>79</v>
      </c>
      <c r="AY1103" t="s">
        <v>74</v>
      </c>
      <c r="AZ1103">
        <v>0</v>
      </c>
      <c r="BA1103" t="s">
        <v>74</v>
      </c>
      <c r="BB1103">
        <v>0</v>
      </c>
      <c r="BD1103">
        <v>0.055359999999999999</v>
      </c>
      <c r="BE1103">
        <v>0</v>
      </c>
    </row>
    <row r="1104" spans="1:58" ht="12.75">
      <c r="A1104" s="2" t="str">
        <f>HYPERLINK("https://ibp.a2mac1.com/costing(costing:projects/details/8191/part/5384920)","Lighting Diffuser support")</f>
        <v>Lighting Diffuser support</v>
      </c>
      <c r="B1104">
        <v>5384920</v>
      </c>
      <c r="C1104">
        <v>5384838</v>
      </c>
      <c r="E1104">
        <v>0.073819999999999997</v>
      </c>
      <c r="F1104">
        <v>0</v>
      </c>
      <c r="G1104">
        <v>0</v>
      </c>
      <c r="H1104">
        <v>0</v>
      </c>
      <c r="I1104" t="s">
        <v>74</v>
      </c>
      <c r="J1104">
        <v>0</v>
      </c>
      <c r="K1104">
        <v>0.073819999999999997</v>
      </c>
      <c r="L1104">
        <v>0</v>
      </c>
      <c r="M1104">
        <v>0</v>
      </c>
      <c r="N1104">
        <v>0.073819999999999997</v>
      </c>
      <c r="O1104" t="s">
        <v>74</v>
      </c>
      <c r="P1104">
        <v>0</v>
      </c>
      <c r="Q1104" t="s">
        <v>74</v>
      </c>
      <c r="R1104">
        <v>0</v>
      </c>
      <c r="S1104" t="s">
        <v>74</v>
      </c>
      <c r="T1104">
        <v>0</v>
      </c>
      <c r="U1104" t="s">
        <v>74</v>
      </c>
      <c r="V1104">
        <v>0</v>
      </c>
      <c r="W1104" t="s">
        <v>74</v>
      </c>
      <c r="X1104">
        <v>0</v>
      </c>
      <c r="Y1104">
        <v>0.073819999999999997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88</v>
      </c>
      <c r="AF1104">
        <v>58</v>
      </c>
      <c r="AG1104">
        <v>73</v>
      </c>
      <c r="AI1104">
        <v>0.012</v>
      </c>
      <c r="AJ1104" t="s">
        <v>3683</v>
      </c>
      <c r="AK1104" t="s">
        <v>501</v>
      </c>
      <c r="AL1104" t="s">
        <v>1182</v>
      </c>
      <c r="AM1104">
        <v>200000</v>
      </c>
      <c r="AN1104" t="s">
        <v>92</v>
      </c>
      <c r="AO1104">
        <v>1</v>
      </c>
      <c r="AP1104">
        <v>0</v>
      </c>
      <c r="AQ1104">
        <v>16666.666666666668</v>
      </c>
      <c r="AR1104" t="s">
        <v>4153</v>
      </c>
      <c r="AS1104" t="s">
        <v>78</v>
      </c>
      <c r="AX1104" t="s">
        <v>79</v>
      </c>
      <c r="AY1104" t="s">
        <v>74</v>
      </c>
      <c r="AZ1104">
        <v>0</v>
      </c>
      <c r="BA1104" t="s">
        <v>74</v>
      </c>
      <c r="BB1104">
        <v>0</v>
      </c>
      <c r="BD1104">
        <v>0.073819999999999997</v>
      </c>
      <c r="BE1104">
        <v>0</v>
      </c>
    </row>
    <row r="1105" spans="1:58" ht="12.75">
      <c r="A1105" s="2" t="str">
        <f>HYPERLINK("https://ibp.a2mac1.com/costing(costing:projects/details/8191/part/5384921)","Cover Bezel")</f>
        <v>Cover Bezel</v>
      </c>
      <c r="B1105">
        <v>5384921</v>
      </c>
      <c r="C1105">
        <v>5384838</v>
      </c>
      <c r="E1105">
        <v>0.0024077759999999999</v>
      </c>
      <c r="F1105">
        <v>0</v>
      </c>
      <c r="G1105">
        <v>0</v>
      </c>
      <c r="H1105">
        <v>1.2213881263157895E-05</v>
      </c>
      <c r="I1105" t="s">
        <v>137</v>
      </c>
      <c r="J1105">
        <v>8.4483368421052628E-05</v>
      </c>
      <c r="K1105">
        <v>0.0025044732496842105</v>
      </c>
      <c r="L1105">
        <v>4.6417458453793706E-05</v>
      </c>
      <c r="M1105">
        <v>0.00027850475072276222</v>
      </c>
      <c r="N1105">
        <v>0.0027829780004069728</v>
      </c>
      <c r="O1105" t="s">
        <v>138</v>
      </c>
      <c r="P1105">
        <v>0.00015026839498105264</v>
      </c>
      <c r="Q1105" t="s">
        <v>138</v>
      </c>
      <c r="R1105">
        <v>1.6710285043365736E-05</v>
      </c>
      <c r="S1105" t="s">
        <v>139</v>
      </c>
      <c r="T1105">
        <v>0.00033395736004883673</v>
      </c>
      <c r="U1105" t="s">
        <v>90</v>
      </c>
      <c r="V1105">
        <v>0</v>
      </c>
      <c r="W1105" t="s">
        <v>90</v>
      </c>
      <c r="X1105">
        <v>0</v>
      </c>
      <c r="Y1105">
        <v>0.0032839140404802279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2</v>
      </c>
      <c r="AF1105">
        <v>63</v>
      </c>
      <c r="AG1105">
        <v>11</v>
      </c>
      <c r="AI1105">
        <v>0.001</v>
      </c>
      <c r="AK1105" t="s">
        <v>501</v>
      </c>
      <c r="AL1105" t="s">
        <v>1275</v>
      </c>
      <c r="AM1105">
        <v>200000</v>
      </c>
      <c r="AN1105" t="s">
        <v>76</v>
      </c>
      <c r="AO1105">
        <v>1</v>
      </c>
      <c r="AP1105">
        <v>0</v>
      </c>
      <c r="AQ1105">
        <v>16666.666666666668</v>
      </c>
      <c r="AR1105" t="s">
        <v>4156</v>
      </c>
      <c r="AS1105" t="s">
        <v>78</v>
      </c>
      <c r="AX1105" t="s">
        <v>79</v>
      </c>
      <c r="AY1105" t="s">
        <v>137</v>
      </c>
      <c r="AZ1105">
        <v>0</v>
      </c>
      <c r="BA1105" t="s">
        <v>137</v>
      </c>
      <c r="BB1105">
        <v>0</v>
      </c>
      <c r="BE1105">
        <v>0</v>
      </c>
    </row>
    <row r="1106" spans="1:58" ht="12.75">
      <c r="A1106" s="2" t="str">
        <f>HYPERLINK("https://ibp.a2mac1.com/costing(costing:projects/details/8191/part/5384922)","Partition")</f>
        <v>Partition</v>
      </c>
      <c r="B1106">
        <v>5384922</v>
      </c>
      <c r="C1106">
        <v>5384838</v>
      </c>
      <c r="E1106">
        <v>0.29199141052631578</v>
      </c>
      <c r="F1106">
        <v>0</v>
      </c>
      <c r="G1106">
        <v>0</v>
      </c>
      <c r="H1106">
        <v>0.0014687167949473685</v>
      </c>
      <c r="I1106" t="s">
        <v>137</v>
      </c>
      <c r="J1106">
        <v>0.010219699368421053</v>
      </c>
      <c r="K1106">
        <v>0.30367982668968418</v>
      </c>
      <c r="L1106">
        <v>0.0081501205817999852</v>
      </c>
      <c r="M1106">
        <v>0.048900723490799908</v>
      </c>
      <c r="N1106">
        <v>0.35258055018048412</v>
      </c>
      <c r="O1106" t="s">
        <v>90</v>
      </c>
      <c r="P1106">
        <v>0</v>
      </c>
      <c r="Q1106" t="s">
        <v>90</v>
      </c>
      <c r="R1106">
        <v>0</v>
      </c>
      <c r="S1106" t="s">
        <v>90</v>
      </c>
      <c r="T1106">
        <v>0</v>
      </c>
      <c r="U1106" t="s">
        <v>90</v>
      </c>
      <c r="V1106">
        <v>0</v>
      </c>
      <c r="W1106" t="s">
        <v>90</v>
      </c>
      <c r="X1106">
        <v>0</v>
      </c>
      <c r="Y1106">
        <v>0.35258055018048412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35</v>
      </c>
      <c r="AF1106">
        <v>122</v>
      </c>
      <c r="AG1106">
        <v>64</v>
      </c>
      <c r="AI1106">
        <v>0.087999999999999995</v>
      </c>
      <c r="AJ1106" t="s">
        <v>685</v>
      </c>
      <c r="AK1106" t="s">
        <v>501</v>
      </c>
      <c r="AL1106" t="s">
        <v>1345</v>
      </c>
      <c r="AM1106">
        <v>400000</v>
      </c>
      <c r="AN1106" t="s">
        <v>92</v>
      </c>
      <c r="AO1106">
        <v>2</v>
      </c>
      <c r="AP1106">
        <v>0</v>
      </c>
      <c r="AQ1106">
        <v>33333.333333333336</v>
      </c>
      <c r="AR1106" t="s">
        <v>4159</v>
      </c>
      <c r="AS1106" t="s">
        <v>78</v>
      </c>
      <c r="AX1106" t="s">
        <v>79</v>
      </c>
      <c r="AY1106" t="s">
        <v>137</v>
      </c>
      <c r="AZ1106">
        <v>0</v>
      </c>
      <c r="BA1106" t="s">
        <v>137</v>
      </c>
      <c r="BB1106">
        <v>0</v>
      </c>
      <c r="BE1106">
        <v>0</v>
      </c>
    </row>
    <row r="1107" spans="1:58" ht="12.75">
      <c r="A1107" s="2" t="str">
        <f>HYPERLINK("https://ibp.a2mac1.com/costing(costing:projects/details/8191/part/5384923)","Partition Bezel")</f>
        <v>Partition Bezel</v>
      </c>
      <c r="B1107">
        <v>5384923</v>
      </c>
      <c r="C1107">
        <v>5384838</v>
      </c>
      <c r="E1107">
        <v>0.036116639999999998</v>
      </c>
      <c r="F1107">
        <v>0</v>
      </c>
      <c r="G1107">
        <v>0</v>
      </c>
      <c r="H1107">
        <v>0.00018212200421052633</v>
      </c>
      <c r="I1107" t="s">
        <v>137</v>
      </c>
      <c r="J1107">
        <v>0.0012672505263157895</v>
      </c>
      <c r="K1107">
        <v>0.037566012530526313</v>
      </c>
      <c r="L1107">
        <v>0.00069454176864493504</v>
      </c>
      <c r="M1107">
        <v>0.0041672506118696105</v>
      </c>
      <c r="N1107">
        <v>0.041733263142395928</v>
      </c>
      <c r="O1107" t="s">
        <v>138</v>
      </c>
      <c r="P1107">
        <v>0.0022539607518315789</v>
      </c>
      <c r="Q1107" t="s">
        <v>138</v>
      </c>
      <c r="R1107">
        <v>0.00025003503671217661</v>
      </c>
      <c r="S1107" t="s">
        <v>139</v>
      </c>
      <c r="T1107">
        <v>0.0050079915770875113</v>
      </c>
      <c r="U1107" t="s">
        <v>90</v>
      </c>
      <c r="V1107">
        <v>0</v>
      </c>
      <c r="W1107" t="s">
        <v>90</v>
      </c>
      <c r="X1107">
        <v>0</v>
      </c>
      <c r="Y1107">
        <v>0.049245250508027194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33</v>
      </c>
      <c r="AF1107">
        <v>121</v>
      </c>
      <c r="AG1107">
        <v>10</v>
      </c>
      <c r="AI1107">
        <v>0.0075</v>
      </c>
      <c r="AK1107" t="s">
        <v>501</v>
      </c>
      <c r="AL1107" t="s">
        <v>1275</v>
      </c>
      <c r="AM1107">
        <v>400000</v>
      </c>
      <c r="AN1107" t="s">
        <v>76</v>
      </c>
      <c r="AO1107">
        <v>2</v>
      </c>
      <c r="AP1107">
        <v>0</v>
      </c>
      <c r="AQ1107">
        <v>33333.333333333336</v>
      </c>
      <c r="AR1107" t="s">
        <v>4164</v>
      </c>
      <c r="AS1107" t="s">
        <v>78</v>
      </c>
      <c r="AX1107" t="s">
        <v>79</v>
      </c>
      <c r="AY1107" t="s">
        <v>137</v>
      </c>
      <c r="AZ1107">
        <v>0</v>
      </c>
      <c r="BA1107" t="s">
        <v>137</v>
      </c>
      <c r="BB1107">
        <v>0</v>
      </c>
      <c r="BE1107">
        <v>0</v>
      </c>
    </row>
    <row r="1108" spans="1:58" ht="12.75">
      <c r="A1108" s="2" t="str">
        <f>HYPERLINK("https://ibp.a2mac1.com/costing(costing:projects/details/8191/part/5384924)","Latch Anchor")</f>
        <v>Latch Anchor</v>
      </c>
      <c r="B1108">
        <v>5384924</v>
      </c>
      <c r="C1108">
        <v>5384838</v>
      </c>
      <c r="E1108">
        <v>0.042990423333333333</v>
      </c>
      <c r="F1108">
        <v>0</v>
      </c>
      <c r="G1108">
        <v>0</v>
      </c>
      <c r="H1108">
        <v>0.00023516923466666666</v>
      </c>
      <c r="I1108" t="s">
        <v>137</v>
      </c>
      <c r="J1108">
        <v>0.0016266646666666666</v>
      </c>
      <c r="K1108">
        <v>0.044852257234666668</v>
      </c>
      <c r="L1108">
        <v>8.1324526927853343E-05</v>
      </c>
      <c r="M1108">
        <v>0.00048794716156712006</v>
      </c>
      <c r="N1108">
        <v>0.045340204396233784</v>
      </c>
      <c r="O1108" t="s">
        <v>90</v>
      </c>
      <c r="P1108">
        <v>0</v>
      </c>
      <c r="Q1108" t="s">
        <v>90</v>
      </c>
      <c r="R1108">
        <v>0</v>
      </c>
      <c r="S1108" t="s">
        <v>90</v>
      </c>
      <c r="T1108">
        <v>0</v>
      </c>
      <c r="U1108" t="s">
        <v>90</v>
      </c>
      <c r="V1108">
        <v>0</v>
      </c>
      <c r="W1108" t="s">
        <v>90</v>
      </c>
      <c r="X1108">
        <v>0</v>
      </c>
      <c r="Y1108">
        <v>0.045340204396233784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6</v>
      </c>
      <c r="AF1108">
        <v>69</v>
      </c>
      <c r="AG1108">
        <v>33</v>
      </c>
      <c r="AI1108">
        <v>0.01</v>
      </c>
      <c r="AK1108" t="s">
        <v>501</v>
      </c>
      <c r="AL1108" t="s">
        <v>1629</v>
      </c>
      <c r="AM1108">
        <v>200000</v>
      </c>
      <c r="AN1108" t="s">
        <v>92</v>
      </c>
      <c r="AO1108">
        <v>1</v>
      </c>
      <c r="AP1108">
        <v>0</v>
      </c>
      <c r="AQ1108">
        <v>16666.666666666668</v>
      </c>
      <c r="AR1108" t="s">
        <v>4169</v>
      </c>
      <c r="AS1108" t="s">
        <v>78</v>
      </c>
      <c r="AX1108" t="s">
        <v>79</v>
      </c>
      <c r="AY1108" t="s">
        <v>137</v>
      </c>
      <c r="AZ1108">
        <v>0</v>
      </c>
      <c r="BA1108" t="s">
        <v>137</v>
      </c>
      <c r="BB1108">
        <v>0</v>
      </c>
      <c r="BE1108">
        <v>0</v>
      </c>
    </row>
    <row r="1109" spans="1:58" ht="12.75">
      <c r="A1109" s="2" t="str">
        <f>HYPERLINK("https://ibp.a2mac1.com/costing(costing:projects/details/8191/part/5384925)","Air Vent")</f>
        <v>Air Vent</v>
      </c>
      <c r="B1109">
        <v>5384925</v>
      </c>
      <c r="C1109">
        <v>5384839</v>
      </c>
      <c r="E1109">
        <v>3.37</v>
      </c>
      <c r="F1109">
        <v>0</v>
      </c>
      <c r="G1109">
        <v>0</v>
      </c>
      <c r="H1109">
        <v>0.0170522</v>
      </c>
      <c r="I1109" t="s">
        <v>137</v>
      </c>
      <c r="J1109">
        <v>0.11795</v>
      </c>
      <c r="K1109">
        <v>3.5050021999999998</v>
      </c>
      <c r="L1109">
        <v>0.076533822956206074</v>
      </c>
      <c r="M1109">
        <v>0.45920293773723647</v>
      </c>
      <c r="N1109">
        <v>3.9642051377372365</v>
      </c>
      <c r="O1109" t="s">
        <v>90</v>
      </c>
      <c r="P1109">
        <v>0</v>
      </c>
      <c r="Q1109" t="s">
        <v>90</v>
      </c>
      <c r="R1109">
        <v>0</v>
      </c>
      <c r="S1109" t="s">
        <v>90</v>
      </c>
      <c r="T1109">
        <v>0</v>
      </c>
      <c r="U1109" t="s">
        <v>90</v>
      </c>
      <c r="V1109">
        <v>0</v>
      </c>
      <c r="W1109" t="s">
        <v>90</v>
      </c>
      <c r="X1109">
        <v>0</v>
      </c>
      <c r="Y1109">
        <v>3.9642051377372365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95</v>
      </c>
      <c r="AF1109">
        <v>155</v>
      </c>
      <c r="AG1109">
        <v>86</v>
      </c>
      <c r="AI1109">
        <v>0.13800000000000001</v>
      </c>
      <c r="AJ1109" t="s">
        <v>685</v>
      </c>
      <c r="AK1109" t="s">
        <v>501</v>
      </c>
      <c r="AL1109" t="s">
        <v>3804</v>
      </c>
      <c r="AM1109">
        <v>200000</v>
      </c>
      <c r="AN1109" t="s">
        <v>92</v>
      </c>
      <c r="AO1109">
        <v>1</v>
      </c>
      <c r="AP1109">
        <v>0</v>
      </c>
      <c r="AQ1109">
        <v>16666.666666666668</v>
      </c>
      <c r="AR1109" t="s">
        <v>4174</v>
      </c>
      <c r="AS1109" t="s">
        <v>78</v>
      </c>
      <c r="AX1109" t="s">
        <v>79</v>
      </c>
      <c r="AY1109" t="s">
        <v>137</v>
      </c>
      <c r="AZ1109">
        <v>0</v>
      </c>
      <c r="BA1109" t="s">
        <v>137</v>
      </c>
      <c r="BB1109">
        <v>0</v>
      </c>
      <c r="BE1109">
        <v>0</v>
      </c>
    </row>
    <row r="1110" spans="1:58" ht="12.75">
      <c r="A1110" s="2" t="str">
        <f>HYPERLINK("https://ibp.a2mac1.com/costing(costing:projects/details/8191/part/5384926)","Air Vent Support")</f>
        <v>Air Vent Support</v>
      </c>
      <c r="B1110">
        <v>5384926</v>
      </c>
      <c r="C1110">
        <v>5384839</v>
      </c>
      <c r="E1110">
        <v>0.13483545599999999</v>
      </c>
      <c r="F1110">
        <v>0</v>
      </c>
      <c r="G1110">
        <v>0</v>
      </c>
      <c r="H1110">
        <v>0.00068397735073684213</v>
      </c>
      <c r="I1110" t="s">
        <v>137</v>
      </c>
      <c r="J1110">
        <v>0.0047310686315789477</v>
      </c>
      <c r="K1110">
        <v>0.14025050198231578</v>
      </c>
      <c r="L1110">
        <v>0.0025997387695673507</v>
      </c>
      <c r="M1110">
        <v>0.015598432617404102</v>
      </c>
      <c r="N1110">
        <v>0.15584893459971988</v>
      </c>
      <c r="O1110" t="s">
        <v>90</v>
      </c>
      <c r="P1110">
        <v>0</v>
      </c>
      <c r="Q1110" t="s">
        <v>90</v>
      </c>
      <c r="R1110">
        <v>0</v>
      </c>
      <c r="S1110" t="s">
        <v>90</v>
      </c>
      <c r="T1110">
        <v>0</v>
      </c>
      <c r="U1110" t="s">
        <v>90</v>
      </c>
      <c r="V1110">
        <v>0</v>
      </c>
      <c r="W1110" t="s">
        <v>90</v>
      </c>
      <c r="X1110">
        <v>0</v>
      </c>
      <c r="Y1110">
        <v>0.15584893459971988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36</v>
      </c>
      <c r="AF1110">
        <v>175</v>
      </c>
      <c r="AG1110">
        <v>200</v>
      </c>
      <c r="AI1110">
        <v>0.056000000000000001</v>
      </c>
      <c r="AJ1110" t="s">
        <v>685</v>
      </c>
      <c r="AK1110" t="s">
        <v>501</v>
      </c>
      <c r="AL1110" t="s">
        <v>1275</v>
      </c>
      <c r="AM1110">
        <v>200000</v>
      </c>
      <c r="AN1110" t="s">
        <v>92</v>
      </c>
      <c r="AO1110">
        <v>1</v>
      </c>
      <c r="AP1110">
        <v>0</v>
      </c>
      <c r="AQ1110">
        <v>16666.666666666668</v>
      </c>
      <c r="AR1110" t="s">
        <v>4178</v>
      </c>
      <c r="AS1110" t="s">
        <v>78</v>
      </c>
      <c r="AX1110" t="s">
        <v>79</v>
      </c>
      <c r="AY1110" t="s">
        <v>137</v>
      </c>
      <c r="AZ1110">
        <v>0</v>
      </c>
      <c r="BA1110" t="s">
        <v>137</v>
      </c>
      <c r="BB1110">
        <v>0</v>
      </c>
      <c r="BE1110">
        <v>0</v>
      </c>
    </row>
    <row r="1111" spans="1:58" ht="12.75">
      <c r="A1111" s="2" t="str">
        <f>HYPERLINK("https://ibp.a2mac1.com/costing(costing:projects/details/8191/part/5384927)","Air Vent Trim")</f>
        <v>Air Vent Trim</v>
      </c>
      <c r="B1111">
        <v>5384927</v>
      </c>
      <c r="C1111">
        <v>5384839</v>
      </c>
      <c r="E1111">
        <v>0.14276762000000001</v>
      </c>
      <c r="F1111">
        <v>0</v>
      </c>
      <c r="G1111">
        <v>0</v>
      </c>
      <c r="H1111">
        <v>0.0020072475204210528</v>
      </c>
      <c r="I1111" t="s">
        <v>137</v>
      </c>
      <c r="J1111">
        <v>0.0050063710789473685</v>
      </c>
      <c r="K1111">
        <v>0.14978123859936843</v>
      </c>
      <c r="L1111">
        <v>0.051013094839858088</v>
      </c>
      <c r="M1111">
        <v>0.30607856903914854</v>
      </c>
      <c r="N1111">
        <v>0.45585980763851697</v>
      </c>
      <c r="O1111" t="s">
        <v>90</v>
      </c>
      <c r="P1111">
        <v>0</v>
      </c>
      <c r="Q1111" t="s">
        <v>90</v>
      </c>
      <c r="R1111">
        <v>0</v>
      </c>
      <c r="S1111" t="s">
        <v>90</v>
      </c>
      <c r="T1111">
        <v>0</v>
      </c>
      <c r="U1111" t="s">
        <v>90</v>
      </c>
      <c r="V1111">
        <v>0</v>
      </c>
      <c r="W1111" t="s">
        <v>90</v>
      </c>
      <c r="X1111">
        <v>0</v>
      </c>
      <c r="Y1111">
        <v>0.45585980763851697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29</v>
      </c>
      <c r="AF1111">
        <v>160</v>
      </c>
      <c r="AG1111">
        <v>110</v>
      </c>
      <c r="AI1111">
        <v>0.045</v>
      </c>
      <c r="AK1111" t="s">
        <v>501</v>
      </c>
      <c r="AL1111" t="s">
        <v>1275</v>
      </c>
      <c r="AM1111">
        <v>200000</v>
      </c>
      <c r="AN1111" t="s">
        <v>92</v>
      </c>
      <c r="AO1111">
        <v>1</v>
      </c>
      <c r="AP1111">
        <v>0</v>
      </c>
      <c r="AQ1111">
        <v>16666.666666666668</v>
      </c>
      <c r="AR1111" t="s">
        <v>4188</v>
      </c>
      <c r="AS1111" t="s">
        <v>78</v>
      </c>
      <c r="AX1111" t="s">
        <v>79</v>
      </c>
      <c r="AY1111" t="s">
        <v>137</v>
      </c>
      <c r="AZ1111">
        <v>0</v>
      </c>
      <c r="BA1111" t="s">
        <v>137</v>
      </c>
      <c r="BB1111">
        <v>0</v>
      </c>
      <c r="BE1111">
        <v>0</v>
      </c>
    </row>
    <row r="1112" spans="1:58" ht="12.75">
      <c r="A1112" s="2" t="str">
        <f>HYPERLINK("https://ibp.a2mac1.com/costing(costing:projects/details/8191/part/5385041)","Cup Holder")</f>
        <v>Cup Holder</v>
      </c>
      <c r="B1112">
        <v>5385041</v>
      </c>
      <c r="C1112">
        <v>5384928</v>
      </c>
      <c r="E1112">
        <v>0.161320992</v>
      </c>
      <c r="F1112">
        <v>0</v>
      </c>
      <c r="G1112">
        <v>0</v>
      </c>
      <c r="H1112">
        <v>0.00081833004463157896</v>
      </c>
      <c r="I1112" t="s">
        <v>137</v>
      </c>
      <c r="J1112">
        <v>0.0056603856842105263</v>
      </c>
      <c r="K1112">
        <v>0.16779970772884212</v>
      </c>
      <c r="L1112">
        <v>0.0031104881473122889</v>
      </c>
      <c r="M1112">
        <v>0.018662928883873733</v>
      </c>
      <c r="N1112">
        <v>0.18646263661271584</v>
      </c>
      <c r="O1112" t="s">
        <v>90</v>
      </c>
      <c r="P1112">
        <v>0</v>
      </c>
      <c r="Q1112" t="s">
        <v>90</v>
      </c>
      <c r="R1112">
        <v>0</v>
      </c>
      <c r="S1112" t="s">
        <v>90</v>
      </c>
      <c r="T1112">
        <v>0</v>
      </c>
      <c r="U1112" t="s">
        <v>90</v>
      </c>
      <c r="V1112">
        <v>0</v>
      </c>
      <c r="W1112" t="s">
        <v>90</v>
      </c>
      <c r="X1112">
        <v>0</v>
      </c>
      <c r="Y1112">
        <v>0.18646263661271584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72</v>
      </c>
      <c r="AF1112">
        <v>124</v>
      </c>
      <c r="AG1112">
        <v>216</v>
      </c>
      <c r="AI1112">
        <v>0.13400000000000001</v>
      </c>
      <c r="AK1112" t="s">
        <v>501</v>
      </c>
      <c r="AL1112" t="s">
        <v>4195</v>
      </c>
      <c r="AM1112">
        <v>200000</v>
      </c>
      <c r="AN1112" t="s">
        <v>92</v>
      </c>
      <c r="AO1112">
        <v>1</v>
      </c>
      <c r="AP1112">
        <v>0</v>
      </c>
      <c r="AQ1112">
        <v>16666.666666666668</v>
      </c>
      <c r="AR1112" t="s">
        <v>4196</v>
      </c>
      <c r="AS1112" t="s">
        <v>78</v>
      </c>
      <c r="AX1112" t="s">
        <v>79</v>
      </c>
      <c r="AY1112" t="s">
        <v>137</v>
      </c>
      <c r="AZ1112">
        <v>0</v>
      </c>
      <c r="BA1112" t="s">
        <v>137</v>
      </c>
      <c r="BB1112">
        <v>0</v>
      </c>
      <c r="BE1112">
        <v>0</v>
      </c>
    </row>
    <row r="1113" spans="1:58" ht="12.75">
      <c r="A1113" s="2" t="str">
        <f>HYPERLINK("https://ibp.a2mac1.com/costing(costing:projects/details/8191/part/5385042)","Support")</f>
        <v>Support</v>
      </c>
      <c r="B1113">
        <v>5385042</v>
      </c>
      <c r="C1113">
        <v>5384928</v>
      </c>
      <c r="E1113">
        <v>0.18419486400000001</v>
      </c>
      <c r="F1113">
        <v>0</v>
      </c>
      <c r="G1113">
        <v>0</v>
      </c>
      <c r="H1113">
        <v>0.000934361916631579</v>
      </c>
      <c r="I1113" t="s">
        <v>137</v>
      </c>
      <c r="J1113">
        <v>0.0064629776842105267</v>
      </c>
      <c r="K1113">
        <v>0.19159220360084211</v>
      </c>
      <c r="L1113">
        <v>0.0035516127149349199</v>
      </c>
      <c r="M1113">
        <v>0.02130967628960952</v>
      </c>
      <c r="N1113">
        <v>0.21290187989045162</v>
      </c>
      <c r="O1113" t="s">
        <v>90</v>
      </c>
      <c r="P1113">
        <v>0</v>
      </c>
      <c r="Q1113" t="s">
        <v>90</v>
      </c>
      <c r="R1113">
        <v>0</v>
      </c>
      <c r="S1113" t="s">
        <v>90</v>
      </c>
      <c r="T1113">
        <v>0</v>
      </c>
      <c r="U1113" t="s">
        <v>90</v>
      </c>
      <c r="V1113">
        <v>0</v>
      </c>
      <c r="W1113" t="s">
        <v>90</v>
      </c>
      <c r="X1113">
        <v>0</v>
      </c>
      <c r="Y1113">
        <v>0.21290187989045162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73</v>
      </c>
      <c r="AF1113">
        <v>124</v>
      </c>
      <c r="AG1113">
        <v>216</v>
      </c>
      <c r="AI1113">
        <v>0.153</v>
      </c>
      <c r="AK1113" t="s">
        <v>501</v>
      </c>
      <c r="AL1113" t="s">
        <v>4201</v>
      </c>
      <c r="AM1113">
        <v>200000</v>
      </c>
      <c r="AN1113" t="s">
        <v>92</v>
      </c>
      <c r="AO1113">
        <v>1</v>
      </c>
      <c r="AP1113">
        <v>0</v>
      </c>
      <c r="AQ1113">
        <v>16666.666666666668</v>
      </c>
      <c r="AR1113" t="s">
        <v>4202</v>
      </c>
      <c r="AS1113" t="s">
        <v>78</v>
      </c>
      <c r="AX1113" t="s">
        <v>79</v>
      </c>
      <c r="AY1113" t="s">
        <v>137</v>
      </c>
      <c r="AZ1113">
        <v>0</v>
      </c>
      <c r="BA1113" t="s">
        <v>137</v>
      </c>
      <c r="BB1113">
        <v>0</v>
      </c>
      <c r="BE1113">
        <v>0</v>
      </c>
    </row>
    <row r="1114" spans="1:58" ht="12.75">
      <c r="A1114" s="2" t="str">
        <f>HYPERLINK("https://ibp.a2mac1.com/costing(costing:projects/details/8191/part/5385043)","2nd Support")</f>
        <v>2nd Support</v>
      </c>
      <c r="B1114">
        <v>5385043</v>
      </c>
      <c r="C1114">
        <v>5384928</v>
      </c>
      <c r="E1114">
        <v>0.74400278399999997</v>
      </c>
      <c r="F1114">
        <v>0</v>
      </c>
      <c r="G1114">
        <v>0</v>
      </c>
      <c r="H1114">
        <v>0.0037740893103157896</v>
      </c>
      <c r="I1114" t="s">
        <v>137</v>
      </c>
      <c r="J1114">
        <v>0.026105360842105262</v>
      </c>
      <c r="K1114">
        <v>0.77388223415242108</v>
      </c>
      <c r="L1114">
        <v>0.014354152533408753</v>
      </c>
      <c r="M1114">
        <v>0.086124915200452526</v>
      </c>
      <c r="N1114">
        <v>0.86000714935287359</v>
      </c>
      <c r="O1114" t="s">
        <v>90</v>
      </c>
      <c r="P1114">
        <v>0</v>
      </c>
      <c r="Q1114" t="s">
        <v>90</v>
      </c>
      <c r="R1114">
        <v>0</v>
      </c>
      <c r="S1114" t="s">
        <v>90</v>
      </c>
      <c r="T1114">
        <v>0</v>
      </c>
      <c r="U1114" t="s">
        <v>90</v>
      </c>
      <c r="V1114">
        <v>0</v>
      </c>
      <c r="W1114" t="s">
        <v>90</v>
      </c>
      <c r="X1114">
        <v>0</v>
      </c>
      <c r="Y1114">
        <v>0.86000714935287359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112</v>
      </c>
      <c r="AF1114">
        <v>173</v>
      </c>
      <c r="AG1114">
        <v>334</v>
      </c>
      <c r="AI1114">
        <v>0.309</v>
      </c>
      <c r="AK1114" t="s">
        <v>501</v>
      </c>
      <c r="AL1114" t="s">
        <v>1275</v>
      </c>
      <c r="AM1114">
        <v>200000</v>
      </c>
      <c r="AN1114" t="s">
        <v>92</v>
      </c>
      <c r="AO1114">
        <v>1</v>
      </c>
      <c r="AP1114">
        <v>0</v>
      </c>
      <c r="AQ1114">
        <v>16666.666666666668</v>
      </c>
      <c r="AR1114" t="s">
        <v>4207</v>
      </c>
      <c r="AS1114" t="s">
        <v>78</v>
      </c>
      <c r="AX1114" t="s">
        <v>79</v>
      </c>
      <c r="AY1114" t="s">
        <v>137</v>
      </c>
      <c r="AZ1114">
        <v>0</v>
      </c>
      <c r="BA1114" t="s">
        <v>137</v>
      </c>
      <c r="BB1114">
        <v>0</v>
      </c>
      <c r="BE1114">
        <v>0</v>
      </c>
    </row>
    <row r="1115" spans="1:58" ht="12.75">
      <c r="A1115" s="2" t="str">
        <f>HYPERLINK("https://ibp.a2mac1.com/costing(costing:projects/details/8191/part/5385044)","Mechanism")</f>
        <v>Mechanism</v>
      </c>
      <c r="B1115">
        <v>5385044</v>
      </c>
      <c r="C1115">
        <v>5384928</v>
      </c>
      <c r="E1115">
        <v>0.028893312000000001</v>
      </c>
      <c r="F1115">
        <v>0</v>
      </c>
      <c r="G1115">
        <v>0</v>
      </c>
      <c r="H1115">
        <v>0.00014569760336842106</v>
      </c>
      <c r="I1115" t="s">
        <v>137</v>
      </c>
      <c r="J1115">
        <v>0.0010138004210526316</v>
      </c>
      <c r="K1115">
        <v>0.030052810024421051</v>
      </c>
      <c r="L1115">
        <v>0.00055494752986513199</v>
      </c>
      <c r="M1115">
        <v>0.0033296851791907917</v>
      </c>
      <c r="N1115">
        <v>0.033382495203611848</v>
      </c>
      <c r="O1115" t="s">
        <v>90</v>
      </c>
      <c r="P1115">
        <v>0</v>
      </c>
      <c r="Q1115" t="s">
        <v>90</v>
      </c>
      <c r="R1115">
        <v>0</v>
      </c>
      <c r="S1115" t="s">
        <v>90</v>
      </c>
      <c r="T1115">
        <v>0</v>
      </c>
      <c r="U1115" t="s">
        <v>90</v>
      </c>
      <c r="V1115">
        <v>0</v>
      </c>
      <c r="W1115" t="s">
        <v>90</v>
      </c>
      <c r="X1115">
        <v>0</v>
      </c>
      <c r="Y1115">
        <v>0.033382495203611848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25</v>
      </c>
      <c r="AF1115">
        <v>25</v>
      </c>
      <c r="AG1115">
        <v>41</v>
      </c>
      <c r="AI1115">
        <v>0.0030000000000000001</v>
      </c>
      <c r="AK1115" t="s">
        <v>501</v>
      </c>
      <c r="AL1115" t="s">
        <v>1275</v>
      </c>
      <c r="AM1115">
        <v>800000</v>
      </c>
      <c r="AN1115" t="s">
        <v>92</v>
      </c>
      <c r="AO1115">
        <v>4</v>
      </c>
      <c r="AP1115">
        <v>0</v>
      </c>
      <c r="AQ1115">
        <v>66666.666666666672</v>
      </c>
      <c r="AR1115" t="s">
        <v>4210</v>
      </c>
      <c r="AS1115" t="s">
        <v>78</v>
      </c>
      <c r="AX1115" t="s">
        <v>79</v>
      </c>
      <c r="AY1115" t="s">
        <v>137</v>
      </c>
      <c r="AZ1115">
        <v>0</v>
      </c>
      <c r="BA1115" t="s">
        <v>137</v>
      </c>
      <c r="BB1115">
        <v>0</v>
      </c>
      <c r="BE1115">
        <v>0</v>
      </c>
    </row>
    <row r="1116" spans="1:58" ht="12.75">
      <c r="A1116" s="2" t="str">
        <f>HYPERLINK("https://ibp.a2mac1.com/costing(costing:projects/details/8191/part/5385045)","Bottom of Compartment")</f>
        <v>Bottom of Compartment</v>
      </c>
      <c r="B1116">
        <v>5385045</v>
      </c>
      <c r="C1116">
        <v>5384928</v>
      </c>
      <c r="E1116">
        <v>0.11711798700000001</v>
      </c>
      <c r="F1116">
        <v>0</v>
      </c>
      <c r="G1116">
        <v>0</v>
      </c>
      <c r="H1116">
        <v>0.00059410226989473687</v>
      </c>
      <c r="I1116" t="s">
        <v>137</v>
      </c>
      <c r="J1116">
        <v>0.004109403052631579</v>
      </c>
      <c r="K1116">
        <v>0.12182149232252631</v>
      </c>
      <c r="L1116">
        <v>0.0034355252507199505</v>
      </c>
      <c r="M1116">
        <v>0.020613151504319704</v>
      </c>
      <c r="N1116">
        <v>0.14243464382684601</v>
      </c>
      <c r="O1116" t="s">
        <v>90</v>
      </c>
      <c r="P1116">
        <v>0</v>
      </c>
      <c r="Q1116" t="s">
        <v>90</v>
      </c>
      <c r="R1116">
        <v>0</v>
      </c>
      <c r="S1116" t="s">
        <v>90</v>
      </c>
      <c r="T1116">
        <v>0</v>
      </c>
      <c r="U1116" t="s">
        <v>90</v>
      </c>
      <c r="V1116">
        <v>0</v>
      </c>
      <c r="W1116" t="s">
        <v>90</v>
      </c>
      <c r="X1116">
        <v>0</v>
      </c>
      <c r="Y1116">
        <v>0.14243464382684601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207</v>
      </c>
      <c r="AF1116">
        <v>125</v>
      </c>
      <c r="AG1116">
        <v>15</v>
      </c>
      <c r="AI1116">
        <v>0.073999999999999996</v>
      </c>
      <c r="AK1116" t="s">
        <v>501</v>
      </c>
      <c r="AL1116" t="s">
        <v>4149</v>
      </c>
      <c r="AM1116">
        <v>200000</v>
      </c>
      <c r="AN1116" t="s">
        <v>92</v>
      </c>
      <c r="AO1116">
        <v>1</v>
      </c>
      <c r="AP1116">
        <v>0</v>
      </c>
      <c r="AQ1116">
        <v>16666.666666666668</v>
      </c>
      <c r="AR1116" t="s">
        <v>4215</v>
      </c>
      <c r="AS1116" t="s">
        <v>78</v>
      </c>
      <c r="AX1116" t="s">
        <v>79</v>
      </c>
      <c r="AY1116" t="s">
        <v>137</v>
      </c>
      <c r="AZ1116">
        <v>0</v>
      </c>
      <c r="BA1116" t="s">
        <v>137</v>
      </c>
      <c r="BB1116">
        <v>0</v>
      </c>
      <c r="BE1116">
        <v>0</v>
      </c>
    </row>
    <row r="1117" spans="1:58" ht="12.75">
      <c r="A1117" s="2" t="str">
        <f>HYPERLINK("https://ibp.a2mac1.com/costing(costing:projects/details/8191/part/5385046)","Latch Anchor")</f>
        <v>Latch Anchor</v>
      </c>
      <c r="B1117">
        <v>5385046</v>
      </c>
      <c r="C1117">
        <v>5384928</v>
      </c>
      <c r="E1117">
        <v>0.019262207999999999</v>
      </c>
      <c r="F1117">
        <v>0</v>
      </c>
      <c r="G1117">
        <v>0</v>
      </c>
      <c r="H1117">
        <v>9.7131735578947365E-05</v>
      </c>
      <c r="I1117" t="s">
        <v>137</v>
      </c>
      <c r="J1117">
        <v>0.00067586694736842103</v>
      </c>
      <c r="K1117">
        <v>0.020035206682947369</v>
      </c>
      <c r="L1117">
        <v>0.00037042063531346589</v>
      </c>
      <c r="M1117">
        <v>0.0022225238118807954</v>
      </c>
      <c r="N1117">
        <v>0.022257730494828164</v>
      </c>
      <c r="O1117" t="s">
        <v>90</v>
      </c>
      <c r="P1117">
        <v>0</v>
      </c>
      <c r="Q1117" t="s">
        <v>90</v>
      </c>
      <c r="R1117">
        <v>0</v>
      </c>
      <c r="S1117" t="s">
        <v>90</v>
      </c>
      <c r="T1117">
        <v>0</v>
      </c>
      <c r="U1117" t="s">
        <v>90</v>
      </c>
      <c r="V1117">
        <v>0</v>
      </c>
      <c r="W1117" t="s">
        <v>90</v>
      </c>
      <c r="X1117">
        <v>0</v>
      </c>
      <c r="Y1117">
        <v>0.022257730494828164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26</v>
      </c>
      <c r="AF1117">
        <v>48</v>
      </c>
      <c r="AG1117">
        <v>50</v>
      </c>
      <c r="AI1117">
        <v>0.0040000000000000001</v>
      </c>
      <c r="AK1117" t="s">
        <v>501</v>
      </c>
      <c r="AL1117" t="s">
        <v>1275</v>
      </c>
      <c r="AM1117">
        <v>400000</v>
      </c>
      <c r="AN1117" t="s">
        <v>92</v>
      </c>
      <c r="AO1117">
        <v>2</v>
      </c>
      <c r="AP1117">
        <v>0</v>
      </c>
      <c r="AQ1117">
        <v>33333.333333333336</v>
      </c>
      <c r="AR1117" t="s">
        <v>4218</v>
      </c>
      <c r="AS1117" t="s">
        <v>78</v>
      </c>
      <c r="AX1117" t="s">
        <v>79</v>
      </c>
      <c r="AY1117" t="s">
        <v>137</v>
      </c>
      <c r="AZ1117">
        <v>0</v>
      </c>
      <c r="BA1117" t="s">
        <v>137</v>
      </c>
      <c r="BB1117">
        <v>0</v>
      </c>
      <c r="BE1117">
        <v>0</v>
      </c>
    </row>
    <row r="1118" spans="1:58" ht="12.75">
      <c r="A1118" s="2" t="str">
        <f>HYPERLINK("https://ibp.a2mac1.com/costing(costing:projects/details/8191/part/5384929)","Storage")</f>
        <v>Storage</v>
      </c>
      <c r="B1118">
        <v>5384929</v>
      </c>
      <c r="C1118">
        <v>5384841</v>
      </c>
      <c r="E1118">
        <v>0.29615644800000002</v>
      </c>
      <c r="F1118">
        <v>0</v>
      </c>
      <c r="G1118">
        <v>0</v>
      </c>
      <c r="H1118">
        <v>0.001502307395368421</v>
      </c>
      <c r="I1118" t="s">
        <v>137</v>
      </c>
      <c r="J1118">
        <v>0.010391454315789474</v>
      </c>
      <c r="K1118">
        <v>0.30805020971115787</v>
      </c>
      <c r="L1118">
        <v>0.0057111066784206752</v>
      </c>
      <c r="M1118">
        <v>0.034266640070524053</v>
      </c>
      <c r="N1118">
        <v>0.34231684978168192</v>
      </c>
      <c r="O1118" t="s">
        <v>90</v>
      </c>
      <c r="P1118">
        <v>0</v>
      </c>
      <c r="Q1118" t="s">
        <v>90</v>
      </c>
      <c r="R1118">
        <v>0</v>
      </c>
      <c r="S1118" t="s">
        <v>90</v>
      </c>
      <c r="T1118">
        <v>0</v>
      </c>
      <c r="U1118" t="s">
        <v>90</v>
      </c>
      <c r="V1118">
        <v>0</v>
      </c>
      <c r="W1118" t="s">
        <v>90</v>
      </c>
      <c r="X1118">
        <v>0</v>
      </c>
      <c r="Y1118">
        <v>0.34231684978168192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173</v>
      </c>
      <c r="AF1118">
        <v>134</v>
      </c>
      <c r="AG1118">
        <v>102</v>
      </c>
      <c r="AI1118">
        <v>0.123</v>
      </c>
      <c r="AK1118" t="s">
        <v>501</v>
      </c>
      <c r="AL1118" t="s">
        <v>1275</v>
      </c>
      <c r="AM1118">
        <v>200000</v>
      </c>
      <c r="AN1118" t="s">
        <v>92</v>
      </c>
      <c r="AO1118">
        <v>1</v>
      </c>
      <c r="AP1118">
        <v>0</v>
      </c>
      <c r="AQ1118">
        <v>16666.666666666668</v>
      </c>
      <c r="AR1118" t="s">
        <v>4226</v>
      </c>
      <c r="AS1118" t="s">
        <v>78</v>
      </c>
      <c r="AX1118" t="s">
        <v>79</v>
      </c>
      <c r="AY1118" t="s">
        <v>137</v>
      </c>
      <c r="AZ1118">
        <v>0</v>
      </c>
      <c r="BA1118" t="s">
        <v>137</v>
      </c>
      <c r="BB1118">
        <v>0</v>
      </c>
      <c r="BE1118">
        <v>0</v>
      </c>
    </row>
    <row r="1119" spans="1:58" ht="12.75">
      <c r="A1119" s="2" t="str">
        <f>HYPERLINK("https://ibp.a2mac1.com/costing(costing:projects/details/8191/part/5384830)","Front Cover")</f>
        <v>Front Cover</v>
      </c>
      <c r="B1119">
        <v>5384830</v>
      </c>
      <c r="C1119">
        <v>5384797</v>
      </c>
      <c r="E1119">
        <v>0.23207049599999999</v>
      </c>
      <c r="F1119">
        <v>0</v>
      </c>
      <c r="G1119">
        <v>0</v>
      </c>
      <c r="H1119">
        <v>0.0011772197591578947</v>
      </c>
      <c r="I1119" t="s">
        <v>137</v>
      </c>
      <c r="J1119">
        <v>0.0081428244210526319</v>
      </c>
      <c r="K1119">
        <v>0.24139054018021053</v>
      </c>
      <c r="L1119">
        <v>0.0076155972196730974</v>
      </c>
      <c r="M1119">
        <v>0.045693583318038584</v>
      </c>
      <c r="N1119">
        <v>0.28708412349824913</v>
      </c>
      <c r="O1119" t="s">
        <v>90</v>
      </c>
      <c r="P1119">
        <v>0</v>
      </c>
      <c r="Q1119" t="s">
        <v>90</v>
      </c>
      <c r="R1119">
        <v>0</v>
      </c>
      <c r="S1119" t="s">
        <v>90</v>
      </c>
      <c r="T1119">
        <v>0</v>
      </c>
      <c r="U1119" t="s">
        <v>90</v>
      </c>
      <c r="V1119">
        <v>0</v>
      </c>
      <c r="W1119" t="s">
        <v>90</v>
      </c>
      <c r="X1119">
        <v>0</v>
      </c>
      <c r="Y1119">
        <v>0.28708412349824913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260</v>
      </c>
      <c r="AF1119">
        <v>125</v>
      </c>
      <c r="AG1119">
        <v>140</v>
      </c>
      <c r="AI1119">
        <v>0.16400000000000001</v>
      </c>
      <c r="AJ1119" t="s">
        <v>685</v>
      </c>
      <c r="AK1119" t="s">
        <v>501</v>
      </c>
      <c r="AL1119" t="s">
        <v>728</v>
      </c>
      <c r="AM1119">
        <v>200000</v>
      </c>
      <c r="AN1119" t="s">
        <v>92</v>
      </c>
      <c r="AO1119">
        <v>1</v>
      </c>
      <c r="AP1119">
        <v>0</v>
      </c>
      <c r="AQ1119">
        <v>16666.666666666668</v>
      </c>
      <c r="AR1119" t="s">
        <v>4232</v>
      </c>
      <c r="AS1119" t="s">
        <v>78</v>
      </c>
      <c r="AX1119" t="s">
        <v>79</v>
      </c>
      <c r="AY1119" t="s">
        <v>137</v>
      </c>
      <c r="AZ1119">
        <v>0</v>
      </c>
      <c r="BA1119" t="s">
        <v>137</v>
      </c>
      <c r="BB1119">
        <v>0</v>
      </c>
      <c r="BE1119">
        <v>0</v>
      </c>
    </row>
    <row r="1120" spans="1:58" ht="12.75">
      <c r="A1120" s="2" t="str">
        <f>HYPERLINK("https://ibp.a2mac1.com/costing(costing:projects/details/8191/part/5384831)","Rear Cover")</f>
        <v>Rear Cover</v>
      </c>
      <c r="B1120">
        <v>5384831</v>
      </c>
      <c r="C1120">
        <v>5384797</v>
      </c>
      <c r="E1120">
        <v>0.042451919999999997</v>
      </c>
      <c r="F1120">
        <v>0</v>
      </c>
      <c r="G1120">
        <v>0</v>
      </c>
      <c r="H1120">
        <v>0.00021534507789473684</v>
      </c>
      <c r="I1120" t="s">
        <v>137</v>
      </c>
      <c r="J1120">
        <v>0.001489541052631579</v>
      </c>
      <c r="K1120">
        <v>0.044156806130526319</v>
      </c>
      <c r="L1120">
        <v>0.0013926257515536702</v>
      </c>
      <c r="M1120">
        <v>0.0083557545093220203</v>
      </c>
      <c r="N1120">
        <v>0.052512560639848334</v>
      </c>
      <c r="O1120" t="s">
        <v>90</v>
      </c>
      <c r="P1120">
        <v>0</v>
      </c>
      <c r="Q1120" t="s">
        <v>90</v>
      </c>
      <c r="R1120">
        <v>0</v>
      </c>
      <c r="S1120" t="s">
        <v>90</v>
      </c>
      <c r="T1120">
        <v>0</v>
      </c>
      <c r="U1120" t="s">
        <v>90</v>
      </c>
      <c r="V1120">
        <v>0</v>
      </c>
      <c r="W1120" t="s">
        <v>90</v>
      </c>
      <c r="X1120">
        <v>0</v>
      </c>
      <c r="Y1120">
        <v>0.052512560639848334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35</v>
      </c>
      <c r="AF1120">
        <v>144</v>
      </c>
      <c r="AG1120">
        <v>57</v>
      </c>
      <c r="AI1120">
        <v>0.03</v>
      </c>
      <c r="AJ1120" t="s">
        <v>685</v>
      </c>
      <c r="AK1120" t="s">
        <v>501</v>
      </c>
      <c r="AL1120" t="s">
        <v>728</v>
      </c>
      <c r="AM1120">
        <v>200000</v>
      </c>
      <c r="AN1120" t="s">
        <v>92</v>
      </c>
      <c r="AO1120">
        <v>1</v>
      </c>
      <c r="AP1120">
        <v>0</v>
      </c>
      <c r="AQ1120">
        <v>16666.666666666668</v>
      </c>
      <c r="AR1120" t="s">
        <v>4237</v>
      </c>
      <c r="AS1120" t="s">
        <v>78</v>
      </c>
      <c r="AX1120" t="s">
        <v>79</v>
      </c>
      <c r="AY1120" t="s">
        <v>137</v>
      </c>
      <c r="AZ1120">
        <v>0</v>
      </c>
      <c r="BA1120" t="s">
        <v>137</v>
      </c>
      <c r="BB1120">
        <v>0</v>
      </c>
      <c r="BE1120">
        <v>0</v>
      </c>
    </row>
    <row r="1121" spans="1:58" ht="12.75">
      <c r="A1121" s="2" t="str">
        <f>HYPERLINK("https://ibp.a2mac1.com/costing(costing:projects/details/8191/part/5384832)","Card Holder")</f>
        <v>Card Holder</v>
      </c>
      <c r="B1121">
        <v>5384832</v>
      </c>
      <c r="C1121">
        <v>5384797</v>
      </c>
      <c r="E1121">
        <v>0.067417727999999996</v>
      </c>
      <c r="F1121">
        <v>0</v>
      </c>
      <c r="G1121">
        <v>0</v>
      </c>
      <c r="H1121">
        <v>0.00034198867536842107</v>
      </c>
      <c r="I1121" t="s">
        <v>137</v>
      </c>
      <c r="J1121">
        <v>0.0023655343157894739</v>
      </c>
      <c r="K1121">
        <v>0.070125250991157892</v>
      </c>
      <c r="L1121">
        <v>0.0012997774693987909</v>
      </c>
      <c r="M1121">
        <v>0.0077986648163927454</v>
      </c>
      <c r="N1121">
        <v>0.077923915807550634</v>
      </c>
      <c r="O1121" t="s">
        <v>90</v>
      </c>
      <c r="P1121">
        <v>0</v>
      </c>
      <c r="Q1121" t="s">
        <v>90</v>
      </c>
      <c r="R1121">
        <v>0</v>
      </c>
      <c r="S1121" t="s">
        <v>90</v>
      </c>
      <c r="T1121">
        <v>0</v>
      </c>
      <c r="U1121" t="s">
        <v>90</v>
      </c>
      <c r="V1121">
        <v>0</v>
      </c>
      <c r="W1121" t="s">
        <v>90</v>
      </c>
      <c r="X1121">
        <v>0</v>
      </c>
      <c r="Y1121">
        <v>0.077923915807550634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44</v>
      </c>
      <c r="AF1121">
        <v>126</v>
      </c>
      <c r="AG1121">
        <v>35</v>
      </c>
      <c r="AI1121">
        <v>0.028000000000000001</v>
      </c>
      <c r="AK1121" t="s">
        <v>501</v>
      </c>
      <c r="AL1121" t="s">
        <v>1275</v>
      </c>
      <c r="AM1121">
        <v>200000</v>
      </c>
      <c r="AN1121" t="s">
        <v>92</v>
      </c>
      <c r="AO1121">
        <v>1</v>
      </c>
      <c r="AP1121">
        <v>0</v>
      </c>
      <c r="AQ1121">
        <v>16666.666666666668</v>
      </c>
      <c r="AR1121" t="s">
        <v>4240</v>
      </c>
      <c r="AS1121" t="s">
        <v>78</v>
      </c>
      <c r="AX1121" t="s">
        <v>79</v>
      </c>
      <c r="AY1121" t="s">
        <v>137</v>
      </c>
      <c r="AZ1121">
        <v>0</v>
      </c>
      <c r="BA1121" t="s">
        <v>137</v>
      </c>
      <c r="BB1121">
        <v>0</v>
      </c>
      <c r="BE1121">
        <v>0</v>
      </c>
    </row>
    <row r="1122" spans="1:58" ht="12.75">
      <c r="A1122" s="2" t="str">
        <f>HYPERLINK("https://ibp.a2mac1.com/costing(costing:projects/details/8191/part/5384833)","Logo")</f>
        <v>Logo</v>
      </c>
      <c r="B1122">
        <v>5384833</v>
      </c>
      <c r="C1122">
        <v>5384797</v>
      </c>
      <c r="E1122">
        <v>0.045747744</v>
      </c>
      <c r="F1122">
        <v>0</v>
      </c>
      <c r="G1122">
        <v>0</v>
      </c>
      <c r="H1122">
        <v>0.000232063744</v>
      </c>
      <c r="I1122" t="s">
        <v>137</v>
      </c>
      <c r="J1122">
        <v>0.001605184</v>
      </c>
      <c r="K1122">
        <v>0.047584991744000001</v>
      </c>
      <c r="L1122">
        <v>0.00088197180636395602</v>
      </c>
      <c r="M1122">
        <v>0.0052918308381837359</v>
      </c>
      <c r="N1122">
        <v>0.052876822582183736</v>
      </c>
      <c r="O1122" t="s">
        <v>90</v>
      </c>
      <c r="P1122">
        <v>0</v>
      </c>
      <c r="Q1122" t="s">
        <v>90</v>
      </c>
      <c r="R1122">
        <v>0</v>
      </c>
      <c r="S1122" t="s">
        <v>90</v>
      </c>
      <c r="T1122">
        <v>0</v>
      </c>
      <c r="U1122" t="s">
        <v>90</v>
      </c>
      <c r="V1122">
        <v>0</v>
      </c>
      <c r="W1122" t="s">
        <v>90</v>
      </c>
      <c r="X1122">
        <v>0</v>
      </c>
      <c r="Y1122">
        <v>0.052876822582183736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15</v>
      </c>
      <c r="AF1122">
        <v>142</v>
      </c>
      <c r="AG1122">
        <v>58</v>
      </c>
      <c r="AI1122">
        <v>0.019</v>
      </c>
      <c r="AJ1122" t="s">
        <v>685</v>
      </c>
      <c r="AK1122" t="s">
        <v>501</v>
      </c>
      <c r="AL1122" t="s">
        <v>1275</v>
      </c>
      <c r="AM1122">
        <v>200000</v>
      </c>
      <c r="AN1122" t="s">
        <v>92</v>
      </c>
      <c r="AO1122">
        <v>1</v>
      </c>
      <c r="AP1122">
        <v>0</v>
      </c>
      <c r="AQ1122">
        <v>16666.666666666668</v>
      </c>
      <c r="AR1122" t="s">
        <v>4243</v>
      </c>
      <c r="AS1122" t="s">
        <v>78</v>
      </c>
      <c r="AX1122" t="s">
        <v>79</v>
      </c>
      <c r="AY1122" t="s">
        <v>137</v>
      </c>
      <c r="AZ1122">
        <v>0</v>
      </c>
      <c r="BA1122" t="s">
        <v>137</v>
      </c>
      <c r="BB1122">
        <v>0</v>
      </c>
      <c r="BE1122">
        <v>0</v>
      </c>
    </row>
    <row r="1123" spans="1:58" ht="12.75">
      <c r="A1123" s="2" t="str">
        <f>HYPERLINK("https://ibp.a2mac1.com/costing(costing:projects/details/8191/part/5385047)","Driver Side")</f>
        <v>Driver Side</v>
      </c>
      <c r="B1123">
        <v>5385047</v>
      </c>
      <c r="C1123">
        <v>5384930</v>
      </c>
      <c r="E1123">
        <v>4.68</v>
      </c>
      <c r="F1123">
        <v>0</v>
      </c>
      <c r="G1123">
        <v>0</v>
      </c>
      <c r="H1123">
        <v>0.023680799999999998</v>
      </c>
      <c r="I1123" t="s">
        <v>137</v>
      </c>
      <c r="J1123">
        <v>0.1638</v>
      </c>
      <c r="K1123">
        <v>4.8674808000000001</v>
      </c>
      <c r="L1123">
        <v>0.56750510034994206</v>
      </c>
      <c r="M1123">
        <v>3.4050306020996528</v>
      </c>
      <c r="N1123">
        <v>8.2725114020996529</v>
      </c>
      <c r="O1123" t="s">
        <v>138</v>
      </c>
      <c r="P1123">
        <v>0.29204884800000003</v>
      </c>
      <c r="Q1123" t="s">
        <v>138</v>
      </c>
      <c r="R1123">
        <v>0.20430183612597916</v>
      </c>
      <c r="S1123" t="s">
        <v>139</v>
      </c>
      <c r="T1123">
        <v>0.99270136825195832</v>
      </c>
      <c r="U1123" t="s">
        <v>90</v>
      </c>
      <c r="V1123">
        <v>0</v>
      </c>
      <c r="W1123" t="s">
        <v>90</v>
      </c>
      <c r="X1123">
        <v>0</v>
      </c>
      <c r="Y1123">
        <v>9.7615634544775904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40</v>
      </c>
      <c r="AF1123">
        <v>426</v>
      </c>
      <c r="AG1123">
        <v>169</v>
      </c>
      <c r="AI1123">
        <v>0.45700000000000002</v>
      </c>
      <c r="AK1123" t="s">
        <v>661</v>
      </c>
      <c r="AL1123" t="s">
        <v>4250</v>
      </c>
      <c r="AM1123">
        <v>200000</v>
      </c>
      <c r="AN1123" t="s">
        <v>76</v>
      </c>
      <c r="AO1123">
        <v>1</v>
      </c>
      <c r="AP1123">
        <v>0</v>
      </c>
      <c r="AQ1123">
        <v>16666.666666666668</v>
      </c>
      <c r="AR1123" t="s">
        <v>4251</v>
      </c>
      <c r="AS1123" t="s">
        <v>78</v>
      </c>
      <c r="AX1123" t="s">
        <v>79</v>
      </c>
      <c r="AY1123" t="s">
        <v>137</v>
      </c>
      <c r="AZ1123">
        <v>0</v>
      </c>
      <c r="BA1123" t="s">
        <v>137</v>
      </c>
      <c r="BB1123">
        <v>0</v>
      </c>
      <c r="BE1123">
        <v>0</v>
      </c>
    </row>
    <row r="1124" spans="1:58" ht="12.75">
      <c r="A1124" s="2" t="str">
        <f>HYPERLINK("https://ibp.a2mac1.com/costing(costing:projects/details/8191/part/5385048)","Passenger Side")</f>
        <v>Passenger Side</v>
      </c>
      <c r="B1124">
        <v>5385048</v>
      </c>
      <c r="C1124">
        <v>5384930</v>
      </c>
      <c r="E1124">
        <v>4.68</v>
      </c>
      <c r="F1124">
        <v>0</v>
      </c>
      <c r="G1124">
        <v>0</v>
      </c>
      <c r="H1124">
        <v>0.023680799999999998</v>
      </c>
      <c r="I1124" t="s">
        <v>137</v>
      </c>
      <c r="J1124">
        <v>0.1638</v>
      </c>
      <c r="K1124">
        <v>4.8674808000000001</v>
      </c>
      <c r="L1124">
        <v>0.56750510034994206</v>
      </c>
      <c r="M1124">
        <v>3.4050306020996528</v>
      </c>
      <c r="N1124">
        <v>8.2725114020996529</v>
      </c>
      <c r="O1124" t="s">
        <v>138</v>
      </c>
      <c r="P1124">
        <v>0.29204884800000003</v>
      </c>
      <c r="Q1124" t="s">
        <v>138</v>
      </c>
      <c r="R1124">
        <v>0.20430183612597916</v>
      </c>
      <c r="S1124" t="s">
        <v>139</v>
      </c>
      <c r="T1124">
        <v>0.99270136825195832</v>
      </c>
      <c r="U1124" t="s">
        <v>90</v>
      </c>
      <c r="V1124">
        <v>0</v>
      </c>
      <c r="W1124" t="s">
        <v>90</v>
      </c>
      <c r="X1124">
        <v>0</v>
      </c>
      <c r="Y1124">
        <v>9.7615634544775904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40</v>
      </c>
      <c r="AF1124">
        <v>426</v>
      </c>
      <c r="AG1124">
        <v>169</v>
      </c>
      <c r="AI1124">
        <v>0.45600000000000002</v>
      </c>
      <c r="AK1124" t="s">
        <v>661</v>
      </c>
      <c r="AL1124" t="s">
        <v>4250</v>
      </c>
      <c r="AM1124">
        <v>200000</v>
      </c>
      <c r="AN1124" t="s">
        <v>76</v>
      </c>
      <c r="AO1124">
        <v>1</v>
      </c>
      <c r="AP1124">
        <v>0</v>
      </c>
      <c r="AQ1124">
        <v>16666.666666666668</v>
      </c>
      <c r="AR1124" t="s">
        <v>4254</v>
      </c>
      <c r="AS1124" t="s">
        <v>78</v>
      </c>
      <c r="AX1124" t="s">
        <v>79</v>
      </c>
      <c r="AY1124" t="s">
        <v>137</v>
      </c>
      <c r="AZ1124">
        <v>0</v>
      </c>
      <c r="BA1124" t="s">
        <v>137</v>
      </c>
      <c r="BB1124">
        <v>0</v>
      </c>
      <c r="BE1124">
        <v>0</v>
      </c>
    </row>
    <row r="1125" spans="1:58" ht="12.75">
      <c r="A1125" s="2" t="str">
        <f>HYPERLINK("https://ibp.a2mac1.com/costing(costing:projects/details/8191/part/5385049)","Front")</f>
        <v>Front</v>
      </c>
      <c r="B1125">
        <v>5385049</v>
      </c>
      <c r="C1125">
        <v>5384931</v>
      </c>
      <c r="E1125">
        <v>0</v>
      </c>
      <c r="F1125">
        <v>14.080017734172699</v>
      </c>
      <c r="G1125">
        <v>0</v>
      </c>
      <c r="H1125">
        <v>0</v>
      </c>
      <c r="I1125" t="s">
        <v>137</v>
      </c>
      <c r="J1125">
        <v>0</v>
      </c>
      <c r="K1125">
        <v>14.572818354868744</v>
      </c>
      <c r="L1125">
        <v>0.69624128998409829</v>
      </c>
      <c r="M1125">
        <v>2.4368445149443443</v>
      </c>
      <c r="N1125">
        <v>17.009662869813088</v>
      </c>
      <c r="O1125" t="s">
        <v>138</v>
      </c>
      <c r="P1125">
        <v>0.87436910129212464</v>
      </c>
      <c r="Q1125" t="s">
        <v>138</v>
      </c>
      <c r="R1125">
        <v>0.14621067089666065</v>
      </c>
      <c r="S1125" t="s">
        <v>139</v>
      </c>
      <c r="T1125">
        <v>2.0411595443775705</v>
      </c>
      <c r="U1125" t="s">
        <v>90</v>
      </c>
      <c r="V1125">
        <v>0</v>
      </c>
      <c r="W1125" t="s">
        <v>90</v>
      </c>
      <c r="X1125">
        <v>0</v>
      </c>
      <c r="Y1125">
        <v>20.071402186379444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45</v>
      </c>
      <c r="AF1125">
        <v>208</v>
      </c>
      <c r="AG1125">
        <v>258</v>
      </c>
      <c r="AI1125">
        <v>0.54600000000000004</v>
      </c>
      <c r="AJ1125" t="s">
        <v>685</v>
      </c>
      <c r="AK1125" t="s">
        <v>576</v>
      </c>
      <c r="AL1125" t="s">
        <v>4259</v>
      </c>
      <c r="AM1125">
        <v>200000</v>
      </c>
      <c r="AN1125" t="s">
        <v>76</v>
      </c>
      <c r="AO1125">
        <v>1</v>
      </c>
      <c r="AP1125">
        <v>0</v>
      </c>
      <c r="AQ1125">
        <v>16666.666666666668</v>
      </c>
      <c r="AR1125" t="s">
        <v>4260</v>
      </c>
      <c r="AS1125" t="s">
        <v>78</v>
      </c>
      <c r="AX1125" t="s">
        <v>79</v>
      </c>
      <c r="AY1125" t="s">
        <v>137</v>
      </c>
      <c r="AZ1125">
        <v>0.49280062069604447</v>
      </c>
      <c r="BA1125" t="s">
        <v>137</v>
      </c>
      <c r="BB1125">
        <v>0</v>
      </c>
      <c r="BE1125">
        <v>0</v>
      </c>
    </row>
    <row r="1126" spans="1:58" ht="12.75">
      <c r="A1126" s="2" t="str">
        <f>HYPERLINK("https://ibp.a2mac1.com/costing(costing:projects/details/8191/part/5385050)","2nd Front")</f>
        <v>2nd Front</v>
      </c>
      <c r="B1126">
        <v>5385050</v>
      </c>
      <c r="C1126">
        <v>5384931</v>
      </c>
      <c r="E1126">
        <v>4.6136999999999997</v>
      </c>
      <c r="F1126">
        <v>0</v>
      </c>
      <c r="G1126">
        <v>0</v>
      </c>
      <c r="H1126">
        <v>0</v>
      </c>
      <c r="I1126" t="s">
        <v>74</v>
      </c>
      <c r="J1126">
        <v>0</v>
      </c>
      <c r="K1126">
        <v>4.6136999999999997</v>
      </c>
      <c r="L1126">
        <v>0</v>
      </c>
      <c r="M1126">
        <v>0</v>
      </c>
      <c r="N1126">
        <v>4.6136999999999997</v>
      </c>
      <c r="O1126" t="s">
        <v>74</v>
      </c>
      <c r="P1126">
        <v>0</v>
      </c>
      <c r="Q1126" t="s">
        <v>74</v>
      </c>
      <c r="R1126">
        <v>0</v>
      </c>
      <c r="S1126" t="s">
        <v>74</v>
      </c>
      <c r="T1126">
        <v>0</v>
      </c>
      <c r="U1126" t="s">
        <v>74</v>
      </c>
      <c r="V1126">
        <v>0</v>
      </c>
      <c r="W1126" t="s">
        <v>74</v>
      </c>
      <c r="X1126">
        <v>0</v>
      </c>
      <c r="Y1126">
        <v>4.6136999999999997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23</v>
      </c>
      <c r="AF1126">
        <v>78</v>
      </c>
      <c r="AG1126">
        <v>28</v>
      </c>
      <c r="AI1126">
        <v>0.014500000000000001</v>
      </c>
      <c r="AJ1126" t="s">
        <v>4261</v>
      </c>
      <c r="AK1126" t="s">
        <v>576</v>
      </c>
      <c r="AL1126" t="s">
        <v>4262</v>
      </c>
      <c r="AM1126">
        <v>400000</v>
      </c>
      <c r="AN1126" t="s">
        <v>76</v>
      </c>
      <c r="AO1126">
        <v>2</v>
      </c>
      <c r="AP1126">
        <v>0</v>
      </c>
      <c r="AQ1126">
        <v>33333.333333333336</v>
      </c>
      <c r="AR1126" t="s">
        <v>4263</v>
      </c>
      <c r="AS1126" t="s">
        <v>78</v>
      </c>
      <c r="AX1126" t="s">
        <v>79</v>
      </c>
      <c r="AY1126" t="s">
        <v>74</v>
      </c>
      <c r="AZ1126">
        <v>0</v>
      </c>
      <c r="BA1126" t="s">
        <v>74</v>
      </c>
      <c r="BB1126">
        <v>0</v>
      </c>
      <c r="BD1126">
        <v>2.3068499999999998</v>
      </c>
      <c r="BE1126">
        <v>0</v>
      </c>
    </row>
    <row r="1127" spans="1:58" ht="12.75">
      <c r="A1127" s="2" t="str">
        <f>HYPERLINK("https://ibp.a2mac1.com/costing(costing:projects/details/8191/part/5385051)","Rear Reading Light 2nd Row")</f>
        <v>Rear Reading Light 2nd Row</v>
      </c>
      <c r="B1127">
        <v>5385051</v>
      </c>
      <c r="C1127">
        <v>5384931</v>
      </c>
      <c r="E1127">
        <v>4.37378</v>
      </c>
      <c r="F1127">
        <v>0</v>
      </c>
      <c r="G1127">
        <v>0</v>
      </c>
      <c r="H1127">
        <v>0</v>
      </c>
      <c r="I1127" t="s">
        <v>74</v>
      </c>
      <c r="J1127">
        <v>0</v>
      </c>
      <c r="K1127">
        <v>4.37378</v>
      </c>
      <c r="L1127">
        <v>0</v>
      </c>
      <c r="M1127">
        <v>0</v>
      </c>
      <c r="N1127">
        <v>4.37378</v>
      </c>
      <c r="O1127" t="s">
        <v>74</v>
      </c>
      <c r="P1127">
        <v>0</v>
      </c>
      <c r="Q1127" t="s">
        <v>74</v>
      </c>
      <c r="R1127">
        <v>0</v>
      </c>
      <c r="S1127" t="s">
        <v>74</v>
      </c>
      <c r="T1127">
        <v>0</v>
      </c>
      <c r="U1127" t="s">
        <v>74</v>
      </c>
      <c r="V1127">
        <v>0</v>
      </c>
      <c r="W1127" t="s">
        <v>74</v>
      </c>
      <c r="X1127">
        <v>0</v>
      </c>
      <c r="Y1127">
        <v>4.37378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22</v>
      </c>
      <c r="AF1127">
        <v>82</v>
      </c>
      <c r="AG1127">
        <v>41</v>
      </c>
      <c r="AI1127">
        <v>0.03</v>
      </c>
      <c r="AJ1127" t="s">
        <v>685</v>
      </c>
      <c r="AK1127" t="s">
        <v>576</v>
      </c>
      <c r="AL1127" t="s">
        <v>4264</v>
      </c>
      <c r="AM1127">
        <v>400000</v>
      </c>
      <c r="AN1127" t="s">
        <v>76</v>
      </c>
      <c r="AO1127">
        <v>2</v>
      </c>
      <c r="AP1127">
        <v>0</v>
      </c>
      <c r="AQ1127">
        <v>33333.333333333336</v>
      </c>
      <c r="AR1127" t="s">
        <v>4265</v>
      </c>
      <c r="AS1127" t="s">
        <v>78</v>
      </c>
      <c r="AX1127" t="s">
        <v>79</v>
      </c>
      <c r="AY1127" t="s">
        <v>74</v>
      </c>
      <c r="AZ1127">
        <v>0</v>
      </c>
      <c r="BA1127" t="s">
        <v>74</v>
      </c>
      <c r="BB1127">
        <v>0</v>
      </c>
      <c r="BD1127">
        <v>2.18689</v>
      </c>
      <c r="BE1127">
        <v>0</v>
      </c>
    </row>
    <row r="1128" spans="1:58" ht="12.75">
      <c r="A1128" s="2" t="str">
        <f>HYPERLINK("https://ibp.a2mac1.com/costing(costing:projects/details/8191/part/5385052)","Rear Reading Light Support")</f>
        <v>Rear Reading Light Support</v>
      </c>
      <c r="B1128">
        <v>5385052</v>
      </c>
      <c r="C1128">
        <v>5384931</v>
      </c>
      <c r="E1128">
        <v>0.23991999999999999</v>
      </c>
      <c r="F1128">
        <v>0</v>
      </c>
      <c r="G1128">
        <v>0</v>
      </c>
      <c r="H1128">
        <v>0</v>
      </c>
      <c r="I1128" t="s">
        <v>74</v>
      </c>
      <c r="J1128">
        <v>0</v>
      </c>
      <c r="K1128">
        <v>0.23991999999999999</v>
      </c>
      <c r="L1128">
        <v>0</v>
      </c>
      <c r="M1128">
        <v>0</v>
      </c>
      <c r="N1128">
        <v>0.23991999999999999</v>
      </c>
      <c r="O1128" t="s">
        <v>74</v>
      </c>
      <c r="P1128">
        <v>0</v>
      </c>
      <c r="Q1128" t="s">
        <v>74</v>
      </c>
      <c r="R1128">
        <v>0</v>
      </c>
      <c r="S1128" t="s">
        <v>74</v>
      </c>
      <c r="T1128">
        <v>0</v>
      </c>
      <c r="U1128" t="s">
        <v>74</v>
      </c>
      <c r="V1128">
        <v>0</v>
      </c>
      <c r="W1128" t="s">
        <v>74</v>
      </c>
      <c r="X1128">
        <v>0</v>
      </c>
      <c r="Y1128">
        <v>0.23991999999999999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11</v>
      </c>
      <c r="AF1128">
        <v>97</v>
      </c>
      <c r="AG1128">
        <v>66</v>
      </c>
      <c r="AI1128">
        <v>0.0085000000000000006</v>
      </c>
      <c r="AJ1128" t="s">
        <v>685</v>
      </c>
      <c r="AK1128" t="s">
        <v>501</v>
      </c>
      <c r="AL1128" t="s">
        <v>1275</v>
      </c>
      <c r="AM1128">
        <v>400000</v>
      </c>
      <c r="AN1128" t="s">
        <v>76</v>
      </c>
      <c r="AO1128">
        <v>2</v>
      </c>
      <c r="AP1128">
        <v>0</v>
      </c>
      <c r="AQ1128">
        <v>33333.333333333336</v>
      </c>
      <c r="AR1128" t="s">
        <v>4266</v>
      </c>
      <c r="AS1128" t="s">
        <v>78</v>
      </c>
      <c r="AX1128" t="s">
        <v>79</v>
      </c>
      <c r="AY1128" t="s">
        <v>74</v>
      </c>
      <c r="AZ1128">
        <v>0</v>
      </c>
      <c r="BA1128" t="s">
        <v>74</v>
      </c>
      <c r="BB1128">
        <v>0</v>
      </c>
      <c r="BD1128">
        <v>0.11996</v>
      </c>
      <c r="BE1128">
        <v>0</v>
      </c>
    </row>
    <row r="1129" spans="1:58" ht="12.75">
      <c r="A1129" s="2" t="str">
        <f>HYPERLINK("https://ibp.a2mac1.com/costing(costing:projects/details/8191/part/5385053)","Rear Reading Light Trim")</f>
        <v>Rear Reading Light Trim</v>
      </c>
      <c r="B1129">
        <v>5385053</v>
      </c>
      <c r="C1129">
        <v>5384931</v>
      </c>
      <c r="E1129">
        <v>0.20300000000000001</v>
      </c>
      <c r="F1129">
        <v>0</v>
      </c>
      <c r="G1129">
        <v>0</v>
      </c>
      <c r="H1129">
        <v>0</v>
      </c>
      <c r="I1129" t="s">
        <v>74</v>
      </c>
      <c r="J1129">
        <v>0</v>
      </c>
      <c r="K1129">
        <v>0.20300000000000001</v>
      </c>
      <c r="L1129">
        <v>0</v>
      </c>
      <c r="M1129">
        <v>0</v>
      </c>
      <c r="N1129">
        <v>0.20300000000000001</v>
      </c>
      <c r="O1129" t="s">
        <v>74</v>
      </c>
      <c r="P1129">
        <v>0</v>
      </c>
      <c r="Q1129" t="s">
        <v>74</v>
      </c>
      <c r="R1129">
        <v>0</v>
      </c>
      <c r="S1129" t="s">
        <v>74</v>
      </c>
      <c r="T1129">
        <v>0</v>
      </c>
      <c r="U1129" t="s">
        <v>74</v>
      </c>
      <c r="V1129">
        <v>0</v>
      </c>
      <c r="W1129" t="s">
        <v>74</v>
      </c>
      <c r="X1129">
        <v>0</v>
      </c>
      <c r="Y1129">
        <v>0.20300000000000001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15</v>
      </c>
      <c r="AF1129">
        <v>77</v>
      </c>
      <c r="AG1129">
        <v>46</v>
      </c>
      <c r="AI1129">
        <v>0.0060000000000000001</v>
      </c>
      <c r="AJ1129" t="s">
        <v>685</v>
      </c>
      <c r="AK1129" t="s">
        <v>501</v>
      </c>
      <c r="AL1129" t="s">
        <v>4267</v>
      </c>
      <c r="AM1129">
        <v>400000</v>
      </c>
      <c r="AN1129" t="s">
        <v>76</v>
      </c>
      <c r="AO1129">
        <v>2</v>
      </c>
      <c r="AP1129">
        <v>0</v>
      </c>
      <c r="AQ1129">
        <v>33333.333333333336</v>
      </c>
      <c r="AR1129" t="s">
        <v>4268</v>
      </c>
      <c r="AS1129" t="s">
        <v>78</v>
      </c>
      <c r="AX1129" t="s">
        <v>79</v>
      </c>
      <c r="AY1129" t="s">
        <v>74</v>
      </c>
      <c r="AZ1129">
        <v>0</v>
      </c>
      <c r="BA1129" t="s">
        <v>74</v>
      </c>
      <c r="BB1129">
        <v>0</v>
      </c>
      <c r="BD1129">
        <v>0.10150000000000001</v>
      </c>
      <c r="BE1129">
        <v>0</v>
      </c>
    </row>
    <row r="1130" spans="1:58" ht="12.75">
      <c r="A1130" s="2" t="str">
        <f>HYPERLINK("https://ibp.a2mac1.com/costing(costing:projects/details/8191/part/5385054)","Dummy Cover")</f>
        <v>Dummy Cover</v>
      </c>
      <c r="B1130">
        <v>5385054</v>
      </c>
      <c r="C1130">
        <v>5384932</v>
      </c>
      <c r="E1130">
        <v>0.021669984</v>
      </c>
      <c r="F1130">
        <v>0</v>
      </c>
      <c r="G1130">
        <v>0</v>
      </c>
      <c r="H1130">
        <v>0.0001092732025263158</v>
      </c>
      <c r="I1130" t="s">
        <v>137</v>
      </c>
      <c r="J1130">
        <v>0.0007603503157894737</v>
      </c>
      <c r="K1130">
        <v>0.022539607518315789</v>
      </c>
      <c r="L1130">
        <v>0.0024952165166568121</v>
      </c>
      <c r="M1130">
        <v>0.014971299099940874</v>
      </c>
      <c r="N1130">
        <v>0.037510906618256665</v>
      </c>
      <c r="O1130" t="s">
        <v>138</v>
      </c>
      <c r="P1130">
        <v>0.0013523764510989474</v>
      </c>
      <c r="Q1130" t="s">
        <v>138</v>
      </c>
      <c r="R1130">
        <v>0.00089827794599645235</v>
      </c>
      <c r="S1130" t="s">
        <v>139</v>
      </c>
      <c r="T1130">
        <v>0.0045013087941907998</v>
      </c>
      <c r="U1130" t="s">
        <v>90</v>
      </c>
      <c r="V1130">
        <v>0</v>
      </c>
      <c r="W1130" t="s">
        <v>90</v>
      </c>
      <c r="X1130">
        <v>0</v>
      </c>
      <c r="Y1130">
        <v>0.04426286980954286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14</v>
      </c>
      <c r="AF1130">
        <v>44</v>
      </c>
      <c r="AG1130">
        <v>44</v>
      </c>
      <c r="AI1130">
        <v>0.0044999999999999997</v>
      </c>
      <c r="AJ1130" t="s">
        <v>685</v>
      </c>
      <c r="AK1130" t="s">
        <v>501</v>
      </c>
      <c r="AL1130" t="s">
        <v>1275</v>
      </c>
      <c r="AM1130">
        <v>400000</v>
      </c>
      <c r="AN1130" t="s">
        <v>76</v>
      </c>
      <c r="AO1130">
        <v>2</v>
      </c>
      <c r="AP1130">
        <v>0</v>
      </c>
      <c r="AQ1130">
        <v>33333.333333333336</v>
      </c>
      <c r="AR1130" t="s">
        <v>4275</v>
      </c>
      <c r="AS1130" t="s">
        <v>78</v>
      </c>
      <c r="AX1130" t="s">
        <v>79</v>
      </c>
      <c r="AY1130" t="s">
        <v>137</v>
      </c>
      <c r="AZ1130">
        <v>0</v>
      </c>
      <c r="BA1130" t="s">
        <v>137</v>
      </c>
      <c r="BB1130">
        <v>0</v>
      </c>
      <c r="BE1130">
        <v>0</v>
      </c>
    </row>
    <row r="1131" spans="1:58" ht="12.75">
      <c r="A1131" s="2" t="str">
        <f>HYPERLINK("https://ibp.a2mac1.com/costing(costing:projects/details/8191/part/5385055)","Front Handle Interface")</f>
        <v>Front Handle Interface</v>
      </c>
      <c r="B1131">
        <v>5385055</v>
      </c>
      <c r="C1131">
        <v>5384934</v>
      </c>
      <c r="E1131">
        <v>0.028335130332209323</v>
      </c>
      <c r="F1131">
        <v>0</v>
      </c>
      <c r="G1131">
        <v>0</v>
      </c>
      <c r="H1131">
        <v>5.7097840699388044E-07</v>
      </c>
      <c r="I1131" t="s">
        <v>137</v>
      </c>
      <c r="J1131">
        <v>0.00099921221223929079</v>
      </c>
      <c r="K1131">
        <v>0.029334913522855607</v>
      </c>
      <c r="L1131">
        <v>0.0090479240458912862</v>
      </c>
      <c r="M1131">
        <v>0.054287544275347717</v>
      </c>
      <c r="N1131">
        <v>0.08362245779820332</v>
      </c>
      <c r="O1131" t="s">
        <v>138</v>
      </c>
      <c r="P1131">
        <v>0.0017600948113713365</v>
      </c>
      <c r="Q1131" t="s">
        <v>138</v>
      </c>
      <c r="R1131">
        <v>0.0032572526565208628</v>
      </c>
      <c r="S1131" t="s">
        <v>139</v>
      </c>
      <c r="T1131">
        <v>0.010034694935784398</v>
      </c>
      <c r="U1131" t="s">
        <v>90</v>
      </c>
      <c r="V1131">
        <v>0</v>
      </c>
      <c r="W1131" t="s">
        <v>90</v>
      </c>
      <c r="X1131">
        <v>0</v>
      </c>
      <c r="Y1131">
        <v>0.098674500201879914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20</v>
      </c>
      <c r="AF1131">
        <v>200</v>
      </c>
      <c r="AG1131">
        <v>29</v>
      </c>
      <c r="AI1131">
        <v>0.012</v>
      </c>
      <c r="AK1131" t="s">
        <v>501</v>
      </c>
      <c r="AL1131" t="s">
        <v>1182</v>
      </c>
      <c r="AM1131">
        <v>400000</v>
      </c>
      <c r="AN1131" t="s">
        <v>76</v>
      </c>
      <c r="AO1131">
        <v>2</v>
      </c>
      <c r="AP1131">
        <v>0</v>
      </c>
      <c r="AQ1131">
        <v>33333.333333333336</v>
      </c>
      <c r="AR1131" t="s">
        <v>4283</v>
      </c>
      <c r="AS1131" t="s">
        <v>78</v>
      </c>
      <c r="AX1131" t="s">
        <v>79</v>
      </c>
      <c r="AY1131" t="s">
        <v>137</v>
      </c>
      <c r="AZ1131">
        <v>0</v>
      </c>
      <c r="BA1131" t="s">
        <v>137</v>
      </c>
      <c r="BB1131">
        <v>0</v>
      </c>
      <c r="BE1131">
        <v>0</v>
      </c>
    </row>
    <row r="1132" spans="1:58" ht="12.75">
      <c r="A1132" s="2" t="str">
        <f>HYPERLINK("https://ibp.a2mac1.com/costing(costing:projects/details/8191/part/5385056)","Rear Handle Interface")</f>
        <v>Rear Handle Interface</v>
      </c>
      <c r="B1132">
        <v>5385056</v>
      </c>
      <c r="C1132">
        <v>5384934</v>
      </c>
      <c r="E1132">
        <v>0.028335130332209323</v>
      </c>
      <c r="F1132">
        <v>0</v>
      </c>
      <c r="G1132">
        <v>0</v>
      </c>
      <c r="H1132">
        <v>5.7097840699388044E-07</v>
      </c>
      <c r="I1132" t="s">
        <v>137</v>
      </c>
      <c r="J1132">
        <v>0.00099921221223929079</v>
      </c>
      <c r="K1132">
        <v>0.029334913522855607</v>
      </c>
      <c r="L1132">
        <v>0.0090506538552549438</v>
      </c>
      <c r="M1132">
        <v>0.054303923131529666</v>
      </c>
      <c r="N1132">
        <v>0.083638836654385276</v>
      </c>
      <c r="O1132" t="s">
        <v>138</v>
      </c>
      <c r="P1132">
        <v>0.0017600948113713365</v>
      </c>
      <c r="Q1132" t="s">
        <v>138</v>
      </c>
      <c r="R1132">
        <v>0.0032582353878917798</v>
      </c>
      <c r="S1132" t="s">
        <v>139</v>
      </c>
      <c r="T1132">
        <v>0.010036660398526232</v>
      </c>
      <c r="U1132" t="s">
        <v>90</v>
      </c>
      <c r="V1132">
        <v>0</v>
      </c>
      <c r="W1132" t="s">
        <v>90</v>
      </c>
      <c r="X1132">
        <v>0</v>
      </c>
      <c r="Y1132">
        <v>0.098693827252174626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20</v>
      </c>
      <c r="AF1132">
        <v>202</v>
      </c>
      <c r="AG1132">
        <v>30</v>
      </c>
      <c r="AI1132">
        <v>0.012</v>
      </c>
      <c r="AK1132" t="s">
        <v>501</v>
      </c>
      <c r="AL1132" t="s">
        <v>1182</v>
      </c>
      <c r="AM1132">
        <v>400000</v>
      </c>
      <c r="AN1132" t="s">
        <v>76</v>
      </c>
      <c r="AO1132">
        <v>2</v>
      </c>
      <c r="AP1132">
        <v>0</v>
      </c>
      <c r="AQ1132">
        <v>33333.333333333336</v>
      </c>
      <c r="AR1132" t="s">
        <v>4286</v>
      </c>
      <c r="AS1132" t="s">
        <v>78</v>
      </c>
      <c r="AX1132" t="s">
        <v>79</v>
      </c>
      <c r="AY1132" t="s">
        <v>137</v>
      </c>
      <c r="AZ1132">
        <v>0</v>
      </c>
      <c r="BA1132" t="s">
        <v>137</v>
      </c>
      <c r="BB1132">
        <v>0</v>
      </c>
      <c r="BE1132">
        <v>0</v>
      </c>
    </row>
    <row r="1133" spans="1:58" ht="12.75">
      <c r="A1133" s="2" t="str">
        <f>HYPERLINK("https://ibp.a2mac1.com/costing(costing:projects/details/8191/part/5385057)","Rear")</f>
        <v>Rear</v>
      </c>
      <c r="B1133">
        <v>5385057</v>
      </c>
      <c r="C1133">
        <v>5384934</v>
      </c>
      <c r="D1133" t="s">
        <v>4290</v>
      </c>
      <c r="E1133">
        <v>1.56</v>
      </c>
      <c r="F1133">
        <v>0.14</v>
      </c>
      <c r="G1133">
        <v>0</v>
      </c>
      <c r="H1133">
        <v>0.015802799999999999</v>
      </c>
      <c r="I1133" t="s">
        <v>137</v>
      </c>
      <c r="J1133">
        <v>0.054600000000000003</v>
      </c>
      <c r="K1133">
        <v>1.7753028</v>
      </c>
      <c r="L1133">
        <v>0.091119837483753269</v>
      </c>
      <c r="M1133">
        <v>0.54671902490251967</v>
      </c>
      <c r="N1133">
        <v>2.3220218249025195</v>
      </c>
      <c r="O1133" t="s">
        <v>138</v>
      </c>
      <c r="P1133">
        <v>0.106518168</v>
      </c>
      <c r="Q1133" t="s">
        <v>138</v>
      </c>
      <c r="R1133">
        <v>0.032803141494151179</v>
      </c>
      <c r="S1133" t="s">
        <v>139</v>
      </c>
      <c r="T1133">
        <v>0.27864261898830234</v>
      </c>
      <c r="U1133" t="s">
        <v>90</v>
      </c>
      <c r="V1133">
        <v>0</v>
      </c>
      <c r="W1133" t="s">
        <v>90</v>
      </c>
      <c r="X1133">
        <v>0</v>
      </c>
      <c r="Y1133">
        <v>2.739985753384973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43</v>
      </c>
      <c r="AF1133">
        <v>210</v>
      </c>
      <c r="AG1133">
        <v>68</v>
      </c>
      <c r="AH1133">
        <v>0</v>
      </c>
      <c r="AI1133">
        <v>0.19700000000000001</v>
      </c>
      <c r="AK1133" t="s">
        <v>661</v>
      </c>
      <c r="AM1133">
        <v>400000</v>
      </c>
      <c r="AN1133" t="s">
        <v>76</v>
      </c>
      <c r="AO1133">
        <v>2</v>
      </c>
      <c r="AP1133">
        <v>0</v>
      </c>
      <c r="AQ1133">
        <v>33333.333333333336</v>
      </c>
      <c r="AR1133" t="s">
        <v>4291</v>
      </c>
      <c r="AS1133" t="s">
        <v>78</v>
      </c>
      <c r="AX1133" t="s">
        <v>79</v>
      </c>
      <c r="AY1133" t="s">
        <v>137</v>
      </c>
      <c r="AZ1133">
        <v>0.0048999999999999998</v>
      </c>
      <c r="BA1133" t="s">
        <v>137</v>
      </c>
      <c r="BB1133">
        <v>0</v>
      </c>
      <c r="BE1133">
        <v>0</v>
      </c>
    </row>
    <row r="1134" spans="1:58" ht="12.75">
      <c r="A1134" s="2" t="str">
        <f>HYPERLINK("https://ibp.a2mac1.com/costing(costing:projects/details/8191/part/5385058)","Front")</f>
        <v>Front</v>
      </c>
      <c r="B1134">
        <v>5385058</v>
      </c>
      <c r="C1134">
        <v>5384934</v>
      </c>
      <c r="D1134" t="s">
        <v>4294</v>
      </c>
      <c r="E1134">
        <v>1.44</v>
      </c>
      <c r="F1134">
        <v>0.135</v>
      </c>
      <c r="G1134">
        <v>0</v>
      </c>
      <c r="H1134">
        <v>0.0145872</v>
      </c>
      <c r="I1134" t="s">
        <v>137</v>
      </c>
      <c r="J1134">
        <v>0.0504</v>
      </c>
      <c r="K1134">
        <v>1.6447122000000001</v>
      </c>
      <c r="L1134">
        <v>0.087569852090177619</v>
      </c>
      <c r="M1134">
        <v>0.52541911254106566</v>
      </c>
      <c r="N1134">
        <v>2.1701313125410655</v>
      </c>
      <c r="O1134" t="s">
        <v>138</v>
      </c>
      <c r="P1134">
        <v>0.098682731999999995</v>
      </c>
      <c r="Q1134" t="s">
        <v>138</v>
      </c>
      <c r="R1134">
        <v>0.031525146752463942</v>
      </c>
      <c r="S1134" t="s">
        <v>139</v>
      </c>
      <c r="T1134">
        <v>0.2604157575049279</v>
      </c>
      <c r="U1134" t="s">
        <v>90</v>
      </c>
      <c r="V1134">
        <v>0</v>
      </c>
      <c r="W1134" t="s">
        <v>90</v>
      </c>
      <c r="X1134">
        <v>0</v>
      </c>
      <c r="Y1134">
        <v>2.5607549487984573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40</v>
      </c>
      <c r="AF1134">
        <v>210</v>
      </c>
      <c r="AG1134">
        <v>66</v>
      </c>
      <c r="AH1134">
        <v>0</v>
      </c>
      <c r="AI1134">
        <v>0.18</v>
      </c>
      <c r="AK1134" t="s">
        <v>661</v>
      </c>
      <c r="AM1134">
        <v>400000</v>
      </c>
      <c r="AN1134" t="s">
        <v>76</v>
      </c>
      <c r="AO1134">
        <v>2</v>
      </c>
      <c r="AP1134">
        <v>0</v>
      </c>
      <c r="AQ1134">
        <v>33333.333333333336</v>
      </c>
      <c r="AR1134" t="s">
        <v>4295</v>
      </c>
      <c r="AS1134" t="s">
        <v>78</v>
      </c>
      <c r="AX1134" t="s">
        <v>79</v>
      </c>
      <c r="AY1134" t="s">
        <v>137</v>
      </c>
      <c r="AZ1134">
        <v>0.004725</v>
      </c>
      <c r="BA1134" t="s">
        <v>137</v>
      </c>
      <c r="BB1134">
        <v>0</v>
      </c>
      <c r="BE1134">
        <v>0</v>
      </c>
    </row>
    <row r="1135" spans="1:58" ht="12.75">
      <c r="A1135" s="2" t="str">
        <f>HYPERLINK("https://ibp.a2mac1.com/costing(costing:projects/details/8191/part/5384933)","Hanger Support")</f>
        <v>Hanger Support</v>
      </c>
      <c r="B1135">
        <v>5384933</v>
      </c>
      <c r="C1135">
        <v>5384842</v>
      </c>
      <c r="E1135">
        <v>0.0099827201799599571</v>
      </c>
      <c r="F1135">
        <v>0</v>
      </c>
      <c r="G1135">
        <v>0</v>
      </c>
      <c r="H1135">
        <v>2.0203671957810434E-07</v>
      </c>
      <c r="I1135" t="s">
        <v>137</v>
      </c>
      <c r="J1135">
        <v>0.0003535642592616826</v>
      </c>
      <c r="K1135">
        <v>0.010336486475941218</v>
      </c>
      <c r="L1135">
        <v>0.0073439012130577493</v>
      </c>
      <c r="M1135">
        <v>0.044063407278346498</v>
      </c>
      <c r="N1135">
        <v>0.054399893754287713</v>
      </c>
      <c r="O1135" t="s">
        <v>138</v>
      </c>
      <c r="P1135">
        <v>0.000620189188556473</v>
      </c>
      <c r="Q1135" t="s">
        <v>138</v>
      </c>
      <c r="R1135">
        <v>0.0026438044367007897</v>
      </c>
      <c r="S1135" t="s">
        <v>139</v>
      </c>
      <c r="T1135">
        <v>0.0065279872505145256</v>
      </c>
      <c r="U1135" t="s">
        <v>90</v>
      </c>
      <c r="V1135">
        <v>0</v>
      </c>
      <c r="W1135" t="s">
        <v>90</v>
      </c>
      <c r="X1135">
        <v>0</v>
      </c>
      <c r="Y1135">
        <v>0.064191874630059501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23</v>
      </c>
      <c r="AF1135">
        <v>16</v>
      </c>
      <c r="AG1135">
        <v>45</v>
      </c>
      <c r="AI1135">
        <v>0.0040000000000000001</v>
      </c>
      <c r="AK1135" t="s">
        <v>501</v>
      </c>
      <c r="AL1135" t="s">
        <v>4301</v>
      </c>
      <c r="AM1135">
        <v>400000</v>
      </c>
      <c r="AN1135" t="s">
        <v>76</v>
      </c>
      <c r="AO1135">
        <v>2</v>
      </c>
      <c r="AP1135">
        <v>0</v>
      </c>
      <c r="AQ1135">
        <v>33333.333333333336</v>
      </c>
      <c r="AR1135" t="s">
        <v>4302</v>
      </c>
      <c r="AS1135" t="s">
        <v>78</v>
      </c>
      <c r="AX1135" t="s">
        <v>79</v>
      </c>
      <c r="AY1135" t="s">
        <v>137</v>
      </c>
      <c r="AZ1135">
        <v>0</v>
      </c>
      <c r="BA1135" t="s">
        <v>137</v>
      </c>
      <c r="BB1135">
        <v>0</v>
      </c>
      <c r="BE1135">
        <v>0</v>
      </c>
    </row>
    <row r="1136" spans="1:58" ht="12.75">
      <c r="A1136" s="2" t="str">
        <f>HYPERLINK("https://ibp.a2mac1.com/costing(costing:projects/details/8191/part/5385108)","Front")</f>
        <v>Front</v>
      </c>
      <c r="B1136">
        <v>5385108</v>
      </c>
      <c r="C1136">
        <v>5385067</v>
      </c>
      <c r="E1136">
        <v>0.56319547199999997</v>
      </c>
      <c r="F1136">
        <v>0</v>
      </c>
      <c r="G1136">
        <v>0</v>
      </c>
      <c r="H1136">
        <v>0.002856911366736842</v>
      </c>
      <c r="I1136" t="s">
        <v>137</v>
      </c>
      <c r="J1136">
        <v>0.019761244631578946</v>
      </c>
      <c r="K1136">
        <v>0.58581362799831582</v>
      </c>
      <c r="L1136">
        <v>0.018492672931834434</v>
      </c>
      <c r="M1136">
        <v>0.11095603759100661</v>
      </c>
      <c r="N1136">
        <v>0.69676966558932241</v>
      </c>
      <c r="O1136" t="s">
        <v>138</v>
      </c>
      <c r="P1136">
        <v>0.035148817679898949</v>
      </c>
      <c r="Q1136" t="s">
        <v>138</v>
      </c>
      <c r="R1136">
        <v>0.0066573622554603968</v>
      </c>
      <c r="S1136" t="s">
        <v>139</v>
      </c>
      <c r="T1136">
        <v>0.083612359870718689</v>
      </c>
      <c r="U1136" t="s">
        <v>90</v>
      </c>
      <c r="V1136">
        <v>0</v>
      </c>
      <c r="W1136" t="s">
        <v>90</v>
      </c>
      <c r="X1136">
        <v>0</v>
      </c>
      <c r="Y1136">
        <v>0.82218820539540038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105</v>
      </c>
      <c r="AF1136">
        <v>1086</v>
      </c>
      <c r="AG1136">
        <v>184</v>
      </c>
      <c r="AI1136">
        <v>0.39800000000000002</v>
      </c>
      <c r="AJ1136" t="s">
        <v>685</v>
      </c>
      <c r="AK1136" t="s">
        <v>501</v>
      </c>
      <c r="AL1136" t="s">
        <v>728</v>
      </c>
      <c r="AM1136">
        <v>200000</v>
      </c>
      <c r="AN1136" t="s">
        <v>76</v>
      </c>
      <c r="AO1136">
        <v>1</v>
      </c>
      <c r="AP1136">
        <v>0</v>
      </c>
      <c r="AQ1136">
        <v>16666.666666666668</v>
      </c>
      <c r="AR1136" t="s">
        <v>4311</v>
      </c>
      <c r="AS1136" t="s">
        <v>78</v>
      </c>
      <c r="AX1136" t="s">
        <v>79</v>
      </c>
      <c r="AY1136" t="s">
        <v>137</v>
      </c>
      <c r="AZ1136">
        <v>0</v>
      </c>
      <c r="BA1136" t="s">
        <v>137</v>
      </c>
      <c r="BB1136">
        <v>0</v>
      </c>
      <c r="BE1136">
        <v>0</v>
      </c>
    </row>
    <row r="1137" spans="1:58" ht="12.75">
      <c r="A1137" s="2" t="str">
        <f>HYPERLINK("https://ibp.a2mac1.com/costing(costing:projects/details/8191/part/5385059)","A Pillar Upper Panel")</f>
        <v>A Pillar Upper Panel</v>
      </c>
      <c r="B1137">
        <v>5385059</v>
      </c>
      <c r="C1137">
        <v>5384935</v>
      </c>
      <c r="E1137">
        <v>0.6140727980526316</v>
      </c>
      <c r="F1137">
        <v>0</v>
      </c>
      <c r="G1137">
        <v>0</v>
      </c>
      <c r="H1137">
        <v>0.0031418274498947367</v>
      </c>
      <c r="I1137" t="s">
        <v>137</v>
      </c>
      <c r="J1137">
        <v>0.02173200805263158</v>
      </c>
      <c r="K1137">
        <v>0.63894663355515791</v>
      </c>
      <c r="L1137">
        <v>0.015376984765413522</v>
      </c>
      <c r="M1137">
        <v>0.092261908592481137</v>
      </c>
      <c r="N1137">
        <v>0.73120854214763897</v>
      </c>
      <c r="O1137" t="s">
        <v>138</v>
      </c>
      <c r="P1137">
        <v>0.038336798013309477</v>
      </c>
      <c r="Q1137" t="s">
        <v>138</v>
      </c>
      <c r="R1137">
        <v>0.0055357145155488681</v>
      </c>
      <c r="S1137" t="s">
        <v>139</v>
      </c>
      <c r="T1137">
        <v>0.087745025057716683</v>
      </c>
      <c r="U1137" t="s">
        <v>90</v>
      </c>
      <c r="V1137">
        <v>0</v>
      </c>
      <c r="W1137" t="s">
        <v>90</v>
      </c>
      <c r="X1137">
        <v>0</v>
      </c>
      <c r="Y1137">
        <v>0.8628260797342141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80</v>
      </c>
      <c r="AF1137">
        <v>220</v>
      </c>
      <c r="AG1137">
        <v>732</v>
      </c>
      <c r="AI1137">
        <v>0.33100000000000002</v>
      </c>
      <c r="AJ1137" t="s">
        <v>685</v>
      </c>
      <c r="AK1137" t="s">
        <v>501</v>
      </c>
      <c r="AL1137" t="s">
        <v>1182</v>
      </c>
      <c r="AM1137">
        <v>200000</v>
      </c>
      <c r="AN1137" t="s">
        <v>76</v>
      </c>
      <c r="AO1137">
        <v>1</v>
      </c>
      <c r="AP1137">
        <v>0</v>
      </c>
      <c r="AQ1137">
        <v>16666.666666666668</v>
      </c>
      <c r="AR1137" t="s">
        <v>4320</v>
      </c>
      <c r="AS1137" t="s">
        <v>78</v>
      </c>
      <c r="AX1137" t="s">
        <v>79</v>
      </c>
      <c r="AY1137" t="s">
        <v>137</v>
      </c>
      <c r="AZ1137">
        <v>0</v>
      </c>
      <c r="BA1137" t="s">
        <v>137</v>
      </c>
      <c r="BB1137">
        <v>0</v>
      </c>
      <c r="BE1137">
        <v>0</v>
      </c>
    </row>
    <row r="1138" spans="1:58" ht="12.75">
      <c r="A1138" s="2" t="str">
        <f>HYPERLINK("https://ibp.a2mac1.com/costing(costing:projects/details/8191/part/5385060)","A Pillar Central Panel")</f>
        <v>A Pillar Central Panel</v>
      </c>
      <c r="B1138">
        <v>5385060</v>
      </c>
      <c r="C1138">
        <v>5384935</v>
      </c>
      <c r="E1138">
        <v>0.073583328000000003</v>
      </c>
      <c r="F1138">
        <v>0</v>
      </c>
      <c r="G1138">
        <v>0</v>
      </c>
      <c r="H1138">
        <v>0.00037326480168421055</v>
      </c>
      <c r="I1138" t="s">
        <v>137</v>
      </c>
      <c r="J1138">
        <v>0.0025818711578947367</v>
      </c>
      <c r="K1138">
        <v>0.076538463959578945</v>
      </c>
      <c r="L1138">
        <v>0.0024140187574553254</v>
      </c>
      <c r="M1138">
        <v>0.014484112544731953</v>
      </c>
      <c r="N1138">
        <v>0.091022576504310906</v>
      </c>
      <c r="O1138" t="s">
        <v>138</v>
      </c>
      <c r="P1138">
        <v>0.0045923078375747365</v>
      </c>
      <c r="Q1138" t="s">
        <v>138</v>
      </c>
      <c r="R1138">
        <v>0.0008690467526839172</v>
      </c>
      <c r="S1138" t="s">
        <v>139</v>
      </c>
      <c r="T1138">
        <v>0.010922709180517309</v>
      </c>
      <c r="U1138" t="s">
        <v>90</v>
      </c>
      <c r="V1138">
        <v>0</v>
      </c>
      <c r="W1138" t="s">
        <v>90</v>
      </c>
      <c r="X1138">
        <v>0</v>
      </c>
      <c r="Y1138">
        <v>0.10740664027508687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41</v>
      </c>
      <c r="AF1138">
        <v>62</v>
      </c>
      <c r="AG1138">
        <v>312</v>
      </c>
      <c r="AI1138">
        <v>0.051999999999999998</v>
      </c>
      <c r="AJ1138" t="s">
        <v>685</v>
      </c>
      <c r="AK1138" t="s">
        <v>501</v>
      </c>
      <c r="AL1138" t="s">
        <v>728</v>
      </c>
      <c r="AM1138">
        <v>200000</v>
      </c>
      <c r="AN1138" t="s">
        <v>76</v>
      </c>
      <c r="AO1138">
        <v>1</v>
      </c>
      <c r="AP1138">
        <v>0</v>
      </c>
      <c r="AQ1138">
        <v>16666.666666666668</v>
      </c>
      <c r="AR1138" t="s">
        <v>4325</v>
      </c>
      <c r="AS1138" t="s">
        <v>78</v>
      </c>
      <c r="AX1138" t="s">
        <v>79</v>
      </c>
      <c r="AY1138" t="s">
        <v>137</v>
      </c>
      <c r="AZ1138">
        <v>0</v>
      </c>
      <c r="BA1138" t="s">
        <v>137</v>
      </c>
      <c r="BB1138">
        <v>0</v>
      </c>
      <c r="BE1138">
        <v>0</v>
      </c>
    </row>
    <row r="1139" spans="1:58" ht="12.75">
      <c r="A1139" s="2" t="str">
        <f>HYPERLINK("https://ibp.a2mac1.com/costing(costing:projects/details/8191/part/5385061)","A Pillar Lower Panel")</f>
        <v>A Pillar Lower Panel</v>
      </c>
      <c r="B1139">
        <v>5385061</v>
      </c>
      <c r="C1139">
        <v>5384935</v>
      </c>
      <c r="E1139">
        <v>0.40329324</v>
      </c>
      <c r="F1139">
        <v>0</v>
      </c>
      <c r="G1139">
        <v>0</v>
      </c>
      <c r="H1139">
        <v>0.0020457782400000002</v>
      </c>
      <c r="I1139" t="s">
        <v>137</v>
      </c>
      <c r="J1139">
        <v>0.014150640000000001</v>
      </c>
      <c r="K1139">
        <v>0.41948965824000001</v>
      </c>
      <c r="L1139">
        <v>0.013238464984908426</v>
      </c>
      <c r="M1139">
        <v>0.079430789909450558</v>
      </c>
      <c r="N1139">
        <v>0.49892044814945058</v>
      </c>
      <c r="O1139" t="s">
        <v>138</v>
      </c>
      <c r="P1139">
        <v>0.025169379494399999</v>
      </c>
      <c r="Q1139" t="s">
        <v>138</v>
      </c>
      <c r="R1139">
        <v>0.0047658473945670337</v>
      </c>
      <c r="S1139" t="s">
        <v>139</v>
      </c>
      <c r="T1139">
        <v>0.059870453777934068</v>
      </c>
      <c r="U1139" t="s">
        <v>90</v>
      </c>
      <c r="V1139">
        <v>0</v>
      </c>
      <c r="W1139" t="s">
        <v>90</v>
      </c>
      <c r="X1139">
        <v>0</v>
      </c>
      <c r="Y1139">
        <v>0.58872612881635167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120</v>
      </c>
      <c r="AF1139">
        <v>549</v>
      </c>
      <c r="AG1139">
        <v>430</v>
      </c>
      <c r="AI1139">
        <v>0.285</v>
      </c>
      <c r="AJ1139" t="s">
        <v>685</v>
      </c>
      <c r="AK1139" t="s">
        <v>501</v>
      </c>
      <c r="AL1139" t="s">
        <v>728</v>
      </c>
      <c r="AM1139">
        <v>200000</v>
      </c>
      <c r="AN1139" t="s">
        <v>76</v>
      </c>
      <c r="AO1139">
        <v>1</v>
      </c>
      <c r="AP1139">
        <v>0</v>
      </c>
      <c r="AQ1139">
        <v>16666.666666666668</v>
      </c>
      <c r="AR1139" t="s">
        <v>4328</v>
      </c>
      <c r="AS1139" t="s">
        <v>78</v>
      </c>
      <c r="AX1139" t="s">
        <v>79</v>
      </c>
      <c r="AY1139" t="s">
        <v>137</v>
      </c>
      <c r="AZ1139">
        <v>0</v>
      </c>
      <c r="BA1139" t="s">
        <v>137</v>
      </c>
      <c r="BB1139">
        <v>0</v>
      </c>
      <c r="BE1139">
        <v>0</v>
      </c>
    </row>
    <row r="1140" spans="1:58" ht="12.75">
      <c r="A1140" s="2" t="str">
        <f>HYPERLINK("https://ibp.a2mac1.com/costing(costing:projects/details/8191/part/5385062)","B Pillar Upper Panel")</f>
        <v>B Pillar Upper Panel</v>
      </c>
      <c r="B1140">
        <v>5385062</v>
      </c>
      <c r="C1140">
        <v>5384935</v>
      </c>
      <c r="E1140">
        <v>0.56602358249999996</v>
      </c>
      <c r="F1140">
        <v>0</v>
      </c>
      <c r="G1140">
        <v>0</v>
      </c>
      <c r="H1140">
        <v>0.0028694548936842104</v>
      </c>
      <c r="I1140" t="s">
        <v>137</v>
      </c>
      <c r="J1140">
        <v>0.019848008157894736</v>
      </c>
      <c r="K1140">
        <v>0.58874104555157891</v>
      </c>
      <c r="L1140">
        <v>0.013703318383321976</v>
      </c>
      <c r="M1140">
        <v>0.082219910299931864</v>
      </c>
      <c r="N1140">
        <v>0.67096095585151083</v>
      </c>
      <c r="O1140" t="s">
        <v>138</v>
      </c>
      <c r="P1140">
        <v>0.035324462733094739</v>
      </c>
      <c r="Q1140" t="s">
        <v>138</v>
      </c>
      <c r="R1140">
        <v>0.0049331946179959115</v>
      </c>
      <c r="S1140" t="s">
        <v>139</v>
      </c>
      <c r="T1140">
        <v>0.08051531470218129</v>
      </c>
      <c r="U1140" t="s">
        <v>90</v>
      </c>
      <c r="V1140">
        <v>0</v>
      </c>
      <c r="W1140" t="s">
        <v>90</v>
      </c>
      <c r="X1140">
        <v>0</v>
      </c>
      <c r="Y1140">
        <v>0.7917339279047827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65</v>
      </c>
      <c r="AF1140">
        <v>214</v>
      </c>
      <c r="AG1140">
        <v>539</v>
      </c>
      <c r="AI1140">
        <v>0.295</v>
      </c>
      <c r="AJ1140" t="s">
        <v>685</v>
      </c>
      <c r="AK1140" t="s">
        <v>501</v>
      </c>
      <c r="AL1140" t="s">
        <v>728</v>
      </c>
      <c r="AM1140">
        <v>200000</v>
      </c>
      <c r="AN1140" t="s">
        <v>76</v>
      </c>
      <c r="AO1140">
        <v>1</v>
      </c>
      <c r="AP1140">
        <v>0</v>
      </c>
      <c r="AQ1140">
        <v>16666.666666666668</v>
      </c>
      <c r="AR1140" t="s">
        <v>4336</v>
      </c>
      <c r="AS1140" t="s">
        <v>78</v>
      </c>
      <c r="AX1140" t="s">
        <v>79</v>
      </c>
      <c r="AY1140" t="s">
        <v>137</v>
      </c>
      <c r="AZ1140">
        <v>0</v>
      </c>
      <c r="BA1140" t="s">
        <v>137</v>
      </c>
      <c r="BB1140">
        <v>0</v>
      </c>
      <c r="BE1140">
        <v>0</v>
      </c>
    </row>
    <row r="1141" spans="1:58" ht="12.75">
      <c r="A1141" s="2" t="str">
        <f>HYPERLINK("https://ibp.a2mac1.com/costing(costing:projects/details/8191/part/5385063)","B Pillar Lower Panel")</f>
        <v>B Pillar Lower Panel</v>
      </c>
      <c r="B1141">
        <v>5385063</v>
      </c>
      <c r="C1141">
        <v>5384935</v>
      </c>
      <c r="E1141">
        <v>0.645269184</v>
      </c>
      <c r="F1141">
        <v>0</v>
      </c>
      <c r="G1141">
        <v>0</v>
      </c>
      <c r="H1141">
        <v>0.0032732451839999998</v>
      </c>
      <c r="I1141" t="s">
        <v>137</v>
      </c>
      <c r="J1141">
        <v>0.022641023999999999</v>
      </c>
      <c r="K1141">
        <v>0.67118345318399997</v>
      </c>
      <c r="L1141">
        <v>0.021190685805001112</v>
      </c>
      <c r="M1141">
        <v>0.12714411483000668</v>
      </c>
      <c r="N1141">
        <v>0.79832756801400673</v>
      </c>
      <c r="O1141" t="s">
        <v>138</v>
      </c>
      <c r="P1141">
        <v>0.040271007191040001</v>
      </c>
      <c r="Q1141" t="s">
        <v>138</v>
      </c>
      <c r="R1141">
        <v>0.0076286468898004011</v>
      </c>
      <c r="S1141" t="s">
        <v>139</v>
      </c>
      <c r="T1141">
        <v>0.095799308161680807</v>
      </c>
      <c r="U1141" t="s">
        <v>90</v>
      </c>
      <c r="V1141">
        <v>0</v>
      </c>
      <c r="W1141" t="s">
        <v>90</v>
      </c>
      <c r="X1141">
        <v>0</v>
      </c>
      <c r="Y1141">
        <v>0.94202653025652783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75</v>
      </c>
      <c r="AF1141">
        <v>280</v>
      </c>
      <c r="AG1141">
        <v>610</v>
      </c>
      <c r="AI1141">
        <v>0.45600000000000002</v>
      </c>
      <c r="AJ1141" t="s">
        <v>685</v>
      </c>
      <c r="AK1141" t="s">
        <v>501</v>
      </c>
      <c r="AL1141" t="s">
        <v>728</v>
      </c>
      <c r="AM1141">
        <v>200000</v>
      </c>
      <c r="AN1141" t="s">
        <v>76</v>
      </c>
      <c r="AO1141">
        <v>1</v>
      </c>
      <c r="AP1141">
        <v>0</v>
      </c>
      <c r="AQ1141">
        <v>16666.666666666668</v>
      </c>
      <c r="AR1141" t="s">
        <v>4341</v>
      </c>
      <c r="AS1141" t="s">
        <v>78</v>
      </c>
      <c r="AX1141" t="s">
        <v>79</v>
      </c>
      <c r="AY1141" t="s">
        <v>137</v>
      </c>
      <c r="AZ1141">
        <v>0</v>
      </c>
      <c r="BA1141" t="s">
        <v>137</v>
      </c>
      <c r="BB1141">
        <v>0</v>
      </c>
      <c r="BE1141">
        <v>0</v>
      </c>
    </row>
    <row r="1142" spans="1:58" ht="12.75">
      <c r="A1142" s="2" t="str">
        <f>HYPERLINK("https://ibp.a2mac1.com/costing(costing:projects/details/8191/part/5385064)","B Pillar Panel Support")</f>
        <v>B Pillar Panel Support</v>
      </c>
      <c r="B1142">
        <v>5385064</v>
      </c>
      <c r="C1142">
        <v>5384935</v>
      </c>
      <c r="E1142">
        <v>0.057475739999999997</v>
      </c>
      <c r="F1142">
        <v>0</v>
      </c>
      <c r="G1142">
        <v>0</v>
      </c>
      <c r="H1142">
        <v>0.00029155613473684212</v>
      </c>
      <c r="I1142" t="s">
        <v>137</v>
      </c>
      <c r="J1142">
        <v>0.0020166926315789472</v>
      </c>
      <c r="K1142">
        <v>0.059783988766315792</v>
      </c>
      <c r="L1142">
        <v>0.0018568812310094263</v>
      </c>
      <c r="M1142">
        <v>0.011141287386056558</v>
      </c>
      <c r="N1142">
        <v>0.070925276152372346</v>
      </c>
      <c r="O1142" t="s">
        <v>138</v>
      </c>
      <c r="P1142">
        <v>0.0035870393259789472</v>
      </c>
      <c r="Q1142" t="s">
        <v>138</v>
      </c>
      <c r="R1142">
        <v>0.0006684772431633935</v>
      </c>
      <c r="S1142" t="s">
        <v>139</v>
      </c>
      <c r="T1142">
        <v>0.0085110331382846818</v>
      </c>
      <c r="U1142" t="s">
        <v>90</v>
      </c>
      <c r="V1142">
        <v>0</v>
      </c>
      <c r="W1142" t="s">
        <v>90</v>
      </c>
      <c r="X1142">
        <v>0</v>
      </c>
      <c r="Y1142">
        <v>0.083691825859799368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39</v>
      </c>
      <c r="AF1142">
        <v>180</v>
      </c>
      <c r="AG1142">
        <v>162</v>
      </c>
      <c r="AI1142">
        <v>0.04</v>
      </c>
      <c r="AJ1142" t="s">
        <v>685</v>
      </c>
      <c r="AK1142" t="s">
        <v>501</v>
      </c>
      <c r="AL1142" t="s">
        <v>728</v>
      </c>
      <c r="AM1142">
        <v>200000</v>
      </c>
      <c r="AN1142" t="s">
        <v>76</v>
      </c>
      <c r="AO1142">
        <v>1</v>
      </c>
      <c r="AP1142">
        <v>0</v>
      </c>
      <c r="AQ1142">
        <v>16666.666666666668</v>
      </c>
      <c r="AR1142" t="s">
        <v>4344</v>
      </c>
      <c r="AS1142" t="s">
        <v>78</v>
      </c>
      <c r="AX1142" t="s">
        <v>79</v>
      </c>
      <c r="AY1142" t="s">
        <v>137</v>
      </c>
      <c r="AZ1142">
        <v>0</v>
      </c>
      <c r="BA1142" t="s">
        <v>137</v>
      </c>
      <c r="BB1142">
        <v>0</v>
      </c>
      <c r="BE1142">
        <v>0</v>
      </c>
    </row>
    <row r="1143" spans="1:58" ht="12.75">
      <c r="A1143" s="2" t="str">
        <f>HYPERLINK("https://ibp.a2mac1.com/costing(costing:projects/details/8191/part/5385065)","C Pillar Lower Panel")</f>
        <v>C Pillar Lower Panel</v>
      </c>
      <c r="B1143">
        <v>5385065</v>
      </c>
      <c r="C1143">
        <v>5384935</v>
      </c>
      <c r="E1143">
        <v>1.1518620959999999</v>
      </c>
      <c r="F1143">
        <v>0</v>
      </c>
      <c r="G1143">
        <v>0</v>
      </c>
      <c r="H1143">
        <v>0.005843029780210526</v>
      </c>
      <c r="I1143" t="s">
        <v>137</v>
      </c>
      <c r="J1143">
        <v>0.04041621389473684</v>
      </c>
      <c r="K1143">
        <v>1.1981213396749473</v>
      </c>
      <c r="L1143">
        <v>0.03786139784878545</v>
      </c>
      <c r="M1143">
        <v>0.22716838709271273</v>
      </c>
      <c r="N1143">
        <v>1.4252897267676601</v>
      </c>
      <c r="O1143" t="s">
        <v>138</v>
      </c>
      <c r="P1143">
        <v>0.07188728038049684</v>
      </c>
      <c r="Q1143" t="s">
        <v>138</v>
      </c>
      <c r="R1143">
        <v>0.013630103225562764</v>
      </c>
      <c r="S1143" t="s">
        <v>139</v>
      </c>
      <c r="T1143">
        <v>0.17103476721211922</v>
      </c>
      <c r="U1143" t="s">
        <v>90</v>
      </c>
      <c r="V1143">
        <v>0</v>
      </c>
      <c r="W1143" t="s">
        <v>90</v>
      </c>
      <c r="X1143">
        <v>0</v>
      </c>
      <c r="Y1143">
        <v>1.6818418775858388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250</v>
      </c>
      <c r="AF1143">
        <v>598</v>
      </c>
      <c r="AG1143">
        <v>1115</v>
      </c>
      <c r="AI1143">
        <v>0.81399999999999995</v>
      </c>
      <c r="AJ1143" t="s">
        <v>685</v>
      </c>
      <c r="AK1143" t="s">
        <v>501</v>
      </c>
      <c r="AL1143" t="s">
        <v>728</v>
      </c>
      <c r="AM1143">
        <v>200000</v>
      </c>
      <c r="AN1143" t="s">
        <v>76</v>
      </c>
      <c r="AO1143">
        <v>1</v>
      </c>
      <c r="AP1143">
        <v>0</v>
      </c>
      <c r="AQ1143">
        <v>16666.666666666668</v>
      </c>
      <c r="AR1143" t="s">
        <v>4349</v>
      </c>
      <c r="AS1143" t="s">
        <v>78</v>
      </c>
      <c r="AX1143" t="s">
        <v>79</v>
      </c>
      <c r="AY1143" t="s">
        <v>137</v>
      </c>
      <c r="AZ1143">
        <v>0</v>
      </c>
      <c r="BA1143" t="s">
        <v>137</v>
      </c>
      <c r="BB1143">
        <v>0</v>
      </c>
      <c r="BE1143">
        <v>0</v>
      </c>
    </row>
    <row r="1144" spans="1:58" ht="12.75">
      <c r="A1144" s="2" t="str">
        <f>HYPERLINK("https://ibp.a2mac1.com/costing(costing:projects/details/8191/part/5385066)","Rear Quarter Panel")</f>
        <v>Rear Quarter Panel</v>
      </c>
      <c r="B1144">
        <v>5385066</v>
      </c>
      <c r="C1144">
        <v>5384935</v>
      </c>
      <c r="E1144">
        <v>1.0354027834999999</v>
      </c>
      <c r="F1144">
        <v>0</v>
      </c>
      <c r="G1144">
        <v>0</v>
      </c>
      <c r="H1144">
        <v>0.0052488725960000001</v>
      </c>
      <c r="I1144" t="s">
        <v>137</v>
      </c>
      <c r="J1144">
        <v>0.036306431</v>
      </c>
      <c r="K1144">
        <v>1.076958087096</v>
      </c>
      <c r="L1144">
        <v>0.012796875974942404</v>
      </c>
      <c r="M1144">
        <v>0.076781255849654423</v>
      </c>
      <c r="N1144">
        <v>1.1537393429456544</v>
      </c>
      <c r="O1144" t="s">
        <v>138</v>
      </c>
      <c r="P1144">
        <v>0.064617485225759996</v>
      </c>
      <c r="Q1144" t="s">
        <v>138</v>
      </c>
      <c r="R1144">
        <v>0.0046068753509792655</v>
      </c>
      <c r="S1144" t="s">
        <v>139</v>
      </c>
      <c r="T1144">
        <v>0.13844872115347853</v>
      </c>
      <c r="U1144" t="s">
        <v>90</v>
      </c>
      <c r="V1144">
        <v>0</v>
      </c>
      <c r="W1144" t="s">
        <v>90</v>
      </c>
      <c r="X1144">
        <v>0</v>
      </c>
      <c r="Y1144">
        <v>1.3614124246758723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135</v>
      </c>
      <c r="AF1144">
        <v>725</v>
      </c>
      <c r="AG1144">
        <v>365</v>
      </c>
      <c r="AI1144">
        <v>0.55100000000000005</v>
      </c>
      <c r="AJ1144" t="s">
        <v>685</v>
      </c>
      <c r="AK1144" t="s">
        <v>501</v>
      </c>
      <c r="AL1144" t="s">
        <v>4356</v>
      </c>
      <c r="AM1144">
        <v>200000</v>
      </c>
      <c r="AN1144" t="s">
        <v>76</v>
      </c>
      <c r="AO1144">
        <v>1</v>
      </c>
      <c r="AP1144">
        <v>0</v>
      </c>
      <c r="AQ1144">
        <v>16666.666666666668</v>
      </c>
      <c r="AR1144" t="s">
        <v>4357</v>
      </c>
      <c r="AS1144" t="s">
        <v>78</v>
      </c>
      <c r="AX1144" t="s">
        <v>79</v>
      </c>
      <c r="AY1144" t="s">
        <v>137</v>
      </c>
      <c r="AZ1144">
        <v>0</v>
      </c>
      <c r="BA1144" t="s">
        <v>137</v>
      </c>
      <c r="BB1144">
        <v>0</v>
      </c>
      <c r="BE1144">
        <v>0</v>
      </c>
    </row>
    <row r="1145" spans="1:58" ht="12.75">
      <c r="A1145" s="2" t="str">
        <f>HYPERLINK("https://ibp.a2mac1.com/costing(costing:projects/details/8191/part/5385109)","Front")</f>
        <v>Front</v>
      </c>
      <c r="B1145">
        <v>5385109</v>
      </c>
      <c r="C1145">
        <v>5385076</v>
      </c>
      <c r="E1145">
        <v>0.55895028000000002</v>
      </c>
      <c r="F1145">
        <v>0</v>
      </c>
      <c r="G1145">
        <v>0</v>
      </c>
      <c r="H1145">
        <v>0.0028353768589473682</v>
      </c>
      <c r="I1145" t="s">
        <v>137</v>
      </c>
      <c r="J1145">
        <v>0.019612290526315791</v>
      </c>
      <c r="K1145">
        <v>0.58139794738526318</v>
      </c>
      <c r="L1145">
        <v>0.018353141996582129</v>
      </c>
      <c r="M1145">
        <v>0.11011885197949277</v>
      </c>
      <c r="N1145">
        <v>0.69151679936475596</v>
      </c>
      <c r="O1145" t="s">
        <v>138</v>
      </c>
      <c r="P1145">
        <v>0.034883876843115787</v>
      </c>
      <c r="Q1145" t="s">
        <v>138</v>
      </c>
      <c r="R1145">
        <v>0.0066071311187695658</v>
      </c>
      <c r="S1145" t="s">
        <v>139</v>
      </c>
      <c r="T1145">
        <v>0.082982015923770705</v>
      </c>
      <c r="U1145" t="s">
        <v>90</v>
      </c>
      <c r="V1145">
        <v>0</v>
      </c>
      <c r="W1145" t="s">
        <v>90</v>
      </c>
      <c r="X1145">
        <v>0</v>
      </c>
      <c r="Y1145">
        <v>0.81598982325041203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105</v>
      </c>
      <c r="AF1145">
        <v>1086</v>
      </c>
      <c r="AG1145">
        <v>184</v>
      </c>
      <c r="AI1145">
        <v>0.395</v>
      </c>
      <c r="AJ1145" t="s">
        <v>685</v>
      </c>
      <c r="AK1145" t="s">
        <v>501</v>
      </c>
      <c r="AL1145" t="s">
        <v>728</v>
      </c>
      <c r="AM1145">
        <v>200000</v>
      </c>
      <c r="AN1145" t="s">
        <v>76</v>
      </c>
      <c r="AO1145">
        <v>1</v>
      </c>
      <c r="AP1145">
        <v>0</v>
      </c>
      <c r="AQ1145">
        <v>16666.666666666668</v>
      </c>
      <c r="AR1145" t="s">
        <v>4365</v>
      </c>
      <c r="AS1145" t="s">
        <v>78</v>
      </c>
      <c r="AX1145" t="s">
        <v>79</v>
      </c>
      <c r="AY1145" t="s">
        <v>137</v>
      </c>
      <c r="AZ1145">
        <v>0</v>
      </c>
      <c r="BA1145" t="s">
        <v>137</v>
      </c>
      <c r="BB1145">
        <v>0</v>
      </c>
      <c r="BE1145">
        <v>0</v>
      </c>
    </row>
    <row r="1146" spans="1:58" ht="12.75">
      <c r="A1146" s="2" t="str">
        <f>HYPERLINK("https://ibp.a2mac1.com/costing(costing:projects/details/8191/part/5385068)","A Pillar Upper Panel")</f>
        <v>A Pillar Upper Panel</v>
      </c>
      <c r="B1146">
        <v>5385068</v>
      </c>
      <c r="C1146">
        <v>5384936</v>
      </c>
      <c r="E1146">
        <v>0.6140727980526316</v>
      </c>
      <c r="F1146">
        <v>0</v>
      </c>
      <c r="G1146">
        <v>0</v>
      </c>
      <c r="H1146">
        <v>0.0031418274498947367</v>
      </c>
      <c r="I1146" t="s">
        <v>137</v>
      </c>
      <c r="J1146">
        <v>0.02173200805263158</v>
      </c>
      <c r="K1146">
        <v>0.63894663355515791</v>
      </c>
      <c r="L1146">
        <v>0.015376984765413522</v>
      </c>
      <c r="M1146">
        <v>0.092261908592481137</v>
      </c>
      <c r="N1146">
        <v>0.73120854214763897</v>
      </c>
      <c r="O1146" t="s">
        <v>138</v>
      </c>
      <c r="P1146">
        <v>0.038336798013309477</v>
      </c>
      <c r="Q1146" t="s">
        <v>138</v>
      </c>
      <c r="R1146">
        <v>0.0055357145155488681</v>
      </c>
      <c r="S1146" t="s">
        <v>139</v>
      </c>
      <c r="T1146">
        <v>0.087745025057716683</v>
      </c>
      <c r="U1146" t="s">
        <v>90</v>
      </c>
      <c r="V1146">
        <v>0</v>
      </c>
      <c r="W1146" t="s">
        <v>90</v>
      </c>
      <c r="X1146">
        <v>0</v>
      </c>
      <c r="Y1146">
        <v>0.8628260797342141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220</v>
      </c>
      <c r="AF1146">
        <v>220</v>
      </c>
      <c r="AG1146">
        <v>732</v>
      </c>
      <c r="AI1146">
        <v>0.33100000000000002</v>
      </c>
      <c r="AJ1146" t="s">
        <v>685</v>
      </c>
      <c r="AK1146" t="s">
        <v>501</v>
      </c>
      <c r="AL1146" t="s">
        <v>1182</v>
      </c>
      <c r="AM1146">
        <v>200000</v>
      </c>
      <c r="AN1146" t="s">
        <v>76</v>
      </c>
      <c r="AO1146">
        <v>1</v>
      </c>
      <c r="AP1146">
        <v>0</v>
      </c>
      <c r="AQ1146">
        <v>16666.666666666668</v>
      </c>
      <c r="AR1146" t="s">
        <v>4369</v>
      </c>
      <c r="AS1146" t="s">
        <v>78</v>
      </c>
      <c r="AX1146" t="s">
        <v>79</v>
      </c>
      <c r="AY1146" t="s">
        <v>137</v>
      </c>
      <c r="AZ1146">
        <v>0</v>
      </c>
      <c r="BA1146" t="s">
        <v>137</v>
      </c>
      <c r="BB1146">
        <v>0</v>
      </c>
      <c r="BE1146">
        <v>0</v>
      </c>
    </row>
    <row r="1147" spans="1:58" ht="12.75">
      <c r="A1147" s="2" t="str">
        <f>HYPERLINK("https://ibp.a2mac1.com/costing(costing:projects/details/8191/part/5385069)","A Pillar Central Panel")</f>
        <v>A Pillar Central Panel</v>
      </c>
      <c r="B1147">
        <v>5385069</v>
      </c>
      <c r="C1147">
        <v>5384936</v>
      </c>
      <c r="E1147">
        <v>0.073583328000000003</v>
      </c>
      <c r="F1147">
        <v>0</v>
      </c>
      <c r="G1147">
        <v>0</v>
      </c>
      <c r="H1147">
        <v>0.00037326480168421055</v>
      </c>
      <c r="I1147" t="s">
        <v>137</v>
      </c>
      <c r="J1147">
        <v>0.0025818711578947367</v>
      </c>
      <c r="K1147">
        <v>0.076538463959578945</v>
      </c>
      <c r="L1147">
        <v>0.0024140187574553254</v>
      </c>
      <c r="M1147">
        <v>0.014484112544731953</v>
      </c>
      <c r="N1147">
        <v>0.091022576504310906</v>
      </c>
      <c r="O1147" t="s">
        <v>138</v>
      </c>
      <c r="P1147">
        <v>0.0045923078375747365</v>
      </c>
      <c r="Q1147" t="s">
        <v>138</v>
      </c>
      <c r="R1147">
        <v>0.0008690467526839172</v>
      </c>
      <c r="S1147" t="s">
        <v>139</v>
      </c>
      <c r="T1147">
        <v>0.010922709180517309</v>
      </c>
      <c r="U1147" t="s">
        <v>90</v>
      </c>
      <c r="V1147">
        <v>0</v>
      </c>
      <c r="W1147" t="s">
        <v>90</v>
      </c>
      <c r="X1147">
        <v>0</v>
      </c>
      <c r="Y1147">
        <v>0.10740664027508687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41</v>
      </c>
      <c r="AF1147">
        <v>62</v>
      </c>
      <c r="AG1147">
        <v>312</v>
      </c>
      <c r="AI1147">
        <v>0.051999999999999998</v>
      </c>
      <c r="AJ1147" t="s">
        <v>685</v>
      </c>
      <c r="AK1147" t="s">
        <v>501</v>
      </c>
      <c r="AL1147" t="s">
        <v>728</v>
      </c>
      <c r="AM1147">
        <v>200000</v>
      </c>
      <c r="AN1147" t="s">
        <v>76</v>
      </c>
      <c r="AO1147">
        <v>1</v>
      </c>
      <c r="AP1147">
        <v>0</v>
      </c>
      <c r="AQ1147">
        <v>16666.666666666668</v>
      </c>
      <c r="AR1147" t="s">
        <v>4372</v>
      </c>
      <c r="AS1147" t="s">
        <v>78</v>
      </c>
      <c r="AX1147" t="s">
        <v>79</v>
      </c>
      <c r="AY1147" t="s">
        <v>137</v>
      </c>
      <c r="AZ1147">
        <v>0</v>
      </c>
      <c r="BA1147" t="s">
        <v>137</v>
      </c>
      <c r="BB1147">
        <v>0</v>
      </c>
      <c r="BE1147">
        <v>0</v>
      </c>
    </row>
    <row r="1148" spans="1:58" ht="12.75">
      <c r="A1148" s="2" t="str">
        <f>HYPERLINK("https://ibp.a2mac1.com/costing(costing:projects/details/8191/part/5385070)","A Pillar Lower Panel")</f>
        <v>A Pillar Lower Panel</v>
      </c>
      <c r="B1148">
        <v>5385070</v>
      </c>
      <c r="C1148">
        <v>5384936</v>
      </c>
      <c r="E1148">
        <v>0.40329324</v>
      </c>
      <c r="F1148">
        <v>0</v>
      </c>
      <c r="G1148">
        <v>0</v>
      </c>
      <c r="H1148">
        <v>0.0020457782400000002</v>
      </c>
      <c r="I1148" t="s">
        <v>137</v>
      </c>
      <c r="J1148">
        <v>0.014150640000000001</v>
      </c>
      <c r="K1148">
        <v>0.41948965824000001</v>
      </c>
      <c r="L1148">
        <v>0.013238464984908426</v>
      </c>
      <c r="M1148">
        <v>0.079430789909450558</v>
      </c>
      <c r="N1148">
        <v>0.49892044814945058</v>
      </c>
      <c r="O1148" t="s">
        <v>138</v>
      </c>
      <c r="P1148">
        <v>0.025169379494399999</v>
      </c>
      <c r="Q1148" t="s">
        <v>138</v>
      </c>
      <c r="R1148">
        <v>0.0047658473945670337</v>
      </c>
      <c r="S1148" t="s">
        <v>139</v>
      </c>
      <c r="T1148">
        <v>0.059870453777934068</v>
      </c>
      <c r="U1148" t="s">
        <v>90</v>
      </c>
      <c r="V1148">
        <v>0</v>
      </c>
      <c r="W1148" t="s">
        <v>90</v>
      </c>
      <c r="X1148">
        <v>0</v>
      </c>
      <c r="Y1148">
        <v>0.58872612881635167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120</v>
      </c>
      <c r="AF1148">
        <v>549</v>
      </c>
      <c r="AG1148">
        <v>430</v>
      </c>
      <c r="AI1148">
        <v>0.285</v>
      </c>
      <c r="AJ1148" t="s">
        <v>685</v>
      </c>
      <c r="AK1148" t="s">
        <v>501</v>
      </c>
      <c r="AL1148" t="s">
        <v>728</v>
      </c>
      <c r="AM1148">
        <v>200000</v>
      </c>
      <c r="AN1148" t="s">
        <v>76</v>
      </c>
      <c r="AO1148">
        <v>1</v>
      </c>
      <c r="AP1148">
        <v>0</v>
      </c>
      <c r="AQ1148">
        <v>16666.666666666668</v>
      </c>
      <c r="AR1148" t="s">
        <v>4375</v>
      </c>
      <c r="AS1148" t="s">
        <v>78</v>
      </c>
      <c r="AX1148" t="s">
        <v>79</v>
      </c>
      <c r="AY1148" t="s">
        <v>137</v>
      </c>
      <c r="AZ1148">
        <v>0</v>
      </c>
      <c r="BA1148" t="s">
        <v>137</v>
      </c>
      <c r="BB1148">
        <v>0</v>
      </c>
      <c r="BE1148">
        <v>0</v>
      </c>
    </row>
    <row r="1149" spans="1:58" ht="12.75">
      <c r="A1149" s="2" t="str">
        <f>HYPERLINK("https://ibp.a2mac1.com/costing(costing:projects/details/8191/part/5385071)","B Pillar Upper Panel")</f>
        <v>B Pillar Upper Panel</v>
      </c>
      <c r="B1149">
        <v>5385071</v>
      </c>
      <c r="C1149">
        <v>5384936</v>
      </c>
      <c r="E1149">
        <v>0.56602358249999996</v>
      </c>
      <c r="F1149">
        <v>0</v>
      </c>
      <c r="G1149">
        <v>0</v>
      </c>
      <c r="H1149">
        <v>0.0028694548936842104</v>
      </c>
      <c r="I1149" t="s">
        <v>137</v>
      </c>
      <c r="J1149">
        <v>0.019848008157894736</v>
      </c>
      <c r="K1149">
        <v>0.58874104555157891</v>
      </c>
      <c r="L1149">
        <v>0.013703318383321976</v>
      </c>
      <c r="M1149">
        <v>0.082219910299931864</v>
      </c>
      <c r="N1149">
        <v>0.67096095585151083</v>
      </c>
      <c r="O1149" t="s">
        <v>138</v>
      </c>
      <c r="P1149">
        <v>0.035324462733094739</v>
      </c>
      <c r="Q1149" t="s">
        <v>138</v>
      </c>
      <c r="R1149">
        <v>0.0049331946179959115</v>
      </c>
      <c r="S1149" t="s">
        <v>139</v>
      </c>
      <c r="T1149">
        <v>0.08051531470218129</v>
      </c>
      <c r="U1149" t="s">
        <v>90</v>
      </c>
      <c r="V1149">
        <v>0</v>
      </c>
      <c r="W1149" t="s">
        <v>90</v>
      </c>
      <c r="X1149">
        <v>0</v>
      </c>
      <c r="Y1149">
        <v>0.7917339279047827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65</v>
      </c>
      <c r="AF1149">
        <v>214</v>
      </c>
      <c r="AG1149">
        <v>539</v>
      </c>
      <c r="AI1149">
        <v>0.295</v>
      </c>
      <c r="AJ1149" t="s">
        <v>685</v>
      </c>
      <c r="AK1149" t="s">
        <v>501</v>
      </c>
      <c r="AL1149" t="s">
        <v>4301</v>
      </c>
      <c r="AM1149">
        <v>200000</v>
      </c>
      <c r="AN1149" t="s">
        <v>76</v>
      </c>
      <c r="AO1149">
        <v>1</v>
      </c>
      <c r="AP1149">
        <v>0</v>
      </c>
      <c r="AQ1149">
        <v>16666.666666666668</v>
      </c>
      <c r="AR1149" t="s">
        <v>4378</v>
      </c>
      <c r="AS1149" t="s">
        <v>78</v>
      </c>
      <c r="AX1149" t="s">
        <v>79</v>
      </c>
      <c r="AY1149" t="s">
        <v>137</v>
      </c>
      <c r="AZ1149">
        <v>0</v>
      </c>
      <c r="BA1149" t="s">
        <v>137</v>
      </c>
      <c r="BB1149">
        <v>0</v>
      </c>
      <c r="BE1149">
        <v>0</v>
      </c>
    </row>
    <row r="1150" spans="1:58" ht="12.75">
      <c r="A1150" s="2" t="str">
        <f>HYPERLINK("https://ibp.a2mac1.com/costing(costing:projects/details/8191/part/5385072)","B Pillar Lower Panel")</f>
        <v>B Pillar Lower Panel</v>
      </c>
      <c r="B1150">
        <v>5385072</v>
      </c>
      <c r="C1150">
        <v>5384936</v>
      </c>
      <c r="E1150">
        <v>0.65092943999999997</v>
      </c>
      <c r="F1150">
        <v>0</v>
      </c>
      <c r="G1150">
        <v>0</v>
      </c>
      <c r="H1150">
        <v>0.0033019578610526314</v>
      </c>
      <c r="I1150" t="s">
        <v>137</v>
      </c>
      <c r="J1150">
        <v>0.02283962947368421</v>
      </c>
      <c r="K1150">
        <v>0.6770710273347369</v>
      </c>
      <c r="L1150">
        <v>0.021376784733597765</v>
      </c>
      <c r="M1150">
        <v>0.12826070840158657</v>
      </c>
      <c r="N1150">
        <v>0.80533173573632344</v>
      </c>
      <c r="O1150" t="s">
        <v>138</v>
      </c>
      <c r="P1150">
        <v>0.04062426164008421</v>
      </c>
      <c r="Q1150" t="s">
        <v>138</v>
      </c>
      <c r="R1150">
        <v>0.0076956425040951952</v>
      </c>
      <c r="S1150" t="s">
        <v>139</v>
      </c>
      <c r="T1150">
        <v>0.096639808288358817</v>
      </c>
      <c r="U1150" t="s">
        <v>90</v>
      </c>
      <c r="V1150">
        <v>0</v>
      </c>
      <c r="W1150" t="s">
        <v>90</v>
      </c>
      <c r="X1150">
        <v>0</v>
      </c>
      <c r="Y1150">
        <v>0.95029144816886169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75</v>
      </c>
      <c r="AF1150">
        <v>280</v>
      </c>
      <c r="AG1150">
        <v>610</v>
      </c>
      <c r="AI1150">
        <v>0.46</v>
      </c>
      <c r="AJ1150" t="s">
        <v>685</v>
      </c>
      <c r="AK1150" t="s">
        <v>501</v>
      </c>
      <c r="AL1150" t="s">
        <v>728</v>
      </c>
      <c r="AM1150">
        <v>200000</v>
      </c>
      <c r="AN1150" t="s">
        <v>76</v>
      </c>
      <c r="AO1150">
        <v>1</v>
      </c>
      <c r="AP1150">
        <v>0</v>
      </c>
      <c r="AQ1150">
        <v>16666.666666666668</v>
      </c>
      <c r="AR1150" t="s">
        <v>4382</v>
      </c>
      <c r="AS1150" t="s">
        <v>78</v>
      </c>
      <c r="AX1150" t="s">
        <v>79</v>
      </c>
      <c r="AY1150" t="s">
        <v>137</v>
      </c>
      <c r="AZ1150">
        <v>0</v>
      </c>
      <c r="BA1150" t="s">
        <v>137</v>
      </c>
      <c r="BB1150">
        <v>0</v>
      </c>
      <c r="BE1150">
        <v>0</v>
      </c>
    </row>
    <row r="1151" spans="1:58" ht="12.75">
      <c r="A1151" s="2" t="str">
        <f>HYPERLINK("https://ibp.a2mac1.com/costing(costing:projects/details/8191/part/5385073)","B Pillar Support Panel")</f>
        <v>B Pillar Support Panel</v>
      </c>
      <c r="B1151">
        <v>5385073</v>
      </c>
      <c r="C1151">
        <v>5384936</v>
      </c>
      <c r="E1151">
        <v>0.057475739999999997</v>
      </c>
      <c r="F1151">
        <v>0</v>
      </c>
      <c r="G1151">
        <v>0</v>
      </c>
      <c r="H1151">
        <v>0.00029155613473684212</v>
      </c>
      <c r="I1151" t="s">
        <v>137</v>
      </c>
      <c r="J1151">
        <v>0.0020166926315789472</v>
      </c>
      <c r="K1151">
        <v>0.059783988766315792</v>
      </c>
      <c r="L1151">
        <v>0.0018568812310094263</v>
      </c>
      <c r="M1151">
        <v>0.011141287386056558</v>
      </c>
      <c r="N1151">
        <v>0.070925276152372346</v>
      </c>
      <c r="O1151" t="s">
        <v>138</v>
      </c>
      <c r="P1151">
        <v>0.0035870393259789472</v>
      </c>
      <c r="Q1151" t="s">
        <v>138</v>
      </c>
      <c r="R1151">
        <v>0.0006684772431633935</v>
      </c>
      <c r="S1151" t="s">
        <v>139</v>
      </c>
      <c r="T1151">
        <v>0.0085110331382846818</v>
      </c>
      <c r="U1151" t="s">
        <v>90</v>
      </c>
      <c r="V1151">
        <v>0</v>
      </c>
      <c r="W1151" t="s">
        <v>90</v>
      </c>
      <c r="X1151">
        <v>0</v>
      </c>
      <c r="Y1151">
        <v>0.083691825859799368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39</v>
      </c>
      <c r="AF1151">
        <v>180</v>
      </c>
      <c r="AG1151">
        <v>162</v>
      </c>
      <c r="AI1151">
        <v>0.04</v>
      </c>
      <c r="AJ1151" t="s">
        <v>685</v>
      </c>
      <c r="AK1151" t="s">
        <v>501</v>
      </c>
      <c r="AL1151" t="s">
        <v>728</v>
      </c>
      <c r="AM1151">
        <v>200000</v>
      </c>
      <c r="AN1151" t="s">
        <v>76</v>
      </c>
      <c r="AO1151">
        <v>1</v>
      </c>
      <c r="AP1151">
        <v>0</v>
      </c>
      <c r="AQ1151">
        <v>16666.666666666668</v>
      </c>
      <c r="AR1151" t="s">
        <v>4385</v>
      </c>
      <c r="AS1151" t="s">
        <v>78</v>
      </c>
      <c r="AX1151" t="s">
        <v>79</v>
      </c>
      <c r="AY1151" t="s">
        <v>137</v>
      </c>
      <c r="AZ1151">
        <v>0</v>
      </c>
      <c r="BA1151" t="s">
        <v>137</v>
      </c>
      <c r="BB1151">
        <v>0</v>
      </c>
      <c r="BE1151">
        <v>0</v>
      </c>
    </row>
    <row r="1152" spans="1:58" ht="12.75">
      <c r="A1152" s="2" t="str">
        <f>HYPERLINK("https://ibp.a2mac1.com/costing(costing:projects/details/8191/part/5385074)","C Pillar Lower Panel")</f>
        <v>C Pillar Lower Panel</v>
      </c>
      <c r="B1152">
        <v>5385074</v>
      </c>
      <c r="C1152">
        <v>5384936</v>
      </c>
      <c r="E1152">
        <v>1.1263909439999999</v>
      </c>
      <c r="F1152">
        <v>0</v>
      </c>
      <c r="G1152">
        <v>0</v>
      </c>
      <c r="H1152">
        <v>0.005713822733473684</v>
      </c>
      <c r="I1152" t="s">
        <v>137</v>
      </c>
      <c r="J1152">
        <v>0.039522489263157892</v>
      </c>
      <c r="K1152">
        <v>1.1716272559966316</v>
      </c>
      <c r="L1152">
        <v>0.037022488120370969</v>
      </c>
      <c r="M1152">
        <v>0.22213492872222579</v>
      </c>
      <c r="N1152">
        <v>1.3937621847188573</v>
      </c>
      <c r="O1152" t="s">
        <v>138</v>
      </c>
      <c r="P1152">
        <v>0.070297635359797897</v>
      </c>
      <c r="Q1152" t="s">
        <v>138</v>
      </c>
      <c r="R1152">
        <v>0.013328095723333547</v>
      </c>
      <c r="S1152" t="s">
        <v>139</v>
      </c>
      <c r="T1152">
        <v>0.16725146216626288</v>
      </c>
      <c r="U1152" t="s">
        <v>90</v>
      </c>
      <c r="V1152">
        <v>0</v>
      </c>
      <c r="W1152" t="s">
        <v>90</v>
      </c>
      <c r="X1152">
        <v>0</v>
      </c>
      <c r="Y1152">
        <v>1.6446393779682518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250</v>
      </c>
      <c r="AF1152">
        <v>598</v>
      </c>
      <c r="AG1152">
        <v>1115</v>
      </c>
      <c r="AI1152">
        <v>0.79600000000000004</v>
      </c>
      <c r="AJ1152" t="s">
        <v>685</v>
      </c>
      <c r="AK1152" t="s">
        <v>501</v>
      </c>
      <c r="AL1152" t="s">
        <v>728</v>
      </c>
      <c r="AM1152">
        <v>200000</v>
      </c>
      <c r="AN1152" t="s">
        <v>76</v>
      </c>
      <c r="AO1152">
        <v>1</v>
      </c>
      <c r="AP1152">
        <v>0</v>
      </c>
      <c r="AQ1152">
        <v>16666.666666666668</v>
      </c>
      <c r="AR1152" t="s">
        <v>4390</v>
      </c>
      <c r="AS1152" t="s">
        <v>78</v>
      </c>
      <c r="AX1152" t="s">
        <v>79</v>
      </c>
      <c r="AY1152" t="s">
        <v>137</v>
      </c>
      <c r="AZ1152">
        <v>0</v>
      </c>
      <c r="BA1152" t="s">
        <v>137</v>
      </c>
      <c r="BB1152">
        <v>0</v>
      </c>
      <c r="BE1152">
        <v>0</v>
      </c>
    </row>
    <row r="1153" spans="1:58" ht="12.75">
      <c r="A1153" s="2" t="str">
        <f>HYPERLINK("https://ibp.a2mac1.com/costing(costing:projects/details/8191/part/5385075)","Rear Quarter Panel")</f>
        <v>Rear Quarter Panel</v>
      </c>
      <c r="B1153">
        <v>5385075</v>
      </c>
      <c r="C1153">
        <v>5384936</v>
      </c>
      <c r="E1153">
        <v>1.0479407599999999</v>
      </c>
      <c r="F1153">
        <v>0</v>
      </c>
      <c r="G1153">
        <v>0</v>
      </c>
      <c r="H1153">
        <v>0.0053124737600000003</v>
      </c>
      <c r="I1153" t="s">
        <v>137</v>
      </c>
      <c r="J1153">
        <v>0.036746359999999999</v>
      </c>
      <c r="K1153">
        <v>1.08999959376</v>
      </c>
      <c r="L1153">
        <v>0.026030477234231873</v>
      </c>
      <c r="M1153">
        <v>0.15618286340539125</v>
      </c>
      <c r="N1153">
        <v>1.2461824571653912</v>
      </c>
      <c r="O1153" t="s">
        <v>138</v>
      </c>
      <c r="P1153">
        <v>0.065399975625600001</v>
      </c>
      <c r="Q1153" t="s">
        <v>138</v>
      </c>
      <c r="R1153">
        <v>0.0093709718043234747</v>
      </c>
      <c r="S1153" t="s">
        <v>139</v>
      </c>
      <c r="T1153">
        <v>0.14954189485984695</v>
      </c>
      <c r="U1153" t="s">
        <v>90</v>
      </c>
      <c r="V1153">
        <v>0</v>
      </c>
      <c r="W1153" t="s">
        <v>90</v>
      </c>
      <c r="X1153">
        <v>0</v>
      </c>
      <c r="Y1153">
        <v>1.4704952994551617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110</v>
      </c>
      <c r="AF1153">
        <v>770</v>
      </c>
      <c r="AG1153">
        <v>370</v>
      </c>
      <c r="AI1153">
        <v>0.56</v>
      </c>
      <c r="AJ1153" t="s">
        <v>685</v>
      </c>
      <c r="AK1153" t="s">
        <v>501</v>
      </c>
      <c r="AL1153" t="s">
        <v>1182</v>
      </c>
      <c r="AM1153">
        <v>200000</v>
      </c>
      <c r="AN1153" t="s">
        <v>76</v>
      </c>
      <c r="AO1153">
        <v>1</v>
      </c>
      <c r="AP1153">
        <v>0</v>
      </c>
      <c r="AQ1153">
        <v>16666.666666666668</v>
      </c>
      <c r="AR1153" t="s">
        <v>4395</v>
      </c>
      <c r="AS1153" t="s">
        <v>78</v>
      </c>
      <c r="AX1153" t="s">
        <v>79</v>
      </c>
      <c r="AY1153" t="s">
        <v>137</v>
      </c>
      <c r="AZ1153">
        <v>0</v>
      </c>
      <c r="BA1153" t="s">
        <v>137</v>
      </c>
      <c r="BB1153">
        <v>0</v>
      </c>
      <c r="BE1153">
        <v>0</v>
      </c>
    </row>
    <row r="1154" spans="1:58" ht="12.75">
      <c r="A1154" s="2" t="str">
        <f>HYPERLINK("https://ibp.a2mac1.com/costing(costing:projects/details/8191/part/5385110)","Lower")</f>
        <v>Lower</v>
      </c>
      <c r="B1154">
        <v>5385110</v>
      </c>
      <c r="C1154">
        <v>5385078</v>
      </c>
      <c r="E1154">
        <v>0.84400373200000001</v>
      </c>
      <c r="F1154">
        <v>0</v>
      </c>
      <c r="G1154">
        <v>0</v>
      </c>
      <c r="H1154">
        <v>0.0042796938846315791</v>
      </c>
      <c r="I1154" t="s">
        <v>137</v>
      </c>
      <c r="J1154">
        <v>0.029602625684210526</v>
      </c>
      <c r="K1154">
        <v>0.87788605156884214</v>
      </c>
      <c r="L1154">
        <v>0.10832333012062413</v>
      </c>
      <c r="M1154">
        <v>0.64993998072374481</v>
      </c>
      <c r="N1154">
        <v>1.527826032292587</v>
      </c>
      <c r="O1154" t="s">
        <v>138</v>
      </c>
      <c r="P1154">
        <v>0.052673163094130525</v>
      </c>
      <c r="Q1154" t="s">
        <v>138</v>
      </c>
      <c r="R1154">
        <v>0.038996398843424686</v>
      </c>
      <c r="S1154" t="s">
        <v>139</v>
      </c>
      <c r="T1154">
        <v>0.18333912387511042</v>
      </c>
      <c r="U1154" t="s">
        <v>90</v>
      </c>
      <c r="V1154">
        <v>0</v>
      </c>
      <c r="W1154" t="s">
        <v>90</v>
      </c>
      <c r="X1154">
        <v>0</v>
      </c>
      <c r="Y1154">
        <v>1.8028347181052526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260</v>
      </c>
      <c r="AF1154">
        <v>1002</v>
      </c>
      <c r="AG1154">
        <v>537</v>
      </c>
      <c r="AI1154">
        <v>0.85799999999999998</v>
      </c>
      <c r="AJ1154" t="s">
        <v>1229</v>
      </c>
      <c r="AK1154" t="s">
        <v>501</v>
      </c>
      <c r="AL1154" t="s">
        <v>4405</v>
      </c>
      <c r="AM1154">
        <v>200000</v>
      </c>
      <c r="AN1154" t="s">
        <v>76</v>
      </c>
      <c r="AO1154">
        <v>1</v>
      </c>
      <c r="AP1154">
        <v>0</v>
      </c>
      <c r="AQ1154">
        <v>16666.666666666668</v>
      </c>
      <c r="AR1154" t="s">
        <v>4406</v>
      </c>
      <c r="AS1154" t="s">
        <v>78</v>
      </c>
      <c r="AX1154" t="s">
        <v>79</v>
      </c>
      <c r="AY1154" t="s">
        <v>137</v>
      </c>
      <c r="AZ1154">
        <v>0</v>
      </c>
      <c r="BA1154" t="s">
        <v>137</v>
      </c>
      <c r="BB1154">
        <v>0</v>
      </c>
      <c r="BE1154">
        <v>0</v>
      </c>
    </row>
    <row r="1155" spans="1:58" ht="12.75">
      <c r="A1155" s="2" t="str">
        <f>HYPERLINK("https://ibp.a2mac1.com/costing(costing:projects/details/8191/part/5385111)","Upper")</f>
        <v>Upper</v>
      </c>
      <c r="B1155">
        <v>5385111</v>
      </c>
      <c r="C1155">
        <v>5385078</v>
      </c>
      <c r="E1155">
        <v>0.91099047899999996</v>
      </c>
      <c r="F1155">
        <v>0</v>
      </c>
      <c r="G1155">
        <v>0</v>
      </c>
      <c r="H1155">
        <v>0.0046211647355789472</v>
      </c>
      <c r="I1155" t="s">
        <v>137</v>
      </c>
      <c r="J1155">
        <v>0.031964578210526319</v>
      </c>
      <c r="K1155">
        <v>0.94757622194610525</v>
      </c>
      <c r="L1155">
        <v>0.029475719254211028</v>
      </c>
      <c r="M1155">
        <v>0.17685431552526618</v>
      </c>
      <c r="N1155">
        <v>1.1244305374713714</v>
      </c>
      <c r="O1155" t="s">
        <v>138</v>
      </c>
      <c r="P1155">
        <v>0.056854573316766313</v>
      </c>
      <c r="Q1155" t="s">
        <v>138</v>
      </c>
      <c r="R1155">
        <v>0.01061125893151597</v>
      </c>
      <c r="S1155" t="s">
        <v>139</v>
      </c>
      <c r="T1155">
        <v>0.13493166449656457</v>
      </c>
      <c r="U1155" t="s">
        <v>90</v>
      </c>
      <c r="V1155">
        <v>0</v>
      </c>
      <c r="W1155" t="s">
        <v>90</v>
      </c>
      <c r="X1155">
        <v>0</v>
      </c>
      <c r="Y1155">
        <v>1.3268280342162182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195</v>
      </c>
      <c r="AF1155">
        <v>918</v>
      </c>
      <c r="AG1155">
        <v>529</v>
      </c>
      <c r="AI1155">
        <v>0.63400000000000001</v>
      </c>
      <c r="AJ1155" t="s">
        <v>1229</v>
      </c>
      <c r="AK1155" t="s">
        <v>501</v>
      </c>
      <c r="AL1155" t="s">
        <v>728</v>
      </c>
      <c r="AM1155">
        <v>200000</v>
      </c>
      <c r="AN1155" t="s">
        <v>76</v>
      </c>
      <c r="AO1155">
        <v>1</v>
      </c>
      <c r="AP1155">
        <v>0</v>
      </c>
      <c r="AQ1155">
        <v>16666.666666666668</v>
      </c>
      <c r="AR1155" t="s">
        <v>4410</v>
      </c>
      <c r="AS1155" t="s">
        <v>78</v>
      </c>
      <c r="AX1155" t="s">
        <v>79</v>
      </c>
      <c r="AY1155" t="s">
        <v>137</v>
      </c>
      <c r="AZ1155">
        <v>0</v>
      </c>
      <c r="BA1155" t="s">
        <v>137</v>
      </c>
      <c r="BB1155">
        <v>0</v>
      </c>
      <c r="BE1155">
        <v>0</v>
      </c>
    </row>
    <row r="1156" spans="1:58" ht="12.75">
      <c r="A1156" s="2" t="str">
        <f>HYPERLINK("https://ibp.a2mac1.com/costing(costing:projects/details/8191/part/5385112)","Lower")</f>
        <v>Lower</v>
      </c>
      <c r="B1156">
        <v>5385112</v>
      </c>
      <c r="C1156">
        <v>5385079</v>
      </c>
      <c r="E1156">
        <v>0.82334629800000003</v>
      </c>
      <c r="F1156">
        <v>0</v>
      </c>
      <c r="G1156">
        <v>0</v>
      </c>
      <c r="H1156">
        <v>0.0041749461322105261</v>
      </c>
      <c r="I1156" t="s">
        <v>137</v>
      </c>
      <c r="J1156">
        <v>0.028878085894736841</v>
      </c>
      <c r="K1156">
        <v>0.85639933002694735</v>
      </c>
      <c r="L1156">
        <v>0.10832333012062413</v>
      </c>
      <c r="M1156">
        <v>0.64993998072374481</v>
      </c>
      <c r="N1156">
        <v>1.5063393107506922</v>
      </c>
      <c r="O1156" t="s">
        <v>138</v>
      </c>
      <c r="P1156">
        <v>0.051383959801616842</v>
      </c>
      <c r="Q1156" t="s">
        <v>138</v>
      </c>
      <c r="R1156">
        <v>0.038996398843424686</v>
      </c>
      <c r="S1156" t="s">
        <v>139</v>
      </c>
      <c r="T1156">
        <v>0.18076071729008306</v>
      </c>
      <c r="U1156" t="s">
        <v>90</v>
      </c>
      <c r="V1156">
        <v>0</v>
      </c>
      <c r="W1156" t="s">
        <v>90</v>
      </c>
      <c r="X1156">
        <v>0</v>
      </c>
      <c r="Y1156">
        <v>1.7774803866858169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260</v>
      </c>
      <c r="AF1156">
        <v>1002</v>
      </c>
      <c r="AG1156">
        <v>537</v>
      </c>
      <c r="AI1156">
        <v>0.83699999999999997</v>
      </c>
      <c r="AJ1156" t="s">
        <v>1229</v>
      </c>
      <c r="AK1156" t="s">
        <v>501</v>
      </c>
      <c r="AL1156" t="s">
        <v>4405</v>
      </c>
      <c r="AM1156">
        <v>200000</v>
      </c>
      <c r="AN1156" t="s">
        <v>76</v>
      </c>
      <c r="AO1156">
        <v>1</v>
      </c>
      <c r="AP1156">
        <v>0</v>
      </c>
      <c r="AQ1156">
        <v>16666.666666666668</v>
      </c>
      <c r="AR1156" t="s">
        <v>4418</v>
      </c>
      <c r="AS1156" t="s">
        <v>78</v>
      </c>
      <c r="AX1156" t="s">
        <v>79</v>
      </c>
      <c r="AY1156" t="s">
        <v>137</v>
      </c>
      <c r="AZ1156">
        <v>0</v>
      </c>
      <c r="BA1156" t="s">
        <v>137</v>
      </c>
      <c r="BB1156">
        <v>0</v>
      </c>
      <c r="BE1156">
        <v>0</v>
      </c>
    </row>
    <row r="1157" spans="1:58" ht="12.75">
      <c r="A1157" s="2" t="str">
        <f>HYPERLINK("https://ibp.a2mac1.com/costing(costing:projects/details/8191/part/5385113)","Upper")</f>
        <v>Upper</v>
      </c>
      <c r="B1157">
        <v>5385113</v>
      </c>
      <c r="C1157">
        <v>5385079</v>
      </c>
      <c r="E1157">
        <v>0.89805843750000003</v>
      </c>
      <c r="F1157">
        <v>0</v>
      </c>
      <c r="G1157">
        <v>0</v>
      </c>
      <c r="H1157">
        <v>0.004555564605263158</v>
      </c>
      <c r="I1157" t="s">
        <v>137</v>
      </c>
      <c r="J1157">
        <v>0.031510822368421051</v>
      </c>
      <c r="K1157">
        <v>0.93412482447368417</v>
      </c>
      <c r="L1157">
        <v>0.029056634748040582</v>
      </c>
      <c r="M1157">
        <v>0.17433980848824351</v>
      </c>
      <c r="N1157">
        <v>1.1084646329619277</v>
      </c>
      <c r="O1157" t="s">
        <v>138</v>
      </c>
      <c r="P1157">
        <v>0.056047489468421051</v>
      </c>
      <c r="Q1157" t="s">
        <v>138</v>
      </c>
      <c r="R1157">
        <v>0.010460388509294609</v>
      </c>
      <c r="S1157" t="s">
        <v>139</v>
      </c>
      <c r="T1157">
        <v>0.13301575595543133</v>
      </c>
      <c r="U1157" t="s">
        <v>90</v>
      </c>
      <c r="V1157">
        <v>0</v>
      </c>
      <c r="W1157" t="s">
        <v>90</v>
      </c>
      <c r="X1157">
        <v>0</v>
      </c>
      <c r="Y1157">
        <v>1.3079882668950746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195</v>
      </c>
      <c r="AF1157">
        <v>918</v>
      </c>
      <c r="AG1157">
        <v>529</v>
      </c>
      <c r="AI1157">
        <v>0.625</v>
      </c>
      <c r="AJ1157" t="s">
        <v>1229</v>
      </c>
      <c r="AK1157" t="s">
        <v>501</v>
      </c>
      <c r="AL1157" t="s">
        <v>728</v>
      </c>
      <c r="AM1157">
        <v>200000</v>
      </c>
      <c r="AN1157" t="s">
        <v>76</v>
      </c>
      <c r="AO1157">
        <v>1</v>
      </c>
      <c r="AP1157">
        <v>0</v>
      </c>
      <c r="AQ1157">
        <v>16666.666666666668</v>
      </c>
      <c r="AR1157" t="s">
        <v>4423</v>
      </c>
      <c r="AS1157" t="s">
        <v>78</v>
      </c>
      <c r="AX1157" t="s">
        <v>79</v>
      </c>
      <c r="AY1157" t="s">
        <v>137</v>
      </c>
      <c r="AZ1157">
        <v>0</v>
      </c>
      <c r="BA1157" t="s">
        <v>137</v>
      </c>
      <c r="BB1157">
        <v>0</v>
      </c>
      <c r="BE1157">
        <v>0</v>
      </c>
    </row>
    <row r="1158" spans="1:58" ht="12.75">
      <c r="A1158" s="2" t="str">
        <f>HYPERLINK("https://ibp.a2mac1.com/costing(costing:projects/details/8191/part/5385114)","Access Panel")</f>
        <v>Access Panel</v>
      </c>
      <c r="B1158">
        <v>5385114</v>
      </c>
      <c r="C1158">
        <v>5385079</v>
      </c>
      <c r="E1158">
        <v>0.0086213609999999993</v>
      </c>
      <c r="F1158">
        <v>0</v>
      </c>
      <c r="G1158">
        <v>0</v>
      </c>
      <c r="H1158">
        <v>4.3733420210526317E-05</v>
      </c>
      <c r="I1158" t="s">
        <v>137</v>
      </c>
      <c r="J1158">
        <v>0.0003025038947368421</v>
      </c>
      <c r="K1158">
        <v>0.0089675983149473688</v>
      </c>
      <c r="L1158">
        <v>0.00027850615759089821</v>
      </c>
      <c r="M1158">
        <v>0.0016710369455453895</v>
      </c>
      <c r="N1158">
        <v>0.010638635260492758</v>
      </c>
      <c r="O1158" t="s">
        <v>138</v>
      </c>
      <c r="P1158">
        <v>0.00053805589889684212</v>
      </c>
      <c r="Q1158" t="s">
        <v>138</v>
      </c>
      <c r="R1158">
        <v>0.00010026221673272336</v>
      </c>
      <c r="S1158" t="s">
        <v>139</v>
      </c>
      <c r="T1158">
        <v>0.001276636231259131</v>
      </c>
      <c r="U1158" t="s">
        <v>90</v>
      </c>
      <c r="V1158">
        <v>0</v>
      </c>
      <c r="W1158" t="s">
        <v>90</v>
      </c>
      <c r="X1158">
        <v>0</v>
      </c>
      <c r="Y1158">
        <v>0.012553589607381455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17</v>
      </c>
      <c r="AF1158">
        <v>60</v>
      </c>
      <c r="AG1158">
        <v>33</v>
      </c>
      <c r="AI1158">
        <v>0.0060000000000000001</v>
      </c>
      <c r="AJ1158" t="s">
        <v>1229</v>
      </c>
      <c r="AK1158" t="s">
        <v>501</v>
      </c>
      <c r="AL1158" t="s">
        <v>4301</v>
      </c>
      <c r="AM1158">
        <v>200000</v>
      </c>
      <c r="AN1158" t="s">
        <v>76</v>
      </c>
      <c r="AO1158">
        <v>1</v>
      </c>
      <c r="AP1158">
        <v>0</v>
      </c>
      <c r="AQ1158">
        <v>16666.666666666668</v>
      </c>
      <c r="AR1158" t="s">
        <v>4426</v>
      </c>
      <c r="AS1158" t="s">
        <v>78</v>
      </c>
      <c r="AX1158" t="s">
        <v>79</v>
      </c>
      <c r="AY1158" t="s">
        <v>137</v>
      </c>
      <c r="AZ1158">
        <v>0</v>
      </c>
      <c r="BA1158" t="s">
        <v>137</v>
      </c>
      <c r="BB1158">
        <v>0</v>
      </c>
      <c r="BE1158">
        <v>0</v>
      </c>
    </row>
    <row r="1159" spans="1:58" ht="12.75">
      <c r="A1159" s="2" t="str">
        <f>HYPERLINK("https://ibp.a2mac1.com/costing(costing:projects/details/8191/part/5385077)","Sill Panel")</f>
        <v>Sill Panel</v>
      </c>
      <c r="B1159">
        <v>5385077</v>
      </c>
      <c r="C1159">
        <v>5384937</v>
      </c>
      <c r="E1159">
        <v>1.459957052631579</v>
      </c>
      <c r="F1159">
        <v>0</v>
      </c>
      <c r="G1159">
        <v>0</v>
      </c>
      <c r="H1159">
        <v>0.0073873826863157894</v>
      </c>
      <c r="I1159" t="s">
        <v>137</v>
      </c>
      <c r="J1159">
        <v>0.051098496842105261</v>
      </c>
      <c r="K1159">
        <v>1.5184429321599999</v>
      </c>
      <c r="L1159">
        <v>0.040938050159384065</v>
      </c>
      <c r="M1159">
        <v>0.24562830095630439</v>
      </c>
      <c r="N1159">
        <v>1.7640712331163044</v>
      </c>
      <c r="O1159" t="s">
        <v>138</v>
      </c>
      <c r="P1159">
        <v>0.091106575929600003</v>
      </c>
      <c r="Q1159" t="s">
        <v>138</v>
      </c>
      <c r="R1159">
        <v>0.014737698057378262</v>
      </c>
      <c r="S1159" t="s">
        <v>139</v>
      </c>
      <c r="T1159">
        <v>0.21168854797395653</v>
      </c>
      <c r="U1159" t="s">
        <v>90</v>
      </c>
      <c r="V1159">
        <v>0</v>
      </c>
      <c r="W1159" t="s">
        <v>90</v>
      </c>
      <c r="X1159">
        <v>0</v>
      </c>
      <c r="Y1159">
        <v>2.0816040550772392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150</v>
      </c>
      <c r="AF1159">
        <v>860</v>
      </c>
      <c r="AG1159">
        <v>185</v>
      </c>
      <c r="AI1159">
        <v>0.88</v>
      </c>
      <c r="AJ1159" t="s">
        <v>4432</v>
      </c>
      <c r="AK1159" t="s">
        <v>501</v>
      </c>
      <c r="AL1159" t="s">
        <v>1345</v>
      </c>
      <c r="AM1159">
        <v>200000</v>
      </c>
      <c r="AN1159" t="s">
        <v>76</v>
      </c>
      <c r="AO1159">
        <v>1</v>
      </c>
      <c r="AP1159">
        <v>0</v>
      </c>
      <c r="AQ1159">
        <v>16666.666666666668</v>
      </c>
      <c r="AR1159" t="s">
        <v>4433</v>
      </c>
      <c r="AS1159" t="s">
        <v>78</v>
      </c>
      <c r="AX1159" t="s">
        <v>79</v>
      </c>
      <c r="AY1159" t="s">
        <v>137</v>
      </c>
      <c r="AZ1159">
        <v>0</v>
      </c>
      <c r="BA1159" t="s">
        <v>137</v>
      </c>
      <c r="BB1159">
        <v>0</v>
      </c>
      <c r="BE1159">
        <v>0</v>
      </c>
    </row>
    <row r="1160" spans="1:58" ht="12.75">
      <c r="A1160" s="2" t="str">
        <f>HYPERLINK("https://ibp.a2mac1.com/costing(costing:projects/details/8191/part/5384938)","Rear View Mirror")</f>
        <v>Rear View Mirror</v>
      </c>
      <c r="B1160">
        <v>5384938</v>
      </c>
      <c r="C1160">
        <v>5384844</v>
      </c>
      <c r="E1160">
        <v>0</v>
      </c>
      <c r="F1160">
        <v>6.6925417743003175</v>
      </c>
      <c r="G1160">
        <v>0</v>
      </c>
      <c r="H1160">
        <v>0</v>
      </c>
      <c r="I1160" t="s">
        <v>137</v>
      </c>
      <c r="J1160">
        <v>0</v>
      </c>
      <c r="K1160">
        <v>6.9267807364008283</v>
      </c>
      <c r="L1160">
        <v>0.23398748390103902</v>
      </c>
      <c r="M1160">
        <v>1.403924903406234</v>
      </c>
      <c r="N1160">
        <v>8.3307056398070625</v>
      </c>
      <c r="O1160" t="s">
        <v>691</v>
      </c>
      <c r="P1160">
        <v>0.27707122945603313</v>
      </c>
      <c r="Q1160" t="s">
        <v>691</v>
      </c>
      <c r="R1160">
        <v>0.05615699613624936</v>
      </c>
      <c r="S1160" t="s">
        <v>138</v>
      </c>
      <c r="T1160">
        <v>0.49984233838842373</v>
      </c>
      <c r="U1160" t="s">
        <v>90</v>
      </c>
      <c r="V1160">
        <v>0</v>
      </c>
      <c r="W1160" t="s">
        <v>90</v>
      </c>
      <c r="X1160">
        <v>0</v>
      </c>
      <c r="Y1160">
        <v>9.1637762037877692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96</v>
      </c>
      <c r="AF1160">
        <v>243</v>
      </c>
      <c r="AG1160">
        <v>85</v>
      </c>
      <c r="AI1160">
        <v>0.33400000000000002</v>
      </c>
      <c r="AJ1160" t="s">
        <v>685</v>
      </c>
      <c r="AK1160" t="s">
        <v>686</v>
      </c>
      <c r="AL1160" t="s">
        <v>4439</v>
      </c>
      <c r="AM1160">
        <v>200000</v>
      </c>
      <c r="AN1160" t="s">
        <v>76</v>
      </c>
      <c r="AO1160">
        <v>1</v>
      </c>
      <c r="AP1160">
        <v>0</v>
      </c>
      <c r="AQ1160">
        <v>16666.666666666668</v>
      </c>
      <c r="AR1160" t="s">
        <v>4440</v>
      </c>
      <c r="AS1160" t="s">
        <v>78</v>
      </c>
      <c r="AX1160" t="s">
        <v>79</v>
      </c>
      <c r="AY1160" t="s">
        <v>137</v>
      </c>
      <c r="AZ1160">
        <v>0.23423896210051112</v>
      </c>
      <c r="BA1160" t="s">
        <v>137</v>
      </c>
      <c r="BB1160">
        <v>0</v>
      </c>
      <c r="BE1160">
        <v>0</v>
      </c>
    </row>
    <row r="1161" spans="1:58" ht="12.75">
      <c r="A1161" s="2" t="str">
        <f>HYPERLINK("https://ibp.a2mac1.com/costing(costing:projects/details/8191/part/5384939)","Trim")</f>
        <v>Trim</v>
      </c>
      <c r="B1161">
        <v>5384939</v>
      </c>
      <c r="C1161">
        <v>5384844</v>
      </c>
      <c r="E1161">
        <v>0.211916628</v>
      </c>
      <c r="F1161">
        <v>0</v>
      </c>
      <c r="G1161">
        <v>0</v>
      </c>
      <c r="H1161">
        <v>0.0010749856016842106</v>
      </c>
      <c r="I1161" t="s">
        <v>137</v>
      </c>
      <c r="J1161">
        <v>0.0074356711578947368</v>
      </c>
      <c r="K1161">
        <v>0.22042728475957896</v>
      </c>
      <c r="L1161">
        <v>0.0033426563344990767</v>
      </c>
      <c r="M1161">
        <v>0.020055938006994459</v>
      </c>
      <c r="N1161">
        <v>0.24048322276657341</v>
      </c>
      <c r="O1161" t="s">
        <v>138</v>
      </c>
      <c r="P1161">
        <v>0.013225637085574737</v>
      </c>
      <c r="Q1161" t="s">
        <v>138</v>
      </c>
      <c r="R1161">
        <v>0.0012033562804196676</v>
      </c>
      <c r="S1161" t="s">
        <v>139</v>
      </c>
      <c r="T1161">
        <v>0.028857986731988809</v>
      </c>
      <c r="U1161" t="s">
        <v>90</v>
      </c>
      <c r="V1161">
        <v>0</v>
      </c>
      <c r="W1161" t="s">
        <v>90</v>
      </c>
      <c r="X1161">
        <v>0</v>
      </c>
      <c r="Y1161">
        <v>0.28377020286455662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78</v>
      </c>
      <c r="AF1161">
        <v>200</v>
      </c>
      <c r="AG1161">
        <v>196</v>
      </c>
      <c r="AI1161">
        <v>0.071999999999999995</v>
      </c>
      <c r="AK1161" t="s">
        <v>501</v>
      </c>
      <c r="AL1161" t="s">
        <v>4443</v>
      </c>
      <c r="AM1161">
        <v>200000</v>
      </c>
      <c r="AN1161" t="s">
        <v>76</v>
      </c>
      <c r="AO1161">
        <v>1</v>
      </c>
      <c r="AP1161">
        <v>0</v>
      </c>
      <c r="AQ1161">
        <v>16666.666666666668</v>
      </c>
      <c r="AR1161" t="s">
        <v>4444</v>
      </c>
      <c r="AS1161" t="s">
        <v>78</v>
      </c>
      <c r="AX1161" t="s">
        <v>79</v>
      </c>
      <c r="AY1161" t="s">
        <v>137</v>
      </c>
      <c r="AZ1161">
        <v>0</v>
      </c>
      <c r="BA1161" t="s">
        <v>137</v>
      </c>
      <c r="BB1161">
        <v>0</v>
      </c>
      <c r="BE1161">
        <v>0</v>
      </c>
    </row>
    <row r="1162" spans="1:58" ht="12.75">
      <c r="A1162" s="2" t="str">
        <f>HYPERLINK("https://ibp.a2mac1.com/costing(costing:projects/details/8191/part/5384940)","Stand Support")</f>
        <v>Stand Support</v>
      </c>
      <c r="B1162">
        <v>5384940</v>
      </c>
      <c r="C1162">
        <v>5384844</v>
      </c>
      <c r="E1162">
        <v>0.0047489400000000001</v>
      </c>
      <c r="F1162">
        <v>0</v>
      </c>
      <c r="G1162">
        <v>0</v>
      </c>
      <c r="H1162">
        <v>2.4029636399999999E-05</v>
      </c>
      <c r="I1162" t="s">
        <v>137</v>
      </c>
      <c r="J1162">
        <v>0.00016621290000000001</v>
      </c>
      <c r="K1162">
        <v>0.0049391825364000002</v>
      </c>
      <c r="L1162">
        <v>0.00412438995915338</v>
      </c>
      <c r="M1162">
        <v>0.024746339754920278</v>
      </c>
      <c r="N1162">
        <v>0.029685522291320279</v>
      </c>
      <c r="O1162" t="s">
        <v>138</v>
      </c>
      <c r="P1162">
        <v>0.00029635095218400002</v>
      </c>
      <c r="Q1162" t="s">
        <v>138</v>
      </c>
      <c r="R1162">
        <v>0.0014847803852952167</v>
      </c>
      <c r="S1162" t="s">
        <v>139</v>
      </c>
      <c r="T1162">
        <v>0.0035622626749584334</v>
      </c>
      <c r="U1162" t="s">
        <v>90</v>
      </c>
      <c r="V1162">
        <v>0</v>
      </c>
      <c r="W1162" t="s">
        <v>90</v>
      </c>
      <c r="X1162">
        <v>0</v>
      </c>
      <c r="Y1162">
        <v>0.035028916303757929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11</v>
      </c>
      <c r="AF1162">
        <v>47</v>
      </c>
      <c r="AG1162">
        <v>40</v>
      </c>
      <c r="AI1162">
        <v>0.0089999999999999993</v>
      </c>
      <c r="AK1162" t="s">
        <v>501</v>
      </c>
      <c r="AL1162" t="s">
        <v>720</v>
      </c>
      <c r="AM1162">
        <v>200000</v>
      </c>
      <c r="AN1162" t="s">
        <v>76</v>
      </c>
      <c r="AO1162">
        <v>1</v>
      </c>
      <c r="AP1162">
        <v>0</v>
      </c>
      <c r="AQ1162">
        <v>16666.666666666668</v>
      </c>
      <c r="AR1162" t="s">
        <v>4448</v>
      </c>
      <c r="AS1162" t="s">
        <v>78</v>
      </c>
      <c r="AX1162" t="s">
        <v>79</v>
      </c>
      <c r="AY1162" t="s">
        <v>137</v>
      </c>
      <c r="AZ1162">
        <v>0</v>
      </c>
      <c r="BA1162" t="s">
        <v>137</v>
      </c>
      <c r="BB1162">
        <v>0</v>
      </c>
      <c r="BE1162">
        <v>0</v>
      </c>
    </row>
    <row r="1163" spans="1:58" ht="12.75">
      <c r="A1163" s="2" t="str">
        <f>HYPERLINK("https://ibp.a2mac1.com/costing(costing:projects/details/8191/part/5384941)","2nd Trim")</f>
        <v>2nd Trim</v>
      </c>
      <c r="B1163">
        <v>5384941</v>
      </c>
      <c r="C1163">
        <v>5384844</v>
      </c>
      <c r="E1163">
        <v>0.226884</v>
      </c>
      <c r="F1163">
        <v>0</v>
      </c>
      <c r="G1163">
        <v>0</v>
      </c>
      <c r="H1163">
        <v>0.0011509103157894738</v>
      </c>
      <c r="I1163" t="s">
        <v>137</v>
      </c>
      <c r="J1163">
        <v>0.0079608421052631585</v>
      </c>
      <c r="K1163">
        <v>0.23599575242105264</v>
      </c>
      <c r="L1163">
        <v>0.0034355252507199505</v>
      </c>
      <c r="M1163">
        <v>0.020613151504319704</v>
      </c>
      <c r="N1163">
        <v>0.25660890392537233</v>
      </c>
      <c r="O1163" t="s">
        <v>138</v>
      </c>
      <c r="P1163">
        <v>0.014159745145263157</v>
      </c>
      <c r="Q1163" t="s">
        <v>138</v>
      </c>
      <c r="R1163">
        <v>0.0012367890902591821</v>
      </c>
      <c r="S1163" t="s">
        <v>139</v>
      </c>
      <c r="T1163">
        <v>0.030793068471044679</v>
      </c>
      <c r="U1163" t="s">
        <v>90</v>
      </c>
      <c r="V1163">
        <v>0</v>
      </c>
      <c r="W1163" t="s">
        <v>90</v>
      </c>
      <c r="X1163">
        <v>0</v>
      </c>
      <c r="Y1163">
        <v>0.30279850663193936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45</v>
      </c>
      <c r="AF1163">
        <v>190</v>
      </c>
      <c r="AG1163">
        <v>140</v>
      </c>
      <c r="AI1163">
        <v>0.073999999999999996</v>
      </c>
      <c r="AJ1163" t="s">
        <v>4451</v>
      </c>
      <c r="AK1163" t="s">
        <v>501</v>
      </c>
      <c r="AL1163" t="s">
        <v>4452</v>
      </c>
      <c r="AM1163">
        <v>200000</v>
      </c>
      <c r="AN1163" t="s">
        <v>76</v>
      </c>
      <c r="AO1163">
        <v>1</v>
      </c>
      <c r="AP1163">
        <v>0</v>
      </c>
      <c r="AQ1163">
        <v>16666.666666666668</v>
      </c>
      <c r="AR1163" t="s">
        <v>4453</v>
      </c>
      <c r="AS1163" t="s">
        <v>78</v>
      </c>
      <c r="AX1163" t="s">
        <v>79</v>
      </c>
      <c r="AY1163" t="s">
        <v>137</v>
      </c>
      <c r="AZ1163">
        <v>0</v>
      </c>
      <c r="BA1163" t="s">
        <v>137</v>
      </c>
      <c r="BB1163">
        <v>0</v>
      </c>
      <c r="BE1163">
        <v>0</v>
      </c>
    </row>
    <row r="1164" spans="1:58" ht="12.75">
      <c r="A1164" s="2" t="str">
        <f>HYPERLINK("https://ibp.a2mac1.com/costing(costing:projects/details/8191/part/5384942)","Parcel Tray")</f>
        <v>Parcel Tray</v>
      </c>
      <c r="B1164">
        <v>5384942</v>
      </c>
      <c r="C1164">
        <v>5384845</v>
      </c>
      <c r="E1164">
        <v>4.8727799999999997</v>
      </c>
      <c r="F1164">
        <v>0.036900000000000002</v>
      </c>
      <c r="G1164">
        <v>0</v>
      </c>
      <c r="H1164">
        <v>0.049507444800000001</v>
      </c>
      <c r="I1164" t="s">
        <v>137</v>
      </c>
      <c r="J1164">
        <v>0.17054730000000001</v>
      </c>
      <c r="K1164">
        <v>5.1310262448000001</v>
      </c>
      <c r="L1164">
        <v>0.66121212152154818</v>
      </c>
      <c r="M1164">
        <v>3.9672727291292889</v>
      </c>
      <c r="N1164">
        <v>9.098298973929289</v>
      </c>
      <c r="O1164" t="s">
        <v>138</v>
      </c>
      <c r="P1164">
        <v>0.30786157468800002</v>
      </c>
      <c r="Q1164" t="s">
        <v>138</v>
      </c>
      <c r="R1164">
        <v>0.23803636374775733</v>
      </c>
      <c r="S1164" t="s">
        <v>139</v>
      </c>
      <c r="T1164">
        <v>1.0917958768715146</v>
      </c>
      <c r="U1164" t="s">
        <v>90</v>
      </c>
      <c r="V1164">
        <v>0</v>
      </c>
      <c r="W1164" t="s">
        <v>90</v>
      </c>
      <c r="X1164">
        <v>0</v>
      </c>
      <c r="Y1164">
        <v>10.735992789236562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720</v>
      </c>
      <c r="AF1164">
        <v>1035</v>
      </c>
      <c r="AG1164">
        <v>57</v>
      </c>
      <c r="AI1164">
        <v>2.173</v>
      </c>
      <c r="AJ1164" t="s">
        <v>1229</v>
      </c>
      <c r="AK1164" t="s">
        <v>661</v>
      </c>
      <c r="AL1164" t="s">
        <v>4459</v>
      </c>
      <c r="AM1164">
        <v>200000</v>
      </c>
      <c r="AN1164" t="s">
        <v>76</v>
      </c>
      <c r="AO1164">
        <v>1</v>
      </c>
      <c r="AP1164">
        <v>0</v>
      </c>
      <c r="AQ1164">
        <v>16666.666666666668</v>
      </c>
      <c r="AR1164" t="s">
        <v>4460</v>
      </c>
      <c r="AS1164" t="s">
        <v>78</v>
      </c>
      <c r="AX1164" t="s">
        <v>79</v>
      </c>
      <c r="AY1164" t="s">
        <v>137</v>
      </c>
      <c r="AZ1164">
        <v>0.0012914999999999999</v>
      </c>
      <c r="BA1164" t="s">
        <v>137</v>
      </c>
      <c r="BB1164">
        <v>0</v>
      </c>
      <c r="BE1164">
        <v>0</v>
      </c>
    </row>
    <row r="1165" spans="1:58" ht="12.75">
      <c r="A1165" s="2" t="str">
        <f>HYPERLINK("https://ibp.a2mac1.com/costing(costing:projects/details/8191/part/5385115)","Rear Right")</f>
        <v>Rear Right</v>
      </c>
      <c r="B1165">
        <v>5385115</v>
      </c>
      <c r="C1165">
        <v>5385083</v>
      </c>
      <c r="D1165" t="s">
        <v>4467</v>
      </c>
      <c r="E1165">
        <v>3.1893500000000001</v>
      </c>
      <c r="F1165">
        <v>0</v>
      </c>
      <c r="G1165">
        <v>0</v>
      </c>
      <c r="H1165">
        <v>0.032403795999999999</v>
      </c>
      <c r="I1165" t="s">
        <v>137</v>
      </c>
      <c r="J1165">
        <v>0.11162725</v>
      </c>
      <c r="K1165">
        <v>3.333381046</v>
      </c>
      <c r="L1165">
        <v>0.21178294187702998</v>
      </c>
      <c r="M1165">
        <v>1.2706976512621799</v>
      </c>
      <c r="N1165">
        <v>4.6040786972621799</v>
      </c>
      <c r="O1165" t="s">
        <v>138</v>
      </c>
      <c r="P1165">
        <v>0.20000286276000001</v>
      </c>
      <c r="Q1165" t="s">
        <v>138</v>
      </c>
      <c r="R1165">
        <v>0.076241859075730792</v>
      </c>
      <c r="S1165" t="s">
        <v>139</v>
      </c>
      <c r="T1165">
        <v>0.55248944367146158</v>
      </c>
      <c r="U1165" t="s">
        <v>90</v>
      </c>
      <c r="V1165">
        <v>0</v>
      </c>
      <c r="W1165" t="s">
        <v>90</v>
      </c>
      <c r="X1165">
        <v>0</v>
      </c>
      <c r="Y1165">
        <v>5.4328128627693726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492</v>
      </c>
      <c r="AF1165">
        <v>504</v>
      </c>
      <c r="AG1165">
        <v>11</v>
      </c>
      <c r="AH1165">
        <v>0</v>
      </c>
      <c r="AI1165">
        <v>0.34799999999999998</v>
      </c>
      <c r="AK1165" t="s">
        <v>501</v>
      </c>
      <c r="AM1165">
        <v>200000</v>
      </c>
      <c r="AN1165" t="s">
        <v>76</v>
      </c>
      <c r="AO1165">
        <v>1</v>
      </c>
      <c r="AP1165">
        <v>0</v>
      </c>
      <c r="AQ1165">
        <v>16666.666666666668</v>
      </c>
      <c r="AR1165" t="s">
        <v>4468</v>
      </c>
      <c r="AS1165" t="s">
        <v>78</v>
      </c>
      <c r="AX1165" t="s">
        <v>79</v>
      </c>
      <c r="AY1165" t="s">
        <v>137</v>
      </c>
      <c r="AZ1165">
        <v>0</v>
      </c>
      <c r="BA1165" t="s">
        <v>137</v>
      </c>
      <c r="BB1165">
        <v>0</v>
      </c>
      <c r="BE1165">
        <v>0</v>
      </c>
    </row>
    <row r="1166" spans="1:58" ht="12.75">
      <c r="A1166" s="2" t="str">
        <f>HYPERLINK("https://ibp.a2mac1.com/costing(costing:projects/details/8191/part/5385116)","Rear Left")</f>
        <v>Rear Left</v>
      </c>
      <c r="B1166">
        <v>5385116</v>
      </c>
      <c r="C1166">
        <v>5385083</v>
      </c>
      <c r="D1166" t="s">
        <v>4471</v>
      </c>
      <c r="E1166">
        <v>3.1956799999999999</v>
      </c>
      <c r="F1166">
        <v>0</v>
      </c>
      <c r="G1166">
        <v>0</v>
      </c>
      <c r="H1166">
        <v>0.032468108799999999</v>
      </c>
      <c r="I1166" t="s">
        <v>137</v>
      </c>
      <c r="J1166">
        <v>0.1118488</v>
      </c>
      <c r="K1166">
        <v>3.3399969087999999</v>
      </c>
      <c r="L1166">
        <v>0.21197995416736978</v>
      </c>
      <c r="M1166">
        <v>1.2718797250042186</v>
      </c>
      <c r="N1166">
        <v>4.6118766338042185</v>
      </c>
      <c r="O1166" t="s">
        <v>138</v>
      </c>
      <c r="P1166">
        <v>0.20039981452799999</v>
      </c>
      <c r="Q1166" t="s">
        <v>138</v>
      </c>
      <c r="R1166">
        <v>0.076312783500253126</v>
      </c>
      <c r="S1166" t="s">
        <v>139</v>
      </c>
      <c r="T1166">
        <v>0.5534251960565062</v>
      </c>
      <c r="U1166" t="s">
        <v>90</v>
      </c>
      <c r="V1166">
        <v>0</v>
      </c>
      <c r="W1166" t="s">
        <v>90</v>
      </c>
      <c r="X1166">
        <v>0</v>
      </c>
      <c r="Y1166">
        <v>5.4420144278889779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492</v>
      </c>
      <c r="AF1166">
        <v>505</v>
      </c>
      <c r="AG1166">
        <v>11</v>
      </c>
      <c r="AH1166">
        <v>0</v>
      </c>
      <c r="AI1166">
        <v>0.35399999999999998</v>
      </c>
      <c r="AK1166" t="s">
        <v>501</v>
      </c>
      <c r="AM1166">
        <v>200000</v>
      </c>
      <c r="AN1166" t="s">
        <v>76</v>
      </c>
      <c r="AO1166">
        <v>1</v>
      </c>
      <c r="AP1166">
        <v>0</v>
      </c>
      <c r="AQ1166">
        <v>16666.666666666668</v>
      </c>
      <c r="AR1166" t="s">
        <v>4472</v>
      </c>
      <c r="AS1166" t="s">
        <v>78</v>
      </c>
      <c r="AX1166" t="s">
        <v>79</v>
      </c>
      <c r="AY1166" t="s">
        <v>137</v>
      </c>
      <c r="AZ1166">
        <v>0</v>
      </c>
      <c r="BA1166" t="s">
        <v>137</v>
      </c>
      <c r="BB1166">
        <v>0</v>
      </c>
      <c r="BE1166">
        <v>0</v>
      </c>
    </row>
    <row r="1167" spans="1:58" ht="12.75">
      <c r="A1167" s="2" t="str">
        <f>HYPERLINK("https://ibp.a2mac1.com/costing(costing:projects/details/8191/part/5385117)","Passenger")</f>
        <v>Passenger</v>
      </c>
      <c r="B1167">
        <v>5385117</v>
      </c>
      <c r="C1167">
        <v>5385083</v>
      </c>
      <c r="D1167" t="s">
        <v>4475</v>
      </c>
      <c r="E1167">
        <v>4.7430300000000001</v>
      </c>
      <c r="F1167">
        <v>0</v>
      </c>
      <c r="G1167">
        <v>0</v>
      </c>
      <c r="H1167">
        <v>0.0481891848</v>
      </c>
      <c r="I1167" t="s">
        <v>137</v>
      </c>
      <c r="J1167">
        <v>0.16600604999999999</v>
      </c>
      <c r="K1167">
        <v>4.9572252348000001</v>
      </c>
      <c r="L1167">
        <v>0.26015340863149639</v>
      </c>
      <c r="M1167">
        <v>1.5609204517889783</v>
      </c>
      <c r="N1167">
        <v>6.5181456865889782</v>
      </c>
      <c r="O1167" t="s">
        <v>138</v>
      </c>
      <c r="P1167">
        <v>0.29743351408800001</v>
      </c>
      <c r="Q1167" t="s">
        <v>138</v>
      </c>
      <c r="R1167">
        <v>0.093655227107338701</v>
      </c>
      <c r="S1167" t="s">
        <v>139</v>
      </c>
      <c r="T1167">
        <v>0.78217748239067741</v>
      </c>
      <c r="U1167" t="s">
        <v>90</v>
      </c>
      <c r="V1167">
        <v>0</v>
      </c>
      <c r="W1167" t="s">
        <v>90</v>
      </c>
      <c r="X1167">
        <v>0</v>
      </c>
      <c r="Y1167">
        <v>7.6914119101749945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748</v>
      </c>
      <c r="AF1167">
        <v>493</v>
      </c>
      <c r="AG1167">
        <v>11</v>
      </c>
      <c r="AH1167">
        <v>0</v>
      </c>
      <c r="AI1167">
        <v>0.59699999999999998</v>
      </c>
      <c r="AK1167" t="s">
        <v>501</v>
      </c>
      <c r="AM1167">
        <v>200000</v>
      </c>
      <c r="AN1167" t="s">
        <v>76</v>
      </c>
      <c r="AO1167">
        <v>1</v>
      </c>
      <c r="AP1167">
        <v>0</v>
      </c>
      <c r="AQ1167">
        <v>16666.666666666668</v>
      </c>
      <c r="AR1167" t="s">
        <v>4476</v>
      </c>
      <c r="AS1167" t="s">
        <v>78</v>
      </c>
      <c r="AX1167" t="s">
        <v>79</v>
      </c>
      <c r="AY1167" t="s">
        <v>137</v>
      </c>
      <c r="AZ1167">
        <v>0</v>
      </c>
      <c r="BA1167" t="s">
        <v>137</v>
      </c>
      <c r="BB1167">
        <v>0</v>
      </c>
      <c r="BE1167">
        <v>0</v>
      </c>
    </row>
    <row r="1168" spans="1:58" ht="12.75">
      <c r="A1168" s="2" t="str">
        <f>HYPERLINK("https://ibp.a2mac1.com/costing(costing:projects/details/8191/part/5385118)","Driver")</f>
        <v>Driver</v>
      </c>
      <c r="B1168">
        <v>5385118</v>
      </c>
      <c r="C1168">
        <v>5385083</v>
      </c>
      <c r="D1168" t="s">
        <v>4479</v>
      </c>
      <c r="E1168">
        <v>3.4626600000000001</v>
      </c>
      <c r="F1168">
        <v>0</v>
      </c>
      <c r="G1168">
        <v>0</v>
      </c>
      <c r="H1168">
        <v>0.035180625600000001</v>
      </c>
      <c r="I1168" t="s">
        <v>137</v>
      </c>
      <c r="J1168">
        <v>0.1211931</v>
      </c>
      <c r="K1168">
        <v>3.6190337256</v>
      </c>
      <c r="L1168">
        <v>0.22029169306394317</v>
      </c>
      <c r="M1168">
        <v>1.3217501583836591</v>
      </c>
      <c r="N1168">
        <v>4.9407838839836593</v>
      </c>
      <c r="O1168" t="s">
        <v>138</v>
      </c>
      <c r="P1168">
        <v>0.21714202353600001</v>
      </c>
      <c r="Q1168" t="s">
        <v>138</v>
      </c>
      <c r="R1168">
        <v>0.079305009503019538</v>
      </c>
      <c r="S1168" t="s">
        <v>139</v>
      </c>
      <c r="T1168">
        <v>0.59289406607803907</v>
      </c>
      <c r="U1168" t="s">
        <v>90</v>
      </c>
      <c r="V1168">
        <v>0</v>
      </c>
      <c r="W1168" t="s">
        <v>90</v>
      </c>
      <c r="X1168">
        <v>0</v>
      </c>
      <c r="Y1168">
        <v>5.8301249831007178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531</v>
      </c>
      <c r="AF1168">
        <v>507</v>
      </c>
      <c r="AG1168">
        <v>11</v>
      </c>
      <c r="AH1168">
        <v>0</v>
      </c>
      <c r="AI1168">
        <v>0.44900000000000001</v>
      </c>
      <c r="AK1168" t="s">
        <v>501</v>
      </c>
      <c r="AM1168">
        <v>200000</v>
      </c>
      <c r="AN1168" t="s">
        <v>76</v>
      </c>
      <c r="AO1168">
        <v>1</v>
      </c>
      <c r="AP1168">
        <v>0</v>
      </c>
      <c r="AQ1168">
        <v>16666.666666666668</v>
      </c>
      <c r="AR1168" t="s">
        <v>4480</v>
      </c>
      <c r="AS1168" t="s">
        <v>78</v>
      </c>
      <c r="AX1168" t="s">
        <v>79</v>
      </c>
      <c r="AY1168" t="s">
        <v>137</v>
      </c>
      <c r="AZ1168">
        <v>0</v>
      </c>
      <c r="BA1168" t="s">
        <v>137</v>
      </c>
      <c r="BB1168">
        <v>0</v>
      </c>
      <c r="BE1168">
        <v>0</v>
      </c>
    </row>
    <row r="1169" spans="1:58" ht="12.75">
      <c r="A1169" s="2" t="str">
        <f>HYPERLINK("https://ibp.a2mac1.com/costing(costing:projects/details/8191/part/5385080)","Floor Mat Anchors")</f>
        <v>Floor Mat Anchors</v>
      </c>
      <c r="B1169">
        <v>5385080</v>
      </c>
      <c r="C1169">
        <v>5384943</v>
      </c>
      <c r="E1169">
        <v>0.042717360000000003</v>
      </c>
      <c r="F1169">
        <v>0</v>
      </c>
      <c r="G1169">
        <v>0</v>
      </c>
      <c r="H1169">
        <v>0.00021540683789473685</v>
      </c>
      <c r="I1169" t="s">
        <v>137</v>
      </c>
      <c r="J1169">
        <v>0.0014988547368421053</v>
      </c>
      <c r="K1169">
        <v>0.044431621574736839</v>
      </c>
      <c r="L1169">
        <v>0.00092491372213033868</v>
      </c>
      <c r="M1169">
        <v>0.0055494823327820316</v>
      </c>
      <c r="N1169">
        <v>0.049981103907518871</v>
      </c>
      <c r="O1169" t="s">
        <v>138</v>
      </c>
      <c r="P1169">
        <v>0.0026658972944842104</v>
      </c>
      <c r="Q1169" t="s">
        <v>138</v>
      </c>
      <c r="R1169">
        <v>0.0003329689399669219</v>
      </c>
      <c r="S1169" t="s">
        <v>139</v>
      </c>
      <c r="T1169">
        <v>0.0059977324689022646</v>
      </c>
      <c r="U1169" t="s">
        <v>90</v>
      </c>
      <c r="V1169">
        <v>0</v>
      </c>
      <c r="W1169" t="s">
        <v>90</v>
      </c>
      <c r="X1169">
        <v>0</v>
      </c>
      <c r="Y1169">
        <v>0.058977702610872269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16</v>
      </c>
      <c r="AF1169">
        <v>40</v>
      </c>
      <c r="AG1169">
        <v>40</v>
      </c>
      <c r="AI1169">
        <v>0.005</v>
      </c>
      <c r="AJ1169" t="s">
        <v>1211</v>
      </c>
      <c r="AK1169" t="s">
        <v>501</v>
      </c>
      <c r="AL1169" t="s">
        <v>1721</v>
      </c>
      <c r="AM1169">
        <v>800000</v>
      </c>
      <c r="AN1169" t="s">
        <v>76</v>
      </c>
      <c r="AO1169">
        <v>4</v>
      </c>
      <c r="AP1169">
        <v>0</v>
      </c>
      <c r="AQ1169">
        <v>66666.666666666672</v>
      </c>
      <c r="AR1169" t="s">
        <v>4484</v>
      </c>
      <c r="AS1169" t="s">
        <v>78</v>
      </c>
      <c r="AX1169" t="s">
        <v>79</v>
      </c>
      <c r="AY1169" t="s">
        <v>137</v>
      </c>
      <c r="AZ1169">
        <v>0</v>
      </c>
      <c r="BA1169" t="s">
        <v>137</v>
      </c>
      <c r="BB1169">
        <v>0</v>
      </c>
      <c r="BE1169">
        <v>0</v>
      </c>
    </row>
    <row r="1170" spans="1:58" ht="12.75">
      <c r="A1170" s="2" t="str">
        <f>HYPERLINK("https://ibp.a2mac1.com/costing(costing:projects/details/8191/part/5385081)","Floor Carpeting Shim")</f>
        <v>Floor Carpeting Shim</v>
      </c>
      <c r="B1170">
        <v>5385081</v>
      </c>
      <c r="C1170">
        <v>5384943</v>
      </c>
      <c r="E1170">
        <v>0.0044587325197206493</v>
      </c>
      <c r="F1170">
        <v>0</v>
      </c>
      <c r="G1170">
        <v>0</v>
      </c>
      <c r="H1170">
        <v>9.0820874099382094E-08</v>
      </c>
      <c r="I1170" t="s">
        <v>137</v>
      </c>
      <c r="J1170">
        <v>0.00015893652967391867</v>
      </c>
      <c r="K1170">
        <v>0.0046177598702686678</v>
      </c>
      <c r="L1170">
        <v>0.0039782388708829901</v>
      </c>
      <c r="M1170">
        <v>0.023869433225297942</v>
      </c>
      <c r="N1170">
        <v>0.028487193095566611</v>
      </c>
      <c r="O1170" t="s">
        <v>138</v>
      </c>
      <c r="P1170">
        <v>0.00027706559221612006</v>
      </c>
      <c r="Q1170" t="s">
        <v>138</v>
      </c>
      <c r="R1170">
        <v>0.0014321659935178765</v>
      </c>
      <c r="S1170" t="s">
        <v>139</v>
      </c>
      <c r="T1170">
        <v>0.0034184631714679931</v>
      </c>
      <c r="U1170" t="s">
        <v>90</v>
      </c>
      <c r="V1170">
        <v>0</v>
      </c>
      <c r="W1170" t="s">
        <v>90</v>
      </c>
      <c r="X1170">
        <v>0</v>
      </c>
      <c r="Y1170">
        <v>0.033614887852768602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14</v>
      </c>
      <c r="AF1170">
        <v>16</v>
      </c>
      <c r="AG1170">
        <v>21</v>
      </c>
      <c r="AI1170">
        <v>0.0015</v>
      </c>
      <c r="AJ1170" t="s">
        <v>685</v>
      </c>
      <c r="AK1170" t="s">
        <v>501</v>
      </c>
      <c r="AL1170" t="s">
        <v>728</v>
      </c>
      <c r="AM1170">
        <v>400000</v>
      </c>
      <c r="AN1170" t="s">
        <v>76</v>
      </c>
      <c r="AO1170">
        <v>2</v>
      </c>
      <c r="AP1170">
        <v>0</v>
      </c>
      <c r="AQ1170">
        <v>33333.333333333336</v>
      </c>
      <c r="AR1170" t="s">
        <v>4489</v>
      </c>
      <c r="AS1170" t="s">
        <v>78</v>
      </c>
      <c r="AX1170" t="s">
        <v>79</v>
      </c>
      <c r="AY1170" t="s">
        <v>137</v>
      </c>
      <c r="AZ1170">
        <v>0</v>
      </c>
      <c r="BA1170" t="s">
        <v>137</v>
      </c>
      <c r="BB1170">
        <v>0</v>
      </c>
      <c r="BE1170">
        <v>0</v>
      </c>
    </row>
    <row r="1171" spans="1:58" ht="12.75">
      <c r="A1171" s="2" t="str">
        <f>HYPERLINK("https://ibp.a2mac1.com/costing(costing:projects/details/8191/part/5385082)","Complete Carpet")</f>
        <v>Complete Carpet</v>
      </c>
      <c r="B1171">
        <v>5385082</v>
      </c>
      <c r="C1171">
        <v>5384943</v>
      </c>
      <c r="D1171" t="s">
        <v>4504</v>
      </c>
      <c r="E1171">
        <v>31.298790136054421</v>
      </c>
      <c r="F1171">
        <v>0.60</v>
      </c>
      <c r="G1171">
        <v>0</v>
      </c>
      <c r="H1171">
        <v>1.9064315021292517</v>
      </c>
      <c r="I1171" t="s">
        <v>137</v>
      </c>
      <c r="J1171">
        <v>1.0954576547619048</v>
      </c>
      <c r="K1171">
        <v>34.921679292945576</v>
      </c>
      <c r="L1171">
        <v>1.4401508994641019</v>
      </c>
      <c r="M1171">
        <v>8.6409053967846106</v>
      </c>
      <c r="N1171">
        <v>43.562584689730187</v>
      </c>
      <c r="O1171" t="s">
        <v>138</v>
      </c>
      <c r="P1171">
        <v>2.0953007575767346</v>
      </c>
      <c r="Q1171" t="s">
        <v>138</v>
      </c>
      <c r="R1171">
        <v>0.51845432380707668</v>
      </c>
      <c r="S1171" t="s">
        <v>139</v>
      </c>
      <c r="T1171">
        <v>5.227510162767623</v>
      </c>
      <c r="U1171" t="s">
        <v>90</v>
      </c>
      <c r="V1171">
        <v>0</v>
      </c>
      <c r="W1171" t="s">
        <v>90</v>
      </c>
      <c r="X1171">
        <v>0</v>
      </c>
      <c r="Y1171">
        <v>51.403849933881624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2349</v>
      </c>
      <c r="AF1171">
        <v>1431</v>
      </c>
      <c r="AG1171">
        <v>318</v>
      </c>
      <c r="AH1171">
        <v>3</v>
      </c>
      <c r="AI1171">
        <v>8.6170000000000009</v>
      </c>
      <c r="AK1171" t="s">
        <v>661</v>
      </c>
      <c r="AM1171">
        <v>200000</v>
      </c>
      <c r="AN1171" t="s">
        <v>76</v>
      </c>
      <c r="AO1171">
        <v>1</v>
      </c>
      <c r="AP1171">
        <v>0</v>
      </c>
      <c r="AQ1171">
        <v>16666.666666666668</v>
      </c>
      <c r="AR1171" t="s">
        <v>4505</v>
      </c>
      <c r="AS1171" t="s">
        <v>78</v>
      </c>
      <c r="AX1171" t="s">
        <v>79</v>
      </c>
      <c r="AY1171" t="s">
        <v>137</v>
      </c>
      <c r="AZ1171">
        <v>0.021000000000000001</v>
      </c>
      <c r="BA1171" t="s">
        <v>137</v>
      </c>
      <c r="BB1171">
        <v>0</v>
      </c>
      <c r="BE1171">
        <v>0</v>
      </c>
    </row>
    <row r="1172" spans="1:58" ht="12.75">
      <c r="A1172" s="2" t="str">
        <f>HYPERLINK("https://ibp.a2mac1.com/costing(costing:projects/details/8191/part/5385119)","Main Floor")</f>
        <v>Main Floor</v>
      </c>
      <c r="B1172">
        <v>5385119</v>
      </c>
      <c r="C1172">
        <v>5385085</v>
      </c>
      <c r="E1172">
        <v>10.27</v>
      </c>
      <c r="F1172">
        <v>0</v>
      </c>
      <c r="G1172">
        <v>0</v>
      </c>
      <c r="H1172">
        <v>0.051966199999999997</v>
      </c>
      <c r="I1172" t="s">
        <v>137</v>
      </c>
      <c r="J1172">
        <v>0.35944999999999999</v>
      </c>
      <c r="K1172">
        <v>10.681416199999999</v>
      </c>
      <c r="L1172">
        <v>0.48979741615812777</v>
      </c>
      <c r="M1172">
        <v>2.9387844969487666</v>
      </c>
      <c r="N1172">
        <v>13.620200696948766</v>
      </c>
      <c r="O1172" t="s">
        <v>138</v>
      </c>
      <c r="P1172">
        <v>0.64088497200000005</v>
      </c>
      <c r="Q1172" t="s">
        <v>138</v>
      </c>
      <c r="R1172">
        <v>0.176327069816926</v>
      </c>
      <c r="S1172" t="s">
        <v>139</v>
      </c>
      <c r="T1172">
        <v>1.6344240836338519</v>
      </c>
      <c r="U1172" t="s">
        <v>90</v>
      </c>
      <c r="V1172">
        <v>0</v>
      </c>
      <c r="W1172" t="s">
        <v>90</v>
      </c>
      <c r="X1172">
        <v>0</v>
      </c>
      <c r="Y1172">
        <v>16.071836822399543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965</v>
      </c>
      <c r="AF1172">
        <v>926</v>
      </c>
      <c r="AG1172">
        <v>32</v>
      </c>
      <c r="AI1172">
        <v>4.9969999999999999</v>
      </c>
      <c r="AJ1172" t="s">
        <v>4511</v>
      </c>
      <c r="AK1172" t="s">
        <v>661</v>
      </c>
      <c r="AL1172" t="s">
        <v>4512</v>
      </c>
      <c r="AM1172">
        <v>200000</v>
      </c>
      <c r="AN1172" t="s">
        <v>76</v>
      </c>
      <c r="AO1172">
        <v>1</v>
      </c>
      <c r="AP1172">
        <v>0</v>
      </c>
      <c r="AQ1172">
        <v>16666.666666666668</v>
      </c>
      <c r="AR1172" t="s">
        <v>4513</v>
      </c>
      <c r="AS1172" t="s">
        <v>78</v>
      </c>
      <c r="AX1172" t="s">
        <v>79</v>
      </c>
      <c r="AY1172" t="s">
        <v>137</v>
      </c>
      <c r="AZ1172">
        <v>0</v>
      </c>
      <c r="BA1172" t="s">
        <v>137</v>
      </c>
      <c r="BB1172">
        <v>0</v>
      </c>
      <c r="BE1172">
        <v>0</v>
      </c>
    </row>
    <row r="1173" spans="1:58" ht="12.75">
      <c r="A1173" s="2" t="str">
        <f>HYPERLINK("https://ibp.a2mac1.com/costing(costing:projects/details/8191/part/5385120)","Support Panel and Right if Similar")</f>
        <v>Support Panel and Right if Similar</v>
      </c>
      <c r="B1173">
        <v>5385120</v>
      </c>
      <c r="C1173">
        <v>5385085</v>
      </c>
      <c r="E1173">
        <v>0.74924058052729814</v>
      </c>
      <c r="F1173">
        <v>0.09</v>
      </c>
      <c r="G1173">
        <v>0</v>
      </c>
      <c r="H1173">
        <v>1.5034646200574699E-05</v>
      </c>
      <c r="I1173" t="s">
        <v>137</v>
      </c>
      <c r="J1173">
        <v>0.026310630851005722</v>
      </c>
      <c r="K1173">
        <v>0.86871624602450448</v>
      </c>
      <c r="L1173">
        <v>0.052442371535373788</v>
      </c>
      <c r="M1173">
        <v>0.31465422921224273</v>
      </c>
      <c r="N1173">
        <v>1.1833704752367471</v>
      </c>
      <c r="O1173" t="s">
        <v>138</v>
      </c>
      <c r="P1173">
        <v>0.052122974761470271</v>
      </c>
      <c r="Q1173" t="s">
        <v>138</v>
      </c>
      <c r="R1173">
        <v>0.018879253752734564</v>
      </c>
      <c r="S1173" t="s">
        <v>139</v>
      </c>
      <c r="T1173">
        <v>0.14200445702840966</v>
      </c>
      <c r="U1173" t="s">
        <v>90</v>
      </c>
      <c r="V1173">
        <v>0</v>
      </c>
      <c r="W1173" t="s">
        <v>90</v>
      </c>
      <c r="X1173">
        <v>0</v>
      </c>
      <c r="Y1173">
        <v>1.3963771607793616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170</v>
      </c>
      <c r="AF1173">
        <v>931</v>
      </c>
      <c r="AG1173">
        <v>92</v>
      </c>
      <c r="AI1173">
        <v>0.69399999999999995</v>
      </c>
      <c r="AK1173" t="s">
        <v>501</v>
      </c>
      <c r="AL1173" t="s">
        <v>769</v>
      </c>
      <c r="AM1173">
        <v>200000</v>
      </c>
      <c r="AN1173" t="s">
        <v>76</v>
      </c>
      <c r="AO1173">
        <v>1</v>
      </c>
      <c r="AP1173">
        <v>0</v>
      </c>
      <c r="AQ1173">
        <v>16666.666666666668</v>
      </c>
      <c r="AR1173" t="s">
        <v>4519</v>
      </c>
      <c r="AS1173" t="s">
        <v>78</v>
      </c>
      <c r="AX1173" t="s">
        <v>79</v>
      </c>
      <c r="AY1173" t="s">
        <v>137</v>
      </c>
      <c r="AZ1173">
        <v>0.00315</v>
      </c>
      <c r="BA1173" t="s">
        <v>137</v>
      </c>
      <c r="BB1173">
        <v>0</v>
      </c>
      <c r="BE1173">
        <v>0</v>
      </c>
    </row>
    <row r="1174" spans="1:58" ht="12.75">
      <c r="A1174" s="2" t="str">
        <f>HYPERLINK("https://ibp.a2mac1.com/costing(costing:projects/details/8191/part/5385121)","Support Panel Right")</f>
        <v>Support Panel Right</v>
      </c>
      <c r="B1174">
        <v>5385121</v>
      </c>
      <c r="C1174">
        <v>5385085</v>
      </c>
      <c r="E1174">
        <v>0.73736500936620264</v>
      </c>
      <c r="F1174">
        <v>0.09</v>
      </c>
      <c r="G1174">
        <v>0</v>
      </c>
      <c r="H1174">
        <v>1.4796344891920057E-05</v>
      </c>
      <c r="I1174" t="s">
        <v>137</v>
      </c>
      <c r="J1174">
        <v>0.025893603560860099</v>
      </c>
      <c r="K1174">
        <v>0.85642340927195471</v>
      </c>
      <c r="L1174">
        <v>0.052441461435985888</v>
      </c>
      <c r="M1174">
        <v>0.31464876861591534</v>
      </c>
      <c r="N1174">
        <v>1.1710721778878701</v>
      </c>
      <c r="O1174" t="s">
        <v>138</v>
      </c>
      <c r="P1174">
        <v>0.05138540455631728</v>
      </c>
      <c r="Q1174" t="s">
        <v>138</v>
      </c>
      <c r="R1174">
        <v>0.018878926116954919</v>
      </c>
      <c r="S1174" t="s">
        <v>139</v>
      </c>
      <c r="T1174">
        <v>0.1405286613465444</v>
      </c>
      <c r="U1174" t="s">
        <v>90</v>
      </c>
      <c r="V1174">
        <v>0</v>
      </c>
      <c r="W1174" t="s">
        <v>90</v>
      </c>
      <c r="X1174">
        <v>0</v>
      </c>
      <c r="Y1174">
        <v>1.3818651699076867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170</v>
      </c>
      <c r="AF1174">
        <v>931</v>
      </c>
      <c r="AG1174">
        <v>92</v>
      </c>
      <c r="AI1174">
        <v>0.68300000000000005</v>
      </c>
      <c r="AK1174" t="s">
        <v>501</v>
      </c>
      <c r="AL1174" t="s">
        <v>769</v>
      </c>
      <c r="AM1174">
        <v>200000</v>
      </c>
      <c r="AN1174" t="s">
        <v>76</v>
      </c>
      <c r="AO1174">
        <v>1</v>
      </c>
      <c r="AP1174">
        <v>0</v>
      </c>
      <c r="AQ1174">
        <v>16666.666666666668</v>
      </c>
      <c r="AR1174" t="s">
        <v>4524</v>
      </c>
      <c r="AS1174" t="s">
        <v>78</v>
      </c>
      <c r="AX1174" t="s">
        <v>79</v>
      </c>
      <c r="AY1174" t="s">
        <v>137</v>
      </c>
      <c r="AZ1174">
        <v>0.00315</v>
      </c>
      <c r="BA1174" t="s">
        <v>137</v>
      </c>
      <c r="BB1174">
        <v>0</v>
      </c>
      <c r="BE1174">
        <v>0</v>
      </c>
    </row>
    <row r="1175" spans="1:58" ht="12.75">
      <c r="A1175" s="2" t="str">
        <f>HYPERLINK("https://ibp.a2mac1.com/costing(costing:projects/details/8191/part/5385122)","Reinforcement / Bracket Handle")</f>
        <v>Reinforcement / Bracket Handle</v>
      </c>
      <c r="B1175">
        <v>5385122</v>
      </c>
      <c r="C1175">
        <v>5385085</v>
      </c>
      <c r="D1175" t="s">
        <v>4531</v>
      </c>
      <c r="E1175">
        <v>0.088719744717782323</v>
      </c>
      <c r="F1175">
        <v>0</v>
      </c>
      <c r="G1175">
        <v>0</v>
      </c>
      <c r="H1175">
        <v>1.782655004584891E-06</v>
      </c>
      <c r="I1175" t="s">
        <v>137</v>
      </c>
      <c r="J1175">
        <v>0.0031196462580235593</v>
      </c>
      <c r="K1175">
        <v>0.091841173630810471</v>
      </c>
      <c r="L1175">
        <v>0.011485793665261139</v>
      </c>
      <c r="M1175">
        <v>0.068914761991566834</v>
      </c>
      <c r="N1175">
        <v>0.16075593562237731</v>
      </c>
      <c r="O1175" t="s">
        <v>138</v>
      </c>
      <c r="P1175">
        <v>0.005510470417848628</v>
      </c>
      <c r="Q1175" t="s">
        <v>138</v>
      </c>
      <c r="R1175">
        <v>0.00413488571949401</v>
      </c>
      <c r="S1175" t="s">
        <v>139</v>
      </c>
      <c r="T1175">
        <v>0.019290712274685276</v>
      </c>
      <c r="U1175" t="s">
        <v>90</v>
      </c>
      <c r="V1175">
        <v>0</v>
      </c>
      <c r="W1175" t="s">
        <v>90</v>
      </c>
      <c r="X1175">
        <v>0</v>
      </c>
      <c r="Y1175">
        <v>0.18969200403440523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123</v>
      </c>
      <c r="AF1175">
        <v>108</v>
      </c>
      <c r="AG1175">
        <v>20</v>
      </c>
      <c r="AH1175">
        <v>0</v>
      </c>
      <c r="AI1175">
        <v>0.032000000000000001</v>
      </c>
      <c r="AK1175" t="s">
        <v>501</v>
      </c>
      <c r="AM1175">
        <v>200000</v>
      </c>
      <c r="AN1175" t="s">
        <v>76</v>
      </c>
      <c r="AO1175">
        <v>1</v>
      </c>
      <c r="AP1175">
        <v>0</v>
      </c>
      <c r="AQ1175">
        <v>16666.666666666668</v>
      </c>
      <c r="AR1175" t="s">
        <v>4532</v>
      </c>
      <c r="AS1175" t="s">
        <v>78</v>
      </c>
      <c r="AX1175" t="s">
        <v>79</v>
      </c>
      <c r="AY1175" t="s">
        <v>137</v>
      </c>
      <c r="AZ1175">
        <v>0</v>
      </c>
      <c r="BA1175" t="s">
        <v>137</v>
      </c>
      <c r="BB1175">
        <v>0</v>
      </c>
      <c r="BE1175">
        <v>0</v>
      </c>
    </row>
    <row r="1176" spans="1:58" ht="12.75">
      <c r="A1176" s="2" t="str">
        <f>HYPERLINK("https://ibp.a2mac1.com/costing(costing:projects/details/8191/part/5385123)","Handle")</f>
        <v>Handle</v>
      </c>
      <c r="B1176">
        <v>5385123</v>
      </c>
      <c r="C1176">
        <v>5385085</v>
      </c>
      <c r="D1176" t="s">
        <v>4539</v>
      </c>
      <c r="E1176">
        <v>0.11610973236409422</v>
      </c>
      <c r="F1176">
        <v>0</v>
      </c>
      <c r="G1176">
        <v>0</v>
      </c>
      <c r="H1176">
        <v>2.3300909760861939E-06</v>
      </c>
      <c r="I1176" t="s">
        <v>137</v>
      </c>
      <c r="J1176">
        <v>0.0040776592081508394</v>
      </c>
      <c r="K1176">
        <v>0.12018972166322114</v>
      </c>
      <c r="L1176">
        <v>0.0097434702541555358</v>
      </c>
      <c r="M1176">
        <v>0.058460821524933211</v>
      </c>
      <c r="N1176">
        <v>0.17865054318815435</v>
      </c>
      <c r="O1176" t="s">
        <v>138</v>
      </c>
      <c r="P1176">
        <v>0.0072113832997932684</v>
      </c>
      <c r="Q1176" t="s">
        <v>138</v>
      </c>
      <c r="R1176">
        <v>0.0035076492914959925</v>
      </c>
      <c r="S1176" t="s">
        <v>139</v>
      </c>
      <c r="T1176">
        <v>0.021438065182578521</v>
      </c>
      <c r="U1176" t="s">
        <v>90</v>
      </c>
      <c r="V1176">
        <v>0</v>
      </c>
      <c r="W1176" t="s">
        <v>90</v>
      </c>
      <c r="X1176">
        <v>0</v>
      </c>
      <c r="Y1176">
        <v>0.21080764096202212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122</v>
      </c>
      <c r="AF1176">
        <v>107</v>
      </c>
      <c r="AG1176">
        <v>25</v>
      </c>
      <c r="AH1176">
        <v>0</v>
      </c>
      <c r="AI1176">
        <v>0.063</v>
      </c>
      <c r="AK1176" t="s">
        <v>501</v>
      </c>
      <c r="AM1176">
        <v>200000</v>
      </c>
      <c r="AN1176" t="s">
        <v>76</v>
      </c>
      <c r="AO1176">
        <v>1</v>
      </c>
      <c r="AP1176">
        <v>0</v>
      </c>
      <c r="AQ1176">
        <v>16666.666666666668</v>
      </c>
      <c r="AR1176" t="s">
        <v>4540</v>
      </c>
      <c r="AS1176" t="s">
        <v>78</v>
      </c>
      <c r="AX1176" t="s">
        <v>79</v>
      </c>
      <c r="AY1176" t="s">
        <v>137</v>
      </c>
      <c r="AZ1176">
        <v>0</v>
      </c>
      <c r="BA1176" t="s">
        <v>137</v>
      </c>
      <c r="BB1176">
        <v>0</v>
      </c>
      <c r="BE1176">
        <v>0</v>
      </c>
    </row>
    <row r="1177" spans="1:58" ht="12.75">
      <c r="A1177" s="2" t="str">
        <f>HYPERLINK("https://ibp.a2mac1.com/costing(costing:projects/details/8191/part/5385084)","Upper Layer")</f>
        <v>Upper Layer</v>
      </c>
      <c r="B1177">
        <v>5385084</v>
      </c>
      <c r="C1177">
        <v>5384944</v>
      </c>
      <c r="E1177">
        <v>9.50</v>
      </c>
      <c r="F1177">
        <v>0</v>
      </c>
      <c r="G1177">
        <v>0</v>
      </c>
      <c r="H1177">
        <v>0.048070000000000002</v>
      </c>
      <c r="I1177" t="s">
        <v>137</v>
      </c>
      <c r="J1177">
        <v>0.3325</v>
      </c>
      <c r="K1177">
        <v>9.8805700000000005</v>
      </c>
      <c r="L1177">
        <v>0.48979741615812777</v>
      </c>
      <c r="M1177">
        <v>2.9387844969487666</v>
      </c>
      <c r="N1177">
        <v>12.819354496948767</v>
      </c>
      <c r="O1177" t="s">
        <v>138</v>
      </c>
      <c r="P1177">
        <v>0.59283419999999998</v>
      </c>
      <c r="Q1177" t="s">
        <v>138</v>
      </c>
      <c r="R1177">
        <v>0.176327069816926</v>
      </c>
      <c r="S1177" t="s">
        <v>139</v>
      </c>
      <c r="T1177">
        <v>1.538322539633852</v>
      </c>
      <c r="U1177" t="s">
        <v>90</v>
      </c>
      <c r="V1177">
        <v>0</v>
      </c>
      <c r="W1177" t="s">
        <v>90</v>
      </c>
      <c r="X1177">
        <v>0</v>
      </c>
      <c r="Y1177">
        <v>15.126838306399545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918</v>
      </c>
      <c r="AF1177">
        <v>967</v>
      </c>
      <c r="AG1177">
        <v>26</v>
      </c>
      <c r="AI1177">
        <v>4.0709999999999997</v>
      </c>
      <c r="AJ1177" t="s">
        <v>1229</v>
      </c>
      <c r="AK1177" t="s">
        <v>501</v>
      </c>
      <c r="AL1177" t="s">
        <v>4544</v>
      </c>
      <c r="AM1177">
        <v>200000</v>
      </c>
      <c r="AN1177" t="s">
        <v>76</v>
      </c>
      <c r="AO1177">
        <v>1</v>
      </c>
      <c r="AP1177">
        <v>0</v>
      </c>
      <c r="AQ1177">
        <v>16666.666666666668</v>
      </c>
      <c r="AR1177" t="s">
        <v>4545</v>
      </c>
      <c r="AS1177" t="s">
        <v>78</v>
      </c>
      <c r="AX1177" t="s">
        <v>79</v>
      </c>
      <c r="AY1177" t="s">
        <v>137</v>
      </c>
      <c r="AZ1177">
        <v>0</v>
      </c>
      <c r="BA1177" t="s">
        <v>137</v>
      </c>
      <c r="BB1177">
        <v>0</v>
      </c>
      <c r="BE1177">
        <v>0</v>
      </c>
    </row>
    <row r="1178" spans="1:58" ht="12.75">
      <c r="A1178" s="2" t="str">
        <f>HYPERLINK("https://ibp.a2mac1.com/costing(costing:projects/details/8191/part/5385086)","Tweeter on A Pillar")</f>
        <v>Tweeter on A Pillar</v>
      </c>
      <c r="B1178">
        <v>5385086</v>
      </c>
      <c r="C1178">
        <v>5384945</v>
      </c>
      <c r="E1178">
        <v>5.57334</v>
      </c>
      <c r="F1178">
        <v>0</v>
      </c>
      <c r="G1178">
        <v>0</v>
      </c>
      <c r="H1178">
        <v>0</v>
      </c>
      <c r="I1178" t="s">
        <v>74</v>
      </c>
      <c r="J1178">
        <v>0</v>
      </c>
      <c r="K1178">
        <v>5.57334</v>
      </c>
      <c r="L1178">
        <v>0</v>
      </c>
      <c r="M1178">
        <v>0</v>
      </c>
      <c r="N1178">
        <v>5.57334</v>
      </c>
      <c r="O1178" t="s">
        <v>74</v>
      </c>
      <c r="P1178">
        <v>0</v>
      </c>
      <c r="Q1178" t="s">
        <v>74</v>
      </c>
      <c r="R1178">
        <v>0</v>
      </c>
      <c r="S1178" t="s">
        <v>74</v>
      </c>
      <c r="T1178">
        <v>0</v>
      </c>
      <c r="U1178" t="s">
        <v>74</v>
      </c>
      <c r="V1178">
        <v>0</v>
      </c>
      <c r="W1178" t="s">
        <v>74</v>
      </c>
      <c r="X1178">
        <v>0</v>
      </c>
      <c r="Y1178">
        <v>5.57334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32</v>
      </c>
      <c r="AF1178">
        <v>52</v>
      </c>
      <c r="AG1178">
        <v>54</v>
      </c>
      <c r="AI1178">
        <v>0.109</v>
      </c>
      <c r="AJ1178" t="s">
        <v>3827</v>
      </c>
      <c r="AK1178" t="s">
        <v>686</v>
      </c>
      <c r="AL1178" t="s">
        <v>4550</v>
      </c>
      <c r="AM1178">
        <v>400000</v>
      </c>
      <c r="AN1178" t="s">
        <v>76</v>
      </c>
      <c r="AO1178">
        <v>2</v>
      </c>
      <c r="AP1178">
        <v>0</v>
      </c>
      <c r="AQ1178">
        <v>33333.333333333336</v>
      </c>
      <c r="AR1178" t="s">
        <v>4551</v>
      </c>
      <c r="AS1178" t="s">
        <v>78</v>
      </c>
      <c r="AX1178" t="s">
        <v>79</v>
      </c>
      <c r="AY1178" t="s">
        <v>74</v>
      </c>
      <c r="AZ1178">
        <v>0</v>
      </c>
      <c r="BA1178" t="s">
        <v>74</v>
      </c>
      <c r="BB1178">
        <v>0</v>
      </c>
      <c r="BD1178">
        <v>2.78667</v>
      </c>
      <c r="BE1178">
        <v>0</v>
      </c>
    </row>
    <row r="1179" spans="1:58" ht="12.75">
      <c r="A1179" s="2" t="str">
        <f>HYPERLINK("https://ibp.a2mac1.com/costing(costing:projects/details/8191/part/5385087)","Tweeter Grille on A Pillar")</f>
        <v>Tweeter Grille on A Pillar</v>
      </c>
      <c r="B1179">
        <v>5385087</v>
      </c>
      <c r="C1179">
        <v>5384945</v>
      </c>
      <c r="E1179">
        <v>0.31374000000000002</v>
      </c>
      <c r="F1179">
        <v>0</v>
      </c>
      <c r="G1179">
        <v>0</v>
      </c>
      <c r="H1179">
        <v>0</v>
      </c>
      <c r="I1179" t="s">
        <v>74</v>
      </c>
      <c r="J1179">
        <v>0</v>
      </c>
      <c r="K1179">
        <v>0.31374000000000002</v>
      </c>
      <c r="L1179">
        <v>0</v>
      </c>
      <c r="M1179">
        <v>0</v>
      </c>
      <c r="N1179">
        <v>0.31374000000000002</v>
      </c>
      <c r="O1179" t="s">
        <v>74</v>
      </c>
      <c r="P1179">
        <v>0</v>
      </c>
      <c r="Q1179" t="s">
        <v>74</v>
      </c>
      <c r="R1179">
        <v>0</v>
      </c>
      <c r="S1179" t="s">
        <v>74</v>
      </c>
      <c r="T1179">
        <v>0</v>
      </c>
      <c r="U1179" t="s">
        <v>74</v>
      </c>
      <c r="V1179">
        <v>0</v>
      </c>
      <c r="W1179" t="s">
        <v>74</v>
      </c>
      <c r="X1179">
        <v>0</v>
      </c>
      <c r="Y1179">
        <v>0.31374000000000002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10</v>
      </c>
      <c r="AF1179">
        <v>98</v>
      </c>
      <c r="AG1179">
        <v>198</v>
      </c>
      <c r="AI1179">
        <v>0.012</v>
      </c>
      <c r="AK1179" t="s">
        <v>501</v>
      </c>
      <c r="AL1179" t="s">
        <v>1332</v>
      </c>
      <c r="AM1179">
        <v>400000</v>
      </c>
      <c r="AN1179" t="s">
        <v>76</v>
      </c>
      <c r="AO1179">
        <v>2</v>
      </c>
      <c r="AP1179">
        <v>0</v>
      </c>
      <c r="AQ1179">
        <v>33333.333333333336</v>
      </c>
      <c r="AR1179" t="s">
        <v>4552</v>
      </c>
      <c r="AS1179" t="s">
        <v>78</v>
      </c>
      <c r="AX1179" t="s">
        <v>79</v>
      </c>
      <c r="AY1179" t="s">
        <v>74</v>
      </c>
      <c r="AZ1179">
        <v>0</v>
      </c>
      <c r="BA1179" t="s">
        <v>74</v>
      </c>
      <c r="BB1179">
        <v>0</v>
      </c>
      <c r="BD1179">
        <v>0.15687000000000001</v>
      </c>
      <c r="BE1179">
        <v>0</v>
      </c>
    </row>
    <row r="1180" spans="1:58" ht="12.75">
      <c r="A1180" s="2" t="str">
        <f>HYPERLINK("https://ibp.a2mac1.com/costing(costing:projects/details/8191/part/5384946)","Tie Bracket")</f>
        <v>Tie Bracket</v>
      </c>
      <c r="B1180">
        <v>5384946</v>
      </c>
      <c r="C1180">
        <v>5384848</v>
      </c>
      <c r="E1180">
        <v>0.0088341856923447124</v>
      </c>
      <c r="F1180">
        <v>0</v>
      </c>
      <c r="G1180">
        <v>0</v>
      </c>
      <c r="H1180">
        <v>1.7927744615462552E-07</v>
      </c>
      <c r="I1180" t="s">
        <v>137</v>
      </c>
      <c r="J1180">
        <v>0.00031373553077059462</v>
      </c>
      <c r="K1180">
        <v>0.0091481005005614614</v>
      </c>
      <c r="L1180">
        <v>0.0066803816166408451</v>
      </c>
      <c r="M1180">
        <v>0.040082289699845071</v>
      </c>
      <c r="N1180">
        <v>0.049230390200406531</v>
      </c>
      <c r="O1180" t="s">
        <v>138</v>
      </c>
      <c r="P1180">
        <v>0.00054888603003368762</v>
      </c>
      <c r="Q1180" t="s">
        <v>138</v>
      </c>
      <c r="R1180">
        <v>0.0024049373819907045</v>
      </c>
      <c r="S1180" t="s">
        <v>139</v>
      </c>
      <c r="T1180">
        <v>0.005907646824048784</v>
      </c>
      <c r="U1180" t="s">
        <v>90</v>
      </c>
      <c r="V1180">
        <v>0</v>
      </c>
      <c r="W1180" t="s">
        <v>90</v>
      </c>
      <c r="X1180">
        <v>0</v>
      </c>
      <c r="Y1180">
        <v>0.058091860436479709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19</v>
      </c>
      <c r="AF1180">
        <v>30</v>
      </c>
      <c r="AG1180">
        <v>25</v>
      </c>
      <c r="AI1180">
        <v>0.0030000000000000001</v>
      </c>
      <c r="AK1180" t="s">
        <v>501</v>
      </c>
      <c r="AL1180" t="s">
        <v>1332</v>
      </c>
      <c r="AM1180">
        <v>200000</v>
      </c>
      <c r="AN1180" t="s">
        <v>76</v>
      </c>
      <c r="AO1180">
        <v>1</v>
      </c>
      <c r="AP1180">
        <v>0</v>
      </c>
      <c r="AQ1180">
        <v>16666.666666666668</v>
      </c>
      <c r="AR1180" t="s">
        <v>4560</v>
      </c>
      <c r="AS1180" t="s">
        <v>78</v>
      </c>
      <c r="AX1180" t="s">
        <v>79</v>
      </c>
      <c r="AY1180" t="s">
        <v>137</v>
      </c>
      <c r="AZ1180">
        <v>0</v>
      </c>
      <c r="BA1180" t="s">
        <v>137</v>
      </c>
      <c r="BB1180">
        <v>0</v>
      </c>
      <c r="BE1180">
        <v>0</v>
      </c>
    </row>
    <row r="1181" spans="1:58" ht="12.75">
      <c r="A1181" s="2" t="str">
        <f>HYPERLINK("https://ibp.a2mac1.com/costing(costing:projects/details/8191/part/5384947)","Trunk Light")</f>
        <v>Trunk Light</v>
      </c>
      <c r="B1181">
        <v>5384947</v>
      </c>
      <c r="C1181">
        <v>5384849</v>
      </c>
      <c r="E1181">
        <v>2.2145800000000002</v>
      </c>
      <c r="F1181">
        <v>0</v>
      </c>
      <c r="G1181">
        <v>0</v>
      </c>
      <c r="H1181">
        <v>0</v>
      </c>
      <c r="I1181" t="s">
        <v>74</v>
      </c>
      <c r="J1181">
        <v>0</v>
      </c>
      <c r="K1181">
        <v>2.2145800000000002</v>
      </c>
      <c r="L1181">
        <v>0</v>
      </c>
      <c r="M1181">
        <v>0</v>
      </c>
      <c r="N1181">
        <v>2.2145800000000002</v>
      </c>
      <c r="O1181" t="s">
        <v>74</v>
      </c>
      <c r="P1181">
        <v>0</v>
      </c>
      <c r="Q1181" t="s">
        <v>74</v>
      </c>
      <c r="R1181">
        <v>0</v>
      </c>
      <c r="S1181" t="s">
        <v>74</v>
      </c>
      <c r="T1181">
        <v>0</v>
      </c>
      <c r="U1181" t="s">
        <v>74</v>
      </c>
      <c r="V1181">
        <v>0</v>
      </c>
      <c r="W1181" t="s">
        <v>74</v>
      </c>
      <c r="X1181">
        <v>0</v>
      </c>
      <c r="Y1181">
        <v>2.2145800000000002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20</v>
      </c>
      <c r="AF1181">
        <v>63</v>
      </c>
      <c r="AG1181">
        <v>23</v>
      </c>
      <c r="AI1181">
        <v>0.0115</v>
      </c>
      <c r="AJ1181" t="s">
        <v>685</v>
      </c>
      <c r="AK1181" t="s">
        <v>576</v>
      </c>
      <c r="AL1181" t="s">
        <v>1676</v>
      </c>
      <c r="AM1181">
        <v>400000</v>
      </c>
      <c r="AN1181" t="s">
        <v>76</v>
      </c>
      <c r="AO1181">
        <v>2</v>
      </c>
      <c r="AP1181">
        <v>0</v>
      </c>
      <c r="AQ1181">
        <v>33333.333333333336</v>
      </c>
      <c r="AR1181" t="s">
        <v>4563</v>
      </c>
      <c r="AS1181" t="s">
        <v>78</v>
      </c>
      <c r="AX1181" t="s">
        <v>79</v>
      </c>
      <c r="AY1181" t="s">
        <v>74</v>
      </c>
      <c r="AZ1181">
        <v>0</v>
      </c>
      <c r="BA1181" t="s">
        <v>74</v>
      </c>
      <c r="BB1181">
        <v>0</v>
      </c>
      <c r="BD1181">
        <v>1.1072900000000001</v>
      </c>
      <c r="BE1181">
        <v>0</v>
      </c>
    </row>
    <row r="1182" spans="1:58" ht="12.75">
      <c r="A1182" s="2" t="str">
        <f>HYPERLINK("https://ibp.a2mac1.com/costing(costing:projects/details/8191/part/5384948)","Front Left Padding")</f>
        <v>Front Left Padding</v>
      </c>
      <c r="B1182">
        <v>5384948</v>
      </c>
      <c r="C1182">
        <v>5384850</v>
      </c>
      <c r="E1182">
        <v>0.8689574922680412</v>
      </c>
      <c r="F1182">
        <v>0</v>
      </c>
      <c r="G1182">
        <v>0</v>
      </c>
      <c r="H1182">
        <v>0.017770768144329898</v>
      </c>
      <c r="I1182" t="s">
        <v>137</v>
      </c>
      <c r="J1182">
        <v>0.030459201030927835</v>
      </c>
      <c r="K1182">
        <v>0.91718746144329899</v>
      </c>
      <c r="L1182">
        <v>0.062104374224478689</v>
      </c>
      <c r="M1182">
        <v>0.37262624534687216</v>
      </c>
      <c r="N1182">
        <v>1.2898137067901712</v>
      </c>
      <c r="O1182" t="s">
        <v>138</v>
      </c>
      <c r="P1182">
        <v>0.055031247686597937</v>
      </c>
      <c r="Q1182" t="s">
        <v>138</v>
      </c>
      <c r="R1182">
        <v>0.022357574720812328</v>
      </c>
      <c r="S1182" t="s">
        <v>139</v>
      </c>
      <c r="T1182">
        <v>0.15477764481482054</v>
      </c>
      <c r="U1182" t="s">
        <v>90</v>
      </c>
      <c r="V1182">
        <v>0</v>
      </c>
      <c r="W1182" t="s">
        <v>90</v>
      </c>
      <c r="X1182">
        <v>0</v>
      </c>
      <c r="Y1182">
        <v>1.5219801740124019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435</v>
      </c>
      <c r="AF1182">
        <v>597</v>
      </c>
      <c r="AG1182">
        <v>360</v>
      </c>
      <c r="AI1182">
        <v>0.325</v>
      </c>
      <c r="AJ1182" t="s">
        <v>685</v>
      </c>
      <c r="AK1182" t="s">
        <v>501</v>
      </c>
      <c r="AL1182" t="s">
        <v>1226</v>
      </c>
      <c r="AM1182">
        <v>200000</v>
      </c>
      <c r="AN1182" t="s">
        <v>76</v>
      </c>
      <c r="AO1182">
        <v>1</v>
      </c>
      <c r="AP1182">
        <v>0</v>
      </c>
      <c r="AQ1182">
        <v>16666.666666666668</v>
      </c>
      <c r="AR1182" t="s">
        <v>4571</v>
      </c>
      <c r="AS1182" t="s">
        <v>78</v>
      </c>
      <c r="AX1182" t="s">
        <v>79</v>
      </c>
      <c r="AY1182" t="s">
        <v>137</v>
      </c>
      <c r="AZ1182">
        <v>0</v>
      </c>
      <c r="BA1182" t="s">
        <v>137</v>
      </c>
      <c r="BB1182">
        <v>0</v>
      </c>
      <c r="BE1182">
        <v>0</v>
      </c>
    </row>
    <row r="1183" spans="1:58" ht="12.75">
      <c r="A1183" s="2" t="str">
        <f>HYPERLINK("https://ibp.a2mac1.com/costing(costing:projects/details/8191/part/5384949)","Front Right Padding")</f>
        <v>Front Right Padding</v>
      </c>
      <c r="B1183">
        <v>5384949</v>
      </c>
      <c r="C1183">
        <v>5384850</v>
      </c>
      <c r="E1183">
        <v>0.63634425587628862</v>
      </c>
      <c r="F1183">
        <v>0</v>
      </c>
      <c r="G1183">
        <v>0</v>
      </c>
      <c r="H1183">
        <v>0.013013670210309278</v>
      </c>
      <c r="I1183" t="s">
        <v>137</v>
      </c>
      <c r="J1183">
        <v>0.022305507216494845</v>
      </c>
      <c r="K1183">
        <v>0.67166343330309275</v>
      </c>
      <c r="L1183">
        <v>0.062104374224478689</v>
      </c>
      <c r="M1183">
        <v>0.37262624534687216</v>
      </c>
      <c r="N1183">
        <v>1.0442896786499649</v>
      </c>
      <c r="O1183" t="s">
        <v>138</v>
      </c>
      <c r="P1183">
        <v>0.04029980599818557</v>
      </c>
      <c r="Q1183" t="s">
        <v>138</v>
      </c>
      <c r="R1183">
        <v>0.022357574720812328</v>
      </c>
      <c r="S1183" t="s">
        <v>139</v>
      </c>
      <c r="T1183">
        <v>0.1253147614379958</v>
      </c>
      <c r="U1183" t="s">
        <v>90</v>
      </c>
      <c r="V1183">
        <v>0</v>
      </c>
      <c r="W1183" t="s">
        <v>90</v>
      </c>
      <c r="X1183">
        <v>0</v>
      </c>
      <c r="Y1183">
        <v>1.2322618208069587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379</v>
      </c>
      <c r="AF1183">
        <v>555</v>
      </c>
      <c r="AG1183">
        <v>300</v>
      </c>
      <c r="AI1183">
        <v>0.23799999999999999</v>
      </c>
      <c r="AJ1183" t="s">
        <v>685</v>
      </c>
      <c r="AK1183" t="s">
        <v>501</v>
      </c>
      <c r="AL1183" t="s">
        <v>728</v>
      </c>
      <c r="AM1183">
        <v>200000</v>
      </c>
      <c r="AN1183" t="s">
        <v>76</v>
      </c>
      <c r="AO1183">
        <v>1</v>
      </c>
      <c r="AP1183">
        <v>0</v>
      </c>
      <c r="AQ1183">
        <v>16666.666666666668</v>
      </c>
      <c r="AR1183" t="s">
        <v>4577</v>
      </c>
      <c r="AS1183" t="s">
        <v>78</v>
      </c>
      <c r="AX1183" t="s">
        <v>79</v>
      </c>
      <c r="AY1183" t="s">
        <v>137</v>
      </c>
      <c r="AZ1183">
        <v>0</v>
      </c>
      <c r="BA1183" t="s">
        <v>137</v>
      </c>
      <c r="BB1183">
        <v>0</v>
      </c>
      <c r="BE1183">
        <v>0</v>
      </c>
    </row>
    <row r="1184" spans="1:58" ht="12.75">
      <c r="A1184" s="2" t="str">
        <f>HYPERLINK("https://ibp.a2mac1.com/costing(costing:projects/details/8191/part/5384950)","Headliner filler")</f>
        <v>Headliner filler</v>
      </c>
      <c r="B1184">
        <v>5384950</v>
      </c>
      <c r="C1184">
        <v>5384851</v>
      </c>
      <c r="D1184" t="s">
        <v>4583</v>
      </c>
      <c r="E1184">
        <v>41.682020000000001</v>
      </c>
      <c r="F1184">
        <v>0.095</v>
      </c>
      <c r="G1184">
        <v>0</v>
      </c>
      <c r="H1184">
        <v>0.85114684839999999</v>
      </c>
      <c r="I1184" t="s">
        <v>137</v>
      </c>
      <c r="J1184">
        <v>1.4588707000000001</v>
      </c>
      <c r="K1184">
        <v>44.090362548400002</v>
      </c>
      <c r="L1184">
        <v>1.8880829340268666</v>
      </c>
      <c r="M1184">
        <v>11.3284976041612</v>
      </c>
      <c r="N1184">
        <v>55.418860152561201</v>
      </c>
      <c r="O1184" t="s">
        <v>138</v>
      </c>
      <c r="P1184">
        <v>2.6454217529039998</v>
      </c>
      <c r="Q1184" t="s">
        <v>138</v>
      </c>
      <c r="R1184">
        <v>0.67970985624967195</v>
      </c>
      <c r="S1184" t="s">
        <v>139</v>
      </c>
      <c r="T1184">
        <v>6.6502632183073436</v>
      </c>
      <c r="U1184" t="s">
        <v>90</v>
      </c>
      <c r="V1184">
        <v>0</v>
      </c>
      <c r="W1184" t="s">
        <v>90</v>
      </c>
      <c r="X1184">
        <v>0</v>
      </c>
      <c r="Y1184">
        <v>65.394254980022211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1965</v>
      </c>
      <c r="AF1184">
        <v>1245</v>
      </c>
      <c r="AG1184">
        <v>204</v>
      </c>
      <c r="AH1184">
        <v>5</v>
      </c>
      <c r="AI1184">
        <v>3.1429999999999998</v>
      </c>
      <c r="AK1184" t="s">
        <v>661</v>
      </c>
      <c r="AM1184">
        <v>200000</v>
      </c>
      <c r="AN1184" t="s">
        <v>76</v>
      </c>
      <c r="AO1184">
        <v>1</v>
      </c>
      <c r="AP1184">
        <v>0</v>
      </c>
      <c r="AQ1184">
        <v>16666.666666666668</v>
      </c>
      <c r="AR1184" t="s">
        <v>4584</v>
      </c>
      <c r="AS1184" t="s">
        <v>78</v>
      </c>
      <c r="AX1184" t="s">
        <v>79</v>
      </c>
      <c r="AY1184" t="s">
        <v>137</v>
      </c>
      <c r="AZ1184">
        <v>0.0033249999999999998</v>
      </c>
      <c r="BA1184" t="s">
        <v>137</v>
      </c>
      <c r="BB1184">
        <v>0</v>
      </c>
      <c r="BE1184">
        <v>0</v>
      </c>
    </row>
    <row r="1185" spans="1:58" ht="12.75">
      <c r="A1185" s="2" t="str">
        <f>HYPERLINK("https://ibp.a2mac1.com/costing(costing:projects/details/8191/part/5389145)","Part 01 single/front")</f>
        <v>Part 01 single/front</v>
      </c>
      <c r="B1185">
        <v>5389145</v>
      </c>
      <c r="C1185">
        <v>5388733</v>
      </c>
      <c r="E1185">
        <v>5.4223421454545457</v>
      </c>
      <c r="F1185">
        <v>0</v>
      </c>
      <c r="G1185">
        <v>0</v>
      </c>
      <c r="H1185">
        <v>0.0065193477818181822</v>
      </c>
      <c r="I1185" t="s">
        <v>137</v>
      </c>
      <c r="J1185">
        <v>0.21940112727272729</v>
      </c>
      <c r="K1185">
        <v>5.6482626205090911</v>
      </c>
      <c r="L1185">
        <v>0.325343368290124</v>
      </c>
      <c r="M1185">
        <v>1.9520602097407442</v>
      </c>
      <c r="N1185">
        <v>7.6003228302498353</v>
      </c>
      <c r="O1185" t="s">
        <v>90</v>
      </c>
      <c r="P1185">
        <v>0</v>
      </c>
      <c r="Q1185" t="s">
        <v>90</v>
      </c>
      <c r="R1185">
        <v>0</v>
      </c>
      <c r="S1185" t="s">
        <v>90</v>
      </c>
      <c r="T1185">
        <v>0</v>
      </c>
      <c r="U1185" t="s">
        <v>90</v>
      </c>
      <c r="V1185">
        <v>0</v>
      </c>
      <c r="W1185" t="s">
        <v>90</v>
      </c>
      <c r="X1185">
        <v>0</v>
      </c>
      <c r="Y1185">
        <v>7.6003228302498353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K1185" t="s">
        <v>4599</v>
      </c>
      <c r="AM1185">
        <v>200000</v>
      </c>
      <c r="AN1185" t="s">
        <v>92</v>
      </c>
      <c r="AO1185">
        <v>1</v>
      </c>
      <c r="AP1185">
        <v>0</v>
      </c>
      <c r="AQ1185">
        <v>16666.666666666668</v>
      </c>
      <c r="AR1185" t="s">
        <v>9</v>
      </c>
      <c r="AS1185" t="s">
        <v>78</v>
      </c>
      <c r="AV1185">
        <v>0</v>
      </c>
      <c r="AW1185">
        <v>0</v>
      </c>
      <c r="AX1185" t="s">
        <v>79</v>
      </c>
      <c r="AY1185" t="s">
        <v>137</v>
      </c>
      <c r="AZ1185">
        <v>0</v>
      </c>
      <c r="BA1185" t="s">
        <v>137</v>
      </c>
      <c r="BB1185">
        <v>0</v>
      </c>
      <c r="BE1185">
        <v>0</v>
      </c>
    </row>
    <row r="1186" spans="1:58" ht="12.75">
      <c r="A1186" s="2" t="str">
        <f>HYPERLINK("https://ibp.a2mac1.com/costing(costing:projects/details/8191/part/5389146)","Part 02")</f>
        <v>Part 02</v>
      </c>
      <c r="B1186">
        <v>5389146</v>
      </c>
      <c r="C1186">
        <v>5388734</v>
      </c>
      <c r="E1186">
        <v>0.30906608823529413</v>
      </c>
      <c r="F1186">
        <v>0</v>
      </c>
      <c r="G1186">
        <v>0</v>
      </c>
      <c r="H1186">
        <v>0.0003365745882352941</v>
      </c>
      <c r="I1186" t="s">
        <v>137</v>
      </c>
      <c r="J1186">
        <v>0.011327029411764706</v>
      </c>
      <c r="K1186">
        <v>0.32072969223529413</v>
      </c>
      <c r="L1186">
        <v>0.037922540539062424</v>
      </c>
      <c r="M1186">
        <v>0.22753524323437452</v>
      </c>
      <c r="N1186">
        <v>0.5482649354696687</v>
      </c>
      <c r="O1186" t="s">
        <v>138</v>
      </c>
      <c r="P1186">
        <v>0.019243781534117647</v>
      </c>
      <c r="Q1186" t="s">
        <v>138</v>
      </c>
      <c r="R1186">
        <v>0.013652114594062471</v>
      </c>
      <c r="S1186" t="s">
        <v>139</v>
      </c>
      <c r="T1186">
        <v>0.06579179225636024</v>
      </c>
      <c r="U1186" t="s">
        <v>90</v>
      </c>
      <c r="V1186">
        <v>0</v>
      </c>
      <c r="W1186" t="s">
        <v>90</v>
      </c>
      <c r="X1186">
        <v>0</v>
      </c>
      <c r="Y1186">
        <v>0.64695262385420904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K1186" t="s">
        <v>4605</v>
      </c>
      <c r="AM1186">
        <v>200000</v>
      </c>
      <c r="AN1186" t="s">
        <v>76</v>
      </c>
      <c r="AO1186">
        <v>1</v>
      </c>
      <c r="AP1186">
        <v>0</v>
      </c>
      <c r="AQ1186">
        <v>16666.666666666668</v>
      </c>
      <c r="AR1186" t="s">
        <v>9</v>
      </c>
      <c r="AS1186" t="s">
        <v>78</v>
      </c>
      <c r="AV1186">
        <v>0</v>
      </c>
      <c r="AW1186">
        <v>0</v>
      </c>
      <c r="AX1186" t="s">
        <v>79</v>
      </c>
      <c r="AY1186" t="s">
        <v>137</v>
      </c>
      <c r="AZ1186">
        <v>0</v>
      </c>
      <c r="BA1186" t="s">
        <v>137</v>
      </c>
      <c r="BB1186">
        <v>0</v>
      </c>
      <c r="BE1186">
        <v>0</v>
      </c>
    </row>
    <row r="1187" spans="1:58" ht="12.75">
      <c r="A1187" s="2" t="str">
        <f>HYPERLINK("https://ibp.a2mac1.com/costing(costing:projects/details/8191/part/5389147)","Part 01 single/main")</f>
        <v>Part 01 single/main</v>
      </c>
      <c r="B1187">
        <v>5389147</v>
      </c>
      <c r="C1187">
        <v>5388734</v>
      </c>
      <c r="E1187">
        <v>0.55307367500000004</v>
      </c>
      <c r="F1187">
        <v>0</v>
      </c>
      <c r="G1187">
        <v>0</v>
      </c>
      <c r="H1187">
        <v>0.00061191130000000002</v>
      </c>
      <c r="I1187" t="s">
        <v>137</v>
      </c>
      <c r="J1187">
        <v>0.020593168750000002</v>
      </c>
      <c r="K1187">
        <v>0.57427875505000003</v>
      </c>
      <c r="L1187">
        <v>0.037922540539062424</v>
      </c>
      <c r="M1187">
        <v>0.22753524323437452</v>
      </c>
      <c r="N1187">
        <v>0.8018139982843745</v>
      </c>
      <c r="O1187" t="s">
        <v>138</v>
      </c>
      <c r="P1187">
        <v>0.034456725303000001</v>
      </c>
      <c r="Q1187" t="s">
        <v>138</v>
      </c>
      <c r="R1187">
        <v>0.013652114594062471</v>
      </c>
      <c r="S1187" t="s">
        <v>139</v>
      </c>
      <c r="T1187">
        <v>0.096217679794124947</v>
      </c>
      <c r="U1187" t="s">
        <v>90</v>
      </c>
      <c r="V1187">
        <v>0</v>
      </c>
      <c r="W1187" t="s">
        <v>90</v>
      </c>
      <c r="X1187">
        <v>0</v>
      </c>
      <c r="Y1187">
        <v>0.94614051797556198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K1187" t="s">
        <v>4605</v>
      </c>
      <c r="AM1187">
        <v>200000</v>
      </c>
      <c r="AN1187" t="s">
        <v>76</v>
      </c>
      <c r="AO1187">
        <v>1</v>
      </c>
      <c r="AP1187">
        <v>0</v>
      </c>
      <c r="AQ1187">
        <v>16666.666666666668</v>
      </c>
      <c r="AR1187" t="s">
        <v>9</v>
      </c>
      <c r="AS1187" t="s">
        <v>78</v>
      </c>
      <c r="AV1187">
        <v>0</v>
      </c>
      <c r="AW1187">
        <v>0</v>
      </c>
      <c r="AX1187" t="s">
        <v>79</v>
      </c>
      <c r="AY1187" t="s">
        <v>137</v>
      </c>
      <c r="AZ1187">
        <v>0</v>
      </c>
      <c r="BA1187" t="s">
        <v>137</v>
      </c>
      <c r="BB1187">
        <v>0</v>
      </c>
      <c r="BE1187">
        <v>0</v>
      </c>
    </row>
    <row r="1188" spans="1:58" ht="12.75">
      <c r="A1188" s="2" t="str">
        <f>HYPERLINK("https://ibp.a2mac1.com/costing(costing:projects/details/8191/part/5389409)","Part 03")</f>
        <v>Part 03</v>
      </c>
      <c r="B1188">
        <v>5389409</v>
      </c>
      <c r="C1188">
        <v>5389148</v>
      </c>
      <c r="E1188">
        <v>0.49005883333333333</v>
      </c>
      <c r="F1188">
        <v>0</v>
      </c>
      <c r="G1188">
        <v>0</v>
      </c>
      <c r="H1188">
        <v>0.00055098506666666669</v>
      </c>
      <c r="I1188" t="s">
        <v>137</v>
      </c>
      <c r="J1188">
        <v>0.018542766666666665</v>
      </c>
      <c r="K1188">
        <v>0.50915258506666672</v>
      </c>
      <c r="L1188">
        <v>0.019958738804621071</v>
      </c>
      <c r="M1188">
        <v>0.11975243282772643</v>
      </c>
      <c r="N1188">
        <v>0.62890501789439313</v>
      </c>
      <c r="O1188" t="s">
        <v>138</v>
      </c>
      <c r="P1188">
        <v>0.030549155104000001</v>
      </c>
      <c r="Q1188" t="s">
        <v>138</v>
      </c>
      <c r="R1188">
        <v>0.007185145969663586</v>
      </c>
      <c r="S1188" t="s">
        <v>139</v>
      </c>
      <c r="T1188">
        <v>0.075468602147327174</v>
      </c>
      <c r="U1188" t="s">
        <v>90</v>
      </c>
      <c r="V1188">
        <v>0</v>
      </c>
      <c r="W1188" t="s">
        <v>90</v>
      </c>
      <c r="X1188">
        <v>0</v>
      </c>
      <c r="Y1188">
        <v>0.74210792111538382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K1188" t="s">
        <v>4605</v>
      </c>
      <c r="AM1188">
        <v>200000</v>
      </c>
      <c r="AN1188" t="s">
        <v>76</v>
      </c>
      <c r="AO1188">
        <v>1</v>
      </c>
      <c r="AP1188">
        <v>0</v>
      </c>
      <c r="AQ1188">
        <v>16666.666666666668</v>
      </c>
      <c r="AR1188" t="s">
        <v>9</v>
      </c>
      <c r="AS1188" t="s">
        <v>78</v>
      </c>
      <c r="AV1188">
        <v>0</v>
      </c>
      <c r="AW1188">
        <v>0</v>
      </c>
      <c r="AX1188" t="s">
        <v>79</v>
      </c>
      <c r="AY1188" t="s">
        <v>137</v>
      </c>
      <c r="AZ1188">
        <v>0</v>
      </c>
      <c r="BA1188" t="s">
        <v>137</v>
      </c>
      <c r="BB1188">
        <v>0</v>
      </c>
      <c r="BE1188">
        <v>0</v>
      </c>
    </row>
    <row r="1189" spans="1:58" ht="12.75">
      <c r="A1189" s="2" t="str">
        <f>HYPERLINK("https://ibp.a2mac1.com/costing(costing:projects/details/8191/part/5389410)","Part 02")</f>
        <v>Part 02</v>
      </c>
      <c r="B1189">
        <v>5389410</v>
      </c>
      <c r="C1189">
        <v>5389148</v>
      </c>
      <c r="E1189">
        <v>0.51654849999999997</v>
      </c>
      <c r="F1189">
        <v>0</v>
      </c>
      <c r="G1189">
        <v>0</v>
      </c>
      <c r="H1189">
        <v>0.00059034114285714287</v>
      </c>
      <c r="I1189" t="s">
        <v>137</v>
      </c>
      <c r="J1189">
        <v>0.019867249999999999</v>
      </c>
      <c r="K1189">
        <v>0.53700609114285713</v>
      </c>
      <c r="L1189">
        <v>0.019958738804621071</v>
      </c>
      <c r="M1189">
        <v>0.11975243282772643</v>
      </c>
      <c r="N1189">
        <v>0.65675852397058354</v>
      </c>
      <c r="O1189" t="s">
        <v>138</v>
      </c>
      <c r="P1189">
        <v>0.032220365468571426</v>
      </c>
      <c r="Q1189" t="s">
        <v>138</v>
      </c>
      <c r="R1189">
        <v>0.007185145969663586</v>
      </c>
      <c r="S1189" t="s">
        <v>139</v>
      </c>
      <c r="T1189">
        <v>0.07881102287647003</v>
      </c>
      <c r="U1189" t="s">
        <v>90</v>
      </c>
      <c r="V1189">
        <v>0</v>
      </c>
      <c r="W1189" t="s">
        <v>90</v>
      </c>
      <c r="X1189">
        <v>0</v>
      </c>
      <c r="Y1189">
        <v>0.77497505828528856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K1189" t="s">
        <v>4605</v>
      </c>
      <c r="AM1189">
        <v>200000</v>
      </c>
      <c r="AN1189" t="s">
        <v>76</v>
      </c>
      <c r="AO1189">
        <v>1</v>
      </c>
      <c r="AP1189">
        <v>0</v>
      </c>
      <c r="AQ1189">
        <v>16666.666666666668</v>
      </c>
      <c r="AR1189" t="s">
        <v>9</v>
      </c>
      <c r="AS1189" t="s">
        <v>78</v>
      </c>
      <c r="AV1189">
        <v>0</v>
      </c>
      <c r="AW1189">
        <v>0</v>
      </c>
      <c r="AX1189" t="s">
        <v>79</v>
      </c>
      <c r="AY1189" t="s">
        <v>137</v>
      </c>
      <c r="AZ1189">
        <v>0</v>
      </c>
      <c r="BA1189" t="s">
        <v>137</v>
      </c>
      <c r="BB1189">
        <v>0</v>
      </c>
      <c r="BE1189">
        <v>0</v>
      </c>
    </row>
    <row r="1190" spans="1:58" ht="12.75">
      <c r="A1190" s="2" t="str">
        <f>HYPERLINK("https://ibp.a2mac1.com/costing(costing:projects/details/8191/part/5389411)","Part 01 single/main")</f>
        <v>Part 01 single/main</v>
      </c>
      <c r="B1190">
        <v>5389411</v>
      </c>
      <c r="C1190">
        <v>5389148</v>
      </c>
      <c r="E1190">
        <v>0.04120881176470588</v>
      </c>
      <c r="F1190">
        <v>0</v>
      </c>
      <c r="G1190">
        <v>0</v>
      </c>
      <c r="H1190">
        <v>4.4876611764705885E-05</v>
      </c>
      <c r="I1190" t="s">
        <v>137</v>
      </c>
      <c r="J1190">
        <v>0.0015102705882352942</v>
      </c>
      <c r="K1190">
        <v>0.042763958964705882</v>
      </c>
      <c r="L1190">
        <v>0.010976837937400397</v>
      </c>
      <c r="M1190">
        <v>0.06586102762440238</v>
      </c>
      <c r="N1190">
        <v>0.10862498658910825</v>
      </c>
      <c r="O1190" t="s">
        <v>138</v>
      </c>
      <c r="P1190">
        <v>0.0025658375378823529</v>
      </c>
      <c r="Q1190" t="s">
        <v>138</v>
      </c>
      <c r="R1190">
        <v>0.0039516616574641426</v>
      </c>
      <c r="S1190" t="s">
        <v>139</v>
      </c>
      <c r="T1190">
        <v>0.013034998390692991</v>
      </c>
      <c r="U1190" t="s">
        <v>90</v>
      </c>
      <c r="V1190">
        <v>0</v>
      </c>
      <c r="W1190" t="s">
        <v>90</v>
      </c>
      <c r="X1190">
        <v>0</v>
      </c>
      <c r="Y1190">
        <v>0.12817748417514774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K1190" t="s">
        <v>4605</v>
      </c>
      <c r="AM1190">
        <v>200000</v>
      </c>
      <c r="AN1190" t="s">
        <v>76</v>
      </c>
      <c r="AO1190">
        <v>1</v>
      </c>
      <c r="AP1190">
        <v>0</v>
      </c>
      <c r="AQ1190">
        <v>16666.666666666668</v>
      </c>
      <c r="AR1190" t="s">
        <v>9</v>
      </c>
      <c r="AS1190" t="s">
        <v>78</v>
      </c>
      <c r="AV1190">
        <v>0</v>
      </c>
      <c r="AW1190">
        <v>0</v>
      </c>
      <c r="AX1190" t="s">
        <v>79</v>
      </c>
      <c r="AY1190" t="s">
        <v>137</v>
      </c>
      <c r="AZ1190">
        <v>0</v>
      </c>
      <c r="BA1190" t="s">
        <v>137</v>
      </c>
      <c r="BB1190">
        <v>0</v>
      </c>
      <c r="BE1190">
        <v>0</v>
      </c>
    </row>
    <row r="1191" spans="1:58" ht="12.75">
      <c r="A1191" s="2" t="str">
        <f>HYPERLINK("https://ibp.a2mac1.com/costing(costing:projects/details/8191/part/5389412)","Part 01 single/main")</f>
        <v>Part 01 single/main</v>
      </c>
      <c r="B1191">
        <v>5389412</v>
      </c>
      <c r="C1191">
        <v>5389149</v>
      </c>
      <c r="E1191">
        <v>1.4133256000000001</v>
      </c>
      <c r="F1191">
        <v>0</v>
      </c>
      <c r="G1191">
        <v>0</v>
      </c>
      <c r="H1191">
        <v>0.0017292454400000001</v>
      </c>
      <c r="I1191" t="s">
        <v>137</v>
      </c>
      <c r="J1191">
        <v>0.058195759999999999</v>
      </c>
      <c r="K1191">
        <v>1.4732506054400001</v>
      </c>
      <c r="L1191">
        <v>0.16366915268015186</v>
      </c>
      <c r="M1191">
        <v>0.98201491608091118</v>
      </c>
      <c r="N1191">
        <v>2.4552655215209112</v>
      </c>
      <c r="O1191" t="s">
        <v>138</v>
      </c>
      <c r="P1191">
        <v>0.088395036326400001</v>
      </c>
      <c r="Q1191" t="s">
        <v>138</v>
      </c>
      <c r="R1191">
        <v>0.058920894964854677</v>
      </c>
      <c r="S1191" t="s">
        <v>139</v>
      </c>
      <c r="T1191">
        <v>0.29463186258250934</v>
      </c>
      <c r="U1191" t="s">
        <v>90</v>
      </c>
      <c r="V1191">
        <v>0</v>
      </c>
      <c r="W1191" t="s">
        <v>90</v>
      </c>
      <c r="X1191">
        <v>0</v>
      </c>
      <c r="Y1191">
        <v>2.8972133153946751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K1191" t="s">
        <v>4605</v>
      </c>
      <c r="AM1191">
        <v>200000</v>
      </c>
      <c r="AN1191" t="s">
        <v>76</v>
      </c>
      <c r="AO1191">
        <v>1</v>
      </c>
      <c r="AP1191">
        <v>0</v>
      </c>
      <c r="AQ1191">
        <v>16666.666666666668</v>
      </c>
      <c r="AR1191" t="s">
        <v>9</v>
      </c>
      <c r="AS1191" t="s">
        <v>78</v>
      </c>
      <c r="AV1191">
        <v>0</v>
      </c>
      <c r="AW1191">
        <v>0</v>
      </c>
      <c r="AX1191" t="s">
        <v>79</v>
      </c>
      <c r="AY1191" t="s">
        <v>137</v>
      </c>
      <c r="AZ1191">
        <v>0</v>
      </c>
      <c r="BA1191" t="s">
        <v>137</v>
      </c>
      <c r="BB1191">
        <v>0</v>
      </c>
      <c r="BE1191">
        <v>0</v>
      </c>
    </row>
    <row r="1192" spans="1:58" ht="12.75">
      <c r="A1192" s="2" t="str">
        <f>HYPERLINK("https://ibp.a2mac1.com/costing(costing:projects/details/8191/part/5389150)","Part 01 single/main")</f>
        <v>Part 01 single/main</v>
      </c>
      <c r="B1192">
        <v>5389150</v>
      </c>
      <c r="C1192">
        <v>5388737</v>
      </c>
      <c r="E1192">
        <v>0.16586606666666667</v>
      </c>
      <c r="F1192">
        <v>0</v>
      </c>
      <c r="G1192">
        <v>0</v>
      </c>
      <c r="H1192">
        <v>0.00018648725333333333</v>
      </c>
      <c r="I1192" t="s">
        <v>137</v>
      </c>
      <c r="J1192">
        <v>0.0062760133333333336</v>
      </c>
      <c r="K1192">
        <v>0.17232856725333334</v>
      </c>
      <c r="L1192">
        <v>0.010976837937400397</v>
      </c>
      <c r="M1192">
        <v>0.06586102762440238</v>
      </c>
      <c r="N1192">
        <v>0.23818959487773572</v>
      </c>
      <c r="O1192" t="s">
        <v>138</v>
      </c>
      <c r="P1192">
        <v>0.010339714035200001</v>
      </c>
      <c r="Q1192" t="s">
        <v>138</v>
      </c>
      <c r="R1192">
        <v>0.0039516616574641426</v>
      </c>
      <c r="S1192" t="s">
        <v>139</v>
      </c>
      <c r="T1192">
        <v>0.028582751385328287</v>
      </c>
      <c r="U1192" t="s">
        <v>90</v>
      </c>
      <c r="V1192">
        <v>0</v>
      </c>
      <c r="W1192" t="s">
        <v>90</v>
      </c>
      <c r="X1192">
        <v>0</v>
      </c>
      <c r="Y1192">
        <v>0.28106372195572815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K1192" t="s">
        <v>4605</v>
      </c>
      <c r="AM1192">
        <v>200000</v>
      </c>
      <c r="AN1192" t="s">
        <v>76</v>
      </c>
      <c r="AO1192">
        <v>1</v>
      </c>
      <c r="AP1192">
        <v>0</v>
      </c>
      <c r="AQ1192">
        <v>16666.666666666668</v>
      </c>
      <c r="AR1192" t="s">
        <v>9</v>
      </c>
      <c r="AS1192" t="s">
        <v>78</v>
      </c>
      <c r="AV1192">
        <v>0</v>
      </c>
      <c r="AW1192">
        <v>0</v>
      </c>
      <c r="AX1192" t="s">
        <v>79</v>
      </c>
      <c r="AY1192" t="s">
        <v>137</v>
      </c>
      <c r="AZ1192">
        <v>0</v>
      </c>
      <c r="BA1192" t="s">
        <v>137</v>
      </c>
      <c r="BB1192">
        <v>0</v>
      </c>
      <c r="BE1192">
        <v>0</v>
      </c>
    </row>
    <row r="1193" spans="1:58" ht="12.75">
      <c r="A1193" s="2" t="str">
        <f>HYPERLINK("https://ibp.a2mac1.com/costing(costing:projects/details/8191/part/5389713)","Part 01 single/main")</f>
        <v>Part 01 single/main</v>
      </c>
      <c r="B1193">
        <v>5389713</v>
      </c>
      <c r="C1193">
        <v>5389413</v>
      </c>
      <c r="E1193">
        <v>0.14324796666666667</v>
      </c>
      <c r="F1193">
        <v>0</v>
      </c>
      <c r="G1193">
        <v>0</v>
      </c>
      <c r="H1193">
        <v>0.00016105717333333332</v>
      </c>
      <c r="I1193" t="s">
        <v>137</v>
      </c>
      <c r="J1193">
        <v>0.0054201933333333334</v>
      </c>
      <c r="K1193">
        <v>0.14882921717333333</v>
      </c>
      <c r="L1193">
        <v>0.010976837937400397</v>
      </c>
      <c r="M1193">
        <v>0.06586102762440238</v>
      </c>
      <c r="N1193">
        <v>0.21469024479773571</v>
      </c>
      <c r="O1193" t="s">
        <v>138</v>
      </c>
      <c r="P1193">
        <v>0.0089297530304000006</v>
      </c>
      <c r="Q1193" t="s">
        <v>138</v>
      </c>
      <c r="R1193">
        <v>0.0039516616574641426</v>
      </c>
      <c r="S1193" t="s">
        <v>139</v>
      </c>
      <c r="T1193">
        <v>0.025762829375728286</v>
      </c>
      <c r="U1193" t="s">
        <v>90</v>
      </c>
      <c r="V1193">
        <v>0</v>
      </c>
      <c r="W1193" t="s">
        <v>90</v>
      </c>
      <c r="X1193">
        <v>0</v>
      </c>
      <c r="Y1193">
        <v>0.25333448886132814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K1193" t="s">
        <v>4605</v>
      </c>
      <c r="AM1193">
        <v>200000</v>
      </c>
      <c r="AN1193" t="s">
        <v>76</v>
      </c>
      <c r="AO1193">
        <v>1</v>
      </c>
      <c r="AP1193">
        <v>0</v>
      </c>
      <c r="AQ1193">
        <v>16666.666666666668</v>
      </c>
      <c r="AR1193" t="s">
        <v>9</v>
      </c>
      <c r="AS1193" t="s">
        <v>78</v>
      </c>
      <c r="AV1193">
        <v>0</v>
      </c>
      <c r="AW1193">
        <v>0</v>
      </c>
      <c r="AX1193" t="s">
        <v>79</v>
      </c>
      <c r="AY1193" t="s">
        <v>137</v>
      </c>
      <c r="AZ1193">
        <v>0</v>
      </c>
      <c r="BA1193" t="s">
        <v>137</v>
      </c>
      <c r="BB1193">
        <v>0</v>
      </c>
      <c r="BE1193">
        <v>0</v>
      </c>
    </row>
    <row r="1194" spans="1:58" ht="12.75">
      <c r="A1194" s="2" t="str">
        <f>HYPERLINK("https://ibp.a2mac1.com/costing(costing:projects/details/8191/part/5389152)","Part 01 single/front")</f>
        <v>Part 01 single/front</v>
      </c>
      <c r="B1194">
        <v>5389152</v>
      </c>
      <c r="C1194">
        <v>5388739</v>
      </c>
      <c r="E1194">
        <v>1.4133256000000001</v>
      </c>
      <c r="F1194">
        <v>0</v>
      </c>
      <c r="G1194">
        <v>0</v>
      </c>
      <c r="H1194">
        <v>0.0017292454400000001</v>
      </c>
      <c r="I1194" t="s">
        <v>137</v>
      </c>
      <c r="J1194">
        <v>0.058195759999999999</v>
      </c>
      <c r="K1194">
        <v>1.4732506054400001</v>
      </c>
      <c r="L1194">
        <v>0.16366915268015186</v>
      </c>
      <c r="M1194">
        <v>0.98201491608091118</v>
      </c>
      <c r="N1194">
        <v>2.4552655215209112</v>
      </c>
      <c r="O1194" t="s">
        <v>138</v>
      </c>
      <c r="P1194">
        <v>0.088395036326400001</v>
      </c>
      <c r="Q1194" t="s">
        <v>138</v>
      </c>
      <c r="R1194">
        <v>0.058920894964854677</v>
      </c>
      <c r="S1194" t="s">
        <v>139</v>
      </c>
      <c r="T1194">
        <v>0.29463186258250934</v>
      </c>
      <c r="U1194" t="s">
        <v>90</v>
      </c>
      <c r="V1194">
        <v>0</v>
      </c>
      <c r="W1194" t="s">
        <v>90</v>
      </c>
      <c r="X1194">
        <v>0</v>
      </c>
      <c r="Y1194">
        <v>2.8972133153946751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K1194" t="s">
        <v>4605</v>
      </c>
      <c r="AM1194">
        <v>200000</v>
      </c>
      <c r="AN1194" t="s">
        <v>76</v>
      </c>
      <c r="AO1194">
        <v>1</v>
      </c>
      <c r="AP1194">
        <v>0</v>
      </c>
      <c r="AQ1194">
        <v>16666.666666666668</v>
      </c>
      <c r="AR1194" t="s">
        <v>9</v>
      </c>
      <c r="AS1194" t="s">
        <v>78</v>
      </c>
      <c r="AV1194">
        <v>0</v>
      </c>
      <c r="AW1194">
        <v>0</v>
      </c>
      <c r="AX1194" t="s">
        <v>79</v>
      </c>
      <c r="AY1194" t="s">
        <v>137</v>
      </c>
      <c r="AZ1194">
        <v>0</v>
      </c>
      <c r="BA1194" t="s">
        <v>137</v>
      </c>
      <c r="BB1194">
        <v>0</v>
      </c>
      <c r="BE1194">
        <v>0</v>
      </c>
    </row>
    <row r="1195" spans="1:58" ht="12.75">
      <c r="A1195" s="2" t="str">
        <f>HYPERLINK("https://ibp.a2mac1.com/costing(costing:projects/details/8191/part/5389414)","Part 01 single/main")</f>
        <v>Part 01 single/main</v>
      </c>
      <c r="B1195">
        <v>5389414</v>
      </c>
      <c r="C1195">
        <v>5389153</v>
      </c>
      <c r="E1195">
        <v>0.70870046666666664</v>
      </c>
      <c r="F1195">
        <v>0</v>
      </c>
      <c r="G1195">
        <v>0</v>
      </c>
      <c r="H1195">
        <v>0.00079680917333333336</v>
      </c>
      <c r="I1195" t="s">
        <v>137</v>
      </c>
      <c r="J1195">
        <v>0.026815693333333335</v>
      </c>
      <c r="K1195">
        <v>0.73631296917333333</v>
      </c>
      <c r="L1195">
        <v>0.019958738804621071</v>
      </c>
      <c r="M1195">
        <v>0.11975243282772643</v>
      </c>
      <c r="N1195">
        <v>0.85606540200105974</v>
      </c>
      <c r="O1195" t="s">
        <v>138</v>
      </c>
      <c r="P1195">
        <v>0.0441787781504</v>
      </c>
      <c r="Q1195" t="s">
        <v>138</v>
      </c>
      <c r="R1195">
        <v>0.007185145969663586</v>
      </c>
      <c r="S1195" t="s">
        <v>139</v>
      </c>
      <c r="T1195">
        <v>0.10272784824012716</v>
      </c>
      <c r="U1195" t="s">
        <v>90</v>
      </c>
      <c r="V1195">
        <v>0</v>
      </c>
      <c r="W1195" t="s">
        <v>90</v>
      </c>
      <c r="X1195">
        <v>0</v>
      </c>
      <c r="Y1195">
        <v>1.0101571743612505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K1195" t="s">
        <v>4605</v>
      </c>
      <c r="AM1195">
        <v>200000</v>
      </c>
      <c r="AN1195" t="s">
        <v>76</v>
      </c>
      <c r="AO1195">
        <v>1</v>
      </c>
      <c r="AP1195">
        <v>0</v>
      </c>
      <c r="AQ1195">
        <v>16666.666666666668</v>
      </c>
      <c r="AR1195" t="s">
        <v>9</v>
      </c>
      <c r="AS1195" t="s">
        <v>78</v>
      </c>
      <c r="AV1195">
        <v>0</v>
      </c>
      <c r="AW1195">
        <v>0</v>
      </c>
      <c r="AX1195" t="s">
        <v>79</v>
      </c>
      <c r="AY1195" t="s">
        <v>137</v>
      </c>
      <c r="AZ1195">
        <v>0</v>
      </c>
      <c r="BA1195" t="s">
        <v>137</v>
      </c>
      <c r="BB1195">
        <v>0</v>
      </c>
      <c r="BE1195">
        <v>0</v>
      </c>
    </row>
    <row r="1196" spans="1:58" ht="12.75">
      <c r="A1196" s="2" t="str">
        <f>HYPERLINK("https://ibp.a2mac1.com/costing(costing:projects/details/8191/part/5389415)","Part 02")</f>
        <v>Part 02</v>
      </c>
      <c r="B1196">
        <v>5389415</v>
      </c>
      <c r="C1196">
        <v>5389153</v>
      </c>
      <c r="E1196">
        <v>0.20830047500000001</v>
      </c>
      <c r="F1196">
        <v>0</v>
      </c>
      <c r="G1196">
        <v>0</v>
      </c>
      <c r="H1196">
        <v>0.00023046009999999999</v>
      </c>
      <c r="I1196" t="s">
        <v>137</v>
      </c>
      <c r="J1196">
        <v>0.0077558687499999996</v>
      </c>
      <c r="K1196">
        <v>0.21628680384999999</v>
      </c>
      <c r="L1196">
        <v>0.010976837937400397</v>
      </c>
      <c r="M1196">
        <v>0.06586102762440238</v>
      </c>
      <c r="N1196">
        <v>0.28214783147440237</v>
      </c>
      <c r="O1196" t="s">
        <v>138</v>
      </c>
      <c r="P1196">
        <v>0.012977208230999999</v>
      </c>
      <c r="Q1196" t="s">
        <v>138</v>
      </c>
      <c r="R1196">
        <v>0.0039516616574641426</v>
      </c>
      <c r="S1196" t="s">
        <v>139</v>
      </c>
      <c r="T1196">
        <v>0.033857739776928283</v>
      </c>
      <c r="U1196" t="s">
        <v>90</v>
      </c>
      <c r="V1196">
        <v>0</v>
      </c>
      <c r="W1196" t="s">
        <v>90</v>
      </c>
      <c r="X1196">
        <v>0</v>
      </c>
      <c r="Y1196">
        <v>0.33293444113979481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K1196" t="s">
        <v>4605</v>
      </c>
      <c r="AM1196">
        <v>200000</v>
      </c>
      <c r="AN1196" t="s">
        <v>76</v>
      </c>
      <c r="AO1196">
        <v>1</v>
      </c>
      <c r="AP1196">
        <v>0</v>
      </c>
      <c r="AQ1196">
        <v>16666.666666666668</v>
      </c>
      <c r="AR1196" t="s">
        <v>9</v>
      </c>
      <c r="AS1196" t="s">
        <v>78</v>
      </c>
      <c r="AV1196">
        <v>0</v>
      </c>
      <c r="AW1196">
        <v>0</v>
      </c>
      <c r="AX1196" t="s">
        <v>79</v>
      </c>
      <c r="AY1196" t="s">
        <v>137</v>
      </c>
      <c r="AZ1196">
        <v>0</v>
      </c>
      <c r="BA1196" t="s">
        <v>137</v>
      </c>
      <c r="BB1196">
        <v>0</v>
      </c>
      <c r="BE1196">
        <v>0</v>
      </c>
    </row>
    <row r="1197" spans="1:58" ht="12.75">
      <c r="A1197" s="2" t="str">
        <f>HYPERLINK("https://ibp.a2mac1.com/costing(costing:projects/details/8191/part/5389416)","Part 01 single/main")</f>
        <v>Part 01 single/main</v>
      </c>
      <c r="B1197">
        <v>5389416</v>
      </c>
      <c r="C1197">
        <v>5389154</v>
      </c>
      <c r="E1197">
        <v>0.24421435</v>
      </c>
      <c r="F1197">
        <v>0</v>
      </c>
      <c r="G1197">
        <v>0</v>
      </c>
      <c r="H1197">
        <v>0.00027019460000000001</v>
      </c>
      <c r="I1197" t="s">
        <v>137</v>
      </c>
      <c r="J1197">
        <v>0.0090930874999999994</v>
      </c>
      <c r="K1197">
        <v>0.25357763210000001</v>
      </c>
      <c r="L1197">
        <v>0.010976837937400397</v>
      </c>
      <c r="M1197">
        <v>0.06586102762440238</v>
      </c>
      <c r="N1197">
        <v>0.31943865972440239</v>
      </c>
      <c r="O1197" t="s">
        <v>138</v>
      </c>
      <c r="P1197">
        <v>0.015214657926</v>
      </c>
      <c r="Q1197" t="s">
        <v>138</v>
      </c>
      <c r="R1197">
        <v>0.0039516616574641426</v>
      </c>
      <c r="S1197" t="s">
        <v>139</v>
      </c>
      <c r="T1197">
        <v>0.038332639166928285</v>
      </c>
      <c r="U1197" t="s">
        <v>90</v>
      </c>
      <c r="V1197">
        <v>0</v>
      </c>
      <c r="W1197" t="s">
        <v>90</v>
      </c>
      <c r="X1197">
        <v>0</v>
      </c>
      <c r="Y1197">
        <v>0.37693761847479479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K1197" t="s">
        <v>4605</v>
      </c>
      <c r="AM1197">
        <v>200000</v>
      </c>
      <c r="AN1197" t="s">
        <v>76</v>
      </c>
      <c r="AO1197">
        <v>1</v>
      </c>
      <c r="AP1197">
        <v>0</v>
      </c>
      <c r="AQ1197">
        <v>16666.666666666668</v>
      </c>
      <c r="AR1197" t="s">
        <v>9</v>
      </c>
      <c r="AS1197" t="s">
        <v>78</v>
      </c>
      <c r="AV1197">
        <v>0</v>
      </c>
      <c r="AW1197">
        <v>0</v>
      </c>
      <c r="AX1197" t="s">
        <v>79</v>
      </c>
      <c r="AY1197" t="s">
        <v>137</v>
      </c>
      <c r="AZ1197">
        <v>0</v>
      </c>
      <c r="BA1197" t="s">
        <v>137</v>
      </c>
      <c r="BB1197">
        <v>0</v>
      </c>
      <c r="BE1197">
        <v>0</v>
      </c>
    </row>
    <row r="1198" spans="1:58" ht="12.75">
      <c r="A1198" s="2" t="str">
        <f>HYPERLINK("https://ibp.a2mac1.com/costing(costing:projects/details/8191/part/5389417)","Part 01 single/main")</f>
        <v>Part 01 single/main</v>
      </c>
      <c r="B1198">
        <v>5389417</v>
      </c>
      <c r="C1198">
        <v>5389155</v>
      </c>
      <c r="E1198">
        <v>1.6926897000000001</v>
      </c>
      <c r="F1198">
        <v>0</v>
      </c>
      <c r="G1198">
        <v>0</v>
      </c>
      <c r="H1198">
        <v>0.0019345025142857143</v>
      </c>
      <c r="I1198" t="s">
        <v>137</v>
      </c>
      <c r="J1198">
        <v>0.065103449999999993</v>
      </c>
      <c r="K1198">
        <v>1.7597276525142858</v>
      </c>
      <c r="L1198">
        <v>0.028940639671841746</v>
      </c>
      <c r="M1198">
        <v>0.17364383803105049</v>
      </c>
      <c r="N1198">
        <v>1.9333714905453363</v>
      </c>
      <c r="O1198" t="s">
        <v>138</v>
      </c>
      <c r="P1198">
        <v>0.10558365915085714</v>
      </c>
      <c r="Q1198" t="s">
        <v>138</v>
      </c>
      <c r="R1198">
        <v>0.010418630281863029</v>
      </c>
      <c r="S1198" t="s">
        <v>139</v>
      </c>
      <c r="T1198">
        <v>0.23200457886544035</v>
      </c>
      <c r="U1198" t="s">
        <v>90</v>
      </c>
      <c r="V1198">
        <v>0</v>
      </c>
      <c r="W1198" t="s">
        <v>90</v>
      </c>
      <c r="X1198">
        <v>0</v>
      </c>
      <c r="Y1198">
        <v>2.2813783588434968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K1198" t="s">
        <v>4605</v>
      </c>
      <c r="AM1198">
        <v>200000</v>
      </c>
      <c r="AN1198" t="s">
        <v>76</v>
      </c>
      <c r="AO1198">
        <v>1</v>
      </c>
      <c r="AP1198">
        <v>0</v>
      </c>
      <c r="AQ1198">
        <v>16666.666666666668</v>
      </c>
      <c r="AR1198" t="s">
        <v>9</v>
      </c>
      <c r="AS1198" t="s">
        <v>78</v>
      </c>
      <c r="AV1198">
        <v>0</v>
      </c>
      <c r="AW1198">
        <v>0</v>
      </c>
      <c r="AX1198" t="s">
        <v>79</v>
      </c>
      <c r="AY1198" t="s">
        <v>137</v>
      </c>
      <c r="AZ1198">
        <v>0</v>
      </c>
      <c r="BA1198" t="s">
        <v>137</v>
      </c>
      <c r="BB1198">
        <v>0</v>
      </c>
      <c r="BE1198">
        <v>0</v>
      </c>
    </row>
    <row r="1199" spans="1:58" ht="12.75">
      <c r="A1199" s="2" t="str">
        <f>HYPERLINK("https://ibp.a2mac1.com/costing(costing:projects/details/8191/part/5389156)","Part 01 single/main")</f>
        <v>Part 01 single/main</v>
      </c>
      <c r="B1199">
        <v>5389156</v>
      </c>
      <c r="C1199">
        <v>5388742</v>
      </c>
      <c r="E1199">
        <v>3.1868147764705883</v>
      </c>
      <c r="F1199">
        <v>0</v>
      </c>
      <c r="G1199">
        <v>0</v>
      </c>
      <c r="H1199">
        <v>0.0034704579764705881</v>
      </c>
      <c r="I1199" t="s">
        <v>137</v>
      </c>
      <c r="J1199">
        <v>0.11679425882352941</v>
      </c>
      <c r="K1199">
        <v>3.3070794932705883</v>
      </c>
      <c r="L1199">
        <v>0.16366915268015186</v>
      </c>
      <c r="M1199">
        <v>0.98201491608091118</v>
      </c>
      <c r="N1199">
        <v>4.2890944093514998</v>
      </c>
      <c r="O1199" t="s">
        <v>90</v>
      </c>
      <c r="P1199">
        <v>0</v>
      </c>
      <c r="Q1199" t="s">
        <v>90</v>
      </c>
      <c r="R1199">
        <v>0</v>
      </c>
      <c r="S1199" t="s">
        <v>90</v>
      </c>
      <c r="T1199">
        <v>0</v>
      </c>
      <c r="U1199" t="s">
        <v>90</v>
      </c>
      <c r="V1199">
        <v>0</v>
      </c>
      <c r="W1199" t="s">
        <v>90</v>
      </c>
      <c r="X1199">
        <v>0</v>
      </c>
      <c r="Y1199">
        <v>4.2890944093514998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K1199" t="s">
        <v>4599</v>
      </c>
      <c r="AM1199">
        <v>200000</v>
      </c>
      <c r="AN1199" t="s">
        <v>92</v>
      </c>
      <c r="AO1199">
        <v>1</v>
      </c>
      <c r="AP1199">
        <v>0</v>
      </c>
      <c r="AQ1199">
        <v>16666.666666666668</v>
      </c>
      <c r="AR1199" t="s">
        <v>9</v>
      </c>
      <c r="AS1199" t="s">
        <v>78</v>
      </c>
      <c r="AV1199">
        <v>0</v>
      </c>
      <c r="AW1199">
        <v>0</v>
      </c>
      <c r="AX1199" t="s">
        <v>79</v>
      </c>
      <c r="AY1199" t="s">
        <v>137</v>
      </c>
      <c r="AZ1199">
        <v>0</v>
      </c>
      <c r="BA1199" t="s">
        <v>137</v>
      </c>
      <c r="BB1199">
        <v>0</v>
      </c>
      <c r="BE1199">
        <v>0</v>
      </c>
    </row>
    <row r="1200" spans="1:58" ht="12.75">
      <c r="A1200" s="2" t="str">
        <f>HYPERLINK("https://ibp.a2mac1.com/costing(costing:projects/details/8191/part/5388743)","Handle Support")</f>
        <v>Handle Support</v>
      </c>
      <c r="B1200">
        <v>5388743</v>
      </c>
      <c r="C1200">
        <v>5388355</v>
      </c>
      <c r="E1200">
        <v>0.62625750599999996</v>
      </c>
      <c r="F1200">
        <v>0</v>
      </c>
      <c r="G1200">
        <v>0</v>
      </c>
      <c r="H1200">
        <v>0.0031768049928421051</v>
      </c>
      <c r="I1200" t="s">
        <v>137</v>
      </c>
      <c r="J1200">
        <v>0.02197394757894737</v>
      </c>
      <c r="K1200">
        <v>0.65140825857178952</v>
      </c>
      <c r="L1200">
        <v>0.010961022270663793</v>
      </c>
      <c r="M1200">
        <v>0.065766133623982759</v>
      </c>
      <c r="N1200">
        <v>0.71717439219577228</v>
      </c>
      <c r="O1200" t="s">
        <v>90</v>
      </c>
      <c r="P1200">
        <v>0</v>
      </c>
      <c r="Q1200" t="s">
        <v>90</v>
      </c>
      <c r="R1200">
        <v>0</v>
      </c>
      <c r="S1200" t="s">
        <v>90</v>
      </c>
      <c r="T1200">
        <v>0</v>
      </c>
      <c r="U1200" t="s">
        <v>90</v>
      </c>
      <c r="V1200">
        <v>0</v>
      </c>
      <c r="W1200" t="s">
        <v>90</v>
      </c>
      <c r="X1200">
        <v>0</v>
      </c>
      <c r="Y1200">
        <v>0.71717439219577228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108</v>
      </c>
      <c r="AF1200">
        <v>432</v>
      </c>
      <c r="AG1200">
        <v>134</v>
      </c>
      <c r="AI1200">
        <v>0.23599999999999999</v>
      </c>
      <c r="AJ1200" t="s">
        <v>685</v>
      </c>
      <c r="AK1200" t="s">
        <v>501</v>
      </c>
      <c r="AL1200" t="s">
        <v>1288</v>
      </c>
      <c r="AM1200">
        <v>200000</v>
      </c>
      <c r="AN1200" t="s">
        <v>92</v>
      </c>
      <c r="AO1200">
        <v>1</v>
      </c>
      <c r="AP1200">
        <v>0</v>
      </c>
      <c r="AQ1200">
        <v>16666.666666666668</v>
      </c>
      <c r="AR1200" t="s">
        <v>4676</v>
      </c>
      <c r="AS1200" t="s">
        <v>78</v>
      </c>
      <c r="AX1200" t="s">
        <v>79</v>
      </c>
      <c r="AY1200" t="s">
        <v>137</v>
      </c>
      <c r="AZ1200">
        <v>0</v>
      </c>
      <c r="BA1200" t="s">
        <v>137</v>
      </c>
      <c r="BB1200">
        <v>0</v>
      </c>
      <c r="BE1200">
        <v>0</v>
      </c>
    </row>
    <row r="1201" spans="1:58" ht="12.75">
      <c r="A1201" s="2" t="str">
        <f>HYPERLINK("https://ibp.a2mac1.com/costing(costing:projects/details/8191/part/5388744)","2nd Handle Support")</f>
        <v>2nd Handle Support</v>
      </c>
      <c r="B1201">
        <v>5388744</v>
      </c>
      <c r="C1201">
        <v>5388355</v>
      </c>
      <c r="E1201">
        <v>0.045111769500000003</v>
      </c>
      <c r="F1201">
        <v>0</v>
      </c>
      <c r="G1201">
        <v>0</v>
      </c>
      <c r="H1201">
        <v>0.00022883764778947369</v>
      </c>
      <c r="I1201" t="s">
        <v>137</v>
      </c>
      <c r="J1201">
        <v>0.001582869105263158</v>
      </c>
      <c r="K1201">
        <v>0.046923476253052633</v>
      </c>
      <c r="L1201">
        <v>0.00078912868272557534</v>
      </c>
      <c r="M1201">
        <v>0.0047347720963534521</v>
      </c>
      <c r="N1201">
        <v>0.051658248349406084</v>
      </c>
      <c r="O1201" t="s">
        <v>90</v>
      </c>
      <c r="P1201">
        <v>0</v>
      </c>
      <c r="Q1201" t="s">
        <v>90</v>
      </c>
      <c r="R1201">
        <v>0</v>
      </c>
      <c r="S1201" t="s">
        <v>90</v>
      </c>
      <c r="T1201">
        <v>0</v>
      </c>
      <c r="U1201" t="s">
        <v>90</v>
      </c>
      <c r="V1201">
        <v>0</v>
      </c>
      <c r="W1201" t="s">
        <v>90</v>
      </c>
      <c r="X1201">
        <v>0</v>
      </c>
      <c r="Y1201">
        <v>0.051658248349406084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72</v>
      </c>
      <c r="AF1201">
        <v>47</v>
      </c>
      <c r="AG1201">
        <v>47</v>
      </c>
      <c r="AI1201">
        <v>0.017000000000000001</v>
      </c>
      <c r="AJ1201" t="s">
        <v>4681</v>
      </c>
      <c r="AK1201" t="s">
        <v>501</v>
      </c>
      <c r="AL1201" t="s">
        <v>1288</v>
      </c>
      <c r="AM1201">
        <v>200000</v>
      </c>
      <c r="AN1201" t="s">
        <v>92</v>
      </c>
      <c r="AO1201">
        <v>1</v>
      </c>
      <c r="AP1201">
        <v>0</v>
      </c>
      <c r="AQ1201">
        <v>16666.666666666668</v>
      </c>
      <c r="AR1201" t="s">
        <v>4682</v>
      </c>
      <c r="AS1201" t="s">
        <v>78</v>
      </c>
      <c r="AX1201" t="s">
        <v>79</v>
      </c>
      <c r="AY1201" t="s">
        <v>137</v>
      </c>
      <c r="AZ1201">
        <v>0</v>
      </c>
      <c r="BA1201" t="s">
        <v>137</v>
      </c>
      <c r="BB1201">
        <v>0</v>
      </c>
      <c r="BE1201">
        <v>0</v>
      </c>
    </row>
    <row r="1202" spans="1:58" ht="12.75">
      <c r="A1202" s="2" t="str">
        <f>HYPERLINK("https://ibp.a2mac1.com/costing(costing:projects/details/8191/part/5388350)","Panel carrier")</f>
        <v>Panel carrier</v>
      </c>
      <c r="B1202">
        <v>5388350</v>
      </c>
      <c r="C1202">
        <v>5388173</v>
      </c>
      <c r="E1202">
        <v>1.4240736089999999</v>
      </c>
      <c r="F1202">
        <v>0</v>
      </c>
      <c r="G1202">
        <v>0</v>
      </c>
      <c r="H1202">
        <v>0.0072238721418947365</v>
      </c>
      <c r="I1202" t="s">
        <v>137</v>
      </c>
      <c r="J1202">
        <v>0.04996749505263158</v>
      </c>
      <c r="K1202">
        <v>1.4812649761945262</v>
      </c>
      <c r="L1202">
        <v>0.062456483255560455</v>
      </c>
      <c r="M1202">
        <v>0.3747388995333627</v>
      </c>
      <c r="N1202">
        <v>1.8560038757278889</v>
      </c>
      <c r="O1202" t="s">
        <v>90</v>
      </c>
      <c r="P1202">
        <v>0</v>
      </c>
      <c r="Q1202" t="s">
        <v>90</v>
      </c>
      <c r="R1202">
        <v>0</v>
      </c>
      <c r="S1202" t="s">
        <v>90</v>
      </c>
      <c r="T1202">
        <v>0</v>
      </c>
      <c r="U1202" t="s">
        <v>90</v>
      </c>
      <c r="V1202">
        <v>0</v>
      </c>
      <c r="W1202" t="s">
        <v>90</v>
      </c>
      <c r="X1202">
        <v>0</v>
      </c>
      <c r="Y1202">
        <v>1.8560038757278889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90</v>
      </c>
      <c r="AF1202">
        <v>899</v>
      </c>
      <c r="AG1202">
        <v>647</v>
      </c>
      <c r="AI1202">
        <v>1.341</v>
      </c>
      <c r="AJ1202" t="s">
        <v>4681</v>
      </c>
      <c r="AK1202" t="s">
        <v>501</v>
      </c>
      <c r="AL1202" t="s">
        <v>1182</v>
      </c>
      <c r="AM1202">
        <v>200000</v>
      </c>
      <c r="AN1202" t="s">
        <v>92</v>
      </c>
      <c r="AO1202">
        <v>1</v>
      </c>
      <c r="AP1202">
        <v>0</v>
      </c>
      <c r="AQ1202">
        <v>16666.666666666668</v>
      </c>
      <c r="AR1202" t="s">
        <v>4688</v>
      </c>
      <c r="AS1202" t="s">
        <v>78</v>
      </c>
      <c r="AX1202" t="s">
        <v>79</v>
      </c>
      <c r="AY1202" t="s">
        <v>137</v>
      </c>
      <c r="AZ1202">
        <v>0</v>
      </c>
      <c r="BA1202" t="s">
        <v>137</v>
      </c>
      <c r="BB1202">
        <v>0</v>
      </c>
      <c r="BE1202">
        <v>0</v>
      </c>
    </row>
    <row r="1203" spans="1:58" ht="12.75">
      <c r="A1203" s="2" t="str">
        <f>HYPERLINK("https://ibp.a2mac1.com/costing(costing:projects/details/8191/part/5388351)","Armrest")</f>
        <v>Armrest</v>
      </c>
      <c r="B1203">
        <v>5388351</v>
      </c>
      <c r="C1203">
        <v>5388173</v>
      </c>
      <c r="E1203">
        <v>0.67348990799999997</v>
      </c>
      <c r="F1203">
        <v>0</v>
      </c>
      <c r="G1203">
        <v>0</v>
      </c>
      <c r="H1203">
        <v>0.0034163999343157893</v>
      </c>
      <c r="I1203" t="s">
        <v>137</v>
      </c>
      <c r="J1203">
        <v>0.023631224842105263</v>
      </c>
      <c r="K1203">
        <v>0.70053753277642106</v>
      </c>
      <c r="L1203">
        <v>0.32908379657960268</v>
      </c>
      <c r="M1203">
        <v>1.974502779477616</v>
      </c>
      <c r="N1203">
        <v>2.6750403122540369</v>
      </c>
      <c r="O1203" t="s">
        <v>90</v>
      </c>
      <c r="P1203">
        <v>0</v>
      </c>
      <c r="Q1203" t="s">
        <v>90</v>
      </c>
      <c r="R1203">
        <v>0</v>
      </c>
      <c r="S1203" t="s">
        <v>90</v>
      </c>
      <c r="T1203">
        <v>0</v>
      </c>
      <c r="U1203" t="s">
        <v>90</v>
      </c>
      <c r="V1203">
        <v>0</v>
      </c>
      <c r="W1203" t="s">
        <v>90</v>
      </c>
      <c r="X1203">
        <v>0</v>
      </c>
      <c r="Y1203">
        <v>2.6750403122540369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111</v>
      </c>
      <c r="AF1203">
        <v>710</v>
      </c>
      <c r="AG1203">
        <v>332</v>
      </c>
      <c r="AI1203">
        <v>0.55900000000000005</v>
      </c>
      <c r="AJ1203" t="s">
        <v>685</v>
      </c>
      <c r="AK1203" t="s">
        <v>501</v>
      </c>
      <c r="AL1203" t="s">
        <v>4693</v>
      </c>
      <c r="AM1203">
        <v>200000</v>
      </c>
      <c r="AN1203" t="s">
        <v>92</v>
      </c>
      <c r="AO1203">
        <v>1</v>
      </c>
      <c r="AP1203">
        <v>0</v>
      </c>
      <c r="AQ1203">
        <v>16666.666666666668</v>
      </c>
      <c r="AR1203" t="s">
        <v>4694</v>
      </c>
      <c r="AS1203" t="s">
        <v>78</v>
      </c>
      <c r="AX1203" t="s">
        <v>79</v>
      </c>
      <c r="AY1203" t="s">
        <v>137</v>
      </c>
      <c r="AZ1203">
        <v>0</v>
      </c>
      <c r="BA1203" t="s">
        <v>137</v>
      </c>
      <c r="BB1203">
        <v>0</v>
      </c>
      <c r="BE1203">
        <v>0</v>
      </c>
    </row>
    <row r="1204" spans="1:58" ht="12.75">
      <c r="A1204" s="2" t="str">
        <f>HYPERLINK("https://ibp.a2mac1.com/costing(costing:projects/details/8191/part/5388352)","Upper Band")</f>
        <v>Upper Band</v>
      </c>
      <c r="B1204">
        <v>5388352</v>
      </c>
      <c r="C1204">
        <v>5388173</v>
      </c>
      <c r="E1204">
        <v>1.02633563025</v>
      </c>
      <c r="F1204">
        <v>0</v>
      </c>
      <c r="G1204">
        <v>0</v>
      </c>
      <c r="H1204">
        <v>0.0052062739740000004</v>
      </c>
      <c r="I1204" t="s">
        <v>137</v>
      </c>
      <c r="J1204">
        <v>0.036011776500000002</v>
      </c>
      <c r="K1204">
        <v>1.067553680724</v>
      </c>
      <c r="L1204">
        <v>0.30259254060512053</v>
      </c>
      <c r="M1204">
        <v>1.815555243630723</v>
      </c>
      <c r="N1204">
        <v>2.883108924354723</v>
      </c>
      <c r="O1204" t="s">
        <v>90</v>
      </c>
      <c r="P1204">
        <v>0</v>
      </c>
      <c r="Q1204" t="s">
        <v>90</v>
      </c>
      <c r="R1204">
        <v>0</v>
      </c>
      <c r="S1204" t="s">
        <v>90</v>
      </c>
      <c r="T1204">
        <v>0</v>
      </c>
      <c r="U1204" t="s">
        <v>90</v>
      </c>
      <c r="V1204">
        <v>0</v>
      </c>
      <c r="W1204" t="s">
        <v>90</v>
      </c>
      <c r="X1204">
        <v>0</v>
      </c>
      <c r="Y1204">
        <v>2.883108924354723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101</v>
      </c>
      <c r="AF1204">
        <v>934</v>
      </c>
      <c r="AG1204">
        <v>225</v>
      </c>
      <c r="AI1204">
        <v>0.51300000000000001</v>
      </c>
      <c r="AJ1204" t="s">
        <v>4681</v>
      </c>
      <c r="AK1204" t="s">
        <v>501</v>
      </c>
      <c r="AL1204" t="s">
        <v>4699</v>
      </c>
      <c r="AM1204">
        <v>200000</v>
      </c>
      <c r="AN1204" t="s">
        <v>92</v>
      </c>
      <c r="AO1204">
        <v>1</v>
      </c>
      <c r="AP1204">
        <v>0</v>
      </c>
      <c r="AQ1204">
        <v>16666.666666666668</v>
      </c>
      <c r="AR1204" t="s">
        <v>4700</v>
      </c>
      <c r="AS1204" t="s">
        <v>78</v>
      </c>
      <c r="AX1204" t="s">
        <v>79</v>
      </c>
      <c r="AY1204" t="s">
        <v>137</v>
      </c>
      <c r="AZ1204">
        <v>0</v>
      </c>
      <c r="BA1204" t="s">
        <v>137</v>
      </c>
      <c r="BB1204">
        <v>0</v>
      </c>
      <c r="BE1204">
        <v>0</v>
      </c>
    </row>
    <row r="1205" spans="1:58" ht="12.75">
      <c r="A1205" s="2" t="str">
        <f>HYPERLINK("https://ibp.a2mac1.com/costing(costing:projects/details/8191/part/5388353)","Door Map Pocket Bottom")</f>
        <v>Door Map Pocket Bottom</v>
      </c>
      <c r="B1205">
        <v>5388353</v>
      </c>
      <c r="C1205">
        <v>5388173</v>
      </c>
      <c r="E1205">
        <v>0.601063134</v>
      </c>
      <c r="F1205">
        <v>0</v>
      </c>
      <c r="G1205">
        <v>0</v>
      </c>
      <c r="H1205">
        <v>0.0030490019629473685</v>
      </c>
      <c r="I1205" t="s">
        <v>137</v>
      </c>
      <c r="J1205">
        <v>0.021089934526315791</v>
      </c>
      <c r="K1205">
        <v>0.62520207048926313</v>
      </c>
      <c r="L1205">
        <v>0.026309773348281128</v>
      </c>
      <c r="M1205">
        <v>0.15785864008968678</v>
      </c>
      <c r="N1205">
        <v>0.78306071057894988</v>
      </c>
      <c r="O1205" t="s">
        <v>90</v>
      </c>
      <c r="P1205">
        <v>0</v>
      </c>
      <c r="Q1205" t="s">
        <v>90</v>
      </c>
      <c r="R1205">
        <v>0</v>
      </c>
      <c r="S1205" t="s">
        <v>90</v>
      </c>
      <c r="T1205">
        <v>0</v>
      </c>
      <c r="U1205" t="s">
        <v>90</v>
      </c>
      <c r="V1205">
        <v>0</v>
      </c>
      <c r="W1205" t="s">
        <v>90</v>
      </c>
      <c r="X1205">
        <v>0</v>
      </c>
      <c r="Y1205">
        <v>0.78306071057894988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108</v>
      </c>
      <c r="AF1205">
        <v>804</v>
      </c>
      <c r="AG1205">
        <v>283</v>
      </c>
      <c r="AI1205">
        <v>0.56599999999999995</v>
      </c>
      <c r="AJ1205" t="s">
        <v>4681</v>
      </c>
      <c r="AK1205" t="s">
        <v>501</v>
      </c>
      <c r="AL1205" t="s">
        <v>1182</v>
      </c>
      <c r="AM1205">
        <v>200000</v>
      </c>
      <c r="AN1205" t="s">
        <v>92</v>
      </c>
      <c r="AO1205">
        <v>1</v>
      </c>
      <c r="AP1205">
        <v>0</v>
      </c>
      <c r="AQ1205">
        <v>16666.666666666668</v>
      </c>
      <c r="AR1205" t="s">
        <v>4705</v>
      </c>
      <c r="AS1205" t="s">
        <v>78</v>
      </c>
      <c r="AX1205" t="s">
        <v>79</v>
      </c>
      <c r="AY1205" t="s">
        <v>137</v>
      </c>
      <c r="AZ1205">
        <v>0</v>
      </c>
      <c r="BA1205" t="s">
        <v>137</v>
      </c>
      <c r="BB1205">
        <v>0</v>
      </c>
      <c r="BE1205">
        <v>0</v>
      </c>
    </row>
    <row r="1206" spans="1:58" ht="12.75">
      <c r="A1206" s="2" t="str">
        <f>HYPERLINK("https://ibp.a2mac1.com/costing(costing:projects/details/8191/part/5388354)","Locking Indicator Trim")</f>
        <v>Locking Indicator Trim</v>
      </c>
      <c r="B1206">
        <v>5388354</v>
      </c>
      <c r="C1206">
        <v>5388173</v>
      </c>
      <c r="E1206">
        <v>0.0026536335</v>
      </c>
      <c r="F1206">
        <v>0</v>
      </c>
      <c r="G1206">
        <v>0</v>
      </c>
      <c r="H1206">
        <v>1.3461038105263157E-05</v>
      </c>
      <c r="I1206" t="s">
        <v>137</v>
      </c>
      <c r="J1206">
        <v>9.3109947368421049E-05</v>
      </c>
      <c r="K1206">
        <v>0.0027602044854736843</v>
      </c>
      <c r="L1206">
        <v>4.6417458453793706E-05</v>
      </c>
      <c r="M1206">
        <v>0.00027850475072276222</v>
      </c>
      <c r="N1206">
        <v>0.0030387092361964466</v>
      </c>
      <c r="O1206" t="s">
        <v>90</v>
      </c>
      <c r="P1206">
        <v>0</v>
      </c>
      <c r="Q1206" t="s">
        <v>90</v>
      </c>
      <c r="R1206">
        <v>0</v>
      </c>
      <c r="S1206" t="s">
        <v>90</v>
      </c>
      <c r="T1206">
        <v>0</v>
      </c>
      <c r="U1206" t="s">
        <v>90</v>
      </c>
      <c r="V1206">
        <v>0</v>
      </c>
      <c r="W1206" t="s">
        <v>90</v>
      </c>
      <c r="X1206">
        <v>0</v>
      </c>
      <c r="Y1206">
        <v>0.0030387092361964466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15</v>
      </c>
      <c r="AF1206">
        <v>15</v>
      </c>
      <c r="AG1206">
        <v>13</v>
      </c>
      <c r="AI1206">
        <v>0.001</v>
      </c>
      <c r="AK1206" t="s">
        <v>501</v>
      </c>
      <c r="AL1206" t="s">
        <v>1288</v>
      </c>
      <c r="AM1206">
        <v>200000</v>
      </c>
      <c r="AN1206" t="s">
        <v>92</v>
      </c>
      <c r="AO1206">
        <v>1</v>
      </c>
      <c r="AP1206">
        <v>0</v>
      </c>
      <c r="AQ1206">
        <v>16666.666666666668</v>
      </c>
      <c r="AR1206" t="s">
        <v>4708</v>
      </c>
      <c r="AS1206" t="s">
        <v>78</v>
      </c>
      <c r="AX1206" t="s">
        <v>79</v>
      </c>
      <c r="AY1206" t="s">
        <v>137</v>
      </c>
      <c r="AZ1206">
        <v>0</v>
      </c>
      <c r="BA1206" t="s">
        <v>137</v>
      </c>
      <c r="BB1206">
        <v>0</v>
      </c>
      <c r="BE1206">
        <v>0</v>
      </c>
    </row>
    <row r="1207" spans="1:58" ht="12.75">
      <c r="A1207" s="2" t="str">
        <f>HYPERLINK("https://ibp.a2mac1.com/costing(costing:projects/details/8191/part/5388745)","Opening Control")</f>
        <v>Opening Control</v>
      </c>
      <c r="B1207">
        <v>5388745</v>
      </c>
      <c r="C1207">
        <v>5388362</v>
      </c>
      <c r="E1207">
        <v>0.072233279999999997</v>
      </c>
      <c r="F1207">
        <v>0</v>
      </c>
      <c r="G1207">
        <v>0</v>
      </c>
      <c r="H1207">
        <v>0.00036641643789473685</v>
      </c>
      <c r="I1207" t="s">
        <v>137</v>
      </c>
      <c r="J1207">
        <v>0.002534501052631579</v>
      </c>
      <c r="K1207">
        <v>0.075134197490526314</v>
      </c>
      <c r="L1207">
        <v>0.0013926257515536702</v>
      </c>
      <c r="M1207">
        <v>0.0083557545093220203</v>
      </c>
      <c r="N1207">
        <v>0.083489951999848336</v>
      </c>
      <c r="O1207" t="s">
        <v>138</v>
      </c>
      <c r="P1207">
        <v>0.0045080518494315788</v>
      </c>
      <c r="Q1207" t="s">
        <v>138</v>
      </c>
      <c r="R1207">
        <v>0.0005013452705593213</v>
      </c>
      <c r="S1207" t="s">
        <v>139</v>
      </c>
      <c r="T1207">
        <v>0.010018794239981801</v>
      </c>
      <c r="U1207" t="s">
        <v>90</v>
      </c>
      <c r="V1207">
        <v>0</v>
      </c>
      <c r="W1207" t="s">
        <v>90</v>
      </c>
      <c r="X1207">
        <v>0</v>
      </c>
      <c r="Y1207">
        <v>0.098518143359821037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43</v>
      </c>
      <c r="AF1207">
        <v>124</v>
      </c>
      <c r="AG1207">
        <v>31</v>
      </c>
      <c r="AI1207">
        <v>0.03</v>
      </c>
      <c r="AK1207" t="s">
        <v>4605</v>
      </c>
      <c r="AL1207" t="s">
        <v>1275</v>
      </c>
      <c r="AM1207">
        <v>200000</v>
      </c>
      <c r="AN1207" t="s">
        <v>76</v>
      </c>
      <c r="AO1207">
        <v>1</v>
      </c>
      <c r="AP1207">
        <v>0</v>
      </c>
      <c r="AQ1207">
        <v>16666.666666666668</v>
      </c>
      <c r="AR1207" t="s">
        <v>4716</v>
      </c>
      <c r="AS1207" t="s">
        <v>78</v>
      </c>
      <c r="AX1207" t="s">
        <v>79</v>
      </c>
      <c r="AY1207" t="s">
        <v>137</v>
      </c>
      <c r="AZ1207">
        <v>0</v>
      </c>
      <c r="BA1207" t="s">
        <v>137</v>
      </c>
      <c r="BB1207">
        <v>0</v>
      </c>
      <c r="BE1207">
        <v>0</v>
      </c>
    </row>
    <row r="1208" spans="1:58" ht="12.75">
      <c r="A1208" s="2" t="str">
        <f>HYPERLINK("https://ibp.a2mac1.com/costing(costing:projects/details/8191/part/5388746)","Opening Control Support")</f>
        <v>Opening Control Support</v>
      </c>
      <c r="B1208">
        <v>5388746</v>
      </c>
      <c r="C1208">
        <v>5388362</v>
      </c>
      <c r="E1208">
        <v>0.21731213610386049</v>
      </c>
      <c r="F1208">
        <v>0</v>
      </c>
      <c r="G1208">
        <v>0</v>
      </c>
      <c r="H1208">
        <v>0.00044810231988837119</v>
      </c>
      <c r="I1208" t="s">
        <v>137</v>
      </c>
      <c r="J1208">
        <v>0.0076133889301422284</v>
      </c>
      <c r="K1208">
        <v>0.2253736273538911</v>
      </c>
      <c r="L1208">
        <v>0.021195704989821807</v>
      </c>
      <c r="M1208">
        <v>0.12717422993893085</v>
      </c>
      <c r="N1208">
        <v>0.35254785729282195</v>
      </c>
      <c r="O1208" t="s">
        <v>138</v>
      </c>
      <c r="P1208">
        <v>0.013522417641233466</v>
      </c>
      <c r="Q1208" t="s">
        <v>138</v>
      </c>
      <c r="R1208">
        <v>0.0076304537963358511</v>
      </c>
      <c r="S1208" t="s">
        <v>139</v>
      </c>
      <c r="T1208">
        <v>0.042305742875138636</v>
      </c>
      <c r="U1208" t="s">
        <v>90</v>
      </c>
      <c r="V1208">
        <v>0</v>
      </c>
      <c r="W1208" t="s">
        <v>90</v>
      </c>
      <c r="X1208">
        <v>0</v>
      </c>
      <c r="Y1208">
        <v>0.41600647160552989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504</v>
      </c>
      <c r="AF1208">
        <v>51</v>
      </c>
      <c r="AG1208">
        <v>154</v>
      </c>
      <c r="AI1208">
        <v>0.152</v>
      </c>
      <c r="AJ1208" t="s">
        <v>685</v>
      </c>
      <c r="AK1208" t="s">
        <v>4605</v>
      </c>
      <c r="AL1208" t="s">
        <v>1275</v>
      </c>
      <c r="AM1208">
        <v>200000</v>
      </c>
      <c r="AN1208" t="s">
        <v>76</v>
      </c>
      <c r="AO1208">
        <v>1</v>
      </c>
      <c r="AP1208">
        <v>0</v>
      </c>
      <c r="AQ1208">
        <v>16666.666666666668</v>
      </c>
      <c r="AR1208" t="s">
        <v>4722</v>
      </c>
      <c r="AS1208" t="s">
        <v>78</v>
      </c>
      <c r="AX1208" t="s">
        <v>79</v>
      </c>
      <c r="AY1208" t="s">
        <v>137</v>
      </c>
      <c r="AZ1208">
        <v>0</v>
      </c>
      <c r="BA1208" t="s">
        <v>137</v>
      </c>
      <c r="BB1208">
        <v>0</v>
      </c>
      <c r="BE1208">
        <v>0</v>
      </c>
    </row>
    <row r="1209" spans="1:58" ht="12.75">
      <c r="A1209" s="2" t="str">
        <f>HYPERLINK("https://ibp.a2mac1.com/costing(costing:projects/details/8191/part/5388748)","Opening Control")</f>
        <v>Opening Control</v>
      </c>
      <c r="B1209">
        <v>5388748</v>
      </c>
      <c r="C1209">
        <v>5388363</v>
      </c>
      <c r="E1209">
        <v>0.20263788362206139</v>
      </c>
      <c r="F1209">
        <v>0</v>
      </c>
      <c r="G1209">
        <v>0</v>
      </c>
      <c r="H1209">
        <v>0.00041743404026144647</v>
      </c>
      <c r="I1209" t="s">
        <v>137</v>
      </c>
      <c r="J1209">
        <v>0.0070923259267721486</v>
      </c>
      <c r="K1209">
        <v>0.21014764358909496</v>
      </c>
      <c r="L1209">
        <v>0.016520807172407351</v>
      </c>
      <c r="M1209">
        <v>0.099124843034444091</v>
      </c>
      <c r="N1209">
        <v>0.30927248662353907</v>
      </c>
      <c r="O1209" t="s">
        <v>138</v>
      </c>
      <c r="P1209">
        <v>0.012608858615345699</v>
      </c>
      <c r="Q1209" t="s">
        <v>138</v>
      </c>
      <c r="R1209">
        <v>0.0059474905820666455</v>
      </c>
      <c r="S1209" t="s">
        <v>139</v>
      </c>
      <c r="T1209">
        <v>0.037112698394824686</v>
      </c>
      <c r="U1209" t="s">
        <v>90</v>
      </c>
      <c r="V1209">
        <v>0</v>
      </c>
      <c r="W1209" t="s">
        <v>90</v>
      </c>
      <c r="X1209">
        <v>0</v>
      </c>
      <c r="Y1209">
        <v>0.36494153421577608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41</v>
      </c>
      <c r="AF1209">
        <v>221</v>
      </c>
      <c r="AG1209">
        <v>84</v>
      </c>
      <c r="AI1209">
        <v>0.071999999999999995</v>
      </c>
      <c r="AJ1209" t="s">
        <v>685</v>
      </c>
      <c r="AK1209" t="s">
        <v>4605</v>
      </c>
      <c r="AL1209" t="s">
        <v>4730</v>
      </c>
      <c r="AM1209">
        <v>200000</v>
      </c>
      <c r="AN1209" t="s">
        <v>76</v>
      </c>
      <c r="AO1209">
        <v>1</v>
      </c>
      <c r="AP1209">
        <v>0</v>
      </c>
      <c r="AQ1209">
        <v>16666.666666666668</v>
      </c>
      <c r="AR1209" t="s">
        <v>4731</v>
      </c>
      <c r="AS1209" t="s">
        <v>78</v>
      </c>
      <c r="AX1209" t="s">
        <v>79</v>
      </c>
      <c r="AY1209" t="s">
        <v>137</v>
      </c>
      <c r="AZ1209">
        <v>0</v>
      </c>
      <c r="BA1209" t="s">
        <v>137</v>
      </c>
      <c r="BB1209">
        <v>0</v>
      </c>
      <c r="BE1209">
        <v>0</v>
      </c>
    </row>
    <row r="1210" spans="1:58" ht="12.75">
      <c r="A1210" s="2" t="str">
        <f>HYPERLINK("https://ibp.a2mac1.com/costing(costing:projects/details/8191/part/5388749)","Opening Control Support")</f>
        <v>Opening Control Support</v>
      </c>
      <c r="B1210">
        <v>5388749</v>
      </c>
      <c r="C1210">
        <v>5388363</v>
      </c>
      <c r="E1210">
        <v>0.41690611150191759</v>
      </c>
      <c r="F1210">
        <v>0</v>
      </c>
      <c r="G1210">
        <v>0</v>
      </c>
      <c r="H1210">
        <v>0.00085966940958310558</v>
      </c>
      <c r="I1210" t="s">
        <v>137</v>
      </c>
      <c r="J1210">
        <v>0.014606033657965384</v>
      </c>
      <c r="K1210">
        <v>0.43237181456946611</v>
      </c>
      <c r="L1210">
        <v>0.021048452147644357</v>
      </c>
      <c r="M1210">
        <v>0.12629071288586616</v>
      </c>
      <c r="N1210">
        <v>0.55866252745533229</v>
      </c>
      <c r="O1210" t="s">
        <v>138</v>
      </c>
      <c r="P1210">
        <v>0.025942308874167964</v>
      </c>
      <c r="Q1210" t="s">
        <v>138</v>
      </c>
      <c r="R1210">
        <v>0.0075774427731519689</v>
      </c>
      <c r="S1210" t="s">
        <v>139</v>
      </c>
      <c r="T1210">
        <v>0.067039503294639868</v>
      </c>
      <c r="U1210" t="s">
        <v>90</v>
      </c>
      <c r="V1210">
        <v>0</v>
      </c>
      <c r="W1210" t="s">
        <v>90</v>
      </c>
      <c r="X1210">
        <v>0</v>
      </c>
      <c r="Y1210">
        <v>0.65922178239729201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55</v>
      </c>
      <c r="AF1210">
        <v>274</v>
      </c>
      <c r="AG1210">
        <v>124</v>
      </c>
      <c r="AI1210">
        <v>0.21299999999999999</v>
      </c>
      <c r="AJ1210" t="s">
        <v>685</v>
      </c>
      <c r="AK1210" t="s">
        <v>4605</v>
      </c>
      <c r="AL1210" t="s">
        <v>4737</v>
      </c>
      <c r="AM1210">
        <v>200000</v>
      </c>
      <c r="AN1210" t="s">
        <v>76</v>
      </c>
      <c r="AO1210">
        <v>1</v>
      </c>
      <c r="AP1210">
        <v>0</v>
      </c>
      <c r="AQ1210">
        <v>16666.666666666668</v>
      </c>
      <c r="AR1210" t="s">
        <v>4738</v>
      </c>
      <c r="AS1210" t="s">
        <v>78</v>
      </c>
      <c r="AX1210" t="s">
        <v>79</v>
      </c>
      <c r="AY1210" t="s">
        <v>137</v>
      </c>
      <c r="AZ1210">
        <v>0</v>
      </c>
      <c r="BA1210" t="s">
        <v>137</v>
      </c>
      <c r="BB1210">
        <v>0</v>
      </c>
      <c r="BE1210">
        <v>0</v>
      </c>
    </row>
    <row r="1211" spans="1:58" ht="12.75">
      <c r="A1211" s="2" t="str">
        <f>HYPERLINK("https://ibp.a2mac1.com/costing(costing:projects/details/8191/part/5388750)","2nd Opening Control Support")</f>
        <v>2nd Opening Control Support</v>
      </c>
      <c r="B1211">
        <v>5388750</v>
      </c>
      <c r="C1211">
        <v>5388363</v>
      </c>
      <c r="E1211">
        <v>0.17250239910609633</v>
      </c>
      <c r="F1211">
        <v>0</v>
      </c>
      <c r="G1211">
        <v>0</v>
      </c>
      <c r="H1211">
        <v>0.00035570367404058785</v>
      </c>
      <c r="I1211" t="s">
        <v>137</v>
      </c>
      <c r="J1211">
        <v>0.0060435090249614442</v>
      </c>
      <c r="K1211">
        <v>0.17890161180509837</v>
      </c>
      <c r="L1211">
        <v>0.019665864559070736</v>
      </c>
      <c r="M1211">
        <v>0.11799518735442442</v>
      </c>
      <c r="N1211">
        <v>0.29689679915952277</v>
      </c>
      <c r="O1211" t="s">
        <v>138</v>
      </c>
      <c r="P1211">
        <v>0.010734096708305902</v>
      </c>
      <c r="Q1211" t="s">
        <v>138</v>
      </c>
      <c r="R1211">
        <v>0.0070797112412654649</v>
      </c>
      <c r="S1211" t="s">
        <v>139</v>
      </c>
      <c r="T1211">
        <v>0.035627615899142734</v>
      </c>
      <c r="U1211" t="s">
        <v>90</v>
      </c>
      <c r="V1211">
        <v>0</v>
      </c>
      <c r="W1211" t="s">
        <v>90</v>
      </c>
      <c r="X1211">
        <v>0</v>
      </c>
      <c r="Y1211">
        <v>0.35033822300823686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60</v>
      </c>
      <c r="AF1211">
        <v>247</v>
      </c>
      <c r="AG1211">
        <v>106</v>
      </c>
      <c r="AI1211">
        <v>0.079000000000000001</v>
      </c>
      <c r="AJ1211" t="s">
        <v>685</v>
      </c>
      <c r="AK1211" t="s">
        <v>4605</v>
      </c>
      <c r="AL1211" t="s">
        <v>1261</v>
      </c>
      <c r="AM1211">
        <v>200000</v>
      </c>
      <c r="AN1211" t="s">
        <v>76</v>
      </c>
      <c r="AO1211">
        <v>1</v>
      </c>
      <c r="AP1211">
        <v>0</v>
      </c>
      <c r="AQ1211">
        <v>16666.666666666668</v>
      </c>
      <c r="AR1211" t="s">
        <v>4744</v>
      </c>
      <c r="AS1211" t="s">
        <v>78</v>
      </c>
      <c r="AX1211" t="s">
        <v>79</v>
      </c>
      <c r="AY1211" t="s">
        <v>137</v>
      </c>
      <c r="AZ1211">
        <v>0</v>
      </c>
      <c r="BA1211" t="s">
        <v>137</v>
      </c>
      <c r="BB1211">
        <v>0</v>
      </c>
      <c r="BE1211">
        <v>0</v>
      </c>
    </row>
    <row r="1212" spans="1:58" ht="12.75">
      <c r="A1212" s="2" t="str">
        <f>HYPERLINK("https://ibp.a2mac1.com/costing(costing:projects/details/8191/part/5388751)","Bezel")</f>
        <v>Bezel</v>
      </c>
      <c r="B1212">
        <v>5388751</v>
      </c>
      <c r="C1212">
        <v>5388363</v>
      </c>
      <c r="E1212">
        <v>0.04815552</v>
      </c>
      <c r="F1212">
        <v>0</v>
      </c>
      <c r="G1212">
        <v>0</v>
      </c>
      <c r="H1212">
        <v>0.00024427762526315792</v>
      </c>
      <c r="I1212" t="s">
        <v>137</v>
      </c>
      <c r="J1212">
        <v>0.0016896673684210527</v>
      </c>
      <c r="K1212">
        <v>0.050089464993684212</v>
      </c>
      <c r="L1212">
        <v>0.00092839371990018039</v>
      </c>
      <c r="M1212">
        <v>0.0055703623194010825</v>
      </c>
      <c r="N1212">
        <v>0.055659827313085296</v>
      </c>
      <c r="O1212" t="s">
        <v>138</v>
      </c>
      <c r="P1212">
        <v>0.0030053678996210527</v>
      </c>
      <c r="Q1212" t="s">
        <v>138</v>
      </c>
      <c r="R1212">
        <v>0.00033422173916406491</v>
      </c>
      <c r="S1212" t="s">
        <v>139</v>
      </c>
      <c r="T1212">
        <v>0.0066791792775702354</v>
      </c>
      <c r="U1212" t="s">
        <v>90</v>
      </c>
      <c r="V1212">
        <v>0</v>
      </c>
      <c r="W1212" t="s">
        <v>90</v>
      </c>
      <c r="X1212">
        <v>0</v>
      </c>
      <c r="Y1212">
        <v>0.065678596229440639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30</v>
      </c>
      <c r="AF1212">
        <v>188</v>
      </c>
      <c r="AG1212">
        <v>37</v>
      </c>
      <c r="AI1212">
        <v>0.02</v>
      </c>
      <c r="AK1212" t="s">
        <v>4605</v>
      </c>
      <c r="AL1212" t="s">
        <v>1275</v>
      </c>
      <c r="AM1212">
        <v>200000</v>
      </c>
      <c r="AN1212" t="s">
        <v>76</v>
      </c>
      <c r="AO1212">
        <v>1</v>
      </c>
      <c r="AP1212">
        <v>0</v>
      </c>
      <c r="AQ1212">
        <v>16666.666666666668</v>
      </c>
      <c r="AR1212" t="s">
        <v>4749</v>
      </c>
      <c r="AS1212" t="s">
        <v>78</v>
      </c>
      <c r="AX1212" t="s">
        <v>79</v>
      </c>
      <c r="AY1212" t="s">
        <v>137</v>
      </c>
      <c r="AZ1212">
        <v>0</v>
      </c>
      <c r="BA1212" t="s">
        <v>137</v>
      </c>
      <c r="BB1212">
        <v>0</v>
      </c>
      <c r="BE1212">
        <v>0</v>
      </c>
    </row>
    <row r="1213" spans="1:58" ht="12.75">
      <c r="A1213" s="2" t="str">
        <f>HYPERLINK("https://ibp.a2mac1.com/costing(costing:projects/details/8191/part/5388752)","Welcome Light")</f>
        <v>Welcome Light</v>
      </c>
      <c r="B1213">
        <v>5388752</v>
      </c>
      <c r="C1213">
        <v>5388363</v>
      </c>
      <c r="E1213">
        <v>1.19956</v>
      </c>
      <c r="F1213">
        <v>0</v>
      </c>
      <c r="G1213">
        <v>0</v>
      </c>
      <c r="H1213">
        <v>0</v>
      </c>
      <c r="I1213" t="s">
        <v>74</v>
      </c>
      <c r="J1213">
        <v>0</v>
      </c>
      <c r="K1213">
        <v>1.19956</v>
      </c>
      <c r="L1213">
        <v>0</v>
      </c>
      <c r="M1213">
        <v>0</v>
      </c>
      <c r="N1213">
        <v>1.19956</v>
      </c>
      <c r="O1213" t="s">
        <v>74</v>
      </c>
      <c r="P1213">
        <v>0</v>
      </c>
      <c r="Q1213" t="s">
        <v>74</v>
      </c>
      <c r="R1213">
        <v>0</v>
      </c>
      <c r="S1213" t="s">
        <v>74</v>
      </c>
      <c r="T1213">
        <v>0</v>
      </c>
      <c r="U1213" t="s">
        <v>74</v>
      </c>
      <c r="V1213">
        <v>0</v>
      </c>
      <c r="W1213" t="s">
        <v>74</v>
      </c>
      <c r="X1213">
        <v>0</v>
      </c>
      <c r="Y1213">
        <v>1.19956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12</v>
      </c>
      <c r="AF1213">
        <v>76</v>
      </c>
      <c r="AG1213">
        <v>15</v>
      </c>
      <c r="AI1213">
        <v>0.001</v>
      </c>
      <c r="AK1213" t="s">
        <v>598</v>
      </c>
      <c r="AL1213" t="s">
        <v>4750</v>
      </c>
      <c r="AM1213">
        <v>200000</v>
      </c>
      <c r="AN1213" t="s">
        <v>76</v>
      </c>
      <c r="AO1213">
        <v>1</v>
      </c>
      <c r="AP1213">
        <v>0</v>
      </c>
      <c r="AQ1213">
        <v>16666.666666666668</v>
      </c>
      <c r="AR1213" t="s">
        <v>4751</v>
      </c>
      <c r="AS1213" t="s">
        <v>78</v>
      </c>
      <c r="AX1213" t="s">
        <v>79</v>
      </c>
      <c r="AY1213" t="s">
        <v>74</v>
      </c>
      <c r="AZ1213">
        <v>0</v>
      </c>
      <c r="BA1213" t="s">
        <v>74</v>
      </c>
      <c r="BB1213">
        <v>0</v>
      </c>
      <c r="BD1213">
        <v>1.19956</v>
      </c>
      <c r="BE1213">
        <v>0</v>
      </c>
    </row>
    <row r="1214" spans="1:58" ht="12.75">
      <c r="A1214" s="2" t="str">
        <f>HYPERLINK("https://ibp.a2mac1.com/costing(costing:projects/details/8191/part/5388753)","Unlocking Contactor")</f>
        <v>Unlocking Contactor</v>
      </c>
      <c r="B1214">
        <v>5388753</v>
      </c>
      <c r="C1214">
        <v>5388363</v>
      </c>
      <c r="E1214">
        <v>1.1072900000000001</v>
      </c>
      <c r="F1214">
        <v>0</v>
      </c>
      <c r="G1214">
        <v>0</v>
      </c>
      <c r="H1214">
        <v>0</v>
      </c>
      <c r="I1214" t="s">
        <v>74</v>
      </c>
      <c r="J1214">
        <v>0</v>
      </c>
      <c r="K1214">
        <v>1.1072900000000001</v>
      </c>
      <c r="L1214">
        <v>0</v>
      </c>
      <c r="M1214">
        <v>0</v>
      </c>
      <c r="N1214">
        <v>1.1072900000000001</v>
      </c>
      <c r="O1214" t="s">
        <v>74</v>
      </c>
      <c r="P1214">
        <v>0</v>
      </c>
      <c r="Q1214" t="s">
        <v>74</v>
      </c>
      <c r="R1214">
        <v>0</v>
      </c>
      <c r="S1214" t="s">
        <v>74</v>
      </c>
      <c r="T1214">
        <v>0</v>
      </c>
      <c r="U1214" t="s">
        <v>74</v>
      </c>
      <c r="V1214">
        <v>0</v>
      </c>
      <c r="W1214" t="s">
        <v>74</v>
      </c>
      <c r="X1214">
        <v>0</v>
      </c>
      <c r="Y1214">
        <v>1.1072900000000001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10</v>
      </c>
      <c r="AF1214">
        <v>143</v>
      </c>
      <c r="AG1214">
        <v>22</v>
      </c>
      <c r="AI1214">
        <v>0.001</v>
      </c>
      <c r="AK1214" t="s">
        <v>4605</v>
      </c>
      <c r="AL1214" t="s">
        <v>3705</v>
      </c>
      <c r="AM1214">
        <v>200000</v>
      </c>
      <c r="AN1214" t="s">
        <v>76</v>
      </c>
      <c r="AO1214">
        <v>1</v>
      </c>
      <c r="AP1214">
        <v>0</v>
      </c>
      <c r="AQ1214">
        <v>16666.666666666668</v>
      </c>
      <c r="AR1214" t="s">
        <v>4752</v>
      </c>
      <c r="AS1214" t="s">
        <v>78</v>
      </c>
      <c r="AX1214" t="s">
        <v>79</v>
      </c>
      <c r="AY1214" t="s">
        <v>74</v>
      </c>
      <c r="AZ1214">
        <v>0</v>
      </c>
      <c r="BA1214" t="s">
        <v>74</v>
      </c>
      <c r="BB1214">
        <v>0</v>
      </c>
      <c r="BD1214">
        <v>1.1072900000000001</v>
      </c>
      <c r="BE1214">
        <v>0</v>
      </c>
    </row>
    <row r="1215" spans="1:58" ht="12.75">
      <c r="A1215" s="2" t="str">
        <f>HYPERLINK("https://ibp.a2mac1.com/costing(costing:projects/details/8191/part/5388754)","Seal")</f>
        <v>Seal</v>
      </c>
      <c r="B1215">
        <v>5388754</v>
      </c>
      <c r="C1215">
        <v>5388363</v>
      </c>
      <c r="E1215">
        <v>0.00661156125</v>
      </c>
      <c r="F1215">
        <v>0</v>
      </c>
      <c r="G1215">
        <v>0</v>
      </c>
      <c r="H1215">
        <v>3.3538345789473684E-05</v>
      </c>
      <c r="I1215" t="s">
        <v>137</v>
      </c>
      <c r="J1215">
        <v>0.00023198460526315789</v>
      </c>
      <c r="K1215">
        <v>0.0068770842010526315</v>
      </c>
      <c r="L1215">
        <v>0.00023208817156155354</v>
      </c>
      <c r="M1215">
        <v>0.0013925290293693212</v>
      </c>
      <c r="N1215">
        <v>0.0082696132304219527</v>
      </c>
      <c r="O1215" t="s">
        <v>138</v>
      </c>
      <c r="P1215">
        <v>0.00041262505206315789</v>
      </c>
      <c r="Q1215" t="s">
        <v>138</v>
      </c>
      <c r="R1215">
        <v>8.3551741762159277E-05</v>
      </c>
      <c r="S1215" t="s">
        <v>139</v>
      </c>
      <c r="T1215">
        <v>0.00099235358765063439</v>
      </c>
      <c r="U1215" t="s">
        <v>90</v>
      </c>
      <c r="V1215">
        <v>0</v>
      </c>
      <c r="W1215" t="s">
        <v>90</v>
      </c>
      <c r="X1215">
        <v>0</v>
      </c>
      <c r="Y1215">
        <v>0.0097581436118979042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12</v>
      </c>
      <c r="AF1215">
        <v>247</v>
      </c>
      <c r="AG1215">
        <v>61</v>
      </c>
      <c r="AI1215">
        <v>0.005</v>
      </c>
      <c r="AK1215" t="s">
        <v>4605</v>
      </c>
      <c r="AL1215" t="s">
        <v>4757</v>
      </c>
      <c r="AM1215">
        <v>200000</v>
      </c>
      <c r="AN1215" t="s">
        <v>76</v>
      </c>
      <c r="AO1215">
        <v>1</v>
      </c>
      <c r="AP1215">
        <v>0</v>
      </c>
      <c r="AQ1215">
        <v>16666.666666666668</v>
      </c>
      <c r="AR1215" t="s">
        <v>4758</v>
      </c>
      <c r="AS1215" t="s">
        <v>78</v>
      </c>
      <c r="AX1215" t="s">
        <v>79</v>
      </c>
      <c r="AY1215" t="s">
        <v>137</v>
      </c>
      <c r="AZ1215">
        <v>0</v>
      </c>
      <c r="BA1215" t="s">
        <v>137</v>
      </c>
      <c r="BB1215">
        <v>0</v>
      </c>
      <c r="BE1215">
        <v>0</v>
      </c>
    </row>
    <row r="1216" spans="1:58" ht="12.75">
      <c r="A1216" s="2" t="str">
        <f>HYPERLINK("https://ibp.a2mac1.com/costing(costing:projects/details/8191/part/5388356)","Door Latch")</f>
        <v>Door Latch</v>
      </c>
      <c r="B1216">
        <v>5388356</v>
      </c>
      <c r="C1216">
        <v>5388174</v>
      </c>
      <c r="E1216">
        <v>0</v>
      </c>
      <c r="F1216">
        <v>4.3797994800856248</v>
      </c>
      <c r="G1216">
        <v>0</v>
      </c>
      <c r="H1216">
        <v>0</v>
      </c>
      <c r="I1216" t="s">
        <v>137</v>
      </c>
      <c r="J1216">
        <v>0</v>
      </c>
      <c r="K1216">
        <v>4.5330924618886224</v>
      </c>
      <c r="L1216">
        <v>0.10844100670092785</v>
      </c>
      <c r="M1216">
        <v>0.65064604020556704</v>
      </c>
      <c r="N1216">
        <v>5.1837385020941893</v>
      </c>
      <c r="O1216" t="s">
        <v>138</v>
      </c>
      <c r="P1216">
        <v>0.27198554771331734</v>
      </c>
      <c r="Q1216" t="s">
        <v>138</v>
      </c>
      <c r="R1216">
        <v>0.039038762412334026</v>
      </c>
      <c r="S1216" t="s">
        <v>139</v>
      </c>
      <c r="T1216">
        <v>0.6220486202513027</v>
      </c>
      <c r="U1216" t="s">
        <v>90</v>
      </c>
      <c r="V1216">
        <v>0</v>
      </c>
      <c r="W1216" t="s">
        <v>90</v>
      </c>
      <c r="X1216">
        <v>0</v>
      </c>
      <c r="Y1216">
        <v>6.1168114324711427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143</v>
      </c>
      <c r="AF1216">
        <v>83</v>
      </c>
      <c r="AG1216">
        <v>190</v>
      </c>
      <c r="AI1216">
        <v>0.73799999999999999</v>
      </c>
      <c r="AJ1216" t="s">
        <v>4764</v>
      </c>
      <c r="AK1216" t="s">
        <v>4765</v>
      </c>
      <c r="AL1216" t="s">
        <v>4766</v>
      </c>
      <c r="AM1216">
        <v>200000</v>
      </c>
      <c r="AN1216" t="s">
        <v>76</v>
      </c>
      <c r="AO1216">
        <v>1</v>
      </c>
      <c r="AP1216">
        <v>0</v>
      </c>
      <c r="AQ1216">
        <v>16666.666666666668</v>
      </c>
      <c r="AR1216" t="s">
        <v>4767</v>
      </c>
      <c r="AS1216" t="s">
        <v>78</v>
      </c>
      <c r="AX1216" t="s">
        <v>79</v>
      </c>
      <c r="AY1216" t="s">
        <v>137</v>
      </c>
      <c r="AZ1216">
        <v>0.15329298180299689</v>
      </c>
      <c r="BA1216" t="s">
        <v>137</v>
      </c>
      <c r="BB1216">
        <v>0</v>
      </c>
      <c r="BE1216">
        <v>0</v>
      </c>
    </row>
    <row r="1217" spans="1:58" ht="12.75">
      <c r="A1217" s="2" t="str">
        <f>HYPERLINK("https://ibp.a2mac1.com/costing(costing:projects/details/8191/part/5388357)","Door Striker")</f>
        <v>Door Striker</v>
      </c>
      <c r="B1217">
        <v>5388357</v>
      </c>
      <c r="C1217">
        <v>5388174</v>
      </c>
      <c r="E1217">
        <v>0.079468999999999998</v>
      </c>
      <c r="F1217">
        <v>0</v>
      </c>
      <c r="G1217">
        <v>0</v>
      </c>
      <c r="H1217">
        <v>0.0006200328571428572</v>
      </c>
      <c r="I1217" t="s">
        <v>137</v>
      </c>
      <c r="J1217">
        <v>0.0030565000000000002</v>
      </c>
      <c r="K1217">
        <v>0.083145532857142851</v>
      </c>
      <c r="L1217">
        <v>0.01012447902495087</v>
      </c>
      <c r="M1217">
        <v>0.06074687414970522</v>
      </c>
      <c r="N1217">
        <v>0.14389240700684808</v>
      </c>
      <c r="O1217" t="s">
        <v>138</v>
      </c>
      <c r="P1217">
        <v>0.0049887319714285719</v>
      </c>
      <c r="Q1217" t="s">
        <v>138</v>
      </c>
      <c r="R1217">
        <v>0.003644812448982313</v>
      </c>
      <c r="S1217" t="s">
        <v>139</v>
      </c>
      <c r="T1217">
        <v>0.01726708884082177</v>
      </c>
      <c r="U1217" t="s">
        <v>90</v>
      </c>
      <c r="V1217">
        <v>0</v>
      </c>
      <c r="W1217" t="s">
        <v>90</v>
      </c>
      <c r="X1217">
        <v>0</v>
      </c>
      <c r="Y1217">
        <v>0.16979304026808073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34</v>
      </c>
      <c r="AF1217">
        <v>48</v>
      </c>
      <c r="AG1217">
        <v>67</v>
      </c>
      <c r="AI1217">
        <v>0.098000000000000004</v>
      </c>
      <c r="AJ1217" t="s">
        <v>685</v>
      </c>
      <c r="AK1217" t="s">
        <v>4605</v>
      </c>
      <c r="AL1217" t="s">
        <v>720</v>
      </c>
      <c r="AM1217">
        <v>200000</v>
      </c>
      <c r="AN1217" t="s">
        <v>76</v>
      </c>
      <c r="AO1217">
        <v>1</v>
      </c>
      <c r="AP1217">
        <v>0</v>
      </c>
      <c r="AQ1217">
        <v>16666.666666666668</v>
      </c>
      <c r="AR1217" t="s">
        <v>4775</v>
      </c>
      <c r="AS1217" t="s">
        <v>78</v>
      </c>
      <c r="AX1217" t="s">
        <v>79</v>
      </c>
      <c r="AY1217" t="s">
        <v>137</v>
      </c>
      <c r="AZ1217">
        <v>0</v>
      </c>
      <c r="BA1217" t="s">
        <v>137</v>
      </c>
      <c r="BB1217">
        <v>0</v>
      </c>
      <c r="BE1217">
        <v>0</v>
      </c>
    </row>
    <row r="1218" spans="1:58" ht="12.75">
      <c r="A1218" s="2" t="str">
        <f>HYPERLINK("https://ibp.a2mac1.com/costing(costing:projects/details/8191/part/5388358)","Lock Cylinder")</f>
        <v>Lock Cylinder</v>
      </c>
      <c r="B1218">
        <v>5388358</v>
      </c>
      <c r="C1218">
        <v>5388174</v>
      </c>
      <c r="E1218">
        <v>0.49950893666666668</v>
      </c>
      <c r="F1218">
        <v>0</v>
      </c>
      <c r="G1218">
        <v>0</v>
      </c>
      <c r="H1218">
        <v>0.0026056857933333334</v>
      </c>
      <c r="I1218" t="s">
        <v>137</v>
      </c>
      <c r="J1218">
        <v>0.018023518333333332</v>
      </c>
      <c r="K1218">
        <v>0.52013814079333331</v>
      </c>
      <c r="L1218">
        <v>0.0022916812920044903</v>
      </c>
      <c r="M1218">
        <v>0.01375008775202694</v>
      </c>
      <c r="N1218">
        <v>0.53388822854536022</v>
      </c>
      <c r="O1218" t="s">
        <v>138</v>
      </c>
      <c r="P1218">
        <v>0.031208288447599999</v>
      </c>
      <c r="Q1218" t="s">
        <v>138</v>
      </c>
      <c r="R1218">
        <v>0.00082500526512161647</v>
      </c>
      <c r="S1218" t="s">
        <v>139</v>
      </c>
      <c r="T1218">
        <v>0.06406658742544323</v>
      </c>
      <c r="U1218" t="s">
        <v>90</v>
      </c>
      <c r="V1218">
        <v>0</v>
      </c>
      <c r="W1218" t="s">
        <v>90</v>
      </c>
      <c r="X1218">
        <v>0</v>
      </c>
      <c r="Y1218">
        <v>0.62998810968352514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108</v>
      </c>
      <c r="AF1218">
        <v>36</v>
      </c>
      <c r="AG1218">
        <v>32</v>
      </c>
      <c r="AI1218">
        <v>0.165</v>
      </c>
      <c r="AK1218" t="s">
        <v>4765</v>
      </c>
      <c r="AL1218" t="s">
        <v>4780</v>
      </c>
      <c r="AM1218">
        <v>200000</v>
      </c>
      <c r="AN1218" t="s">
        <v>76</v>
      </c>
      <c r="AO1218">
        <v>1</v>
      </c>
      <c r="AP1218">
        <v>0</v>
      </c>
      <c r="AQ1218">
        <v>16666.666666666668</v>
      </c>
      <c r="AR1218" t="s">
        <v>4781</v>
      </c>
      <c r="AS1218" t="s">
        <v>78</v>
      </c>
      <c r="AX1218" t="s">
        <v>79</v>
      </c>
      <c r="AY1218" t="s">
        <v>137</v>
      </c>
      <c r="AZ1218">
        <v>0</v>
      </c>
      <c r="BA1218" t="s">
        <v>137</v>
      </c>
      <c r="BB1218">
        <v>0</v>
      </c>
      <c r="BE1218">
        <v>0</v>
      </c>
    </row>
    <row r="1219" spans="1:58" ht="12.75">
      <c r="A1219" s="2" t="str">
        <f>HYPERLINK("https://ibp.a2mac1.com/costing(costing:projects/details/8191/part/5388359)","Lock Cylinder Support")</f>
        <v>Lock Cylinder Support</v>
      </c>
      <c r="B1219">
        <v>5388359</v>
      </c>
      <c r="C1219">
        <v>5388174</v>
      </c>
      <c r="E1219">
        <v>0.045236199999999997</v>
      </c>
      <c r="F1219">
        <v>0</v>
      </c>
      <c r="G1219">
        <v>0</v>
      </c>
      <c r="H1219">
        <v>0.00024745424</v>
      </c>
      <c r="I1219" t="s">
        <v>137</v>
      </c>
      <c r="J1219">
        <v>0.0017116399999999999</v>
      </c>
      <c r="K1219">
        <v>0.047195294239999998</v>
      </c>
      <c r="L1219">
        <v>0.00048337848733072581</v>
      </c>
      <c r="M1219">
        <v>0.0029002709239843547</v>
      </c>
      <c r="N1219">
        <v>0.050095565163984355</v>
      </c>
      <c r="O1219" t="s">
        <v>138</v>
      </c>
      <c r="P1219">
        <v>0.0028317176544</v>
      </c>
      <c r="Q1219" t="s">
        <v>138</v>
      </c>
      <c r="R1219">
        <v>0.0001740162554390613</v>
      </c>
      <c r="S1219" t="s">
        <v>139</v>
      </c>
      <c r="T1219">
        <v>0.0060114678196781226</v>
      </c>
      <c r="U1219" t="s">
        <v>90</v>
      </c>
      <c r="V1219">
        <v>0</v>
      </c>
      <c r="W1219" t="s">
        <v>90</v>
      </c>
      <c r="X1219">
        <v>0</v>
      </c>
      <c r="Y1219">
        <v>0.059112766893501541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32</v>
      </c>
      <c r="AF1219">
        <v>111</v>
      </c>
      <c r="AG1219">
        <v>47</v>
      </c>
      <c r="AI1219">
        <v>0.06</v>
      </c>
      <c r="AK1219" t="s">
        <v>4605</v>
      </c>
      <c r="AL1219" t="s">
        <v>720</v>
      </c>
      <c r="AM1219">
        <v>200000</v>
      </c>
      <c r="AN1219" t="s">
        <v>76</v>
      </c>
      <c r="AO1219">
        <v>1</v>
      </c>
      <c r="AP1219">
        <v>0</v>
      </c>
      <c r="AQ1219">
        <v>16666.666666666668</v>
      </c>
      <c r="AR1219" t="s">
        <v>4784</v>
      </c>
      <c r="AS1219" t="s">
        <v>78</v>
      </c>
      <c r="AX1219" t="s">
        <v>79</v>
      </c>
      <c r="AY1219" t="s">
        <v>137</v>
      </c>
      <c r="AZ1219">
        <v>0</v>
      </c>
      <c r="BA1219" t="s">
        <v>137</v>
      </c>
      <c r="BB1219">
        <v>0</v>
      </c>
      <c r="BE1219">
        <v>0</v>
      </c>
    </row>
    <row r="1220" spans="1:58" ht="12.75">
      <c r="A1220" s="2" t="str">
        <f>HYPERLINK("https://ibp.a2mac1.com/costing(costing:projects/details/8191/part/5388360)","Lock Cylinder Trim Cover")</f>
        <v>Lock Cylinder Trim Cover</v>
      </c>
      <c r="B1220">
        <v>5388360</v>
      </c>
      <c r="C1220">
        <v>5388174</v>
      </c>
      <c r="E1220">
        <v>0.021030206719728436</v>
      </c>
      <c r="F1220">
        <v>0</v>
      </c>
      <c r="G1220">
        <v>0</v>
      </c>
      <c r="H1220">
        <v>4.3364740634358503E-05</v>
      </c>
      <c r="I1220" t="s">
        <v>137</v>
      </c>
      <c r="J1220">
        <v>0.00073677957388473185</v>
      </c>
      <c r="K1220">
        <v>0.021810351034247527</v>
      </c>
      <c r="L1220">
        <v>0.018277838340669761</v>
      </c>
      <c r="M1220">
        <v>0.10966703004401855</v>
      </c>
      <c r="N1220">
        <v>0.13147738107826609</v>
      </c>
      <c r="O1220" t="s">
        <v>138</v>
      </c>
      <c r="P1220">
        <v>0.0013086210620548515</v>
      </c>
      <c r="Q1220" t="s">
        <v>138</v>
      </c>
      <c r="R1220">
        <v>0.0065800218026411134</v>
      </c>
      <c r="S1220" t="s">
        <v>139</v>
      </c>
      <c r="T1220">
        <v>0.015777285729391931</v>
      </c>
      <c r="U1220" t="s">
        <v>90</v>
      </c>
      <c r="V1220">
        <v>0</v>
      </c>
      <c r="W1220" t="s">
        <v>90</v>
      </c>
      <c r="X1220">
        <v>0</v>
      </c>
      <c r="Y1220">
        <v>0.15514330967235399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15</v>
      </c>
      <c r="AF1220">
        <v>53</v>
      </c>
      <c r="AG1220">
        <v>49</v>
      </c>
      <c r="AI1220">
        <v>0.0089999999999999993</v>
      </c>
      <c r="AJ1220" t="s">
        <v>685</v>
      </c>
      <c r="AK1220" t="s">
        <v>4605</v>
      </c>
      <c r="AL1220" t="s">
        <v>1275</v>
      </c>
      <c r="AM1220">
        <v>200000</v>
      </c>
      <c r="AN1220" t="s">
        <v>76</v>
      </c>
      <c r="AO1220">
        <v>1</v>
      </c>
      <c r="AP1220">
        <v>0</v>
      </c>
      <c r="AQ1220">
        <v>16666.666666666668</v>
      </c>
      <c r="AR1220" t="s">
        <v>4789</v>
      </c>
      <c r="AS1220" t="s">
        <v>78</v>
      </c>
      <c r="AX1220" t="s">
        <v>79</v>
      </c>
      <c r="AY1220" t="s">
        <v>137</v>
      </c>
      <c r="AZ1220">
        <v>0</v>
      </c>
      <c r="BA1220" t="s">
        <v>137</v>
      </c>
      <c r="BB1220">
        <v>0</v>
      </c>
      <c r="BE1220">
        <v>0</v>
      </c>
    </row>
    <row r="1221" spans="1:58" ht="12.75">
      <c r="A1221" s="2" t="str">
        <f>HYPERLINK("https://ibp.a2mac1.com/costing(costing:projects/details/8191/part/5388361)","Lock Cylinder Mechanism")</f>
        <v>Lock Cylinder Mechanism</v>
      </c>
      <c r="B1221">
        <v>5388361</v>
      </c>
      <c r="C1221">
        <v>5388174</v>
      </c>
      <c r="E1221">
        <v>0.026387783333333335</v>
      </c>
      <c r="F1221">
        <v>0</v>
      </c>
      <c r="G1221">
        <v>0</v>
      </c>
      <c r="H1221">
        <v>0.00014434830666666668</v>
      </c>
      <c r="I1221" t="s">
        <v>137</v>
      </c>
      <c r="J1221">
        <v>0.00099845666666666675</v>
      </c>
      <c r="K1221">
        <v>0.027530588306666666</v>
      </c>
      <c r="L1221">
        <v>0.00026282745696232549</v>
      </c>
      <c r="M1221">
        <v>0.0015769647417739532</v>
      </c>
      <c r="N1221">
        <v>0.029107553048440621</v>
      </c>
      <c r="O1221" t="s">
        <v>138</v>
      </c>
      <c r="P1221">
        <v>0.0016518352984</v>
      </c>
      <c r="Q1221" t="s">
        <v>138</v>
      </c>
      <c r="R1221">
        <v>9.4617884506437188E-05</v>
      </c>
      <c r="S1221" t="s">
        <v>139</v>
      </c>
      <c r="T1221">
        <v>0.0034929063658128744</v>
      </c>
      <c r="U1221" t="s">
        <v>90</v>
      </c>
      <c r="V1221">
        <v>0</v>
      </c>
      <c r="W1221" t="s">
        <v>90</v>
      </c>
      <c r="X1221">
        <v>0</v>
      </c>
      <c r="Y1221">
        <v>0.034346912597159933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22</v>
      </c>
      <c r="AF1221">
        <v>44</v>
      </c>
      <c r="AG1221">
        <v>48</v>
      </c>
      <c r="AI1221">
        <v>0.035</v>
      </c>
      <c r="AK1221" t="s">
        <v>4605</v>
      </c>
      <c r="AL1221" t="s">
        <v>720</v>
      </c>
      <c r="AM1221">
        <v>200000</v>
      </c>
      <c r="AN1221" t="s">
        <v>76</v>
      </c>
      <c r="AO1221">
        <v>1</v>
      </c>
      <c r="AP1221">
        <v>0</v>
      </c>
      <c r="AQ1221">
        <v>16666.666666666668</v>
      </c>
      <c r="AR1221" t="s">
        <v>4792</v>
      </c>
      <c r="AS1221" t="s">
        <v>78</v>
      </c>
      <c r="AX1221" t="s">
        <v>79</v>
      </c>
      <c r="AY1221" t="s">
        <v>137</v>
      </c>
      <c r="AZ1221">
        <v>0</v>
      </c>
      <c r="BA1221" t="s">
        <v>137</v>
      </c>
      <c r="BB1221">
        <v>0</v>
      </c>
      <c r="BE1221">
        <v>0</v>
      </c>
    </row>
    <row r="1222" spans="1:58" ht="12.75">
      <c r="A1222" s="2" t="str">
        <f>HYPERLINK("https://ibp.a2mac1.com/costing(costing:projects/details/8191/part/5388365)","Front Quarter Window")</f>
        <v>Front Quarter Window</v>
      </c>
      <c r="B1222">
        <v>5388365</v>
      </c>
      <c r="C1222">
        <v>5388175</v>
      </c>
      <c r="E1222">
        <v>0.42358094624999998</v>
      </c>
      <c r="F1222">
        <v>0</v>
      </c>
      <c r="G1222">
        <v>0</v>
      </c>
      <c r="H1222">
        <v>0.0021477858426315788</v>
      </c>
      <c r="I1222" t="s">
        <v>137</v>
      </c>
      <c r="J1222">
        <v>0.014856226184210525</v>
      </c>
      <c r="K1222">
        <v>0.44058495827684213</v>
      </c>
      <c r="L1222">
        <v>0.014964213933035313</v>
      </c>
      <c r="M1222">
        <v>0.089785283598211876</v>
      </c>
      <c r="N1222">
        <v>0.53037024187505399</v>
      </c>
      <c r="O1222" t="s">
        <v>138</v>
      </c>
      <c r="P1222">
        <v>0.026435097496610525</v>
      </c>
      <c r="Q1222" t="s">
        <v>138</v>
      </c>
      <c r="R1222">
        <v>0.0053871170158927128</v>
      </c>
      <c r="S1222" t="s">
        <v>139</v>
      </c>
      <c r="T1222">
        <v>0.063644429025006471</v>
      </c>
      <c r="U1222" t="s">
        <v>90</v>
      </c>
      <c r="V1222">
        <v>0</v>
      </c>
      <c r="W1222" t="s">
        <v>90</v>
      </c>
      <c r="X1222">
        <v>0</v>
      </c>
      <c r="Y1222">
        <v>0.62583688541256366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41</v>
      </c>
      <c r="AF1222">
        <v>213</v>
      </c>
      <c r="AG1222">
        <v>275</v>
      </c>
      <c r="AI1222">
        <v>0.35699999999999998</v>
      </c>
      <c r="AJ1222" t="s">
        <v>4803</v>
      </c>
      <c r="AK1222" t="s">
        <v>4605</v>
      </c>
      <c r="AL1222" t="s">
        <v>4804</v>
      </c>
      <c r="AM1222">
        <v>200000</v>
      </c>
      <c r="AN1222" t="s">
        <v>76</v>
      </c>
      <c r="AO1222">
        <v>1</v>
      </c>
      <c r="AP1222">
        <v>0</v>
      </c>
      <c r="AQ1222">
        <v>16666.666666666668</v>
      </c>
      <c r="AR1222" t="s">
        <v>4805</v>
      </c>
      <c r="AS1222" t="s">
        <v>78</v>
      </c>
      <c r="AX1222" t="s">
        <v>79</v>
      </c>
      <c r="AY1222" t="s">
        <v>137</v>
      </c>
      <c r="AZ1222">
        <v>0</v>
      </c>
      <c r="BA1222" t="s">
        <v>137</v>
      </c>
      <c r="BB1222">
        <v>0</v>
      </c>
      <c r="BE1222">
        <v>0</v>
      </c>
    </row>
    <row r="1223" spans="1:58" ht="12.75">
      <c r="A1223" s="2" t="str">
        <f>HYPERLINK("https://ibp.a2mac1.com/costing(costing:projects/details/8191/part/5388366)","Window Regulator")</f>
        <v>Window Regulator</v>
      </c>
      <c r="B1223">
        <v>5388366</v>
      </c>
      <c r="C1223">
        <v>5388175</v>
      </c>
      <c r="D1223" t="s">
        <v>4806</v>
      </c>
      <c r="E1223">
        <v>13.841100000000001</v>
      </c>
      <c r="F1223">
        <v>0</v>
      </c>
      <c r="G1223">
        <v>0</v>
      </c>
      <c r="H1223">
        <v>0</v>
      </c>
      <c r="I1223" t="s">
        <v>74</v>
      </c>
      <c r="J1223">
        <v>0</v>
      </c>
      <c r="K1223">
        <v>13.841100000000001</v>
      </c>
      <c r="L1223">
        <v>0</v>
      </c>
      <c r="M1223">
        <v>0</v>
      </c>
      <c r="N1223">
        <v>13.841100000000001</v>
      </c>
      <c r="O1223" t="s">
        <v>74</v>
      </c>
      <c r="P1223">
        <v>0</v>
      </c>
      <c r="Q1223" t="s">
        <v>74</v>
      </c>
      <c r="R1223">
        <v>0</v>
      </c>
      <c r="S1223" t="s">
        <v>74</v>
      </c>
      <c r="T1223">
        <v>0</v>
      </c>
      <c r="U1223" t="s">
        <v>74</v>
      </c>
      <c r="V1223">
        <v>0</v>
      </c>
      <c r="W1223" t="s">
        <v>74</v>
      </c>
      <c r="X1223">
        <v>0</v>
      </c>
      <c r="Y1223">
        <v>13.841100000000001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96</v>
      </c>
      <c r="AF1223">
        <v>506</v>
      </c>
      <c r="AG1223">
        <v>604</v>
      </c>
      <c r="AI1223">
        <v>1.02</v>
      </c>
      <c r="AJ1223" t="s">
        <v>2898</v>
      </c>
      <c r="AK1223" t="s">
        <v>4765</v>
      </c>
      <c r="AL1223" t="s">
        <v>4807</v>
      </c>
      <c r="AM1223">
        <v>200000</v>
      </c>
      <c r="AN1223" t="s">
        <v>76</v>
      </c>
      <c r="AO1223">
        <v>1</v>
      </c>
      <c r="AP1223">
        <v>0</v>
      </c>
      <c r="AQ1223">
        <v>16666.666666666668</v>
      </c>
      <c r="AR1223" t="s">
        <v>4808</v>
      </c>
      <c r="AS1223" t="s">
        <v>78</v>
      </c>
      <c r="AX1223" t="s">
        <v>79</v>
      </c>
      <c r="AY1223" t="s">
        <v>74</v>
      </c>
      <c r="AZ1223">
        <v>0</v>
      </c>
      <c r="BA1223" t="s">
        <v>74</v>
      </c>
      <c r="BB1223">
        <v>0</v>
      </c>
      <c r="BD1223">
        <v>13.841100000000001</v>
      </c>
      <c r="BE1223">
        <v>0</v>
      </c>
    </row>
    <row r="1224" spans="1:58" ht="12.75">
      <c r="A1224" s="2" t="str">
        <f>HYPERLINK("https://ibp.a2mac1.com/costing(costing:projects/details/8191/part/5388367)","Window Regulator Motor")</f>
        <v>Window Regulator Motor</v>
      </c>
      <c r="B1224">
        <v>5388367</v>
      </c>
      <c r="C1224">
        <v>5388175</v>
      </c>
      <c r="E1224">
        <v>4.8905200000000004</v>
      </c>
      <c r="F1224">
        <v>0</v>
      </c>
      <c r="G1224">
        <v>0</v>
      </c>
      <c r="H1224">
        <v>0</v>
      </c>
      <c r="I1224" t="s">
        <v>74</v>
      </c>
      <c r="J1224">
        <v>0</v>
      </c>
      <c r="K1224">
        <v>4.8905200000000004</v>
      </c>
      <c r="L1224">
        <v>0</v>
      </c>
      <c r="M1224">
        <v>0</v>
      </c>
      <c r="N1224">
        <v>4.8905200000000004</v>
      </c>
      <c r="O1224" t="s">
        <v>74</v>
      </c>
      <c r="P1224">
        <v>0</v>
      </c>
      <c r="Q1224" t="s">
        <v>74</v>
      </c>
      <c r="R1224">
        <v>0</v>
      </c>
      <c r="S1224" t="s">
        <v>74</v>
      </c>
      <c r="T1224">
        <v>0</v>
      </c>
      <c r="U1224" t="s">
        <v>74</v>
      </c>
      <c r="V1224">
        <v>0</v>
      </c>
      <c r="W1224" t="s">
        <v>74</v>
      </c>
      <c r="X1224">
        <v>0</v>
      </c>
      <c r="Y1224">
        <v>4.8905200000000004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50</v>
      </c>
      <c r="AF1224">
        <v>175</v>
      </c>
      <c r="AG1224">
        <v>134</v>
      </c>
      <c r="AI1224">
        <v>0.45</v>
      </c>
      <c r="AJ1224" t="s">
        <v>2898</v>
      </c>
      <c r="AK1224" t="s">
        <v>576</v>
      </c>
      <c r="AL1224" t="s">
        <v>4809</v>
      </c>
      <c r="AM1224">
        <v>200000</v>
      </c>
      <c r="AN1224" t="s">
        <v>76</v>
      </c>
      <c r="AO1224">
        <v>1</v>
      </c>
      <c r="AP1224">
        <v>0</v>
      </c>
      <c r="AQ1224">
        <v>16666.666666666668</v>
      </c>
      <c r="AR1224" t="s">
        <v>4810</v>
      </c>
      <c r="AS1224" t="s">
        <v>78</v>
      </c>
      <c r="AX1224" t="s">
        <v>79</v>
      </c>
      <c r="AY1224" t="s">
        <v>74</v>
      </c>
      <c r="AZ1224">
        <v>0</v>
      </c>
      <c r="BA1224" t="s">
        <v>74</v>
      </c>
      <c r="BB1224">
        <v>0</v>
      </c>
      <c r="BD1224">
        <v>4.8905200000000004</v>
      </c>
      <c r="BE1224">
        <v>0</v>
      </c>
    </row>
    <row r="1225" spans="1:58" ht="12.75">
      <c r="A1225" s="2" t="str">
        <f>HYPERLINK("https://ibp.a2mac1.com/costing(costing:projects/details/8191/part/5388756)","On Body")</f>
        <v>On Body</v>
      </c>
      <c r="B1225">
        <v>5388756</v>
      </c>
      <c r="C1225">
        <v>5388372</v>
      </c>
      <c r="E1225">
        <v>3.5907257014736844</v>
      </c>
      <c r="F1225">
        <v>0</v>
      </c>
      <c r="G1225">
        <v>0</v>
      </c>
      <c r="H1225">
        <v>0.0074202673225263159</v>
      </c>
      <c r="I1225" t="s">
        <v>137</v>
      </c>
      <c r="J1225">
        <v>0.12607250305263157</v>
      </c>
      <c r="K1225">
        <v>3.7242184718488422</v>
      </c>
      <c r="L1225">
        <v>0.052681933704389998</v>
      </c>
      <c r="M1225">
        <v>0.31609160222633997</v>
      </c>
      <c r="N1225">
        <v>4.0403100740751823</v>
      </c>
      <c r="O1225" t="s">
        <v>138</v>
      </c>
      <c r="P1225">
        <v>0.22345310831093051</v>
      </c>
      <c r="Q1225" t="s">
        <v>138</v>
      </c>
      <c r="R1225">
        <v>0.018965496133580399</v>
      </c>
      <c r="S1225" t="s">
        <v>139</v>
      </c>
      <c r="T1225">
        <v>0.48483720888902188</v>
      </c>
      <c r="U1225" t="s">
        <v>90</v>
      </c>
      <c r="V1225">
        <v>0</v>
      </c>
      <c r="W1225" t="s">
        <v>90</v>
      </c>
      <c r="X1225">
        <v>0</v>
      </c>
      <c r="Y1225">
        <v>4.7675658874087148</v>
      </c>
      <c r="Z1225">
        <v>0</v>
      </c>
      <c r="AA1225">
        <v>0</v>
      </c>
      <c r="AB1225">
        <v>0</v>
      </c>
      <c r="AC1225">
        <v>0</v>
      </c>
      <c r="AD1225">
        <v>0</v>
      </c>
      <c r="AI1225">
        <v>1.455</v>
      </c>
      <c r="AJ1225" t="s">
        <v>685</v>
      </c>
      <c r="AK1225" t="s">
        <v>4605</v>
      </c>
      <c r="AL1225" t="s">
        <v>4824</v>
      </c>
      <c r="AM1225">
        <v>200000</v>
      </c>
      <c r="AN1225" t="s">
        <v>76</v>
      </c>
      <c r="AO1225">
        <v>1</v>
      </c>
      <c r="AP1225">
        <v>0</v>
      </c>
      <c r="AQ1225">
        <v>16666.666666666668</v>
      </c>
      <c r="AR1225" t="s">
        <v>4825</v>
      </c>
      <c r="AS1225" t="s">
        <v>78</v>
      </c>
      <c r="AX1225" t="s">
        <v>79</v>
      </c>
      <c r="AY1225" t="s">
        <v>137</v>
      </c>
      <c r="AZ1225">
        <v>0</v>
      </c>
      <c r="BA1225" t="s">
        <v>137</v>
      </c>
      <c r="BB1225">
        <v>0</v>
      </c>
      <c r="BE1225">
        <v>0</v>
      </c>
    </row>
    <row r="1226" spans="1:58" ht="12.75">
      <c r="A1226" s="2" t="str">
        <f>HYPERLINK("https://ibp.a2mac1.com/costing(costing:projects/details/8191/part/5388757)","On Door")</f>
        <v>On Door</v>
      </c>
      <c r="B1226">
        <v>5388757</v>
      </c>
      <c r="C1226">
        <v>5388372</v>
      </c>
      <c r="E1226">
        <v>0.96717579136184206</v>
      </c>
      <c r="F1226">
        <v>0</v>
      </c>
      <c r="G1226">
        <v>0</v>
      </c>
      <c r="H1226">
        <v>0.0019990823467894736</v>
      </c>
      <c r="I1226" t="s">
        <v>137</v>
      </c>
      <c r="J1226">
        <v>0.033964991328947369</v>
      </c>
      <c r="K1226">
        <v>1.0031398650375789</v>
      </c>
      <c r="L1226">
        <v>0.052681933704389998</v>
      </c>
      <c r="M1226">
        <v>0.31609160222633997</v>
      </c>
      <c r="N1226">
        <v>1.3192314672639189</v>
      </c>
      <c r="O1226" t="s">
        <v>138</v>
      </c>
      <c r="P1226">
        <v>0.060188391902254737</v>
      </c>
      <c r="Q1226" t="s">
        <v>138</v>
      </c>
      <c r="R1226">
        <v>0.018965496133580399</v>
      </c>
      <c r="S1226" t="s">
        <v>139</v>
      </c>
      <c r="T1226">
        <v>0.15830777607167026</v>
      </c>
      <c r="U1226" t="s">
        <v>90</v>
      </c>
      <c r="V1226">
        <v>0</v>
      </c>
      <c r="W1226" t="s">
        <v>90</v>
      </c>
      <c r="X1226">
        <v>0</v>
      </c>
      <c r="Y1226">
        <v>1.5566931313714243</v>
      </c>
      <c r="Z1226">
        <v>0</v>
      </c>
      <c r="AA1226">
        <v>0</v>
      </c>
      <c r="AB1226">
        <v>0</v>
      </c>
      <c r="AC1226">
        <v>0</v>
      </c>
      <c r="AD1226">
        <v>0</v>
      </c>
      <c r="AI1226">
        <v>0.41099999999999998</v>
      </c>
      <c r="AJ1226" t="s">
        <v>685</v>
      </c>
      <c r="AK1226" t="s">
        <v>4605</v>
      </c>
      <c r="AL1226" t="s">
        <v>3856</v>
      </c>
      <c r="AM1226">
        <v>200000</v>
      </c>
      <c r="AN1226" t="s">
        <v>76</v>
      </c>
      <c r="AO1226">
        <v>1</v>
      </c>
      <c r="AP1226">
        <v>0</v>
      </c>
      <c r="AQ1226">
        <v>16666.666666666668</v>
      </c>
      <c r="AR1226" t="s">
        <v>4833</v>
      </c>
      <c r="AS1226" t="s">
        <v>78</v>
      </c>
      <c r="AX1226" t="s">
        <v>79</v>
      </c>
      <c r="AY1226" t="s">
        <v>137</v>
      </c>
      <c r="AZ1226">
        <v>0</v>
      </c>
      <c r="BA1226" t="s">
        <v>137</v>
      </c>
      <c r="BB1226">
        <v>0</v>
      </c>
      <c r="BE1226">
        <v>0</v>
      </c>
    </row>
    <row r="1227" spans="1:58" ht="12.75">
      <c r="A1227" s="2" t="str">
        <f>HYPERLINK("https://ibp.a2mac1.com/costing(costing:projects/details/8191/part/5388369)","Interior Weatherstrip")</f>
        <v>Interior Weatherstrip</v>
      </c>
      <c r="B1227">
        <v>5388369</v>
      </c>
      <c r="C1227">
        <v>5388176</v>
      </c>
      <c r="E1227">
        <v>0.32881327500000002</v>
      </c>
      <c r="F1227">
        <v>0</v>
      </c>
      <c r="G1227">
        <v>0</v>
      </c>
      <c r="H1227">
        <v>0.00034282286315789472</v>
      </c>
      <c r="I1227" t="s">
        <v>137</v>
      </c>
      <c r="J1227">
        <v>0.011537307894736842</v>
      </c>
      <c r="K1227">
        <v>0.34069340575789475</v>
      </c>
      <c r="L1227">
        <v>0.02473920957733388</v>
      </c>
      <c r="M1227">
        <v>0.14843525746400327</v>
      </c>
      <c r="N1227">
        <v>0.48912866322189802</v>
      </c>
      <c r="O1227" t="s">
        <v>138</v>
      </c>
      <c r="P1227">
        <v>0.020441604345473683</v>
      </c>
      <c r="Q1227" t="s">
        <v>138</v>
      </c>
      <c r="R1227">
        <v>0.0089061154478401964</v>
      </c>
      <c r="S1227" t="s">
        <v>139</v>
      </c>
      <c r="T1227">
        <v>0.058695439586627762</v>
      </c>
      <c r="U1227" t="s">
        <v>90</v>
      </c>
      <c r="V1227">
        <v>0</v>
      </c>
      <c r="W1227" t="s">
        <v>90</v>
      </c>
      <c r="X1227">
        <v>0</v>
      </c>
      <c r="Y1227">
        <v>0.57717182260183963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21</v>
      </c>
      <c r="AF1227">
        <v>843</v>
      </c>
      <c r="AG1227">
        <v>58</v>
      </c>
      <c r="AI1227">
        <v>0.175</v>
      </c>
      <c r="AJ1227" t="s">
        <v>685</v>
      </c>
      <c r="AK1227" t="s">
        <v>4605</v>
      </c>
      <c r="AL1227" t="s">
        <v>4840</v>
      </c>
      <c r="AM1227">
        <v>200000</v>
      </c>
      <c r="AN1227" t="s">
        <v>76</v>
      </c>
      <c r="AO1227">
        <v>1</v>
      </c>
      <c r="AP1227">
        <v>0</v>
      </c>
      <c r="AQ1227">
        <v>16666.666666666668</v>
      </c>
      <c r="AR1227" t="s">
        <v>4841</v>
      </c>
      <c r="AS1227" t="s">
        <v>78</v>
      </c>
      <c r="AX1227" t="s">
        <v>79</v>
      </c>
      <c r="AY1227" t="s">
        <v>137</v>
      </c>
      <c r="AZ1227">
        <v>0</v>
      </c>
      <c r="BA1227" t="s">
        <v>137</v>
      </c>
      <c r="BB1227">
        <v>0</v>
      </c>
      <c r="BE1227">
        <v>0</v>
      </c>
    </row>
    <row r="1228" spans="1:58" ht="12.75">
      <c r="A1228" s="2" t="str">
        <f>HYPERLINK("https://ibp.a2mac1.com/costing(costing:projects/details/8191/part/5388370)","Exterior Weatherstrip")</f>
        <v>Exterior Weatherstrip</v>
      </c>
      <c r="B1228">
        <v>5388370</v>
      </c>
      <c r="C1228">
        <v>5388176</v>
      </c>
      <c r="E1228">
        <v>0.75757399999999997</v>
      </c>
      <c r="F1228">
        <v>0</v>
      </c>
      <c r="G1228">
        <v>0</v>
      </c>
      <c r="H1228">
        <v>0.00078940248126315794</v>
      </c>
      <c r="I1228" t="s">
        <v>137</v>
      </c>
      <c r="J1228">
        <v>0.026566429657894738</v>
      </c>
      <c r="K1228">
        <v>0.7849298321391579</v>
      </c>
      <c r="L1228">
        <v>0.03696388264930988</v>
      </c>
      <c r="M1228">
        <v>0.22178329589585927</v>
      </c>
      <c r="N1228">
        <v>1.0067131280350172</v>
      </c>
      <c r="O1228" t="s">
        <v>138</v>
      </c>
      <c r="P1228">
        <v>0.047095789928349473</v>
      </c>
      <c r="Q1228" t="s">
        <v>138</v>
      </c>
      <c r="R1228">
        <v>0.013306997753751557</v>
      </c>
      <c r="S1228" t="s">
        <v>139</v>
      </c>
      <c r="T1228">
        <v>0.12080557536420206</v>
      </c>
      <c r="U1228" t="s">
        <v>90</v>
      </c>
      <c r="V1228">
        <v>0</v>
      </c>
      <c r="W1228" t="s">
        <v>90</v>
      </c>
      <c r="X1228">
        <v>0</v>
      </c>
      <c r="Y1228">
        <v>1.1879214910813203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18</v>
      </c>
      <c r="AF1228">
        <v>1110</v>
      </c>
      <c r="AG1228">
        <v>86</v>
      </c>
      <c r="AI1228">
        <v>0.27300000000000002</v>
      </c>
      <c r="AJ1228" t="s">
        <v>4846</v>
      </c>
      <c r="AK1228" t="s">
        <v>4605</v>
      </c>
      <c r="AL1228" t="s">
        <v>4847</v>
      </c>
      <c r="AM1228">
        <v>200000</v>
      </c>
      <c r="AN1228" t="s">
        <v>76</v>
      </c>
      <c r="AO1228">
        <v>1</v>
      </c>
      <c r="AP1228">
        <v>0</v>
      </c>
      <c r="AQ1228">
        <v>16666.666666666668</v>
      </c>
      <c r="AR1228" t="s">
        <v>4848</v>
      </c>
      <c r="AS1228" t="s">
        <v>78</v>
      </c>
      <c r="AX1228" t="s">
        <v>79</v>
      </c>
      <c r="AY1228" t="s">
        <v>137</v>
      </c>
      <c r="AZ1228">
        <v>0</v>
      </c>
      <c r="BA1228" t="s">
        <v>137</v>
      </c>
      <c r="BB1228">
        <v>0</v>
      </c>
      <c r="BE1228">
        <v>0</v>
      </c>
    </row>
    <row r="1229" spans="1:58" ht="12.75">
      <c r="A1229" s="2" t="str">
        <f>HYPERLINK("https://ibp.a2mac1.com/costing(costing:projects/details/8191/part/5388371)","Glass Run Channel Seal")</f>
        <v>Glass Run Channel Seal</v>
      </c>
      <c r="B1229">
        <v>5388371</v>
      </c>
      <c r="C1229">
        <v>5388176</v>
      </c>
      <c r="E1229">
        <v>2.1264245499999999</v>
      </c>
      <c r="F1229">
        <v>0</v>
      </c>
      <c r="G1229">
        <v>0</v>
      </c>
      <c r="H1229">
        <v>0.0022152953351578949</v>
      </c>
      <c r="I1229" t="s">
        <v>137</v>
      </c>
      <c r="J1229">
        <v>0.074553208394736836</v>
      </c>
      <c r="K1229">
        <v>2.2031930537298949</v>
      </c>
      <c r="L1229">
        <v>0.03696388264930988</v>
      </c>
      <c r="M1229">
        <v>0.22178329589585927</v>
      </c>
      <c r="N1229">
        <v>2.4249763496257541</v>
      </c>
      <c r="O1229" t="s">
        <v>138</v>
      </c>
      <c r="P1229">
        <v>0.13219158322379368</v>
      </c>
      <c r="Q1229" t="s">
        <v>138</v>
      </c>
      <c r="R1229">
        <v>0.013306997753751557</v>
      </c>
      <c r="S1229" t="s">
        <v>139</v>
      </c>
      <c r="T1229">
        <v>0.29099716195509046</v>
      </c>
      <c r="U1229" t="s">
        <v>90</v>
      </c>
      <c r="V1229">
        <v>0</v>
      </c>
      <c r="W1229" t="s">
        <v>90</v>
      </c>
      <c r="X1229">
        <v>0</v>
      </c>
      <c r="Y1229">
        <v>2.8614720925583899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52</v>
      </c>
      <c r="AF1229">
        <v>1214</v>
      </c>
      <c r="AG1229">
        <v>600</v>
      </c>
      <c r="AI1229">
        <v>0.78100000000000003</v>
      </c>
      <c r="AJ1229" t="s">
        <v>4846</v>
      </c>
      <c r="AK1229" t="s">
        <v>4605</v>
      </c>
      <c r="AL1229" t="s">
        <v>4853</v>
      </c>
      <c r="AM1229">
        <v>200000</v>
      </c>
      <c r="AN1229" t="s">
        <v>76</v>
      </c>
      <c r="AO1229">
        <v>1</v>
      </c>
      <c r="AP1229">
        <v>0</v>
      </c>
      <c r="AQ1229">
        <v>16666.666666666668</v>
      </c>
      <c r="AR1229" t="s">
        <v>4854</v>
      </c>
      <c r="AS1229" t="s">
        <v>78</v>
      </c>
      <c r="AX1229" t="s">
        <v>79</v>
      </c>
      <c r="AY1229" t="s">
        <v>137</v>
      </c>
      <c r="AZ1229">
        <v>0</v>
      </c>
      <c r="BA1229" t="s">
        <v>137</v>
      </c>
      <c r="BB1229">
        <v>0</v>
      </c>
      <c r="BE1229">
        <v>0</v>
      </c>
    </row>
    <row r="1230" spans="1:58" ht="12.75">
      <c r="A1230" s="2" t="str">
        <f>HYPERLINK("https://ibp.a2mac1.com/costing(costing:projects/details/8191/part/5389157)","Part 01 single/main")</f>
        <v>Part 01 single/main</v>
      </c>
      <c r="B1230">
        <v>5389157</v>
      </c>
      <c r="C1230">
        <v>5388758</v>
      </c>
      <c r="E1230">
        <v>0.15083827499999999</v>
      </c>
      <c r="F1230">
        <v>0</v>
      </c>
      <c r="G1230">
        <v>0</v>
      </c>
      <c r="H1230">
        <v>0.00016688489999999999</v>
      </c>
      <c r="I1230" t="s">
        <v>137</v>
      </c>
      <c r="J1230">
        <v>0.00561631875</v>
      </c>
      <c r="K1230">
        <v>0.15662147865000001</v>
      </c>
      <c r="L1230">
        <v>0.0040251954991824199</v>
      </c>
      <c r="M1230">
        <v>0.024151172995094523</v>
      </c>
      <c r="N1230">
        <v>0.18077265164509451</v>
      </c>
      <c r="O1230" t="s">
        <v>90</v>
      </c>
      <c r="P1230">
        <v>0</v>
      </c>
      <c r="Q1230" t="s">
        <v>90</v>
      </c>
      <c r="R1230">
        <v>0</v>
      </c>
      <c r="S1230" t="s">
        <v>90</v>
      </c>
      <c r="T1230">
        <v>0</v>
      </c>
      <c r="U1230" t="s">
        <v>90</v>
      </c>
      <c r="V1230">
        <v>0</v>
      </c>
      <c r="W1230" t="s">
        <v>90</v>
      </c>
      <c r="X1230">
        <v>0</v>
      </c>
      <c r="Y1230">
        <v>0.18077265164509451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K1230" t="s">
        <v>4599</v>
      </c>
      <c r="AM1230">
        <v>200000</v>
      </c>
      <c r="AN1230" t="s">
        <v>92</v>
      </c>
      <c r="AO1230">
        <v>1</v>
      </c>
      <c r="AP1230">
        <v>0</v>
      </c>
      <c r="AQ1230">
        <v>16666.666666666668</v>
      </c>
      <c r="AR1230" t="s">
        <v>9</v>
      </c>
      <c r="AS1230" t="s">
        <v>78</v>
      </c>
      <c r="AV1230">
        <v>0</v>
      </c>
      <c r="AW1230">
        <v>0</v>
      </c>
      <c r="AX1230" t="s">
        <v>79</v>
      </c>
      <c r="AY1230" t="s">
        <v>137</v>
      </c>
      <c r="AZ1230">
        <v>0</v>
      </c>
      <c r="BA1230" t="s">
        <v>137</v>
      </c>
      <c r="BB1230">
        <v>0</v>
      </c>
      <c r="BE1230">
        <v>0</v>
      </c>
    </row>
    <row r="1231" spans="1:58" ht="12.75">
      <c r="A1231" s="2" t="str">
        <f>HYPERLINK("https://ibp.a2mac1.com/costing(costing:projects/details/8191/part/5389158)","Part 01 single/main")</f>
        <v>Part 01 single/main</v>
      </c>
      <c r="B1231">
        <v>5389158</v>
      </c>
      <c r="C1231">
        <v>5388759</v>
      </c>
      <c r="E1231">
        <v>0.093376075000000003</v>
      </c>
      <c r="F1231">
        <v>0</v>
      </c>
      <c r="G1231">
        <v>0</v>
      </c>
      <c r="H1231">
        <v>0.0001033097</v>
      </c>
      <c r="I1231" t="s">
        <v>137</v>
      </c>
      <c r="J1231">
        <v>0.0034767687499999999</v>
      </c>
      <c r="K1231">
        <v>0.096956153449999999</v>
      </c>
      <c r="L1231">
        <v>0.18163295441459323</v>
      </c>
      <c r="M1231">
        <v>1.0897977264875593</v>
      </c>
      <c r="N1231">
        <v>1.1867538799375594</v>
      </c>
      <c r="O1231" t="s">
        <v>90</v>
      </c>
      <c r="P1231">
        <v>0</v>
      </c>
      <c r="Q1231" t="s">
        <v>90</v>
      </c>
      <c r="R1231">
        <v>0</v>
      </c>
      <c r="S1231" t="s">
        <v>90</v>
      </c>
      <c r="T1231">
        <v>0</v>
      </c>
      <c r="U1231" t="s">
        <v>90</v>
      </c>
      <c r="V1231">
        <v>0</v>
      </c>
      <c r="W1231" t="s">
        <v>90</v>
      </c>
      <c r="X1231">
        <v>0</v>
      </c>
      <c r="Y1231">
        <v>1.1867538799375594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K1231" t="s">
        <v>4599</v>
      </c>
      <c r="AM1231">
        <v>200000</v>
      </c>
      <c r="AN1231" t="s">
        <v>92</v>
      </c>
      <c r="AO1231">
        <v>1</v>
      </c>
      <c r="AP1231">
        <v>0</v>
      </c>
      <c r="AQ1231">
        <v>16666.666666666668</v>
      </c>
      <c r="AR1231" t="s">
        <v>9</v>
      </c>
      <c r="AS1231" t="s">
        <v>78</v>
      </c>
      <c r="AV1231">
        <v>0</v>
      </c>
      <c r="AW1231">
        <v>0</v>
      </c>
      <c r="AX1231" t="s">
        <v>79</v>
      </c>
      <c r="AY1231" t="s">
        <v>137</v>
      </c>
      <c r="AZ1231">
        <v>0</v>
      </c>
      <c r="BA1231" t="s">
        <v>137</v>
      </c>
      <c r="BB1231">
        <v>0</v>
      </c>
      <c r="BE1231">
        <v>0</v>
      </c>
    </row>
    <row r="1232" spans="1:58" ht="12.75">
      <c r="A1232" s="2" t="str">
        <f>HYPERLINK("https://ibp.a2mac1.com/costing(costing:projects/details/8191/part/5389159)","Part 01 single/main")</f>
        <v>Part 01 single/main</v>
      </c>
      <c r="B1232">
        <v>5389159</v>
      </c>
      <c r="C1232">
        <v>5388761</v>
      </c>
      <c r="E1232">
        <v>0.1668849</v>
      </c>
      <c r="F1232">
        <v>0</v>
      </c>
      <c r="G1232">
        <v>0</v>
      </c>
      <c r="H1232">
        <v>0.0001907256</v>
      </c>
      <c r="I1232" t="s">
        <v>137</v>
      </c>
      <c r="J1232">
        <v>0.0064186499999999997</v>
      </c>
      <c r="K1232">
        <v>0.1734942756</v>
      </c>
      <c r="L1232">
        <v>0.18163295441459323</v>
      </c>
      <c r="M1232">
        <v>1.0897977264875593</v>
      </c>
      <c r="N1232">
        <v>1.2632920020875593</v>
      </c>
      <c r="O1232" t="s">
        <v>90</v>
      </c>
      <c r="P1232">
        <v>0</v>
      </c>
      <c r="Q1232" t="s">
        <v>90</v>
      </c>
      <c r="R1232">
        <v>0</v>
      </c>
      <c r="S1232" t="s">
        <v>90</v>
      </c>
      <c r="T1232">
        <v>0</v>
      </c>
      <c r="U1232" t="s">
        <v>90</v>
      </c>
      <c r="V1232">
        <v>0</v>
      </c>
      <c r="W1232" t="s">
        <v>90</v>
      </c>
      <c r="X1232">
        <v>0</v>
      </c>
      <c r="Y1232">
        <v>1.2632920020875593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K1232" t="s">
        <v>4599</v>
      </c>
      <c r="AM1232">
        <v>200000</v>
      </c>
      <c r="AN1232" t="s">
        <v>92</v>
      </c>
      <c r="AO1232">
        <v>1</v>
      </c>
      <c r="AP1232">
        <v>0</v>
      </c>
      <c r="AQ1232">
        <v>16666.666666666668</v>
      </c>
      <c r="AR1232" t="s">
        <v>9</v>
      </c>
      <c r="AS1232" t="s">
        <v>78</v>
      </c>
      <c r="AV1232">
        <v>0</v>
      </c>
      <c r="AW1232">
        <v>0</v>
      </c>
      <c r="AX1232" t="s">
        <v>79</v>
      </c>
      <c r="AY1232" t="s">
        <v>137</v>
      </c>
      <c r="AZ1232">
        <v>0</v>
      </c>
      <c r="BA1232" t="s">
        <v>137</v>
      </c>
      <c r="BB1232">
        <v>0</v>
      </c>
      <c r="BE1232">
        <v>0</v>
      </c>
    </row>
    <row r="1233" spans="1:58" ht="12.75">
      <c r="A1233" s="2" t="str">
        <f>HYPERLINK("https://ibp.a2mac1.com/costing(costing:projects/details/8191/part/5389160)","Part 01 single/main")</f>
        <v>Part 01 single/main</v>
      </c>
      <c r="B1233">
        <v>5389160</v>
      </c>
      <c r="C1233">
        <v>5388762</v>
      </c>
      <c r="E1233">
        <v>0.079010524999999998</v>
      </c>
      <c r="F1233">
        <v>0</v>
      </c>
      <c r="G1233">
        <v>0</v>
      </c>
      <c r="H1233">
        <v>8.7415899999999998E-05</v>
      </c>
      <c r="I1233" t="s">
        <v>137</v>
      </c>
      <c r="J1233">
        <v>0.0029418812499999998</v>
      </c>
      <c r="K1233">
        <v>0.082039822149999997</v>
      </c>
      <c r="L1233">
        <v>0.18163295441459323</v>
      </c>
      <c r="M1233">
        <v>1.0897977264875593</v>
      </c>
      <c r="N1233">
        <v>1.1718375486375594</v>
      </c>
      <c r="O1233" t="s">
        <v>90</v>
      </c>
      <c r="P1233">
        <v>0</v>
      </c>
      <c r="Q1233" t="s">
        <v>90</v>
      </c>
      <c r="R1233">
        <v>0</v>
      </c>
      <c r="S1233" t="s">
        <v>90</v>
      </c>
      <c r="T1233">
        <v>0</v>
      </c>
      <c r="U1233" t="s">
        <v>90</v>
      </c>
      <c r="V1233">
        <v>0</v>
      </c>
      <c r="W1233" t="s">
        <v>90</v>
      </c>
      <c r="X1233">
        <v>0</v>
      </c>
      <c r="Y1233">
        <v>1.1718375486375594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K1233" t="s">
        <v>4599</v>
      </c>
      <c r="AM1233">
        <v>200000</v>
      </c>
      <c r="AN1233" t="s">
        <v>92</v>
      </c>
      <c r="AO1233">
        <v>1</v>
      </c>
      <c r="AP1233">
        <v>0</v>
      </c>
      <c r="AQ1233">
        <v>16666.666666666668</v>
      </c>
      <c r="AR1233" t="s">
        <v>9</v>
      </c>
      <c r="AS1233" t="s">
        <v>78</v>
      </c>
      <c r="AV1233">
        <v>0</v>
      </c>
      <c r="AW1233">
        <v>0</v>
      </c>
      <c r="AX1233" t="s">
        <v>79</v>
      </c>
      <c r="AY1233" t="s">
        <v>137</v>
      </c>
      <c r="AZ1233">
        <v>0</v>
      </c>
      <c r="BA1233" t="s">
        <v>137</v>
      </c>
      <c r="BB1233">
        <v>0</v>
      </c>
      <c r="BE1233">
        <v>0</v>
      </c>
    </row>
    <row r="1234" spans="1:58" ht="12.75">
      <c r="A1234" s="2" t="str">
        <f>HYPERLINK("https://ibp.a2mac1.com/costing(costing:projects/details/8191/part/5388373)","Door Stopper")</f>
        <v>Door Stopper</v>
      </c>
      <c r="B1234">
        <v>5388373</v>
      </c>
      <c r="C1234">
        <v>5388177</v>
      </c>
      <c r="D1234" t="s">
        <v>4771</v>
      </c>
      <c r="E1234">
        <v>2.0761699999999998</v>
      </c>
      <c r="F1234">
        <v>0</v>
      </c>
      <c r="G1234">
        <v>0</v>
      </c>
      <c r="H1234">
        <v>0</v>
      </c>
      <c r="I1234" t="s">
        <v>74</v>
      </c>
      <c r="J1234">
        <v>0</v>
      </c>
      <c r="K1234">
        <v>2.0761699999999998</v>
      </c>
      <c r="L1234">
        <v>0</v>
      </c>
      <c r="M1234">
        <v>0</v>
      </c>
      <c r="N1234">
        <v>2.0761699999999998</v>
      </c>
      <c r="O1234" t="s">
        <v>74</v>
      </c>
      <c r="P1234">
        <v>0</v>
      </c>
      <c r="Q1234" t="s">
        <v>74</v>
      </c>
      <c r="R1234">
        <v>0</v>
      </c>
      <c r="S1234" t="s">
        <v>74</v>
      </c>
      <c r="T1234">
        <v>0</v>
      </c>
      <c r="U1234" t="s">
        <v>74</v>
      </c>
      <c r="V1234">
        <v>0</v>
      </c>
      <c r="W1234" t="s">
        <v>74</v>
      </c>
      <c r="X1234">
        <v>0</v>
      </c>
      <c r="Y1234">
        <v>2.0761699999999998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34</v>
      </c>
      <c r="AF1234">
        <v>169</v>
      </c>
      <c r="AG1234">
        <v>73</v>
      </c>
      <c r="AI1234">
        <v>0.157</v>
      </c>
      <c r="AJ1234" t="s">
        <v>685</v>
      </c>
      <c r="AK1234" t="s">
        <v>4605</v>
      </c>
      <c r="AL1234" t="s">
        <v>4883</v>
      </c>
      <c r="AM1234">
        <v>200000</v>
      </c>
      <c r="AN1234" t="s">
        <v>76</v>
      </c>
      <c r="AO1234">
        <v>1</v>
      </c>
      <c r="AP1234">
        <v>0</v>
      </c>
      <c r="AQ1234">
        <v>16666.666666666668</v>
      </c>
      <c r="AR1234" t="s">
        <v>4884</v>
      </c>
      <c r="AS1234" t="s">
        <v>78</v>
      </c>
      <c r="AX1234" t="s">
        <v>79</v>
      </c>
      <c r="AY1234" t="s">
        <v>74</v>
      </c>
      <c r="AZ1234">
        <v>0</v>
      </c>
      <c r="BA1234" t="s">
        <v>74</v>
      </c>
      <c r="BB1234">
        <v>0</v>
      </c>
      <c r="BD1234">
        <v>2.0761699999999998</v>
      </c>
      <c r="BE1234">
        <v>0</v>
      </c>
    </row>
    <row r="1235" spans="1:58" ht="12.75">
      <c r="A1235" s="2" t="str">
        <f>HYPERLINK("https://ibp.a2mac1.com/costing(costing:projects/details/8191/part/5388764)","Lighting")</f>
        <v>Lighting</v>
      </c>
      <c r="B1235">
        <v>5388764</v>
      </c>
      <c r="C1235">
        <v>5388387</v>
      </c>
      <c r="E1235">
        <v>1.38411</v>
      </c>
      <c r="F1235">
        <v>0</v>
      </c>
      <c r="G1235">
        <v>0</v>
      </c>
      <c r="H1235">
        <v>0</v>
      </c>
      <c r="I1235" t="s">
        <v>74</v>
      </c>
      <c r="J1235">
        <v>0</v>
      </c>
      <c r="K1235">
        <v>1.38411</v>
      </c>
      <c r="L1235">
        <v>0</v>
      </c>
      <c r="M1235">
        <v>0</v>
      </c>
      <c r="N1235">
        <v>1.38411</v>
      </c>
      <c r="O1235" t="s">
        <v>74</v>
      </c>
      <c r="P1235">
        <v>0</v>
      </c>
      <c r="Q1235" t="s">
        <v>74</v>
      </c>
      <c r="R1235">
        <v>0</v>
      </c>
      <c r="S1235" t="s">
        <v>74</v>
      </c>
      <c r="T1235">
        <v>0</v>
      </c>
      <c r="U1235" t="s">
        <v>74</v>
      </c>
      <c r="V1235">
        <v>0</v>
      </c>
      <c r="W1235" t="s">
        <v>74</v>
      </c>
      <c r="X1235">
        <v>0</v>
      </c>
      <c r="Y1235">
        <v>1.38411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21</v>
      </c>
      <c r="AF1235">
        <v>18</v>
      </c>
      <c r="AG1235">
        <v>41</v>
      </c>
      <c r="AI1235">
        <v>0.005</v>
      </c>
      <c r="AJ1235" t="s">
        <v>3683</v>
      </c>
      <c r="AK1235" t="s">
        <v>576</v>
      </c>
      <c r="AL1235" t="s">
        <v>2811</v>
      </c>
      <c r="AM1235">
        <v>200000</v>
      </c>
      <c r="AN1235" t="s">
        <v>76</v>
      </c>
      <c r="AO1235">
        <v>1</v>
      </c>
      <c r="AP1235">
        <v>0</v>
      </c>
      <c r="AQ1235">
        <v>16666.666666666668</v>
      </c>
      <c r="AR1235" t="s">
        <v>4891</v>
      </c>
      <c r="AS1235" t="s">
        <v>78</v>
      </c>
      <c r="AX1235" t="s">
        <v>79</v>
      </c>
      <c r="AY1235" t="s">
        <v>74</v>
      </c>
      <c r="AZ1235">
        <v>0</v>
      </c>
      <c r="BA1235" t="s">
        <v>74</v>
      </c>
      <c r="BB1235">
        <v>0</v>
      </c>
      <c r="BD1235">
        <v>1.38411</v>
      </c>
      <c r="BE1235">
        <v>0</v>
      </c>
    </row>
    <row r="1236" spans="1:58" ht="12.75">
      <c r="A1236" s="2" t="str">
        <f>HYPERLINK("https://ibp.a2mac1.com/costing(costing:projects/details/8191/part/5388765)","2nd Light")</f>
        <v>2nd Light</v>
      </c>
      <c r="B1236">
        <v>5388765</v>
      </c>
      <c r="C1236">
        <v>5388387</v>
      </c>
      <c r="E1236">
        <v>1.38411</v>
      </c>
      <c r="F1236">
        <v>0</v>
      </c>
      <c r="G1236">
        <v>0</v>
      </c>
      <c r="H1236">
        <v>0</v>
      </c>
      <c r="I1236" t="s">
        <v>74</v>
      </c>
      <c r="J1236">
        <v>0</v>
      </c>
      <c r="K1236">
        <v>1.38411</v>
      </c>
      <c r="L1236">
        <v>0</v>
      </c>
      <c r="M1236">
        <v>0</v>
      </c>
      <c r="N1236">
        <v>1.38411</v>
      </c>
      <c r="O1236" t="s">
        <v>74</v>
      </c>
      <c r="P1236">
        <v>0</v>
      </c>
      <c r="Q1236" t="s">
        <v>74</v>
      </c>
      <c r="R1236">
        <v>0</v>
      </c>
      <c r="S1236" t="s">
        <v>74</v>
      </c>
      <c r="T1236">
        <v>0</v>
      </c>
      <c r="U1236" t="s">
        <v>74</v>
      </c>
      <c r="V1236">
        <v>0</v>
      </c>
      <c r="W1236" t="s">
        <v>74</v>
      </c>
      <c r="X1236">
        <v>0</v>
      </c>
      <c r="Y1236">
        <v>1.38411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21</v>
      </c>
      <c r="AF1236">
        <v>18</v>
      </c>
      <c r="AG1236">
        <v>41</v>
      </c>
      <c r="AI1236">
        <v>0.005</v>
      </c>
      <c r="AJ1236" t="s">
        <v>3683</v>
      </c>
      <c r="AK1236" t="s">
        <v>576</v>
      </c>
      <c r="AL1236" t="s">
        <v>2811</v>
      </c>
      <c r="AM1236">
        <v>200000</v>
      </c>
      <c r="AN1236" t="s">
        <v>76</v>
      </c>
      <c r="AO1236">
        <v>1</v>
      </c>
      <c r="AP1236">
        <v>0</v>
      </c>
      <c r="AQ1236">
        <v>16666.666666666668</v>
      </c>
      <c r="AR1236" t="s">
        <v>4892</v>
      </c>
      <c r="AS1236" t="s">
        <v>78</v>
      </c>
      <c r="AX1236" t="s">
        <v>79</v>
      </c>
      <c r="AY1236" t="s">
        <v>74</v>
      </c>
      <c r="AZ1236">
        <v>0</v>
      </c>
      <c r="BA1236" t="s">
        <v>74</v>
      </c>
      <c r="BB1236">
        <v>0</v>
      </c>
      <c r="BD1236">
        <v>1.38411</v>
      </c>
      <c r="BE1236">
        <v>0</v>
      </c>
    </row>
    <row r="1237" spans="1:58" ht="12.75">
      <c r="A1237" s="2" t="str">
        <f>HYPERLINK("https://ibp.a2mac1.com/costing(costing:projects/details/8191/part/5388766)","Light Diffuser")</f>
        <v>Light Diffuser</v>
      </c>
      <c r="B1237">
        <v>5388766</v>
      </c>
      <c r="C1237">
        <v>5388387</v>
      </c>
      <c r="E1237">
        <v>0.11996</v>
      </c>
      <c r="F1237">
        <v>0</v>
      </c>
      <c r="G1237">
        <v>0</v>
      </c>
      <c r="H1237">
        <v>0</v>
      </c>
      <c r="I1237" t="s">
        <v>74</v>
      </c>
      <c r="J1237">
        <v>0</v>
      </c>
      <c r="K1237">
        <v>0.11996</v>
      </c>
      <c r="L1237">
        <v>0</v>
      </c>
      <c r="M1237">
        <v>0</v>
      </c>
      <c r="N1237">
        <v>0.11996</v>
      </c>
      <c r="O1237" t="s">
        <v>74</v>
      </c>
      <c r="P1237">
        <v>0</v>
      </c>
      <c r="Q1237" t="s">
        <v>74</v>
      </c>
      <c r="R1237">
        <v>0</v>
      </c>
      <c r="S1237" t="s">
        <v>74</v>
      </c>
      <c r="T1237">
        <v>0</v>
      </c>
      <c r="U1237" t="s">
        <v>74</v>
      </c>
      <c r="V1237">
        <v>0</v>
      </c>
      <c r="W1237" t="s">
        <v>74</v>
      </c>
      <c r="X1237">
        <v>0</v>
      </c>
      <c r="Y1237">
        <v>0.11996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10</v>
      </c>
      <c r="AF1237">
        <v>219</v>
      </c>
      <c r="AG1237">
        <v>74</v>
      </c>
      <c r="AI1237">
        <v>0.0089999999999999993</v>
      </c>
      <c r="AK1237" t="s">
        <v>576</v>
      </c>
      <c r="AL1237" t="s">
        <v>1283</v>
      </c>
      <c r="AM1237">
        <v>200000</v>
      </c>
      <c r="AN1237" t="s">
        <v>76</v>
      </c>
      <c r="AO1237">
        <v>1</v>
      </c>
      <c r="AP1237">
        <v>0</v>
      </c>
      <c r="AQ1237">
        <v>16666.666666666668</v>
      </c>
      <c r="AR1237" t="s">
        <v>4893</v>
      </c>
      <c r="AS1237" t="s">
        <v>78</v>
      </c>
      <c r="AX1237" t="s">
        <v>79</v>
      </c>
      <c r="AY1237" t="s">
        <v>74</v>
      </c>
      <c r="AZ1237">
        <v>0</v>
      </c>
      <c r="BA1237" t="s">
        <v>74</v>
      </c>
      <c r="BB1237">
        <v>0</v>
      </c>
      <c r="BD1237">
        <v>0.11996</v>
      </c>
      <c r="BE1237">
        <v>0</v>
      </c>
    </row>
    <row r="1238" spans="1:58" ht="12.75">
      <c r="A1238" s="2" t="str">
        <f>HYPERLINK("https://ibp.a2mac1.com/costing(costing:projects/details/8191/part/5388767)","2nd Light Diffuser")</f>
        <v>2nd Light Diffuser</v>
      </c>
      <c r="B1238">
        <v>5388767</v>
      </c>
      <c r="C1238">
        <v>5388387</v>
      </c>
      <c r="E1238">
        <v>0.15687000000000001</v>
      </c>
      <c r="F1238">
        <v>0</v>
      </c>
      <c r="G1238">
        <v>0</v>
      </c>
      <c r="H1238">
        <v>0</v>
      </c>
      <c r="I1238" t="s">
        <v>74</v>
      </c>
      <c r="J1238">
        <v>0</v>
      </c>
      <c r="K1238">
        <v>0.15687000000000001</v>
      </c>
      <c r="L1238">
        <v>0</v>
      </c>
      <c r="M1238">
        <v>0</v>
      </c>
      <c r="N1238">
        <v>0.15687000000000001</v>
      </c>
      <c r="O1238" t="s">
        <v>74</v>
      </c>
      <c r="P1238">
        <v>0</v>
      </c>
      <c r="Q1238" t="s">
        <v>74</v>
      </c>
      <c r="R1238">
        <v>0</v>
      </c>
      <c r="S1238" t="s">
        <v>74</v>
      </c>
      <c r="T1238">
        <v>0</v>
      </c>
      <c r="U1238" t="s">
        <v>74</v>
      </c>
      <c r="V1238">
        <v>0</v>
      </c>
      <c r="W1238" t="s">
        <v>74</v>
      </c>
      <c r="X1238">
        <v>0</v>
      </c>
      <c r="Y1238">
        <v>0.15687000000000001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14</v>
      </c>
      <c r="AF1238">
        <v>334</v>
      </c>
      <c r="AG1238">
        <v>79</v>
      </c>
      <c r="AI1238">
        <v>0.012</v>
      </c>
      <c r="AK1238" t="s">
        <v>598</v>
      </c>
      <c r="AL1238" t="s">
        <v>1283</v>
      </c>
      <c r="AM1238">
        <v>200000</v>
      </c>
      <c r="AN1238" t="s">
        <v>76</v>
      </c>
      <c r="AO1238">
        <v>1</v>
      </c>
      <c r="AP1238">
        <v>0</v>
      </c>
      <c r="AQ1238">
        <v>16666.666666666668</v>
      </c>
      <c r="AR1238" t="s">
        <v>4894</v>
      </c>
      <c r="AS1238" t="s">
        <v>78</v>
      </c>
      <c r="AX1238" t="s">
        <v>79</v>
      </c>
      <c r="AY1238" t="s">
        <v>74</v>
      </c>
      <c r="AZ1238">
        <v>0</v>
      </c>
      <c r="BA1238" t="s">
        <v>74</v>
      </c>
      <c r="BB1238">
        <v>0</v>
      </c>
      <c r="BD1238">
        <v>0.15687000000000001</v>
      </c>
      <c r="BE1238">
        <v>0</v>
      </c>
    </row>
    <row r="1239" spans="1:58" ht="12.75">
      <c r="A1239" s="2" t="str">
        <f>HYPERLINK("https://ibp.a2mac1.com/costing(costing:projects/details/8191/part/5388377)","Harness")</f>
        <v>Harness</v>
      </c>
      <c r="B1239">
        <v>5388377</v>
      </c>
      <c r="C1239">
        <v>5388178</v>
      </c>
      <c r="E1239">
        <v>15.04989</v>
      </c>
      <c r="F1239">
        <v>0</v>
      </c>
      <c r="G1239">
        <v>0</v>
      </c>
      <c r="H1239">
        <v>0</v>
      </c>
      <c r="I1239" t="s">
        <v>74</v>
      </c>
      <c r="J1239">
        <v>0</v>
      </c>
      <c r="K1239">
        <v>15.04989</v>
      </c>
      <c r="L1239">
        <v>0</v>
      </c>
      <c r="M1239">
        <v>0</v>
      </c>
      <c r="N1239">
        <v>15.04989</v>
      </c>
      <c r="O1239" t="s">
        <v>74</v>
      </c>
      <c r="P1239">
        <v>0</v>
      </c>
      <c r="Q1239" t="s">
        <v>74</v>
      </c>
      <c r="R1239">
        <v>0</v>
      </c>
      <c r="S1239" t="s">
        <v>74</v>
      </c>
      <c r="T1239">
        <v>0</v>
      </c>
      <c r="U1239" t="s">
        <v>74</v>
      </c>
      <c r="V1239">
        <v>0</v>
      </c>
      <c r="W1239" t="s">
        <v>74</v>
      </c>
      <c r="X1239">
        <v>0</v>
      </c>
      <c r="Y1239">
        <v>15.04989</v>
      </c>
      <c r="Z1239">
        <v>0</v>
      </c>
      <c r="AA1239">
        <v>0</v>
      </c>
      <c r="AB1239">
        <v>0</v>
      </c>
      <c r="AC1239">
        <v>0</v>
      </c>
      <c r="AD1239">
        <v>0</v>
      </c>
      <c r="AI1239">
        <v>0.52700000000000002</v>
      </c>
      <c r="AJ1239" t="s">
        <v>1644</v>
      </c>
      <c r="AK1239" t="s">
        <v>1645</v>
      </c>
      <c r="AL1239" t="s">
        <v>1658</v>
      </c>
      <c r="AM1239">
        <v>200000</v>
      </c>
      <c r="AN1239" t="s">
        <v>76</v>
      </c>
      <c r="AO1239">
        <v>1</v>
      </c>
      <c r="AP1239">
        <v>0</v>
      </c>
      <c r="AQ1239">
        <v>16666.666666666668</v>
      </c>
      <c r="AR1239" t="s">
        <v>4897</v>
      </c>
      <c r="AS1239" t="s">
        <v>78</v>
      </c>
      <c r="AX1239" t="s">
        <v>79</v>
      </c>
      <c r="AY1239" t="s">
        <v>74</v>
      </c>
      <c r="AZ1239">
        <v>0</v>
      </c>
      <c r="BA1239" t="s">
        <v>74</v>
      </c>
      <c r="BB1239">
        <v>0</v>
      </c>
      <c r="BD1239">
        <v>15.04989</v>
      </c>
      <c r="BE1239">
        <v>0</v>
      </c>
    </row>
    <row r="1240" spans="1:58" ht="12.75">
      <c r="A1240" s="2" t="str">
        <f>HYPERLINK("https://ibp.a2mac1.com/costing(costing:projects/details/8191/part/5388378)","2nd Harness")</f>
        <v>2nd Harness</v>
      </c>
      <c r="B1240">
        <v>5388378</v>
      </c>
      <c r="C1240">
        <v>5388178</v>
      </c>
      <c r="E1240">
        <v>1.7993399999999999</v>
      </c>
      <c r="F1240">
        <v>0</v>
      </c>
      <c r="G1240">
        <v>0</v>
      </c>
      <c r="H1240">
        <v>0</v>
      </c>
      <c r="I1240" t="s">
        <v>74</v>
      </c>
      <c r="J1240">
        <v>0</v>
      </c>
      <c r="K1240">
        <v>1.7993399999999999</v>
      </c>
      <c r="L1240">
        <v>0</v>
      </c>
      <c r="M1240">
        <v>0</v>
      </c>
      <c r="N1240">
        <v>1.7993399999999999</v>
      </c>
      <c r="O1240" t="s">
        <v>74</v>
      </c>
      <c r="P1240">
        <v>0</v>
      </c>
      <c r="Q1240" t="s">
        <v>74</v>
      </c>
      <c r="R1240">
        <v>0</v>
      </c>
      <c r="S1240" t="s">
        <v>74</v>
      </c>
      <c r="T1240">
        <v>0</v>
      </c>
      <c r="U1240" t="s">
        <v>74</v>
      </c>
      <c r="V1240">
        <v>0</v>
      </c>
      <c r="W1240" t="s">
        <v>74</v>
      </c>
      <c r="X1240">
        <v>0</v>
      </c>
      <c r="Y1240">
        <v>1.7993399999999999</v>
      </c>
      <c r="Z1240">
        <v>0</v>
      </c>
      <c r="AA1240">
        <v>0</v>
      </c>
      <c r="AB1240">
        <v>0</v>
      </c>
      <c r="AC1240">
        <v>0</v>
      </c>
      <c r="AD1240">
        <v>0</v>
      </c>
      <c r="AI1240">
        <v>0.034000000000000002</v>
      </c>
      <c r="AJ1240" t="s">
        <v>1644</v>
      </c>
      <c r="AK1240" t="s">
        <v>1645</v>
      </c>
      <c r="AL1240" t="s">
        <v>1658</v>
      </c>
      <c r="AM1240">
        <v>200000</v>
      </c>
      <c r="AN1240" t="s">
        <v>76</v>
      </c>
      <c r="AO1240">
        <v>1</v>
      </c>
      <c r="AP1240">
        <v>0</v>
      </c>
      <c r="AQ1240">
        <v>16666.666666666668</v>
      </c>
      <c r="AR1240" t="s">
        <v>4898</v>
      </c>
      <c r="AS1240" t="s">
        <v>78</v>
      </c>
      <c r="AX1240" t="s">
        <v>79</v>
      </c>
      <c r="AY1240" t="s">
        <v>74</v>
      </c>
      <c r="AZ1240">
        <v>0</v>
      </c>
      <c r="BA1240" t="s">
        <v>74</v>
      </c>
      <c r="BB1240">
        <v>0</v>
      </c>
      <c r="BD1240">
        <v>1.7993399999999999</v>
      </c>
      <c r="BE1240">
        <v>0</v>
      </c>
    </row>
    <row r="1241" spans="1:58" ht="12.75">
      <c r="A1241" s="2" t="str">
        <f>HYPERLINK("https://ibp.a2mac1.com/costing(costing:projects/details/8191/part/5388379)","Lighting Wiring Harness")</f>
        <v>Lighting Wiring Harness</v>
      </c>
      <c r="B1241">
        <v>5388379</v>
      </c>
      <c r="C1241">
        <v>5388178</v>
      </c>
      <c r="E1241">
        <v>2.4268100000000001</v>
      </c>
      <c r="F1241">
        <v>0</v>
      </c>
      <c r="G1241">
        <v>0</v>
      </c>
      <c r="H1241">
        <v>0</v>
      </c>
      <c r="I1241" t="s">
        <v>74</v>
      </c>
      <c r="J1241">
        <v>0</v>
      </c>
      <c r="K1241">
        <v>2.4268100000000001</v>
      </c>
      <c r="L1241">
        <v>0</v>
      </c>
      <c r="M1241">
        <v>0</v>
      </c>
      <c r="N1241">
        <v>2.4268100000000001</v>
      </c>
      <c r="O1241" t="s">
        <v>74</v>
      </c>
      <c r="P1241">
        <v>0</v>
      </c>
      <c r="Q1241" t="s">
        <v>74</v>
      </c>
      <c r="R1241">
        <v>0</v>
      </c>
      <c r="S1241" t="s">
        <v>74</v>
      </c>
      <c r="T1241">
        <v>0</v>
      </c>
      <c r="U1241" t="s">
        <v>74</v>
      </c>
      <c r="V1241">
        <v>0</v>
      </c>
      <c r="W1241" t="s">
        <v>74</v>
      </c>
      <c r="X1241">
        <v>0</v>
      </c>
      <c r="Y1241">
        <v>2.4268100000000001</v>
      </c>
      <c r="Z1241">
        <v>0</v>
      </c>
      <c r="AA1241">
        <v>0</v>
      </c>
      <c r="AB1241">
        <v>0</v>
      </c>
      <c r="AC1241">
        <v>0</v>
      </c>
      <c r="AD1241">
        <v>0</v>
      </c>
      <c r="AI1241">
        <v>0.035999999999999997</v>
      </c>
      <c r="AK1241" t="s">
        <v>1645</v>
      </c>
      <c r="AL1241" t="s">
        <v>1658</v>
      </c>
      <c r="AM1241">
        <v>200000</v>
      </c>
      <c r="AN1241" t="s">
        <v>76</v>
      </c>
      <c r="AO1241">
        <v>1</v>
      </c>
      <c r="AP1241">
        <v>0</v>
      </c>
      <c r="AQ1241">
        <v>16666.666666666668</v>
      </c>
      <c r="AR1241" t="s">
        <v>4899</v>
      </c>
      <c r="AS1241" t="s">
        <v>78</v>
      </c>
      <c r="AX1241" t="s">
        <v>79</v>
      </c>
      <c r="AY1241" t="s">
        <v>74</v>
      </c>
      <c r="AZ1241">
        <v>0</v>
      </c>
      <c r="BA1241" t="s">
        <v>74</v>
      </c>
      <c r="BB1241">
        <v>0</v>
      </c>
      <c r="BD1241">
        <v>2.4268100000000001</v>
      </c>
      <c r="BE1241">
        <v>0</v>
      </c>
    </row>
    <row r="1242" spans="1:58" ht="12.75">
      <c r="A1242" s="2" t="str">
        <f>HYPERLINK("https://ibp.a2mac1.com/costing(costing:projects/details/8191/part/5388380)","Harness Grommet")</f>
        <v>Harness Grommet</v>
      </c>
      <c r="B1242">
        <v>5388380</v>
      </c>
      <c r="C1242">
        <v>5388178</v>
      </c>
      <c r="E1242">
        <v>0.20300000000000001</v>
      </c>
      <c r="F1242">
        <v>0</v>
      </c>
      <c r="G1242">
        <v>0</v>
      </c>
      <c r="H1242">
        <v>0</v>
      </c>
      <c r="I1242" t="s">
        <v>74</v>
      </c>
      <c r="J1242">
        <v>0</v>
      </c>
      <c r="K1242">
        <v>0.20300000000000001</v>
      </c>
      <c r="L1242">
        <v>0</v>
      </c>
      <c r="M1242">
        <v>0</v>
      </c>
      <c r="N1242">
        <v>0.20300000000000001</v>
      </c>
      <c r="O1242" t="s">
        <v>74</v>
      </c>
      <c r="P1242">
        <v>0</v>
      </c>
      <c r="Q1242" t="s">
        <v>74</v>
      </c>
      <c r="R1242">
        <v>0</v>
      </c>
      <c r="S1242" t="s">
        <v>74</v>
      </c>
      <c r="T1242">
        <v>0</v>
      </c>
      <c r="U1242" t="s">
        <v>74</v>
      </c>
      <c r="V1242">
        <v>0</v>
      </c>
      <c r="W1242" t="s">
        <v>74</v>
      </c>
      <c r="X1242">
        <v>0</v>
      </c>
      <c r="Y1242">
        <v>0.20300000000000001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49</v>
      </c>
      <c r="AF1242">
        <v>198</v>
      </c>
      <c r="AG1242">
        <v>77</v>
      </c>
      <c r="AI1242">
        <v>0.001</v>
      </c>
      <c r="AJ1242" t="s">
        <v>4900</v>
      </c>
      <c r="AK1242" t="s">
        <v>686</v>
      </c>
      <c r="AL1242" t="s">
        <v>4901</v>
      </c>
      <c r="AM1242">
        <v>200000</v>
      </c>
      <c r="AN1242" t="s">
        <v>76</v>
      </c>
      <c r="AO1242">
        <v>1</v>
      </c>
      <c r="AP1242">
        <v>0</v>
      </c>
      <c r="AQ1242">
        <v>16666.666666666668</v>
      </c>
      <c r="AR1242" t="s">
        <v>4902</v>
      </c>
      <c r="AS1242" t="s">
        <v>78</v>
      </c>
      <c r="AX1242" t="s">
        <v>79</v>
      </c>
      <c r="AY1242" t="s">
        <v>74</v>
      </c>
      <c r="AZ1242">
        <v>0</v>
      </c>
      <c r="BA1242" t="s">
        <v>74</v>
      </c>
      <c r="BB1242">
        <v>0</v>
      </c>
      <c r="BD1242">
        <v>0.20300000000000001</v>
      </c>
      <c r="BE1242">
        <v>0</v>
      </c>
    </row>
    <row r="1243" spans="1:58" ht="12.75">
      <c r="A1243" s="2" t="str">
        <f>HYPERLINK("https://ibp.a2mac1.com/costing(costing:projects/details/8191/part/5388381)","2nd Harness Grommet")</f>
        <v>2nd Harness Grommet</v>
      </c>
      <c r="B1243">
        <v>5388381</v>
      </c>
      <c r="C1243">
        <v>5388178</v>
      </c>
      <c r="E1243">
        <v>0.04614</v>
      </c>
      <c r="F1243">
        <v>0</v>
      </c>
      <c r="G1243">
        <v>0</v>
      </c>
      <c r="H1243">
        <v>0</v>
      </c>
      <c r="I1243" t="s">
        <v>74</v>
      </c>
      <c r="J1243">
        <v>0</v>
      </c>
      <c r="K1243">
        <v>0.04614</v>
      </c>
      <c r="L1243">
        <v>0</v>
      </c>
      <c r="M1243">
        <v>0</v>
      </c>
      <c r="N1243">
        <v>0.04614</v>
      </c>
      <c r="O1243" t="s">
        <v>74</v>
      </c>
      <c r="P1243">
        <v>0</v>
      </c>
      <c r="Q1243" t="s">
        <v>74</v>
      </c>
      <c r="R1243">
        <v>0</v>
      </c>
      <c r="S1243" t="s">
        <v>74</v>
      </c>
      <c r="T1243">
        <v>0</v>
      </c>
      <c r="U1243" t="s">
        <v>74</v>
      </c>
      <c r="V1243">
        <v>0</v>
      </c>
      <c r="W1243" t="s">
        <v>74</v>
      </c>
      <c r="X1243">
        <v>0</v>
      </c>
      <c r="Y1243">
        <v>0.04614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14</v>
      </c>
      <c r="AF1243">
        <v>70</v>
      </c>
      <c r="AG1243">
        <v>70</v>
      </c>
      <c r="AI1243">
        <v>0.001</v>
      </c>
      <c r="AJ1243" t="s">
        <v>1211</v>
      </c>
      <c r="AK1243" t="s">
        <v>4605</v>
      </c>
      <c r="AL1243" t="s">
        <v>3856</v>
      </c>
      <c r="AM1243">
        <v>200000</v>
      </c>
      <c r="AN1243" t="s">
        <v>76</v>
      </c>
      <c r="AO1243">
        <v>1</v>
      </c>
      <c r="AP1243">
        <v>0</v>
      </c>
      <c r="AQ1243">
        <v>16666.666666666668</v>
      </c>
      <c r="AR1243" t="s">
        <v>4903</v>
      </c>
      <c r="AS1243" t="s">
        <v>78</v>
      </c>
      <c r="AX1243" t="s">
        <v>79</v>
      </c>
      <c r="AY1243" t="s">
        <v>74</v>
      </c>
      <c r="AZ1243">
        <v>0</v>
      </c>
      <c r="BA1243" t="s">
        <v>74</v>
      </c>
      <c r="BB1243">
        <v>0</v>
      </c>
      <c r="BD1243">
        <v>0.04614</v>
      </c>
      <c r="BE1243">
        <v>0</v>
      </c>
    </row>
    <row r="1244" spans="1:58" ht="12.75">
      <c r="A1244" s="2" t="str">
        <f>HYPERLINK("https://ibp.a2mac1.com/costing(costing:projects/details/8191/part/5388386)","Locking Indicator")</f>
        <v>Locking Indicator</v>
      </c>
      <c r="B1244">
        <v>5388386</v>
      </c>
      <c r="C1244">
        <v>5388178</v>
      </c>
      <c r="E1244">
        <v>0.73819000000000001</v>
      </c>
      <c r="F1244">
        <v>0</v>
      </c>
      <c r="G1244">
        <v>0</v>
      </c>
      <c r="H1244">
        <v>0</v>
      </c>
      <c r="I1244" t="s">
        <v>74</v>
      </c>
      <c r="J1244">
        <v>0</v>
      </c>
      <c r="K1244">
        <v>0.73819000000000001</v>
      </c>
      <c r="L1244">
        <v>0</v>
      </c>
      <c r="M1244">
        <v>0</v>
      </c>
      <c r="N1244">
        <v>0.73819000000000001</v>
      </c>
      <c r="O1244" t="s">
        <v>74</v>
      </c>
      <c r="P1244">
        <v>0</v>
      </c>
      <c r="Q1244" t="s">
        <v>74</v>
      </c>
      <c r="R1244">
        <v>0</v>
      </c>
      <c r="S1244" t="s">
        <v>74</v>
      </c>
      <c r="T1244">
        <v>0</v>
      </c>
      <c r="U1244" t="s">
        <v>74</v>
      </c>
      <c r="V1244">
        <v>0</v>
      </c>
      <c r="W1244" t="s">
        <v>74</v>
      </c>
      <c r="X1244">
        <v>0</v>
      </c>
      <c r="Y1244">
        <v>0.73819000000000001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17</v>
      </c>
      <c r="AF1244">
        <v>34</v>
      </c>
      <c r="AG1244">
        <v>32</v>
      </c>
      <c r="AI1244">
        <v>0.0030000000000000001</v>
      </c>
      <c r="AJ1244" t="s">
        <v>685</v>
      </c>
      <c r="AK1244" t="s">
        <v>4605</v>
      </c>
      <c r="AL1244" t="s">
        <v>4904</v>
      </c>
      <c r="AM1244">
        <v>200000</v>
      </c>
      <c r="AN1244" t="s">
        <v>76</v>
      </c>
      <c r="AO1244">
        <v>1</v>
      </c>
      <c r="AP1244">
        <v>0</v>
      </c>
      <c r="AQ1244">
        <v>16666.666666666668</v>
      </c>
      <c r="AR1244" t="s">
        <v>4905</v>
      </c>
      <c r="AS1244" t="s">
        <v>78</v>
      </c>
      <c r="AX1244" t="s">
        <v>79</v>
      </c>
      <c r="AY1244" t="s">
        <v>74</v>
      </c>
      <c r="AZ1244">
        <v>0</v>
      </c>
      <c r="BA1244" t="s">
        <v>74</v>
      </c>
      <c r="BB1244">
        <v>0</v>
      </c>
      <c r="BD1244">
        <v>0.73819000000000001</v>
      </c>
      <c r="BE1244">
        <v>0</v>
      </c>
    </row>
    <row r="1245" spans="1:58" ht="12.75">
      <c r="A1245" s="2" t="str">
        <f>HYPERLINK("https://ibp.a2mac1.com/costing(costing:projects/details/8191/part/5388389)","Side Protection Molding")</f>
        <v>Side Protection Molding</v>
      </c>
      <c r="B1245">
        <v>5388389</v>
      </c>
      <c r="C1245">
        <v>5388179</v>
      </c>
      <c r="E1245">
        <v>0.75202641460019259</v>
      </c>
      <c r="F1245">
        <v>0</v>
      </c>
      <c r="G1245">
        <v>0</v>
      </c>
      <c r="H1245">
        <v>0.0015506947151751544</v>
      </c>
      <c r="I1245" t="s">
        <v>137</v>
      </c>
      <c r="J1245">
        <v>0.026346754869480779</v>
      </c>
      <c r="K1245">
        <v>0.77992386418484849</v>
      </c>
      <c r="L1245">
        <v>0.061224264518072828</v>
      </c>
      <c r="M1245">
        <v>0.36734558710843696</v>
      </c>
      <c r="N1245">
        <v>1.1472694512932855</v>
      </c>
      <c r="O1245" t="s">
        <v>138</v>
      </c>
      <c r="P1245">
        <v>0.046795431851090911</v>
      </c>
      <c r="Q1245" t="s">
        <v>138</v>
      </c>
      <c r="R1245">
        <v>0.022040735226506219</v>
      </c>
      <c r="S1245" t="s">
        <v>139</v>
      </c>
      <c r="T1245">
        <v>0.13767233415519425</v>
      </c>
      <c r="U1245" t="s">
        <v>90</v>
      </c>
      <c r="V1245">
        <v>0</v>
      </c>
      <c r="W1245" t="s">
        <v>90</v>
      </c>
      <c r="X1245">
        <v>0</v>
      </c>
      <c r="Y1245">
        <v>1.3537779525260769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37</v>
      </c>
      <c r="AF1245">
        <v>1075</v>
      </c>
      <c r="AG1245">
        <v>208</v>
      </c>
      <c r="AI1245">
        <v>0.66200000000000003</v>
      </c>
      <c r="AJ1245" t="s">
        <v>685</v>
      </c>
      <c r="AK1245" t="s">
        <v>4605</v>
      </c>
      <c r="AL1245" t="s">
        <v>1182</v>
      </c>
      <c r="AM1245">
        <v>200000</v>
      </c>
      <c r="AN1245" t="s">
        <v>76</v>
      </c>
      <c r="AO1245">
        <v>1</v>
      </c>
      <c r="AP1245">
        <v>0</v>
      </c>
      <c r="AQ1245">
        <v>16666.666666666668</v>
      </c>
      <c r="AR1245" t="s">
        <v>4914</v>
      </c>
      <c r="AS1245" t="s">
        <v>78</v>
      </c>
      <c r="AX1245" t="s">
        <v>79</v>
      </c>
      <c r="AY1245" t="s">
        <v>137</v>
      </c>
      <c r="AZ1245">
        <v>0</v>
      </c>
      <c r="BA1245" t="s">
        <v>137</v>
      </c>
      <c r="BB1245">
        <v>0</v>
      </c>
      <c r="BE1245">
        <v>0</v>
      </c>
    </row>
    <row r="1246" spans="1:58" ht="12.75">
      <c r="A1246" s="2" t="str">
        <f>HYPERLINK("https://ibp.a2mac1.com/costing(costing:projects/details/8191/part/5388390)","B Pillar Accent")</f>
        <v>B Pillar Accent</v>
      </c>
      <c r="B1246">
        <v>5388390</v>
      </c>
      <c r="C1246">
        <v>5388179</v>
      </c>
      <c r="E1246">
        <v>0.40444116153538584</v>
      </c>
      <c r="F1246">
        <v>0</v>
      </c>
      <c r="G1246">
        <v>0</v>
      </c>
      <c r="H1246">
        <v>0.00083396641343462617</v>
      </c>
      <c r="I1246" t="s">
        <v>137</v>
      </c>
      <c r="J1246">
        <v>0.014169332267093163</v>
      </c>
      <c r="K1246">
        <v>0.41944446021591364</v>
      </c>
      <c r="L1246">
        <v>0.05837799974930831</v>
      </c>
      <c r="M1246">
        <v>0.35026799849584983</v>
      </c>
      <c r="N1246">
        <v>0.76971245871176353</v>
      </c>
      <c r="O1246" t="s">
        <v>138</v>
      </c>
      <c r="P1246">
        <v>0.025166667612954819</v>
      </c>
      <c r="Q1246" t="s">
        <v>138</v>
      </c>
      <c r="R1246">
        <v>0.02101607990975099</v>
      </c>
      <c r="S1246" t="s">
        <v>139</v>
      </c>
      <c r="T1246">
        <v>0.092365495045411625</v>
      </c>
      <c r="U1246" t="s">
        <v>90</v>
      </c>
      <c r="V1246">
        <v>0</v>
      </c>
      <c r="W1246" t="s">
        <v>90</v>
      </c>
      <c r="X1246">
        <v>0</v>
      </c>
      <c r="Y1246">
        <v>0.9082607012798809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37</v>
      </c>
      <c r="AF1246">
        <v>105</v>
      </c>
      <c r="AG1246">
        <v>531</v>
      </c>
      <c r="AI1246">
        <v>0.189</v>
      </c>
      <c r="AJ1246" t="s">
        <v>685</v>
      </c>
      <c r="AK1246" t="s">
        <v>4605</v>
      </c>
      <c r="AL1246" t="s">
        <v>1294</v>
      </c>
      <c r="AM1246">
        <v>200000</v>
      </c>
      <c r="AN1246" t="s">
        <v>76</v>
      </c>
      <c r="AO1246">
        <v>1</v>
      </c>
      <c r="AP1246">
        <v>0</v>
      </c>
      <c r="AQ1246">
        <v>16666.666666666668</v>
      </c>
      <c r="AR1246" t="s">
        <v>4920</v>
      </c>
      <c r="AS1246" t="s">
        <v>78</v>
      </c>
      <c r="AX1246" t="s">
        <v>79</v>
      </c>
      <c r="AY1246" t="s">
        <v>137</v>
      </c>
      <c r="AZ1246">
        <v>0</v>
      </c>
      <c r="BA1246" t="s">
        <v>137</v>
      </c>
      <c r="BB1246">
        <v>0</v>
      </c>
      <c r="BE1246">
        <v>0</v>
      </c>
    </row>
    <row r="1247" spans="1:58" ht="12.75">
      <c r="A1247" s="2" t="str">
        <f>HYPERLINK("https://ibp.a2mac1.com/costing(costing:projects/details/8191/part/5388391)","Outer Upper Trim")</f>
        <v>Outer Upper Trim</v>
      </c>
      <c r="B1247">
        <v>5388391</v>
      </c>
      <c r="C1247">
        <v>5388179</v>
      </c>
      <c r="E1247">
        <v>0.063162235499999997</v>
      </c>
      <c r="F1247">
        <v>0</v>
      </c>
      <c r="G1247">
        <v>0</v>
      </c>
      <c r="H1247">
        <v>0.00032040191642105265</v>
      </c>
      <c r="I1247" t="s">
        <v>137</v>
      </c>
      <c r="J1247">
        <v>0.0022162187894736842</v>
      </c>
      <c r="K1247">
        <v>0.065698856205894732</v>
      </c>
      <c r="L1247">
        <v>0.0012068904983701719</v>
      </c>
      <c r="M1247">
        <v>0.0072413429902210323</v>
      </c>
      <c r="N1247">
        <v>0.072940199196115774</v>
      </c>
      <c r="O1247" t="s">
        <v>138</v>
      </c>
      <c r="P1247">
        <v>0.0039419313723536844</v>
      </c>
      <c r="Q1247" t="s">
        <v>138</v>
      </c>
      <c r="R1247">
        <v>0.00043448057941326195</v>
      </c>
      <c r="S1247" t="s">
        <v>139</v>
      </c>
      <c r="T1247">
        <v>0.0087528239035338917</v>
      </c>
      <c r="U1247" t="s">
        <v>90</v>
      </c>
      <c r="V1247">
        <v>0</v>
      </c>
      <c r="W1247" t="s">
        <v>90</v>
      </c>
      <c r="X1247">
        <v>0</v>
      </c>
      <c r="Y1247">
        <v>0.086069435051416607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</v>
      </c>
      <c r="AF1247">
        <v>287</v>
      </c>
      <c r="AG1247">
        <v>40</v>
      </c>
      <c r="AI1247">
        <v>0.025999999999999999</v>
      </c>
      <c r="AK1247" t="s">
        <v>4605</v>
      </c>
      <c r="AL1247" t="s">
        <v>1294</v>
      </c>
      <c r="AM1247">
        <v>200000</v>
      </c>
      <c r="AN1247" t="s">
        <v>76</v>
      </c>
      <c r="AO1247">
        <v>1</v>
      </c>
      <c r="AP1247">
        <v>0</v>
      </c>
      <c r="AQ1247">
        <v>16666.666666666668</v>
      </c>
      <c r="AR1247" t="s">
        <v>4923</v>
      </c>
      <c r="AS1247" t="s">
        <v>78</v>
      </c>
      <c r="AX1247" t="s">
        <v>79</v>
      </c>
      <c r="AY1247" t="s">
        <v>137</v>
      </c>
      <c r="AZ1247">
        <v>0</v>
      </c>
      <c r="BA1247" t="s">
        <v>137</v>
      </c>
      <c r="BB1247">
        <v>0</v>
      </c>
      <c r="BE1247">
        <v>0</v>
      </c>
    </row>
    <row r="1248" spans="1:58" ht="12.75">
      <c r="A1248" s="2" t="str">
        <f>HYPERLINK("https://ibp.a2mac1.com/costing(costing:projects/details/8191/part/5388392)","Exterior Front Trim")</f>
        <v>Exterior Front Trim</v>
      </c>
      <c r="B1248">
        <v>5388392</v>
      </c>
      <c r="C1248">
        <v>5388179</v>
      </c>
      <c r="E1248">
        <v>0.031843601999999999</v>
      </c>
      <c r="F1248">
        <v>0</v>
      </c>
      <c r="G1248">
        <v>0</v>
      </c>
      <c r="H1248">
        <v>0.0001615324572631579</v>
      </c>
      <c r="I1248" t="s">
        <v>137</v>
      </c>
      <c r="J1248">
        <v>0.0011173193684210526</v>
      </c>
      <c r="K1248">
        <v>0.033122453825684212</v>
      </c>
      <c r="L1248">
        <v>0.0005570249769950203</v>
      </c>
      <c r="M1248">
        <v>0.003342149861970122</v>
      </c>
      <c r="N1248">
        <v>0.036464603687654334</v>
      </c>
      <c r="O1248" t="s">
        <v>138</v>
      </c>
      <c r="P1248">
        <v>0.0019873472295410528</v>
      </c>
      <c r="Q1248" t="s">
        <v>138</v>
      </c>
      <c r="R1248">
        <v>0.00020052899171820731</v>
      </c>
      <c r="S1248" t="s">
        <v>139</v>
      </c>
      <c r="T1248">
        <v>0.0043757524425185202</v>
      </c>
      <c r="U1248" t="s">
        <v>90</v>
      </c>
      <c r="V1248">
        <v>0</v>
      </c>
      <c r="W1248" t="s">
        <v>90</v>
      </c>
      <c r="X1248">
        <v>0</v>
      </c>
      <c r="Y1248">
        <v>0.043028232351432112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5</v>
      </c>
      <c r="AF1248">
        <v>276</v>
      </c>
      <c r="AG1248">
        <v>30</v>
      </c>
      <c r="AI1248">
        <v>0.012</v>
      </c>
      <c r="AK1248" t="s">
        <v>4605</v>
      </c>
      <c r="AL1248" t="s">
        <v>1288</v>
      </c>
      <c r="AM1248">
        <v>200000</v>
      </c>
      <c r="AN1248" t="s">
        <v>76</v>
      </c>
      <c r="AO1248">
        <v>1</v>
      </c>
      <c r="AP1248">
        <v>0</v>
      </c>
      <c r="AQ1248">
        <v>16666.666666666668</v>
      </c>
      <c r="AR1248" t="s">
        <v>4927</v>
      </c>
      <c r="AS1248" t="s">
        <v>78</v>
      </c>
      <c r="AX1248" t="s">
        <v>79</v>
      </c>
      <c r="AY1248" t="s">
        <v>137</v>
      </c>
      <c r="AZ1248">
        <v>0</v>
      </c>
      <c r="BA1248" t="s">
        <v>137</v>
      </c>
      <c r="BB1248">
        <v>0</v>
      </c>
      <c r="BE1248">
        <v>0</v>
      </c>
    </row>
    <row r="1249" spans="1:58" ht="12.75">
      <c r="A1249" s="2" t="str">
        <f>HYPERLINK("https://ibp.a2mac1.com/costing(costing:projects/details/8191/part/5388768)","Mirror")</f>
        <v>Mirror</v>
      </c>
      <c r="B1249">
        <v>5388768</v>
      </c>
      <c r="C1249">
        <v>5388394</v>
      </c>
      <c r="E1249">
        <v>1.84548</v>
      </c>
      <c r="F1249">
        <v>0</v>
      </c>
      <c r="G1249">
        <v>0</v>
      </c>
      <c r="H1249">
        <v>0</v>
      </c>
      <c r="I1249" t="s">
        <v>74</v>
      </c>
      <c r="J1249">
        <v>0</v>
      </c>
      <c r="K1249">
        <v>1.84548</v>
      </c>
      <c r="L1249">
        <v>0</v>
      </c>
      <c r="M1249">
        <v>0</v>
      </c>
      <c r="N1249">
        <v>1.84548</v>
      </c>
      <c r="O1249" t="s">
        <v>74</v>
      </c>
      <c r="P1249">
        <v>0</v>
      </c>
      <c r="Q1249" t="s">
        <v>74</v>
      </c>
      <c r="R1249">
        <v>0</v>
      </c>
      <c r="S1249" t="s">
        <v>74</v>
      </c>
      <c r="T1249">
        <v>0</v>
      </c>
      <c r="U1249" t="s">
        <v>74</v>
      </c>
      <c r="V1249">
        <v>0</v>
      </c>
      <c r="W1249" t="s">
        <v>74</v>
      </c>
      <c r="X1249">
        <v>0</v>
      </c>
      <c r="Y1249">
        <v>1.84548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51</v>
      </c>
      <c r="AF1249">
        <v>213</v>
      </c>
      <c r="AG1249">
        <v>140</v>
      </c>
      <c r="AI1249">
        <v>0.15</v>
      </c>
      <c r="AJ1249" t="s">
        <v>4932</v>
      </c>
      <c r="AK1249" t="s">
        <v>4599</v>
      </c>
      <c r="AL1249" t="s">
        <v>4933</v>
      </c>
      <c r="AM1249">
        <v>200000</v>
      </c>
      <c r="AN1249" t="s">
        <v>76</v>
      </c>
      <c r="AO1249">
        <v>1</v>
      </c>
      <c r="AP1249">
        <v>0</v>
      </c>
      <c r="AQ1249">
        <v>16666.666666666668</v>
      </c>
      <c r="AR1249" t="s">
        <v>4934</v>
      </c>
      <c r="AS1249" t="s">
        <v>78</v>
      </c>
      <c r="AX1249" t="s">
        <v>79</v>
      </c>
      <c r="AY1249" t="s">
        <v>74</v>
      </c>
      <c r="AZ1249">
        <v>0</v>
      </c>
      <c r="BA1249" t="s">
        <v>74</v>
      </c>
      <c r="BB1249">
        <v>0</v>
      </c>
      <c r="BD1249">
        <v>1.84548</v>
      </c>
      <c r="BE1249">
        <v>0</v>
      </c>
    </row>
    <row r="1250" spans="1:58" ht="12.75">
      <c r="A1250" s="2" t="str">
        <f>HYPERLINK("https://ibp.a2mac1.com/costing(costing:projects/details/8191/part/5388769)","Frame")</f>
        <v>Frame</v>
      </c>
      <c r="B1250">
        <v>5388769</v>
      </c>
      <c r="C1250">
        <v>5388394</v>
      </c>
      <c r="E1250">
        <v>0.97337253999999995</v>
      </c>
      <c r="F1250">
        <v>0</v>
      </c>
      <c r="G1250">
        <v>0</v>
      </c>
      <c r="H1250">
        <v>0.0079621873771999994</v>
      </c>
      <c r="I1250" t="s">
        <v>137</v>
      </c>
      <c r="J1250">
        <v>0.0340680389</v>
      </c>
      <c r="K1250">
        <v>1.0154027662772001</v>
      </c>
      <c r="L1250">
        <v>0.17543734247623768</v>
      </c>
      <c r="M1250">
        <v>1.0526240548574262</v>
      </c>
      <c r="N1250">
        <v>2.0680268211346262</v>
      </c>
      <c r="O1250" t="s">
        <v>90</v>
      </c>
      <c r="P1250">
        <v>0</v>
      </c>
      <c r="Q1250" t="s">
        <v>90</v>
      </c>
      <c r="R1250">
        <v>0</v>
      </c>
      <c r="S1250" t="s">
        <v>90</v>
      </c>
      <c r="T1250">
        <v>0</v>
      </c>
      <c r="U1250" t="s">
        <v>90</v>
      </c>
      <c r="V1250">
        <v>0</v>
      </c>
      <c r="W1250" t="s">
        <v>90</v>
      </c>
      <c r="X1250">
        <v>0</v>
      </c>
      <c r="Y1250">
        <v>2.0680268211346262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176</v>
      </c>
      <c r="AF1250">
        <v>156</v>
      </c>
      <c r="AG1250">
        <v>172</v>
      </c>
      <c r="AI1250">
        <v>0.39700000000000002</v>
      </c>
      <c r="AJ1250" t="s">
        <v>685</v>
      </c>
      <c r="AK1250" t="s">
        <v>4599</v>
      </c>
      <c r="AL1250" t="s">
        <v>4948</v>
      </c>
      <c r="AM1250">
        <v>200000</v>
      </c>
      <c r="AN1250" t="s">
        <v>76</v>
      </c>
      <c r="AO1250">
        <v>1</v>
      </c>
      <c r="AP1250">
        <v>0</v>
      </c>
      <c r="AQ1250">
        <v>16666.666666666668</v>
      </c>
      <c r="AR1250" t="s">
        <v>4949</v>
      </c>
      <c r="AS1250" t="s">
        <v>78</v>
      </c>
      <c r="AX1250" t="s">
        <v>79</v>
      </c>
      <c r="AY1250" t="s">
        <v>137</v>
      </c>
      <c r="AZ1250">
        <v>0</v>
      </c>
      <c r="BA1250" t="s">
        <v>137</v>
      </c>
      <c r="BB1250">
        <v>0</v>
      </c>
      <c r="BE1250">
        <v>0</v>
      </c>
    </row>
    <row r="1251" spans="1:58" ht="12.75">
      <c r="A1251" s="2" t="str">
        <f>HYPERLINK("https://ibp.a2mac1.com/costing(costing:projects/details/8191/part/5388770)","Mirror Attaching Plate")</f>
        <v>Mirror Attaching Plate</v>
      </c>
      <c r="B1251">
        <v>5388770</v>
      </c>
      <c r="C1251">
        <v>5388394</v>
      </c>
      <c r="E1251">
        <v>1.83625</v>
      </c>
      <c r="F1251">
        <v>0</v>
      </c>
      <c r="G1251">
        <v>0</v>
      </c>
      <c r="H1251">
        <v>0</v>
      </c>
      <c r="I1251" t="s">
        <v>74</v>
      </c>
      <c r="J1251">
        <v>0</v>
      </c>
      <c r="K1251">
        <v>1.83625</v>
      </c>
      <c r="L1251">
        <v>0</v>
      </c>
      <c r="M1251">
        <v>0</v>
      </c>
      <c r="N1251">
        <v>1.83625</v>
      </c>
      <c r="O1251" t="s">
        <v>74</v>
      </c>
      <c r="P1251">
        <v>0</v>
      </c>
      <c r="Q1251" t="s">
        <v>74</v>
      </c>
      <c r="R1251">
        <v>0</v>
      </c>
      <c r="S1251" t="s">
        <v>74</v>
      </c>
      <c r="T1251">
        <v>0</v>
      </c>
      <c r="U1251" t="s">
        <v>74</v>
      </c>
      <c r="V1251">
        <v>0</v>
      </c>
      <c r="W1251" t="s">
        <v>74</v>
      </c>
      <c r="X1251">
        <v>0</v>
      </c>
      <c r="Y1251">
        <v>1.83625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44</v>
      </c>
      <c r="AF1251">
        <v>94</v>
      </c>
      <c r="AG1251">
        <v>94</v>
      </c>
      <c r="AI1251">
        <v>0.121</v>
      </c>
      <c r="AJ1251" t="s">
        <v>4950</v>
      </c>
      <c r="AK1251" t="s">
        <v>576</v>
      </c>
      <c r="AL1251" t="s">
        <v>4951</v>
      </c>
      <c r="AM1251">
        <v>200000</v>
      </c>
      <c r="AN1251" t="s">
        <v>76</v>
      </c>
      <c r="AO1251">
        <v>1</v>
      </c>
      <c r="AP1251">
        <v>0</v>
      </c>
      <c r="AQ1251">
        <v>16666.666666666668</v>
      </c>
      <c r="AR1251" t="s">
        <v>4952</v>
      </c>
      <c r="AS1251" t="s">
        <v>78</v>
      </c>
      <c r="AX1251" t="s">
        <v>79</v>
      </c>
      <c r="AY1251" t="s">
        <v>74</v>
      </c>
      <c r="AZ1251">
        <v>0</v>
      </c>
      <c r="BA1251" t="s">
        <v>74</v>
      </c>
      <c r="BB1251">
        <v>0</v>
      </c>
      <c r="BD1251">
        <v>1.83625</v>
      </c>
      <c r="BE1251">
        <v>0</v>
      </c>
    </row>
    <row r="1252" spans="1:58" ht="12.75">
      <c r="A1252" s="2" t="str">
        <f>HYPERLINK("https://ibp.a2mac1.com/costing(costing:projects/details/8191/part/5388771)","Mirror Attaching Plate Support")</f>
        <v>Mirror Attaching Plate Support</v>
      </c>
      <c r="B1252">
        <v>5388771</v>
      </c>
      <c r="C1252">
        <v>5388394</v>
      </c>
      <c r="E1252">
        <v>0.54094609622449796</v>
      </c>
      <c r="F1252">
        <v>0</v>
      </c>
      <c r="G1252">
        <v>0</v>
      </c>
      <c r="H1252">
        <v>0.0011154425380868061</v>
      </c>
      <c r="I1252" t="s">
        <v>137</v>
      </c>
      <c r="J1252">
        <v>0.018951693608270977</v>
      </c>
      <c r="K1252">
        <v>0.56101323237085576</v>
      </c>
      <c r="L1252">
        <v>0.018926498623837607</v>
      </c>
      <c r="M1252">
        <v>0.11355899174302565</v>
      </c>
      <c r="N1252">
        <v>0.6745722241138814</v>
      </c>
      <c r="O1252" t="s">
        <v>90</v>
      </c>
      <c r="P1252">
        <v>0</v>
      </c>
      <c r="Q1252" t="s">
        <v>90</v>
      </c>
      <c r="R1252">
        <v>0</v>
      </c>
      <c r="S1252" t="s">
        <v>90</v>
      </c>
      <c r="T1252">
        <v>0</v>
      </c>
      <c r="U1252" t="s">
        <v>90</v>
      </c>
      <c r="V1252">
        <v>0</v>
      </c>
      <c r="W1252" t="s">
        <v>90</v>
      </c>
      <c r="X1252">
        <v>0</v>
      </c>
      <c r="Y1252">
        <v>0.6745722241138814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108</v>
      </c>
      <c r="AF1252">
        <v>244</v>
      </c>
      <c r="AG1252">
        <v>113</v>
      </c>
      <c r="AI1252">
        <v>0.221</v>
      </c>
      <c r="AK1252" t="s">
        <v>4599</v>
      </c>
      <c r="AL1252" t="s">
        <v>1721</v>
      </c>
      <c r="AM1252">
        <v>200000</v>
      </c>
      <c r="AN1252" t="s">
        <v>76</v>
      </c>
      <c r="AO1252">
        <v>1</v>
      </c>
      <c r="AP1252">
        <v>0</v>
      </c>
      <c r="AQ1252">
        <v>16666.666666666668</v>
      </c>
      <c r="AR1252" t="s">
        <v>4957</v>
      </c>
      <c r="AS1252" t="s">
        <v>78</v>
      </c>
      <c r="AX1252" t="s">
        <v>79</v>
      </c>
      <c r="AY1252" t="s">
        <v>137</v>
      </c>
      <c r="AZ1252">
        <v>0</v>
      </c>
      <c r="BA1252" t="s">
        <v>137</v>
      </c>
      <c r="BB1252">
        <v>0</v>
      </c>
      <c r="BE1252">
        <v>0</v>
      </c>
    </row>
    <row r="1253" spans="1:58" ht="12.75">
      <c r="A1253" s="2" t="str">
        <f>HYPERLINK("https://ibp.a2mac1.com/costing(costing:projects/details/8191/part/5388772)","Harness")</f>
        <v>Harness</v>
      </c>
      <c r="B1253">
        <v>5388772</v>
      </c>
      <c r="C1253">
        <v>5388394</v>
      </c>
      <c r="E1253">
        <v>5.2688499999999996</v>
      </c>
      <c r="F1253">
        <v>0</v>
      </c>
      <c r="G1253">
        <v>0</v>
      </c>
      <c r="H1253">
        <v>0</v>
      </c>
      <c r="I1253" t="s">
        <v>74</v>
      </c>
      <c r="J1253">
        <v>0</v>
      </c>
      <c r="K1253">
        <v>5.2688499999999996</v>
      </c>
      <c r="L1253">
        <v>0</v>
      </c>
      <c r="M1253">
        <v>0</v>
      </c>
      <c r="N1253">
        <v>5.2688499999999996</v>
      </c>
      <c r="O1253" t="s">
        <v>74</v>
      </c>
      <c r="P1253">
        <v>0</v>
      </c>
      <c r="Q1253" t="s">
        <v>74</v>
      </c>
      <c r="R1253">
        <v>0</v>
      </c>
      <c r="S1253" t="s">
        <v>74</v>
      </c>
      <c r="T1253">
        <v>0</v>
      </c>
      <c r="U1253" t="s">
        <v>74</v>
      </c>
      <c r="V1253">
        <v>0</v>
      </c>
      <c r="W1253" t="s">
        <v>74</v>
      </c>
      <c r="X1253">
        <v>0</v>
      </c>
      <c r="Y1253">
        <v>5.2688499999999996</v>
      </c>
      <c r="Z1253">
        <v>0</v>
      </c>
      <c r="AA1253">
        <v>0</v>
      </c>
      <c r="AB1253">
        <v>0</v>
      </c>
      <c r="AC1253">
        <v>0</v>
      </c>
      <c r="AD1253">
        <v>0</v>
      </c>
      <c r="AI1253">
        <v>0.129</v>
      </c>
      <c r="AK1253" t="s">
        <v>1645</v>
      </c>
      <c r="AL1253" t="s">
        <v>1658</v>
      </c>
      <c r="AM1253">
        <v>200000</v>
      </c>
      <c r="AN1253" t="s">
        <v>76</v>
      </c>
      <c r="AO1253">
        <v>1</v>
      </c>
      <c r="AP1253">
        <v>0</v>
      </c>
      <c r="AQ1253">
        <v>16666.666666666668</v>
      </c>
      <c r="AR1253" t="s">
        <v>4958</v>
      </c>
      <c r="AS1253" t="s">
        <v>78</v>
      </c>
      <c r="AX1253" t="s">
        <v>79</v>
      </c>
      <c r="AY1253" t="s">
        <v>74</v>
      </c>
      <c r="AZ1253">
        <v>0</v>
      </c>
      <c r="BA1253" t="s">
        <v>74</v>
      </c>
      <c r="BB1253">
        <v>0</v>
      </c>
      <c r="BD1253">
        <v>5.2688499999999996</v>
      </c>
      <c r="BE1253">
        <v>0</v>
      </c>
    </row>
    <row r="1254" spans="1:58" ht="12.75">
      <c r="A1254" s="2" t="str">
        <f>HYPERLINK("https://ibp.a2mac1.com/costing(costing:projects/details/8191/part/5388773)","2nd Mirror Harness")</f>
        <v>2nd Mirror Harness</v>
      </c>
      <c r="B1254">
        <v>5388773</v>
      </c>
      <c r="C1254">
        <v>5388394</v>
      </c>
      <c r="E1254">
        <v>0.36909999999999998</v>
      </c>
      <c r="F1254">
        <v>0</v>
      </c>
      <c r="G1254">
        <v>0</v>
      </c>
      <c r="H1254">
        <v>0</v>
      </c>
      <c r="I1254" t="s">
        <v>74</v>
      </c>
      <c r="J1254">
        <v>0</v>
      </c>
      <c r="K1254">
        <v>0.36909999999999998</v>
      </c>
      <c r="L1254">
        <v>0</v>
      </c>
      <c r="M1254">
        <v>0</v>
      </c>
      <c r="N1254">
        <v>0.36909999999999998</v>
      </c>
      <c r="O1254" t="s">
        <v>74</v>
      </c>
      <c r="P1254">
        <v>0</v>
      </c>
      <c r="Q1254" t="s">
        <v>74</v>
      </c>
      <c r="R1254">
        <v>0</v>
      </c>
      <c r="S1254" t="s">
        <v>74</v>
      </c>
      <c r="T1254">
        <v>0</v>
      </c>
      <c r="U1254" t="s">
        <v>74</v>
      </c>
      <c r="V1254">
        <v>0</v>
      </c>
      <c r="W1254" t="s">
        <v>74</v>
      </c>
      <c r="X1254">
        <v>0</v>
      </c>
      <c r="Y1254">
        <v>0.36909999999999998</v>
      </c>
      <c r="Z1254">
        <v>0</v>
      </c>
      <c r="AA1254">
        <v>0</v>
      </c>
      <c r="AB1254">
        <v>0</v>
      </c>
      <c r="AC1254">
        <v>0</v>
      </c>
      <c r="AD1254">
        <v>0</v>
      </c>
      <c r="AI1254">
        <v>0.0040000000000000001</v>
      </c>
      <c r="AK1254" t="s">
        <v>4599</v>
      </c>
      <c r="AL1254" t="s">
        <v>1658</v>
      </c>
      <c r="AM1254">
        <v>200000</v>
      </c>
      <c r="AN1254" t="s">
        <v>76</v>
      </c>
      <c r="AO1254">
        <v>1</v>
      </c>
      <c r="AP1254">
        <v>0</v>
      </c>
      <c r="AQ1254">
        <v>16666.666666666668</v>
      </c>
      <c r="AR1254" t="s">
        <v>4959</v>
      </c>
      <c r="AS1254" t="s">
        <v>78</v>
      </c>
      <c r="AX1254" t="s">
        <v>79</v>
      </c>
      <c r="AY1254" t="s">
        <v>74</v>
      </c>
      <c r="AZ1254">
        <v>0</v>
      </c>
      <c r="BA1254" t="s">
        <v>74</v>
      </c>
      <c r="BB1254">
        <v>0</v>
      </c>
      <c r="BD1254">
        <v>0.36909999999999998</v>
      </c>
      <c r="BE1254">
        <v>0</v>
      </c>
    </row>
    <row r="1255" spans="1:58" ht="12.75">
      <c r="A1255" s="2" t="str">
        <f>HYPERLINK("https://ibp.a2mac1.com/costing(costing:projects/details/8191/part/5388774)","Front Shell")</f>
        <v>Front Shell</v>
      </c>
      <c r="B1255">
        <v>5388774</v>
      </c>
      <c r="C1255">
        <v>5388394</v>
      </c>
      <c r="E1255">
        <v>0.34669604295951417</v>
      </c>
      <c r="F1255">
        <v>0</v>
      </c>
      <c r="G1255">
        <v>0</v>
      </c>
      <c r="H1255">
        <v>0.00071489473129115696</v>
      </c>
      <c r="I1255" t="s">
        <v>137</v>
      </c>
      <c r="J1255">
        <v>0.012146269706403152</v>
      </c>
      <c r="K1255">
        <v>0.35955720739720848</v>
      </c>
      <c r="L1255">
        <v>0.02168289732934351</v>
      </c>
      <c r="M1255">
        <v>0.13009738397606105</v>
      </c>
      <c r="N1255">
        <v>0.4896545913732695</v>
      </c>
      <c r="O1255" t="s">
        <v>90</v>
      </c>
      <c r="P1255">
        <v>0</v>
      </c>
      <c r="Q1255" t="s">
        <v>90</v>
      </c>
      <c r="R1255">
        <v>0</v>
      </c>
      <c r="S1255" t="s">
        <v>90</v>
      </c>
      <c r="T1255">
        <v>0</v>
      </c>
      <c r="U1255" t="s">
        <v>90</v>
      </c>
      <c r="V1255">
        <v>0</v>
      </c>
      <c r="W1255" t="s">
        <v>90</v>
      </c>
      <c r="X1255">
        <v>0</v>
      </c>
      <c r="Y1255">
        <v>0.4896545913732695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68</v>
      </c>
      <c r="AF1255">
        <v>272</v>
      </c>
      <c r="AG1255">
        <v>164</v>
      </c>
      <c r="AI1255">
        <v>0.14099999999999999</v>
      </c>
      <c r="AJ1255" t="s">
        <v>4932</v>
      </c>
      <c r="AK1255" t="s">
        <v>4599</v>
      </c>
      <c r="AL1255" t="s">
        <v>4964</v>
      </c>
      <c r="AM1255">
        <v>200000</v>
      </c>
      <c r="AN1255" t="s">
        <v>76</v>
      </c>
      <c r="AO1255">
        <v>1</v>
      </c>
      <c r="AP1255">
        <v>0</v>
      </c>
      <c r="AQ1255">
        <v>16666.666666666668</v>
      </c>
      <c r="AR1255" t="s">
        <v>4965</v>
      </c>
      <c r="AS1255" t="s">
        <v>78</v>
      </c>
      <c r="AX1255" t="s">
        <v>79</v>
      </c>
      <c r="AY1255" t="s">
        <v>137</v>
      </c>
      <c r="AZ1255">
        <v>0</v>
      </c>
      <c r="BA1255" t="s">
        <v>137</v>
      </c>
      <c r="BB1255">
        <v>0</v>
      </c>
      <c r="BE1255">
        <v>0</v>
      </c>
    </row>
    <row r="1256" spans="1:58" ht="12.75">
      <c r="A1256" s="2" t="str">
        <f>HYPERLINK("https://ibp.a2mac1.com/costing(costing:projects/details/8191/part/5388775)","Lower Shell")</f>
        <v>Lower Shell</v>
      </c>
      <c r="B1256">
        <v>5388775</v>
      </c>
      <c r="C1256">
        <v>5388394</v>
      </c>
      <c r="E1256">
        <v>0.24588371841100296</v>
      </c>
      <c r="F1256">
        <v>0</v>
      </c>
      <c r="G1256">
        <v>0</v>
      </c>
      <c r="H1256">
        <v>0.00050701753992280635</v>
      </c>
      <c r="I1256" t="s">
        <v>137</v>
      </c>
      <c r="J1256">
        <v>0.0086143756783001093</v>
      </c>
      <c r="K1256">
        <v>0.25500511162922584</v>
      </c>
      <c r="L1256">
        <v>0.0094109981184295321</v>
      </c>
      <c r="M1256">
        <v>0.056465988710577196</v>
      </c>
      <c r="N1256">
        <v>0.31147110033980308</v>
      </c>
      <c r="O1256" t="s">
        <v>90</v>
      </c>
      <c r="P1256">
        <v>0</v>
      </c>
      <c r="Q1256" t="s">
        <v>90</v>
      </c>
      <c r="R1256">
        <v>0</v>
      </c>
      <c r="S1256" t="s">
        <v>90</v>
      </c>
      <c r="T1256">
        <v>0</v>
      </c>
      <c r="U1256" t="s">
        <v>90</v>
      </c>
      <c r="V1256">
        <v>0</v>
      </c>
      <c r="W1256" t="s">
        <v>90</v>
      </c>
      <c r="X1256">
        <v>0</v>
      </c>
      <c r="Y1256">
        <v>0.31147110033980308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144</v>
      </c>
      <c r="AF1256">
        <v>243</v>
      </c>
      <c r="AG1256">
        <v>63</v>
      </c>
      <c r="AI1256">
        <v>0.10</v>
      </c>
      <c r="AJ1256" t="s">
        <v>685</v>
      </c>
      <c r="AK1256" t="s">
        <v>4599</v>
      </c>
      <c r="AL1256" t="s">
        <v>4964</v>
      </c>
      <c r="AM1256">
        <v>200000</v>
      </c>
      <c r="AN1256" t="s">
        <v>76</v>
      </c>
      <c r="AO1256">
        <v>1</v>
      </c>
      <c r="AP1256">
        <v>0</v>
      </c>
      <c r="AQ1256">
        <v>16666.666666666668</v>
      </c>
      <c r="AR1256" t="s">
        <v>4971</v>
      </c>
      <c r="AS1256" t="s">
        <v>78</v>
      </c>
      <c r="AX1256" t="s">
        <v>79</v>
      </c>
      <c r="AY1256" t="s">
        <v>137</v>
      </c>
      <c r="AZ1256">
        <v>0</v>
      </c>
      <c r="BA1256" t="s">
        <v>137</v>
      </c>
      <c r="BB1256">
        <v>0</v>
      </c>
      <c r="BE1256">
        <v>0</v>
      </c>
    </row>
    <row r="1257" spans="1:58" ht="12.75">
      <c r="A1257" s="2" t="str">
        <f>HYPERLINK("https://ibp.a2mac1.com/costing(costing:projects/details/8191/part/5388776)","Support Cover")</f>
        <v>Support Cover</v>
      </c>
      <c r="B1257">
        <v>5388776</v>
      </c>
      <c r="C1257">
        <v>5388394</v>
      </c>
      <c r="E1257">
        <v>0.23850720685867285</v>
      </c>
      <c r="F1257">
        <v>0</v>
      </c>
      <c r="G1257">
        <v>0</v>
      </c>
      <c r="H1257">
        <v>0.0004918070137251222</v>
      </c>
      <c r="I1257" t="s">
        <v>137</v>
      </c>
      <c r="J1257">
        <v>0.0083559444079511058</v>
      </c>
      <c r="K1257">
        <v>0.24735495828034909</v>
      </c>
      <c r="L1257">
        <v>0.020454220213445343</v>
      </c>
      <c r="M1257">
        <v>0.12272532128067207</v>
      </c>
      <c r="N1257">
        <v>0.37008027956102113</v>
      </c>
      <c r="O1257" t="s">
        <v>90</v>
      </c>
      <c r="P1257">
        <v>0</v>
      </c>
      <c r="Q1257" t="s">
        <v>90</v>
      </c>
      <c r="R1257">
        <v>0</v>
      </c>
      <c r="S1257" t="s">
        <v>90</v>
      </c>
      <c r="T1257">
        <v>0</v>
      </c>
      <c r="U1257" t="s">
        <v>90</v>
      </c>
      <c r="V1257">
        <v>0</v>
      </c>
      <c r="W1257" t="s">
        <v>90</v>
      </c>
      <c r="X1257">
        <v>0</v>
      </c>
      <c r="Y1257">
        <v>0.37008027956102113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124</v>
      </c>
      <c r="AF1257">
        <v>135</v>
      </c>
      <c r="AG1257">
        <v>76</v>
      </c>
      <c r="AI1257">
        <v>0.097000000000000003</v>
      </c>
      <c r="AJ1257" t="s">
        <v>4932</v>
      </c>
      <c r="AK1257" t="s">
        <v>4599</v>
      </c>
      <c r="AL1257" t="s">
        <v>4964</v>
      </c>
      <c r="AM1257">
        <v>200000</v>
      </c>
      <c r="AN1257" t="s">
        <v>76</v>
      </c>
      <c r="AO1257">
        <v>1</v>
      </c>
      <c r="AP1257">
        <v>0</v>
      </c>
      <c r="AQ1257">
        <v>16666.666666666668</v>
      </c>
      <c r="AR1257" t="s">
        <v>4977</v>
      </c>
      <c r="AS1257" t="s">
        <v>78</v>
      </c>
      <c r="AX1257" t="s">
        <v>79</v>
      </c>
      <c r="AY1257" t="s">
        <v>137</v>
      </c>
      <c r="AZ1257">
        <v>0</v>
      </c>
      <c r="BA1257" t="s">
        <v>137</v>
      </c>
      <c r="BB1257">
        <v>0</v>
      </c>
      <c r="BE1257">
        <v>0</v>
      </c>
    </row>
    <row r="1258" spans="1:58" ht="12.75">
      <c r="A1258" s="2" t="str">
        <f>HYPERLINK("https://ibp.a2mac1.com/costing(costing:projects/details/8191/part/5388777)","Support Seal")</f>
        <v>Support Seal</v>
      </c>
      <c r="B1258">
        <v>5388777</v>
      </c>
      <c r="C1258">
        <v>5388394</v>
      </c>
      <c r="E1258">
        <v>0.0449586165</v>
      </c>
      <c r="F1258">
        <v>0</v>
      </c>
      <c r="G1258">
        <v>0</v>
      </c>
      <c r="H1258">
        <v>0.00022806075136842105</v>
      </c>
      <c r="I1258" t="s">
        <v>137</v>
      </c>
      <c r="J1258">
        <v>0.0015774953157894737</v>
      </c>
      <c r="K1258">
        <v>0.046764172567157897</v>
      </c>
      <c r="L1258">
        <v>0.0015782573654511507</v>
      </c>
      <c r="M1258">
        <v>0.0094695441927069041</v>
      </c>
      <c r="N1258">
        <v>0.056233716759864799</v>
      </c>
      <c r="O1258" t="s">
        <v>90</v>
      </c>
      <c r="P1258">
        <v>0</v>
      </c>
      <c r="Q1258" t="s">
        <v>90</v>
      </c>
      <c r="R1258">
        <v>0</v>
      </c>
      <c r="S1258" t="s">
        <v>90</v>
      </c>
      <c r="T1258">
        <v>0</v>
      </c>
      <c r="U1258" t="s">
        <v>90</v>
      </c>
      <c r="V1258">
        <v>0</v>
      </c>
      <c r="W1258" t="s">
        <v>90</v>
      </c>
      <c r="X1258">
        <v>0</v>
      </c>
      <c r="Y1258">
        <v>0.056233716759864799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119</v>
      </c>
      <c r="AF1258">
        <v>139</v>
      </c>
      <c r="AG1258">
        <v>37</v>
      </c>
      <c r="AI1258">
        <v>0.034000000000000002</v>
      </c>
      <c r="AJ1258" t="s">
        <v>685</v>
      </c>
      <c r="AK1258" t="s">
        <v>4599</v>
      </c>
      <c r="AL1258" t="s">
        <v>4980</v>
      </c>
      <c r="AM1258">
        <v>200000</v>
      </c>
      <c r="AN1258" t="s">
        <v>76</v>
      </c>
      <c r="AO1258">
        <v>1</v>
      </c>
      <c r="AP1258">
        <v>0</v>
      </c>
      <c r="AQ1258">
        <v>16666.666666666668</v>
      </c>
      <c r="AR1258" t="s">
        <v>4981</v>
      </c>
      <c r="AS1258" t="s">
        <v>78</v>
      </c>
      <c r="AX1258" t="s">
        <v>79</v>
      </c>
      <c r="AY1258" t="s">
        <v>137</v>
      </c>
      <c r="AZ1258">
        <v>0</v>
      </c>
      <c r="BA1258" t="s">
        <v>137</v>
      </c>
      <c r="BB1258">
        <v>0</v>
      </c>
      <c r="BE1258">
        <v>0</v>
      </c>
    </row>
    <row r="1259" spans="1:58" ht="12.75">
      <c r="A1259" s="2" t="str">
        <f>HYPERLINK("https://ibp.a2mac1.com/costing(costing:projects/details/8191/part/5388778)","Seal Cover")</f>
        <v>Seal Cover</v>
      </c>
      <c r="B1259">
        <v>5388778</v>
      </c>
      <c r="C1259">
        <v>5388394</v>
      </c>
      <c r="E1259">
        <v>0.019834683749999998</v>
      </c>
      <c r="F1259">
        <v>0</v>
      </c>
      <c r="G1259">
        <v>0</v>
      </c>
      <c r="H1259">
        <v>0.00010061503736842106</v>
      </c>
      <c r="I1259" t="s">
        <v>137</v>
      </c>
      <c r="J1259">
        <v>0.00069595381578947365</v>
      </c>
      <c r="K1259">
        <v>0.020631252603157894</v>
      </c>
      <c r="L1259">
        <v>0.00069627330761051049</v>
      </c>
      <c r="M1259">
        <v>0.0041776398456630634</v>
      </c>
      <c r="N1259">
        <v>0.024808892448820959</v>
      </c>
      <c r="O1259" t="s">
        <v>90</v>
      </c>
      <c r="P1259">
        <v>0</v>
      </c>
      <c r="Q1259" t="s">
        <v>90</v>
      </c>
      <c r="R1259">
        <v>0</v>
      </c>
      <c r="S1259" t="s">
        <v>90</v>
      </c>
      <c r="T1259">
        <v>0</v>
      </c>
      <c r="U1259" t="s">
        <v>90</v>
      </c>
      <c r="V1259">
        <v>0</v>
      </c>
      <c r="W1259" t="s">
        <v>90</v>
      </c>
      <c r="X1259">
        <v>0</v>
      </c>
      <c r="Y1259">
        <v>0.024808892448820959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16</v>
      </c>
      <c r="AF1259">
        <v>153</v>
      </c>
      <c r="AG1259">
        <v>62</v>
      </c>
      <c r="AI1259">
        <v>0.015</v>
      </c>
      <c r="AJ1259" t="s">
        <v>685</v>
      </c>
      <c r="AK1259" t="s">
        <v>4599</v>
      </c>
      <c r="AL1259" t="s">
        <v>4980</v>
      </c>
      <c r="AM1259">
        <v>200000</v>
      </c>
      <c r="AN1259" t="s">
        <v>76</v>
      </c>
      <c r="AO1259">
        <v>1</v>
      </c>
      <c r="AP1259">
        <v>0</v>
      </c>
      <c r="AQ1259">
        <v>16666.666666666668</v>
      </c>
      <c r="AR1259" t="s">
        <v>4984</v>
      </c>
      <c r="AS1259" t="s">
        <v>78</v>
      </c>
      <c r="AX1259" t="s">
        <v>79</v>
      </c>
      <c r="AY1259" t="s">
        <v>137</v>
      </c>
      <c r="AZ1259">
        <v>0</v>
      </c>
      <c r="BA1259" t="s">
        <v>137</v>
      </c>
      <c r="BB1259">
        <v>0</v>
      </c>
      <c r="BE1259">
        <v>0</v>
      </c>
    </row>
    <row r="1260" spans="1:58" ht="12.75">
      <c r="A1260" s="2" t="str">
        <f>HYPERLINK("https://ibp.a2mac1.com/costing(costing:projects/details/8191/part/5388779)","Turn Signal")</f>
        <v>Turn Signal</v>
      </c>
      <c r="B1260">
        <v>5388779</v>
      </c>
      <c r="C1260">
        <v>5388394</v>
      </c>
      <c r="E1260">
        <v>1.15343</v>
      </c>
      <c r="F1260">
        <v>0</v>
      </c>
      <c r="G1260">
        <v>0</v>
      </c>
      <c r="H1260">
        <v>0</v>
      </c>
      <c r="I1260" t="s">
        <v>74</v>
      </c>
      <c r="J1260">
        <v>0</v>
      </c>
      <c r="K1260">
        <v>1.15343</v>
      </c>
      <c r="L1260">
        <v>0</v>
      </c>
      <c r="M1260">
        <v>0</v>
      </c>
      <c r="N1260">
        <v>1.15343</v>
      </c>
      <c r="O1260" t="s">
        <v>74</v>
      </c>
      <c r="P1260">
        <v>0</v>
      </c>
      <c r="Q1260" t="s">
        <v>74</v>
      </c>
      <c r="R1260">
        <v>0</v>
      </c>
      <c r="S1260" t="s">
        <v>74</v>
      </c>
      <c r="T1260">
        <v>0</v>
      </c>
      <c r="U1260" t="s">
        <v>74</v>
      </c>
      <c r="V1260">
        <v>0</v>
      </c>
      <c r="W1260" t="s">
        <v>74</v>
      </c>
      <c r="X1260">
        <v>0</v>
      </c>
      <c r="Y1260">
        <v>1.15343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81</v>
      </c>
      <c r="AF1260">
        <v>306</v>
      </c>
      <c r="AG1260">
        <v>60</v>
      </c>
      <c r="AI1260">
        <v>0.109</v>
      </c>
      <c r="AJ1260" t="s">
        <v>685</v>
      </c>
      <c r="AK1260" t="s">
        <v>576</v>
      </c>
      <c r="AL1260" t="s">
        <v>4985</v>
      </c>
      <c r="AM1260">
        <v>200000</v>
      </c>
      <c r="AN1260" t="s">
        <v>76</v>
      </c>
      <c r="AO1260">
        <v>1</v>
      </c>
      <c r="AP1260">
        <v>0</v>
      </c>
      <c r="AQ1260">
        <v>16666.666666666668</v>
      </c>
      <c r="AR1260" t="s">
        <v>4986</v>
      </c>
      <c r="AS1260" t="s">
        <v>78</v>
      </c>
      <c r="AX1260" t="s">
        <v>79</v>
      </c>
      <c r="AY1260" t="s">
        <v>74</v>
      </c>
      <c r="AZ1260">
        <v>0</v>
      </c>
      <c r="BA1260" t="s">
        <v>74</v>
      </c>
      <c r="BB1260">
        <v>0</v>
      </c>
      <c r="BD1260">
        <v>1.15343</v>
      </c>
      <c r="BE1260">
        <v>0</v>
      </c>
    </row>
    <row r="1261" spans="1:58" ht="12.75">
      <c r="A1261" s="2" t="str">
        <f>HYPERLINK("https://ibp.a2mac1.com/costing(costing:projects/details/8191/part/5388780)","Welcome Light")</f>
        <v>Welcome Light</v>
      </c>
      <c r="B1261">
        <v>5388780</v>
      </c>
      <c r="C1261">
        <v>5388394</v>
      </c>
      <c r="E1261">
        <v>2.03003</v>
      </c>
      <c r="F1261">
        <v>0</v>
      </c>
      <c r="G1261">
        <v>0</v>
      </c>
      <c r="H1261">
        <v>0</v>
      </c>
      <c r="I1261" t="s">
        <v>74</v>
      </c>
      <c r="J1261">
        <v>0</v>
      </c>
      <c r="K1261">
        <v>2.03003</v>
      </c>
      <c r="L1261">
        <v>0</v>
      </c>
      <c r="M1261">
        <v>0</v>
      </c>
      <c r="N1261">
        <v>2.03003</v>
      </c>
      <c r="O1261" t="s">
        <v>74</v>
      </c>
      <c r="P1261">
        <v>0</v>
      </c>
      <c r="Q1261" t="s">
        <v>74</v>
      </c>
      <c r="R1261">
        <v>0</v>
      </c>
      <c r="S1261" t="s">
        <v>74</v>
      </c>
      <c r="T1261">
        <v>0</v>
      </c>
      <c r="U1261" t="s">
        <v>74</v>
      </c>
      <c r="V1261">
        <v>0</v>
      </c>
      <c r="W1261" t="s">
        <v>74</v>
      </c>
      <c r="X1261">
        <v>0</v>
      </c>
      <c r="Y1261">
        <v>2.03003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26</v>
      </c>
      <c r="AF1261">
        <v>45</v>
      </c>
      <c r="AG1261">
        <v>49</v>
      </c>
      <c r="AI1261">
        <v>0.017000000000000001</v>
      </c>
      <c r="AJ1261" t="s">
        <v>4987</v>
      </c>
      <c r="AK1261" t="s">
        <v>576</v>
      </c>
      <c r="AL1261" t="s">
        <v>4988</v>
      </c>
      <c r="AM1261">
        <v>200000</v>
      </c>
      <c r="AN1261" t="s">
        <v>76</v>
      </c>
      <c r="AO1261">
        <v>1</v>
      </c>
      <c r="AP1261">
        <v>0</v>
      </c>
      <c r="AQ1261">
        <v>16666.666666666668</v>
      </c>
      <c r="AR1261" t="s">
        <v>4989</v>
      </c>
      <c r="AS1261" t="s">
        <v>78</v>
      </c>
      <c r="AX1261" t="s">
        <v>79</v>
      </c>
      <c r="AY1261" t="s">
        <v>74</v>
      </c>
      <c r="AZ1261">
        <v>0</v>
      </c>
      <c r="BA1261" t="s">
        <v>74</v>
      </c>
      <c r="BB1261">
        <v>0</v>
      </c>
      <c r="BD1261">
        <v>2.03003</v>
      </c>
      <c r="BE1261">
        <v>0</v>
      </c>
    </row>
    <row r="1262" spans="1:58" ht="12.75">
      <c r="A1262" s="2" t="str">
        <f>HYPERLINK("https://ibp.a2mac1.com/costing(costing:projects/details/8191/part/5388781)","Folding Motor")</f>
        <v>Folding Motor</v>
      </c>
      <c r="B1262">
        <v>5388781</v>
      </c>
      <c r="C1262">
        <v>5388394</v>
      </c>
      <c r="E1262">
        <v>1.9377500000000001</v>
      </c>
      <c r="F1262">
        <v>0</v>
      </c>
      <c r="G1262">
        <v>0</v>
      </c>
      <c r="H1262">
        <v>0</v>
      </c>
      <c r="I1262" t="s">
        <v>74</v>
      </c>
      <c r="J1262">
        <v>0</v>
      </c>
      <c r="K1262">
        <v>1.9377500000000001</v>
      </c>
      <c r="L1262">
        <v>0</v>
      </c>
      <c r="M1262">
        <v>0</v>
      </c>
      <c r="N1262">
        <v>1.9377500000000001</v>
      </c>
      <c r="O1262" t="s">
        <v>74</v>
      </c>
      <c r="P1262">
        <v>0</v>
      </c>
      <c r="Q1262" t="s">
        <v>74</v>
      </c>
      <c r="R1262">
        <v>0</v>
      </c>
      <c r="S1262" t="s">
        <v>74</v>
      </c>
      <c r="T1262">
        <v>0</v>
      </c>
      <c r="U1262" t="s">
        <v>74</v>
      </c>
      <c r="V1262">
        <v>0</v>
      </c>
      <c r="W1262" t="s">
        <v>74</v>
      </c>
      <c r="X1262">
        <v>0</v>
      </c>
      <c r="Y1262">
        <v>1.9377500000000001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47</v>
      </c>
      <c r="AF1262">
        <v>77</v>
      </c>
      <c r="AG1262">
        <v>60</v>
      </c>
      <c r="AI1262">
        <v>0.17299999999999999</v>
      </c>
      <c r="AK1262" t="s">
        <v>4599</v>
      </c>
      <c r="AL1262" t="s">
        <v>4990</v>
      </c>
      <c r="AM1262">
        <v>200000</v>
      </c>
      <c r="AN1262" t="s">
        <v>76</v>
      </c>
      <c r="AO1262">
        <v>1</v>
      </c>
      <c r="AP1262">
        <v>0</v>
      </c>
      <c r="AQ1262">
        <v>16666.666666666668</v>
      </c>
      <c r="AR1262" t="s">
        <v>4991</v>
      </c>
      <c r="AS1262" t="s">
        <v>78</v>
      </c>
      <c r="AX1262" t="s">
        <v>79</v>
      </c>
      <c r="AY1262" t="s">
        <v>74</v>
      </c>
      <c r="AZ1262">
        <v>0</v>
      </c>
      <c r="BA1262" t="s">
        <v>74</v>
      </c>
      <c r="BB1262">
        <v>0</v>
      </c>
      <c r="BD1262">
        <v>1.9377500000000001</v>
      </c>
      <c r="BE1262">
        <v>0</v>
      </c>
    </row>
    <row r="1263" spans="1:58" ht="12.75">
      <c r="A1263" s="2" t="str">
        <f>HYPERLINK("https://ibp.a2mac1.com/costing(costing:projects/details/8191/part/5388782)","Folding Motor Support")</f>
        <v>Folding Motor Support</v>
      </c>
      <c r="B1263">
        <v>5388782</v>
      </c>
      <c r="C1263">
        <v>5388394</v>
      </c>
      <c r="E1263">
        <v>0.071102780000000004</v>
      </c>
      <c r="F1263">
        <v>0</v>
      </c>
      <c r="G1263">
        <v>0</v>
      </c>
      <c r="H1263">
        <v>0.0002189965624</v>
      </c>
      <c r="I1263" t="s">
        <v>137</v>
      </c>
      <c r="J1263">
        <v>0.0024885973</v>
      </c>
      <c r="K1263">
        <v>0.073810373862399997</v>
      </c>
      <c r="L1263">
        <v>0.022848247668198859</v>
      </c>
      <c r="M1263">
        <v>0.13708948600919316</v>
      </c>
      <c r="N1263">
        <v>0.21089985987159315</v>
      </c>
      <c r="O1263" t="s">
        <v>90</v>
      </c>
      <c r="P1263">
        <v>0</v>
      </c>
      <c r="Q1263" t="s">
        <v>90</v>
      </c>
      <c r="R1263">
        <v>0</v>
      </c>
      <c r="S1263" t="s">
        <v>90</v>
      </c>
      <c r="T1263">
        <v>0</v>
      </c>
      <c r="U1263" t="s">
        <v>90</v>
      </c>
      <c r="V1263">
        <v>0</v>
      </c>
      <c r="W1263" t="s">
        <v>90</v>
      </c>
      <c r="X1263">
        <v>0</v>
      </c>
      <c r="Y1263">
        <v>0.21089985987159315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46</v>
      </c>
      <c r="AF1263">
        <v>46</v>
      </c>
      <c r="AG1263">
        <v>11</v>
      </c>
      <c r="AI1263">
        <v>0.029000000000000001</v>
      </c>
      <c r="AJ1263" t="s">
        <v>1325</v>
      </c>
      <c r="AK1263" t="s">
        <v>4599</v>
      </c>
      <c r="AL1263" t="s">
        <v>1629</v>
      </c>
      <c r="AM1263">
        <v>200000</v>
      </c>
      <c r="AN1263" t="s">
        <v>76</v>
      </c>
      <c r="AO1263">
        <v>1</v>
      </c>
      <c r="AP1263">
        <v>0</v>
      </c>
      <c r="AQ1263">
        <v>16666.666666666668</v>
      </c>
      <c r="AR1263" t="s">
        <v>4997</v>
      </c>
      <c r="AS1263" t="s">
        <v>78</v>
      </c>
      <c r="AX1263" t="s">
        <v>79</v>
      </c>
      <c r="AY1263" t="s">
        <v>137</v>
      </c>
      <c r="AZ1263">
        <v>0</v>
      </c>
      <c r="BA1263" t="s">
        <v>137</v>
      </c>
      <c r="BB1263">
        <v>0</v>
      </c>
      <c r="BE1263">
        <v>0</v>
      </c>
    </row>
    <row r="1264" spans="1:58" ht="12.75">
      <c r="A1264" s="2" t="str">
        <f>HYPERLINK("https://ibp.a2mac1.com/costing(costing:projects/details/8191/part/5388783)","Blind Spot Monitor Light")</f>
        <v>Blind Spot Monitor Light</v>
      </c>
      <c r="B1264">
        <v>5388783</v>
      </c>
      <c r="C1264">
        <v>5388394</v>
      </c>
      <c r="E1264">
        <v>0.14763999999999999</v>
      </c>
      <c r="F1264">
        <v>0</v>
      </c>
      <c r="G1264">
        <v>0</v>
      </c>
      <c r="H1264">
        <v>0</v>
      </c>
      <c r="I1264" t="s">
        <v>74</v>
      </c>
      <c r="J1264">
        <v>0</v>
      </c>
      <c r="K1264">
        <v>0.14763999999999999</v>
      </c>
      <c r="L1264">
        <v>0</v>
      </c>
      <c r="M1264">
        <v>0</v>
      </c>
      <c r="N1264">
        <v>0.14763999999999999</v>
      </c>
      <c r="O1264" t="s">
        <v>74</v>
      </c>
      <c r="P1264">
        <v>0</v>
      </c>
      <c r="Q1264" t="s">
        <v>74</v>
      </c>
      <c r="R1264">
        <v>0</v>
      </c>
      <c r="S1264" t="s">
        <v>74</v>
      </c>
      <c r="T1264">
        <v>0</v>
      </c>
      <c r="U1264" t="s">
        <v>74</v>
      </c>
      <c r="V1264">
        <v>0</v>
      </c>
      <c r="W1264" t="s">
        <v>74</v>
      </c>
      <c r="X1264">
        <v>0</v>
      </c>
      <c r="Y1264">
        <v>0.14763999999999999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56</v>
      </c>
      <c r="AF1264">
        <v>28</v>
      </c>
      <c r="AG1264">
        <v>46</v>
      </c>
      <c r="AI1264">
        <v>0.017000000000000001</v>
      </c>
      <c r="AJ1264" t="s">
        <v>685</v>
      </c>
      <c r="AK1264" t="s">
        <v>576</v>
      </c>
      <c r="AL1264" t="s">
        <v>4998</v>
      </c>
      <c r="AM1264">
        <v>200000</v>
      </c>
      <c r="AN1264" t="s">
        <v>76</v>
      </c>
      <c r="AO1264">
        <v>1</v>
      </c>
      <c r="AP1264">
        <v>0</v>
      </c>
      <c r="AQ1264">
        <v>16666.666666666668</v>
      </c>
      <c r="AR1264" t="s">
        <v>4999</v>
      </c>
      <c r="AS1264" t="s">
        <v>78</v>
      </c>
      <c r="AX1264" t="s">
        <v>79</v>
      </c>
      <c r="AY1264" t="s">
        <v>74</v>
      </c>
      <c r="AZ1264">
        <v>0</v>
      </c>
      <c r="BA1264" t="s">
        <v>74</v>
      </c>
      <c r="BB1264">
        <v>0</v>
      </c>
      <c r="BD1264">
        <v>0.14763999999999999</v>
      </c>
      <c r="BE1264">
        <v>0</v>
      </c>
    </row>
    <row r="1265" spans="1:58" ht="12.75">
      <c r="A1265" s="2" t="str">
        <f>HYPERLINK("https://ibp.a2mac1.com/costing(costing:projects/details/8191/part/5388784)","Shell")</f>
        <v>Shell</v>
      </c>
      <c r="B1265">
        <v>5388784</v>
      </c>
      <c r="C1265">
        <v>5388394</v>
      </c>
      <c r="D1265" t="s">
        <v>5010</v>
      </c>
      <c r="E1265">
        <v>0.97025940169688996</v>
      </c>
      <c r="F1265">
        <v>0</v>
      </c>
      <c r="G1265">
        <v>0</v>
      </c>
      <c r="H1265">
        <v>0.0019403327349821976</v>
      </c>
      <c r="I1265" t="s">
        <v>137</v>
      </c>
      <c r="J1265">
        <v>0.033974735624797699</v>
      </c>
      <c r="K1265">
        <v>1.0061744700566699</v>
      </c>
      <c r="L1265">
        <v>0.12480884401923446</v>
      </c>
      <c r="M1265">
        <v>0.74885306411540675</v>
      </c>
      <c r="N1265">
        <v>1.7550275341720767</v>
      </c>
      <c r="O1265" t="s">
        <v>90</v>
      </c>
      <c r="P1265">
        <v>0</v>
      </c>
      <c r="Q1265" t="s">
        <v>90</v>
      </c>
      <c r="R1265">
        <v>0</v>
      </c>
      <c r="S1265" t="s">
        <v>90</v>
      </c>
      <c r="T1265">
        <v>0</v>
      </c>
      <c r="U1265" t="s">
        <v>90</v>
      </c>
      <c r="V1265">
        <v>0</v>
      </c>
      <c r="W1265" t="s">
        <v>90</v>
      </c>
      <c r="X1265">
        <v>0</v>
      </c>
      <c r="Y1265">
        <v>1.7550275341720767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159</v>
      </c>
      <c r="AF1265">
        <v>310</v>
      </c>
      <c r="AG1265">
        <v>130</v>
      </c>
      <c r="AH1265">
        <v>0</v>
      </c>
      <c r="AI1265">
        <v>0.17699999999999999</v>
      </c>
      <c r="AK1265" t="s">
        <v>4599</v>
      </c>
      <c r="AM1265">
        <v>200000</v>
      </c>
      <c r="AN1265" t="s">
        <v>76</v>
      </c>
      <c r="AO1265">
        <v>1</v>
      </c>
      <c r="AP1265">
        <v>0</v>
      </c>
      <c r="AQ1265">
        <v>16666.666666666668</v>
      </c>
      <c r="AR1265" t="s">
        <v>5011</v>
      </c>
      <c r="AS1265" t="s">
        <v>78</v>
      </c>
      <c r="AX1265" t="s">
        <v>79</v>
      </c>
      <c r="AY1265" t="s">
        <v>137</v>
      </c>
      <c r="AZ1265">
        <v>0</v>
      </c>
      <c r="BA1265" t="s">
        <v>137</v>
      </c>
      <c r="BB1265">
        <v>0</v>
      </c>
      <c r="BE1265">
        <v>0</v>
      </c>
    </row>
    <row r="1266" spans="1:58" ht="12.75">
      <c r="A1266" s="2" t="str">
        <f>HYPERLINK("https://ibp.a2mac1.com/costing(costing:projects/details/8191/part/5388395)","Electric Windows Lift Control")</f>
        <v>Electric Windows Lift Control</v>
      </c>
      <c r="B1266">
        <v>5388395</v>
      </c>
      <c r="C1266">
        <v>5388181</v>
      </c>
      <c r="E1266">
        <v>4.4291499999999999</v>
      </c>
      <c r="F1266">
        <v>0</v>
      </c>
      <c r="G1266">
        <v>0</v>
      </c>
      <c r="H1266">
        <v>0</v>
      </c>
      <c r="I1266" t="s">
        <v>74</v>
      </c>
      <c r="J1266">
        <v>0</v>
      </c>
      <c r="K1266">
        <v>4.4291499999999999</v>
      </c>
      <c r="L1266">
        <v>0</v>
      </c>
      <c r="M1266">
        <v>0</v>
      </c>
      <c r="N1266">
        <v>4.4291499999999999</v>
      </c>
      <c r="O1266" t="s">
        <v>74</v>
      </c>
      <c r="P1266">
        <v>0</v>
      </c>
      <c r="Q1266" t="s">
        <v>74</v>
      </c>
      <c r="R1266">
        <v>0</v>
      </c>
      <c r="S1266" t="s">
        <v>74</v>
      </c>
      <c r="T1266">
        <v>0</v>
      </c>
      <c r="U1266" t="s">
        <v>74</v>
      </c>
      <c r="V1266">
        <v>0</v>
      </c>
      <c r="W1266" t="s">
        <v>74</v>
      </c>
      <c r="X1266">
        <v>0</v>
      </c>
      <c r="Y1266">
        <v>4.4291499999999999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56</v>
      </c>
      <c r="AF1266">
        <v>47</v>
      </c>
      <c r="AG1266">
        <v>127</v>
      </c>
      <c r="AI1266">
        <v>0.104</v>
      </c>
      <c r="AJ1266" t="s">
        <v>3677</v>
      </c>
      <c r="AK1266" t="s">
        <v>576</v>
      </c>
      <c r="AL1266" t="s">
        <v>5018</v>
      </c>
      <c r="AM1266">
        <v>200000</v>
      </c>
      <c r="AN1266" t="s">
        <v>76</v>
      </c>
      <c r="AO1266">
        <v>1</v>
      </c>
      <c r="AP1266">
        <v>0</v>
      </c>
      <c r="AQ1266">
        <v>16666.666666666668</v>
      </c>
      <c r="AR1266" t="s">
        <v>5019</v>
      </c>
      <c r="AS1266" t="s">
        <v>78</v>
      </c>
      <c r="AX1266" t="s">
        <v>79</v>
      </c>
      <c r="AY1266" t="s">
        <v>74</v>
      </c>
      <c r="AZ1266">
        <v>0</v>
      </c>
      <c r="BA1266" t="s">
        <v>74</v>
      </c>
      <c r="BB1266">
        <v>0</v>
      </c>
      <c r="BD1266">
        <v>4.4291499999999999</v>
      </c>
      <c r="BE1266">
        <v>0</v>
      </c>
    </row>
    <row r="1267" spans="1:58" ht="12.75">
      <c r="A1267" s="2" t="str">
        <f>HYPERLINK("https://ibp.a2mac1.com/costing(costing:projects/details/8191/part/5388396)","Electric Windows Lift Control Support")</f>
        <v>Electric Windows Lift Control Support</v>
      </c>
      <c r="B1267">
        <v>5388396</v>
      </c>
      <c r="C1267">
        <v>5388181</v>
      </c>
      <c r="E1267">
        <v>0.42294082403009409</v>
      </c>
      <c r="F1267">
        <v>0</v>
      </c>
      <c r="G1267">
        <v>0</v>
      </c>
      <c r="H1267">
        <v>0.00087211311720209871</v>
      </c>
      <c r="I1267" t="s">
        <v>137</v>
      </c>
      <c r="J1267">
        <v>0.01481745587479294</v>
      </c>
      <c r="K1267">
        <v>0.43863039302208912</v>
      </c>
      <c r="L1267">
        <v>0.029247210033875124</v>
      </c>
      <c r="M1267">
        <v>0.17548326020325072</v>
      </c>
      <c r="N1267">
        <v>0.61411365322533984</v>
      </c>
      <c r="O1267" t="s">
        <v>138</v>
      </c>
      <c r="P1267">
        <v>0.026317823581325346</v>
      </c>
      <c r="Q1267" t="s">
        <v>138</v>
      </c>
      <c r="R1267">
        <v>0.010528995612195044</v>
      </c>
      <c r="S1267" t="s">
        <v>139</v>
      </c>
      <c r="T1267">
        <v>0.07369363838704078</v>
      </c>
      <c r="U1267" t="s">
        <v>90</v>
      </c>
      <c r="V1267">
        <v>0</v>
      </c>
      <c r="W1267" t="s">
        <v>90</v>
      </c>
      <c r="X1267">
        <v>0</v>
      </c>
      <c r="Y1267">
        <v>0.72465411080590103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127</v>
      </c>
      <c r="AF1267">
        <v>75</v>
      </c>
      <c r="AG1267">
        <v>433</v>
      </c>
      <c r="AI1267">
        <v>0.18099999999999999</v>
      </c>
      <c r="AJ1267" t="s">
        <v>2797</v>
      </c>
      <c r="AK1267" t="s">
        <v>4605</v>
      </c>
      <c r="AL1267" t="s">
        <v>1275</v>
      </c>
      <c r="AM1267">
        <v>200000</v>
      </c>
      <c r="AN1267" t="s">
        <v>76</v>
      </c>
      <c r="AO1267">
        <v>1</v>
      </c>
      <c r="AP1267">
        <v>0</v>
      </c>
      <c r="AQ1267">
        <v>16666.666666666668</v>
      </c>
      <c r="AR1267" t="s">
        <v>5025</v>
      </c>
      <c r="AS1267" t="s">
        <v>78</v>
      </c>
      <c r="AX1267" t="s">
        <v>79</v>
      </c>
      <c r="AY1267" t="s">
        <v>137</v>
      </c>
      <c r="AZ1267">
        <v>0</v>
      </c>
      <c r="BA1267" t="s">
        <v>137</v>
      </c>
      <c r="BB1267">
        <v>0</v>
      </c>
      <c r="BE1267">
        <v>0</v>
      </c>
    </row>
    <row r="1268" spans="1:58" ht="12.75">
      <c r="A1268" s="2" t="str">
        <f>HYPERLINK("https://ibp.a2mac1.com/costing(costing:projects/details/8191/part/5388397)","Trunk Lid   Tailgate Opening Switch")</f>
        <v>Trunk Lid   Tailgate Opening Switch</v>
      </c>
      <c r="B1268">
        <v>5388397</v>
      </c>
      <c r="C1268">
        <v>5388181</v>
      </c>
      <c r="E1268">
        <v>0.55364000000000002</v>
      </c>
      <c r="F1268">
        <v>0</v>
      </c>
      <c r="G1268">
        <v>0</v>
      </c>
      <c r="H1268">
        <v>0</v>
      </c>
      <c r="I1268" t="s">
        <v>74</v>
      </c>
      <c r="J1268">
        <v>0</v>
      </c>
      <c r="K1268">
        <v>0.55364000000000002</v>
      </c>
      <c r="L1268">
        <v>0</v>
      </c>
      <c r="M1268">
        <v>0</v>
      </c>
      <c r="N1268">
        <v>0.55364000000000002</v>
      </c>
      <c r="O1268" t="s">
        <v>74</v>
      </c>
      <c r="P1268">
        <v>0</v>
      </c>
      <c r="Q1268" t="s">
        <v>74</v>
      </c>
      <c r="R1268">
        <v>0</v>
      </c>
      <c r="S1268" t="s">
        <v>74</v>
      </c>
      <c r="T1268">
        <v>0</v>
      </c>
      <c r="U1268" t="s">
        <v>74</v>
      </c>
      <c r="V1268">
        <v>0</v>
      </c>
      <c r="W1268" t="s">
        <v>74</v>
      </c>
      <c r="X1268">
        <v>0</v>
      </c>
      <c r="Y1268">
        <v>0.55364000000000002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44</v>
      </c>
      <c r="AF1268">
        <v>22</v>
      </c>
      <c r="AG1268">
        <v>39</v>
      </c>
      <c r="AI1268">
        <v>0.01</v>
      </c>
      <c r="AJ1268" t="s">
        <v>685</v>
      </c>
      <c r="AK1268" t="s">
        <v>4605</v>
      </c>
      <c r="AL1268" t="s">
        <v>1180</v>
      </c>
      <c r="AM1268">
        <v>200000</v>
      </c>
      <c r="AN1268" t="s">
        <v>76</v>
      </c>
      <c r="AO1268">
        <v>1</v>
      </c>
      <c r="AP1268">
        <v>0</v>
      </c>
      <c r="AQ1268">
        <v>16666.666666666668</v>
      </c>
      <c r="AR1268" t="s">
        <v>5026</v>
      </c>
      <c r="AS1268" t="s">
        <v>78</v>
      </c>
      <c r="AX1268" t="s">
        <v>79</v>
      </c>
      <c r="AY1268" t="s">
        <v>74</v>
      </c>
      <c r="AZ1268">
        <v>0</v>
      </c>
      <c r="BA1268" t="s">
        <v>74</v>
      </c>
      <c r="BB1268">
        <v>0</v>
      </c>
      <c r="BD1268">
        <v>0.55364000000000002</v>
      </c>
      <c r="BE1268">
        <v>0</v>
      </c>
    </row>
    <row r="1269" spans="1:58" ht="12.75">
      <c r="A1269" s="2" t="str">
        <f>HYPERLINK("https://ibp.a2mac1.com/costing(costing:projects/details/8191/part/5388398)","Trunk Lid   Tailgate Opening Switch Support")</f>
        <v>Trunk Lid   Tailgate Opening Switch Support</v>
      </c>
      <c r="B1269">
        <v>5388398</v>
      </c>
      <c r="C1269">
        <v>5388181</v>
      </c>
      <c r="E1269">
        <v>0.083049999999999999</v>
      </c>
      <c r="F1269">
        <v>0</v>
      </c>
      <c r="G1269">
        <v>0</v>
      </c>
      <c r="H1269">
        <v>0</v>
      </c>
      <c r="I1269" t="s">
        <v>74</v>
      </c>
      <c r="J1269">
        <v>0</v>
      </c>
      <c r="K1269">
        <v>0.083049999999999999</v>
      </c>
      <c r="L1269">
        <v>0</v>
      </c>
      <c r="M1269">
        <v>0</v>
      </c>
      <c r="N1269">
        <v>0.083049999999999999</v>
      </c>
      <c r="O1269" t="s">
        <v>74</v>
      </c>
      <c r="P1269">
        <v>0</v>
      </c>
      <c r="Q1269" t="s">
        <v>74</v>
      </c>
      <c r="R1269">
        <v>0</v>
      </c>
      <c r="S1269" t="s">
        <v>74</v>
      </c>
      <c r="T1269">
        <v>0</v>
      </c>
      <c r="U1269" t="s">
        <v>74</v>
      </c>
      <c r="V1269">
        <v>0</v>
      </c>
      <c r="W1269" t="s">
        <v>74</v>
      </c>
      <c r="X1269">
        <v>0</v>
      </c>
      <c r="Y1269">
        <v>0.083049999999999999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33</v>
      </c>
      <c r="AF1269">
        <v>35</v>
      </c>
      <c r="AG1269">
        <v>62</v>
      </c>
      <c r="AI1269">
        <v>0.010999999999999999</v>
      </c>
      <c r="AJ1269" t="s">
        <v>685</v>
      </c>
      <c r="AK1269" t="s">
        <v>4605</v>
      </c>
      <c r="AL1269" t="s">
        <v>1288</v>
      </c>
      <c r="AM1269">
        <v>200000</v>
      </c>
      <c r="AN1269" t="s">
        <v>76</v>
      </c>
      <c r="AO1269">
        <v>1</v>
      </c>
      <c r="AP1269">
        <v>0</v>
      </c>
      <c r="AQ1269">
        <v>16666.666666666668</v>
      </c>
      <c r="AR1269" t="s">
        <v>5027</v>
      </c>
      <c r="AS1269" t="s">
        <v>78</v>
      </c>
      <c r="AX1269" t="s">
        <v>79</v>
      </c>
      <c r="AY1269" t="s">
        <v>74</v>
      </c>
      <c r="AZ1269">
        <v>0</v>
      </c>
      <c r="BA1269" t="s">
        <v>74</v>
      </c>
      <c r="BB1269">
        <v>0</v>
      </c>
      <c r="BD1269">
        <v>0.083049999999999999</v>
      </c>
      <c r="BE1269">
        <v>0</v>
      </c>
    </row>
    <row r="1270" spans="1:58" ht="12.75">
      <c r="A1270" s="2" t="str">
        <f>HYPERLINK("https://ibp.a2mac1.com/costing(costing:projects/details/8191/part/5388400)","Speaker")</f>
        <v>Speaker</v>
      </c>
      <c r="B1270">
        <v>5388400</v>
      </c>
      <c r="C1270">
        <v>5388182</v>
      </c>
      <c r="E1270">
        <v>4.9458900000000003</v>
      </c>
      <c r="F1270">
        <v>0</v>
      </c>
      <c r="G1270">
        <v>0</v>
      </c>
      <c r="H1270">
        <v>0</v>
      </c>
      <c r="I1270" t="s">
        <v>74</v>
      </c>
      <c r="J1270">
        <v>0</v>
      </c>
      <c r="K1270">
        <v>4.9458900000000003</v>
      </c>
      <c r="L1270">
        <v>0</v>
      </c>
      <c r="M1270">
        <v>0</v>
      </c>
      <c r="N1270">
        <v>4.9458900000000003</v>
      </c>
      <c r="O1270" t="s">
        <v>74</v>
      </c>
      <c r="P1270">
        <v>0</v>
      </c>
      <c r="Q1270" t="s">
        <v>74</v>
      </c>
      <c r="R1270">
        <v>0</v>
      </c>
      <c r="S1270" t="s">
        <v>74</v>
      </c>
      <c r="T1270">
        <v>0</v>
      </c>
      <c r="U1270" t="s">
        <v>74</v>
      </c>
      <c r="V1270">
        <v>0</v>
      </c>
      <c r="W1270" t="s">
        <v>74</v>
      </c>
      <c r="X1270">
        <v>0</v>
      </c>
      <c r="Y1270">
        <v>4.9458900000000003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73</v>
      </c>
      <c r="AF1270">
        <v>170</v>
      </c>
      <c r="AG1270">
        <v>170</v>
      </c>
      <c r="AI1270">
        <v>0.69199999999999995</v>
      </c>
      <c r="AJ1270" t="s">
        <v>3827</v>
      </c>
      <c r="AK1270" t="s">
        <v>686</v>
      </c>
      <c r="AL1270" t="s">
        <v>5030</v>
      </c>
      <c r="AM1270">
        <v>200000</v>
      </c>
      <c r="AN1270" t="s">
        <v>76</v>
      </c>
      <c r="AO1270">
        <v>1</v>
      </c>
      <c r="AP1270">
        <v>0</v>
      </c>
      <c r="AQ1270">
        <v>16666.666666666668</v>
      </c>
      <c r="AR1270" t="s">
        <v>5031</v>
      </c>
      <c r="AS1270" t="s">
        <v>78</v>
      </c>
      <c r="AX1270" t="s">
        <v>79</v>
      </c>
      <c r="AY1270" t="s">
        <v>74</v>
      </c>
      <c r="AZ1270">
        <v>0</v>
      </c>
      <c r="BA1270" t="s">
        <v>74</v>
      </c>
      <c r="BB1270">
        <v>0</v>
      </c>
      <c r="BD1270">
        <v>4.9458900000000003</v>
      </c>
      <c r="BE1270">
        <v>0</v>
      </c>
    </row>
    <row r="1271" spans="1:58" ht="12.75">
      <c r="A1271" s="2" t="str">
        <f>HYPERLINK("https://ibp.a2mac1.com/costing(costing:projects/details/8191/part/5388172)","Hole Plug")</f>
        <v>Hole Plug</v>
      </c>
      <c r="B1271">
        <v>5388172</v>
      </c>
      <c r="C1271">
        <v>5388133</v>
      </c>
      <c r="E1271">
        <v>0.30</v>
      </c>
      <c r="F1271">
        <v>0</v>
      </c>
      <c r="G1271">
        <v>0</v>
      </c>
      <c r="H1271">
        <v>0</v>
      </c>
      <c r="I1271" t="s">
        <v>74</v>
      </c>
      <c r="J1271">
        <v>0</v>
      </c>
      <c r="K1271">
        <v>0.30</v>
      </c>
      <c r="L1271">
        <v>0</v>
      </c>
      <c r="M1271">
        <v>0</v>
      </c>
      <c r="N1271">
        <v>0.30</v>
      </c>
      <c r="O1271" t="s">
        <v>74</v>
      </c>
      <c r="P1271">
        <v>0</v>
      </c>
      <c r="Q1271" t="s">
        <v>74</v>
      </c>
      <c r="R1271">
        <v>0</v>
      </c>
      <c r="S1271" t="s">
        <v>74</v>
      </c>
      <c r="T1271">
        <v>0</v>
      </c>
      <c r="U1271" t="s">
        <v>74</v>
      </c>
      <c r="V1271">
        <v>0</v>
      </c>
      <c r="W1271" t="s">
        <v>74</v>
      </c>
      <c r="X1271">
        <v>0</v>
      </c>
      <c r="Y1271">
        <v>0.30</v>
      </c>
      <c r="Z1271">
        <v>0</v>
      </c>
      <c r="AA1271">
        <v>0</v>
      </c>
      <c r="AB1271">
        <v>0</v>
      </c>
      <c r="AC1271">
        <v>0</v>
      </c>
      <c r="AD1271">
        <v>0</v>
      </c>
      <c r="AI1271">
        <v>3.0000000000000001E-05</v>
      </c>
      <c r="AK1271" t="s">
        <v>4605</v>
      </c>
      <c r="AL1271" t="s">
        <v>3752</v>
      </c>
      <c r="AM1271">
        <v>600000</v>
      </c>
      <c r="AN1271" t="s">
        <v>76</v>
      </c>
      <c r="AO1271">
        <v>3</v>
      </c>
      <c r="AP1271">
        <v>0</v>
      </c>
      <c r="AQ1271">
        <v>50000</v>
      </c>
      <c r="AR1271" t="s">
        <v>5034</v>
      </c>
      <c r="AS1271" t="s">
        <v>78</v>
      </c>
      <c r="AX1271" t="s">
        <v>79</v>
      </c>
      <c r="AY1271" t="s">
        <v>74</v>
      </c>
      <c r="AZ1271">
        <v>0</v>
      </c>
      <c r="BA1271" t="s">
        <v>74</v>
      </c>
      <c r="BB1271">
        <v>0</v>
      </c>
      <c r="BD1271">
        <v>0.10</v>
      </c>
      <c r="BE1271">
        <v>0</v>
      </c>
    </row>
    <row r="1272" spans="1:58" ht="12.75">
      <c r="A1272" s="2" t="str">
        <f>HYPERLINK("https://ibp.a2mac1.com/costing(costing:projects/details/8191/part/5389161)","Part 01 single/front")</f>
        <v>Part 01 single/front</v>
      </c>
      <c r="B1272">
        <v>5389161</v>
      </c>
      <c r="C1272">
        <v>5388786</v>
      </c>
      <c r="E1272">
        <v>4.9031817272727274</v>
      </c>
      <c r="F1272">
        <v>0</v>
      </c>
      <c r="G1272">
        <v>0</v>
      </c>
      <c r="H1272">
        <v>0.005895154909090909</v>
      </c>
      <c r="I1272" t="s">
        <v>137</v>
      </c>
      <c r="J1272">
        <v>0.19839463636363636</v>
      </c>
      <c r="K1272">
        <v>5.1074715185454549</v>
      </c>
      <c r="L1272">
        <v>0.3199542277697916</v>
      </c>
      <c r="M1272">
        <v>1.9197253666187497</v>
      </c>
      <c r="N1272">
        <v>7.0271968851642042</v>
      </c>
      <c r="O1272" t="s">
        <v>90</v>
      </c>
      <c r="P1272">
        <v>0</v>
      </c>
      <c r="Q1272" t="s">
        <v>90</v>
      </c>
      <c r="R1272">
        <v>0</v>
      </c>
      <c r="S1272" t="s">
        <v>90</v>
      </c>
      <c r="T1272">
        <v>0</v>
      </c>
      <c r="U1272" t="s">
        <v>90</v>
      </c>
      <c r="V1272">
        <v>0</v>
      </c>
      <c r="W1272" t="s">
        <v>90</v>
      </c>
      <c r="X1272">
        <v>0</v>
      </c>
      <c r="Y1272">
        <v>7.0271968851642042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K1272" t="s">
        <v>4599</v>
      </c>
      <c r="AM1272">
        <v>200000</v>
      </c>
      <c r="AN1272" t="s">
        <v>92</v>
      </c>
      <c r="AO1272">
        <v>1</v>
      </c>
      <c r="AP1272">
        <v>0</v>
      </c>
      <c r="AQ1272">
        <v>16666.666666666668</v>
      </c>
      <c r="AR1272" t="s">
        <v>9</v>
      </c>
      <c r="AS1272" t="s">
        <v>78</v>
      </c>
      <c r="AV1272">
        <v>0</v>
      </c>
      <c r="AW1272">
        <v>0</v>
      </c>
      <c r="AX1272" t="s">
        <v>79</v>
      </c>
      <c r="AY1272" t="s">
        <v>137</v>
      </c>
      <c r="AZ1272">
        <v>0</v>
      </c>
      <c r="BA1272" t="s">
        <v>137</v>
      </c>
      <c r="BB1272">
        <v>0</v>
      </c>
      <c r="BE1272">
        <v>0</v>
      </c>
    </row>
    <row r="1273" spans="1:58" ht="12.75">
      <c r="A1273" s="2" t="str">
        <f>HYPERLINK("https://ibp.a2mac1.com/costing(costing:projects/details/8191/part/5389162)","Part 01 single/main")</f>
        <v>Part 01 single/main</v>
      </c>
      <c r="B1273">
        <v>5389162</v>
      </c>
      <c r="C1273">
        <v>5388787</v>
      </c>
      <c r="E1273">
        <v>0.48124592500000002</v>
      </c>
      <c r="F1273">
        <v>0</v>
      </c>
      <c r="G1273">
        <v>0</v>
      </c>
      <c r="H1273">
        <v>0.00053244230000000004</v>
      </c>
      <c r="I1273" t="s">
        <v>137</v>
      </c>
      <c r="J1273">
        <v>0.01791873125</v>
      </c>
      <c r="K1273">
        <v>0.49969709855</v>
      </c>
      <c r="L1273">
        <v>0.010976837937400397</v>
      </c>
      <c r="M1273">
        <v>0.06586102762440238</v>
      </c>
      <c r="N1273">
        <v>0.56555812617440238</v>
      </c>
      <c r="O1273" t="s">
        <v>138</v>
      </c>
      <c r="P1273">
        <v>0.029981825912999999</v>
      </c>
      <c r="Q1273" t="s">
        <v>138</v>
      </c>
      <c r="R1273">
        <v>0.0039516616574641426</v>
      </c>
      <c r="S1273" t="s">
        <v>139</v>
      </c>
      <c r="T1273">
        <v>0.067866975140928279</v>
      </c>
      <c r="U1273" t="s">
        <v>90</v>
      </c>
      <c r="V1273">
        <v>0</v>
      </c>
      <c r="W1273" t="s">
        <v>90</v>
      </c>
      <c r="X1273">
        <v>0</v>
      </c>
      <c r="Y1273">
        <v>0.6673585888857948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K1273" t="s">
        <v>4605</v>
      </c>
      <c r="AM1273">
        <v>200000</v>
      </c>
      <c r="AN1273" t="s">
        <v>76</v>
      </c>
      <c r="AO1273">
        <v>1</v>
      </c>
      <c r="AP1273">
        <v>0</v>
      </c>
      <c r="AQ1273">
        <v>16666.666666666668</v>
      </c>
      <c r="AR1273" t="s">
        <v>9</v>
      </c>
      <c r="AS1273" t="s">
        <v>78</v>
      </c>
      <c r="AV1273">
        <v>0</v>
      </c>
      <c r="AW1273">
        <v>0</v>
      </c>
      <c r="AX1273" t="s">
        <v>79</v>
      </c>
      <c r="AY1273" t="s">
        <v>137</v>
      </c>
      <c r="AZ1273">
        <v>0</v>
      </c>
      <c r="BA1273" t="s">
        <v>137</v>
      </c>
      <c r="BB1273">
        <v>0</v>
      </c>
      <c r="BE1273">
        <v>0</v>
      </c>
    </row>
    <row r="1274" spans="1:58" ht="12.75">
      <c r="A1274" s="2" t="str">
        <f>HYPERLINK("https://ibp.a2mac1.com/costing(costing:projects/details/8191/part/5389163)","Part 02")</f>
        <v>Part 02</v>
      </c>
      <c r="B1274">
        <v>5389163</v>
      </c>
      <c r="C1274">
        <v>5388787</v>
      </c>
      <c r="E1274">
        <v>0.30885932500000002</v>
      </c>
      <c r="F1274">
        <v>0</v>
      </c>
      <c r="G1274">
        <v>0</v>
      </c>
      <c r="H1274">
        <v>0.00034171670000000001</v>
      </c>
      <c r="I1274" t="s">
        <v>137</v>
      </c>
      <c r="J1274">
        <v>0.01150008125</v>
      </c>
      <c r="K1274">
        <v>0.32070112294999997</v>
      </c>
      <c r="L1274">
        <v>0.010976837937400397</v>
      </c>
      <c r="M1274">
        <v>0.06586102762440238</v>
      </c>
      <c r="N1274">
        <v>0.38656215057440235</v>
      </c>
      <c r="O1274" t="s">
        <v>138</v>
      </c>
      <c r="P1274">
        <v>0.019242067376999999</v>
      </c>
      <c r="Q1274" t="s">
        <v>138</v>
      </c>
      <c r="R1274">
        <v>0.0039516616574641426</v>
      </c>
      <c r="S1274" t="s">
        <v>139</v>
      </c>
      <c r="T1274">
        <v>0.046387458068928286</v>
      </c>
      <c r="U1274" t="s">
        <v>90</v>
      </c>
      <c r="V1274">
        <v>0</v>
      </c>
      <c r="W1274" t="s">
        <v>90</v>
      </c>
      <c r="X1274">
        <v>0</v>
      </c>
      <c r="Y1274">
        <v>0.4561433376777948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K1274" t="s">
        <v>4605</v>
      </c>
      <c r="AM1274">
        <v>200000</v>
      </c>
      <c r="AN1274" t="s">
        <v>76</v>
      </c>
      <c r="AO1274">
        <v>1</v>
      </c>
      <c r="AP1274">
        <v>0</v>
      </c>
      <c r="AQ1274">
        <v>16666.666666666668</v>
      </c>
      <c r="AR1274" t="s">
        <v>9</v>
      </c>
      <c r="AS1274" t="s">
        <v>78</v>
      </c>
      <c r="AV1274">
        <v>0</v>
      </c>
      <c r="AW1274">
        <v>0</v>
      </c>
      <c r="AX1274" t="s">
        <v>79</v>
      </c>
      <c r="AY1274" t="s">
        <v>137</v>
      </c>
      <c r="AZ1274">
        <v>0</v>
      </c>
      <c r="BA1274" t="s">
        <v>137</v>
      </c>
      <c r="BB1274">
        <v>0</v>
      </c>
      <c r="BE1274">
        <v>0</v>
      </c>
    </row>
    <row r="1275" spans="1:58" ht="12.75">
      <c r="A1275" s="2" t="str">
        <f>HYPERLINK("https://ibp.a2mac1.com/costing(costing:projects/details/8191/part/5389418)","Part 01 single/main")</f>
        <v>Part 01 single/main</v>
      </c>
      <c r="B1275">
        <v>5389418</v>
      </c>
      <c r="C1275">
        <v>5389164</v>
      </c>
      <c r="E1275">
        <v>0.30885932500000002</v>
      </c>
      <c r="F1275">
        <v>0</v>
      </c>
      <c r="G1275">
        <v>0</v>
      </c>
      <c r="H1275">
        <v>0.00034171670000000001</v>
      </c>
      <c r="I1275" t="s">
        <v>137</v>
      </c>
      <c r="J1275">
        <v>0.01150008125</v>
      </c>
      <c r="K1275">
        <v>0.32070112294999997</v>
      </c>
      <c r="L1275">
        <v>0.010976837937400397</v>
      </c>
      <c r="M1275">
        <v>0.06586102762440238</v>
      </c>
      <c r="N1275">
        <v>0.38656215057440235</v>
      </c>
      <c r="O1275" t="s">
        <v>138</v>
      </c>
      <c r="P1275">
        <v>0.019242067376999999</v>
      </c>
      <c r="Q1275" t="s">
        <v>138</v>
      </c>
      <c r="R1275">
        <v>0.0039516616574641426</v>
      </c>
      <c r="S1275" t="s">
        <v>139</v>
      </c>
      <c r="T1275">
        <v>0.046387458068928286</v>
      </c>
      <c r="U1275" t="s">
        <v>90</v>
      </c>
      <c r="V1275">
        <v>0</v>
      </c>
      <c r="W1275" t="s">
        <v>90</v>
      </c>
      <c r="X1275">
        <v>0</v>
      </c>
      <c r="Y1275">
        <v>0.4561433376777948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K1275" t="s">
        <v>4605</v>
      </c>
      <c r="AM1275">
        <v>200000</v>
      </c>
      <c r="AN1275" t="s">
        <v>76</v>
      </c>
      <c r="AO1275">
        <v>1</v>
      </c>
      <c r="AP1275">
        <v>0</v>
      </c>
      <c r="AQ1275">
        <v>16666.666666666668</v>
      </c>
      <c r="AR1275" t="s">
        <v>9</v>
      </c>
      <c r="AS1275" t="s">
        <v>78</v>
      </c>
      <c r="AV1275">
        <v>0</v>
      </c>
      <c r="AW1275">
        <v>0</v>
      </c>
      <c r="AX1275" t="s">
        <v>79</v>
      </c>
      <c r="AY1275" t="s">
        <v>137</v>
      </c>
      <c r="AZ1275">
        <v>0</v>
      </c>
      <c r="BA1275" t="s">
        <v>137</v>
      </c>
      <c r="BB1275">
        <v>0</v>
      </c>
      <c r="BE1275">
        <v>0</v>
      </c>
    </row>
    <row r="1276" spans="1:58" ht="12.75">
      <c r="A1276" s="2" t="str">
        <f>HYPERLINK("https://ibp.a2mac1.com/costing(costing:projects/details/8191/part/5389419)","Part 02")</f>
        <v>Part 02</v>
      </c>
      <c r="B1276">
        <v>5389419</v>
      </c>
      <c r="C1276">
        <v>5389164</v>
      </c>
      <c r="E1276">
        <v>0.6895464</v>
      </c>
      <c r="F1276">
        <v>0</v>
      </c>
      <c r="G1276">
        <v>0</v>
      </c>
      <c r="H1276">
        <v>0.00076290240000000001</v>
      </c>
      <c r="I1276" t="s">
        <v>137</v>
      </c>
      <c r="J1276">
        <v>0.025674599999999999</v>
      </c>
      <c r="K1276">
        <v>0.71598390239999998</v>
      </c>
      <c r="L1276">
        <v>0.010976837937400397</v>
      </c>
      <c r="M1276">
        <v>0.06586102762440238</v>
      </c>
      <c r="N1276">
        <v>0.78184493002440236</v>
      </c>
      <c r="O1276" t="s">
        <v>138</v>
      </c>
      <c r="P1276">
        <v>0.042959034144</v>
      </c>
      <c r="Q1276" t="s">
        <v>138</v>
      </c>
      <c r="R1276">
        <v>0.0039516616574641426</v>
      </c>
      <c r="S1276" t="s">
        <v>139</v>
      </c>
      <c r="T1276">
        <v>0.093821391602928281</v>
      </c>
      <c r="U1276" t="s">
        <v>90</v>
      </c>
      <c r="V1276">
        <v>0</v>
      </c>
      <c r="W1276" t="s">
        <v>90</v>
      </c>
      <c r="X1276">
        <v>0</v>
      </c>
      <c r="Y1276">
        <v>0.92257701742879483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K1276" t="s">
        <v>4605</v>
      </c>
      <c r="AM1276">
        <v>200000</v>
      </c>
      <c r="AN1276" t="s">
        <v>76</v>
      </c>
      <c r="AO1276">
        <v>1</v>
      </c>
      <c r="AP1276">
        <v>0</v>
      </c>
      <c r="AQ1276">
        <v>16666.666666666668</v>
      </c>
      <c r="AR1276" t="s">
        <v>9</v>
      </c>
      <c r="AS1276" t="s">
        <v>78</v>
      </c>
      <c r="AV1276">
        <v>0</v>
      </c>
      <c r="AW1276">
        <v>0</v>
      </c>
      <c r="AX1276" t="s">
        <v>79</v>
      </c>
      <c r="AY1276" t="s">
        <v>137</v>
      </c>
      <c r="AZ1276">
        <v>0</v>
      </c>
      <c r="BA1276" t="s">
        <v>137</v>
      </c>
      <c r="BB1276">
        <v>0</v>
      </c>
      <c r="BE1276">
        <v>0</v>
      </c>
    </row>
    <row r="1277" spans="1:58" ht="12.75">
      <c r="A1277" s="2" t="str">
        <f>HYPERLINK("https://ibp.a2mac1.com/costing(costing:projects/details/8191/part/5389420)","Part 01 single/main")</f>
        <v>Part 01 single/main</v>
      </c>
      <c r="B1277">
        <v>5389420</v>
      </c>
      <c r="C1277">
        <v>5389165</v>
      </c>
      <c r="E1277">
        <v>0.65363252500000002</v>
      </c>
      <c r="F1277">
        <v>0</v>
      </c>
      <c r="G1277">
        <v>0</v>
      </c>
      <c r="H1277">
        <v>0.00072316790000000002</v>
      </c>
      <c r="I1277" t="s">
        <v>137</v>
      </c>
      <c r="J1277">
        <v>0.024337381250000002</v>
      </c>
      <c r="K1277">
        <v>0.67869307415000002</v>
      </c>
      <c r="L1277">
        <v>0.1708546733739284</v>
      </c>
      <c r="M1277">
        <v>1.0251280402435705</v>
      </c>
      <c r="N1277">
        <v>1.7038211143935704</v>
      </c>
      <c r="O1277" t="s">
        <v>138</v>
      </c>
      <c r="P1277">
        <v>0.040721584449000002</v>
      </c>
      <c r="Q1277" t="s">
        <v>138</v>
      </c>
      <c r="R1277">
        <v>0.061507682414614226</v>
      </c>
      <c r="S1277" t="s">
        <v>139</v>
      </c>
      <c r="T1277">
        <v>0.20445853372722847</v>
      </c>
      <c r="U1277" t="s">
        <v>90</v>
      </c>
      <c r="V1277">
        <v>0</v>
      </c>
      <c r="W1277" t="s">
        <v>90</v>
      </c>
      <c r="X1277">
        <v>0</v>
      </c>
      <c r="Y1277">
        <v>2.0105089149844133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K1277" t="s">
        <v>4605</v>
      </c>
      <c r="AM1277">
        <v>200000</v>
      </c>
      <c r="AN1277" t="s">
        <v>76</v>
      </c>
      <c r="AO1277">
        <v>1</v>
      </c>
      <c r="AP1277">
        <v>0</v>
      </c>
      <c r="AQ1277">
        <v>16666.666666666668</v>
      </c>
      <c r="AR1277" t="s">
        <v>9</v>
      </c>
      <c r="AS1277" t="s">
        <v>78</v>
      </c>
      <c r="AV1277">
        <v>0</v>
      </c>
      <c r="AW1277">
        <v>0</v>
      </c>
      <c r="AX1277" t="s">
        <v>79</v>
      </c>
      <c r="AY1277" t="s">
        <v>137</v>
      </c>
      <c r="AZ1277">
        <v>0</v>
      </c>
      <c r="BA1277" t="s">
        <v>137</v>
      </c>
      <c r="BB1277">
        <v>0</v>
      </c>
      <c r="BE1277">
        <v>0</v>
      </c>
    </row>
    <row r="1278" spans="1:58" ht="12.75">
      <c r="A1278" s="2" t="str">
        <f>HYPERLINK("https://ibp.a2mac1.com/costing(costing:projects/details/8191/part/5389166)","Part 01 single/front")</f>
        <v>Part 01 single/front</v>
      </c>
      <c r="B1278">
        <v>5389166</v>
      </c>
      <c r="C1278">
        <v>5388790</v>
      </c>
      <c r="E1278">
        <v>1.012771275</v>
      </c>
      <c r="F1278">
        <v>0</v>
      </c>
      <c r="G1278">
        <v>0</v>
      </c>
      <c r="H1278">
        <v>0.0011205129</v>
      </c>
      <c r="I1278" t="s">
        <v>137</v>
      </c>
      <c r="J1278">
        <v>0.037709568749999998</v>
      </c>
      <c r="K1278">
        <v>1.05160135665</v>
      </c>
      <c r="L1278">
        <v>0.16097458241998566</v>
      </c>
      <c r="M1278">
        <v>0.96584749451991403</v>
      </c>
      <c r="N1278">
        <v>2.017448851169914</v>
      </c>
      <c r="O1278" t="s">
        <v>138</v>
      </c>
      <c r="P1278">
        <v>0.063096081398999998</v>
      </c>
      <c r="Q1278" t="s">
        <v>138</v>
      </c>
      <c r="R1278">
        <v>0.057950849671194841</v>
      </c>
      <c r="S1278" t="s">
        <v>139</v>
      </c>
      <c r="T1278">
        <v>0.24209386214038969</v>
      </c>
      <c r="U1278" t="s">
        <v>90</v>
      </c>
      <c r="V1278">
        <v>0</v>
      </c>
      <c r="W1278" t="s">
        <v>90</v>
      </c>
      <c r="X1278">
        <v>0</v>
      </c>
      <c r="Y1278">
        <v>2.3805896443804984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K1278" t="s">
        <v>4605</v>
      </c>
      <c r="AM1278">
        <v>200000</v>
      </c>
      <c r="AN1278" t="s">
        <v>76</v>
      </c>
      <c r="AO1278">
        <v>1</v>
      </c>
      <c r="AP1278">
        <v>0</v>
      </c>
      <c r="AQ1278">
        <v>16666.666666666668</v>
      </c>
      <c r="AR1278" t="s">
        <v>9</v>
      </c>
      <c r="AS1278" t="s">
        <v>78</v>
      </c>
      <c r="AV1278">
        <v>0</v>
      </c>
      <c r="AW1278">
        <v>0</v>
      </c>
      <c r="AX1278" t="s">
        <v>79</v>
      </c>
      <c r="AY1278" t="s">
        <v>137</v>
      </c>
      <c r="AZ1278">
        <v>0</v>
      </c>
      <c r="BA1278" t="s">
        <v>137</v>
      </c>
      <c r="BB1278">
        <v>0</v>
      </c>
      <c r="BE1278">
        <v>0</v>
      </c>
    </row>
    <row r="1279" spans="1:58" ht="12.75">
      <c r="A1279" s="2" t="str">
        <f>HYPERLINK("https://ibp.a2mac1.com/costing(costing:projects/details/8191/part/5389421)","Part 01 single/main")</f>
        <v>Part 01 single/main</v>
      </c>
      <c r="B1279">
        <v>5389421</v>
      </c>
      <c r="C1279">
        <v>5389167</v>
      </c>
      <c r="E1279">
        <v>0.79163349999999999</v>
      </c>
      <c r="F1279">
        <v>0</v>
      </c>
      <c r="G1279">
        <v>0</v>
      </c>
      <c r="H1279">
        <v>0.00089005279999999996</v>
      </c>
      <c r="I1279" t="s">
        <v>137</v>
      </c>
      <c r="J1279">
        <v>0.0299537</v>
      </c>
      <c r="K1279">
        <v>0.82247725279999995</v>
      </c>
      <c r="L1279">
        <v>0.014569598284288667</v>
      </c>
      <c r="M1279">
        <v>0.087417589705732004</v>
      </c>
      <c r="N1279">
        <v>0.90989484250573205</v>
      </c>
      <c r="O1279" t="s">
        <v>138</v>
      </c>
      <c r="P1279">
        <v>0.049348635167999998</v>
      </c>
      <c r="Q1279" t="s">
        <v>138</v>
      </c>
      <c r="R1279">
        <v>0.0052450553823439197</v>
      </c>
      <c r="S1279" t="s">
        <v>139</v>
      </c>
      <c r="T1279">
        <v>0.10918738110068783</v>
      </c>
      <c r="U1279" t="s">
        <v>90</v>
      </c>
      <c r="V1279">
        <v>0</v>
      </c>
      <c r="W1279" t="s">
        <v>90</v>
      </c>
      <c r="X1279">
        <v>0</v>
      </c>
      <c r="Y1279">
        <v>1.0736759141567638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K1279" t="s">
        <v>4605</v>
      </c>
      <c r="AM1279">
        <v>200000</v>
      </c>
      <c r="AN1279" t="s">
        <v>76</v>
      </c>
      <c r="AO1279">
        <v>1</v>
      </c>
      <c r="AP1279">
        <v>0</v>
      </c>
      <c r="AQ1279">
        <v>16666.666666666668</v>
      </c>
      <c r="AR1279" t="s">
        <v>9</v>
      </c>
      <c r="AS1279" t="s">
        <v>78</v>
      </c>
      <c r="AV1279">
        <v>0</v>
      </c>
      <c r="AW1279">
        <v>0</v>
      </c>
      <c r="AX1279" t="s">
        <v>79</v>
      </c>
      <c r="AY1279" t="s">
        <v>137</v>
      </c>
      <c r="AZ1279">
        <v>0</v>
      </c>
      <c r="BA1279" t="s">
        <v>137</v>
      </c>
      <c r="BB1279">
        <v>0</v>
      </c>
      <c r="BE1279">
        <v>0</v>
      </c>
    </row>
    <row r="1280" spans="1:58" ht="12.75">
      <c r="A1280" s="2" t="str">
        <f>HYPERLINK("https://ibp.a2mac1.com/costing(costing:projects/details/8191/part/5389168)","Part 01 single/main")</f>
        <v>Part 01 single/main</v>
      </c>
      <c r="B1280">
        <v>5389168</v>
      </c>
      <c r="C1280">
        <v>5388792</v>
      </c>
      <c r="E1280">
        <v>3.1212977999999998</v>
      </c>
      <c r="F1280">
        <v>0</v>
      </c>
      <c r="G1280">
        <v>0</v>
      </c>
      <c r="H1280">
        <v>0.0035093510399999998</v>
      </c>
      <c r="I1280" t="s">
        <v>137</v>
      </c>
      <c r="J1280">
        <v>0.11810316</v>
      </c>
      <c r="K1280">
        <v>3.2429103110400002</v>
      </c>
      <c r="L1280">
        <v>0.16097458241998566</v>
      </c>
      <c r="M1280">
        <v>0.96584749451991403</v>
      </c>
      <c r="N1280">
        <v>4.2087578055599142</v>
      </c>
      <c r="O1280" t="s">
        <v>90</v>
      </c>
      <c r="P1280">
        <v>0</v>
      </c>
      <c r="Q1280" t="s">
        <v>90</v>
      </c>
      <c r="R1280">
        <v>0</v>
      </c>
      <c r="S1280" t="s">
        <v>90</v>
      </c>
      <c r="T1280">
        <v>0</v>
      </c>
      <c r="U1280" t="s">
        <v>90</v>
      </c>
      <c r="V1280">
        <v>0</v>
      </c>
      <c r="W1280" t="s">
        <v>90</v>
      </c>
      <c r="X1280">
        <v>0</v>
      </c>
      <c r="Y1280">
        <v>4.2087578055599142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K1280" t="s">
        <v>4599</v>
      </c>
      <c r="AM1280">
        <v>200000</v>
      </c>
      <c r="AN1280" t="s">
        <v>92</v>
      </c>
      <c r="AO1280">
        <v>1</v>
      </c>
      <c r="AP1280">
        <v>0</v>
      </c>
      <c r="AQ1280">
        <v>16666.666666666668</v>
      </c>
      <c r="AR1280" t="s">
        <v>9</v>
      </c>
      <c r="AS1280" t="s">
        <v>78</v>
      </c>
      <c r="AV1280">
        <v>0</v>
      </c>
      <c r="AW1280">
        <v>0</v>
      </c>
      <c r="AX1280" t="s">
        <v>79</v>
      </c>
      <c r="AY1280" t="s">
        <v>137</v>
      </c>
      <c r="AZ1280">
        <v>0</v>
      </c>
      <c r="BA1280" t="s">
        <v>137</v>
      </c>
      <c r="BB1280">
        <v>0</v>
      </c>
      <c r="BE1280">
        <v>0</v>
      </c>
    </row>
    <row r="1281" spans="1:58" ht="12.75">
      <c r="A1281" s="2" t="str">
        <f>HYPERLINK("https://ibp.a2mac1.com/costing(costing:projects/details/8191/part/5389422)","Part 01 single/main")</f>
        <v>Part 01 single/main</v>
      </c>
      <c r="B1281">
        <v>5389422</v>
      </c>
      <c r="C1281">
        <v>5389169</v>
      </c>
      <c r="E1281">
        <v>0.28159354705882356</v>
      </c>
      <c r="F1281">
        <v>0</v>
      </c>
      <c r="G1281">
        <v>0</v>
      </c>
      <c r="H1281">
        <v>0.00030665684705882351</v>
      </c>
      <c r="I1281" t="s">
        <v>137</v>
      </c>
      <c r="J1281">
        <v>0.010320182352941177</v>
      </c>
      <c r="K1281">
        <v>0.29222038625882352</v>
      </c>
      <c r="L1281">
        <v>0.012773218110844531</v>
      </c>
      <c r="M1281">
        <v>0.076639308665067185</v>
      </c>
      <c r="N1281">
        <v>0.3688596949238907</v>
      </c>
      <c r="O1281" t="s">
        <v>138</v>
      </c>
      <c r="P1281">
        <v>0.017533223175529411</v>
      </c>
      <c r="Q1281" t="s">
        <v>138</v>
      </c>
      <c r="R1281">
        <v>0.0045983585199040316</v>
      </c>
      <c r="S1281" t="s">
        <v>139</v>
      </c>
      <c r="T1281">
        <v>0.044263163390866889</v>
      </c>
      <c r="U1281" t="s">
        <v>90</v>
      </c>
      <c r="V1281">
        <v>0</v>
      </c>
      <c r="W1281" t="s">
        <v>90</v>
      </c>
      <c r="X1281">
        <v>0</v>
      </c>
      <c r="Y1281">
        <v>0.43525444001019103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K1281" t="s">
        <v>4605</v>
      </c>
      <c r="AM1281">
        <v>200000</v>
      </c>
      <c r="AN1281" t="s">
        <v>76</v>
      </c>
      <c r="AO1281">
        <v>1</v>
      </c>
      <c r="AP1281">
        <v>0</v>
      </c>
      <c r="AQ1281">
        <v>16666.666666666668</v>
      </c>
      <c r="AR1281" t="s">
        <v>9</v>
      </c>
      <c r="AS1281" t="s">
        <v>78</v>
      </c>
      <c r="AV1281">
        <v>0</v>
      </c>
      <c r="AW1281">
        <v>0</v>
      </c>
      <c r="AX1281" t="s">
        <v>79</v>
      </c>
      <c r="AY1281" t="s">
        <v>137</v>
      </c>
      <c r="AZ1281">
        <v>0</v>
      </c>
      <c r="BA1281" t="s">
        <v>137</v>
      </c>
      <c r="BB1281">
        <v>0</v>
      </c>
      <c r="BE1281">
        <v>0</v>
      </c>
    </row>
    <row r="1282" spans="1:58" ht="12.75">
      <c r="A1282" s="2" t="str">
        <f>HYPERLINK("https://ibp.a2mac1.com/costing(costing:projects/details/8191/part/5388794)","Opening Control")</f>
        <v>Opening Control</v>
      </c>
      <c r="B1282">
        <v>5388794</v>
      </c>
      <c r="C1282">
        <v>5388411</v>
      </c>
      <c r="E1282">
        <v>0.53519000000000005</v>
      </c>
      <c r="F1282">
        <v>0</v>
      </c>
      <c r="G1282">
        <v>0</v>
      </c>
      <c r="H1282">
        <v>0</v>
      </c>
      <c r="I1282" t="s">
        <v>74</v>
      </c>
      <c r="J1282">
        <v>0</v>
      </c>
      <c r="K1282">
        <v>0.53519000000000005</v>
      </c>
      <c r="L1282">
        <v>0</v>
      </c>
      <c r="M1282">
        <v>0</v>
      </c>
      <c r="N1282">
        <v>0.53519000000000005</v>
      </c>
      <c r="O1282" t="s">
        <v>74</v>
      </c>
      <c r="P1282">
        <v>0</v>
      </c>
      <c r="Q1282" t="s">
        <v>74</v>
      </c>
      <c r="R1282">
        <v>0</v>
      </c>
      <c r="S1282" t="s">
        <v>74</v>
      </c>
      <c r="T1282">
        <v>0</v>
      </c>
      <c r="U1282" t="s">
        <v>74</v>
      </c>
      <c r="V1282">
        <v>0</v>
      </c>
      <c r="W1282" t="s">
        <v>74</v>
      </c>
      <c r="X1282">
        <v>0</v>
      </c>
      <c r="Y1282">
        <v>0.53519000000000005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105</v>
      </c>
      <c r="AF1282">
        <v>370</v>
      </c>
      <c r="AG1282">
        <v>110</v>
      </c>
      <c r="AI1282">
        <v>0.17299999999999999</v>
      </c>
      <c r="AJ1282" t="s">
        <v>2797</v>
      </c>
      <c r="AK1282" t="s">
        <v>501</v>
      </c>
      <c r="AL1282" t="s">
        <v>1288</v>
      </c>
      <c r="AM1282">
        <v>200000</v>
      </c>
      <c r="AN1282" t="s">
        <v>92</v>
      </c>
      <c r="AO1282">
        <v>1</v>
      </c>
      <c r="AP1282">
        <v>0</v>
      </c>
      <c r="AQ1282">
        <v>16666.666666666668</v>
      </c>
      <c r="AR1282" t="s">
        <v>5097</v>
      </c>
      <c r="AS1282" t="s">
        <v>78</v>
      </c>
      <c r="AX1282" t="s">
        <v>79</v>
      </c>
      <c r="AY1282" t="s">
        <v>74</v>
      </c>
      <c r="AZ1282">
        <v>0</v>
      </c>
      <c r="BA1282" t="s">
        <v>74</v>
      </c>
      <c r="BB1282">
        <v>0</v>
      </c>
      <c r="BD1282">
        <v>0.53519000000000005</v>
      </c>
      <c r="BE1282">
        <v>0</v>
      </c>
    </row>
    <row r="1283" spans="1:58" ht="12.75">
      <c r="A1283" s="2" t="str">
        <f>HYPERLINK("https://ibp.a2mac1.com/costing(costing:projects/details/8191/part/5388406)","Panel Carrier")</f>
        <v>Panel Carrier</v>
      </c>
      <c r="B1283">
        <v>5388406</v>
      </c>
      <c r="C1283">
        <v>5388186</v>
      </c>
      <c r="E1283">
        <v>1.280710494</v>
      </c>
      <c r="F1283">
        <v>0</v>
      </c>
      <c r="G1283">
        <v>0</v>
      </c>
      <c r="H1283">
        <v>0.0064966366913684209</v>
      </c>
      <c r="I1283" t="s">
        <v>137</v>
      </c>
      <c r="J1283">
        <v>0.044937210315789476</v>
      </c>
      <c r="K1283">
        <v>1.3321443410071578</v>
      </c>
      <c r="L1283">
        <v>0.056149830143713352</v>
      </c>
      <c r="M1283">
        <v>0.3368989808622801</v>
      </c>
      <c r="N1283">
        <v>1.669043321869438</v>
      </c>
      <c r="O1283" t="s">
        <v>138</v>
      </c>
      <c r="P1283">
        <v>0.079928660460429471</v>
      </c>
      <c r="Q1283" t="s">
        <v>138</v>
      </c>
      <c r="R1283">
        <v>0.020213938851736807</v>
      </c>
      <c r="S1283" t="s">
        <v>139</v>
      </c>
      <c r="T1283">
        <v>0.20028519862433256</v>
      </c>
      <c r="U1283" t="s">
        <v>90</v>
      </c>
      <c r="V1283">
        <v>0</v>
      </c>
      <c r="W1283" t="s">
        <v>90</v>
      </c>
      <c r="X1283">
        <v>0</v>
      </c>
      <c r="Y1283">
        <v>1.9694711198059369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100</v>
      </c>
      <c r="AF1283">
        <v>830</v>
      </c>
      <c r="AG1283">
        <v>795</v>
      </c>
      <c r="AI1283">
        <v>1.206</v>
      </c>
      <c r="AJ1283" t="s">
        <v>4681</v>
      </c>
      <c r="AK1283" t="s">
        <v>501</v>
      </c>
      <c r="AL1283" t="s">
        <v>1182</v>
      </c>
      <c r="AM1283">
        <v>200000</v>
      </c>
      <c r="AN1283" t="s">
        <v>76</v>
      </c>
      <c r="AO1283">
        <v>1</v>
      </c>
      <c r="AP1283">
        <v>0</v>
      </c>
      <c r="AQ1283">
        <v>16666.666666666668</v>
      </c>
      <c r="AR1283" t="s">
        <v>5103</v>
      </c>
      <c r="AS1283" t="s">
        <v>78</v>
      </c>
      <c r="AX1283" t="s">
        <v>79</v>
      </c>
      <c r="AY1283" t="s">
        <v>137</v>
      </c>
      <c r="AZ1283">
        <v>0</v>
      </c>
      <c r="BA1283" t="s">
        <v>137</v>
      </c>
      <c r="BB1283">
        <v>0</v>
      </c>
      <c r="BE1283">
        <v>0</v>
      </c>
    </row>
    <row r="1284" spans="1:58" ht="12.75">
      <c r="A1284" s="2" t="str">
        <f>HYPERLINK("https://ibp.a2mac1.com/costing(costing:projects/details/8191/part/5388407)","Insert")</f>
        <v>Insert</v>
      </c>
      <c r="B1284">
        <v>5388407</v>
      </c>
      <c r="C1284">
        <v>5388186</v>
      </c>
      <c r="E1284">
        <v>0.64818885599999998</v>
      </c>
      <c r="F1284">
        <v>0</v>
      </c>
      <c r="G1284">
        <v>0</v>
      </c>
      <c r="H1284">
        <v>0.0032880557507368423</v>
      </c>
      <c r="I1284" t="s">
        <v>137</v>
      </c>
      <c r="J1284">
        <v>0.022743468631578948</v>
      </c>
      <c r="K1284">
        <v>0.6742203803823158</v>
      </c>
      <c r="L1284">
        <v>0.32025337792144193</v>
      </c>
      <c r="M1284">
        <v>1.9215202675286518</v>
      </c>
      <c r="N1284">
        <v>2.5957406479109677</v>
      </c>
      <c r="O1284" t="s">
        <v>90</v>
      </c>
      <c r="P1284">
        <v>0</v>
      </c>
      <c r="Q1284" t="s">
        <v>90</v>
      </c>
      <c r="R1284">
        <v>0</v>
      </c>
      <c r="S1284" t="s">
        <v>90</v>
      </c>
      <c r="T1284">
        <v>0</v>
      </c>
      <c r="U1284" t="s">
        <v>90</v>
      </c>
      <c r="V1284">
        <v>0</v>
      </c>
      <c r="W1284" t="s">
        <v>90</v>
      </c>
      <c r="X1284">
        <v>0</v>
      </c>
      <c r="Y1284">
        <v>2.5957406479109677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110</v>
      </c>
      <c r="AF1284">
        <v>705</v>
      </c>
      <c r="AG1284">
        <v>360</v>
      </c>
      <c r="AI1284">
        <v>0.53800000000000003</v>
      </c>
      <c r="AJ1284" t="s">
        <v>4681</v>
      </c>
      <c r="AK1284" t="s">
        <v>501</v>
      </c>
      <c r="AL1284" t="s">
        <v>5108</v>
      </c>
      <c r="AM1284">
        <v>200000</v>
      </c>
      <c r="AN1284" t="s">
        <v>92</v>
      </c>
      <c r="AO1284">
        <v>1</v>
      </c>
      <c r="AP1284">
        <v>0</v>
      </c>
      <c r="AQ1284">
        <v>16666.666666666668</v>
      </c>
      <c r="AR1284" t="s">
        <v>5109</v>
      </c>
      <c r="AS1284" t="s">
        <v>78</v>
      </c>
      <c r="AX1284" t="s">
        <v>79</v>
      </c>
      <c r="AY1284" t="s">
        <v>137</v>
      </c>
      <c r="AZ1284">
        <v>0</v>
      </c>
      <c r="BA1284" t="s">
        <v>137</v>
      </c>
      <c r="BB1284">
        <v>0</v>
      </c>
      <c r="BE1284">
        <v>0</v>
      </c>
    </row>
    <row r="1285" spans="1:58" ht="12.75">
      <c r="A1285" s="2" t="str">
        <f>HYPERLINK("https://ibp.a2mac1.com/costing(costing:projects/details/8191/part/5388408)","Electric Window Lift Control Trim")</f>
        <v>Electric Window Lift Control Trim</v>
      </c>
      <c r="B1285">
        <v>5388408</v>
      </c>
      <c r="C1285">
        <v>5388186</v>
      </c>
      <c r="E1285">
        <v>0.46137</v>
      </c>
      <c r="F1285">
        <v>0</v>
      </c>
      <c r="G1285">
        <v>0</v>
      </c>
      <c r="H1285">
        <v>0</v>
      </c>
      <c r="I1285" t="s">
        <v>74</v>
      </c>
      <c r="J1285">
        <v>0</v>
      </c>
      <c r="K1285">
        <v>0.46137</v>
      </c>
      <c r="L1285">
        <v>0</v>
      </c>
      <c r="M1285">
        <v>0</v>
      </c>
      <c r="N1285">
        <v>0.46137</v>
      </c>
      <c r="O1285" t="s">
        <v>74</v>
      </c>
      <c r="P1285">
        <v>0</v>
      </c>
      <c r="Q1285" t="s">
        <v>74</v>
      </c>
      <c r="R1285">
        <v>0</v>
      </c>
      <c r="S1285" t="s">
        <v>74</v>
      </c>
      <c r="T1285">
        <v>0</v>
      </c>
      <c r="U1285" t="s">
        <v>74</v>
      </c>
      <c r="V1285">
        <v>0</v>
      </c>
      <c r="W1285" t="s">
        <v>74</v>
      </c>
      <c r="X1285">
        <v>0</v>
      </c>
      <c r="Y1285">
        <v>0.46137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70</v>
      </c>
      <c r="AF1285">
        <v>350</v>
      </c>
      <c r="AG1285">
        <v>140</v>
      </c>
      <c r="AI1285">
        <v>0.14599999999999999</v>
      </c>
      <c r="AJ1285" t="s">
        <v>2797</v>
      </c>
      <c r="AK1285" t="s">
        <v>501</v>
      </c>
      <c r="AL1285" t="s">
        <v>1275</v>
      </c>
      <c r="AM1285">
        <v>200000</v>
      </c>
      <c r="AN1285" t="s">
        <v>92</v>
      </c>
      <c r="AO1285">
        <v>1</v>
      </c>
      <c r="AP1285">
        <v>0</v>
      </c>
      <c r="AQ1285">
        <v>16666.666666666668</v>
      </c>
      <c r="AR1285" t="s">
        <v>5110</v>
      </c>
      <c r="AS1285" t="s">
        <v>78</v>
      </c>
      <c r="AX1285" t="s">
        <v>79</v>
      </c>
      <c r="AY1285" t="s">
        <v>74</v>
      </c>
      <c r="AZ1285">
        <v>0</v>
      </c>
      <c r="BA1285" t="s">
        <v>74</v>
      </c>
      <c r="BB1285">
        <v>0</v>
      </c>
      <c r="BD1285">
        <v>0.46137</v>
      </c>
      <c r="BE1285">
        <v>0</v>
      </c>
    </row>
    <row r="1286" spans="1:58" ht="12.75">
      <c r="A1286" s="2" t="str">
        <f>HYPERLINK("https://ibp.a2mac1.com/costing(costing:projects/details/8191/part/5388409)","Upper Band")</f>
        <v>Upper Band</v>
      </c>
      <c r="B1286">
        <v>5388409</v>
      </c>
      <c r="C1286">
        <v>5388186</v>
      </c>
      <c r="E1286">
        <v>0.38761138499999997</v>
      </c>
      <c r="F1286">
        <v>0</v>
      </c>
      <c r="G1286">
        <v>0</v>
      </c>
      <c r="H1286">
        <v>0.0019662291810526315</v>
      </c>
      <c r="I1286" t="s">
        <v>137</v>
      </c>
      <c r="J1286">
        <v>0.013600399473684211</v>
      </c>
      <c r="K1286">
        <v>0.40317801365473682</v>
      </c>
      <c r="L1286">
        <v>0.016957948710680286</v>
      </c>
      <c r="M1286">
        <v>0.10174769226408172</v>
      </c>
      <c r="N1286">
        <v>0.50492570591881858</v>
      </c>
      <c r="O1286" t="s">
        <v>90</v>
      </c>
      <c r="P1286">
        <v>0</v>
      </c>
      <c r="Q1286" t="s">
        <v>90</v>
      </c>
      <c r="R1286">
        <v>0</v>
      </c>
      <c r="S1286" t="s">
        <v>90</v>
      </c>
      <c r="T1286">
        <v>0</v>
      </c>
      <c r="U1286" t="s">
        <v>90</v>
      </c>
      <c r="V1286">
        <v>0</v>
      </c>
      <c r="W1286" t="s">
        <v>90</v>
      </c>
      <c r="X1286">
        <v>0</v>
      </c>
      <c r="Y1286">
        <v>0.50492570591881858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100</v>
      </c>
      <c r="AF1286">
        <v>887</v>
      </c>
      <c r="AG1286">
        <v>182</v>
      </c>
      <c r="AI1286">
        <v>0.365</v>
      </c>
      <c r="AJ1286" t="s">
        <v>4681</v>
      </c>
      <c r="AK1286" t="s">
        <v>501</v>
      </c>
      <c r="AL1286" t="s">
        <v>1182</v>
      </c>
      <c r="AM1286">
        <v>200000</v>
      </c>
      <c r="AN1286" t="s">
        <v>92</v>
      </c>
      <c r="AO1286">
        <v>1</v>
      </c>
      <c r="AP1286">
        <v>0</v>
      </c>
      <c r="AQ1286">
        <v>16666.666666666668</v>
      </c>
      <c r="AR1286" t="s">
        <v>5115</v>
      </c>
      <c r="AS1286" t="s">
        <v>78</v>
      </c>
      <c r="AX1286" t="s">
        <v>79</v>
      </c>
      <c r="AY1286" t="s">
        <v>137</v>
      </c>
      <c r="AZ1286">
        <v>0</v>
      </c>
      <c r="BA1286" t="s">
        <v>137</v>
      </c>
      <c r="BB1286">
        <v>0</v>
      </c>
      <c r="BE1286">
        <v>0</v>
      </c>
    </row>
    <row r="1287" spans="1:58" ht="12.75">
      <c r="A1287" s="2" t="str">
        <f>HYPERLINK("https://ibp.a2mac1.com/costing(costing:projects/details/8191/part/5388410)","Door Map Pocket Bottom")</f>
        <v>Door Map Pocket Bottom</v>
      </c>
      <c r="B1287">
        <v>5388410</v>
      </c>
      <c r="C1287">
        <v>5388186</v>
      </c>
      <c r="E1287">
        <v>0.33026613900000001</v>
      </c>
      <c r="F1287">
        <v>0</v>
      </c>
      <c r="G1287">
        <v>0</v>
      </c>
      <c r="H1287">
        <v>0.0016753350008421053</v>
      </c>
      <c r="I1287" t="s">
        <v>137</v>
      </c>
      <c r="J1287">
        <v>0.011588285578947368</v>
      </c>
      <c r="K1287">
        <v>0.34352975957978948</v>
      </c>
      <c r="L1287">
        <v>0.014447132592212371</v>
      </c>
      <c r="M1287">
        <v>0.086682795553274225</v>
      </c>
      <c r="N1287">
        <v>0.43021255513306367</v>
      </c>
      <c r="O1287" t="s">
        <v>90</v>
      </c>
      <c r="P1287">
        <v>0</v>
      </c>
      <c r="Q1287" t="s">
        <v>90</v>
      </c>
      <c r="R1287">
        <v>0</v>
      </c>
      <c r="S1287" t="s">
        <v>90</v>
      </c>
      <c r="T1287">
        <v>0</v>
      </c>
      <c r="U1287" t="s">
        <v>90</v>
      </c>
      <c r="V1287">
        <v>0</v>
      </c>
      <c r="W1287" t="s">
        <v>90</v>
      </c>
      <c r="X1287">
        <v>0</v>
      </c>
      <c r="Y1287">
        <v>0.43021255513306367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115</v>
      </c>
      <c r="AF1287">
        <v>580</v>
      </c>
      <c r="AG1287">
        <v>280</v>
      </c>
      <c r="AI1287">
        <v>0.311</v>
      </c>
      <c r="AJ1287" t="s">
        <v>4681</v>
      </c>
      <c r="AK1287" t="s">
        <v>501</v>
      </c>
      <c r="AL1287" t="s">
        <v>1182</v>
      </c>
      <c r="AM1287">
        <v>200000</v>
      </c>
      <c r="AN1287" t="s">
        <v>92</v>
      </c>
      <c r="AO1287">
        <v>1</v>
      </c>
      <c r="AP1287">
        <v>0</v>
      </c>
      <c r="AQ1287">
        <v>16666.666666666668</v>
      </c>
      <c r="AR1287" t="s">
        <v>5120</v>
      </c>
      <c r="AS1287" t="s">
        <v>78</v>
      </c>
      <c r="AX1287" t="s">
        <v>79</v>
      </c>
      <c r="AY1287" t="s">
        <v>137</v>
      </c>
      <c r="AZ1287">
        <v>0</v>
      </c>
      <c r="BA1287" t="s">
        <v>137</v>
      </c>
      <c r="BB1287">
        <v>0</v>
      </c>
      <c r="BE1287">
        <v>0</v>
      </c>
    </row>
    <row r="1288" spans="1:58" ht="12.75">
      <c r="A1288" s="2" t="str">
        <f>HYPERLINK("https://ibp.a2mac1.com/costing(costing:projects/details/8191/part/5388795)","Opening Control")</f>
        <v>Opening Control</v>
      </c>
      <c r="B1288">
        <v>5388795</v>
      </c>
      <c r="C1288">
        <v>5388414</v>
      </c>
      <c r="E1288">
        <v>0.074641055999999997</v>
      </c>
      <c r="F1288">
        <v>0</v>
      </c>
      <c r="G1288">
        <v>0</v>
      </c>
      <c r="H1288">
        <v>0.00037863031915789475</v>
      </c>
      <c r="I1288" t="s">
        <v>137</v>
      </c>
      <c r="J1288">
        <v>0.0026189844210526315</v>
      </c>
      <c r="K1288">
        <v>0.077638670740210525</v>
      </c>
      <c r="L1288">
        <v>0.0014390502443481438</v>
      </c>
      <c r="M1288">
        <v>0.0086343014660888624</v>
      </c>
      <c r="N1288">
        <v>0.086272972206299384</v>
      </c>
      <c r="O1288" t="s">
        <v>138</v>
      </c>
      <c r="P1288">
        <v>0.0046583202444126313</v>
      </c>
      <c r="Q1288" t="s">
        <v>138</v>
      </c>
      <c r="R1288">
        <v>0.0005180580879653318</v>
      </c>
      <c r="S1288" t="s">
        <v>139</v>
      </c>
      <c r="T1288">
        <v>0.010352756664755927</v>
      </c>
      <c r="U1288" t="s">
        <v>90</v>
      </c>
      <c r="V1288">
        <v>0</v>
      </c>
      <c r="W1288" t="s">
        <v>90</v>
      </c>
      <c r="X1288">
        <v>0</v>
      </c>
      <c r="Y1288">
        <v>0.10180210720343327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43</v>
      </c>
      <c r="AF1288">
        <v>124</v>
      </c>
      <c r="AG1288">
        <v>36</v>
      </c>
      <c r="AI1288">
        <v>0.031</v>
      </c>
      <c r="AK1288" t="s">
        <v>4605</v>
      </c>
      <c r="AL1288" t="s">
        <v>1275</v>
      </c>
      <c r="AM1288">
        <v>200000</v>
      </c>
      <c r="AN1288" t="s">
        <v>76</v>
      </c>
      <c r="AO1288">
        <v>1</v>
      </c>
      <c r="AP1288">
        <v>0</v>
      </c>
      <c r="AQ1288">
        <v>16666.666666666668</v>
      </c>
      <c r="AR1288" t="s">
        <v>5127</v>
      </c>
      <c r="AS1288" t="s">
        <v>78</v>
      </c>
      <c r="AX1288" t="s">
        <v>79</v>
      </c>
      <c r="AY1288" t="s">
        <v>137</v>
      </c>
      <c r="AZ1288">
        <v>0</v>
      </c>
      <c r="BA1288" t="s">
        <v>137</v>
      </c>
      <c r="BB1288">
        <v>0</v>
      </c>
      <c r="BE1288">
        <v>0</v>
      </c>
    </row>
    <row r="1289" spans="1:58" ht="12.75">
      <c r="A1289" s="2" t="str">
        <f>HYPERLINK("https://ibp.a2mac1.com/costing(costing:projects/details/8191/part/5388796)","Opening Control Support")</f>
        <v>Opening Control Support</v>
      </c>
      <c r="B1289">
        <v>5388796</v>
      </c>
      <c r="C1289">
        <v>5388414</v>
      </c>
      <c r="E1289">
        <v>0.21731213610386049</v>
      </c>
      <c r="F1289">
        <v>0</v>
      </c>
      <c r="G1289">
        <v>0</v>
      </c>
      <c r="H1289">
        <v>0.00044810231988837119</v>
      </c>
      <c r="I1289" t="s">
        <v>137</v>
      </c>
      <c r="J1289">
        <v>0.0076133889301422284</v>
      </c>
      <c r="K1289">
        <v>0.2253736273538911</v>
      </c>
      <c r="L1289">
        <v>0.021195704989821807</v>
      </c>
      <c r="M1289">
        <v>0.12717422993893085</v>
      </c>
      <c r="N1289">
        <v>0.35254785729282195</v>
      </c>
      <c r="O1289" t="s">
        <v>138</v>
      </c>
      <c r="P1289">
        <v>0.013522417641233466</v>
      </c>
      <c r="Q1289" t="s">
        <v>138</v>
      </c>
      <c r="R1289">
        <v>0.0076304537963358511</v>
      </c>
      <c r="S1289" t="s">
        <v>139</v>
      </c>
      <c r="T1289">
        <v>0.042305742875138636</v>
      </c>
      <c r="U1289" t="s">
        <v>90</v>
      </c>
      <c r="V1289">
        <v>0</v>
      </c>
      <c r="W1289" t="s">
        <v>90</v>
      </c>
      <c r="X1289">
        <v>0</v>
      </c>
      <c r="Y1289">
        <v>0.41600647160552989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45</v>
      </c>
      <c r="AF1289">
        <v>253</v>
      </c>
      <c r="AG1289">
        <v>108</v>
      </c>
      <c r="AI1289">
        <v>0.092999999999999999</v>
      </c>
      <c r="AJ1289" t="s">
        <v>685</v>
      </c>
      <c r="AK1289" t="s">
        <v>4605</v>
      </c>
      <c r="AL1289" t="s">
        <v>1275</v>
      </c>
      <c r="AM1289">
        <v>200000</v>
      </c>
      <c r="AN1289" t="s">
        <v>76</v>
      </c>
      <c r="AO1289">
        <v>1</v>
      </c>
      <c r="AP1289">
        <v>0</v>
      </c>
      <c r="AQ1289">
        <v>16666.666666666668</v>
      </c>
      <c r="AR1289" t="s">
        <v>5131</v>
      </c>
      <c r="AS1289" t="s">
        <v>78</v>
      </c>
      <c r="AX1289" t="s">
        <v>79</v>
      </c>
      <c r="AY1289" t="s">
        <v>137</v>
      </c>
      <c r="AZ1289">
        <v>0</v>
      </c>
      <c r="BA1289" t="s">
        <v>137</v>
      </c>
      <c r="BB1289">
        <v>0</v>
      </c>
      <c r="BE1289">
        <v>0</v>
      </c>
    </row>
    <row r="1290" spans="1:58" ht="12.75">
      <c r="A1290" s="2" t="str">
        <f>HYPERLINK("https://ibp.a2mac1.com/costing(costing:projects/details/8191/part/5388798)","Opening Control")</f>
        <v>Opening Control</v>
      </c>
      <c r="B1290">
        <v>5388798</v>
      </c>
      <c r="C1290">
        <v>5388415</v>
      </c>
      <c r="E1290">
        <v>0.20263788362206139</v>
      </c>
      <c r="F1290">
        <v>0</v>
      </c>
      <c r="G1290">
        <v>0</v>
      </c>
      <c r="H1290">
        <v>0.00041743404026144647</v>
      </c>
      <c r="I1290" t="s">
        <v>137</v>
      </c>
      <c r="J1290">
        <v>0.0070923259267721486</v>
      </c>
      <c r="K1290">
        <v>0.21014764358909496</v>
      </c>
      <c r="L1290">
        <v>0.016520807172407351</v>
      </c>
      <c r="M1290">
        <v>0.099124843034444091</v>
      </c>
      <c r="N1290">
        <v>0.30927248662353907</v>
      </c>
      <c r="O1290" t="s">
        <v>138</v>
      </c>
      <c r="P1290">
        <v>0.012608858615345699</v>
      </c>
      <c r="Q1290" t="s">
        <v>138</v>
      </c>
      <c r="R1290">
        <v>0.0059474905820666455</v>
      </c>
      <c r="S1290" t="s">
        <v>139</v>
      </c>
      <c r="T1290">
        <v>0.037112698394824686</v>
      </c>
      <c r="U1290" t="s">
        <v>90</v>
      </c>
      <c r="V1290">
        <v>0</v>
      </c>
      <c r="W1290" t="s">
        <v>90</v>
      </c>
      <c r="X1290">
        <v>0</v>
      </c>
      <c r="Y1290">
        <v>0.36494153421577608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40</v>
      </c>
      <c r="AF1290">
        <v>223</v>
      </c>
      <c r="AG1290">
        <v>78</v>
      </c>
      <c r="AI1290">
        <v>0.071999999999999995</v>
      </c>
      <c r="AK1290" t="s">
        <v>4605</v>
      </c>
      <c r="AL1290" t="s">
        <v>4730</v>
      </c>
      <c r="AM1290">
        <v>200000</v>
      </c>
      <c r="AN1290" t="s">
        <v>76</v>
      </c>
      <c r="AO1290">
        <v>1</v>
      </c>
      <c r="AP1290">
        <v>0</v>
      </c>
      <c r="AQ1290">
        <v>16666.666666666668</v>
      </c>
      <c r="AR1290" t="s">
        <v>5138</v>
      </c>
      <c r="AS1290" t="s">
        <v>78</v>
      </c>
      <c r="AX1290" t="s">
        <v>79</v>
      </c>
      <c r="AY1290" t="s">
        <v>137</v>
      </c>
      <c r="AZ1290">
        <v>0</v>
      </c>
      <c r="BA1290" t="s">
        <v>137</v>
      </c>
      <c r="BB1290">
        <v>0</v>
      </c>
      <c r="BE1290">
        <v>0</v>
      </c>
    </row>
    <row r="1291" spans="1:58" ht="12.75">
      <c r="A1291" s="2" t="str">
        <f>HYPERLINK("https://ibp.a2mac1.com/costing(costing:projects/details/8191/part/5388799)","Opening Control Support")</f>
        <v>Opening Control Support</v>
      </c>
      <c r="B1291">
        <v>5388799</v>
      </c>
      <c r="C1291">
        <v>5388415</v>
      </c>
      <c r="E1291">
        <v>0.41690611150191759</v>
      </c>
      <c r="F1291">
        <v>0</v>
      </c>
      <c r="G1291">
        <v>0</v>
      </c>
      <c r="H1291">
        <v>0.00085966940958310558</v>
      </c>
      <c r="I1291" t="s">
        <v>137</v>
      </c>
      <c r="J1291">
        <v>0.014606033657965384</v>
      </c>
      <c r="K1291">
        <v>0.43237181456946611</v>
      </c>
      <c r="L1291">
        <v>0.021048452147644357</v>
      </c>
      <c r="M1291">
        <v>0.12629071288586616</v>
      </c>
      <c r="N1291">
        <v>0.55866252745533229</v>
      </c>
      <c r="O1291" t="s">
        <v>138</v>
      </c>
      <c r="P1291">
        <v>0.025942308874167964</v>
      </c>
      <c r="Q1291" t="s">
        <v>138</v>
      </c>
      <c r="R1291">
        <v>0.0075774427731519689</v>
      </c>
      <c r="S1291" t="s">
        <v>139</v>
      </c>
      <c r="T1291">
        <v>0.067039503294639868</v>
      </c>
      <c r="U1291" t="s">
        <v>90</v>
      </c>
      <c r="V1291">
        <v>0</v>
      </c>
      <c r="W1291" t="s">
        <v>90</v>
      </c>
      <c r="X1291">
        <v>0</v>
      </c>
      <c r="Y1291">
        <v>0.65922178239729201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53</v>
      </c>
      <c r="AF1291">
        <v>275</v>
      </c>
      <c r="AG1291">
        <v>124</v>
      </c>
      <c r="AI1291">
        <v>0.21199999999999999</v>
      </c>
      <c r="AJ1291" t="s">
        <v>685</v>
      </c>
      <c r="AK1291" t="s">
        <v>4605</v>
      </c>
      <c r="AL1291" t="s">
        <v>5142</v>
      </c>
      <c r="AM1291">
        <v>200000</v>
      </c>
      <c r="AN1291" t="s">
        <v>76</v>
      </c>
      <c r="AO1291">
        <v>1</v>
      </c>
      <c r="AP1291">
        <v>0</v>
      </c>
      <c r="AQ1291">
        <v>16666.666666666668</v>
      </c>
      <c r="AR1291" t="s">
        <v>5143</v>
      </c>
      <c r="AS1291" t="s">
        <v>78</v>
      </c>
      <c r="AX1291" t="s">
        <v>79</v>
      </c>
      <c r="AY1291" t="s">
        <v>137</v>
      </c>
      <c r="AZ1291">
        <v>0</v>
      </c>
      <c r="BA1291" t="s">
        <v>137</v>
      </c>
      <c r="BB1291">
        <v>0</v>
      </c>
      <c r="BE1291">
        <v>0</v>
      </c>
    </row>
    <row r="1292" spans="1:58" ht="12.75">
      <c r="A1292" s="2" t="str">
        <f>HYPERLINK("https://ibp.a2mac1.com/costing(costing:projects/details/8191/part/5388800)","2nd Opening Control Support")</f>
        <v>2nd Opening Control Support</v>
      </c>
      <c r="B1292">
        <v>5388800</v>
      </c>
      <c r="C1292">
        <v>5388415</v>
      </c>
      <c r="E1292">
        <v>0.17250239910609633</v>
      </c>
      <c r="F1292">
        <v>0</v>
      </c>
      <c r="G1292">
        <v>0</v>
      </c>
      <c r="H1292">
        <v>0.00035570367404058785</v>
      </c>
      <c r="I1292" t="s">
        <v>137</v>
      </c>
      <c r="J1292">
        <v>0.0060435090249614442</v>
      </c>
      <c r="K1292">
        <v>0.17890161180509837</v>
      </c>
      <c r="L1292">
        <v>0.019665864559070736</v>
      </c>
      <c r="M1292">
        <v>0.11799518735442442</v>
      </c>
      <c r="N1292">
        <v>0.29689679915952277</v>
      </c>
      <c r="O1292" t="s">
        <v>138</v>
      </c>
      <c r="P1292">
        <v>0.010734096708305902</v>
      </c>
      <c r="Q1292" t="s">
        <v>138</v>
      </c>
      <c r="R1292">
        <v>0.0070797112412654649</v>
      </c>
      <c r="S1292" t="s">
        <v>139</v>
      </c>
      <c r="T1292">
        <v>0.035627615899142734</v>
      </c>
      <c r="U1292" t="s">
        <v>90</v>
      </c>
      <c r="V1292">
        <v>0</v>
      </c>
      <c r="W1292" t="s">
        <v>90</v>
      </c>
      <c r="X1292">
        <v>0</v>
      </c>
      <c r="Y1292">
        <v>0.35033822300823686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75</v>
      </c>
      <c r="AF1292">
        <v>250</v>
      </c>
      <c r="AG1292">
        <v>84</v>
      </c>
      <c r="AI1292">
        <v>0.079000000000000001</v>
      </c>
      <c r="AJ1292" t="s">
        <v>685</v>
      </c>
      <c r="AK1292" t="s">
        <v>4605</v>
      </c>
      <c r="AL1292" t="s">
        <v>1261</v>
      </c>
      <c r="AM1292">
        <v>200000</v>
      </c>
      <c r="AN1292" t="s">
        <v>76</v>
      </c>
      <c r="AO1292">
        <v>1</v>
      </c>
      <c r="AP1292">
        <v>0</v>
      </c>
      <c r="AQ1292">
        <v>16666.666666666668</v>
      </c>
      <c r="AR1292" t="s">
        <v>5147</v>
      </c>
      <c r="AS1292" t="s">
        <v>78</v>
      </c>
      <c r="AX1292" t="s">
        <v>79</v>
      </c>
      <c r="AY1292" t="s">
        <v>137</v>
      </c>
      <c r="AZ1292">
        <v>0</v>
      </c>
      <c r="BA1292" t="s">
        <v>137</v>
      </c>
      <c r="BB1292">
        <v>0</v>
      </c>
      <c r="BE1292">
        <v>0</v>
      </c>
    </row>
    <row r="1293" spans="1:58" ht="12.75">
      <c r="A1293" s="2" t="str">
        <f>HYPERLINK("https://ibp.a2mac1.com/costing(costing:projects/details/8191/part/5388801)","Bezel")</f>
        <v>Bezel</v>
      </c>
      <c r="B1293">
        <v>5388801</v>
      </c>
      <c r="C1293">
        <v>5388415</v>
      </c>
      <c r="E1293">
        <v>0.069825503999999997</v>
      </c>
      <c r="F1293">
        <v>0</v>
      </c>
      <c r="G1293">
        <v>0</v>
      </c>
      <c r="H1293">
        <v>0.00035420255663157896</v>
      </c>
      <c r="I1293" t="s">
        <v>137</v>
      </c>
      <c r="J1293">
        <v>0.0024500176842105264</v>
      </c>
      <c r="K1293">
        <v>0.072629724240842103</v>
      </c>
      <c r="L1293">
        <v>0.0013462014932372193</v>
      </c>
      <c r="M1293">
        <v>0.0080772089594233158</v>
      </c>
      <c r="N1293">
        <v>0.080706933200265424</v>
      </c>
      <c r="O1293" t="s">
        <v>138</v>
      </c>
      <c r="P1293">
        <v>0.0043577834544505263</v>
      </c>
      <c r="Q1293" t="s">
        <v>138</v>
      </c>
      <c r="R1293">
        <v>0.00048463253756539891</v>
      </c>
      <c r="S1293" t="s">
        <v>139</v>
      </c>
      <c r="T1293">
        <v>0.0096848319840318504</v>
      </c>
      <c r="U1293" t="s">
        <v>90</v>
      </c>
      <c r="V1293">
        <v>0</v>
      </c>
      <c r="W1293" t="s">
        <v>90</v>
      </c>
      <c r="X1293">
        <v>0</v>
      </c>
      <c r="Y1293">
        <v>0.095234181176313201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30</v>
      </c>
      <c r="AF1293">
        <v>237</v>
      </c>
      <c r="AG1293">
        <v>47</v>
      </c>
      <c r="AI1293">
        <v>0.029000000000000001</v>
      </c>
      <c r="AK1293" t="s">
        <v>4605</v>
      </c>
      <c r="AL1293" t="s">
        <v>1275</v>
      </c>
      <c r="AM1293">
        <v>200000</v>
      </c>
      <c r="AN1293" t="s">
        <v>76</v>
      </c>
      <c r="AO1293">
        <v>1</v>
      </c>
      <c r="AP1293">
        <v>0</v>
      </c>
      <c r="AQ1293">
        <v>16666.666666666668</v>
      </c>
      <c r="AR1293" t="s">
        <v>5150</v>
      </c>
      <c r="AS1293" t="s">
        <v>78</v>
      </c>
      <c r="AX1293" t="s">
        <v>79</v>
      </c>
      <c r="AY1293" t="s">
        <v>137</v>
      </c>
      <c r="AZ1293">
        <v>0</v>
      </c>
      <c r="BA1293" t="s">
        <v>137</v>
      </c>
      <c r="BB1293">
        <v>0</v>
      </c>
      <c r="BE1293">
        <v>0</v>
      </c>
    </row>
    <row r="1294" spans="1:58" ht="12.75">
      <c r="A1294" s="2" t="str">
        <f>HYPERLINK("https://ibp.a2mac1.com/costing(costing:projects/details/8191/part/5388802)","Lock Cylinder Dummy Trim")</f>
        <v>Lock Cylinder Dummy Trim</v>
      </c>
      <c r="B1294">
        <v>5388802</v>
      </c>
      <c r="C1294">
        <v>5388415</v>
      </c>
      <c r="E1294">
        <v>0.0046909894736842104</v>
      </c>
      <c r="F1294">
        <v>0</v>
      </c>
      <c r="G1294">
        <v>0</v>
      </c>
      <c r="H1294">
        <v>2.3736406736842104E-05</v>
      </c>
      <c r="I1294" t="s">
        <v>137</v>
      </c>
      <c r="J1294">
        <v>0.00016418463157894737</v>
      </c>
      <c r="K1294">
        <v>0.0048789105119999999</v>
      </c>
      <c r="L1294">
        <v>9.2835151385610077E-05</v>
      </c>
      <c r="M1294">
        <v>0.00055701090831366043</v>
      </c>
      <c r="N1294">
        <v>0.0054359214203136604</v>
      </c>
      <c r="O1294" t="s">
        <v>138</v>
      </c>
      <c r="P1294">
        <v>0.00029273463072</v>
      </c>
      <c r="Q1294" t="s">
        <v>138</v>
      </c>
      <c r="R1294">
        <v>3.3420654498819631E-05</v>
      </c>
      <c r="S1294" t="s">
        <v>139</v>
      </c>
      <c r="T1294">
        <v>0.00065231057043763931</v>
      </c>
      <c r="U1294" t="s">
        <v>90</v>
      </c>
      <c r="V1294">
        <v>0</v>
      </c>
      <c r="W1294" t="s">
        <v>90</v>
      </c>
      <c r="X1294">
        <v>0</v>
      </c>
      <c r="Y1294">
        <v>0.0064143872759701197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7</v>
      </c>
      <c r="AF1294">
        <v>36</v>
      </c>
      <c r="AG1294">
        <v>30</v>
      </c>
      <c r="AI1294">
        <v>0.002</v>
      </c>
      <c r="AK1294" t="s">
        <v>4605</v>
      </c>
      <c r="AL1294" t="s">
        <v>5153</v>
      </c>
      <c r="AM1294">
        <v>200000</v>
      </c>
      <c r="AN1294" t="s">
        <v>76</v>
      </c>
      <c r="AO1294">
        <v>1</v>
      </c>
      <c r="AP1294">
        <v>0</v>
      </c>
      <c r="AQ1294">
        <v>16666.666666666668</v>
      </c>
      <c r="AR1294" t="s">
        <v>5154</v>
      </c>
      <c r="AS1294" t="s">
        <v>78</v>
      </c>
      <c r="AX1294" t="s">
        <v>79</v>
      </c>
      <c r="AY1294" t="s">
        <v>137</v>
      </c>
      <c r="AZ1294">
        <v>0</v>
      </c>
      <c r="BA1294" t="s">
        <v>137</v>
      </c>
      <c r="BB1294">
        <v>0</v>
      </c>
      <c r="BE1294">
        <v>0</v>
      </c>
    </row>
    <row r="1295" spans="1:58" ht="12.75">
      <c r="A1295" s="2" t="str">
        <f>HYPERLINK("https://ibp.a2mac1.com/costing(costing:projects/details/8191/part/5388803)","Welcome light")</f>
        <v>Welcome light</v>
      </c>
      <c r="B1295">
        <v>5388803</v>
      </c>
      <c r="C1295">
        <v>5388415</v>
      </c>
      <c r="E1295">
        <v>1.19956</v>
      </c>
      <c r="F1295">
        <v>0</v>
      </c>
      <c r="G1295">
        <v>0</v>
      </c>
      <c r="H1295">
        <v>0</v>
      </c>
      <c r="I1295" t="s">
        <v>74</v>
      </c>
      <c r="J1295">
        <v>0</v>
      </c>
      <c r="K1295">
        <v>1.19956</v>
      </c>
      <c r="L1295">
        <v>0</v>
      </c>
      <c r="M1295">
        <v>0</v>
      </c>
      <c r="N1295">
        <v>1.19956</v>
      </c>
      <c r="O1295" t="s">
        <v>74</v>
      </c>
      <c r="P1295">
        <v>0</v>
      </c>
      <c r="Q1295" t="s">
        <v>74</v>
      </c>
      <c r="R1295">
        <v>0</v>
      </c>
      <c r="S1295" t="s">
        <v>74</v>
      </c>
      <c r="T1295">
        <v>0</v>
      </c>
      <c r="U1295" t="s">
        <v>74</v>
      </c>
      <c r="V1295">
        <v>0</v>
      </c>
      <c r="W1295" t="s">
        <v>74</v>
      </c>
      <c r="X1295">
        <v>0</v>
      </c>
      <c r="Y1295">
        <v>1.19956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15</v>
      </c>
      <c r="AF1295">
        <v>76</v>
      </c>
      <c r="AG1295">
        <v>12</v>
      </c>
      <c r="AI1295">
        <v>0.001</v>
      </c>
      <c r="AK1295" t="s">
        <v>598</v>
      </c>
      <c r="AL1295" t="s">
        <v>4750</v>
      </c>
      <c r="AM1295">
        <v>200000</v>
      </c>
      <c r="AN1295" t="s">
        <v>76</v>
      </c>
      <c r="AO1295">
        <v>1</v>
      </c>
      <c r="AP1295">
        <v>0</v>
      </c>
      <c r="AQ1295">
        <v>16666.666666666668</v>
      </c>
      <c r="AR1295" t="s">
        <v>5155</v>
      </c>
      <c r="AS1295" t="s">
        <v>78</v>
      </c>
      <c r="AX1295" t="s">
        <v>79</v>
      </c>
      <c r="AY1295" t="s">
        <v>74</v>
      </c>
      <c r="AZ1295">
        <v>0</v>
      </c>
      <c r="BA1295" t="s">
        <v>74</v>
      </c>
      <c r="BB1295">
        <v>0</v>
      </c>
      <c r="BD1295">
        <v>1.19956</v>
      </c>
      <c r="BE1295">
        <v>0</v>
      </c>
    </row>
    <row r="1296" spans="1:58" ht="12.75">
      <c r="A1296" s="2" t="str">
        <f>HYPERLINK("https://ibp.a2mac1.com/costing(costing:projects/details/8191/part/5388804)","Unlocking Contactor")</f>
        <v>Unlocking Contactor</v>
      </c>
      <c r="B1296">
        <v>5388804</v>
      </c>
      <c r="C1296">
        <v>5388415</v>
      </c>
      <c r="E1296">
        <v>1.1072900000000001</v>
      </c>
      <c r="F1296">
        <v>0</v>
      </c>
      <c r="G1296">
        <v>0</v>
      </c>
      <c r="H1296">
        <v>0</v>
      </c>
      <c r="I1296" t="s">
        <v>74</v>
      </c>
      <c r="J1296">
        <v>0</v>
      </c>
      <c r="K1296">
        <v>1.1072900000000001</v>
      </c>
      <c r="L1296">
        <v>0</v>
      </c>
      <c r="M1296">
        <v>0</v>
      </c>
      <c r="N1296">
        <v>1.1072900000000001</v>
      </c>
      <c r="O1296" t="s">
        <v>74</v>
      </c>
      <c r="P1296">
        <v>0</v>
      </c>
      <c r="Q1296" t="s">
        <v>74</v>
      </c>
      <c r="R1296">
        <v>0</v>
      </c>
      <c r="S1296" t="s">
        <v>74</v>
      </c>
      <c r="T1296">
        <v>0</v>
      </c>
      <c r="U1296" t="s">
        <v>74</v>
      </c>
      <c r="V1296">
        <v>0</v>
      </c>
      <c r="W1296" t="s">
        <v>74</v>
      </c>
      <c r="X1296">
        <v>0</v>
      </c>
      <c r="Y1296">
        <v>1.1072900000000001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9</v>
      </c>
      <c r="AF1296">
        <v>149</v>
      </c>
      <c r="AG1296">
        <v>22</v>
      </c>
      <c r="AI1296">
        <v>0.001</v>
      </c>
      <c r="AJ1296" t="s">
        <v>3265</v>
      </c>
      <c r="AK1296" t="s">
        <v>4605</v>
      </c>
      <c r="AL1296" t="s">
        <v>681</v>
      </c>
      <c r="AM1296">
        <v>200000</v>
      </c>
      <c r="AN1296" t="s">
        <v>76</v>
      </c>
      <c r="AO1296">
        <v>1</v>
      </c>
      <c r="AP1296">
        <v>0</v>
      </c>
      <c r="AQ1296">
        <v>16666.666666666668</v>
      </c>
      <c r="AR1296" t="s">
        <v>5156</v>
      </c>
      <c r="AS1296" t="s">
        <v>78</v>
      </c>
      <c r="AX1296" t="s">
        <v>79</v>
      </c>
      <c r="AY1296" t="s">
        <v>74</v>
      </c>
      <c r="AZ1296">
        <v>0</v>
      </c>
      <c r="BA1296" t="s">
        <v>74</v>
      </c>
      <c r="BB1296">
        <v>0</v>
      </c>
      <c r="BD1296">
        <v>1.1072900000000001</v>
      </c>
      <c r="BE1296">
        <v>0</v>
      </c>
    </row>
    <row r="1297" spans="1:58" ht="12.75">
      <c r="A1297" s="2" t="str">
        <f>HYPERLINK("https://ibp.a2mac1.com/costing(costing:projects/details/8191/part/5388412)","Door Latch")</f>
        <v>Door Latch</v>
      </c>
      <c r="B1297">
        <v>5388412</v>
      </c>
      <c r="C1297">
        <v>5388187</v>
      </c>
      <c r="E1297">
        <v>0</v>
      </c>
      <c r="F1297">
        <v>4.3797994800856248</v>
      </c>
      <c r="G1297">
        <v>0</v>
      </c>
      <c r="H1297">
        <v>0</v>
      </c>
      <c r="I1297" t="s">
        <v>137</v>
      </c>
      <c r="J1297">
        <v>0</v>
      </c>
      <c r="K1297">
        <v>4.5330924618886224</v>
      </c>
      <c r="L1297">
        <v>0.10844100670092785</v>
      </c>
      <c r="M1297">
        <v>0.65064604020556704</v>
      </c>
      <c r="N1297">
        <v>5.1837385020941893</v>
      </c>
      <c r="O1297" t="s">
        <v>138</v>
      </c>
      <c r="P1297">
        <v>0.27198554771331734</v>
      </c>
      <c r="Q1297" t="s">
        <v>138</v>
      </c>
      <c r="R1297">
        <v>0.039038762412334026</v>
      </c>
      <c r="S1297" t="s">
        <v>139</v>
      </c>
      <c r="T1297">
        <v>0.6220486202513027</v>
      </c>
      <c r="U1297" t="s">
        <v>90</v>
      </c>
      <c r="V1297">
        <v>0</v>
      </c>
      <c r="W1297" t="s">
        <v>90</v>
      </c>
      <c r="X1297">
        <v>0</v>
      </c>
      <c r="Y1297">
        <v>6.1168114324711427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147</v>
      </c>
      <c r="AF1297">
        <v>85</v>
      </c>
      <c r="AG1297">
        <v>175</v>
      </c>
      <c r="AI1297">
        <v>0.775</v>
      </c>
      <c r="AJ1297" t="s">
        <v>4764</v>
      </c>
      <c r="AK1297" t="s">
        <v>4765</v>
      </c>
      <c r="AL1297" t="s">
        <v>1309</v>
      </c>
      <c r="AM1297">
        <v>200000</v>
      </c>
      <c r="AN1297" t="s">
        <v>76</v>
      </c>
      <c r="AO1297">
        <v>1</v>
      </c>
      <c r="AP1297">
        <v>0</v>
      </c>
      <c r="AQ1297">
        <v>16666.666666666668</v>
      </c>
      <c r="AR1297" t="s">
        <v>5162</v>
      </c>
      <c r="AS1297" t="s">
        <v>78</v>
      </c>
      <c r="AX1297" t="s">
        <v>79</v>
      </c>
      <c r="AY1297" t="s">
        <v>137</v>
      </c>
      <c r="AZ1297">
        <v>0.15329298180299689</v>
      </c>
      <c r="BA1297" t="s">
        <v>137</v>
      </c>
      <c r="BB1297">
        <v>0</v>
      </c>
      <c r="BE1297">
        <v>0</v>
      </c>
    </row>
    <row r="1298" spans="1:58" ht="12.75">
      <c r="A1298" s="2" t="str">
        <f>HYPERLINK("https://ibp.a2mac1.com/costing(costing:projects/details/8191/part/5388413)","Door Striker")</f>
        <v>Door Striker</v>
      </c>
      <c r="B1298">
        <v>5388413</v>
      </c>
      <c r="C1298">
        <v>5388187</v>
      </c>
      <c r="E1298">
        <v>0.079468999999999998</v>
      </c>
      <c r="F1298">
        <v>0</v>
      </c>
      <c r="G1298">
        <v>0</v>
      </c>
      <c r="H1298">
        <v>0.0006200328571428572</v>
      </c>
      <c r="I1298" t="s">
        <v>137</v>
      </c>
      <c r="J1298">
        <v>0.0030565000000000002</v>
      </c>
      <c r="K1298">
        <v>0.083145532857142851</v>
      </c>
      <c r="L1298">
        <v>0.01012447902495087</v>
      </c>
      <c r="M1298">
        <v>0.06074687414970522</v>
      </c>
      <c r="N1298">
        <v>0.14389240700684808</v>
      </c>
      <c r="O1298" t="s">
        <v>138</v>
      </c>
      <c r="P1298">
        <v>0.0049887319714285719</v>
      </c>
      <c r="Q1298" t="s">
        <v>138</v>
      </c>
      <c r="R1298">
        <v>0.003644812448982313</v>
      </c>
      <c r="S1298" t="s">
        <v>139</v>
      </c>
      <c r="T1298">
        <v>0.01726708884082177</v>
      </c>
      <c r="U1298" t="s">
        <v>90</v>
      </c>
      <c r="V1298">
        <v>0</v>
      </c>
      <c r="W1298" t="s">
        <v>90</v>
      </c>
      <c r="X1298">
        <v>0</v>
      </c>
      <c r="Y1298">
        <v>0.16979304026808073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34</v>
      </c>
      <c r="AF1298">
        <v>48</v>
      </c>
      <c r="AG1298">
        <v>67</v>
      </c>
      <c r="AI1298">
        <v>0.098000000000000004</v>
      </c>
      <c r="AJ1298" t="s">
        <v>685</v>
      </c>
      <c r="AK1298" t="s">
        <v>4605</v>
      </c>
      <c r="AL1298" t="s">
        <v>720</v>
      </c>
      <c r="AM1298">
        <v>200000</v>
      </c>
      <c r="AN1298" t="s">
        <v>76</v>
      </c>
      <c r="AO1298">
        <v>1</v>
      </c>
      <c r="AP1298">
        <v>0</v>
      </c>
      <c r="AQ1298">
        <v>16666.666666666668</v>
      </c>
      <c r="AR1298" t="s">
        <v>5167</v>
      </c>
      <c r="AS1298" t="s">
        <v>78</v>
      </c>
      <c r="AX1298" t="s">
        <v>79</v>
      </c>
      <c r="AY1298" t="s">
        <v>137</v>
      </c>
      <c r="AZ1298">
        <v>0</v>
      </c>
      <c r="BA1298" t="s">
        <v>137</v>
      </c>
      <c r="BB1298">
        <v>0</v>
      </c>
      <c r="BE1298">
        <v>0</v>
      </c>
    </row>
    <row r="1299" spans="1:58" ht="12.75">
      <c r="A1299" s="2" t="str">
        <f>HYPERLINK("https://ibp.a2mac1.com/costing(costing:projects/details/8191/part/5388417)","Rear Quarter Window")</f>
        <v>Rear Quarter Window</v>
      </c>
      <c r="B1299">
        <v>5388417</v>
      </c>
      <c r="C1299">
        <v>5388188</v>
      </c>
      <c r="E1299">
        <v>0.73074511399999997</v>
      </c>
      <c r="F1299">
        <v>0</v>
      </c>
      <c r="G1299">
        <v>0</v>
      </c>
      <c r="H1299">
        <v>0.0037048184429473684</v>
      </c>
      <c r="I1299" t="s">
        <v>137</v>
      </c>
      <c r="J1299">
        <v>0.025626214526315791</v>
      </c>
      <c r="K1299">
        <v>0.76007614696926318</v>
      </c>
      <c r="L1299">
        <v>0.0333747051768606</v>
      </c>
      <c r="M1299">
        <v>0.20024823106116363</v>
      </c>
      <c r="N1299">
        <v>0.96032437803042681</v>
      </c>
      <c r="O1299" t="s">
        <v>138</v>
      </c>
      <c r="P1299">
        <v>0.045604568818155791</v>
      </c>
      <c r="Q1299" t="s">
        <v>138</v>
      </c>
      <c r="R1299">
        <v>0.012014893863669817</v>
      </c>
      <c r="S1299" t="s">
        <v>139</v>
      </c>
      <c r="T1299">
        <v>0.11523892536365121</v>
      </c>
      <c r="U1299" t="s">
        <v>90</v>
      </c>
      <c r="V1299">
        <v>0</v>
      </c>
      <c r="W1299" t="s">
        <v>90</v>
      </c>
      <c r="X1299">
        <v>0</v>
      </c>
      <c r="Y1299">
        <v>1.1331827660759035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43</v>
      </c>
      <c r="AF1299">
        <v>329</v>
      </c>
      <c r="AG1299">
        <v>515</v>
      </c>
      <c r="AI1299">
        <v>0.995</v>
      </c>
      <c r="AJ1299" t="s">
        <v>4803</v>
      </c>
      <c r="AK1299" t="s">
        <v>4605</v>
      </c>
      <c r="AL1299" t="s">
        <v>5179</v>
      </c>
      <c r="AM1299">
        <v>200000</v>
      </c>
      <c r="AN1299" t="s">
        <v>76</v>
      </c>
      <c r="AO1299">
        <v>1</v>
      </c>
      <c r="AP1299">
        <v>0</v>
      </c>
      <c r="AQ1299">
        <v>16666.666666666668</v>
      </c>
      <c r="AR1299" t="s">
        <v>5180</v>
      </c>
      <c r="AS1299" t="s">
        <v>78</v>
      </c>
      <c r="AX1299" t="s">
        <v>79</v>
      </c>
      <c r="AY1299" t="s">
        <v>137</v>
      </c>
      <c r="AZ1299">
        <v>0</v>
      </c>
      <c r="BA1299" t="s">
        <v>137</v>
      </c>
      <c r="BB1299">
        <v>0</v>
      </c>
      <c r="BE1299">
        <v>0</v>
      </c>
    </row>
    <row r="1300" spans="1:58" ht="12.75">
      <c r="A1300" s="2" t="str">
        <f>HYPERLINK("https://ibp.a2mac1.com/costing(costing:projects/details/8191/part/5388418)","Window Regulator")</f>
        <v>Window Regulator</v>
      </c>
      <c r="B1300">
        <v>5388418</v>
      </c>
      <c r="C1300">
        <v>5388188</v>
      </c>
      <c r="D1300" t="s">
        <v>4806</v>
      </c>
      <c r="E1300">
        <v>13.841100000000001</v>
      </c>
      <c r="F1300">
        <v>0</v>
      </c>
      <c r="G1300">
        <v>0</v>
      </c>
      <c r="H1300">
        <v>0</v>
      </c>
      <c r="I1300" t="s">
        <v>74</v>
      </c>
      <c r="J1300">
        <v>0</v>
      </c>
      <c r="K1300">
        <v>13.841100000000001</v>
      </c>
      <c r="L1300">
        <v>0</v>
      </c>
      <c r="M1300">
        <v>0</v>
      </c>
      <c r="N1300">
        <v>13.841100000000001</v>
      </c>
      <c r="O1300" t="s">
        <v>74</v>
      </c>
      <c r="P1300">
        <v>0</v>
      </c>
      <c r="Q1300" t="s">
        <v>74</v>
      </c>
      <c r="R1300">
        <v>0</v>
      </c>
      <c r="S1300" t="s">
        <v>74</v>
      </c>
      <c r="T1300">
        <v>0</v>
      </c>
      <c r="U1300" t="s">
        <v>74</v>
      </c>
      <c r="V1300">
        <v>0</v>
      </c>
      <c r="W1300" t="s">
        <v>74</v>
      </c>
      <c r="X1300">
        <v>0</v>
      </c>
      <c r="Y1300">
        <v>13.841100000000001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73</v>
      </c>
      <c r="AF1300">
        <v>353</v>
      </c>
      <c r="AG1300">
        <v>575</v>
      </c>
      <c r="AI1300">
        <v>0.63900000000000001</v>
      </c>
      <c r="AJ1300" t="s">
        <v>2898</v>
      </c>
      <c r="AK1300" t="s">
        <v>4765</v>
      </c>
      <c r="AL1300" t="s">
        <v>5181</v>
      </c>
      <c r="AM1300">
        <v>200000</v>
      </c>
      <c r="AN1300" t="s">
        <v>76</v>
      </c>
      <c r="AO1300">
        <v>1</v>
      </c>
      <c r="AP1300">
        <v>0</v>
      </c>
      <c r="AQ1300">
        <v>16666.666666666668</v>
      </c>
      <c r="AR1300" t="s">
        <v>5182</v>
      </c>
      <c r="AS1300" t="s">
        <v>78</v>
      </c>
      <c r="AX1300" t="s">
        <v>79</v>
      </c>
      <c r="AY1300" t="s">
        <v>74</v>
      </c>
      <c r="AZ1300">
        <v>0</v>
      </c>
      <c r="BA1300" t="s">
        <v>74</v>
      </c>
      <c r="BB1300">
        <v>0</v>
      </c>
      <c r="BD1300">
        <v>13.841100000000001</v>
      </c>
      <c r="BE1300">
        <v>0</v>
      </c>
    </row>
    <row r="1301" spans="1:58" ht="12.75">
      <c r="A1301" s="2" t="str">
        <f>HYPERLINK("https://ibp.a2mac1.com/costing(costing:projects/details/8191/part/5388419)","Window Regulator Motor")</f>
        <v>Window Regulator Motor</v>
      </c>
      <c r="B1301">
        <v>5388419</v>
      </c>
      <c r="C1301">
        <v>5388188</v>
      </c>
      <c r="E1301">
        <v>4.8905200000000004</v>
      </c>
      <c r="F1301">
        <v>0</v>
      </c>
      <c r="G1301">
        <v>0</v>
      </c>
      <c r="H1301">
        <v>0</v>
      </c>
      <c r="I1301" t="s">
        <v>74</v>
      </c>
      <c r="J1301">
        <v>0</v>
      </c>
      <c r="K1301">
        <v>4.8905200000000004</v>
      </c>
      <c r="L1301">
        <v>0</v>
      </c>
      <c r="M1301">
        <v>0</v>
      </c>
      <c r="N1301">
        <v>4.8905200000000004</v>
      </c>
      <c r="O1301" t="s">
        <v>74</v>
      </c>
      <c r="P1301">
        <v>0</v>
      </c>
      <c r="Q1301" t="s">
        <v>74</v>
      </c>
      <c r="R1301">
        <v>0</v>
      </c>
      <c r="S1301" t="s">
        <v>74</v>
      </c>
      <c r="T1301">
        <v>0</v>
      </c>
      <c r="U1301" t="s">
        <v>74</v>
      </c>
      <c r="V1301">
        <v>0</v>
      </c>
      <c r="W1301" t="s">
        <v>74</v>
      </c>
      <c r="X1301">
        <v>0</v>
      </c>
      <c r="Y1301">
        <v>4.8905200000000004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44</v>
      </c>
      <c r="AF1301">
        <v>178</v>
      </c>
      <c r="AG1301">
        <v>128</v>
      </c>
      <c r="AI1301">
        <v>0.443</v>
      </c>
      <c r="AJ1301" t="s">
        <v>2898</v>
      </c>
      <c r="AK1301" t="s">
        <v>576</v>
      </c>
      <c r="AL1301" t="s">
        <v>5183</v>
      </c>
      <c r="AM1301">
        <v>200000</v>
      </c>
      <c r="AN1301" t="s">
        <v>76</v>
      </c>
      <c r="AO1301">
        <v>1</v>
      </c>
      <c r="AP1301">
        <v>0</v>
      </c>
      <c r="AQ1301">
        <v>16666.666666666668</v>
      </c>
      <c r="AR1301" t="s">
        <v>5184</v>
      </c>
      <c r="AS1301" t="s">
        <v>78</v>
      </c>
      <c r="AX1301" t="s">
        <v>79</v>
      </c>
      <c r="AY1301" t="s">
        <v>74</v>
      </c>
      <c r="AZ1301">
        <v>0</v>
      </c>
      <c r="BA1301" t="s">
        <v>74</v>
      </c>
      <c r="BB1301">
        <v>0</v>
      </c>
      <c r="BD1301">
        <v>4.8905200000000004</v>
      </c>
      <c r="BE1301">
        <v>0</v>
      </c>
    </row>
    <row r="1302" spans="1:58" ht="12.75">
      <c r="A1302" s="2" t="str">
        <f>HYPERLINK("https://ibp.a2mac1.com/costing(costing:projects/details/8191/part/5388807)","On Body")</f>
        <v>On Body</v>
      </c>
      <c r="B1302">
        <v>5388807</v>
      </c>
      <c r="C1302">
        <v>5388425</v>
      </c>
      <c r="E1302">
        <v>3.2748405538526315</v>
      </c>
      <c r="F1302">
        <v>0</v>
      </c>
      <c r="G1302">
        <v>0</v>
      </c>
      <c r="H1302">
        <v>0.0067674877917473682</v>
      </c>
      <c r="I1302" t="s">
        <v>137</v>
      </c>
      <c r="J1302">
        <v>0.11498158869473685</v>
      </c>
      <c r="K1302">
        <v>3.3965896303391157</v>
      </c>
      <c r="L1302">
        <v>0.052681933704389998</v>
      </c>
      <c r="M1302">
        <v>0.31609160222633997</v>
      </c>
      <c r="N1302">
        <v>3.7126812325654557</v>
      </c>
      <c r="O1302" t="s">
        <v>138</v>
      </c>
      <c r="P1302">
        <v>0.20379537782034696</v>
      </c>
      <c r="Q1302" t="s">
        <v>138</v>
      </c>
      <c r="R1302">
        <v>0.018965496133580399</v>
      </c>
      <c r="S1302" t="s">
        <v>139</v>
      </c>
      <c r="T1302">
        <v>0.4455217479078547</v>
      </c>
      <c r="U1302" t="s">
        <v>90</v>
      </c>
      <c r="V1302">
        <v>0</v>
      </c>
      <c r="W1302" t="s">
        <v>90</v>
      </c>
      <c r="X1302">
        <v>0</v>
      </c>
      <c r="Y1302">
        <v>4.3809638544272378</v>
      </c>
      <c r="Z1302">
        <v>0</v>
      </c>
      <c r="AA1302">
        <v>0</v>
      </c>
      <c r="AB1302">
        <v>0</v>
      </c>
      <c r="AC1302">
        <v>0</v>
      </c>
      <c r="AD1302">
        <v>0</v>
      </c>
      <c r="AI1302">
        <v>1.327</v>
      </c>
      <c r="AJ1302" t="s">
        <v>685</v>
      </c>
      <c r="AK1302" t="s">
        <v>4605</v>
      </c>
      <c r="AL1302" t="s">
        <v>4824</v>
      </c>
      <c r="AM1302">
        <v>200000</v>
      </c>
      <c r="AN1302" t="s">
        <v>76</v>
      </c>
      <c r="AO1302">
        <v>1</v>
      </c>
      <c r="AP1302">
        <v>0</v>
      </c>
      <c r="AQ1302">
        <v>16666.666666666668</v>
      </c>
      <c r="AR1302" t="s">
        <v>5196</v>
      </c>
      <c r="AS1302" t="s">
        <v>78</v>
      </c>
      <c r="AX1302" t="s">
        <v>79</v>
      </c>
      <c r="AY1302" t="s">
        <v>137</v>
      </c>
      <c r="AZ1302">
        <v>0</v>
      </c>
      <c r="BA1302" t="s">
        <v>137</v>
      </c>
      <c r="BB1302">
        <v>0</v>
      </c>
      <c r="BE1302">
        <v>0</v>
      </c>
    </row>
    <row r="1303" spans="1:58" ht="12.75">
      <c r="A1303" s="2" t="str">
        <f>HYPERLINK("https://ibp.a2mac1.com/costing(costing:projects/details/8191/part/5388808)","On Door")</f>
        <v>On Door</v>
      </c>
      <c r="B1303">
        <v>5388808</v>
      </c>
      <c r="C1303">
        <v>5388425</v>
      </c>
      <c r="E1303">
        <v>0.95259114829473679</v>
      </c>
      <c r="F1303">
        <v>0</v>
      </c>
      <c r="G1303">
        <v>0</v>
      </c>
      <c r="H1303">
        <v>0.0019685382725052633</v>
      </c>
      <c r="I1303" t="s">
        <v>137</v>
      </c>
      <c r="J1303">
        <v>0.033446038610526314</v>
      </c>
      <c r="K1303">
        <v>0.98800572517776841</v>
      </c>
      <c r="L1303">
        <v>0.052681933704389998</v>
      </c>
      <c r="M1303">
        <v>0.31609160222633997</v>
      </c>
      <c r="N1303">
        <v>1.3040973274041083</v>
      </c>
      <c r="O1303" t="s">
        <v>138</v>
      </c>
      <c r="P1303">
        <v>0.059280343510666106</v>
      </c>
      <c r="Q1303" t="s">
        <v>138</v>
      </c>
      <c r="R1303">
        <v>0.018965496133580399</v>
      </c>
      <c r="S1303" t="s">
        <v>139</v>
      </c>
      <c r="T1303">
        <v>0.156491679288493</v>
      </c>
      <c r="U1303" t="s">
        <v>90</v>
      </c>
      <c r="V1303">
        <v>0</v>
      </c>
      <c r="W1303" t="s">
        <v>90</v>
      </c>
      <c r="X1303">
        <v>0</v>
      </c>
      <c r="Y1303">
        <v>1.538834846336848</v>
      </c>
      <c r="Z1303">
        <v>0</v>
      </c>
      <c r="AA1303">
        <v>0</v>
      </c>
      <c r="AB1303">
        <v>0</v>
      </c>
      <c r="AC1303">
        <v>0</v>
      </c>
      <c r="AD1303">
        <v>0</v>
      </c>
      <c r="AI1303">
        <v>0.38600000000000001</v>
      </c>
      <c r="AJ1303" t="s">
        <v>685</v>
      </c>
      <c r="AK1303" t="s">
        <v>4605</v>
      </c>
      <c r="AL1303" t="s">
        <v>3856</v>
      </c>
      <c r="AM1303">
        <v>200000</v>
      </c>
      <c r="AN1303" t="s">
        <v>76</v>
      </c>
      <c r="AO1303">
        <v>1</v>
      </c>
      <c r="AP1303">
        <v>0</v>
      </c>
      <c r="AQ1303">
        <v>16666.666666666668</v>
      </c>
      <c r="AR1303" t="s">
        <v>5204</v>
      </c>
      <c r="AS1303" t="s">
        <v>78</v>
      </c>
      <c r="AX1303" t="s">
        <v>79</v>
      </c>
      <c r="AY1303" t="s">
        <v>137</v>
      </c>
      <c r="AZ1303">
        <v>0</v>
      </c>
      <c r="BA1303" t="s">
        <v>137</v>
      </c>
      <c r="BB1303">
        <v>0</v>
      </c>
      <c r="BE1303">
        <v>0</v>
      </c>
    </row>
    <row r="1304" spans="1:58" ht="12.75">
      <c r="A1304" s="2" t="str">
        <f>HYPERLINK("https://ibp.a2mac1.com/costing(costing:projects/details/8191/part/5388422)","Window Weather Stripping")</f>
        <v>Window Weather Stripping</v>
      </c>
      <c r="B1304">
        <v>5388422</v>
      </c>
      <c r="C1304">
        <v>5388189</v>
      </c>
      <c r="E1304">
        <v>1.76765895</v>
      </c>
      <c r="F1304">
        <v>0</v>
      </c>
      <c r="G1304">
        <v>0</v>
      </c>
      <c r="H1304">
        <v>0.0018421791111578947</v>
      </c>
      <c r="I1304" t="s">
        <v>137</v>
      </c>
      <c r="J1304">
        <v>0.061996412394736841</v>
      </c>
      <c r="K1304">
        <v>1.8314975415058947</v>
      </c>
      <c r="L1304">
        <v>0.03696388264930988</v>
      </c>
      <c r="M1304">
        <v>0.22178329589585927</v>
      </c>
      <c r="N1304">
        <v>2.0532808374017542</v>
      </c>
      <c r="O1304" t="s">
        <v>138</v>
      </c>
      <c r="P1304">
        <v>0.10988985249035368</v>
      </c>
      <c r="Q1304" t="s">
        <v>138</v>
      </c>
      <c r="R1304">
        <v>0.013306997753751557</v>
      </c>
      <c r="S1304" t="s">
        <v>139</v>
      </c>
      <c r="T1304">
        <v>0.24639370048821049</v>
      </c>
      <c r="U1304" t="s">
        <v>90</v>
      </c>
      <c r="V1304">
        <v>0</v>
      </c>
      <c r="W1304" t="s">
        <v>90</v>
      </c>
      <c r="X1304">
        <v>0</v>
      </c>
      <c r="Y1304">
        <v>2.4228713881340695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23</v>
      </c>
      <c r="AF1304">
        <v>820</v>
      </c>
      <c r="AG1304">
        <v>550</v>
      </c>
      <c r="AI1304">
        <v>0.629</v>
      </c>
      <c r="AJ1304" t="s">
        <v>4846</v>
      </c>
      <c r="AK1304" t="s">
        <v>4605</v>
      </c>
      <c r="AL1304" t="s">
        <v>4853</v>
      </c>
      <c r="AM1304">
        <v>200000</v>
      </c>
      <c r="AN1304" t="s">
        <v>76</v>
      </c>
      <c r="AO1304">
        <v>1</v>
      </c>
      <c r="AP1304">
        <v>0</v>
      </c>
      <c r="AQ1304">
        <v>16666.666666666668</v>
      </c>
      <c r="AR1304" t="s">
        <v>5209</v>
      </c>
      <c r="AS1304" t="s">
        <v>78</v>
      </c>
      <c r="AX1304" t="s">
        <v>79</v>
      </c>
      <c r="AY1304" t="s">
        <v>137</v>
      </c>
      <c r="AZ1304">
        <v>0</v>
      </c>
      <c r="BA1304" t="s">
        <v>137</v>
      </c>
      <c r="BB1304">
        <v>0</v>
      </c>
      <c r="BE1304">
        <v>0</v>
      </c>
    </row>
    <row r="1305" spans="1:58" ht="12.75">
      <c r="A1305" s="2" t="str">
        <f>HYPERLINK("https://ibp.a2mac1.com/costing(costing:projects/details/8191/part/5388423)","Interior Weatherstrip")</f>
        <v>Interior Weatherstrip</v>
      </c>
      <c r="B1305">
        <v>5388423</v>
      </c>
      <c r="C1305">
        <v>5388189</v>
      </c>
      <c r="E1305">
        <v>0.32881327500000002</v>
      </c>
      <c r="F1305">
        <v>0</v>
      </c>
      <c r="G1305">
        <v>0</v>
      </c>
      <c r="H1305">
        <v>0.00034282286315789472</v>
      </c>
      <c r="I1305" t="s">
        <v>137</v>
      </c>
      <c r="J1305">
        <v>0.011537307894736842</v>
      </c>
      <c r="K1305">
        <v>0.34069340575789475</v>
      </c>
      <c r="L1305">
        <v>0.02473920957733388</v>
      </c>
      <c r="M1305">
        <v>0.14843525746400327</v>
      </c>
      <c r="N1305">
        <v>0.48912866322189802</v>
      </c>
      <c r="O1305" t="s">
        <v>138</v>
      </c>
      <c r="P1305">
        <v>0.020441604345473683</v>
      </c>
      <c r="Q1305" t="s">
        <v>138</v>
      </c>
      <c r="R1305">
        <v>0.0089061154478401964</v>
      </c>
      <c r="S1305" t="s">
        <v>139</v>
      </c>
      <c r="T1305">
        <v>0.058695439586627762</v>
      </c>
      <c r="U1305" t="s">
        <v>90</v>
      </c>
      <c r="V1305">
        <v>0</v>
      </c>
      <c r="W1305" t="s">
        <v>90</v>
      </c>
      <c r="X1305">
        <v>0</v>
      </c>
      <c r="Y1305">
        <v>0.57717182260183963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22</v>
      </c>
      <c r="AF1305">
        <v>805</v>
      </c>
      <c r="AG1305">
        <v>41</v>
      </c>
      <c r="AI1305">
        <v>0.17599999999999999</v>
      </c>
      <c r="AJ1305" t="s">
        <v>685</v>
      </c>
      <c r="AK1305" t="s">
        <v>4605</v>
      </c>
      <c r="AL1305" t="s">
        <v>4840</v>
      </c>
      <c r="AM1305">
        <v>200000</v>
      </c>
      <c r="AN1305" t="s">
        <v>76</v>
      </c>
      <c r="AO1305">
        <v>1</v>
      </c>
      <c r="AP1305">
        <v>0</v>
      </c>
      <c r="AQ1305">
        <v>16666.666666666668</v>
      </c>
      <c r="AR1305" t="s">
        <v>5212</v>
      </c>
      <c r="AS1305" t="s">
        <v>78</v>
      </c>
      <c r="AX1305" t="s">
        <v>79</v>
      </c>
      <c r="AY1305" t="s">
        <v>137</v>
      </c>
      <c r="AZ1305">
        <v>0</v>
      </c>
      <c r="BA1305" t="s">
        <v>137</v>
      </c>
      <c r="BB1305">
        <v>0</v>
      </c>
      <c r="BE1305">
        <v>0</v>
      </c>
    </row>
    <row r="1306" spans="1:58" ht="12.75">
      <c r="A1306" s="2" t="str">
        <f>HYPERLINK("https://ibp.a2mac1.com/costing(costing:projects/details/8191/part/5388424)","Exterior Weatherstrip")</f>
        <v>Exterior Weatherstrip</v>
      </c>
      <c r="B1306">
        <v>5388424</v>
      </c>
      <c r="C1306">
        <v>5388189</v>
      </c>
      <c r="E1306">
        <v>0.75757399999999997</v>
      </c>
      <c r="F1306">
        <v>0</v>
      </c>
      <c r="G1306">
        <v>0</v>
      </c>
      <c r="H1306">
        <v>0.00078940248126315794</v>
      </c>
      <c r="I1306" t="s">
        <v>137</v>
      </c>
      <c r="J1306">
        <v>0.026566429657894738</v>
      </c>
      <c r="K1306">
        <v>0.7849298321391579</v>
      </c>
      <c r="L1306">
        <v>0.03696388264930988</v>
      </c>
      <c r="M1306">
        <v>0.22178329589585927</v>
      </c>
      <c r="N1306">
        <v>1.0067131280350172</v>
      </c>
      <c r="O1306" t="s">
        <v>138</v>
      </c>
      <c r="P1306">
        <v>0.047095789928349473</v>
      </c>
      <c r="Q1306" t="s">
        <v>138</v>
      </c>
      <c r="R1306">
        <v>0.013306997753751557</v>
      </c>
      <c r="S1306" t="s">
        <v>139</v>
      </c>
      <c r="T1306">
        <v>0.12080557536420206</v>
      </c>
      <c r="U1306" t="s">
        <v>90</v>
      </c>
      <c r="V1306">
        <v>0</v>
      </c>
      <c r="W1306" t="s">
        <v>90</v>
      </c>
      <c r="X1306">
        <v>0</v>
      </c>
      <c r="Y1306">
        <v>1.1879214910813203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20</v>
      </c>
      <c r="AF1306">
        <v>1035</v>
      </c>
      <c r="AG1306">
        <v>75</v>
      </c>
      <c r="AI1306">
        <v>0.248</v>
      </c>
      <c r="AJ1306" t="s">
        <v>4846</v>
      </c>
      <c r="AK1306" t="s">
        <v>4605</v>
      </c>
      <c r="AL1306" t="s">
        <v>4847</v>
      </c>
      <c r="AM1306">
        <v>200000</v>
      </c>
      <c r="AN1306" t="s">
        <v>76</v>
      </c>
      <c r="AO1306">
        <v>1</v>
      </c>
      <c r="AP1306">
        <v>0</v>
      </c>
      <c r="AQ1306">
        <v>16666.666666666668</v>
      </c>
      <c r="AR1306" t="s">
        <v>5215</v>
      </c>
      <c r="AS1306" t="s">
        <v>78</v>
      </c>
      <c r="AX1306" t="s">
        <v>79</v>
      </c>
      <c r="AY1306" t="s">
        <v>137</v>
      </c>
      <c r="AZ1306">
        <v>0</v>
      </c>
      <c r="BA1306" t="s">
        <v>137</v>
      </c>
      <c r="BB1306">
        <v>0</v>
      </c>
      <c r="BE1306">
        <v>0</v>
      </c>
    </row>
    <row r="1307" spans="1:58" ht="12.75">
      <c r="A1307" s="2" t="str">
        <f>HYPERLINK("https://ibp.a2mac1.com/costing(costing:projects/details/8191/part/5389170)","Part 01 single/main")</f>
        <v>Part 01 single/main</v>
      </c>
      <c r="B1307">
        <v>5389170</v>
      </c>
      <c r="C1307">
        <v>5388809</v>
      </c>
      <c r="E1307">
        <v>0.14150066750000001</v>
      </c>
      <c r="F1307">
        <v>0</v>
      </c>
      <c r="G1307">
        <v>0</v>
      </c>
      <c r="H1307">
        <v>0.00015655393</v>
      </c>
      <c r="I1307" t="s">
        <v>137</v>
      </c>
      <c r="J1307">
        <v>0.0052686418749999997</v>
      </c>
      <c r="K1307">
        <v>0.14692586330499999</v>
      </c>
      <c r="L1307">
        <v>0.00074289778343902672</v>
      </c>
      <c r="M1307">
        <v>0.0044573867006341599</v>
      </c>
      <c r="N1307">
        <v>0.15138325000563416</v>
      </c>
      <c r="O1307" t="s">
        <v>90</v>
      </c>
      <c r="P1307">
        <v>0</v>
      </c>
      <c r="Q1307" t="s">
        <v>90</v>
      </c>
      <c r="R1307">
        <v>0</v>
      </c>
      <c r="S1307" t="s">
        <v>90</v>
      </c>
      <c r="T1307">
        <v>0</v>
      </c>
      <c r="U1307" t="s">
        <v>90</v>
      </c>
      <c r="V1307">
        <v>0</v>
      </c>
      <c r="W1307" t="s">
        <v>90</v>
      </c>
      <c r="X1307">
        <v>0</v>
      </c>
      <c r="Y1307">
        <v>0.15138325000563416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K1307" t="s">
        <v>4599</v>
      </c>
      <c r="AM1307">
        <v>200000</v>
      </c>
      <c r="AN1307" t="s">
        <v>92</v>
      </c>
      <c r="AO1307">
        <v>1</v>
      </c>
      <c r="AP1307">
        <v>0</v>
      </c>
      <c r="AQ1307">
        <v>16666.666666666668</v>
      </c>
      <c r="AR1307" t="s">
        <v>9</v>
      </c>
      <c r="AS1307" t="s">
        <v>78</v>
      </c>
      <c r="AV1307">
        <v>0</v>
      </c>
      <c r="AW1307">
        <v>0</v>
      </c>
      <c r="AX1307" t="s">
        <v>79</v>
      </c>
      <c r="AY1307" t="s">
        <v>137</v>
      </c>
      <c r="AZ1307">
        <v>0</v>
      </c>
      <c r="BA1307" t="s">
        <v>137</v>
      </c>
      <c r="BB1307">
        <v>0</v>
      </c>
      <c r="BE1307">
        <v>0</v>
      </c>
    </row>
    <row r="1308" spans="1:58" ht="12.75">
      <c r="A1308" s="2" t="str">
        <f>HYPERLINK("https://ibp.a2mac1.com/costing(costing:projects/details/8191/part/5389171)","Part 01 single/main")</f>
        <v>Part 01 single/main</v>
      </c>
      <c r="B1308">
        <v>5389171</v>
      </c>
      <c r="C1308">
        <v>5388810</v>
      </c>
      <c r="E1308">
        <v>0.0861933</v>
      </c>
      <c r="F1308">
        <v>0</v>
      </c>
      <c r="G1308">
        <v>0</v>
      </c>
      <c r="H1308">
        <v>9.5362800000000001E-05</v>
      </c>
      <c r="I1308" t="s">
        <v>137</v>
      </c>
      <c r="J1308">
        <v>0.0032093249999999999</v>
      </c>
      <c r="K1308">
        <v>0.089497987799999998</v>
      </c>
      <c r="L1308">
        <v>0.00074289778343902672</v>
      </c>
      <c r="M1308">
        <v>0.0044573867006341599</v>
      </c>
      <c r="N1308">
        <v>0.093955374500634153</v>
      </c>
      <c r="O1308" t="s">
        <v>90</v>
      </c>
      <c r="P1308">
        <v>0</v>
      </c>
      <c r="Q1308" t="s">
        <v>90</v>
      </c>
      <c r="R1308">
        <v>0</v>
      </c>
      <c r="S1308" t="s">
        <v>90</v>
      </c>
      <c r="T1308">
        <v>0</v>
      </c>
      <c r="U1308" t="s">
        <v>90</v>
      </c>
      <c r="V1308">
        <v>0</v>
      </c>
      <c r="W1308" t="s">
        <v>90</v>
      </c>
      <c r="X1308">
        <v>0</v>
      </c>
      <c r="Y1308">
        <v>0.093955374500634153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K1308" t="s">
        <v>4599</v>
      </c>
      <c r="AM1308">
        <v>200000</v>
      </c>
      <c r="AN1308" t="s">
        <v>92</v>
      </c>
      <c r="AO1308">
        <v>1</v>
      </c>
      <c r="AP1308">
        <v>0</v>
      </c>
      <c r="AQ1308">
        <v>16666.666666666668</v>
      </c>
      <c r="AR1308" t="s">
        <v>9</v>
      </c>
      <c r="AS1308" t="s">
        <v>78</v>
      </c>
      <c r="AV1308">
        <v>0</v>
      </c>
      <c r="AW1308">
        <v>0</v>
      </c>
      <c r="AX1308" t="s">
        <v>79</v>
      </c>
      <c r="AY1308" t="s">
        <v>137</v>
      </c>
      <c r="AZ1308">
        <v>0</v>
      </c>
      <c r="BA1308" t="s">
        <v>137</v>
      </c>
      <c r="BB1308">
        <v>0</v>
      </c>
      <c r="BE1308">
        <v>0</v>
      </c>
    </row>
    <row r="1309" spans="1:58" ht="12.75">
      <c r="A1309" s="2" t="str">
        <f>HYPERLINK("https://ibp.a2mac1.com/costing(costing:projects/details/8191/part/5389172)","Part 01 single/main")</f>
        <v>Part 01 single/main</v>
      </c>
      <c r="B1309">
        <v>5389172</v>
      </c>
      <c r="C1309">
        <v>5388812</v>
      </c>
      <c r="E1309">
        <v>0.15083827499999999</v>
      </c>
      <c r="F1309">
        <v>0</v>
      </c>
      <c r="G1309">
        <v>0</v>
      </c>
      <c r="H1309">
        <v>0.00016688489999999999</v>
      </c>
      <c r="I1309" t="s">
        <v>137</v>
      </c>
      <c r="J1309">
        <v>0.00561631875</v>
      </c>
      <c r="K1309">
        <v>0.15662147865000001</v>
      </c>
      <c r="L1309">
        <v>0.00074289778343902672</v>
      </c>
      <c r="M1309">
        <v>0.0044573867006341599</v>
      </c>
      <c r="N1309">
        <v>0.16107886535063415</v>
      </c>
      <c r="O1309" t="s">
        <v>90</v>
      </c>
      <c r="P1309">
        <v>0</v>
      </c>
      <c r="Q1309" t="s">
        <v>90</v>
      </c>
      <c r="R1309">
        <v>0</v>
      </c>
      <c r="S1309" t="s">
        <v>90</v>
      </c>
      <c r="T1309">
        <v>0</v>
      </c>
      <c r="U1309" t="s">
        <v>90</v>
      </c>
      <c r="V1309">
        <v>0</v>
      </c>
      <c r="W1309" t="s">
        <v>90</v>
      </c>
      <c r="X1309">
        <v>0</v>
      </c>
      <c r="Y1309">
        <v>0.16107886535063415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K1309" t="s">
        <v>4599</v>
      </c>
      <c r="AM1309">
        <v>200000</v>
      </c>
      <c r="AN1309" t="s">
        <v>92</v>
      </c>
      <c r="AO1309">
        <v>1</v>
      </c>
      <c r="AP1309">
        <v>0</v>
      </c>
      <c r="AQ1309">
        <v>16666.666666666668</v>
      </c>
      <c r="AR1309" t="s">
        <v>9</v>
      </c>
      <c r="AS1309" t="s">
        <v>78</v>
      </c>
      <c r="AV1309">
        <v>0</v>
      </c>
      <c r="AW1309">
        <v>0</v>
      </c>
      <c r="AX1309" t="s">
        <v>79</v>
      </c>
      <c r="AY1309" t="s">
        <v>137</v>
      </c>
      <c r="AZ1309">
        <v>0</v>
      </c>
      <c r="BA1309" t="s">
        <v>137</v>
      </c>
      <c r="BB1309">
        <v>0</v>
      </c>
      <c r="BE1309">
        <v>0</v>
      </c>
    </row>
    <row r="1310" spans="1:58" ht="12.75">
      <c r="A1310" s="2" t="str">
        <f>HYPERLINK("https://ibp.a2mac1.com/costing(costing:projects/details/8191/part/5389173)","Part 01 single/main")</f>
        <v>Part 01 single/main</v>
      </c>
      <c r="B1310">
        <v>5389173</v>
      </c>
      <c r="C1310">
        <v>5388813</v>
      </c>
      <c r="E1310">
        <v>0.071827749999999996</v>
      </c>
      <c r="F1310">
        <v>0</v>
      </c>
      <c r="G1310">
        <v>0</v>
      </c>
      <c r="H1310">
        <v>7.9468999999999994E-05</v>
      </c>
      <c r="I1310" t="s">
        <v>137</v>
      </c>
      <c r="J1310">
        <v>0.0026744375000000002</v>
      </c>
      <c r="K1310">
        <v>0.074581656499999996</v>
      </c>
      <c r="L1310">
        <v>0.00074289778343902672</v>
      </c>
      <c r="M1310">
        <v>0.0044573867006341599</v>
      </c>
      <c r="N1310">
        <v>0.079039043200634165</v>
      </c>
      <c r="O1310" t="s">
        <v>90</v>
      </c>
      <c r="P1310">
        <v>0</v>
      </c>
      <c r="Q1310" t="s">
        <v>90</v>
      </c>
      <c r="R1310">
        <v>0</v>
      </c>
      <c r="S1310" t="s">
        <v>90</v>
      </c>
      <c r="T1310">
        <v>0</v>
      </c>
      <c r="U1310" t="s">
        <v>90</v>
      </c>
      <c r="V1310">
        <v>0</v>
      </c>
      <c r="W1310" t="s">
        <v>90</v>
      </c>
      <c r="X1310">
        <v>0</v>
      </c>
      <c r="Y1310">
        <v>0.079039043200634165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K1310" t="s">
        <v>4599</v>
      </c>
      <c r="AM1310">
        <v>200000</v>
      </c>
      <c r="AN1310" t="s">
        <v>92</v>
      </c>
      <c r="AO1310">
        <v>1</v>
      </c>
      <c r="AP1310">
        <v>0</v>
      </c>
      <c r="AQ1310">
        <v>16666.666666666668</v>
      </c>
      <c r="AR1310" t="s">
        <v>9</v>
      </c>
      <c r="AS1310" t="s">
        <v>78</v>
      </c>
      <c r="AV1310">
        <v>0</v>
      </c>
      <c r="AW1310">
        <v>0</v>
      </c>
      <c r="AX1310" t="s">
        <v>79</v>
      </c>
      <c r="AY1310" t="s">
        <v>137</v>
      </c>
      <c r="AZ1310">
        <v>0</v>
      </c>
      <c r="BA1310" t="s">
        <v>137</v>
      </c>
      <c r="BB1310">
        <v>0</v>
      </c>
      <c r="BE1310">
        <v>0</v>
      </c>
    </row>
    <row r="1311" spans="1:58" ht="12.75">
      <c r="A1311" s="2" t="str">
        <f>HYPERLINK("https://ibp.a2mac1.com/costing(costing:projects/details/8191/part/5388426)","Door Stopper")</f>
        <v>Door Stopper</v>
      </c>
      <c r="B1311">
        <v>5388426</v>
      </c>
      <c r="C1311">
        <v>5388190</v>
      </c>
      <c r="E1311">
        <v>2.0761699999999998</v>
      </c>
      <c r="F1311">
        <v>0</v>
      </c>
      <c r="G1311">
        <v>0</v>
      </c>
      <c r="H1311">
        <v>0</v>
      </c>
      <c r="I1311" t="s">
        <v>74</v>
      </c>
      <c r="J1311">
        <v>0</v>
      </c>
      <c r="K1311">
        <v>2.0761699999999998</v>
      </c>
      <c r="L1311">
        <v>0</v>
      </c>
      <c r="M1311">
        <v>0</v>
      </c>
      <c r="N1311">
        <v>2.0761699999999998</v>
      </c>
      <c r="O1311" t="s">
        <v>74</v>
      </c>
      <c r="P1311">
        <v>0</v>
      </c>
      <c r="Q1311" t="s">
        <v>74</v>
      </c>
      <c r="R1311">
        <v>0</v>
      </c>
      <c r="S1311" t="s">
        <v>74</v>
      </c>
      <c r="T1311">
        <v>0</v>
      </c>
      <c r="U1311" t="s">
        <v>74</v>
      </c>
      <c r="V1311">
        <v>0</v>
      </c>
      <c r="W1311" t="s">
        <v>74</v>
      </c>
      <c r="X1311">
        <v>0</v>
      </c>
      <c r="Y1311">
        <v>2.0761699999999998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38</v>
      </c>
      <c r="AF1311">
        <v>186</v>
      </c>
      <c r="AG1311">
        <v>73</v>
      </c>
      <c r="AI1311">
        <v>0.16</v>
      </c>
      <c r="AJ1311" t="s">
        <v>685</v>
      </c>
      <c r="AK1311" t="s">
        <v>4765</v>
      </c>
      <c r="AL1311" t="s">
        <v>5245</v>
      </c>
      <c r="AM1311">
        <v>200000</v>
      </c>
      <c r="AN1311" t="s">
        <v>76</v>
      </c>
      <c r="AO1311">
        <v>1</v>
      </c>
      <c r="AP1311">
        <v>0</v>
      </c>
      <c r="AQ1311">
        <v>16666.666666666668</v>
      </c>
      <c r="AR1311" t="s">
        <v>5246</v>
      </c>
      <c r="AS1311" t="s">
        <v>78</v>
      </c>
      <c r="AX1311" t="s">
        <v>79</v>
      </c>
      <c r="AY1311" t="s">
        <v>74</v>
      </c>
      <c r="AZ1311">
        <v>0</v>
      </c>
      <c r="BA1311" t="s">
        <v>74</v>
      </c>
      <c r="BB1311">
        <v>0</v>
      </c>
      <c r="BD1311">
        <v>2.0761699999999998</v>
      </c>
      <c r="BE1311">
        <v>0</v>
      </c>
    </row>
    <row r="1312" spans="1:58" ht="12.75">
      <c r="A1312" s="2" t="str">
        <f>HYPERLINK("https://ibp.a2mac1.com/costing(costing:projects/details/8191/part/5388440)","Harness")</f>
        <v>Harness</v>
      </c>
      <c r="B1312">
        <v>5388440</v>
      </c>
      <c r="C1312">
        <v>5388191</v>
      </c>
      <c r="E1312">
        <v>9.18126</v>
      </c>
      <c r="F1312">
        <v>0</v>
      </c>
      <c r="G1312">
        <v>0</v>
      </c>
      <c r="H1312">
        <v>0</v>
      </c>
      <c r="I1312" t="s">
        <v>74</v>
      </c>
      <c r="J1312">
        <v>0</v>
      </c>
      <c r="K1312">
        <v>9.18126</v>
      </c>
      <c r="L1312">
        <v>0</v>
      </c>
      <c r="M1312">
        <v>0</v>
      </c>
      <c r="N1312">
        <v>9.18126</v>
      </c>
      <c r="O1312" t="s">
        <v>74</v>
      </c>
      <c r="P1312">
        <v>0</v>
      </c>
      <c r="Q1312" t="s">
        <v>74</v>
      </c>
      <c r="R1312">
        <v>0</v>
      </c>
      <c r="S1312" t="s">
        <v>74</v>
      </c>
      <c r="T1312">
        <v>0</v>
      </c>
      <c r="U1312" t="s">
        <v>74</v>
      </c>
      <c r="V1312">
        <v>0</v>
      </c>
      <c r="W1312" t="s">
        <v>74</v>
      </c>
      <c r="X1312">
        <v>0</v>
      </c>
      <c r="Y1312">
        <v>9.18126</v>
      </c>
      <c r="Z1312">
        <v>0</v>
      </c>
      <c r="AA1312">
        <v>0</v>
      </c>
      <c r="AB1312">
        <v>0</v>
      </c>
      <c r="AC1312">
        <v>0</v>
      </c>
      <c r="AD1312">
        <v>0</v>
      </c>
      <c r="AI1312">
        <v>0.35699999999999998</v>
      </c>
      <c r="AJ1312" t="s">
        <v>1644</v>
      </c>
      <c r="AK1312" t="s">
        <v>1645</v>
      </c>
      <c r="AL1312" t="s">
        <v>1658</v>
      </c>
      <c r="AM1312">
        <v>200000</v>
      </c>
      <c r="AN1312" t="s">
        <v>76</v>
      </c>
      <c r="AO1312">
        <v>1</v>
      </c>
      <c r="AP1312">
        <v>0</v>
      </c>
      <c r="AQ1312">
        <v>16666.666666666668</v>
      </c>
      <c r="AR1312" t="s">
        <v>5253</v>
      </c>
      <c r="AS1312" t="s">
        <v>78</v>
      </c>
      <c r="AX1312" t="s">
        <v>79</v>
      </c>
      <c r="AY1312" t="s">
        <v>74</v>
      </c>
      <c r="AZ1312">
        <v>0</v>
      </c>
      <c r="BA1312" t="s">
        <v>74</v>
      </c>
      <c r="BB1312">
        <v>0</v>
      </c>
      <c r="BD1312">
        <v>9.18126</v>
      </c>
      <c r="BE1312">
        <v>0</v>
      </c>
    </row>
    <row r="1313" spans="1:58" ht="12.75">
      <c r="A1313" s="2" t="str">
        <f>HYPERLINK("https://ibp.a2mac1.com/costing(costing:projects/details/8191/part/5388442)","2nd Harness   Audio")</f>
        <v>2nd Harness   Audio</v>
      </c>
      <c r="B1313">
        <v>5388442</v>
      </c>
      <c r="C1313">
        <v>5388191</v>
      </c>
      <c r="E1313">
        <v>1.6055699999999999</v>
      </c>
      <c r="F1313">
        <v>0</v>
      </c>
      <c r="G1313">
        <v>0</v>
      </c>
      <c r="H1313">
        <v>0</v>
      </c>
      <c r="I1313" t="s">
        <v>74</v>
      </c>
      <c r="J1313">
        <v>0</v>
      </c>
      <c r="K1313">
        <v>1.6055699999999999</v>
      </c>
      <c r="L1313">
        <v>0</v>
      </c>
      <c r="M1313">
        <v>0</v>
      </c>
      <c r="N1313">
        <v>1.6055699999999999</v>
      </c>
      <c r="O1313" t="s">
        <v>74</v>
      </c>
      <c r="P1313">
        <v>0</v>
      </c>
      <c r="Q1313" t="s">
        <v>74</v>
      </c>
      <c r="R1313">
        <v>0</v>
      </c>
      <c r="S1313" t="s">
        <v>74</v>
      </c>
      <c r="T1313">
        <v>0</v>
      </c>
      <c r="U1313" t="s">
        <v>74</v>
      </c>
      <c r="V1313">
        <v>0</v>
      </c>
      <c r="W1313" t="s">
        <v>74</v>
      </c>
      <c r="X1313">
        <v>0</v>
      </c>
      <c r="Y1313">
        <v>1.6055699999999999</v>
      </c>
      <c r="Z1313">
        <v>0</v>
      </c>
      <c r="AA1313">
        <v>0</v>
      </c>
      <c r="AB1313">
        <v>0</v>
      </c>
      <c r="AC1313">
        <v>0</v>
      </c>
      <c r="AD1313">
        <v>0</v>
      </c>
      <c r="AI1313">
        <v>0.036999999999999998</v>
      </c>
      <c r="AJ1313" t="s">
        <v>685</v>
      </c>
      <c r="AK1313" t="s">
        <v>1645</v>
      </c>
      <c r="AL1313" t="s">
        <v>1658</v>
      </c>
      <c r="AM1313">
        <v>200000</v>
      </c>
      <c r="AN1313" t="s">
        <v>76</v>
      </c>
      <c r="AO1313">
        <v>1</v>
      </c>
      <c r="AP1313">
        <v>0</v>
      </c>
      <c r="AQ1313">
        <v>16666.666666666668</v>
      </c>
      <c r="AR1313" t="s">
        <v>5254</v>
      </c>
      <c r="AS1313" t="s">
        <v>78</v>
      </c>
      <c r="AX1313" t="s">
        <v>79</v>
      </c>
      <c r="AY1313" t="s">
        <v>74</v>
      </c>
      <c r="AZ1313">
        <v>0</v>
      </c>
      <c r="BA1313" t="s">
        <v>74</v>
      </c>
      <c r="BB1313">
        <v>0</v>
      </c>
      <c r="BD1313">
        <v>1.6055699999999999</v>
      </c>
      <c r="BE1313">
        <v>0</v>
      </c>
    </row>
    <row r="1314" spans="1:58" ht="12.75">
      <c r="A1314" s="2" t="str">
        <f>HYPERLINK("https://ibp.a2mac1.com/costing(costing:projects/details/8191/part/5388443)","3rd Harness")</f>
        <v>3rd Harness</v>
      </c>
      <c r="B1314">
        <v>5388443</v>
      </c>
      <c r="C1314">
        <v>5388191</v>
      </c>
      <c r="E1314">
        <v>2.2238000000000002</v>
      </c>
      <c r="F1314">
        <v>0</v>
      </c>
      <c r="G1314">
        <v>0</v>
      </c>
      <c r="H1314">
        <v>0</v>
      </c>
      <c r="I1314" t="s">
        <v>74</v>
      </c>
      <c r="J1314">
        <v>0</v>
      </c>
      <c r="K1314">
        <v>2.2238000000000002</v>
      </c>
      <c r="L1314">
        <v>0</v>
      </c>
      <c r="M1314">
        <v>0</v>
      </c>
      <c r="N1314">
        <v>2.2238000000000002</v>
      </c>
      <c r="O1314" t="s">
        <v>74</v>
      </c>
      <c r="P1314">
        <v>0</v>
      </c>
      <c r="Q1314" t="s">
        <v>74</v>
      </c>
      <c r="R1314">
        <v>0</v>
      </c>
      <c r="S1314" t="s">
        <v>74</v>
      </c>
      <c r="T1314">
        <v>0</v>
      </c>
      <c r="U1314" t="s">
        <v>74</v>
      </c>
      <c r="V1314">
        <v>0</v>
      </c>
      <c r="W1314" t="s">
        <v>74</v>
      </c>
      <c r="X1314">
        <v>0</v>
      </c>
      <c r="Y1314">
        <v>2.2238000000000002</v>
      </c>
      <c r="Z1314">
        <v>0</v>
      </c>
      <c r="AA1314">
        <v>0</v>
      </c>
      <c r="AB1314">
        <v>0</v>
      </c>
      <c r="AC1314">
        <v>0</v>
      </c>
      <c r="AD1314">
        <v>0</v>
      </c>
      <c r="AI1314">
        <v>0.033000000000000002</v>
      </c>
      <c r="AK1314" t="s">
        <v>1645</v>
      </c>
      <c r="AL1314" t="s">
        <v>1658</v>
      </c>
      <c r="AM1314">
        <v>200000</v>
      </c>
      <c r="AN1314" t="s">
        <v>76</v>
      </c>
      <c r="AO1314">
        <v>1</v>
      </c>
      <c r="AP1314">
        <v>0</v>
      </c>
      <c r="AQ1314">
        <v>16666.666666666668</v>
      </c>
      <c r="AR1314" t="s">
        <v>5255</v>
      </c>
      <c r="AS1314" t="s">
        <v>78</v>
      </c>
      <c r="AX1314" t="s">
        <v>79</v>
      </c>
      <c r="AY1314" t="s">
        <v>74</v>
      </c>
      <c r="AZ1314">
        <v>0</v>
      </c>
      <c r="BA1314" t="s">
        <v>74</v>
      </c>
      <c r="BB1314">
        <v>0</v>
      </c>
      <c r="BD1314">
        <v>2.2238000000000002</v>
      </c>
      <c r="BE1314">
        <v>0</v>
      </c>
    </row>
    <row r="1315" spans="1:58" ht="12.75">
      <c r="A1315" s="2" t="str">
        <f>HYPERLINK("https://ibp.a2mac1.com/costing(costing:projects/details/8191/part/5388444)","Harness Grommet")</f>
        <v>Harness Grommet</v>
      </c>
      <c r="B1315">
        <v>5388444</v>
      </c>
      <c r="C1315">
        <v>5388191</v>
      </c>
      <c r="E1315">
        <v>0.20300000000000001</v>
      </c>
      <c r="F1315">
        <v>0</v>
      </c>
      <c r="G1315">
        <v>0</v>
      </c>
      <c r="H1315">
        <v>0</v>
      </c>
      <c r="I1315" t="s">
        <v>74</v>
      </c>
      <c r="J1315">
        <v>0</v>
      </c>
      <c r="K1315">
        <v>0.20300000000000001</v>
      </c>
      <c r="L1315">
        <v>0</v>
      </c>
      <c r="M1315">
        <v>0</v>
      </c>
      <c r="N1315">
        <v>0.20300000000000001</v>
      </c>
      <c r="O1315" t="s">
        <v>74</v>
      </c>
      <c r="P1315">
        <v>0</v>
      </c>
      <c r="Q1315" t="s">
        <v>74</v>
      </c>
      <c r="R1315">
        <v>0</v>
      </c>
      <c r="S1315" t="s">
        <v>74</v>
      </c>
      <c r="T1315">
        <v>0</v>
      </c>
      <c r="U1315" t="s">
        <v>74</v>
      </c>
      <c r="V1315">
        <v>0</v>
      </c>
      <c r="W1315" t="s">
        <v>74</v>
      </c>
      <c r="X1315">
        <v>0</v>
      </c>
      <c r="Y1315">
        <v>0.20300000000000001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45</v>
      </c>
      <c r="AF1315">
        <v>185</v>
      </c>
      <c r="AG1315">
        <v>78</v>
      </c>
      <c r="AI1315">
        <v>0.001</v>
      </c>
      <c r="AJ1315" t="s">
        <v>685</v>
      </c>
      <c r="AK1315" t="s">
        <v>686</v>
      </c>
      <c r="AL1315" t="s">
        <v>5256</v>
      </c>
      <c r="AM1315">
        <v>200000</v>
      </c>
      <c r="AN1315" t="s">
        <v>76</v>
      </c>
      <c r="AO1315">
        <v>1</v>
      </c>
      <c r="AP1315">
        <v>0</v>
      </c>
      <c r="AQ1315">
        <v>16666.666666666668</v>
      </c>
      <c r="AR1315" t="s">
        <v>5257</v>
      </c>
      <c r="AS1315" t="s">
        <v>78</v>
      </c>
      <c r="AX1315" t="s">
        <v>79</v>
      </c>
      <c r="AY1315" t="s">
        <v>74</v>
      </c>
      <c r="AZ1315">
        <v>0</v>
      </c>
      <c r="BA1315" t="s">
        <v>74</v>
      </c>
      <c r="BB1315">
        <v>0</v>
      </c>
      <c r="BD1315">
        <v>0.20300000000000001</v>
      </c>
      <c r="BE1315">
        <v>0</v>
      </c>
    </row>
    <row r="1316" spans="1:58" ht="12.75">
      <c r="A1316" s="2" t="str">
        <f>HYPERLINK("https://ibp.a2mac1.com/costing(costing:projects/details/8191/part/5388445)","2nd Harness Grommet")</f>
        <v>2nd Harness Grommet</v>
      </c>
      <c r="B1316">
        <v>5388445</v>
      </c>
      <c r="C1316">
        <v>5388191</v>
      </c>
      <c r="E1316">
        <v>0.04614</v>
      </c>
      <c r="F1316">
        <v>0</v>
      </c>
      <c r="G1316">
        <v>0</v>
      </c>
      <c r="H1316">
        <v>0</v>
      </c>
      <c r="I1316" t="s">
        <v>74</v>
      </c>
      <c r="J1316">
        <v>0</v>
      </c>
      <c r="K1316">
        <v>0.04614</v>
      </c>
      <c r="L1316">
        <v>0</v>
      </c>
      <c r="M1316">
        <v>0</v>
      </c>
      <c r="N1316">
        <v>0.04614</v>
      </c>
      <c r="O1316" t="s">
        <v>74</v>
      </c>
      <c r="P1316">
        <v>0</v>
      </c>
      <c r="Q1316" t="s">
        <v>74</v>
      </c>
      <c r="R1316">
        <v>0</v>
      </c>
      <c r="S1316" t="s">
        <v>74</v>
      </c>
      <c r="T1316">
        <v>0</v>
      </c>
      <c r="U1316" t="s">
        <v>74</v>
      </c>
      <c r="V1316">
        <v>0</v>
      </c>
      <c r="W1316" t="s">
        <v>74</v>
      </c>
      <c r="X1316">
        <v>0</v>
      </c>
      <c r="Y1316">
        <v>0.04614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29</v>
      </c>
      <c r="AF1316">
        <v>70</v>
      </c>
      <c r="AG1316">
        <v>96</v>
      </c>
      <c r="AI1316">
        <v>0.001</v>
      </c>
      <c r="AJ1316" t="s">
        <v>5258</v>
      </c>
      <c r="AK1316" t="s">
        <v>598</v>
      </c>
      <c r="AL1316" t="s">
        <v>3856</v>
      </c>
      <c r="AM1316">
        <v>200000</v>
      </c>
      <c r="AN1316" t="s">
        <v>76</v>
      </c>
      <c r="AO1316">
        <v>1</v>
      </c>
      <c r="AP1316">
        <v>0</v>
      </c>
      <c r="AQ1316">
        <v>16666.666666666668</v>
      </c>
      <c r="AR1316" t="s">
        <v>5259</v>
      </c>
      <c r="AS1316" t="s">
        <v>78</v>
      </c>
      <c r="AX1316" t="s">
        <v>79</v>
      </c>
      <c r="AY1316" t="s">
        <v>74</v>
      </c>
      <c r="AZ1316">
        <v>0</v>
      </c>
      <c r="BA1316" t="s">
        <v>74</v>
      </c>
      <c r="BB1316">
        <v>0</v>
      </c>
      <c r="BD1316">
        <v>0.04614</v>
      </c>
      <c r="BE1316">
        <v>0</v>
      </c>
    </row>
    <row r="1317" spans="1:58" ht="12.75">
      <c r="A1317" s="2" t="str">
        <f>HYPERLINK("https://ibp.a2mac1.com/costing(costing:projects/details/8191/part/5388448)","Door Molding")</f>
        <v>Door Molding</v>
      </c>
      <c r="B1317">
        <v>5388448</v>
      </c>
      <c r="C1317">
        <v>5388192</v>
      </c>
      <c r="E1317">
        <v>0.51687616109227741</v>
      </c>
      <c r="F1317">
        <v>0</v>
      </c>
      <c r="G1317">
        <v>0</v>
      </c>
      <c r="H1317">
        <v>0.0010658098117895698</v>
      </c>
      <c r="I1317" t="s">
        <v>137</v>
      </c>
      <c r="J1317">
        <v>0.018108419132347061</v>
      </c>
      <c r="K1317">
        <v>0.53605039003641397</v>
      </c>
      <c r="L1317">
        <v>0.035391374815632502</v>
      </c>
      <c r="M1317">
        <v>0.212348248893795</v>
      </c>
      <c r="N1317">
        <v>0.74839863893020897</v>
      </c>
      <c r="O1317" t="s">
        <v>138</v>
      </c>
      <c r="P1317">
        <v>0.03216302340218484</v>
      </c>
      <c r="Q1317" t="s">
        <v>138</v>
      </c>
      <c r="R1317">
        <v>0.0127408949336277</v>
      </c>
      <c r="S1317" t="s">
        <v>139</v>
      </c>
      <c r="T1317">
        <v>0.089807836671625077</v>
      </c>
      <c r="U1317" t="s">
        <v>90</v>
      </c>
      <c r="V1317">
        <v>0</v>
      </c>
      <c r="W1317" t="s">
        <v>90</v>
      </c>
      <c r="X1317">
        <v>0</v>
      </c>
      <c r="Y1317">
        <v>0.88311039393764668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38</v>
      </c>
      <c r="AF1317">
        <v>174</v>
      </c>
      <c r="AG1317">
        <v>207</v>
      </c>
      <c r="AI1317">
        <v>0.455</v>
      </c>
      <c r="AJ1317" t="s">
        <v>5268</v>
      </c>
      <c r="AK1317" t="s">
        <v>4605</v>
      </c>
      <c r="AL1317" t="s">
        <v>1182</v>
      </c>
      <c r="AM1317">
        <v>200000</v>
      </c>
      <c r="AN1317" t="s">
        <v>76</v>
      </c>
      <c r="AO1317">
        <v>1</v>
      </c>
      <c r="AP1317">
        <v>0</v>
      </c>
      <c r="AQ1317">
        <v>16666.666666666668</v>
      </c>
      <c r="AR1317" t="s">
        <v>5269</v>
      </c>
      <c r="AS1317" t="s">
        <v>78</v>
      </c>
      <c r="AX1317" t="s">
        <v>79</v>
      </c>
      <c r="AY1317" t="s">
        <v>137</v>
      </c>
      <c r="AZ1317">
        <v>0</v>
      </c>
      <c r="BA1317" t="s">
        <v>137</v>
      </c>
      <c r="BB1317">
        <v>0</v>
      </c>
      <c r="BE1317">
        <v>0</v>
      </c>
    </row>
    <row r="1318" spans="1:58" ht="12.75">
      <c r="A1318" s="2" t="str">
        <f>HYPERLINK("https://ibp.a2mac1.com/costing(costing:projects/details/8191/part/5388449)","Upper Frame Front Exterior Trim")</f>
        <v>Upper Frame Front Exterior Trim</v>
      </c>
      <c r="B1318">
        <v>5388449</v>
      </c>
      <c r="C1318">
        <v>5388192</v>
      </c>
      <c r="E1318">
        <v>0.41086086251213799</v>
      </c>
      <c r="F1318">
        <v>0</v>
      </c>
      <c r="G1318">
        <v>0</v>
      </c>
      <c r="H1318">
        <v>0.00084720397555263611</v>
      </c>
      <c r="I1318" t="s">
        <v>137</v>
      </c>
      <c r="J1318">
        <v>0.014394242303078768</v>
      </c>
      <c r="K1318">
        <v>0.42610230879076938</v>
      </c>
      <c r="L1318">
        <v>0.03920066320334574</v>
      </c>
      <c r="M1318">
        <v>0.23520397922007444</v>
      </c>
      <c r="N1318">
        <v>0.66130628801084379</v>
      </c>
      <c r="O1318" t="s">
        <v>138</v>
      </c>
      <c r="P1318">
        <v>0.025566138527446165</v>
      </c>
      <c r="Q1318" t="s">
        <v>138</v>
      </c>
      <c r="R1318">
        <v>0.014112238753204467</v>
      </c>
      <c r="S1318" t="s">
        <v>139</v>
      </c>
      <c r="T1318">
        <v>0.079356754561301257</v>
      </c>
      <c r="U1318" t="s">
        <v>90</v>
      </c>
      <c r="V1318">
        <v>0</v>
      </c>
      <c r="W1318" t="s">
        <v>90</v>
      </c>
      <c r="X1318">
        <v>0</v>
      </c>
      <c r="Y1318">
        <v>0.7803414198527957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42</v>
      </c>
      <c r="AF1318">
        <v>102</v>
      </c>
      <c r="AG1318">
        <v>510</v>
      </c>
      <c r="AI1318">
        <v>0.192</v>
      </c>
      <c r="AJ1318" t="s">
        <v>685</v>
      </c>
      <c r="AK1318" t="s">
        <v>4605</v>
      </c>
      <c r="AL1318" t="s">
        <v>1294</v>
      </c>
      <c r="AM1318">
        <v>200000</v>
      </c>
      <c r="AN1318" t="s">
        <v>76</v>
      </c>
      <c r="AO1318">
        <v>1</v>
      </c>
      <c r="AP1318">
        <v>0</v>
      </c>
      <c r="AQ1318">
        <v>16666.666666666668</v>
      </c>
      <c r="AR1318" t="s">
        <v>5275</v>
      </c>
      <c r="AS1318" t="s">
        <v>78</v>
      </c>
      <c r="AX1318" t="s">
        <v>79</v>
      </c>
      <c r="AY1318" t="s">
        <v>137</v>
      </c>
      <c r="AZ1318">
        <v>0</v>
      </c>
      <c r="BA1318" t="s">
        <v>137</v>
      </c>
      <c r="BB1318">
        <v>0</v>
      </c>
      <c r="BE1318">
        <v>0</v>
      </c>
    </row>
    <row r="1319" spans="1:58" ht="12.75">
      <c r="A1319" s="2" t="str">
        <f>HYPERLINK("https://ibp.a2mac1.com/costing(costing:projects/details/8191/part/5388451)","Electric window lift control")</f>
        <v>Electric window lift control</v>
      </c>
      <c r="B1319">
        <v>5388451</v>
      </c>
      <c r="C1319">
        <v>5388193</v>
      </c>
      <c r="E1319">
        <v>0.46137</v>
      </c>
      <c r="F1319">
        <v>0</v>
      </c>
      <c r="G1319">
        <v>0</v>
      </c>
      <c r="H1319">
        <v>0</v>
      </c>
      <c r="I1319" t="s">
        <v>74</v>
      </c>
      <c r="J1319">
        <v>0</v>
      </c>
      <c r="K1319">
        <v>0.46137</v>
      </c>
      <c r="L1319">
        <v>0</v>
      </c>
      <c r="M1319">
        <v>0</v>
      </c>
      <c r="N1319">
        <v>0.46137</v>
      </c>
      <c r="O1319" t="s">
        <v>74</v>
      </c>
      <c r="P1319">
        <v>0</v>
      </c>
      <c r="Q1319" t="s">
        <v>74</v>
      </c>
      <c r="R1319">
        <v>0</v>
      </c>
      <c r="S1319" t="s">
        <v>74</v>
      </c>
      <c r="T1319">
        <v>0</v>
      </c>
      <c r="U1319" t="s">
        <v>74</v>
      </c>
      <c r="V1319">
        <v>0</v>
      </c>
      <c r="W1319" t="s">
        <v>74</v>
      </c>
      <c r="X1319">
        <v>0</v>
      </c>
      <c r="Y1319">
        <v>0.46137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48</v>
      </c>
      <c r="AF1319">
        <v>22</v>
      </c>
      <c r="AG1319">
        <v>39</v>
      </c>
      <c r="AI1319">
        <v>0.01</v>
      </c>
      <c r="AJ1319" t="s">
        <v>685</v>
      </c>
      <c r="AK1319" t="s">
        <v>576</v>
      </c>
      <c r="AL1319" t="s">
        <v>1690</v>
      </c>
      <c r="AM1319">
        <v>200000</v>
      </c>
      <c r="AN1319" t="s">
        <v>76</v>
      </c>
      <c r="AO1319">
        <v>1</v>
      </c>
      <c r="AP1319">
        <v>0</v>
      </c>
      <c r="AQ1319">
        <v>16666.666666666668</v>
      </c>
      <c r="AR1319" t="s">
        <v>5278</v>
      </c>
      <c r="AS1319" t="s">
        <v>78</v>
      </c>
      <c r="AX1319" t="s">
        <v>79</v>
      </c>
      <c r="AY1319" t="s">
        <v>74</v>
      </c>
      <c r="AZ1319">
        <v>0</v>
      </c>
      <c r="BA1319" t="s">
        <v>74</v>
      </c>
      <c r="BB1319">
        <v>0</v>
      </c>
      <c r="BD1319">
        <v>0.46137</v>
      </c>
      <c r="BE1319">
        <v>0</v>
      </c>
    </row>
    <row r="1320" spans="1:58" ht="12.75">
      <c r="A1320" s="2" t="str">
        <f>HYPERLINK("https://ibp.a2mac1.com/costing(costing:projects/details/8191/part/5388452)","Speaker")</f>
        <v>Speaker</v>
      </c>
      <c r="B1320">
        <v>5388452</v>
      </c>
      <c r="C1320">
        <v>5388194</v>
      </c>
      <c r="E1320">
        <v>4.9458900000000003</v>
      </c>
      <c r="F1320">
        <v>0</v>
      </c>
      <c r="G1320">
        <v>0</v>
      </c>
      <c r="H1320">
        <v>0</v>
      </c>
      <c r="I1320" t="s">
        <v>74</v>
      </c>
      <c r="J1320">
        <v>0</v>
      </c>
      <c r="K1320">
        <v>4.9458900000000003</v>
      </c>
      <c r="L1320">
        <v>0</v>
      </c>
      <c r="M1320">
        <v>0</v>
      </c>
      <c r="N1320">
        <v>4.9458900000000003</v>
      </c>
      <c r="O1320" t="s">
        <v>74</v>
      </c>
      <c r="P1320">
        <v>0</v>
      </c>
      <c r="Q1320" t="s">
        <v>74</v>
      </c>
      <c r="R1320">
        <v>0</v>
      </c>
      <c r="S1320" t="s">
        <v>74</v>
      </c>
      <c r="T1320">
        <v>0</v>
      </c>
      <c r="U1320" t="s">
        <v>74</v>
      </c>
      <c r="V1320">
        <v>0</v>
      </c>
      <c r="W1320" t="s">
        <v>74</v>
      </c>
      <c r="X1320">
        <v>0</v>
      </c>
      <c r="Y1320">
        <v>4.9458900000000003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71</v>
      </c>
      <c r="AF1320">
        <v>168</v>
      </c>
      <c r="AG1320">
        <v>168</v>
      </c>
      <c r="AI1320">
        <v>0.61199999999999999</v>
      </c>
      <c r="AJ1320" t="s">
        <v>3827</v>
      </c>
      <c r="AK1320" t="s">
        <v>686</v>
      </c>
      <c r="AL1320" t="s">
        <v>5281</v>
      </c>
      <c r="AM1320">
        <v>200000</v>
      </c>
      <c r="AN1320" t="s">
        <v>76</v>
      </c>
      <c r="AO1320">
        <v>1</v>
      </c>
      <c r="AP1320">
        <v>0</v>
      </c>
      <c r="AQ1320">
        <v>16666.666666666668</v>
      </c>
      <c r="AR1320" t="s">
        <v>5282</v>
      </c>
      <c r="AS1320" t="s">
        <v>78</v>
      </c>
      <c r="AX1320" t="s">
        <v>79</v>
      </c>
      <c r="AY1320" t="s">
        <v>74</v>
      </c>
      <c r="AZ1320">
        <v>0</v>
      </c>
      <c r="BA1320" t="s">
        <v>74</v>
      </c>
      <c r="BB1320">
        <v>0</v>
      </c>
      <c r="BD1320">
        <v>4.9458900000000003</v>
      </c>
      <c r="BE1320">
        <v>0</v>
      </c>
    </row>
    <row r="1321" spans="1:58" ht="12.75">
      <c r="A1321" s="2" t="str">
        <f>HYPERLINK("https://ibp.a2mac1.com/costing(costing:projects/details/8191/part/5388185)","Hole Plugs")</f>
        <v>Hole Plugs</v>
      </c>
      <c r="B1321">
        <v>5388185</v>
      </c>
      <c r="C1321">
        <v>5388134</v>
      </c>
      <c r="E1321">
        <v>0.60</v>
      </c>
      <c r="F1321">
        <v>0</v>
      </c>
      <c r="G1321">
        <v>0</v>
      </c>
      <c r="H1321">
        <v>0</v>
      </c>
      <c r="I1321" t="s">
        <v>74</v>
      </c>
      <c r="J1321">
        <v>0</v>
      </c>
      <c r="K1321">
        <v>0.60</v>
      </c>
      <c r="L1321">
        <v>0</v>
      </c>
      <c r="M1321">
        <v>0</v>
      </c>
      <c r="N1321">
        <v>0.60</v>
      </c>
      <c r="O1321" t="s">
        <v>74</v>
      </c>
      <c r="P1321">
        <v>0</v>
      </c>
      <c r="Q1321" t="s">
        <v>74</v>
      </c>
      <c r="R1321">
        <v>0</v>
      </c>
      <c r="S1321" t="s">
        <v>74</v>
      </c>
      <c r="T1321">
        <v>0</v>
      </c>
      <c r="U1321" t="s">
        <v>74</v>
      </c>
      <c r="V1321">
        <v>0</v>
      </c>
      <c r="W1321" t="s">
        <v>74</v>
      </c>
      <c r="X1321">
        <v>0</v>
      </c>
      <c r="Y1321">
        <v>0.60</v>
      </c>
      <c r="Z1321">
        <v>0</v>
      </c>
      <c r="AA1321">
        <v>0</v>
      </c>
      <c r="AB1321">
        <v>0</v>
      </c>
      <c r="AC1321">
        <v>0</v>
      </c>
      <c r="AD1321">
        <v>0</v>
      </c>
      <c r="AI1321">
        <v>2.0000000000000002E-05</v>
      </c>
      <c r="AK1321" t="s">
        <v>4605</v>
      </c>
      <c r="AL1321" t="s">
        <v>5285</v>
      </c>
      <c r="AM1321">
        <v>1200000</v>
      </c>
      <c r="AN1321" t="s">
        <v>76</v>
      </c>
      <c r="AO1321">
        <v>6</v>
      </c>
      <c r="AP1321">
        <v>0</v>
      </c>
      <c r="AQ1321">
        <v>100000</v>
      </c>
      <c r="AR1321" t="s">
        <v>5286</v>
      </c>
      <c r="AS1321" t="s">
        <v>78</v>
      </c>
      <c r="AX1321" t="s">
        <v>79</v>
      </c>
      <c r="AY1321" t="s">
        <v>74</v>
      </c>
      <c r="AZ1321">
        <v>0</v>
      </c>
      <c r="BA1321" t="s">
        <v>74</v>
      </c>
      <c r="BB1321">
        <v>0</v>
      </c>
      <c r="BD1321">
        <v>0.10</v>
      </c>
      <c r="BE1321">
        <v>0</v>
      </c>
    </row>
    <row r="1322" spans="1:58" ht="12.75">
      <c r="A1322" s="2" t="str">
        <f>HYPERLINK("https://ibp.a2mac1.com/costing(costing:projects/details/8191/part/5389194)","Part 01 single/main")</f>
        <v>Part 01 single/main</v>
      </c>
      <c r="B1322">
        <v>5389194</v>
      </c>
      <c r="C1322">
        <v>5388815</v>
      </c>
      <c r="E1322">
        <v>0.43728326666666667</v>
      </c>
      <c r="F1322">
        <v>0</v>
      </c>
      <c r="G1322">
        <v>0</v>
      </c>
      <c r="H1322">
        <v>0.00047746605333333331</v>
      </c>
      <c r="I1322" t="s">
        <v>137</v>
      </c>
      <c r="J1322">
        <v>0.016545853333333332</v>
      </c>
      <c r="K1322">
        <v>0.45430658605333335</v>
      </c>
      <c r="L1322">
        <v>0.0063864176562057886</v>
      </c>
      <c r="M1322">
        <v>0.03831850593723473</v>
      </c>
      <c r="N1322">
        <v>0.49262509199056809</v>
      </c>
      <c r="O1322" t="s">
        <v>90</v>
      </c>
      <c r="P1322">
        <v>0</v>
      </c>
      <c r="Q1322" t="s">
        <v>90</v>
      </c>
      <c r="R1322">
        <v>0</v>
      </c>
      <c r="S1322" t="s">
        <v>90</v>
      </c>
      <c r="T1322">
        <v>0</v>
      </c>
      <c r="U1322" t="s">
        <v>90</v>
      </c>
      <c r="V1322">
        <v>0</v>
      </c>
      <c r="W1322" t="s">
        <v>90</v>
      </c>
      <c r="X1322">
        <v>0</v>
      </c>
      <c r="Y1322">
        <v>0.49262509199056809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K1322" t="s">
        <v>4599</v>
      </c>
      <c r="AM1322">
        <v>800000</v>
      </c>
      <c r="AN1322" t="s">
        <v>92</v>
      </c>
      <c r="AO1322">
        <v>2</v>
      </c>
      <c r="AP1322">
        <v>0</v>
      </c>
      <c r="AQ1322">
        <v>66666.666666666672</v>
      </c>
      <c r="AR1322" t="s">
        <v>9</v>
      </c>
      <c r="AS1322" t="s">
        <v>78</v>
      </c>
      <c r="AV1322">
        <v>0</v>
      </c>
      <c r="AW1322">
        <v>0</v>
      </c>
      <c r="AX1322" t="s">
        <v>79</v>
      </c>
      <c r="AY1322" t="s">
        <v>137</v>
      </c>
      <c r="AZ1322">
        <v>0</v>
      </c>
      <c r="BA1322" t="s">
        <v>137</v>
      </c>
      <c r="BB1322">
        <v>0</v>
      </c>
      <c r="BE1322">
        <v>0</v>
      </c>
    </row>
    <row r="1323" spans="1:58" ht="12.75">
      <c r="A1323" s="2" t="str">
        <f>HYPERLINK("https://ibp.a2mac1.com/costing(costing:projects/details/8191/part/5389195)","Part 01 single/main")</f>
        <v>Part 01 single/main</v>
      </c>
      <c r="B1323">
        <v>5389195</v>
      </c>
      <c r="C1323">
        <v>5388816</v>
      </c>
      <c r="E1323">
        <v>0.63208419999999998</v>
      </c>
      <c r="F1323">
        <v>0</v>
      </c>
      <c r="G1323">
        <v>0</v>
      </c>
      <c r="H1323">
        <v>0.00067915429999999995</v>
      </c>
      <c r="I1323" t="s">
        <v>137</v>
      </c>
      <c r="J1323">
        <v>0.023535049999999998</v>
      </c>
      <c r="K1323">
        <v>0.65629840429999997</v>
      </c>
      <c r="L1323">
        <v>0.0063864176562057886</v>
      </c>
      <c r="M1323">
        <v>0.03831850593723473</v>
      </c>
      <c r="N1323">
        <v>0.69461691023723471</v>
      </c>
      <c r="O1323" t="s">
        <v>90</v>
      </c>
      <c r="P1323">
        <v>0</v>
      </c>
      <c r="Q1323" t="s">
        <v>90</v>
      </c>
      <c r="R1323">
        <v>0</v>
      </c>
      <c r="S1323" t="s">
        <v>90</v>
      </c>
      <c r="T1323">
        <v>0</v>
      </c>
      <c r="U1323" t="s">
        <v>90</v>
      </c>
      <c r="V1323">
        <v>0</v>
      </c>
      <c r="W1323" t="s">
        <v>90</v>
      </c>
      <c r="X1323">
        <v>0</v>
      </c>
      <c r="Y1323">
        <v>0.69461691023723471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K1323" t="s">
        <v>4599</v>
      </c>
      <c r="AM1323">
        <v>800000</v>
      </c>
      <c r="AN1323" t="s">
        <v>92</v>
      </c>
      <c r="AO1323">
        <v>2</v>
      </c>
      <c r="AP1323">
        <v>0</v>
      </c>
      <c r="AQ1323">
        <v>66666.666666666672</v>
      </c>
      <c r="AR1323" t="s">
        <v>9</v>
      </c>
      <c r="AS1323" t="s">
        <v>78</v>
      </c>
      <c r="AV1323">
        <v>0</v>
      </c>
      <c r="AW1323">
        <v>0</v>
      </c>
      <c r="AX1323" t="s">
        <v>79</v>
      </c>
      <c r="AY1323" t="s">
        <v>137</v>
      </c>
      <c r="AZ1323">
        <v>0</v>
      </c>
      <c r="BA1323" t="s">
        <v>137</v>
      </c>
      <c r="BB1323">
        <v>0</v>
      </c>
      <c r="BE1323">
        <v>0</v>
      </c>
    </row>
    <row r="1324" spans="1:58" ht="12.75">
      <c r="A1324" s="2" t="str">
        <f>HYPERLINK("https://ibp.a2mac1.com/costing(costing:projects/details/8191/part/5389196)","Part 01 single/main")</f>
        <v>Part 01 single/main</v>
      </c>
      <c r="B1324">
        <v>5389196</v>
      </c>
      <c r="C1324">
        <v>5388817</v>
      </c>
      <c r="E1324">
        <v>0.16483524705882352</v>
      </c>
      <c r="F1324">
        <v>0</v>
      </c>
      <c r="G1324">
        <v>0</v>
      </c>
      <c r="H1324">
        <v>0.00017432837647058823</v>
      </c>
      <c r="I1324" t="s">
        <v>137</v>
      </c>
      <c r="J1324">
        <v>0.0060410823529411769</v>
      </c>
      <c r="K1324">
        <v>0.17105065778823531</v>
      </c>
      <c r="L1324">
        <v>0.026146007374511199</v>
      </c>
      <c r="M1324">
        <v>0.15687604424706719</v>
      </c>
      <c r="N1324">
        <v>0.3279267020353025</v>
      </c>
      <c r="O1324" t="s">
        <v>90</v>
      </c>
      <c r="P1324">
        <v>0</v>
      </c>
      <c r="Q1324" t="s">
        <v>90</v>
      </c>
      <c r="R1324">
        <v>0</v>
      </c>
      <c r="S1324" t="s">
        <v>90</v>
      </c>
      <c r="T1324">
        <v>0</v>
      </c>
      <c r="U1324" t="s">
        <v>90</v>
      </c>
      <c r="V1324">
        <v>0</v>
      </c>
      <c r="W1324" t="s">
        <v>90</v>
      </c>
      <c r="X1324">
        <v>0</v>
      </c>
      <c r="Y1324">
        <v>0.3279267020353025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K1324" t="s">
        <v>4599</v>
      </c>
      <c r="AM1324">
        <v>800000</v>
      </c>
      <c r="AN1324" t="s">
        <v>92</v>
      </c>
      <c r="AO1324">
        <v>2</v>
      </c>
      <c r="AP1324">
        <v>0</v>
      </c>
      <c r="AQ1324">
        <v>66666.666666666672</v>
      </c>
      <c r="AR1324" t="s">
        <v>9</v>
      </c>
      <c r="AS1324" t="s">
        <v>78</v>
      </c>
      <c r="AV1324">
        <v>0</v>
      </c>
      <c r="AW1324">
        <v>0</v>
      </c>
      <c r="AX1324" t="s">
        <v>79</v>
      </c>
      <c r="AY1324" t="s">
        <v>137</v>
      </c>
      <c r="AZ1324">
        <v>0</v>
      </c>
      <c r="BA1324" t="s">
        <v>137</v>
      </c>
      <c r="BB1324">
        <v>0</v>
      </c>
      <c r="BE1324">
        <v>0</v>
      </c>
    </row>
    <row r="1325" spans="1:58" ht="12.75">
      <c r="A1325" s="2" t="str">
        <f>HYPERLINK("https://ibp.a2mac1.com/costing(costing:projects/details/8191/part/5389197)","Part 02")</f>
        <v>Part 02</v>
      </c>
      <c r="B1325">
        <v>5389197</v>
      </c>
      <c r="C1325">
        <v>5388817</v>
      </c>
      <c r="E1325">
        <v>0.16483524705882352</v>
      </c>
      <c r="F1325">
        <v>0</v>
      </c>
      <c r="G1325">
        <v>0</v>
      </c>
      <c r="H1325">
        <v>0.00017432837647058823</v>
      </c>
      <c r="I1325" t="s">
        <v>137</v>
      </c>
      <c r="J1325">
        <v>0.0060410823529411769</v>
      </c>
      <c r="K1325">
        <v>0.17105065778823531</v>
      </c>
      <c r="L1325">
        <v>0.026146007374511199</v>
      </c>
      <c r="M1325">
        <v>0.15687604424706719</v>
      </c>
      <c r="N1325">
        <v>0.3279267020353025</v>
      </c>
      <c r="O1325" t="s">
        <v>90</v>
      </c>
      <c r="P1325">
        <v>0</v>
      </c>
      <c r="Q1325" t="s">
        <v>90</v>
      </c>
      <c r="R1325">
        <v>0</v>
      </c>
      <c r="S1325" t="s">
        <v>90</v>
      </c>
      <c r="T1325">
        <v>0</v>
      </c>
      <c r="U1325" t="s">
        <v>90</v>
      </c>
      <c r="V1325">
        <v>0</v>
      </c>
      <c r="W1325" t="s">
        <v>90</v>
      </c>
      <c r="X1325">
        <v>0</v>
      </c>
      <c r="Y1325">
        <v>0.3279267020353025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K1325" t="s">
        <v>4599</v>
      </c>
      <c r="AM1325">
        <v>800000</v>
      </c>
      <c r="AN1325" t="s">
        <v>92</v>
      </c>
      <c r="AO1325">
        <v>2</v>
      </c>
      <c r="AP1325">
        <v>0</v>
      </c>
      <c r="AQ1325">
        <v>66666.666666666672</v>
      </c>
      <c r="AR1325" t="s">
        <v>9</v>
      </c>
      <c r="AS1325" t="s">
        <v>78</v>
      </c>
      <c r="AV1325">
        <v>0</v>
      </c>
      <c r="AW1325">
        <v>0</v>
      </c>
      <c r="AX1325" t="s">
        <v>79</v>
      </c>
      <c r="AY1325" t="s">
        <v>137</v>
      </c>
      <c r="AZ1325">
        <v>0</v>
      </c>
      <c r="BA1325" t="s">
        <v>137</v>
      </c>
      <c r="BB1325">
        <v>0</v>
      </c>
      <c r="BE1325">
        <v>0</v>
      </c>
    </row>
    <row r="1326" spans="1:58" ht="12.75">
      <c r="A1326" s="2" t="str">
        <f>HYPERLINK("https://ibp.a2mac1.com/costing(costing:projects/details/8191/part/5388455)","Hood Latch")</f>
        <v>Hood Latch</v>
      </c>
      <c r="B1326">
        <v>5388455</v>
      </c>
      <c r="C1326">
        <v>5388199</v>
      </c>
      <c r="D1326" t="s">
        <v>5313</v>
      </c>
      <c r="E1326">
        <v>6.9205500000000004</v>
      </c>
      <c r="F1326">
        <v>0</v>
      </c>
      <c r="G1326">
        <v>0</v>
      </c>
      <c r="H1326">
        <v>0</v>
      </c>
      <c r="I1326" t="s">
        <v>74</v>
      </c>
      <c r="J1326">
        <v>0</v>
      </c>
      <c r="K1326">
        <v>6.9205500000000004</v>
      </c>
      <c r="L1326">
        <v>0</v>
      </c>
      <c r="M1326">
        <v>0</v>
      </c>
      <c r="N1326">
        <v>6.9205500000000004</v>
      </c>
      <c r="O1326" t="s">
        <v>74</v>
      </c>
      <c r="P1326">
        <v>0</v>
      </c>
      <c r="Q1326" t="s">
        <v>74</v>
      </c>
      <c r="R1326">
        <v>0</v>
      </c>
      <c r="S1326" t="s">
        <v>74</v>
      </c>
      <c r="T1326">
        <v>0</v>
      </c>
      <c r="U1326" t="s">
        <v>74</v>
      </c>
      <c r="V1326">
        <v>0</v>
      </c>
      <c r="W1326" t="s">
        <v>74</v>
      </c>
      <c r="X1326">
        <v>0</v>
      </c>
      <c r="Y1326">
        <v>6.9205500000000004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30</v>
      </c>
      <c r="AF1326">
        <v>109</v>
      </c>
      <c r="AG1326">
        <v>76</v>
      </c>
      <c r="AI1326">
        <v>0.30299999999999999</v>
      </c>
      <c r="AJ1326" t="s">
        <v>685</v>
      </c>
      <c r="AK1326" t="s">
        <v>4765</v>
      </c>
      <c r="AL1326" t="s">
        <v>720</v>
      </c>
      <c r="AM1326">
        <v>200000</v>
      </c>
      <c r="AN1326" t="s">
        <v>76</v>
      </c>
      <c r="AO1326">
        <v>1</v>
      </c>
      <c r="AP1326">
        <v>0</v>
      </c>
      <c r="AQ1326">
        <v>16666.666666666668</v>
      </c>
      <c r="AR1326" t="s">
        <v>5314</v>
      </c>
      <c r="AS1326" t="s">
        <v>78</v>
      </c>
      <c r="AX1326" t="s">
        <v>79</v>
      </c>
      <c r="AY1326" t="s">
        <v>74</v>
      </c>
      <c r="AZ1326">
        <v>0</v>
      </c>
      <c r="BA1326" t="s">
        <v>74</v>
      </c>
      <c r="BB1326">
        <v>0</v>
      </c>
      <c r="BD1326">
        <v>6.9205500000000004</v>
      </c>
      <c r="BE1326">
        <v>0</v>
      </c>
    </row>
    <row r="1327" spans="1:58" ht="12.75">
      <c r="A1327" s="2" t="str">
        <f>HYPERLINK("https://ibp.a2mac1.com/costing(costing:projects/details/8191/part/5388456)","Hood Latch Support")</f>
        <v>Hood Latch Support</v>
      </c>
      <c r="B1327">
        <v>5388456</v>
      </c>
      <c r="C1327">
        <v>5388199</v>
      </c>
      <c r="E1327">
        <v>0.023372036666666665</v>
      </c>
      <c r="F1327">
        <v>0</v>
      </c>
      <c r="G1327">
        <v>0</v>
      </c>
      <c r="H1327">
        <v>0.00012785135733333334</v>
      </c>
      <c r="I1327" t="s">
        <v>137</v>
      </c>
      <c r="J1327">
        <v>0.00088434733333333333</v>
      </c>
      <c r="K1327">
        <v>0.024384235357333334</v>
      </c>
      <c r="L1327">
        <v>0.00031796521424549631</v>
      </c>
      <c r="M1327">
        <v>0.0019077912854729778</v>
      </c>
      <c r="N1327">
        <v>0.026292026642806311</v>
      </c>
      <c r="O1327" t="s">
        <v>138</v>
      </c>
      <c r="P1327">
        <v>0.0014630541214400001</v>
      </c>
      <c r="Q1327" t="s">
        <v>138</v>
      </c>
      <c r="R1327">
        <v>0.00011446747712837866</v>
      </c>
      <c r="S1327" t="s">
        <v>139</v>
      </c>
      <c r="T1327">
        <v>0.0031550431971367572</v>
      </c>
      <c r="U1327" t="s">
        <v>90</v>
      </c>
      <c r="V1327">
        <v>0</v>
      </c>
      <c r="W1327" t="s">
        <v>90</v>
      </c>
      <c r="X1327">
        <v>0</v>
      </c>
      <c r="Y1327">
        <v>0.031024591438511447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60</v>
      </c>
      <c r="AF1327">
        <v>80</v>
      </c>
      <c r="AG1327">
        <v>6</v>
      </c>
      <c r="AI1327">
        <v>0.031</v>
      </c>
      <c r="AJ1327" t="s">
        <v>685</v>
      </c>
      <c r="AK1327" t="s">
        <v>4605</v>
      </c>
      <c r="AL1327" t="s">
        <v>720</v>
      </c>
      <c r="AM1327">
        <v>200000</v>
      </c>
      <c r="AN1327" t="s">
        <v>76</v>
      </c>
      <c r="AO1327">
        <v>1</v>
      </c>
      <c r="AP1327">
        <v>0</v>
      </c>
      <c r="AQ1327">
        <v>16666.666666666668</v>
      </c>
      <c r="AR1327" t="s">
        <v>5318</v>
      </c>
      <c r="AS1327" t="s">
        <v>78</v>
      </c>
      <c r="AX1327" t="s">
        <v>79</v>
      </c>
      <c r="AY1327" t="s">
        <v>137</v>
      </c>
      <c r="AZ1327">
        <v>0</v>
      </c>
      <c r="BA1327" t="s">
        <v>137</v>
      </c>
      <c r="BB1327">
        <v>0</v>
      </c>
      <c r="BE1327">
        <v>0</v>
      </c>
    </row>
    <row r="1328" spans="1:58" ht="12.75">
      <c r="A1328" s="2" t="str">
        <f>HYPERLINK("https://ibp.a2mac1.com/costing(costing:projects/details/8191/part/5388457)","Inner Latch Handle")</f>
        <v>Inner Latch Handle</v>
      </c>
      <c r="B1328">
        <v>5388457</v>
      </c>
      <c r="C1328">
        <v>5388199</v>
      </c>
      <c r="E1328">
        <v>0.12175893249552015</v>
      </c>
      <c r="F1328">
        <v>0</v>
      </c>
      <c r="G1328">
        <v>0</v>
      </c>
      <c r="H1328">
        <v>0.00025106954952712794</v>
      </c>
      <c r="I1328" t="s">
        <v>137</v>
      </c>
      <c r="J1328">
        <v>0.0042657447735191638</v>
      </c>
      <c r="K1328">
        <v>0.12627574681856646</v>
      </c>
      <c r="L1328">
        <v>0.015824845512002573</v>
      </c>
      <c r="M1328">
        <v>0.09494907307201543</v>
      </c>
      <c r="N1328">
        <v>0.22122481989058188</v>
      </c>
      <c r="O1328" t="s">
        <v>138</v>
      </c>
      <c r="P1328">
        <v>0.0075765448091139869</v>
      </c>
      <c r="Q1328" t="s">
        <v>138</v>
      </c>
      <c r="R1328">
        <v>0.0056969443843209256</v>
      </c>
      <c r="S1328" t="s">
        <v>139</v>
      </c>
      <c r="T1328">
        <v>0.026546978386869827</v>
      </c>
      <c r="U1328" t="s">
        <v>90</v>
      </c>
      <c r="V1328">
        <v>0</v>
      </c>
      <c r="W1328" t="s">
        <v>90</v>
      </c>
      <c r="X1328">
        <v>0</v>
      </c>
      <c r="Y1328">
        <v>0.26104528747088662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34</v>
      </c>
      <c r="AF1328">
        <v>83</v>
      </c>
      <c r="AG1328">
        <v>122</v>
      </c>
      <c r="AI1328">
        <v>0.060999999999999999</v>
      </c>
      <c r="AJ1328" t="s">
        <v>685</v>
      </c>
      <c r="AK1328" t="s">
        <v>4605</v>
      </c>
      <c r="AL1328" t="s">
        <v>1261</v>
      </c>
      <c r="AM1328">
        <v>200000</v>
      </c>
      <c r="AN1328" t="s">
        <v>76</v>
      </c>
      <c r="AO1328">
        <v>1</v>
      </c>
      <c r="AP1328">
        <v>0</v>
      </c>
      <c r="AQ1328">
        <v>16666.666666666668</v>
      </c>
      <c r="AR1328" t="s">
        <v>5323</v>
      </c>
      <c r="AS1328" t="s">
        <v>78</v>
      </c>
      <c r="AX1328" t="s">
        <v>79</v>
      </c>
      <c r="AY1328" t="s">
        <v>137</v>
      </c>
      <c r="AZ1328">
        <v>0</v>
      </c>
      <c r="BA1328" t="s">
        <v>137</v>
      </c>
      <c r="BB1328">
        <v>0</v>
      </c>
      <c r="BE1328">
        <v>0</v>
      </c>
    </row>
    <row r="1329" spans="1:58" ht="12.75">
      <c r="A1329" s="2" t="str">
        <f>HYPERLINK("https://ibp.a2mac1.com/costing(costing:projects/details/8191/part/5388458)","Inner handle support")</f>
        <v>Inner handle support</v>
      </c>
      <c r="B1329">
        <v>5388458</v>
      </c>
      <c r="C1329">
        <v>5388199</v>
      </c>
      <c r="E1329">
        <v>0.058956516150184823</v>
      </c>
      <c r="F1329">
        <v>0</v>
      </c>
      <c r="G1329">
        <v>0</v>
      </c>
      <c r="H1329">
        <v>0.00012156961011513761</v>
      </c>
      <c r="I1329" t="s">
        <v>137</v>
      </c>
      <c r="J1329">
        <v>0.0020655030844804936</v>
      </c>
      <c r="K1329">
        <v>0.061143588844780453</v>
      </c>
      <c r="L1329">
        <v>0.014635414990082344</v>
      </c>
      <c r="M1329">
        <v>0.087812489940494065</v>
      </c>
      <c r="N1329">
        <v>0.1489560787852745</v>
      </c>
      <c r="O1329" t="s">
        <v>138</v>
      </c>
      <c r="P1329">
        <v>0.0036686153306868274</v>
      </c>
      <c r="Q1329" t="s">
        <v>138</v>
      </c>
      <c r="R1329">
        <v>0.005268749396429644</v>
      </c>
      <c r="S1329" t="s">
        <v>139</v>
      </c>
      <c r="T1329">
        <v>0.017874729454232942</v>
      </c>
      <c r="U1329" t="s">
        <v>90</v>
      </c>
      <c r="V1329">
        <v>0</v>
      </c>
      <c r="W1329" t="s">
        <v>90</v>
      </c>
      <c r="X1329">
        <v>0</v>
      </c>
      <c r="Y1329">
        <v>0.17576817296662392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33</v>
      </c>
      <c r="AF1329">
        <v>80</v>
      </c>
      <c r="AG1329">
        <v>93</v>
      </c>
      <c r="AI1329">
        <v>0.027</v>
      </c>
      <c r="AJ1329" t="s">
        <v>685</v>
      </c>
      <c r="AK1329" t="s">
        <v>4605</v>
      </c>
      <c r="AL1329" t="s">
        <v>1261</v>
      </c>
      <c r="AM1329">
        <v>200000</v>
      </c>
      <c r="AN1329" t="s">
        <v>76</v>
      </c>
      <c r="AO1329">
        <v>1</v>
      </c>
      <c r="AP1329">
        <v>0</v>
      </c>
      <c r="AQ1329">
        <v>16666.666666666668</v>
      </c>
      <c r="AR1329" t="s">
        <v>5328</v>
      </c>
      <c r="AS1329" t="s">
        <v>78</v>
      </c>
      <c r="AX1329" t="s">
        <v>79</v>
      </c>
      <c r="AY1329" t="s">
        <v>137</v>
      </c>
      <c r="AZ1329">
        <v>0</v>
      </c>
      <c r="BA1329" t="s">
        <v>137</v>
      </c>
      <c r="BB1329">
        <v>0</v>
      </c>
      <c r="BE1329">
        <v>0</v>
      </c>
    </row>
    <row r="1330" spans="1:58" ht="12.75">
      <c r="A1330" s="2" t="str">
        <f>HYPERLINK("https://ibp.a2mac1.com/costing(costing:projects/details/8191/part/5388459)","Cable")</f>
        <v>Cable</v>
      </c>
      <c r="B1330">
        <v>5388459</v>
      </c>
      <c r="C1330">
        <v>5388199</v>
      </c>
      <c r="E1330">
        <v>0.19285036144500001</v>
      </c>
      <c r="F1330">
        <v>0</v>
      </c>
      <c r="G1330">
        <v>0</v>
      </c>
      <c r="H1330">
        <v>0.00097826850016210533</v>
      </c>
      <c r="I1330" t="s">
        <v>137</v>
      </c>
      <c r="J1330">
        <v>0.0067666793489473687</v>
      </c>
      <c r="K1330">
        <v>0.20059530929410949</v>
      </c>
      <c r="L1330">
        <v>0.0035591010828716413</v>
      </c>
      <c r="M1330">
        <v>0.021354606497229849</v>
      </c>
      <c r="N1330">
        <v>0.22194991579133933</v>
      </c>
      <c r="O1330" t="s">
        <v>138</v>
      </c>
      <c r="P1330">
        <v>0.012035718557646569</v>
      </c>
      <c r="Q1330" t="s">
        <v>138</v>
      </c>
      <c r="R1330">
        <v>0.0012812763898337909</v>
      </c>
      <c r="S1330" t="s">
        <v>139</v>
      </c>
      <c r="T1330">
        <v>0.02663398989496072</v>
      </c>
      <c r="U1330" t="s">
        <v>90</v>
      </c>
      <c r="V1330">
        <v>0</v>
      </c>
      <c r="W1330" t="s">
        <v>90</v>
      </c>
      <c r="X1330">
        <v>0</v>
      </c>
      <c r="Y1330">
        <v>0.26190090063378041</v>
      </c>
      <c r="Z1330">
        <v>0</v>
      </c>
      <c r="AA1330">
        <v>0</v>
      </c>
      <c r="AB1330">
        <v>0</v>
      </c>
      <c r="AC1330">
        <v>0</v>
      </c>
      <c r="AD1330">
        <v>0</v>
      </c>
      <c r="AI1330">
        <v>0.115</v>
      </c>
      <c r="AJ1330" t="s">
        <v>685</v>
      </c>
      <c r="AK1330" t="s">
        <v>4605</v>
      </c>
      <c r="AL1330" t="s">
        <v>5333</v>
      </c>
      <c r="AM1330">
        <v>200000</v>
      </c>
      <c r="AN1330" t="s">
        <v>76</v>
      </c>
      <c r="AO1330">
        <v>1</v>
      </c>
      <c r="AP1330">
        <v>0</v>
      </c>
      <c r="AQ1330">
        <v>16666.666666666668</v>
      </c>
      <c r="AR1330" t="s">
        <v>5334</v>
      </c>
      <c r="AS1330" t="s">
        <v>78</v>
      </c>
      <c r="AX1330" t="s">
        <v>79</v>
      </c>
      <c r="AY1330" t="s">
        <v>137</v>
      </c>
      <c r="AZ1330">
        <v>0</v>
      </c>
      <c r="BA1330" t="s">
        <v>137</v>
      </c>
      <c r="BB1330">
        <v>0</v>
      </c>
      <c r="BE1330">
        <v>0</v>
      </c>
    </row>
    <row r="1331" spans="1:58" ht="12.75">
      <c r="A1331" s="2" t="str">
        <f>HYPERLINK("https://ibp.a2mac1.com/costing(costing:projects/details/8191/part/5388460)","Cable On Front End Module")</f>
        <v>Cable On Front End Module</v>
      </c>
      <c r="B1331">
        <v>5388460</v>
      </c>
      <c r="C1331">
        <v>5388199</v>
      </c>
      <c r="E1331">
        <v>0.10259773335</v>
      </c>
      <c r="F1331">
        <v>0</v>
      </c>
      <c r="G1331">
        <v>0</v>
      </c>
      <c r="H1331">
        <v>0.0005204456448631579</v>
      </c>
      <c r="I1331" t="s">
        <v>137</v>
      </c>
      <c r="J1331">
        <v>0.0035999204684210528</v>
      </c>
      <c r="K1331">
        <v>0.10671809946328421</v>
      </c>
      <c r="L1331">
        <v>0.0021971251139914997</v>
      </c>
      <c r="M1331">
        <v>0.013182750683948996</v>
      </c>
      <c r="N1331">
        <v>0.1199008501472332</v>
      </c>
      <c r="O1331" t="s">
        <v>138</v>
      </c>
      <c r="P1331">
        <v>0.0064030859677970528</v>
      </c>
      <c r="Q1331" t="s">
        <v>138</v>
      </c>
      <c r="R1331">
        <v>0.00079096504103693982</v>
      </c>
      <c r="S1331" t="s">
        <v>139</v>
      </c>
      <c r="T1331">
        <v>0.014388102017667985</v>
      </c>
      <c r="U1331" t="s">
        <v>90</v>
      </c>
      <c r="V1331">
        <v>0</v>
      </c>
      <c r="W1331" t="s">
        <v>90</v>
      </c>
      <c r="X1331">
        <v>0</v>
      </c>
      <c r="Y1331">
        <v>0.14148300317373519</v>
      </c>
      <c r="Z1331">
        <v>0</v>
      </c>
      <c r="AA1331">
        <v>0</v>
      </c>
      <c r="AB1331">
        <v>0</v>
      </c>
      <c r="AC1331">
        <v>0</v>
      </c>
      <c r="AD1331">
        <v>0</v>
      </c>
      <c r="AI1331">
        <v>0.070999999999999994</v>
      </c>
      <c r="AJ1331" t="s">
        <v>685</v>
      </c>
      <c r="AK1331" t="s">
        <v>4605</v>
      </c>
      <c r="AL1331" t="s">
        <v>5339</v>
      </c>
      <c r="AM1331">
        <v>200000</v>
      </c>
      <c r="AN1331" t="s">
        <v>76</v>
      </c>
      <c r="AO1331">
        <v>1</v>
      </c>
      <c r="AP1331">
        <v>0</v>
      </c>
      <c r="AQ1331">
        <v>16666.666666666668</v>
      </c>
      <c r="AR1331" t="s">
        <v>5340</v>
      </c>
      <c r="AS1331" t="s">
        <v>78</v>
      </c>
      <c r="AX1331" t="s">
        <v>79</v>
      </c>
      <c r="AY1331" t="s">
        <v>137</v>
      </c>
      <c r="AZ1331">
        <v>0</v>
      </c>
      <c r="BA1331" t="s">
        <v>137</v>
      </c>
      <c r="BB1331">
        <v>0</v>
      </c>
      <c r="BE1331">
        <v>0</v>
      </c>
    </row>
    <row r="1332" spans="1:58" ht="12.75">
      <c r="A1332" s="2" t="str">
        <f>HYPERLINK("https://ibp.a2mac1.com/costing(costing:projects/details/8191/part/5388461)","Safety Hook Control")</f>
        <v>Safety Hook Control</v>
      </c>
      <c r="B1332">
        <v>5388461</v>
      </c>
      <c r="C1332">
        <v>5388199</v>
      </c>
      <c r="E1332">
        <v>0.13701139814617011</v>
      </c>
      <c r="F1332">
        <v>0</v>
      </c>
      <c r="G1332">
        <v>0</v>
      </c>
      <c r="H1332">
        <v>0.00028252046324327412</v>
      </c>
      <c r="I1332" t="s">
        <v>137</v>
      </c>
      <c r="J1332">
        <v>0.004800104958016793</v>
      </c>
      <c r="K1332">
        <v>0.14209402356743017</v>
      </c>
      <c r="L1332">
        <v>0.012996744210885288</v>
      </c>
      <c r="M1332">
        <v>0.07798046526531173</v>
      </c>
      <c r="N1332">
        <v>0.22007448883274189</v>
      </c>
      <c r="O1332" t="s">
        <v>138</v>
      </c>
      <c r="P1332">
        <v>0.0085256414140458103</v>
      </c>
      <c r="Q1332" t="s">
        <v>138</v>
      </c>
      <c r="R1332">
        <v>0.0046788279159187037</v>
      </c>
      <c r="S1332" t="s">
        <v>139</v>
      </c>
      <c r="T1332">
        <v>0.026408938659929028</v>
      </c>
      <c r="U1332" t="s">
        <v>90</v>
      </c>
      <c r="V1332">
        <v>0</v>
      </c>
      <c r="W1332" t="s">
        <v>90</v>
      </c>
      <c r="X1332">
        <v>0</v>
      </c>
      <c r="Y1332">
        <v>0.25968789682263543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98</v>
      </c>
      <c r="AF1332">
        <v>31</v>
      </c>
      <c r="AG1332">
        <v>163</v>
      </c>
      <c r="AI1332">
        <v>0.079000000000000001</v>
      </c>
      <c r="AK1332" t="s">
        <v>4605</v>
      </c>
      <c r="AL1332" t="s">
        <v>5345</v>
      </c>
      <c r="AM1332">
        <v>200000</v>
      </c>
      <c r="AN1332" t="s">
        <v>76</v>
      </c>
      <c r="AO1332">
        <v>1</v>
      </c>
      <c r="AP1332">
        <v>0</v>
      </c>
      <c r="AQ1332">
        <v>16666.666666666668</v>
      </c>
      <c r="AR1332" t="s">
        <v>5346</v>
      </c>
      <c r="AS1332" t="s">
        <v>78</v>
      </c>
      <c r="AX1332" t="s">
        <v>79</v>
      </c>
      <c r="AY1332" t="s">
        <v>137</v>
      </c>
      <c r="AZ1332">
        <v>0</v>
      </c>
      <c r="BA1332" t="s">
        <v>137</v>
      </c>
      <c r="BB1332">
        <v>0</v>
      </c>
      <c r="BE1332">
        <v>0</v>
      </c>
    </row>
    <row r="1333" spans="1:58" ht="12.75">
      <c r="A1333" s="2" t="str">
        <f>HYPERLINK("https://ibp.a2mac1.com/costing(costing:projects/details/8191/part/5388462)","Safety Hook Control Support")</f>
        <v>Safety Hook Control Support</v>
      </c>
      <c r="B1333">
        <v>5388462</v>
      </c>
      <c r="C1333">
        <v>5388199</v>
      </c>
      <c r="E1333">
        <v>0.051267693333333336</v>
      </c>
      <c r="F1333">
        <v>0</v>
      </c>
      <c r="G1333">
        <v>0</v>
      </c>
      <c r="H1333">
        <v>0.00028044813866666667</v>
      </c>
      <c r="I1333" t="s">
        <v>137</v>
      </c>
      <c r="J1333">
        <v>0.0019398586666666666</v>
      </c>
      <c r="K1333">
        <v>0.053488000138666669</v>
      </c>
      <c r="L1333">
        <v>0.00031796521455442557</v>
      </c>
      <c r="M1333">
        <v>0.0019077912873265534</v>
      </c>
      <c r="N1333">
        <v>0.05539579142599322</v>
      </c>
      <c r="O1333" t="s">
        <v>138</v>
      </c>
      <c r="P1333">
        <v>0.0032092800083200002</v>
      </c>
      <c r="Q1333" t="s">
        <v>138</v>
      </c>
      <c r="R1333">
        <v>0.00011446747723959321</v>
      </c>
      <c r="S1333" t="s">
        <v>139</v>
      </c>
      <c r="T1333">
        <v>0.0066474949711191863</v>
      </c>
      <c r="U1333" t="s">
        <v>90</v>
      </c>
      <c r="V1333">
        <v>0</v>
      </c>
      <c r="W1333" t="s">
        <v>90</v>
      </c>
      <c r="X1333">
        <v>0</v>
      </c>
      <c r="Y1333">
        <v>0.065367033882671996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60</v>
      </c>
      <c r="AF1333">
        <v>80</v>
      </c>
      <c r="AG1333">
        <v>15</v>
      </c>
      <c r="AI1333">
        <v>0.068000000000000005</v>
      </c>
      <c r="AK1333" t="s">
        <v>4605</v>
      </c>
      <c r="AL1333" t="s">
        <v>720</v>
      </c>
      <c r="AM1333">
        <v>200000</v>
      </c>
      <c r="AN1333" t="s">
        <v>76</v>
      </c>
      <c r="AO1333">
        <v>1</v>
      </c>
      <c r="AP1333">
        <v>0</v>
      </c>
      <c r="AQ1333">
        <v>16666.666666666668</v>
      </c>
      <c r="AR1333" t="s">
        <v>5350</v>
      </c>
      <c r="AS1333" t="s">
        <v>78</v>
      </c>
      <c r="AX1333" t="s">
        <v>79</v>
      </c>
      <c r="AY1333" t="s">
        <v>137</v>
      </c>
      <c r="AZ1333">
        <v>0</v>
      </c>
      <c r="BA1333" t="s">
        <v>137</v>
      </c>
      <c r="BB1333">
        <v>0</v>
      </c>
      <c r="BE1333">
        <v>0</v>
      </c>
    </row>
    <row r="1334" spans="1:58" ht="12.75">
      <c r="A1334" s="2" t="str">
        <f>HYPERLINK("https://ibp.a2mac1.com/costing(costing:projects/details/8191/part/5388464)","Reverse Duct Hole Cover")</f>
        <v>Reverse Duct Hole Cover</v>
      </c>
      <c r="B1334">
        <v>5388464</v>
      </c>
      <c r="C1334">
        <v>5388199</v>
      </c>
      <c r="E1334">
        <v>0.014631802500000001</v>
      </c>
      <c r="F1334">
        <v>0</v>
      </c>
      <c r="G1334">
        <v>0</v>
      </c>
      <c r="H1334">
        <v>7.4222476842105266E-05</v>
      </c>
      <c r="I1334" t="s">
        <v>137</v>
      </c>
      <c r="J1334">
        <v>0.0005133965789473684</v>
      </c>
      <c r="K1334">
        <v>0.015219421555789474</v>
      </c>
      <c r="L1334">
        <v>5.887671364373327E-05</v>
      </c>
      <c r="M1334">
        <v>0.00035326028186239962</v>
      </c>
      <c r="N1334">
        <v>0.015572681837651873</v>
      </c>
      <c r="O1334" t="s">
        <v>138</v>
      </c>
      <c r="P1334">
        <v>0.00091316529334736839</v>
      </c>
      <c r="Q1334" t="s">
        <v>138</v>
      </c>
      <c r="R1334">
        <v>2.1195616911743979E-05</v>
      </c>
      <c r="S1334" t="s">
        <v>139</v>
      </c>
      <c r="T1334">
        <v>0.0018687218205182248</v>
      </c>
      <c r="U1334" t="s">
        <v>90</v>
      </c>
      <c r="V1334">
        <v>0</v>
      </c>
      <c r="W1334" t="s">
        <v>90</v>
      </c>
      <c r="X1334">
        <v>0</v>
      </c>
      <c r="Y1334">
        <v>0.018375764568429209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27</v>
      </c>
      <c r="AF1334">
        <v>27</v>
      </c>
      <c r="AG1334">
        <v>43</v>
      </c>
      <c r="AI1334">
        <v>0.005</v>
      </c>
      <c r="AK1334" t="s">
        <v>4605</v>
      </c>
      <c r="AL1334" t="s">
        <v>3856</v>
      </c>
      <c r="AM1334">
        <v>200000</v>
      </c>
      <c r="AN1334" t="s">
        <v>76</v>
      </c>
      <c r="AO1334">
        <v>1</v>
      </c>
      <c r="AP1334">
        <v>0</v>
      </c>
      <c r="AQ1334">
        <v>16666.666666666668</v>
      </c>
      <c r="AR1334" t="s">
        <v>5353</v>
      </c>
      <c r="AS1334" t="s">
        <v>78</v>
      </c>
      <c r="AX1334" t="s">
        <v>79</v>
      </c>
      <c r="AY1334" t="s">
        <v>137</v>
      </c>
      <c r="AZ1334">
        <v>0</v>
      </c>
      <c r="BA1334" t="s">
        <v>137</v>
      </c>
      <c r="BB1334">
        <v>0</v>
      </c>
      <c r="BE1334">
        <v>0</v>
      </c>
    </row>
    <row r="1335" spans="1:58" ht="12.75">
      <c r="A1335" s="2" t="str">
        <f>HYPERLINK("https://ibp.a2mac1.com/costing(costing:projects/details/8191/part/5388466)","Seal Hood Scuttle Grill")</f>
        <v>Seal Hood Scuttle Grill</v>
      </c>
      <c r="B1335">
        <v>5388466</v>
      </c>
      <c r="C1335">
        <v>5388200</v>
      </c>
      <c r="E1335">
        <v>2.063000199631579</v>
      </c>
      <c r="F1335">
        <v>0</v>
      </c>
      <c r="G1335">
        <v>0</v>
      </c>
      <c r="H1335">
        <v>0.0021526774058947366</v>
      </c>
      <c r="I1335" t="s">
        <v>137</v>
      </c>
      <c r="J1335">
        <v>0.072445874236842109</v>
      </c>
      <c r="K1335">
        <v>2.1375987512743158</v>
      </c>
      <c r="L1335">
        <v>0.03696388264930988</v>
      </c>
      <c r="M1335">
        <v>0.22178329589585927</v>
      </c>
      <c r="N1335">
        <v>2.359382047170175</v>
      </c>
      <c r="O1335" t="s">
        <v>138</v>
      </c>
      <c r="P1335">
        <v>0.12825592507645894</v>
      </c>
      <c r="Q1335" t="s">
        <v>138</v>
      </c>
      <c r="R1335">
        <v>0.013306997753751557</v>
      </c>
      <c r="S1335" t="s">
        <v>139</v>
      </c>
      <c r="T1335">
        <v>0.28312584566042098</v>
      </c>
      <c r="U1335" t="s">
        <v>90</v>
      </c>
      <c r="V1335">
        <v>0</v>
      </c>
      <c r="W1335" t="s">
        <v>90</v>
      </c>
      <c r="X1335">
        <v>0</v>
      </c>
      <c r="Y1335">
        <v>2.7840708156608067</v>
      </c>
      <c r="Z1335">
        <v>0</v>
      </c>
      <c r="AA1335">
        <v>0</v>
      </c>
      <c r="AB1335">
        <v>0</v>
      </c>
      <c r="AC1335">
        <v>0</v>
      </c>
      <c r="AD1335">
        <v>0</v>
      </c>
      <c r="AI1335">
        <v>0.84899999999999998</v>
      </c>
      <c r="AJ1335" t="s">
        <v>685</v>
      </c>
      <c r="AK1335" t="s">
        <v>4605</v>
      </c>
      <c r="AL1335" t="s">
        <v>4824</v>
      </c>
      <c r="AM1335">
        <v>200000</v>
      </c>
      <c r="AN1335" t="s">
        <v>76</v>
      </c>
      <c r="AO1335">
        <v>1</v>
      </c>
      <c r="AP1335">
        <v>0</v>
      </c>
      <c r="AQ1335">
        <v>16666.666666666668</v>
      </c>
      <c r="AR1335" t="s">
        <v>5363</v>
      </c>
      <c r="AS1335" t="s">
        <v>78</v>
      </c>
      <c r="AX1335" t="s">
        <v>79</v>
      </c>
      <c r="AY1335" t="s">
        <v>137</v>
      </c>
      <c r="AZ1335">
        <v>0</v>
      </c>
      <c r="BA1335" t="s">
        <v>137</v>
      </c>
      <c r="BB1335">
        <v>0</v>
      </c>
      <c r="BE1335">
        <v>0</v>
      </c>
    </row>
    <row r="1336" spans="1:58" ht="12.75">
      <c r="A1336" s="2" t="str">
        <f>HYPERLINK("https://ibp.a2mac1.com/costing(costing:projects/details/8191/part/5388467)","Fixed Stoppers on Body")</f>
        <v>Fixed Stoppers on Body</v>
      </c>
      <c r="B1336">
        <v>5388467</v>
      </c>
      <c r="C1336">
        <v>5388201</v>
      </c>
      <c r="E1336">
        <v>0.033982367999999999</v>
      </c>
      <c r="F1336">
        <v>0</v>
      </c>
      <c r="G1336">
        <v>0</v>
      </c>
      <c r="H1336">
        <v>0.00017135971031578947</v>
      </c>
      <c r="I1336" t="s">
        <v>137</v>
      </c>
      <c r="J1336">
        <v>0.0011923637894736842</v>
      </c>
      <c r="K1336">
        <v>0.035346091499789477</v>
      </c>
      <c r="L1336">
        <v>0.0014817050504721424</v>
      </c>
      <c r="M1336">
        <v>0.008890230302832855</v>
      </c>
      <c r="N1336">
        <v>0.044236321802622325</v>
      </c>
      <c r="O1336" t="s">
        <v>138</v>
      </c>
      <c r="P1336">
        <v>0.0021207654899873685</v>
      </c>
      <c r="Q1336" t="s">
        <v>138</v>
      </c>
      <c r="R1336">
        <v>0.00053341381816997128</v>
      </c>
      <c r="S1336" t="s">
        <v>139</v>
      </c>
      <c r="T1336">
        <v>0.005308358616314679</v>
      </c>
      <c r="U1336" t="s">
        <v>90</v>
      </c>
      <c r="V1336">
        <v>0</v>
      </c>
      <c r="W1336" t="s">
        <v>90</v>
      </c>
      <c r="X1336">
        <v>0</v>
      </c>
      <c r="Y1336">
        <v>0.05219885972709435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55</v>
      </c>
      <c r="AF1336">
        <v>43</v>
      </c>
      <c r="AG1336">
        <v>32</v>
      </c>
      <c r="AI1336">
        <v>0.016</v>
      </c>
      <c r="AJ1336" t="s">
        <v>685</v>
      </c>
      <c r="AK1336" t="s">
        <v>4605</v>
      </c>
      <c r="AL1336" t="s">
        <v>1182</v>
      </c>
      <c r="AM1336">
        <v>400000</v>
      </c>
      <c r="AN1336" t="s">
        <v>76</v>
      </c>
      <c r="AO1336">
        <v>2</v>
      </c>
      <c r="AP1336">
        <v>0</v>
      </c>
      <c r="AQ1336">
        <v>33333.333333333336</v>
      </c>
      <c r="AR1336" t="s">
        <v>5369</v>
      </c>
      <c r="AS1336" t="s">
        <v>78</v>
      </c>
      <c r="AX1336" t="s">
        <v>79</v>
      </c>
      <c r="AY1336" t="s">
        <v>137</v>
      </c>
      <c r="AZ1336">
        <v>0</v>
      </c>
      <c r="BA1336" t="s">
        <v>137</v>
      </c>
      <c r="BB1336">
        <v>0</v>
      </c>
      <c r="BE1336">
        <v>0</v>
      </c>
    </row>
    <row r="1337" spans="1:58" ht="12.75">
      <c r="A1337" s="2" t="str">
        <f>HYPERLINK("https://ibp.a2mac1.com/costing(costing:projects/details/8191/part/5388468)","2nd Fixed Stopper on Body")</f>
        <v>2nd Fixed Stopper on Body</v>
      </c>
      <c r="B1337">
        <v>5388468</v>
      </c>
      <c r="C1337">
        <v>5388201</v>
      </c>
      <c r="E1337">
        <v>0.022300929000000001</v>
      </c>
      <c r="F1337">
        <v>0</v>
      </c>
      <c r="G1337">
        <v>0</v>
      </c>
      <c r="H1337">
        <v>0.00011312551452631578</v>
      </c>
      <c r="I1337" t="s">
        <v>137</v>
      </c>
      <c r="J1337">
        <v>0.00078248873684210526</v>
      </c>
      <c r="K1337">
        <v>0.023196543251368423</v>
      </c>
      <c r="L1337">
        <v>0.00097481586791442736</v>
      </c>
      <c r="M1337">
        <v>0.0058488952074865642</v>
      </c>
      <c r="N1337">
        <v>0.029045438458854985</v>
      </c>
      <c r="O1337" t="s">
        <v>138</v>
      </c>
      <c r="P1337">
        <v>0.0013917925950821053</v>
      </c>
      <c r="Q1337" t="s">
        <v>138</v>
      </c>
      <c r="R1337">
        <v>0.00035093371244919382</v>
      </c>
      <c r="S1337" t="s">
        <v>139</v>
      </c>
      <c r="T1337">
        <v>0.0034854526150625981</v>
      </c>
      <c r="U1337" t="s">
        <v>90</v>
      </c>
      <c r="V1337">
        <v>0</v>
      </c>
      <c r="W1337" t="s">
        <v>90</v>
      </c>
      <c r="X1337">
        <v>0</v>
      </c>
      <c r="Y1337">
        <v>0.034273617381448886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55</v>
      </c>
      <c r="AF1337">
        <v>43</v>
      </c>
      <c r="AG1337">
        <v>41</v>
      </c>
      <c r="AI1337">
        <v>0.021000000000000001</v>
      </c>
      <c r="AJ1337" t="s">
        <v>685</v>
      </c>
      <c r="AK1337" t="s">
        <v>4605</v>
      </c>
      <c r="AL1337" t="s">
        <v>1182</v>
      </c>
      <c r="AM1337">
        <v>200000</v>
      </c>
      <c r="AN1337" t="s">
        <v>76</v>
      </c>
      <c r="AO1337">
        <v>1</v>
      </c>
      <c r="AP1337">
        <v>0</v>
      </c>
      <c r="AQ1337">
        <v>16666.666666666668</v>
      </c>
      <c r="AR1337" t="s">
        <v>5372</v>
      </c>
      <c r="AS1337" t="s">
        <v>78</v>
      </c>
      <c r="AX1337" t="s">
        <v>79</v>
      </c>
      <c r="AY1337" t="s">
        <v>137</v>
      </c>
      <c r="AZ1337">
        <v>0</v>
      </c>
      <c r="BA1337" t="s">
        <v>137</v>
      </c>
      <c r="BB1337">
        <v>0</v>
      </c>
      <c r="BE1337">
        <v>0</v>
      </c>
    </row>
    <row r="1338" spans="1:58" ht="12.75">
      <c r="A1338" s="2" t="str">
        <f>HYPERLINK("https://ibp.a2mac1.com/costing(costing:projects/details/8191/part/5388469)","3rd Fixed Stopper on Body")</f>
        <v>3rd Fixed Stopper on Body</v>
      </c>
      <c r="B1338">
        <v>5388469</v>
      </c>
      <c r="C1338">
        <v>5388201</v>
      </c>
      <c r="E1338">
        <v>0.021238980000000001</v>
      </c>
      <c r="F1338">
        <v>0</v>
      </c>
      <c r="G1338">
        <v>0</v>
      </c>
      <c r="H1338">
        <v>0.0001077385852631579</v>
      </c>
      <c r="I1338" t="s">
        <v>137</v>
      </c>
      <c r="J1338">
        <v>0.00074522736842105267</v>
      </c>
      <c r="K1338">
        <v>0.02209194595368421</v>
      </c>
      <c r="L1338">
        <v>0.00092839371990018039</v>
      </c>
      <c r="M1338">
        <v>0.0055703623194010825</v>
      </c>
      <c r="N1338">
        <v>0.027662308273085294</v>
      </c>
      <c r="O1338" t="s">
        <v>138</v>
      </c>
      <c r="P1338">
        <v>0.0013255167572210527</v>
      </c>
      <c r="Q1338" t="s">
        <v>138</v>
      </c>
      <c r="R1338">
        <v>0.00033422173916406491</v>
      </c>
      <c r="S1338" t="s">
        <v>139</v>
      </c>
      <c r="T1338">
        <v>0.003319476992770235</v>
      </c>
      <c r="U1338" t="s">
        <v>90</v>
      </c>
      <c r="V1338">
        <v>0</v>
      </c>
      <c r="W1338" t="s">
        <v>90</v>
      </c>
      <c r="X1338">
        <v>0</v>
      </c>
      <c r="Y1338">
        <v>0.032641523762240644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55</v>
      </c>
      <c r="AF1338">
        <v>43</v>
      </c>
      <c r="AG1338">
        <v>41</v>
      </c>
      <c r="AI1338">
        <v>0.02</v>
      </c>
      <c r="AJ1338" t="s">
        <v>685</v>
      </c>
      <c r="AK1338" t="s">
        <v>4605</v>
      </c>
      <c r="AL1338" t="s">
        <v>1182</v>
      </c>
      <c r="AM1338">
        <v>200000</v>
      </c>
      <c r="AN1338" t="s">
        <v>76</v>
      </c>
      <c r="AO1338">
        <v>1</v>
      </c>
      <c r="AP1338">
        <v>0</v>
      </c>
      <c r="AQ1338">
        <v>16666.666666666668</v>
      </c>
      <c r="AR1338" t="s">
        <v>5375</v>
      </c>
      <c r="AS1338" t="s">
        <v>78</v>
      </c>
      <c r="AX1338" t="s">
        <v>79</v>
      </c>
      <c r="AY1338" t="s">
        <v>137</v>
      </c>
      <c r="AZ1338">
        <v>0</v>
      </c>
      <c r="BA1338" t="s">
        <v>137</v>
      </c>
      <c r="BB1338">
        <v>0</v>
      </c>
      <c r="BE1338">
        <v>0</v>
      </c>
    </row>
    <row r="1339" spans="1:58" ht="12.75">
      <c r="A1339" s="2" t="str">
        <f>HYPERLINK("https://ibp.a2mac1.com/costing(costing:projects/details/8191/part/5388470)","Adjustable Stopper on Hood")</f>
        <v>Adjustable Stopper on Hood</v>
      </c>
      <c r="B1339">
        <v>5388470</v>
      </c>
      <c r="C1339">
        <v>5388201</v>
      </c>
      <c r="E1339">
        <v>0.16387618800000001</v>
      </c>
      <c r="F1339">
        <v>0</v>
      </c>
      <c r="G1339">
        <v>0</v>
      </c>
      <c r="H1339">
        <v>0.00082636313347368424</v>
      </c>
      <c r="I1339" t="s">
        <v>137</v>
      </c>
      <c r="J1339">
        <v>0.0057500416842105259</v>
      </c>
      <c r="K1339">
        <v>0.17045259281768421</v>
      </c>
      <c r="L1339">
        <v>0.0025897731936394435</v>
      </c>
      <c r="M1339">
        <v>0.015538639161836662</v>
      </c>
      <c r="N1339">
        <v>0.18599123197952086</v>
      </c>
      <c r="O1339" t="s">
        <v>138</v>
      </c>
      <c r="P1339">
        <v>0.010227155569061053</v>
      </c>
      <c r="Q1339" t="s">
        <v>138</v>
      </c>
      <c r="R1339">
        <v>0.00093231834971019972</v>
      </c>
      <c r="S1339" t="s">
        <v>139</v>
      </c>
      <c r="T1339">
        <v>0.022318947837542506</v>
      </c>
      <c r="U1339" t="s">
        <v>90</v>
      </c>
      <c r="V1339">
        <v>0</v>
      </c>
      <c r="W1339" t="s">
        <v>90</v>
      </c>
      <c r="X1339">
        <v>0</v>
      </c>
      <c r="Y1339">
        <v>0.21946965373583463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22</v>
      </c>
      <c r="AF1339">
        <v>22</v>
      </c>
      <c r="AG1339">
        <v>36</v>
      </c>
      <c r="AI1339">
        <v>0.014</v>
      </c>
      <c r="AJ1339" t="s">
        <v>685</v>
      </c>
      <c r="AK1339" t="s">
        <v>4605</v>
      </c>
      <c r="AL1339" t="s">
        <v>3856</v>
      </c>
      <c r="AM1339">
        <v>800000</v>
      </c>
      <c r="AN1339" t="s">
        <v>76</v>
      </c>
      <c r="AO1339">
        <v>4</v>
      </c>
      <c r="AP1339">
        <v>0</v>
      </c>
      <c r="AQ1339">
        <v>66666.666666666672</v>
      </c>
      <c r="AR1339" t="s">
        <v>5378</v>
      </c>
      <c r="AS1339" t="s">
        <v>78</v>
      </c>
      <c r="AX1339" t="s">
        <v>79</v>
      </c>
      <c r="AY1339" t="s">
        <v>137</v>
      </c>
      <c r="AZ1339">
        <v>0</v>
      </c>
      <c r="BA1339" t="s">
        <v>137</v>
      </c>
      <c r="BB1339">
        <v>0</v>
      </c>
      <c r="BE1339">
        <v>0</v>
      </c>
    </row>
    <row r="1340" spans="1:58" ht="12.75">
      <c r="A1340" s="2" t="str">
        <f>HYPERLINK("https://ibp.a2mac1.com/costing(costing:projects/details/8191/part/5388471)","Support on Body")</f>
        <v>Support on Body</v>
      </c>
      <c r="B1340">
        <v>5388471</v>
      </c>
      <c r="C1340">
        <v>5388201</v>
      </c>
      <c r="E1340">
        <v>0.084955920000000004</v>
      </c>
      <c r="F1340">
        <v>0</v>
      </c>
      <c r="G1340">
        <v>0</v>
      </c>
      <c r="H1340">
        <v>0.00043095434105263161</v>
      </c>
      <c r="I1340" t="s">
        <v>137</v>
      </c>
      <c r="J1340">
        <v>0.0029809094736842107</v>
      </c>
      <c r="K1340">
        <v>0.088367783814736839</v>
      </c>
      <c r="L1340">
        <v>0.0037141376268551153</v>
      </c>
      <c r="M1340">
        <v>0.022284825761130694</v>
      </c>
      <c r="N1340">
        <v>0.11065260957586753</v>
      </c>
      <c r="O1340" t="s">
        <v>138</v>
      </c>
      <c r="P1340">
        <v>0.0053020670288842107</v>
      </c>
      <c r="Q1340" t="s">
        <v>138</v>
      </c>
      <c r="R1340">
        <v>0.0013370895456678415</v>
      </c>
      <c r="S1340" t="s">
        <v>139</v>
      </c>
      <c r="T1340">
        <v>0.013278313149104104</v>
      </c>
      <c r="U1340" t="s">
        <v>90</v>
      </c>
      <c r="V1340">
        <v>0</v>
      </c>
      <c r="W1340" t="s">
        <v>90</v>
      </c>
      <c r="X1340">
        <v>0</v>
      </c>
      <c r="Y1340">
        <v>0.13057007929952369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158</v>
      </c>
      <c r="AF1340">
        <v>79</v>
      </c>
      <c r="AG1340">
        <v>108</v>
      </c>
      <c r="AI1340">
        <v>0.08</v>
      </c>
      <c r="AJ1340" t="s">
        <v>5382</v>
      </c>
      <c r="AK1340" t="s">
        <v>4605</v>
      </c>
      <c r="AL1340" t="s">
        <v>1182</v>
      </c>
      <c r="AM1340">
        <v>200000</v>
      </c>
      <c r="AN1340" t="s">
        <v>76</v>
      </c>
      <c r="AO1340">
        <v>1</v>
      </c>
      <c r="AP1340">
        <v>0</v>
      </c>
      <c r="AQ1340">
        <v>16666.666666666668</v>
      </c>
      <c r="AR1340" t="s">
        <v>5383</v>
      </c>
      <c r="AS1340" t="s">
        <v>78</v>
      </c>
      <c r="AX1340" t="s">
        <v>79</v>
      </c>
      <c r="AY1340" t="s">
        <v>137</v>
      </c>
      <c r="AZ1340">
        <v>0</v>
      </c>
      <c r="BA1340" t="s">
        <v>137</v>
      </c>
      <c r="BB1340">
        <v>0</v>
      </c>
      <c r="BE1340">
        <v>0</v>
      </c>
    </row>
    <row r="1341" spans="1:58" ht="12.75">
      <c r="A1341" s="2" t="str">
        <f>HYPERLINK("https://ibp.a2mac1.com/costing(costing:projects/details/8191/part/5388472)","2nd Support on Body")</f>
        <v>2nd Support on Body</v>
      </c>
      <c r="B1341">
        <v>5388472</v>
      </c>
      <c r="C1341">
        <v>5388201</v>
      </c>
      <c r="E1341">
        <v>0.084955920000000004</v>
      </c>
      <c r="F1341">
        <v>0</v>
      </c>
      <c r="G1341">
        <v>0</v>
      </c>
      <c r="H1341">
        <v>0.00043095434105263161</v>
      </c>
      <c r="I1341" t="s">
        <v>137</v>
      </c>
      <c r="J1341">
        <v>0.0029809094736842107</v>
      </c>
      <c r="K1341">
        <v>0.088367783814736839</v>
      </c>
      <c r="L1341">
        <v>0.0037141376268551153</v>
      </c>
      <c r="M1341">
        <v>0.022284825761130694</v>
      </c>
      <c r="N1341">
        <v>0.11065260957586753</v>
      </c>
      <c r="O1341" t="s">
        <v>138</v>
      </c>
      <c r="P1341">
        <v>0.0053020670288842107</v>
      </c>
      <c r="Q1341" t="s">
        <v>138</v>
      </c>
      <c r="R1341">
        <v>0.0013370895456678415</v>
      </c>
      <c r="S1341" t="s">
        <v>139</v>
      </c>
      <c r="T1341">
        <v>0.013278313149104104</v>
      </c>
      <c r="U1341" t="s">
        <v>90</v>
      </c>
      <c r="V1341">
        <v>0</v>
      </c>
      <c r="W1341" t="s">
        <v>90</v>
      </c>
      <c r="X1341">
        <v>0</v>
      </c>
      <c r="Y1341">
        <v>0.13057007929952369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158</v>
      </c>
      <c r="AF1341">
        <v>79</v>
      </c>
      <c r="AG1341">
        <v>108</v>
      </c>
      <c r="AI1341">
        <v>0.08</v>
      </c>
      <c r="AJ1341" t="s">
        <v>5382</v>
      </c>
      <c r="AK1341" t="s">
        <v>4605</v>
      </c>
      <c r="AL1341" t="s">
        <v>1182</v>
      </c>
      <c r="AM1341">
        <v>200000</v>
      </c>
      <c r="AN1341" t="s">
        <v>76</v>
      </c>
      <c r="AO1341">
        <v>1</v>
      </c>
      <c r="AP1341">
        <v>0</v>
      </c>
      <c r="AQ1341">
        <v>16666.666666666668</v>
      </c>
      <c r="AR1341" t="s">
        <v>5386</v>
      </c>
      <c r="AS1341" t="s">
        <v>78</v>
      </c>
      <c r="AX1341" t="s">
        <v>79</v>
      </c>
      <c r="AY1341" t="s">
        <v>137</v>
      </c>
      <c r="AZ1341">
        <v>0</v>
      </c>
      <c r="BA1341" t="s">
        <v>137</v>
      </c>
      <c r="BB1341">
        <v>0</v>
      </c>
      <c r="BE1341">
        <v>0</v>
      </c>
    </row>
    <row r="1342" spans="1:58" ht="12.75">
      <c r="A1342" s="2" t="str">
        <f>HYPERLINK("https://ibp.a2mac1.com/costing(costing:projects/details/8191/part/5388474)","On Body")</f>
        <v>On Body</v>
      </c>
      <c r="B1342">
        <v>5388474</v>
      </c>
      <c r="C1342">
        <v>5388202</v>
      </c>
      <c r="E1342">
        <v>0.0044590979999999999</v>
      </c>
      <c r="F1342">
        <v>0</v>
      </c>
      <c r="G1342">
        <v>0</v>
      </c>
      <c r="H1342">
        <v>2.2619584842105264E-05</v>
      </c>
      <c r="I1342" t="s">
        <v>137</v>
      </c>
      <c r="J1342">
        <v>0.00015645957894736841</v>
      </c>
      <c r="K1342">
        <v>0.0046381771637894736</v>
      </c>
      <c r="L1342">
        <v>1.2002453796394523E-05</v>
      </c>
      <c r="M1342">
        <v>7.2014722778367138E-05</v>
      </c>
      <c r="N1342">
        <v>0.0047101918865678407</v>
      </c>
      <c r="O1342" t="s">
        <v>138</v>
      </c>
      <c r="P1342">
        <v>0.00027829062982736842</v>
      </c>
      <c r="Q1342" t="s">
        <v>138</v>
      </c>
      <c r="R1342">
        <v>4.3208833667020281E-06</v>
      </c>
      <c r="S1342" t="s">
        <v>139</v>
      </c>
      <c r="T1342">
        <v>0.00056522302638814092</v>
      </c>
      <c r="U1342" t="s">
        <v>90</v>
      </c>
      <c r="V1342">
        <v>0</v>
      </c>
      <c r="W1342" t="s">
        <v>90</v>
      </c>
      <c r="X1342">
        <v>0</v>
      </c>
      <c r="Y1342">
        <v>0.0055580264261500525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21</v>
      </c>
      <c r="AF1342">
        <v>17</v>
      </c>
      <c r="AG1342">
        <v>29</v>
      </c>
      <c r="AI1342">
        <v>0.002</v>
      </c>
      <c r="AK1342" t="s">
        <v>4605</v>
      </c>
      <c r="AL1342" t="s">
        <v>1345</v>
      </c>
      <c r="AM1342">
        <v>200000</v>
      </c>
      <c r="AN1342" t="s">
        <v>76</v>
      </c>
      <c r="AO1342">
        <v>1</v>
      </c>
      <c r="AP1342">
        <v>0</v>
      </c>
      <c r="AQ1342">
        <v>16666.666666666668</v>
      </c>
      <c r="AR1342" t="s">
        <v>5392</v>
      </c>
      <c r="AS1342" t="s">
        <v>78</v>
      </c>
      <c r="AX1342" t="s">
        <v>79</v>
      </c>
      <c r="AY1342" t="s">
        <v>137</v>
      </c>
      <c r="AZ1342">
        <v>0</v>
      </c>
      <c r="BA1342" t="s">
        <v>137</v>
      </c>
      <c r="BB1342">
        <v>0</v>
      </c>
      <c r="BE1342">
        <v>0</v>
      </c>
    </row>
    <row r="1343" spans="1:58" ht="12.75">
      <c r="A1343" s="2" t="str">
        <f>HYPERLINK("https://ibp.a2mac1.com/costing(costing:projects/details/8191/part/5389198)","Part 01 single/main")</f>
        <v>Part 01 single/main</v>
      </c>
      <c r="B1343">
        <v>5389198</v>
      </c>
      <c r="C1343">
        <v>5388818</v>
      </c>
      <c r="E1343">
        <v>3.2268489333333332</v>
      </c>
      <c r="F1343">
        <v>0</v>
      </c>
      <c r="G1343">
        <v>0</v>
      </c>
      <c r="H1343">
        <v>0.0036280247466666665</v>
      </c>
      <c r="I1343" t="s">
        <v>137</v>
      </c>
      <c r="J1343">
        <v>0.12209698666666667</v>
      </c>
      <c r="K1343">
        <v>3.3525739447466667</v>
      </c>
      <c r="L1343">
        <v>0.2516917811789145</v>
      </c>
      <c r="M1343">
        <v>1.5101506870734869</v>
      </c>
      <c r="N1343">
        <v>4.8627246318201536</v>
      </c>
      <c r="O1343" t="s">
        <v>90</v>
      </c>
      <c r="P1343">
        <v>0</v>
      </c>
      <c r="Q1343" t="s">
        <v>90</v>
      </c>
      <c r="R1343">
        <v>0</v>
      </c>
      <c r="S1343" t="s">
        <v>90</v>
      </c>
      <c r="T1343">
        <v>0</v>
      </c>
      <c r="U1343" t="s">
        <v>90</v>
      </c>
      <c r="V1343">
        <v>0</v>
      </c>
      <c r="W1343" t="s">
        <v>90</v>
      </c>
      <c r="X1343">
        <v>0</v>
      </c>
      <c r="Y1343">
        <v>4.8627246318201536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K1343" t="s">
        <v>4599</v>
      </c>
      <c r="AM1343">
        <v>200000</v>
      </c>
      <c r="AN1343" t="s">
        <v>92</v>
      </c>
      <c r="AO1343">
        <v>1</v>
      </c>
      <c r="AP1343">
        <v>0</v>
      </c>
      <c r="AQ1343">
        <v>16666.666666666668</v>
      </c>
      <c r="AR1343" t="s">
        <v>9</v>
      </c>
      <c r="AS1343" t="s">
        <v>78</v>
      </c>
      <c r="AV1343">
        <v>0</v>
      </c>
      <c r="AW1343">
        <v>0</v>
      </c>
      <c r="AX1343" t="s">
        <v>79</v>
      </c>
      <c r="AY1343" t="s">
        <v>137</v>
      </c>
      <c r="AZ1343">
        <v>0</v>
      </c>
      <c r="BA1343" t="s">
        <v>137</v>
      </c>
      <c r="BB1343">
        <v>0</v>
      </c>
      <c r="BE1343">
        <v>0</v>
      </c>
    </row>
    <row r="1344" spans="1:58" ht="12.75">
      <c r="A1344" s="2" t="str">
        <f>HYPERLINK("https://ibp.a2mac1.com/costing(costing:projects/details/8191/part/5389199)","Part 01 main/single")</f>
        <v>Part 01 main/single</v>
      </c>
      <c r="B1344">
        <v>5389199</v>
      </c>
      <c r="C1344">
        <v>5388819</v>
      </c>
      <c r="E1344">
        <v>0.45329692941176469</v>
      </c>
      <c r="F1344">
        <v>0</v>
      </c>
      <c r="G1344">
        <v>0</v>
      </c>
      <c r="H1344">
        <v>0.00049364272941176469</v>
      </c>
      <c r="I1344" t="s">
        <v>137</v>
      </c>
      <c r="J1344">
        <v>0.016612976470588237</v>
      </c>
      <c r="K1344">
        <v>0.4704035486117647</v>
      </c>
      <c r="L1344">
        <v>0.019958738804621071</v>
      </c>
      <c r="M1344">
        <v>0.11975243282772643</v>
      </c>
      <c r="N1344">
        <v>0.59015598143949111</v>
      </c>
      <c r="O1344" t="s">
        <v>138</v>
      </c>
      <c r="P1344">
        <v>0.028224212916705883</v>
      </c>
      <c r="Q1344" t="s">
        <v>138</v>
      </c>
      <c r="R1344">
        <v>0.007185145969663586</v>
      </c>
      <c r="S1344" t="s">
        <v>139</v>
      </c>
      <c r="T1344">
        <v>0.070818717772738932</v>
      </c>
      <c r="U1344" t="s">
        <v>90</v>
      </c>
      <c r="V1344">
        <v>0</v>
      </c>
      <c r="W1344" t="s">
        <v>90</v>
      </c>
      <c r="X1344">
        <v>0</v>
      </c>
      <c r="Y1344">
        <v>0.69638405809859949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K1344" t="s">
        <v>4605</v>
      </c>
      <c r="AM1344">
        <v>200000</v>
      </c>
      <c r="AN1344" t="s">
        <v>76</v>
      </c>
      <c r="AO1344">
        <v>1</v>
      </c>
      <c r="AP1344">
        <v>0</v>
      </c>
      <c r="AQ1344">
        <v>16666.666666666668</v>
      </c>
      <c r="AR1344" t="s">
        <v>9</v>
      </c>
      <c r="AS1344" t="s">
        <v>78</v>
      </c>
      <c r="AV1344">
        <v>0</v>
      </c>
      <c r="AW1344">
        <v>0</v>
      </c>
      <c r="AX1344" t="s">
        <v>79</v>
      </c>
      <c r="AY1344" t="s">
        <v>137</v>
      </c>
      <c r="AZ1344">
        <v>0</v>
      </c>
      <c r="BA1344" t="s">
        <v>137</v>
      </c>
      <c r="BB1344">
        <v>0</v>
      </c>
      <c r="BE1344">
        <v>0</v>
      </c>
    </row>
    <row r="1345" spans="1:58" ht="12.75">
      <c r="A1345" s="2" t="str">
        <f>HYPERLINK("https://ibp.a2mac1.com/costing(costing:projects/details/8191/part/5389200)","Part 02")</f>
        <v>Part 02</v>
      </c>
      <c r="B1345">
        <v>5389200</v>
      </c>
      <c r="C1345">
        <v>5388819</v>
      </c>
      <c r="E1345">
        <v>0.12362643529411765</v>
      </c>
      <c r="F1345">
        <v>0</v>
      </c>
      <c r="G1345">
        <v>0</v>
      </c>
      <c r="H1345">
        <v>0.00013462983529411763</v>
      </c>
      <c r="I1345" t="s">
        <v>137</v>
      </c>
      <c r="J1345">
        <v>0.004530811764705882</v>
      </c>
      <c r="K1345">
        <v>0.12829187689411764</v>
      </c>
      <c r="L1345">
        <v>0.0055876974170679912</v>
      </c>
      <c r="M1345">
        <v>0.033526184502407949</v>
      </c>
      <c r="N1345">
        <v>0.1618180613965256</v>
      </c>
      <c r="O1345" t="s">
        <v>138</v>
      </c>
      <c r="P1345">
        <v>0.0076975126136470586</v>
      </c>
      <c r="Q1345" t="s">
        <v>138</v>
      </c>
      <c r="R1345">
        <v>0.0020115710701444768</v>
      </c>
      <c r="S1345" t="s">
        <v>139</v>
      </c>
      <c r="T1345">
        <v>0.019418167367583072</v>
      </c>
      <c r="U1345" t="s">
        <v>90</v>
      </c>
      <c r="V1345">
        <v>0</v>
      </c>
      <c r="W1345" t="s">
        <v>90</v>
      </c>
      <c r="X1345">
        <v>0</v>
      </c>
      <c r="Y1345">
        <v>0.1909453124479002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K1345" t="s">
        <v>4605</v>
      </c>
      <c r="AM1345">
        <v>200000</v>
      </c>
      <c r="AN1345" t="s">
        <v>76</v>
      </c>
      <c r="AO1345">
        <v>1</v>
      </c>
      <c r="AP1345">
        <v>0</v>
      </c>
      <c r="AQ1345">
        <v>16666.666666666668</v>
      </c>
      <c r="AR1345" t="s">
        <v>9</v>
      </c>
      <c r="AS1345" t="s">
        <v>78</v>
      </c>
      <c r="AV1345">
        <v>0</v>
      </c>
      <c r="AW1345">
        <v>0</v>
      </c>
      <c r="AX1345" t="s">
        <v>79</v>
      </c>
      <c r="AY1345" t="s">
        <v>137</v>
      </c>
      <c r="AZ1345">
        <v>0</v>
      </c>
      <c r="BA1345" t="s">
        <v>137</v>
      </c>
      <c r="BB1345">
        <v>0</v>
      </c>
      <c r="BE1345">
        <v>0</v>
      </c>
    </row>
    <row r="1346" spans="1:58" ht="12.75">
      <c r="A1346" s="2" t="str">
        <f>HYPERLINK("https://ibp.a2mac1.com/costing(costing:projects/details/8191/part/5389201)","Part 03")</f>
        <v>Part 03</v>
      </c>
      <c r="B1346">
        <v>5389201</v>
      </c>
      <c r="C1346">
        <v>5388819</v>
      </c>
      <c r="E1346">
        <v>0.50279425</v>
      </c>
      <c r="F1346">
        <v>0</v>
      </c>
      <c r="G1346">
        <v>0</v>
      </c>
      <c r="H1346">
        <v>0.00054023637499999995</v>
      </c>
      <c r="I1346" t="s">
        <v>137</v>
      </c>
      <c r="J1346">
        <v>0.0187210625</v>
      </c>
      <c r="K1346">
        <v>0.52205554887500005</v>
      </c>
      <c r="L1346">
        <v>0.03792140404480028</v>
      </c>
      <c r="M1346">
        <v>0.22752842426880168</v>
      </c>
      <c r="N1346">
        <v>0.74958397314380165</v>
      </c>
      <c r="O1346" t="s">
        <v>138</v>
      </c>
      <c r="P1346">
        <v>0.031323332932500003</v>
      </c>
      <c r="Q1346" t="s">
        <v>138</v>
      </c>
      <c r="R1346">
        <v>0.013651705456128102</v>
      </c>
      <c r="S1346" t="s">
        <v>139</v>
      </c>
      <c r="T1346">
        <v>0.089950076777256208</v>
      </c>
      <c r="U1346" t="s">
        <v>90</v>
      </c>
      <c r="V1346">
        <v>0</v>
      </c>
      <c r="W1346" t="s">
        <v>90</v>
      </c>
      <c r="X1346">
        <v>0</v>
      </c>
      <c r="Y1346">
        <v>0.884509088309686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K1346" t="s">
        <v>4605</v>
      </c>
      <c r="AM1346">
        <v>400000</v>
      </c>
      <c r="AN1346" t="s">
        <v>76</v>
      </c>
      <c r="AO1346">
        <v>2</v>
      </c>
      <c r="AP1346">
        <v>0</v>
      </c>
      <c r="AQ1346">
        <v>33333.333333333336</v>
      </c>
      <c r="AR1346" t="s">
        <v>9</v>
      </c>
      <c r="AS1346" t="s">
        <v>78</v>
      </c>
      <c r="AV1346">
        <v>0</v>
      </c>
      <c r="AW1346">
        <v>0</v>
      </c>
      <c r="AX1346" t="s">
        <v>79</v>
      </c>
      <c r="AY1346" t="s">
        <v>137</v>
      </c>
      <c r="AZ1346">
        <v>0</v>
      </c>
      <c r="BA1346" t="s">
        <v>137</v>
      </c>
      <c r="BB1346">
        <v>0</v>
      </c>
      <c r="BE1346">
        <v>0</v>
      </c>
    </row>
    <row r="1347" spans="1:58" ht="12.75">
      <c r="A1347" s="2" t="str">
        <f>HYPERLINK("https://ibp.a2mac1.com/costing(costing:projects/details/8191/part/5388820)","Part 01 main/single")</f>
        <v>Part 01 main/single</v>
      </c>
      <c r="B1347">
        <v>5388820</v>
      </c>
      <c r="C1347">
        <v>5388476</v>
      </c>
      <c r="E1347">
        <v>2.3070461999999998</v>
      </c>
      <c r="F1347">
        <v>0</v>
      </c>
      <c r="G1347">
        <v>0</v>
      </c>
      <c r="H1347">
        <v>0.0025938681599999998</v>
      </c>
      <c r="I1347" t="s">
        <v>137</v>
      </c>
      <c r="J1347">
        <v>0.087293640000000006</v>
      </c>
      <c r="K1347">
        <v>2.3969337081600002</v>
      </c>
      <c r="L1347">
        <v>0.2516917811789145</v>
      </c>
      <c r="M1347">
        <v>1.5101506870734869</v>
      </c>
      <c r="N1347">
        <v>3.9070843952334871</v>
      </c>
      <c r="O1347" t="s">
        <v>90</v>
      </c>
      <c r="P1347">
        <v>0</v>
      </c>
      <c r="Q1347" t="s">
        <v>90</v>
      </c>
      <c r="R1347">
        <v>0</v>
      </c>
      <c r="S1347" t="s">
        <v>90</v>
      </c>
      <c r="T1347">
        <v>0</v>
      </c>
      <c r="U1347" t="s">
        <v>90</v>
      </c>
      <c r="V1347">
        <v>0</v>
      </c>
      <c r="W1347" t="s">
        <v>90</v>
      </c>
      <c r="X1347">
        <v>0</v>
      </c>
      <c r="Y1347">
        <v>3.9070843952334871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K1347" t="s">
        <v>4599</v>
      </c>
      <c r="AM1347">
        <v>200000</v>
      </c>
      <c r="AN1347" t="s">
        <v>92</v>
      </c>
      <c r="AO1347">
        <v>1</v>
      </c>
      <c r="AP1347">
        <v>0</v>
      </c>
      <c r="AQ1347">
        <v>16666.666666666668</v>
      </c>
      <c r="AR1347" t="s">
        <v>9</v>
      </c>
      <c r="AS1347" t="s">
        <v>78</v>
      </c>
      <c r="AV1347">
        <v>0</v>
      </c>
      <c r="AW1347">
        <v>0</v>
      </c>
      <c r="AX1347" t="s">
        <v>79</v>
      </c>
      <c r="AY1347" t="s">
        <v>137</v>
      </c>
      <c r="AZ1347">
        <v>0</v>
      </c>
      <c r="BA1347" t="s">
        <v>137</v>
      </c>
      <c r="BB1347">
        <v>0</v>
      </c>
      <c r="BE1347">
        <v>0</v>
      </c>
    </row>
    <row r="1348" spans="1:58" ht="12.75">
      <c r="A1348" s="2" t="str">
        <f>HYPERLINK("https://ibp.a2mac1.com/costing(costing:projects/details/8191/part/5388196)","Hood Rod")</f>
        <v>Hood Rod</v>
      </c>
      <c r="B1348">
        <v>5388196</v>
      </c>
      <c r="C1348">
        <v>5388135</v>
      </c>
      <c r="D1348" t="s">
        <v>5422</v>
      </c>
      <c r="E1348">
        <v>1.19956</v>
      </c>
      <c r="F1348">
        <v>0</v>
      </c>
      <c r="G1348">
        <v>0</v>
      </c>
      <c r="H1348">
        <v>0</v>
      </c>
      <c r="I1348" t="s">
        <v>74</v>
      </c>
      <c r="J1348">
        <v>0</v>
      </c>
      <c r="K1348">
        <v>1.19956</v>
      </c>
      <c r="L1348">
        <v>0</v>
      </c>
      <c r="M1348">
        <v>0</v>
      </c>
      <c r="N1348">
        <v>1.19956</v>
      </c>
      <c r="O1348" t="s">
        <v>74</v>
      </c>
      <c r="P1348">
        <v>0</v>
      </c>
      <c r="Q1348" t="s">
        <v>74</v>
      </c>
      <c r="R1348">
        <v>0</v>
      </c>
      <c r="S1348" t="s">
        <v>74</v>
      </c>
      <c r="T1348">
        <v>0</v>
      </c>
      <c r="U1348" t="s">
        <v>74</v>
      </c>
      <c r="V1348">
        <v>0</v>
      </c>
      <c r="W1348" t="s">
        <v>74</v>
      </c>
      <c r="X1348">
        <v>0</v>
      </c>
      <c r="Y1348">
        <v>1.19956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81</v>
      </c>
      <c r="AF1348">
        <v>760</v>
      </c>
      <c r="AG1348">
        <v>25</v>
      </c>
      <c r="AI1348">
        <v>0.35199999999999998</v>
      </c>
      <c r="AJ1348" t="s">
        <v>685</v>
      </c>
      <c r="AK1348" t="s">
        <v>4605</v>
      </c>
      <c r="AL1348" t="s">
        <v>1206</v>
      </c>
      <c r="AM1348">
        <v>200000</v>
      </c>
      <c r="AN1348" t="s">
        <v>76</v>
      </c>
      <c r="AO1348">
        <v>1</v>
      </c>
      <c r="AP1348">
        <v>0</v>
      </c>
      <c r="AQ1348">
        <v>16666.666666666668</v>
      </c>
      <c r="AR1348" t="s">
        <v>5423</v>
      </c>
      <c r="AS1348" t="s">
        <v>78</v>
      </c>
      <c r="AX1348" t="s">
        <v>79</v>
      </c>
      <c r="AY1348" t="s">
        <v>74</v>
      </c>
      <c r="AZ1348">
        <v>0</v>
      </c>
      <c r="BA1348" t="s">
        <v>74</v>
      </c>
      <c r="BB1348">
        <v>0</v>
      </c>
      <c r="BD1348">
        <v>1.19956</v>
      </c>
      <c r="BE1348">
        <v>0</v>
      </c>
    </row>
    <row r="1349" spans="1:58" ht="12.75">
      <c r="A1349" s="2" t="str">
        <f>HYPERLINK("https://ibp.a2mac1.com/costing(costing:projects/details/8191/part/5388197)","Hole Plugs")</f>
        <v>Hole Plugs</v>
      </c>
      <c r="B1349">
        <v>5388197</v>
      </c>
      <c r="C1349">
        <v>5388135</v>
      </c>
      <c r="E1349">
        <v>0.18454000000000001</v>
      </c>
      <c r="F1349">
        <v>0</v>
      </c>
      <c r="G1349">
        <v>0</v>
      </c>
      <c r="H1349">
        <v>0</v>
      </c>
      <c r="I1349" t="s">
        <v>74</v>
      </c>
      <c r="J1349">
        <v>0</v>
      </c>
      <c r="K1349">
        <v>0.18454000000000001</v>
      </c>
      <c r="L1349">
        <v>0</v>
      </c>
      <c r="M1349">
        <v>0</v>
      </c>
      <c r="N1349">
        <v>0.18454000000000001</v>
      </c>
      <c r="O1349" t="s">
        <v>74</v>
      </c>
      <c r="P1349">
        <v>0</v>
      </c>
      <c r="Q1349" t="s">
        <v>74</v>
      </c>
      <c r="R1349">
        <v>0</v>
      </c>
      <c r="S1349" t="s">
        <v>74</v>
      </c>
      <c r="T1349">
        <v>0</v>
      </c>
      <c r="U1349" t="s">
        <v>74</v>
      </c>
      <c r="V1349">
        <v>0</v>
      </c>
      <c r="W1349" t="s">
        <v>74</v>
      </c>
      <c r="X1349">
        <v>0</v>
      </c>
      <c r="Y1349">
        <v>0.18454000000000001</v>
      </c>
      <c r="Z1349">
        <v>0</v>
      </c>
      <c r="AA1349">
        <v>0</v>
      </c>
      <c r="AB1349">
        <v>0</v>
      </c>
      <c r="AC1349">
        <v>0</v>
      </c>
      <c r="AD1349">
        <v>0</v>
      </c>
      <c r="AI1349">
        <v>5.0000000000000002E-05</v>
      </c>
      <c r="AK1349" t="s">
        <v>4605</v>
      </c>
      <c r="AL1349" t="s">
        <v>5424</v>
      </c>
      <c r="AM1349">
        <v>400000</v>
      </c>
      <c r="AN1349" t="s">
        <v>76</v>
      </c>
      <c r="AO1349">
        <v>2</v>
      </c>
      <c r="AP1349">
        <v>0</v>
      </c>
      <c r="AQ1349">
        <v>33333.333333333336</v>
      </c>
      <c r="AR1349" t="s">
        <v>5425</v>
      </c>
      <c r="AS1349" t="s">
        <v>78</v>
      </c>
      <c r="AX1349" t="s">
        <v>79</v>
      </c>
      <c r="AY1349" t="s">
        <v>74</v>
      </c>
      <c r="AZ1349">
        <v>0</v>
      </c>
      <c r="BA1349" t="s">
        <v>74</v>
      </c>
      <c r="BB1349">
        <v>0</v>
      </c>
      <c r="BD1349">
        <v>0.092270000000000005</v>
      </c>
      <c r="BE1349">
        <v>0</v>
      </c>
    </row>
    <row r="1350" spans="1:58" ht="12.75">
      <c r="A1350" s="2" t="str">
        <f>HYPERLINK("https://ibp.a2mac1.com/costing(costing:projects/details/8191/part/5389202)","Part 01 single/upper")</f>
        <v>Part 01 single/upper</v>
      </c>
      <c r="B1350">
        <v>5389202</v>
      </c>
      <c r="C1350">
        <v>5388821</v>
      </c>
      <c r="E1350">
        <v>10.191779925500001</v>
      </c>
      <c r="F1350">
        <v>0</v>
      </c>
      <c r="G1350">
        <v>0</v>
      </c>
      <c r="H1350">
        <v>0.010652714696</v>
      </c>
      <c r="I1350" t="s">
        <v>137</v>
      </c>
      <c r="J1350">
        <v>0.35850482150000001</v>
      </c>
      <c r="K1350">
        <v>10.560937461696</v>
      </c>
      <c r="L1350">
        <v>0.8642574203233645</v>
      </c>
      <c r="M1350">
        <v>5.1855445219401872</v>
      </c>
      <c r="N1350">
        <v>15.746481983636187</v>
      </c>
      <c r="O1350" t="s">
        <v>90</v>
      </c>
      <c r="P1350">
        <v>0</v>
      </c>
      <c r="Q1350" t="s">
        <v>90</v>
      </c>
      <c r="R1350">
        <v>0</v>
      </c>
      <c r="S1350" t="s">
        <v>90</v>
      </c>
      <c r="T1350">
        <v>0</v>
      </c>
      <c r="U1350" t="s">
        <v>90</v>
      </c>
      <c r="V1350">
        <v>0</v>
      </c>
      <c r="W1350" t="s">
        <v>90</v>
      </c>
      <c r="X1350">
        <v>0</v>
      </c>
      <c r="Y1350">
        <v>15.746481983636187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K1350" t="s">
        <v>4599</v>
      </c>
      <c r="AM1350">
        <v>200000</v>
      </c>
      <c r="AN1350" t="s">
        <v>92</v>
      </c>
      <c r="AO1350">
        <v>1</v>
      </c>
      <c r="AP1350">
        <v>0</v>
      </c>
      <c r="AQ1350">
        <v>16666.666666666668</v>
      </c>
      <c r="AR1350" t="s">
        <v>9</v>
      </c>
      <c r="AS1350" t="s">
        <v>78</v>
      </c>
      <c r="AV1350">
        <v>0</v>
      </c>
      <c r="AW1350">
        <v>0</v>
      </c>
      <c r="AX1350" t="s">
        <v>79</v>
      </c>
      <c r="AY1350" t="s">
        <v>137</v>
      </c>
      <c r="AZ1350">
        <v>0</v>
      </c>
      <c r="BA1350" t="s">
        <v>137</v>
      </c>
      <c r="BB1350">
        <v>0</v>
      </c>
      <c r="BE1350">
        <v>0</v>
      </c>
    </row>
    <row r="1351" spans="1:58" ht="12.75">
      <c r="A1351" s="2" t="str">
        <f>HYPERLINK("https://ibp.a2mac1.com/costing(costing:projects/details/8191/part/5389203)","Part 01 main/single")</f>
        <v>Part 01 main/single</v>
      </c>
      <c r="B1351">
        <v>5389203</v>
      </c>
      <c r="C1351">
        <v>5388822</v>
      </c>
      <c r="E1351">
        <v>1.4249398815789474</v>
      </c>
      <c r="F1351">
        <v>0</v>
      </c>
      <c r="G1351">
        <v>0</v>
      </c>
      <c r="H1351">
        <v>0.0015045050526315789</v>
      </c>
      <c r="I1351" t="s">
        <v>137</v>
      </c>
      <c r="J1351">
        <v>0.050632381578947366</v>
      </c>
      <c r="K1351">
        <v>1.4770767682105264</v>
      </c>
      <c r="L1351">
        <v>0.72054700644783376</v>
      </c>
      <c r="M1351">
        <v>4.3232820386870028</v>
      </c>
      <c r="N1351">
        <v>5.8003588068975285</v>
      </c>
      <c r="O1351" t="s">
        <v>138</v>
      </c>
      <c r="P1351">
        <v>0.088624606092631578</v>
      </c>
      <c r="Q1351" t="s">
        <v>138</v>
      </c>
      <c r="R1351">
        <v>0.25939692232122014</v>
      </c>
      <c r="S1351" t="s">
        <v>139</v>
      </c>
      <c r="T1351">
        <v>0.6960430568277034</v>
      </c>
      <c r="U1351" t="s">
        <v>90</v>
      </c>
      <c r="V1351">
        <v>0</v>
      </c>
      <c r="W1351" t="s">
        <v>90</v>
      </c>
      <c r="X1351">
        <v>0</v>
      </c>
      <c r="Y1351">
        <v>6.8444233921390838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K1351" t="s">
        <v>4605</v>
      </c>
      <c r="AM1351">
        <v>200000</v>
      </c>
      <c r="AN1351" t="s">
        <v>76</v>
      </c>
      <c r="AO1351">
        <v>1</v>
      </c>
      <c r="AP1351">
        <v>0</v>
      </c>
      <c r="AQ1351">
        <v>16666.666666666668</v>
      </c>
      <c r="AR1351" t="s">
        <v>9</v>
      </c>
      <c r="AS1351" t="s">
        <v>78</v>
      </c>
      <c r="AV1351">
        <v>0</v>
      </c>
      <c r="AW1351">
        <v>0</v>
      </c>
      <c r="AX1351" t="s">
        <v>79</v>
      </c>
      <c r="AY1351" t="s">
        <v>137</v>
      </c>
      <c r="AZ1351">
        <v>0</v>
      </c>
      <c r="BA1351" t="s">
        <v>137</v>
      </c>
      <c r="BB1351">
        <v>0</v>
      </c>
      <c r="BE1351">
        <v>0</v>
      </c>
    </row>
    <row r="1352" spans="1:58" ht="12.75">
      <c r="A1352" s="2" t="str">
        <f>HYPERLINK("https://ibp.a2mac1.com/costing(costing:projects/details/8191/part/5389204)","Part 01 single/upper")</f>
        <v>Part 01 single/upper</v>
      </c>
      <c r="B1352">
        <v>5389204</v>
      </c>
      <c r="C1352">
        <v>5388823</v>
      </c>
      <c r="E1352">
        <v>2.0478793999999998</v>
      </c>
      <c r="F1352">
        <v>0</v>
      </c>
      <c r="G1352">
        <v>0</v>
      </c>
      <c r="H1352">
        <v>0.0021297945759999998</v>
      </c>
      <c r="I1352" t="s">
        <v>137</v>
      </c>
      <c r="J1352">
        <v>0.071675778999999995</v>
      </c>
      <c r="K1352">
        <v>2.1216849735759999</v>
      </c>
      <c r="L1352">
        <v>0.72054700644783376</v>
      </c>
      <c r="M1352">
        <v>4.3232820386870028</v>
      </c>
      <c r="N1352">
        <v>6.4449670122630023</v>
      </c>
      <c r="O1352" t="s">
        <v>90</v>
      </c>
      <c r="P1352">
        <v>0</v>
      </c>
      <c r="Q1352" t="s">
        <v>90</v>
      </c>
      <c r="R1352">
        <v>0</v>
      </c>
      <c r="S1352" t="s">
        <v>90</v>
      </c>
      <c r="T1352">
        <v>0</v>
      </c>
      <c r="U1352" t="s">
        <v>90</v>
      </c>
      <c r="V1352">
        <v>0</v>
      </c>
      <c r="W1352" t="s">
        <v>90</v>
      </c>
      <c r="X1352">
        <v>0</v>
      </c>
      <c r="Y1352">
        <v>6.4449670122630023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K1352" t="s">
        <v>4599</v>
      </c>
      <c r="AM1352">
        <v>200000</v>
      </c>
      <c r="AN1352" t="s">
        <v>92</v>
      </c>
      <c r="AO1352">
        <v>1</v>
      </c>
      <c r="AP1352">
        <v>0</v>
      </c>
      <c r="AQ1352">
        <v>16666.666666666668</v>
      </c>
      <c r="AR1352" t="s">
        <v>9</v>
      </c>
      <c r="AS1352" t="s">
        <v>78</v>
      </c>
      <c r="AV1352">
        <v>0</v>
      </c>
      <c r="AW1352">
        <v>0</v>
      </c>
      <c r="AX1352" t="s">
        <v>79</v>
      </c>
      <c r="AY1352" t="s">
        <v>137</v>
      </c>
      <c r="AZ1352">
        <v>0</v>
      </c>
      <c r="BA1352" t="s">
        <v>137</v>
      </c>
      <c r="BB1352">
        <v>0</v>
      </c>
      <c r="BE1352">
        <v>0</v>
      </c>
    </row>
    <row r="1353" spans="1:58" ht="12.75">
      <c r="A1353" s="2" t="str">
        <f>HYPERLINK("https://ibp.a2mac1.com/costing(costing:projects/details/8191/part/5389205)","Part 02 lower")</f>
        <v>Part 02 lower</v>
      </c>
      <c r="B1353">
        <v>5389205</v>
      </c>
      <c r="C1353">
        <v>5388823</v>
      </c>
      <c r="E1353">
        <v>1.9444698</v>
      </c>
      <c r="F1353">
        <v>0</v>
      </c>
      <c r="G1353">
        <v>0</v>
      </c>
      <c r="H1353">
        <v>0.0020222485920000002</v>
      </c>
      <c r="I1353" t="s">
        <v>137</v>
      </c>
      <c r="J1353">
        <v>0.068056442999999994</v>
      </c>
      <c r="K1353">
        <v>2.014548491592</v>
      </c>
      <c r="L1353">
        <v>0.72054700644783376</v>
      </c>
      <c r="M1353">
        <v>4.3232820386870028</v>
      </c>
      <c r="N1353">
        <v>6.3378305302790023</v>
      </c>
      <c r="O1353" t="s">
        <v>90</v>
      </c>
      <c r="P1353">
        <v>0</v>
      </c>
      <c r="Q1353" t="s">
        <v>90</v>
      </c>
      <c r="R1353">
        <v>0</v>
      </c>
      <c r="S1353" t="s">
        <v>90</v>
      </c>
      <c r="T1353">
        <v>0</v>
      </c>
      <c r="U1353" t="s">
        <v>90</v>
      </c>
      <c r="V1353">
        <v>0</v>
      </c>
      <c r="W1353" t="s">
        <v>90</v>
      </c>
      <c r="X1353">
        <v>0</v>
      </c>
      <c r="Y1353">
        <v>6.3378305302790023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K1353" t="s">
        <v>4599</v>
      </c>
      <c r="AM1353">
        <v>200000</v>
      </c>
      <c r="AN1353" t="s">
        <v>92</v>
      </c>
      <c r="AO1353">
        <v>1</v>
      </c>
      <c r="AP1353">
        <v>0</v>
      </c>
      <c r="AQ1353">
        <v>16666.666666666668</v>
      </c>
      <c r="AR1353" t="s">
        <v>9</v>
      </c>
      <c r="AS1353" t="s">
        <v>78</v>
      </c>
      <c r="AV1353">
        <v>0</v>
      </c>
      <c r="AW1353">
        <v>0</v>
      </c>
      <c r="AX1353" t="s">
        <v>79</v>
      </c>
      <c r="AY1353" t="s">
        <v>137</v>
      </c>
      <c r="AZ1353">
        <v>0</v>
      </c>
      <c r="BA1353" t="s">
        <v>137</v>
      </c>
      <c r="BB1353">
        <v>0</v>
      </c>
      <c r="BE1353">
        <v>0</v>
      </c>
    </row>
    <row r="1354" spans="1:58" ht="12.75">
      <c r="A1354" s="2" t="str">
        <f>HYPERLINK("https://ibp.a2mac1.com/costing(costing:projects/details/8191/part/5389206)","Part 01 main/single")</f>
        <v>Part 01 main/single</v>
      </c>
      <c r="B1354">
        <v>5389206</v>
      </c>
      <c r="C1354">
        <v>5388824</v>
      </c>
      <c r="E1354">
        <v>0.30483493333333334</v>
      </c>
      <c r="F1354">
        <v>0</v>
      </c>
      <c r="G1354">
        <v>0</v>
      </c>
      <c r="H1354">
        <v>0.00036025946666666666</v>
      </c>
      <c r="I1354" t="s">
        <v>137</v>
      </c>
      <c r="J1354">
        <v>0.012124116666666667</v>
      </c>
      <c r="K1354">
        <v>0.31731930946666664</v>
      </c>
      <c r="L1354">
        <v>0.0064858875037900592</v>
      </c>
      <c r="M1354">
        <v>0.038915325022740352</v>
      </c>
      <c r="N1354">
        <v>0.35623463448940701</v>
      </c>
      <c r="O1354" t="s">
        <v>138</v>
      </c>
      <c r="P1354">
        <v>0.019039158568000002</v>
      </c>
      <c r="Q1354" t="s">
        <v>138</v>
      </c>
      <c r="R1354">
        <v>0.0023349195013644213</v>
      </c>
      <c r="S1354" t="s">
        <v>139</v>
      </c>
      <c r="T1354">
        <v>0.042748156138728843</v>
      </c>
      <c r="U1354" t="s">
        <v>90</v>
      </c>
      <c r="V1354">
        <v>0</v>
      </c>
      <c r="W1354" t="s">
        <v>90</v>
      </c>
      <c r="X1354">
        <v>0</v>
      </c>
      <c r="Y1354">
        <v>0.42035686869750027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K1354" t="s">
        <v>4605</v>
      </c>
      <c r="AM1354">
        <v>200000</v>
      </c>
      <c r="AN1354" t="s">
        <v>76</v>
      </c>
      <c r="AO1354">
        <v>1</v>
      </c>
      <c r="AP1354">
        <v>0</v>
      </c>
      <c r="AQ1354">
        <v>16666.666666666668</v>
      </c>
      <c r="AR1354" t="s">
        <v>9</v>
      </c>
      <c r="AS1354" t="s">
        <v>78</v>
      </c>
      <c r="AV1354">
        <v>0</v>
      </c>
      <c r="AW1354">
        <v>0</v>
      </c>
      <c r="AX1354" t="s">
        <v>79</v>
      </c>
      <c r="AY1354" t="s">
        <v>137</v>
      </c>
      <c r="AZ1354">
        <v>0</v>
      </c>
      <c r="BA1354" t="s">
        <v>137</v>
      </c>
      <c r="BB1354">
        <v>0</v>
      </c>
      <c r="BE1354">
        <v>0</v>
      </c>
    </row>
    <row r="1355" spans="1:58" ht="12.75">
      <c r="A1355" s="2" t="str">
        <f>HYPERLINK("https://ibp.a2mac1.com/costing(costing:projects/details/8191/part/5388825)","Left Access Trap")</f>
        <v>Left Access Trap</v>
      </c>
      <c r="B1355">
        <v>5388825</v>
      </c>
      <c r="C1355">
        <v>5388483</v>
      </c>
      <c r="E1355">
        <v>0.043945156126218902</v>
      </c>
      <c r="F1355">
        <v>0</v>
      </c>
      <c r="G1355">
        <v>0</v>
      </c>
      <c r="H1355">
        <v>9.0615861410537829E-05</v>
      </c>
      <c r="I1355" t="s">
        <v>137</v>
      </c>
      <c r="J1355">
        <v>0.0015395898783343805</v>
      </c>
      <c r="K1355">
        <v>0.045575361865963816</v>
      </c>
      <c r="L1355">
        <v>0.016360236572748727</v>
      </c>
      <c r="M1355">
        <v>0.098161419436492356</v>
      </c>
      <c r="N1355">
        <v>0.14373678130245618</v>
      </c>
      <c r="O1355" t="s">
        <v>138</v>
      </c>
      <c r="P1355">
        <v>0.0027345217119578292</v>
      </c>
      <c r="Q1355" t="s">
        <v>138</v>
      </c>
      <c r="R1355">
        <v>0.0058896851661895417</v>
      </c>
      <c r="S1355" t="s">
        <v>139</v>
      </c>
      <c r="T1355">
        <v>0.017248413756294743</v>
      </c>
      <c r="U1355" t="s">
        <v>90</v>
      </c>
      <c r="V1355">
        <v>0</v>
      </c>
      <c r="W1355" t="s">
        <v>90</v>
      </c>
      <c r="X1355">
        <v>0</v>
      </c>
      <c r="Y1355">
        <v>0.1696094019368983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25</v>
      </c>
      <c r="AF1355">
        <v>130</v>
      </c>
      <c r="AG1355">
        <v>95</v>
      </c>
      <c r="AI1355">
        <v>0.032000000000000001</v>
      </c>
      <c r="AJ1355" t="s">
        <v>4432</v>
      </c>
      <c r="AK1355" t="s">
        <v>4605</v>
      </c>
      <c r="AL1355" t="s">
        <v>728</v>
      </c>
      <c r="AM1355">
        <v>200000</v>
      </c>
      <c r="AN1355" t="s">
        <v>76</v>
      </c>
      <c r="AO1355">
        <v>1</v>
      </c>
      <c r="AP1355">
        <v>0</v>
      </c>
      <c r="AQ1355">
        <v>16666.666666666668</v>
      </c>
      <c r="AR1355" t="s">
        <v>5463</v>
      </c>
      <c r="AS1355" t="s">
        <v>78</v>
      </c>
      <c r="AX1355" t="s">
        <v>79</v>
      </c>
      <c r="AY1355" t="s">
        <v>137</v>
      </c>
      <c r="AZ1355">
        <v>0</v>
      </c>
      <c r="BA1355" t="s">
        <v>137</v>
      </c>
      <c r="BB1355">
        <v>0</v>
      </c>
      <c r="BE1355">
        <v>0</v>
      </c>
    </row>
    <row r="1356" spans="1:58" ht="12.75">
      <c r="A1356" s="2" t="str">
        <f>HYPERLINK("https://ibp.a2mac1.com/costing(costing:projects/details/8191/part/5388826)","Right Access Trap")</f>
        <v>Right Access Trap</v>
      </c>
      <c r="B1356">
        <v>5388826</v>
      </c>
      <c r="C1356">
        <v>5388483</v>
      </c>
      <c r="E1356">
        <v>0.043945156126218902</v>
      </c>
      <c r="F1356">
        <v>0</v>
      </c>
      <c r="G1356">
        <v>0</v>
      </c>
      <c r="H1356">
        <v>9.0615861410537829E-05</v>
      </c>
      <c r="I1356" t="s">
        <v>137</v>
      </c>
      <c r="J1356">
        <v>0.0015395898783343805</v>
      </c>
      <c r="K1356">
        <v>0.045575361865963816</v>
      </c>
      <c r="L1356">
        <v>0.016360236572748727</v>
      </c>
      <c r="M1356">
        <v>0.098161419436492356</v>
      </c>
      <c r="N1356">
        <v>0.14373678130245618</v>
      </c>
      <c r="O1356" t="s">
        <v>138</v>
      </c>
      <c r="P1356">
        <v>0.0027345217119578292</v>
      </c>
      <c r="Q1356" t="s">
        <v>138</v>
      </c>
      <c r="R1356">
        <v>0.0058896851661895417</v>
      </c>
      <c r="S1356" t="s">
        <v>139</v>
      </c>
      <c r="T1356">
        <v>0.017248413756294743</v>
      </c>
      <c r="U1356" t="s">
        <v>90</v>
      </c>
      <c r="V1356">
        <v>0</v>
      </c>
      <c r="W1356" t="s">
        <v>90</v>
      </c>
      <c r="X1356">
        <v>0</v>
      </c>
      <c r="Y1356">
        <v>0.1696094019368983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25</v>
      </c>
      <c r="AF1356">
        <v>130</v>
      </c>
      <c r="AG1356">
        <v>95</v>
      </c>
      <c r="AI1356">
        <v>0.032000000000000001</v>
      </c>
      <c r="AJ1356" t="s">
        <v>4432</v>
      </c>
      <c r="AK1356" t="s">
        <v>4605</v>
      </c>
      <c r="AL1356" t="s">
        <v>728</v>
      </c>
      <c r="AM1356">
        <v>200000</v>
      </c>
      <c r="AN1356" t="s">
        <v>76</v>
      </c>
      <c r="AO1356">
        <v>1</v>
      </c>
      <c r="AP1356">
        <v>0</v>
      </c>
      <c r="AQ1356">
        <v>16666.666666666668</v>
      </c>
      <c r="AR1356" t="s">
        <v>5467</v>
      </c>
      <c r="AS1356" t="s">
        <v>78</v>
      </c>
      <c r="AX1356" t="s">
        <v>79</v>
      </c>
      <c r="AY1356" t="s">
        <v>137</v>
      </c>
      <c r="AZ1356">
        <v>0</v>
      </c>
      <c r="BA1356" t="s">
        <v>137</v>
      </c>
      <c r="BB1356">
        <v>0</v>
      </c>
      <c r="BE1356">
        <v>0</v>
      </c>
    </row>
    <row r="1357" spans="1:58" ht="12.75">
      <c r="A1357" s="2" t="str">
        <f>HYPERLINK("https://ibp.a2mac1.com/costing(costing:projects/details/8191/part/5388479)","Lower Main Panel")</f>
        <v>Lower Main Panel</v>
      </c>
      <c r="B1357">
        <v>5388479</v>
      </c>
      <c r="C1357">
        <v>5388210</v>
      </c>
      <c r="E1357">
        <v>2.8770344401383938</v>
      </c>
      <c r="F1357">
        <v>0</v>
      </c>
      <c r="G1357">
        <v>0</v>
      </c>
      <c r="H1357">
        <v>0.0059325071767211482</v>
      </c>
      <c r="I1357" t="s">
        <v>137</v>
      </c>
      <c r="J1357">
        <v>0.10079502484720397</v>
      </c>
      <c r="K1357">
        <v>2.9837619721623185</v>
      </c>
      <c r="L1357">
        <v>0.11024123731849601</v>
      </c>
      <c r="M1357">
        <v>0.66144742391097611</v>
      </c>
      <c r="N1357">
        <v>3.645209396073295</v>
      </c>
      <c r="O1357" t="s">
        <v>138</v>
      </c>
      <c r="P1357">
        <v>0.17902571832973913</v>
      </c>
      <c r="Q1357" t="s">
        <v>138</v>
      </c>
      <c r="R1357">
        <v>0.039686845434658564</v>
      </c>
      <c r="S1357" t="s">
        <v>139</v>
      </c>
      <c r="T1357">
        <v>0.43742512752879537</v>
      </c>
      <c r="U1357" t="s">
        <v>90</v>
      </c>
      <c r="V1357">
        <v>0</v>
      </c>
      <c r="W1357" t="s">
        <v>90</v>
      </c>
      <c r="X1357">
        <v>0</v>
      </c>
      <c r="Y1357">
        <v>4.3013470873664881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230</v>
      </c>
      <c r="AF1357">
        <v>1095</v>
      </c>
      <c r="AG1357">
        <v>480</v>
      </c>
      <c r="AI1357">
        <v>2.095</v>
      </c>
      <c r="AJ1357" t="s">
        <v>4432</v>
      </c>
      <c r="AK1357" t="s">
        <v>4605</v>
      </c>
      <c r="AL1357" t="s">
        <v>728</v>
      </c>
      <c r="AM1357">
        <v>200000</v>
      </c>
      <c r="AN1357" t="s">
        <v>76</v>
      </c>
      <c r="AO1357">
        <v>1</v>
      </c>
      <c r="AP1357">
        <v>0</v>
      </c>
      <c r="AQ1357">
        <v>16666.666666666668</v>
      </c>
      <c r="AR1357" t="s">
        <v>5475</v>
      </c>
      <c r="AS1357" t="s">
        <v>78</v>
      </c>
      <c r="AX1357" t="s">
        <v>79</v>
      </c>
      <c r="AY1357" t="s">
        <v>137</v>
      </c>
      <c r="AZ1357">
        <v>0</v>
      </c>
      <c r="BA1357" t="s">
        <v>137</v>
      </c>
      <c r="BB1357">
        <v>0</v>
      </c>
      <c r="BE1357">
        <v>0</v>
      </c>
    </row>
    <row r="1358" spans="1:58" ht="12.75">
      <c r="A1358" s="2" t="str">
        <f>HYPERLINK("https://ibp.a2mac1.com/costing(costing:projects/details/8191/part/5388480)","Upper Panel")</f>
        <v>Upper Panel</v>
      </c>
      <c r="B1358">
        <v>5388480</v>
      </c>
      <c r="C1358">
        <v>5388210</v>
      </c>
      <c r="E1358">
        <v>1.1465488544617701</v>
      </c>
      <c r="F1358">
        <v>0</v>
      </c>
      <c r="G1358">
        <v>0</v>
      </c>
      <c r="H1358">
        <v>0.0023697455171697332</v>
      </c>
      <c r="I1358" t="s">
        <v>137</v>
      </c>
      <c r="J1358">
        <v>0.040262666553854687</v>
      </c>
      <c r="K1358">
        <v>1.1891812665327945</v>
      </c>
      <c r="L1358">
        <v>0.054288483039352152</v>
      </c>
      <c r="M1358">
        <v>0.3257308982361129</v>
      </c>
      <c r="N1358">
        <v>1.5149121647689074</v>
      </c>
      <c r="O1358" t="s">
        <v>138</v>
      </c>
      <c r="P1358">
        <v>0.071350875991967669</v>
      </c>
      <c r="Q1358" t="s">
        <v>138</v>
      </c>
      <c r="R1358">
        <v>0.019543853894166775</v>
      </c>
      <c r="S1358" t="s">
        <v>139</v>
      </c>
      <c r="T1358">
        <v>0.1817894597722689</v>
      </c>
      <c r="U1358" t="s">
        <v>90</v>
      </c>
      <c r="V1358">
        <v>0</v>
      </c>
      <c r="W1358" t="s">
        <v>90</v>
      </c>
      <c r="X1358">
        <v>0</v>
      </c>
      <c r="Y1358">
        <v>1.7875963544273108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60</v>
      </c>
      <c r="AF1358">
        <v>860</v>
      </c>
      <c r="AG1358">
        <v>275</v>
      </c>
      <c r="AI1358">
        <v>0.79700000000000004</v>
      </c>
      <c r="AJ1358" t="s">
        <v>4432</v>
      </c>
      <c r="AK1358" t="s">
        <v>4605</v>
      </c>
      <c r="AL1358" t="s">
        <v>4301</v>
      </c>
      <c r="AM1358">
        <v>200000</v>
      </c>
      <c r="AN1358" t="s">
        <v>76</v>
      </c>
      <c r="AO1358">
        <v>1</v>
      </c>
      <c r="AP1358">
        <v>0</v>
      </c>
      <c r="AQ1358">
        <v>16666.666666666668</v>
      </c>
      <c r="AR1358" t="s">
        <v>5481</v>
      </c>
      <c r="AS1358" t="s">
        <v>78</v>
      </c>
      <c r="AX1358" t="s">
        <v>79</v>
      </c>
      <c r="AY1358" t="s">
        <v>137</v>
      </c>
      <c r="AZ1358">
        <v>0</v>
      </c>
      <c r="BA1358" t="s">
        <v>137</v>
      </c>
      <c r="BB1358">
        <v>0</v>
      </c>
      <c r="BE1358">
        <v>0</v>
      </c>
    </row>
    <row r="1359" spans="1:58" ht="12.75">
      <c r="A1359" s="2" t="str">
        <f>HYPERLINK("https://ibp.a2mac1.com/costing(costing:projects/details/8191/part/5388481)","Left Side")</f>
        <v>Left Side</v>
      </c>
      <c r="B1359">
        <v>5388481</v>
      </c>
      <c r="C1359">
        <v>5388210</v>
      </c>
      <c r="E1359">
        <v>0.60699246899339854</v>
      </c>
      <c r="F1359">
        <v>0</v>
      </c>
      <c r="G1359">
        <v>0</v>
      </c>
      <c r="H1359">
        <v>0.0012516315857330537</v>
      </c>
      <c r="I1359" t="s">
        <v>137</v>
      </c>
      <c r="J1359">
        <v>0.02126558519449363</v>
      </c>
      <c r="K1359">
        <v>0.6295096857736252</v>
      </c>
      <c r="L1359">
        <v>0.029363728566743366</v>
      </c>
      <c r="M1359">
        <v>0.1761823714004602</v>
      </c>
      <c r="N1359">
        <v>0.80569205717408543</v>
      </c>
      <c r="O1359" t="s">
        <v>138</v>
      </c>
      <c r="P1359">
        <v>0.037770581146417515</v>
      </c>
      <c r="Q1359" t="s">
        <v>138</v>
      </c>
      <c r="R1359">
        <v>0.010570942284027612</v>
      </c>
      <c r="S1359" t="s">
        <v>139</v>
      </c>
      <c r="T1359">
        <v>0.096683046860890257</v>
      </c>
      <c r="U1359" t="s">
        <v>90</v>
      </c>
      <c r="V1359">
        <v>0</v>
      </c>
      <c r="W1359" t="s">
        <v>90</v>
      </c>
      <c r="X1359">
        <v>0</v>
      </c>
      <c r="Y1359">
        <v>0.95071662746542085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155</v>
      </c>
      <c r="AF1359">
        <v>160</v>
      </c>
      <c r="AG1359">
        <v>615</v>
      </c>
      <c r="AI1359">
        <v>0.442</v>
      </c>
      <c r="AJ1359" t="s">
        <v>4432</v>
      </c>
      <c r="AK1359" t="s">
        <v>4605</v>
      </c>
      <c r="AL1359" t="s">
        <v>728</v>
      </c>
      <c r="AM1359">
        <v>200000</v>
      </c>
      <c r="AN1359" t="s">
        <v>76</v>
      </c>
      <c r="AO1359">
        <v>1</v>
      </c>
      <c r="AP1359">
        <v>0</v>
      </c>
      <c r="AQ1359">
        <v>16666.666666666668</v>
      </c>
      <c r="AR1359" t="s">
        <v>5487</v>
      </c>
      <c r="AS1359" t="s">
        <v>78</v>
      </c>
      <c r="AX1359" t="s">
        <v>79</v>
      </c>
      <c r="AY1359" t="s">
        <v>137</v>
      </c>
      <c r="AZ1359">
        <v>0</v>
      </c>
      <c r="BA1359" t="s">
        <v>137</v>
      </c>
      <c r="BB1359">
        <v>0</v>
      </c>
      <c r="BE1359">
        <v>0</v>
      </c>
    </row>
    <row r="1360" spans="1:58" ht="12.75">
      <c r="A1360" s="2" t="str">
        <f>HYPERLINK("https://ibp.a2mac1.com/costing(costing:projects/details/8191/part/5388482)","Right Side")</f>
        <v>Right Side</v>
      </c>
      <c r="B1360">
        <v>5388482</v>
      </c>
      <c r="C1360">
        <v>5388210</v>
      </c>
      <c r="E1360">
        <v>0.60699246899339854</v>
      </c>
      <c r="F1360">
        <v>0</v>
      </c>
      <c r="G1360">
        <v>0</v>
      </c>
      <c r="H1360">
        <v>0.0012516315857330537</v>
      </c>
      <c r="I1360" t="s">
        <v>137</v>
      </c>
      <c r="J1360">
        <v>0.02126558519449363</v>
      </c>
      <c r="K1360">
        <v>0.6295096857736252</v>
      </c>
      <c r="L1360">
        <v>0.029363728566743366</v>
      </c>
      <c r="M1360">
        <v>0.1761823714004602</v>
      </c>
      <c r="N1360">
        <v>0.80569205717408543</v>
      </c>
      <c r="O1360" t="s">
        <v>138</v>
      </c>
      <c r="P1360">
        <v>0.037770581146417515</v>
      </c>
      <c r="Q1360" t="s">
        <v>138</v>
      </c>
      <c r="R1360">
        <v>0.010570942284027612</v>
      </c>
      <c r="S1360" t="s">
        <v>139</v>
      </c>
      <c r="T1360">
        <v>0.096683046860890257</v>
      </c>
      <c r="U1360" t="s">
        <v>90</v>
      </c>
      <c r="V1360">
        <v>0</v>
      </c>
      <c r="W1360" t="s">
        <v>90</v>
      </c>
      <c r="X1360">
        <v>0</v>
      </c>
      <c r="Y1360">
        <v>0.95071662746542085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155</v>
      </c>
      <c r="AF1360">
        <v>160</v>
      </c>
      <c r="AG1360">
        <v>615</v>
      </c>
      <c r="AI1360">
        <v>0.44900000000000001</v>
      </c>
      <c r="AJ1360" t="s">
        <v>4432</v>
      </c>
      <c r="AK1360" t="s">
        <v>4605</v>
      </c>
      <c r="AL1360" t="s">
        <v>728</v>
      </c>
      <c r="AM1360">
        <v>200000</v>
      </c>
      <c r="AN1360" t="s">
        <v>76</v>
      </c>
      <c r="AO1360">
        <v>1</v>
      </c>
      <c r="AP1360">
        <v>0</v>
      </c>
      <c r="AQ1360">
        <v>16666.666666666668</v>
      </c>
      <c r="AR1360" t="s">
        <v>5491</v>
      </c>
      <c r="AS1360" t="s">
        <v>78</v>
      </c>
      <c r="AX1360" t="s">
        <v>79</v>
      </c>
      <c r="AY1360" t="s">
        <v>137</v>
      </c>
      <c r="AZ1360">
        <v>0</v>
      </c>
      <c r="BA1360" t="s">
        <v>137</v>
      </c>
      <c r="BB1360">
        <v>0</v>
      </c>
      <c r="BE1360">
        <v>0</v>
      </c>
    </row>
    <row r="1361" spans="1:58" ht="12.75">
      <c r="A1361" s="2" t="str">
        <f>HYPERLINK("https://ibp.a2mac1.com/costing(costing:projects/details/8191/part/5388827)","Part 01 single/main")</f>
        <v>Part 01 single/main</v>
      </c>
      <c r="B1361">
        <v>5388827</v>
      </c>
      <c r="C1361">
        <v>5388485</v>
      </c>
      <c r="E1361">
        <v>0.12928994999999999</v>
      </c>
      <c r="F1361">
        <v>0</v>
      </c>
      <c r="G1361">
        <v>0</v>
      </c>
      <c r="H1361">
        <v>0.000138917925</v>
      </c>
      <c r="I1361" t="s">
        <v>137</v>
      </c>
      <c r="J1361">
        <v>0.0048139875000000002</v>
      </c>
      <c r="K1361">
        <v>0.134242855425</v>
      </c>
      <c r="L1361">
        <v>0.043111311678106758</v>
      </c>
      <c r="M1361">
        <v>0.25866787006864056</v>
      </c>
      <c r="N1361">
        <v>0.39291072549364053</v>
      </c>
      <c r="O1361" t="s">
        <v>90</v>
      </c>
      <c r="P1361">
        <v>0</v>
      </c>
      <c r="Q1361" t="s">
        <v>90</v>
      </c>
      <c r="R1361">
        <v>0</v>
      </c>
      <c r="S1361" t="s">
        <v>90</v>
      </c>
      <c r="T1361">
        <v>0</v>
      </c>
      <c r="U1361" t="s">
        <v>90</v>
      </c>
      <c r="V1361">
        <v>0</v>
      </c>
      <c r="W1361" t="s">
        <v>90</v>
      </c>
      <c r="X1361">
        <v>0</v>
      </c>
      <c r="Y1361">
        <v>0.39291072549364053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K1361" t="s">
        <v>4599</v>
      </c>
      <c r="AM1361">
        <v>800000</v>
      </c>
      <c r="AN1361" t="s">
        <v>92</v>
      </c>
      <c r="AO1361">
        <v>2</v>
      </c>
      <c r="AP1361">
        <v>0</v>
      </c>
      <c r="AQ1361">
        <v>66666.666666666672</v>
      </c>
      <c r="AR1361" t="s">
        <v>9</v>
      </c>
      <c r="AS1361" t="s">
        <v>78</v>
      </c>
      <c r="AV1361">
        <v>0</v>
      </c>
      <c r="AW1361">
        <v>0</v>
      </c>
      <c r="AX1361" t="s">
        <v>79</v>
      </c>
      <c r="AY1361" t="s">
        <v>137</v>
      </c>
      <c r="AZ1361">
        <v>0</v>
      </c>
      <c r="BA1361" t="s">
        <v>137</v>
      </c>
      <c r="BB1361">
        <v>0</v>
      </c>
      <c r="BE1361">
        <v>0</v>
      </c>
    </row>
    <row r="1362" spans="1:58" ht="12.75">
      <c r="A1362" s="2" t="str">
        <f>HYPERLINK("https://ibp.a2mac1.com/costing(costing:projects/details/8191/part/5388828)","Part 01 single/main")</f>
        <v>Part 01 single/main</v>
      </c>
      <c r="B1362">
        <v>5388828</v>
      </c>
      <c r="C1362">
        <v>5388486</v>
      </c>
      <c r="E1362">
        <v>0.0861933</v>
      </c>
      <c r="F1362">
        <v>0</v>
      </c>
      <c r="G1362">
        <v>0</v>
      </c>
      <c r="H1362">
        <v>9.2611949999999997E-05</v>
      </c>
      <c r="I1362" t="s">
        <v>137</v>
      </c>
      <c r="J1362">
        <v>0.0032093249999999999</v>
      </c>
      <c r="K1362">
        <v>0.089495236950000001</v>
      </c>
      <c r="L1362">
        <v>0.0045900913181780231</v>
      </c>
      <c r="M1362">
        <v>0.027540547909068142</v>
      </c>
      <c r="N1362">
        <v>0.11703578485906814</v>
      </c>
      <c r="O1362" t="s">
        <v>90</v>
      </c>
      <c r="P1362">
        <v>0</v>
      </c>
      <c r="Q1362" t="s">
        <v>90</v>
      </c>
      <c r="R1362">
        <v>0</v>
      </c>
      <c r="S1362" t="s">
        <v>90</v>
      </c>
      <c r="T1362">
        <v>0</v>
      </c>
      <c r="U1362" t="s">
        <v>90</v>
      </c>
      <c r="V1362">
        <v>0</v>
      </c>
      <c r="W1362" t="s">
        <v>90</v>
      </c>
      <c r="X1362">
        <v>0</v>
      </c>
      <c r="Y1362">
        <v>0.11703578485906814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K1362" t="s">
        <v>4599</v>
      </c>
      <c r="AM1362">
        <v>800000</v>
      </c>
      <c r="AN1362" t="s">
        <v>92</v>
      </c>
      <c r="AO1362">
        <v>2</v>
      </c>
      <c r="AP1362">
        <v>0</v>
      </c>
      <c r="AQ1362">
        <v>66666.666666666672</v>
      </c>
      <c r="AR1362" t="s">
        <v>9</v>
      </c>
      <c r="AS1362" t="s">
        <v>78</v>
      </c>
      <c r="AV1362">
        <v>0</v>
      </c>
      <c r="AW1362">
        <v>0</v>
      </c>
      <c r="AX1362" t="s">
        <v>79</v>
      </c>
      <c r="AY1362" t="s">
        <v>137</v>
      </c>
      <c r="AZ1362">
        <v>0</v>
      </c>
      <c r="BA1362" t="s">
        <v>137</v>
      </c>
      <c r="BB1362">
        <v>0</v>
      </c>
      <c r="BE1362">
        <v>0</v>
      </c>
    </row>
    <row r="1363" spans="1:58" ht="12.75">
      <c r="A1363" s="2" t="str">
        <f>HYPERLINK("https://ibp.a2mac1.com/costing(costing:projects/details/8191/part/5388488)","On Body")</f>
        <v>On Body</v>
      </c>
      <c r="B1363">
        <v>5388488</v>
      </c>
      <c r="C1363">
        <v>5388212</v>
      </c>
      <c r="E1363">
        <v>2.9490839953684209</v>
      </c>
      <c r="F1363">
        <v>0</v>
      </c>
      <c r="G1363">
        <v>0</v>
      </c>
      <c r="H1363">
        <v>0.0060943089006315785</v>
      </c>
      <c r="I1363" t="s">
        <v>137</v>
      </c>
      <c r="J1363">
        <v>0.10354408326315789</v>
      </c>
      <c r="K1363">
        <v>3.0587223875322107</v>
      </c>
      <c r="L1363">
        <v>0.052681933704389998</v>
      </c>
      <c r="M1363">
        <v>0.31609160222633997</v>
      </c>
      <c r="N1363">
        <v>3.3748139897585503</v>
      </c>
      <c r="O1363" t="s">
        <v>138</v>
      </c>
      <c r="P1363">
        <v>0.18352334325193262</v>
      </c>
      <c r="Q1363" t="s">
        <v>138</v>
      </c>
      <c r="R1363">
        <v>0.018965496133580399</v>
      </c>
      <c r="S1363" t="s">
        <v>139</v>
      </c>
      <c r="T1363">
        <v>0.40497767877102608</v>
      </c>
      <c r="U1363" t="s">
        <v>90</v>
      </c>
      <c r="V1363">
        <v>0</v>
      </c>
      <c r="W1363" t="s">
        <v>90</v>
      </c>
      <c r="X1363">
        <v>0</v>
      </c>
      <c r="Y1363">
        <v>3.9822805079150898</v>
      </c>
      <c r="Z1363">
        <v>0</v>
      </c>
      <c r="AA1363">
        <v>0</v>
      </c>
      <c r="AB1363">
        <v>0</v>
      </c>
      <c r="AC1363">
        <v>0</v>
      </c>
      <c r="AD1363">
        <v>0</v>
      </c>
      <c r="AI1363">
        <v>1.195</v>
      </c>
      <c r="AJ1363" t="s">
        <v>685</v>
      </c>
      <c r="AK1363" t="s">
        <v>4605</v>
      </c>
      <c r="AL1363" t="s">
        <v>4824</v>
      </c>
      <c r="AM1363">
        <v>200000</v>
      </c>
      <c r="AN1363" t="s">
        <v>76</v>
      </c>
      <c r="AO1363">
        <v>1</v>
      </c>
      <c r="AP1363">
        <v>0</v>
      </c>
      <c r="AQ1363">
        <v>16666.666666666668</v>
      </c>
      <c r="AR1363" t="s">
        <v>5512</v>
      </c>
      <c r="AS1363" t="s">
        <v>78</v>
      </c>
      <c r="AX1363" t="s">
        <v>79</v>
      </c>
      <c r="AY1363" t="s">
        <v>137</v>
      </c>
      <c r="AZ1363">
        <v>0</v>
      </c>
      <c r="BA1363" t="s">
        <v>137</v>
      </c>
      <c r="BB1363">
        <v>0</v>
      </c>
      <c r="BE1363">
        <v>0</v>
      </c>
    </row>
    <row r="1364" spans="1:58" ht="12.75">
      <c r="A1364" s="2" t="str">
        <f>HYPERLINK("https://ibp.a2mac1.com/costing(costing:projects/details/8191/part/5388489)","Upper on Tailgate")</f>
        <v>Upper on Tailgate</v>
      </c>
      <c r="B1364">
        <v>5388489</v>
      </c>
      <c r="C1364">
        <v>5388212</v>
      </c>
      <c r="E1364">
        <v>0.26044608450000001</v>
      </c>
      <c r="F1364">
        <v>0</v>
      </c>
      <c r="G1364">
        <v>0</v>
      </c>
      <c r="H1364">
        <v>0.00027154278484210526</v>
      </c>
      <c r="I1364" t="s">
        <v>137</v>
      </c>
      <c r="J1364">
        <v>0.0091384591052631574</v>
      </c>
      <c r="K1364">
        <v>0.26985608639010528</v>
      </c>
      <c r="L1364">
        <v>0.03696388264930988</v>
      </c>
      <c r="M1364">
        <v>0.22178329589585927</v>
      </c>
      <c r="N1364">
        <v>0.49163938228596454</v>
      </c>
      <c r="O1364" t="s">
        <v>138</v>
      </c>
      <c r="P1364">
        <v>0.016191365183406317</v>
      </c>
      <c r="Q1364" t="s">
        <v>138</v>
      </c>
      <c r="R1364">
        <v>0.013306997753751557</v>
      </c>
      <c r="S1364" t="s">
        <v>139</v>
      </c>
      <c r="T1364">
        <v>0.058996725874315745</v>
      </c>
      <c r="U1364" t="s">
        <v>90</v>
      </c>
      <c r="V1364">
        <v>0</v>
      </c>
      <c r="W1364" t="s">
        <v>90</v>
      </c>
      <c r="X1364">
        <v>0</v>
      </c>
      <c r="Y1364">
        <v>0.58013447109743821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7</v>
      </c>
      <c r="AF1364">
        <v>570</v>
      </c>
      <c r="AG1364">
        <v>50</v>
      </c>
      <c r="AI1364">
        <v>0.088999999999999996</v>
      </c>
      <c r="AJ1364" t="s">
        <v>5516</v>
      </c>
      <c r="AK1364" t="s">
        <v>4605</v>
      </c>
      <c r="AL1364" t="s">
        <v>3856</v>
      </c>
      <c r="AM1364">
        <v>200000</v>
      </c>
      <c r="AN1364" t="s">
        <v>76</v>
      </c>
      <c r="AO1364">
        <v>1</v>
      </c>
      <c r="AP1364">
        <v>0</v>
      </c>
      <c r="AQ1364">
        <v>16666.666666666668</v>
      </c>
      <c r="AR1364" t="s">
        <v>5517</v>
      </c>
      <c r="AS1364" t="s">
        <v>78</v>
      </c>
      <c r="AX1364" t="s">
        <v>79</v>
      </c>
      <c r="AY1364" t="s">
        <v>137</v>
      </c>
      <c r="AZ1364">
        <v>0</v>
      </c>
      <c r="BA1364" t="s">
        <v>137</v>
      </c>
      <c r="BB1364">
        <v>0</v>
      </c>
      <c r="BE1364">
        <v>0</v>
      </c>
    </row>
    <row r="1365" spans="1:58" ht="12.75">
      <c r="A1365" s="2" t="str">
        <f>HYPERLINK("https://ibp.a2mac1.com/costing(costing:projects/details/8191/part/5388490)","Side on Tailgate")</f>
        <v>Side on Tailgate</v>
      </c>
      <c r="B1365">
        <v>5388490</v>
      </c>
      <c r="C1365">
        <v>5388212</v>
      </c>
      <c r="E1365">
        <v>0.023410884</v>
      </c>
      <c r="F1365">
        <v>0</v>
      </c>
      <c r="G1365">
        <v>0</v>
      </c>
      <c r="H1365">
        <v>2.370425347368421E-05</v>
      </c>
      <c r="I1365" t="s">
        <v>137</v>
      </c>
      <c r="J1365">
        <v>0.00082143452631578946</v>
      </c>
      <c r="K1365">
        <v>0.024256022779789475</v>
      </c>
      <c r="L1365">
        <v>0.073635695023297532</v>
      </c>
      <c r="M1365">
        <v>0.44181417013978524</v>
      </c>
      <c r="N1365">
        <v>0.46607019291957469</v>
      </c>
      <c r="O1365" t="s">
        <v>138</v>
      </c>
      <c r="P1365">
        <v>0.0014553613667873683</v>
      </c>
      <c r="Q1365" t="s">
        <v>138</v>
      </c>
      <c r="R1365">
        <v>0.026508850208387114</v>
      </c>
      <c r="S1365" t="s">
        <v>139</v>
      </c>
      <c r="T1365">
        <v>0.05592842315034896</v>
      </c>
      <c r="U1365" t="s">
        <v>90</v>
      </c>
      <c r="V1365">
        <v>0</v>
      </c>
      <c r="W1365" t="s">
        <v>90</v>
      </c>
      <c r="X1365">
        <v>0</v>
      </c>
      <c r="Y1365">
        <v>0.54996282764509818</v>
      </c>
      <c r="Z1365">
        <v>0</v>
      </c>
      <c r="AA1365">
        <v>0</v>
      </c>
      <c r="AB1365">
        <v>0</v>
      </c>
      <c r="AC1365">
        <v>0</v>
      </c>
      <c r="AD1365">
        <v>0</v>
      </c>
      <c r="AI1365">
        <v>0.002</v>
      </c>
      <c r="AK1365" t="s">
        <v>4605</v>
      </c>
      <c r="AL1365" t="s">
        <v>3752</v>
      </c>
      <c r="AM1365">
        <v>400000</v>
      </c>
      <c r="AN1365" t="s">
        <v>76</v>
      </c>
      <c r="AO1365">
        <v>2</v>
      </c>
      <c r="AP1365">
        <v>0</v>
      </c>
      <c r="AQ1365">
        <v>33333.333333333336</v>
      </c>
      <c r="AR1365" t="s">
        <v>5520</v>
      </c>
      <c r="AS1365" t="s">
        <v>78</v>
      </c>
      <c r="AX1365" t="s">
        <v>79</v>
      </c>
      <c r="AY1365" t="s">
        <v>137</v>
      </c>
      <c r="AZ1365">
        <v>0</v>
      </c>
      <c r="BA1365" t="s">
        <v>137</v>
      </c>
      <c r="BB1365">
        <v>0</v>
      </c>
      <c r="BE1365">
        <v>0</v>
      </c>
    </row>
    <row r="1366" spans="1:58" ht="12.75">
      <c r="A1366" s="2" t="str">
        <f>HYPERLINK("https://ibp.a2mac1.com/costing(costing:projects/details/8191/part/5388492)","Harness")</f>
        <v>Harness</v>
      </c>
      <c r="B1366">
        <v>5388492</v>
      </c>
      <c r="C1366">
        <v>5388213</v>
      </c>
      <c r="E1366">
        <v>15.34517</v>
      </c>
      <c r="F1366">
        <v>0</v>
      </c>
      <c r="G1366">
        <v>0</v>
      </c>
      <c r="H1366">
        <v>0</v>
      </c>
      <c r="I1366" t="s">
        <v>74</v>
      </c>
      <c r="J1366">
        <v>0</v>
      </c>
      <c r="K1366">
        <v>15.34517</v>
      </c>
      <c r="L1366">
        <v>0</v>
      </c>
      <c r="M1366">
        <v>0</v>
      </c>
      <c r="N1366">
        <v>15.34517</v>
      </c>
      <c r="O1366" t="s">
        <v>74</v>
      </c>
      <c r="P1366">
        <v>0</v>
      </c>
      <c r="Q1366" t="s">
        <v>74</v>
      </c>
      <c r="R1366">
        <v>0</v>
      </c>
      <c r="S1366" t="s">
        <v>74</v>
      </c>
      <c r="T1366">
        <v>0</v>
      </c>
      <c r="U1366" t="s">
        <v>74</v>
      </c>
      <c r="V1366">
        <v>0</v>
      </c>
      <c r="W1366" t="s">
        <v>74</v>
      </c>
      <c r="X1366">
        <v>0</v>
      </c>
      <c r="Y1366">
        <v>15.34517</v>
      </c>
      <c r="Z1366">
        <v>0</v>
      </c>
      <c r="AA1366">
        <v>0</v>
      </c>
      <c r="AB1366">
        <v>0</v>
      </c>
      <c r="AC1366">
        <v>0</v>
      </c>
      <c r="AD1366">
        <v>0</v>
      </c>
      <c r="AI1366">
        <v>0.432</v>
      </c>
      <c r="AJ1366" t="s">
        <v>1644</v>
      </c>
      <c r="AK1366" t="s">
        <v>1645</v>
      </c>
      <c r="AL1366" t="s">
        <v>1658</v>
      </c>
      <c r="AM1366">
        <v>200000</v>
      </c>
      <c r="AN1366" t="s">
        <v>76</v>
      </c>
      <c r="AO1366">
        <v>1</v>
      </c>
      <c r="AP1366">
        <v>0</v>
      </c>
      <c r="AQ1366">
        <v>16666.666666666668</v>
      </c>
      <c r="AR1366" t="s">
        <v>5524</v>
      </c>
      <c r="AS1366" t="s">
        <v>78</v>
      </c>
      <c r="AX1366" t="s">
        <v>79</v>
      </c>
      <c r="AY1366" t="s">
        <v>74</v>
      </c>
      <c r="AZ1366">
        <v>0</v>
      </c>
      <c r="BA1366" t="s">
        <v>74</v>
      </c>
      <c r="BB1366">
        <v>0</v>
      </c>
      <c r="BD1366">
        <v>15.34517</v>
      </c>
      <c r="BE1366">
        <v>0</v>
      </c>
    </row>
    <row r="1367" spans="1:58" ht="12.75">
      <c r="A1367" s="2" t="str">
        <f>HYPERLINK("https://ibp.a2mac1.com/costing(costing:projects/details/8191/part/5388493)","Defrost Relay")</f>
        <v>Defrost Relay</v>
      </c>
      <c r="B1367">
        <v>5388493</v>
      </c>
      <c r="C1367">
        <v>5388213</v>
      </c>
      <c r="E1367">
        <v>0.73819999999999997</v>
      </c>
      <c r="F1367">
        <v>0</v>
      </c>
      <c r="G1367">
        <v>0</v>
      </c>
      <c r="H1367">
        <v>0</v>
      </c>
      <c r="I1367" t="s">
        <v>74</v>
      </c>
      <c r="J1367">
        <v>0</v>
      </c>
      <c r="K1367">
        <v>0.73819999999999997</v>
      </c>
      <c r="L1367">
        <v>0</v>
      </c>
      <c r="M1367">
        <v>0</v>
      </c>
      <c r="N1367">
        <v>0.73819999999999997</v>
      </c>
      <c r="O1367" t="s">
        <v>74</v>
      </c>
      <c r="P1367">
        <v>0</v>
      </c>
      <c r="Q1367" t="s">
        <v>74</v>
      </c>
      <c r="R1367">
        <v>0</v>
      </c>
      <c r="S1367" t="s">
        <v>74</v>
      </c>
      <c r="T1367">
        <v>0</v>
      </c>
      <c r="U1367" t="s">
        <v>74</v>
      </c>
      <c r="V1367">
        <v>0</v>
      </c>
      <c r="W1367" t="s">
        <v>74</v>
      </c>
      <c r="X1367">
        <v>0</v>
      </c>
      <c r="Y1367">
        <v>0.73819999999999997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22</v>
      </c>
      <c r="AF1367">
        <v>74</v>
      </c>
      <c r="AG1367">
        <v>15</v>
      </c>
      <c r="AI1367">
        <v>0.0195</v>
      </c>
      <c r="AJ1367" t="s">
        <v>685</v>
      </c>
      <c r="AK1367" t="s">
        <v>686</v>
      </c>
      <c r="AL1367" t="s">
        <v>1760</v>
      </c>
      <c r="AM1367">
        <v>400000</v>
      </c>
      <c r="AN1367" t="s">
        <v>76</v>
      </c>
      <c r="AO1367">
        <v>2</v>
      </c>
      <c r="AP1367">
        <v>0</v>
      </c>
      <c r="AQ1367">
        <v>33333.333333333336</v>
      </c>
      <c r="AR1367" t="s">
        <v>5525</v>
      </c>
      <c r="AS1367" t="s">
        <v>78</v>
      </c>
      <c r="AX1367" t="s">
        <v>79</v>
      </c>
      <c r="AY1367" t="s">
        <v>74</v>
      </c>
      <c r="AZ1367">
        <v>0</v>
      </c>
      <c r="BA1367" t="s">
        <v>74</v>
      </c>
      <c r="BB1367">
        <v>0</v>
      </c>
      <c r="BD1367">
        <v>0.36909999999999998</v>
      </c>
      <c r="BE1367">
        <v>0</v>
      </c>
    </row>
    <row r="1368" spans="1:58" ht="12.75">
      <c r="A1368" s="2" t="str">
        <f>HYPERLINK("https://ibp.a2mac1.com/costing(costing:projects/details/8191/part/5388494)","Plugs Support")</f>
        <v>Plugs Support</v>
      </c>
      <c r="B1368">
        <v>5388494</v>
      </c>
      <c r="C1368">
        <v>5388213</v>
      </c>
      <c r="E1368">
        <v>0.026350426909195507</v>
      </c>
      <c r="F1368">
        <v>0</v>
      </c>
      <c r="G1368">
        <v>0</v>
      </c>
      <c r="H1368">
        <v>5.433514961362394E-05</v>
      </c>
      <c r="I1368" t="s">
        <v>137</v>
      </c>
      <c r="J1368">
        <v>0.00092317001770720285</v>
      </c>
      <c r="K1368">
        <v>0.027327932076516331</v>
      </c>
      <c r="L1368">
        <v>0.012527435396550083</v>
      </c>
      <c r="M1368">
        <v>0.075164612379300499</v>
      </c>
      <c r="N1368">
        <v>0.10249254445581683</v>
      </c>
      <c r="O1368" t="s">
        <v>138</v>
      </c>
      <c r="P1368">
        <v>0.0016396759245909799</v>
      </c>
      <c r="Q1368" t="s">
        <v>138</v>
      </c>
      <c r="R1368">
        <v>0.0045098767427580299</v>
      </c>
      <c r="S1368" t="s">
        <v>139</v>
      </c>
      <c r="T1368">
        <v>0.01229910533469802</v>
      </c>
      <c r="U1368" t="s">
        <v>90</v>
      </c>
      <c r="V1368">
        <v>0</v>
      </c>
      <c r="W1368" t="s">
        <v>90</v>
      </c>
      <c r="X1368">
        <v>0</v>
      </c>
      <c r="Y1368">
        <v>0.12094120245786386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52</v>
      </c>
      <c r="AF1368">
        <v>78</v>
      </c>
      <c r="AG1368">
        <v>37</v>
      </c>
      <c r="AI1368">
        <v>0.015</v>
      </c>
      <c r="AJ1368" t="s">
        <v>685</v>
      </c>
      <c r="AK1368" t="s">
        <v>4605</v>
      </c>
      <c r="AL1368" t="s">
        <v>1261</v>
      </c>
      <c r="AM1368">
        <v>200000</v>
      </c>
      <c r="AN1368" t="s">
        <v>76</v>
      </c>
      <c r="AO1368">
        <v>1</v>
      </c>
      <c r="AP1368">
        <v>0</v>
      </c>
      <c r="AQ1368">
        <v>16666.666666666668</v>
      </c>
      <c r="AR1368" t="s">
        <v>5530</v>
      </c>
      <c r="AS1368" t="s">
        <v>78</v>
      </c>
      <c r="AX1368" t="s">
        <v>79</v>
      </c>
      <c r="AY1368" t="s">
        <v>137</v>
      </c>
      <c r="AZ1368">
        <v>0</v>
      </c>
      <c r="BA1368" t="s">
        <v>137</v>
      </c>
      <c r="BB1368">
        <v>0</v>
      </c>
      <c r="BE1368">
        <v>0</v>
      </c>
    </row>
    <row r="1369" spans="1:58" ht="12.75">
      <c r="A1369" s="2" t="str">
        <f>HYPERLINK("https://ibp.a2mac1.com/costing(costing:projects/details/8191/part/5388829)","Control Handle")</f>
        <v>Control Handle</v>
      </c>
      <c r="B1369">
        <v>5388829</v>
      </c>
      <c r="C1369">
        <v>5388497</v>
      </c>
      <c r="E1369">
        <v>0.92274</v>
      </c>
      <c r="F1369">
        <v>0</v>
      </c>
      <c r="G1369">
        <v>0</v>
      </c>
      <c r="H1369">
        <v>0</v>
      </c>
      <c r="I1369" t="s">
        <v>74</v>
      </c>
      <c r="J1369">
        <v>0</v>
      </c>
      <c r="K1369">
        <v>0.92274</v>
      </c>
      <c r="L1369">
        <v>0</v>
      </c>
      <c r="M1369">
        <v>0</v>
      </c>
      <c r="N1369">
        <v>0.92274</v>
      </c>
      <c r="O1369" t="s">
        <v>74</v>
      </c>
      <c r="P1369">
        <v>0</v>
      </c>
      <c r="Q1369" t="s">
        <v>74</v>
      </c>
      <c r="R1369">
        <v>0</v>
      </c>
      <c r="S1369" t="s">
        <v>74</v>
      </c>
      <c r="T1369">
        <v>0</v>
      </c>
      <c r="U1369" t="s">
        <v>74</v>
      </c>
      <c r="V1369">
        <v>0</v>
      </c>
      <c r="W1369" t="s">
        <v>74</v>
      </c>
      <c r="X1369">
        <v>0</v>
      </c>
      <c r="Y1369">
        <v>0.92274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50</v>
      </c>
      <c r="AF1369">
        <v>110</v>
      </c>
      <c r="AG1369">
        <v>40</v>
      </c>
      <c r="AI1369">
        <v>0.052999999999999999</v>
      </c>
      <c r="AJ1369" t="s">
        <v>685</v>
      </c>
      <c r="AK1369" t="s">
        <v>4605</v>
      </c>
      <c r="AL1369" t="s">
        <v>1309</v>
      </c>
      <c r="AM1369">
        <v>200000</v>
      </c>
      <c r="AN1369" t="s">
        <v>76</v>
      </c>
      <c r="AO1369">
        <v>1</v>
      </c>
      <c r="AP1369">
        <v>0</v>
      </c>
      <c r="AQ1369">
        <v>16666.666666666668</v>
      </c>
      <c r="AR1369" t="s">
        <v>5535</v>
      </c>
      <c r="AS1369" t="s">
        <v>78</v>
      </c>
      <c r="AX1369" t="s">
        <v>79</v>
      </c>
      <c r="AY1369" t="s">
        <v>74</v>
      </c>
      <c r="AZ1369">
        <v>0</v>
      </c>
      <c r="BA1369" t="s">
        <v>74</v>
      </c>
      <c r="BB1369">
        <v>0</v>
      </c>
      <c r="BD1369">
        <v>0.92274</v>
      </c>
      <c r="BE1369">
        <v>0</v>
      </c>
    </row>
    <row r="1370" spans="1:58" ht="12.75">
      <c r="A1370" s="2" t="str">
        <f>HYPERLINK("https://ibp.a2mac1.com/costing(costing:projects/details/8191/part/5388830)","Control Support")</f>
        <v>Control Support</v>
      </c>
      <c r="B1370">
        <v>5388830</v>
      </c>
      <c r="C1370">
        <v>5388497</v>
      </c>
      <c r="E1370">
        <v>0.36314980000000002</v>
      </c>
      <c r="F1370">
        <v>0</v>
      </c>
      <c r="G1370">
        <v>0</v>
      </c>
      <c r="H1370">
        <v>0.0018655207999999999</v>
      </c>
      <c r="I1370" t="s">
        <v>137</v>
      </c>
      <c r="J1370">
        <v>0.0129038</v>
      </c>
      <c r="K1370">
        <v>0.37791912080000001</v>
      </c>
      <c r="L1370">
        <v>0.0020330925785092126</v>
      </c>
      <c r="M1370">
        <v>0.012198555471055276</v>
      </c>
      <c r="N1370">
        <v>0.39011767627105526</v>
      </c>
      <c r="O1370" t="s">
        <v>138</v>
      </c>
      <c r="P1370">
        <v>0.022675147247999999</v>
      </c>
      <c r="Q1370" t="s">
        <v>138</v>
      </c>
      <c r="R1370">
        <v>0.00073191332826331654</v>
      </c>
      <c r="S1370" t="s">
        <v>139</v>
      </c>
      <c r="T1370">
        <v>0.04681412115252663</v>
      </c>
      <c r="U1370" t="s">
        <v>90</v>
      </c>
      <c r="V1370">
        <v>0</v>
      </c>
      <c r="W1370" t="s">
        <v>90</v>
      </c>
      <c r="X1370">
        <v>0</v>
      </c>
      <c r="Y1370">
        <v>0.46033885799984525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130</v>
      </c>
      <c r="AF1370">
        <v>1225</v>
      </c>
      <c r="AG1370">
        <v>120</v>
      </c>
      <c r="AI1370">
        <v>0.26</v>
      </c>
      <c r="AJ1370" t="s">
        <v>5268</v>
      </c>
      <c r="AK1370" t="s">
        <v>4605</v>
      </c>
      <c r="AL1370" t="s">
        <v>5540</v>
      </c>
      <c r="AM1370">
        <v>200000</v>
      </c>
      <c r="AN1370" t="s">
        <v>76</v>
      </c>
      <c r="AO1370">
        <v>1</v>
      </c>
      <c r="AP1370">
        <v>0</v>
      </c>
      <c r="AQ1370">
        <v>16666.666666666668</v>
      </c>
      <c r="AR1370" t="s">
        <v>5541</v>
      </c>
      <c r="AS1370" t="s">
        <v>78</v>
      </c>
      <c r="AX1370" t="s">
        <v>79</v>
      </c>
      <c r="AY1370" t="s">
        <v>137</v>
      </c>
      <c r="AZ1370">
        <v>0</v>
      </c>
      <c r="BA1370" t="s">
        <v>137</v>
      </c>
      <c r="BB1370">
        <v>0</v>
      </c>
      <c r="BE1370">
        <v>0</v>
      </c>
    </row>
    <row r="1371" spans="1:58" ht="12.75">
      <c r="A1371" s="2" t="str">
        <f>HYPERLINK("https://ibp.a2mac1.com/costing(costing:projects/details/8191/part/5388832)","Lock")</f>
        <v>Lock</v>
      </c>
      <c r="B1371">
        <v>5388832</v>
      </c>
      <c r="C1371">
        <v>5388498</v>
      </c>
      <c r="E1371">
        <v>2.7682199999999999</v>
      </c>
      <c r="F1371">
        <v>0</v>
      </c>
      <c r="G1371">
        <v>0</v>
      </c>
      <c r="H1371">
        <v>0</v>
      </c>
      <c r="I1371" t="s">
        <v>74</v>
      </c>
      <c r="J1371">
        <v>0</v>
      </c>
      <c r="K1371">
        <v>2.7682199999999999</v>
      </c>
      <c r="L1371">
        <v>0</v>
      </c>
      <c r="M1371">
        <v>0</v>
      </c>
      <c r="N1371">
        <v>2.7682199999999999</v>
      </c>
      <c r="O1371" t="s">
        <v>74</v>
      </c>
      <c r="P1371">
        <v>0</v>
      </c>
      <c r="Q1371" t="s">
        <v>74</v>
      </c>
      <c r="R1371">
        <v>0</v>
      </c>
      <c r="S1371" t="s">
        <v>74</v>
      </c>
      <c r="T1371">
        <v>0</v>
      </c>
      <c r="U1371" t="s">
        <v>74</v>
      </c>
      <c r="V1371">
        <v>0</v>
      </c>
      <c r="W1371" t="s">
        <v>74</v>
      </c>
      <c r="X1371">
        <v>0</v>
      </c>
      <c r="Y1371">
        <v>2.7682199999999999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120</v>
      </c>
      <c r="AF1371">
        <v>140</v>
      </c>
      <c r="AG1371">
        <v>75</v>
      </c>
      <c r="AI1371">
        <v>0.515</v>
      </c>
      <c r="AJ1371" t="s">
        <v>685</v>
      </c>
      <c r="AK1371" t="s">
        <v>4765</v>
      </c>
      <c r="AL1371" t="s">
        <v>5545</v>
      </c>
      <c r="AM1371">
        <v>200000</v>
      </c>
      <c r="AN1371" t="s">
        <v>76</v>
      </c>
      <c r="AO1371">
        <v>1</v>
      </c>
      <c r="AP1371">
        <v>0</v>
      </c>
      <c r="AQ1371">
        <v>16666.666666666668</v>
      </c>
      <c r="AR1371" t="s">
        <v>5546</v>
      </c>
      <c r="AS1371" t="s">
        <v>78</v>
      </c>
      <c r="AX1371" t="s">
        <v>79</v>
      </c>
      <c r="AY1371" t="s">
        <v>74</v>
      </c>
      <c r="AZ1371">
        <v>0</v>
      </c>
      <c r="BA1371" t="s">
        <v>74</v>
      </c>
      <c r="BB1371">
        <v>0</v>
      </c>
      <c r="BD1371">
        <v>2.7682199999999999</v>
      </c>
      <c r="BE1371">
        <v>0</v>
      </c>
    </row>
    <row r="1372" spans="1:58" ht="12.75">
      <c r="A1372" s="2" t="str">
        <f>HYPERLINK("https://ibp.a2mac1.com/costing(costing:projects/details/8191/part/5388833)","Lock Trim")</f>
        <v>Lock Trim</v>
      </c>
      <c r="B1372">
        <v>5388833</v>
      </c>
      <c r="C1372">
        <v>5388498</v>
      </c>
      <c r="E1372">
        <v>0.049652884210526313</v>
      </c>
      <c r="F1372">
        <v>0</v>
      </c>
      <c r="G1372">
        <v>0</v>
      </c>
      <c r="H1372">
        <v>0.00025124359410526315</v>
      </c>
      <c r="I1372" t="s">
        <v>137</v>
      </c>
      <c r="J1372">
        <v>0.0017378509473684211</v>
      </c>
      <c r="K1372">
        <v>0.051641978752000002</v>
      </c>
      <c r="L1372">
        <v>0.00026822177960753773</v>
      </c>
      <c r="M1372">
        <v>0.0016093306776452264</v>
      </c>
      <c r="N1372">
        <v>0.053251309429645226</v>
      </c>
      <c r="O1372" t="s">
        <v>138</v>
      </c>
      <c r="P1372">
        <v>0.0030985187251199998</v>
      </c>
      <c r="Q1372" t="s">
        <v>138</v>
      </c>
      <c r="R1372">
        <v>9.6559840658713589E-05</v>
      </c>
      <c r="S1372" t="s">
        <v>139</v>
      </c>
      <c r="T1372">
        <v>0.0063901571315574269</v>
      </c>
      <c r="U1372" t="s">
        <v>90</v>
      </c>
      <c r="V1372">
        <v>0</v>
      </c>
      <c r="W1372" t="s">
        <v>90</v>
      </c>
      <c r="X1372">
        <v>0</v>
      </c>
      <c r="Y1372">
        <v>0.062836545126981364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90</v>
      </c>
      <c r="AF1372">
        <v>100</v>
      </c>
      <c r="AG1372">
        <v>45</v>
      </c>
      <c r="AI1372">
        <v>0.023</v>
      </c>
      <c r="AJ1372" t="s">
        <v>685</v>
      </c>
      <c r="AK1372" t="s">
        <v>4605</v>
      </c>
      <c r="AL1372" t="s">
        <v>5549</v>
      </c>
      <c r="AM1372">
        <v>200000</v>
      </c>
      <c r="AN1372" t="s">
        <v>76</v>
      </c>
      <c r="AO1372">
        <v>1</v>
      </c>
      <c r="AP1372">
        <v>0</v>
      </c>
      <c r="AQ1372">
        <v>16666.666666666668</v>
      </c>
      <c r="AR1372" t="s">
        <v>5550</v>
      </c>
      <c r="AS1372" t="s">
        <v>78</v>
      </c>
      <c r="AX1372" t="s">
        <v>79</v>
      </c>
      <c r="AY1372" t="s">
        <v>137</v>
      </c>
      <c r="AZ1372">
        <v>0</v>
      </c>
      <c r="BA1372" t="s">
        <v>137</v>
      </c>
      <c r="BB1372">
        <v>0</v>
      </c>
      <c r="BE1372">
        <v>0</v>
      </c>
    </row>
    <row r="1373" spans="1:58" ht="12.75">
      <c r="A1373" s="2" t="str">
        <f>HYPERLINK("https://ibp.a2mac1.com/costing(costing:projects/details/8191/part/5388835)","Striker")</f>
        <v>Striker</v>
      </c>
      <c r="B1373">
        <v>5388835</v>
      </c>
      <c r="C1373">
        <v>5388499</v>
      </c>
      <c r="E1373">
        <v>0.5647875765</v>
      </c>
      <c r="F1373">
        <v>0</v>
      </c>
      <c r="G1373">
        <v>0</v>
      </c>
      <c r="H1373">
        <v>0.002864987606105263</v>
      </c>
      <c r="I1373" t="s">
        <v>137</v>
      </c>
      <c r="J1373">
        <v>0.01981710794736842</v>
      </c>
      <c r="K1373">
        <v>0.58746967205347367</v>
      </c>
      <c r="L1373">
        <v>0.0022516922383928333</v>
      </c>
      <c r="M1373">
        <v>0.013510153430357</v>
      </c>
      <c r="N1373">
        <v>0.60097982548383067</v>
      </c>
      <c r="O1373" t="s">
        <v>138</v>
      </c>
      <c r="P1373">
        <v>0.035248180323208422</v>
      </c>
      <c r="Q1373" t="s">
        <v>138</v>
      </c>
      <c r="R1373">
        <v>0.00081060920582142002</v>
      </c>
      <c r="S1373" t="s">
        <v>139</v>
      </c>
      <c r="T1373">
        <v>0.072117579058059683</v>
      </c>
      <c r="U1373" t="s">
        <v>90</v>
      </c>
      <c r="V1373">
        <v>0</v>
      </c>
      <c r="W1373" t="s">
        <v>90</v>
      </c>
      <c r="X1373">
        <v>0</v>
      </c>
      <c r="Y1373">
        <v>0.70915619407092023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44</v>
      </c>
      <c r="AF1373">
        <v>181</v>
      </c>
      <c r="AG1373">
        <v>45</v>
      </c>
      <c r="AI1373">
        <v>0.193</v>
      </c>
      <c r="AJ1373" t="s">
        <v>685</v>
      </c>
      <c r="AK1373" t="s">
        <v>4605</v>
      </c>
      <c r="AL1373" t="s">
        <v>5558</v>
      </c>
      <c r="AM1373">
        <v>200000</v>
      </c>
      <c r="AN1373" t="s">
        <v>76</v>
      </c>
      <c r="AO1373">
        <v>1</v>
      </c>
      <c r="AP1373">
        <v>0</v>
      </c>
      <c r="AQ1373">
        <v>16666.666666666668</v>
      </c>
      <c r="AR1373" t="s">
        <v>5559</v>
      </c>
      <c r="AS1373" t="s">
        <v>78</v>
      </c>
      <c r="AX1373" t="s">
        <v>79</v>
      </c>
      <c r="AY1373" t="s">
        <v>137</v>
      </c>
      <c r="AZ1373">
        <v>0</v>
      </c>
      <c r="BA1373" t="s">
        <v>137</v>
      </c>
      <c r="BB1373">
        <v>0</v>
      </c>
      <c r="BE1373">
        <v>0</v>
      </c>
    </row>
    <row r="1374" spans="1:58" ht="12.75">
      <c r="A1374" s="2" t="str">
        <f>HYPERLINK("https://ibp.a2mac1.com/costing(costing:projects/details/8191/part/5388837)","Handle")</f>
        <v>Handle</v>
      </c>
      <c r="B1374">
        <v>5388837</v>
      </c>
      <c r="C1374">
        <v>5388500</v>
      </c>
      <c r="E1374">
        <v>0.13458204063654539</v>
      </c>
      <c r="F1374">
        <v>0</v>
      </c>
      <c r="G1374">
        <v>0</v>
      </c>
      <c r="H1374">
        <v>0.0002775110755697721</v>
      </c>
      <c r="I1374" t="s">
        <v>137</v>
      </c>
      <c r="J1374">
        <v>0.0047149940023990403</v>
      </c>
      <c r="K1374">
        <v>0.13957454571451419</v>
      </c>
      <c r="L1374">
        <v>0.015832809071193291</v>
      </c>
      <c r="M1374">
        <v>0.094996854427159744</v>
      </c>
      <c r="N1374">
        <v>0.23457140014167394</v>
      </c>
      <c r="O1374" t="s">
        <v>138</v>
      </c>
      <c r="P1374">
        <v>0.0083744727428708525</v>
      </c>
      <c r="Q1374" t="s">
        <v>138</v>
      </c>
      <c r="R1374">
        <v>0.0056998112656295842</v>
      </c>
      <c r="S1374" t="s">
        <v>139</v>
      </c>
      <c r="T1374">
        <v>0.028148568017000872</v>
      </c>
      <c r="U1374" t="s">
        <v>90</v>
      </c>
      <c r="V1374">
        <v>0</v>
      </c>
      <c r="W1374" t="s">
        <v>90</v>
      </c>
      <c r="X1374">
        <v>0</v>
      </c>
      <c r="Y1374">
        <v>0.27679425216717524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70</v>
      </c>
      <c r="AF1374">
        <v>225</v>
      </c>
      <c r="AG1374">
        <v>65</v>
      </c>
      <c r="AI1374">
        <v>0.097000000000000003</v>
      </c>
      <c r="AJ1374" t="s">
        <v>4432</v>
      </c>
      <c r="AK1374" t="s">
        <v>4605</v>
      </c>
      <c r="AL1374" t="s">
        <v>728</v>
      </c>
      <c r="AM1374">
        <v>200000</v>
      </c>
      <c r="AN1374" t="s">
        <v>76</v>
      </c>
      <c r="AO1374">
        <v>1</v>
      </c>
      <c r="AP1374">
        <v>0</v>
      </c>
      <c r="AQ1374">
        <v>16666.666666666668</v>
      </c>
      <c r="AR1374" t="s">
        <v>5568</v>
      </c>
      <c r="AS1374" t="s">
        <v>78</v>
      </c>
      <c r="AX1374" t="s">
        <v>79</v>
      </c>
      <c r="AY1374" t="s">
        <v>137</v>
      </c>
      <c r="AZ1374">
        <v>0</v>
      </c>
      <c r="BA1374" t="s">
        <v>137</v>
      </c>
      <c r="BB1374">
        <v>0</v>
      </c>
      <c r="BE1374">
        <v>0</v>
      </c>
    </row>
    <row r="1375" spans="1:58" ht="12.75">
      <c r="A1375" s="2" t="str">
        <f>HYPERLINK("https://ibp.a2mac1.com/costing(costing:projects/details/8191/part/5388839)","Closing Switch")</f>
        <v>Closing Switch</v>
      </c>
      <c r="B1375">
        <v>5388839</v>
      </c>
      <c r="C1375">
        <v>5388501</v>
      </c>
      <c r="E1375">
        <v>0.92274</v>
      </c>
      <c r="F1375">
        <v>0</v>
      </c>
      <c r="G1375">
        <v>0</v>
      </c>
      <c r="H1375">
        <v>0</v>
      </c>
      <c r="I1375" t="s">
        <v>74</v>
      </c>
      <c r="J1375">
        <v>0</v>
      </c>
      <c r="K1375">
        <v>0.92274</v>
      </c>
      <c r="L1375">
        <v>0</v>
      </c>
      <c r="M1375">
        <v>0</v>
      </c>
      <c r="N1375">
        <v>0.92274</v>
      </c>
      <c r="O1375" t="s">
        <v>74</v>
      </c>
      <c r="P1375">
        <v>0</v>
      </c>
      <c r="Q1375" t="s">
        <v>74</v>
      </c>
      <c r="R1375">
        <v>0</v>
      </c>
      <c r="S1375" t="s">
        <v>74</v>
      </c>
      <c r="T1375">
        <v>0</v>
      </c>
      <c r="U1375" t="s">
        <v>74</v>
      </c>
      <c r="V1375">
        <v>0</v>
      </c>
      <c r="W1375" t="s">
        <v>74</v>
      </c>
      <c r="X1375">
        <v>0</v>
      </c>
      <c r="Y1375">
        <v>0.92274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28</v>
      </c>
      <c r="AF1375">
        <v>53</v>
      </c>
      <c r="AG1375">
        <v>28</v>
      </c>
      <c r="AI1375">
        <v>0.012</v>
      </c>
      <c r="AJ1375" t="s">
        <v>685</v>
      </c>
      <c r="AK1375" t="s">
        <v>4605</v>
      </c>
      <c r="AL1375" t="s">
        <v>1676</v>
      </c>
      <c r="AM1375">
        <v>200000</v>
      </c>
      <c r="AN1375" t="s">
        <v>76</v>
      </c>
      <c r="AO1375">
        <v>1</v>
      </c>
      <c r="AP1375">
        <v>0</v>
      </c>
      <c r="AQ1375">
        <v>16666.666666666668</v>
      </c>
      <c r="AR1375" t="s">
        <v>5571</v>
      </c>
      <c r="AS1375" t="s">
        <v>78</v>
      </c>
      <c r="AX1375" t="s">
        <v>79</v>
      </c>
      <c r="AY1375" t="s">
        <v>74</v>
      </c>
      <c r="AZ1375">
        <v>0</v>
      </c>
      <c r="BA1375" t="s">
        <v>74</v>
      </c>
      <c r="BB1375">
        <v>0</v>
      </c>
      <c r="BD1375">
        <v>0.92274</v>
      </c>
      <c r="BE1375">
        <v>0</v>
      </c>
    </row>
    <row r="1376" spans="1:58" ht="12.75">
      <c r="A1376" s="2" t="str">
        <f>HYPERLINK("https://ibp.a2mac1.com/costing(costing:projects/details/8191/part/5388496)","Lock Motor")</f>
        <v>Lock Motor</v>
      </c>
      <c r="B1376">
        <v>5388496</v>
      </c>
      <c r="C1376">
        <v>5388214</v>
      </c>
      <c r="E1376">
        <v>3.5064099999999998</v>
      </c>
      <c r="F1376">
        <v>0</v>
      </c>
      <c r="G1376">
        <v>0</v>
      </c>
      <c r="H1376">
        <v>0</v>
      </c>
      <c r="I1376" t="s">
        <v>74</v>
      </c>
      <c r="J1376">
        <v>0</v>
      </c>
      <c r="K1376">
        <v>3.5064099999999998</v>
      </c>
      <c r="L1376">
        <v>0</v>
      </c>
      <c r="M1376">
        <v>0</v>
      </c>
      <c r="N1376">
        <v>3.5064099999999998</v>
      </c>
      <c r="O1376" t="s">
        <v>74</v>
      </c>
      <c r="P1376">
        <v>0</v>
      </c>
      <c r="Q1376" t="s">
        <v>74</v>
      </c>
      <c r="R1376">
        <v>0</v>
      </c>
      <c r="S1376" t="s">
        <v>74</v>
      </c>
      <c r="T1376">
        <v>0</v>
      </c>
      <c r="U1376" t="s">
        <v>74</v>
      </c>
      <c r="V1376">
        <v>0</v>
      </c>
      <c r="W1376" t="s">
        <v>74</v>
      </c>
      <c r="X1376">
        <v>0</v>
      </c>
      <c r="Y1376">
        <v>3.5064099999999998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45</v>
      </c>
      <c r="AF1376">
        <v>180</v>
      </c>
      <c r="AG1376">
        <v>140</v>
      </c>
      <c r="AI1376">
        <v>0.64100000000000001</v>
      </c>
      <c r="AJ1376" t="s">
        <v>685</v>
      </c>
      <c r="AK1376" t="s">
        <v>4765</v>
      </c>
      <c r="AL1376" t="s">
        <v>5574</v>
      </c>
      <c r="AM1376">
        <v>200000</v>
      </c>
      <c r="AN1376" t="s">
        <v>76</v>
      </c>
      <c r="AO1376">
        <v>1</v>
      </c>
      <c r="AP1376">
        <v>0</v>
      </c>
      <c r="AQ1376">
        <v>16666.666666666668</v>
      </c>
      <c r="AR1376" t="s">
        <v>5575</v>
      </c>
      <c r="AS1376" t="s">
        <v>78</v>
      </c>
      <c r="AX1376" t="s">
        <v>79</v>
      </c>
      <c r="AY1376" t="s">
        <v>74</v>
      </c>
      <c r="AZ1376">
        <v>0</v>
      </c>
      <c r="BA1376" t="s">
        <v>74</v>
      </c>
      <c r="BB1376">
        <v>0</v>
      </c>
      <c r="BD1376">
        <v>3.5064099999999998</v>
      </c>
      <c r="BE1376">
        <v>0</v>
      </c>
    </row>
    <row r="1377" spans="1:58" ht="12.75">
      <c r="A1377" s="2" t="str">
        <f>HYPERLINK("https://ibp.a2mac1.com/costing(costing:projects/details/8191/part/5388503)","Strut")</f>
        <v>Strut</v>
      </c>
      <c r="B1377">
        <v>5388503</v>
      </c>
      <c r="C1377">
        <v>5388215</v>
      </c>
      <c r="D1377" t="s">
        <v>5579</v>
      </c>
      <c r="E1377">
        <v>46</v>
      </c>
      <c r="F1377">
        <v>0</v>
      </c>
      <c r="G1377">
        <v>0</v>
      </c>
      <c r="H1377">
        <v>0</v>
      </c>
      <c r="I1377" t="s">
        <v>74</v>
      </c>
      <c r="J1377">
        <v>0</v>
      </c>
      <c r="K1377">
        <v>46</v>
      </c>
      <c r="L1377">
        <v>0</v>
      </c>
      <c r="M1377">
        <v>0</v>
      </c>
      <c r="N1377">
        <v>46</v>
      </c>
      <c r="O1377" t="s">
        <v>74</v>
      </c>
      <c r="P1377">
        <v>0</v>
      </c>
      <c r="Q1377" t="s">
        <v>74</v>
      </c>
      <c r="R1377">
        <v>0</v>
      </c>
      <c r="S1377" t="s">
        <v>74</v>
      </c>
      <c r="T1377">
        <v>0</v>
      </c>
      <c r="U1377" t="s">
        <v>74</v>
      </c>
      <c r="V1377">
        <v>0</v>
      </c>
      <c r="W1377" t="s">
        <v>74</v>
      </c>
      <c r="X1377">
        <v>0</v>
      </c>
      <c r="Y1377">
        <v>46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37</v>
      </c>
      <c r="AF1377">
        <v>37</v>
      </c>
      <c r="AG1377">
        <v>640</v>
      </c>
      <c r="AI1377">
        <v>1.0455000000000001</v>
      </c>
      <c r="AJ1377" t="s">
        <v>5580</v>
      </c>
      <c r="AK1377" t="s">
        <v>4765</v>
      </c>
      <c r="AL1377" t="s">
        <v>5581</v>
      </c>
      <c r="AM1377">
        <v>400000</v>
      </c>
      <c r="AN1377" t="s">
        <v>76</v>
      </c>
      <c r="AO1377">
        <v>2</v>
      </c>
      <c r="AP1377">
        <v>0</v>
      </c>
      <c r="AQ1377">
        <v>33333.333333333336</v>
      </c>
      <c r="AR1377" t="s">
        <v>5582</v>
      </c>
      <c r="AS1377" t="s">
        <v>78</v>
      </c>
      <c r="AX1377" t="s">
        <v>79</v>
      </c>
      <c r="AY1377" t="s">
        <v>74</v>
      </c>
      <c r="AZ1377">
        <v>0</v>
      </c>
      <c r="BA1377" t="s">
        <v>74</v>
      </c>
      <c r="BB1377">
        <v>0</v>
      </c>
      <c r="BD1377">
        <v>23</v>
      </c>
      <c r="BE1377">
        <v>0</v>
      </c>
    </row>
    <row r="1378" spans="1:58" ht="12.75">
      <c r="A1378" s="2" t="str">
        <f>HYPERLINK("https://ibp.a2mac1.com/costing(costing:projects/details/8191/part/5388504)","Fasteners on Body")</f>
        <v>Fasteners on Body</v>
      </c>
      <c r="B1378">
        <v>5388504</v>
      </c>
      <c r="C1378">
        <v>5388215</v>
      </c>
      <c r="E1378">
        <v>0.52624779333333338</v>
      </c>
      <c r="F1378">
        <v>0</v>
      </c>
      <c r="G1378">
        <v>0</v>
      </c>
      <c r="H1378">
        <v>0.0028616501626666665</v>
      </c>
      <c r="I1378" t="s">
        <v>137</v>
      </c>
      <c r="J1378">
        <v>0.019912078666666666</v>
      </c>
      <c r="K1378">
        <v>0.54902152216266664</v>
      </c>
      <c r="L1378">
        <v>0.00048336405836791078</v>
      </c>
      <c r="M1378">
        <v>0.0029001843502074647</v>
      </c>
      <c r="N1378">
        <v>0.55192170651287409</v>
      </c>
      <c r="O1378" t="s">
        <v>138</v>
      </c>
      <c r="P1378">
        <v>0.032941291329760002</v>
      </c>
      <c r="Q1378" t="s">
        <v>138</v>
      </c>
      <c r="R1378">
        <v>0.0001740110610124479</v>
      </c>
      <c r="S1378" t="s">
        <v>139</v>
      </c>
      <c r="T1378">
        <v>0.066230604781544897</v>
      </c>
      <c r="U1378" t="s">
        <v>90</v>
      </c>
      <c r="V1378">
        <v>0</v>
      </c>
      <c r="W1378" t="s">
        <v>90</v>
      </c>
      <c r="X1378">
        <v>0</v>
      </c>
      <c r="Y1378">
        <v>0.65126761368519148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40</v>
      </c>
      <c r="AF1378">
        <v>36</v>
      </c>
      <c r="AG1378">
        <v>159</v>
      </c>
      <c r="AI1378">
        <v>0.17449999999999999</v>
      </c>
      <c r="AJ1378" t="s">
        <v>685</v>
      </c>
      <c r="AK1378" t="s">
        <v>4605</v>
      </c>
      <c r="AL1378" t="s">
        <v>720</v>
      </c>
      <c r="AM1378">
        <v>400000</v>
      </c>
      <c r="AN1378" t="s">
        <v>76</v>
      </c>
      <c r="AO1378">
        <v>2</v>
      </c>
      <c r="AP1378">
        <v>0</v>
      </c>
      <c r="AQ1378">
        <v>33333.333333333336</v>
      </c>
      <c r="AR1378" t="s">
        <v>5587</v>
      </c>
      <c r="AS1378" t="s">
        <v>78</v>
      </c>
      <c r="AX1378" t="s">
        <v>79</v>
      </c>
      <c r="AY1378" t="s">
        <v>137</v>
      </c>
      <c r="AZ1378">
        <v>0</v>
      </c>
      <c r="BA1378" t="s">
        <v>137</v>
      </c>
      <c r="BB1378">
        <v>0</v>
      </c>
      <c r="BE1378">
        <v>0</v>
      </c>
    </row>
    <row r="1379" spans="1:58" ht="12.75">
      <c r="A1379" s="2" t="str">
        <f>HYPERLINK("https://ibp.a2mac1.com/costing(costing:projects/details/8191/part/5388505)","Fasteners on Tailgate")</f>
        <v>Fasteners on Tailgate</v>
      </c>
      <c r="B1379">
        <v>5388505</v>
      </c>
      <c r="C1379">
        <v>5388215</v>
      </c>
      <c r="D1379" t="s">
        <v>5588</v>
      </c>
      <c r="E1379">
        <v>1.50</v>
      </c>
      <c r="F1379">
        <v>0</v>
      </c>
      <c r="G1379">
        <v>0</v>
      </c>
      <c r="H1379">
        <v>0</v>
      </c>
      <c r="I1379" t="s">
        <v>74</v>
      </c>
      <c r="J1379">
        <v>0</v>
      </c>
      <c r="K1379">
        <v>1.50</v>
      </c>
      <c r="L1379">
        <v>0</v>
      </c>
      <c r="M1379">
        <v>0</v>
      </c>
      <c r="N1379">
        <v>1.50</v>
      </c>
      <c r="O1379" t="s">
        <v>74</v>
      </c>
      <c r="P1379">
        <v>0</v>
      </c>
      <c r="Q1379" t="s">
        <v>74</v>
      </c>
      <c r="R1379">
        <v>0</v>
      </c>
      <c r="S1379" t="s">
        <v>74</v>
      </c>
      <c r="T1379">
        <v>0</v>
      </c>
      <c r="U1379" t="s">
        <v>74</v>
      </c>
      <c r="V1379">
        <v>0</v>
      </c>
      <c r="W1379" t="s">
        <v>74</v>
      </c>
      <c r="X1379">
        <v>0</v>
      </c>
      <c r="Y1379">
        <v>1.50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18</v>
      </c>
      <c r="AF1379">
        <v>18</v>
      </c>
      <c r="AG1379">
        <v>47</v>
      </c>
      <c r="AI1379">
        <v>0.03</v>
      </c>
      <c r="AK1379" t="s">
        <v>4605</v>
      </c>
      <c r="AL1379" t="s">
        <v>720</v>
      </c>
      <c r="AM1379">
        <v>400000</v>
      </c>
      <c r="AN1379" t="s">
        <v>76</v>
      </c>
      <c r="AO1379">
        <v>2</v>
      </c>
      <c r="AP1379">
        <v>0</v>
      </c>
      <c r="AQ1379">
        <v>33333.333333333336</v>
      </c>
      <c r="AR1379" t="s">
        <v>5589</v>
      </c>
      <c r="AS1379" t="s">
        <v>78</v>
      </c>
      <c r="AX1379" t="s">
        <v>79</v>
      </c>
      <c r="AY1379" t="s">
        <v>74</v>
      </c>
      <c r="AZ1379">
        <v>0</v>
      </c>
      <c r="BA1379" t="s">
        <v>74</v>
      </c>
      <c r="BB1379">
        <v>0</v>
      </c>
      <c r="BD1379">
        <v>0.75</v>
      </c>
      <c r="BE1379">
        <v>0</v>
      </c>
    </row>
    <row r="1380" spans="1:58" ht="12.75">
      <c r="A1380" s="2" t="str">
        <f>HYPERLINK("https://ibp.a2mac1.com/costing(costing:projects/details/8191/part/5388507)","Stoppers on Body")</f>
        <v>Stoppers on Body</v>
      </c>
      <c r="B1380">
        <v>5388507</v>
      </c>
      <c r="C1380">
        <v>5388216</v>
      </c>
      <c r="E1380">
        <v>0.023410884</v>
      </c>
      <c r="F1380">
        <v>0</v>
      </c>
      <c r="G1380">
        <v>0</v>
      </c>
      <c r="H1380">
        <v>0.00011805187621052632</v>
      </c>
      <c r="I1380" t="s">
        <v>137</v>
      </c>
      <c r="J1380">
        <v>0.00082143452631578946</v>
      </c>
      <c r="K1380">
        <v>0.024350370402526317</v>
      </c>
      <c r="L1380">
        <v>0.00037042063531346589</v>
      </c>
      <c r="M1380">
        <v>0.0022225238118807954</v>
      </c>
      <c r="N1380">
        <v>0.02657289421440711</v>
      </c>
      <c r="O1380" t="s">
        <v>138</v>
      </c>
      <c r="P1380">
        <v>0.001461022224151579</v>
      </c>
      <c r="Q1380" t="s">
        <v>138</v>
      </c>
      <c r="R1380">
        <v>0.00013335142871284772</v>
      </c>
      <c r="S1380" t="s">
        <v>139</v>
      </c>
      <c r="T1380">
        <v>0.0031887473057288533</v>
      </c>
      <c r="U1380" t="s">
        <v>90</v>
      </c>
      <c r="V1380">
        <v>0</v>
      </c>
      <c r="W1380" t="s">
        <v>90</v>
      </c>
      <c r="X1380">
        <v>0</v>
      </c>
      <c r="Y1380">
        <v>0.031356015173000393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13</v>
      </c>
      <c r="AF1380">
        <v>24</v>
      </c>
      <c r="AG1380">
        <v>24</v>
      </c>
      <c r="AI1380">
        <v>0.0040000000000000001</v>
      </c>
      <c r="AK1380" t="s">
        <v>4605</v>
      </c>
      <c r="AL1380" t="s">
        <v>3752</v>
      </c>
      <c r="AM1380">
        <v>400000</v>
      </c>
      <c r="AN1380" t="s">
        <v>76</v>
      </c>
      <c r="AO1380">
        <v>2</v>
      </c>
      <c r="AP1380">
        <v>0</v>
      </c>
      <c r="AQ1380">
        <v>33333.333333333336</v>
      </c>
      <c r="AR1380" t="s">
        <v>5595</v>
      </c>
      <c r="AS1380" t="s">
        <v>78</v>
      </c>
      <c r="AX1380" t="s">
        <v>79</v>
      </c>
      <c r="AY1380" t="s">
        <v>137</v>
      </c>
      <c r="AZ1380">
        <v>0</v>
      </c>
      <c r="BA1380" t="s">
        <v>137</v>
      </c>
      <c r="BB1380">
        <v>0</v>
      </c>
      <c r="BE1380">
        <v>0</v>
      </c>
    </row>
    <row r="1381" spans="1:58" ht="12.75">
      <c r="A1381" s="2" t="str">
        <f>HYPERLINK("https://ibp.a2mac1.com/costing(costing:projects/details/8191/part/5388508)","Adjustable Stoppers on Body")</f>
        <v>Adjustable Stoppers on Body</v>
      </c>
      <c r="B1381">
        <v>5388508</v>
      </c>
      <c r="C1381">
        <v>5388216</v>
      </c>
      <c r="E1381">
        <v>0.066713928749999998</v>
      </c>
      <c r="F1381">
        <v>0</v>
      </c>
      <c r="G1381">
        <v>0</v>
      </c>
      <c r="H1381">
        <v>0.00033641209184210528</v>
      </c>
      <c r="I1381" t="s">
        <v>137</v>
      </c>
      <c r="J1381">
        <v>0.0023408396052631581</v>
      </c>
      <c r="K1381">
        <v>0.069391180447105266</v>
      </c>
      <c r="L1381">
        <v>0.0016206000246983374</v>
      </c>
      <c r="M1381">
        <v>0.0097236001481900234</v>
      </c>
      <c r="N1381">
        <v>0.079114780595295281</v>
      </c>
      <c r="O1381" t="s">
        <v>138</v>
      </c>
      <c r="P1381">
        <v>0.0041634708268263156</v>
      </c>
      <c r="Q1381" t="s">
        <v>138</v>
      </c>
      <c r="R1381">
        <v>0.00058341600889140141</v>
      </c>
      <c r="S1381" t="s">
        <v>139</v>
      </c>
      <c r="T1381">
        <v>0.0094937736714354338</v>
      </c>
      <c r="U1381" t="s">
        <v>90</v>
      </c>
      <c r="V1381">
        <v>0</v>
      </c>
      <c r="W1381" t="s">
        <v>90</v>
      </c>
      <c r="X1381">
        <v>0</v>
      </c>
      <c r="Y1381">
        <v>0.093355441102448436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33</v>
      </c>
      <c r="AF1381">
        <v>26</v>
      </c>
      <c r="AG1381">
        <v>49</v>
      </c>
      <c r="AI1381">
        <v>0.0175</v>
      </c>
      <c r="AJ1381" t="s">
        <v>4987</v>
      </c>
      <c r="AK1381" t="s">
        <v>4605</v>
      </c>
      <c r="AL1381" t="s">
        <v>5600</v>
      </c>
      <c r="AM1381">
        <v>400000</v>
      </c>
      <c r="AN1381" t="s">
        <v>76</v>
      </c>
      <c r="AO1381">
        <v>2</v>
      </c>
      <c r="AP1381">
        <v>0</v>
      </c>
      <c r="AQ1381">
        <v>33333.333333333336</v>
      </c>
      <c r="AR1381" t="s">
        <v>5601</v>
      </c>
      <c r="AS1381" t="s">
        <v>78</v>
      </c>
      <c r="AX1381" t="s">
        <v>79</v>
      </c>
      <c r="AY1381" t="s">
        <v>137</v>
      </c>
      <c r="AZ1381">
        <v>0</v>
      </c>
      <c r="BA1381" t="s">
        <v>137</v>
      </c>
      <c r="BB1381">
        <v>0</v>
      </c>
      <c r="BE1381">
        <v>0</v>
      </c>
    </row>
    <row r="1382" spans="1:58" ht="12.75">
      <c r="A1382" s="2" t="str">
        <f>HYPERLINK("https://ibp.a2mac1.com/costing(costing:projects/details/8191/part/5388509)","Stopper on Tailgate")</f>
        <v>Stopper on Tailgate</v>
      </c>
      <c r="B1382">
        <v>5388509</v>
      </c>
      <c r="C1382">
        <v>5388216</v>
      </c>
      <c r="E1382">
        <v>0.090717175499999997</v>
      </c>
      <c r="F1382">
        <v>0</v>
      </c>
      <c r="G1382">
        <v>0</v>
      </c>
      <c r="H1382">
        <v>0.00045745102031578946</v>
      </c>
      <c r="I1382" t="s">
        <v>137</v>
      </c>
      <c r="J1382">
        <v>0.0031830587894736842</v>
      </c>
      <c r="K1382">
        <v>0.094357685309789469</v>
      </c>
      <c r="L1382">
        <v>0.001435400859069671</v>
      </c>
      <c r="M1382">
        <v>0.0086124051544180253</v>
      </c>
      <c r="N1382">
        <v>0.10297009046420751</v>
      </c>
      <c r="O1382" t="s">
        <v>138</v>
      </c>
      <c r="P1382">
        <v>0.0056614611185873687</v>
      </c>
      <c r="Q1382" t="s">
        <v>138</v>
      </c>
      <c r="R1382">
        <v>0.00051674430926508151</v>
      </c>
      <c r="S1382" t="s">
        <v>139</v>
      </c>
      <c r="T1382">
        <v>0.012356410855704899</v>
      </c>
      <c r="U1382" t="s">
        <v>90</v>
      </c>
      <c r="V1382">
        <v>0</v>
      </c>
      <c r="W1382" t="s">
        <v>90</v>
      </c>
      <c r="X1382">
        <v>0</v>
      </c>
      <c r="Y1382">
        <v>0.12150470674776485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41</v>
      </c>
      <c r="AF1382">
        <v>39</v>
      </c>
      <c r="AG1382">
        <v>25</v>
      </c>
      <c r="AI1382">
        <v>0.0155</v>
      </c>
      <c r="AJ1382" t="s">
        <v>3293</v>
      </c>
      <c r="AK1382" t="s">
        <v>4605</v>
      </c>
      <c r="AL1382" t="s">
        <v>3856</v>
      </c>
      <c r="AM1382">
        <v>400000</v>
      </c>
      <c r="AN1382" t="s">
        <v>76</v>
      </c>
      <c r="AO1382">
        <v>2</v>
      </c>
      <c r="AP1382">
        <v>0</v>
      </c>
      <c r="AQ1382">
        <v>33333.333333333336</v>
      </c>
      <c r="AR1382" t="s">
        <v>5606</v>
      </c>
      <c r="AS1382" t="s">
        <v>78</v>
      </c>
      <c r="AX1382" t="s">
        <v>79</v>
      </c>
      <c r="AY1382" t="s">
        <v>137</v>
      </c>
      <c r="AZ1382">
        <v>0</v>
      </c>
      <c r="BA1382" t="s">
        <v>137</v>
      </c>
      <c r="BB1382">
        <v>0</v>
      </c>
      <c r="BE1382">
        <v>0</v>
      </c>
    </row>
    <row r="1383" spans="1:58" ht="12.75">
      <c r="A1383" s="2" t="str">
        <f>HYPERLINK("https://ibp.a2mac1.com/costing(costing:projects/details/8191/part/5388510)","Adjustable Stopper on Tailgate")</f>
        <v>Adjustable Stopper on Tailgate</v>
      </c>
      <c r="B1383">
        <v>5388510</v>
      </c>
      <c r="C1383">
        <v>5388216</v>
      </c>
      <c r="E1383">
        <v>0.018249463157894736</v>
      </c>
      <c r="F1383">
        <v>0</v>
      </c>
      <c r="G1383">
        <v>0</v>
      </c>
      <c r="H1383">
        <v>9.1794799684210529E-05</v>
      </c>
      <c r="I1383" t="s">
        <v>137</v>
      </c>
      <c r="J1383">
        <v>0.0006387312105263158</v>
      </c>
      <c r="K1383">
        <v>0.018979989168105262</v>
      </c>
      <c r="L1383">
        <v>0.00050932934074898848</v>
      </c>
      <c r="M1383">
        <v>0.0030559760444939309</v>
      </c>
      <c r="N1383">
        <v>0.022035965212599193</v>
      </c>
      <c r="O1383" t="s">
        <v>138</v>
      </c>
      <c r="P1383">
        <v>0.0011387993500863159</v>
      </c>
      <c r="Q1383" t="s">
        <v>138</v>
      </c>
      <c r="R1383">
        <v>0.00018335856266963585</v>
      </c>
      <c r="S1383" t="s">
        <v>139</v>
      </c>
      <c r="T1383">
        <v>0.0026443158255119031</v>
      </c>
      <c r="U1383" t="s">
        <v>90</v>
      </c>
      <c r="V1383">
        <v>0</v>
      </c>
      <c r="W1383" t="s">
        <v>90</v>
      </c>
      <c r="X1383">
        <v>0</v>
      </c>
      <c r="Y1383">
        <v>0.026002438950867048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22</v>
      </c>
      <c r="AF1383">
        <v>22</v>
      </c>
      <c r="AG1383">
        <v>39</v>
      </c>
      <c r="AI1383">
        <v>0.0054999999999999997</v>
      </c>
      <c r="AK1383" t="s">
        <v>4605</v>
      </c>
      <c r="AL1383" t="s">
        <v>1345</v>
      </c>
      <c r="AM1383">
        <v>400000</v>
      </c>
      <c r="AN1383" t="s">
        <v>76</v>
      </c>
      <c r="AO1383">
        <v>2</v>
      </c>
      <c r="AP1383">
        <v>0</v>
      </c>
      <c r="AQ1383">
        <v>33333.333333333336</v>
      </c>
      <c r="AR1383" t="s">
        <v>5611</v>
      </c>
      <c r="AS1383" t="s">
        <v>78</v>
      </c>
      <c r="AX1383" t="s">
        <v>79</v>
      </c>
      <c r="AY1383" t="s">
        <v>137</v>
      </c>
      <c r="AZ1383">
        <v>0</v>
      </c>
      <c r="BA1383" t="s">
        <v>137</v>
      </c>
      <c r="BB1383">
        <v>0</v>
      </c>
      <c r="BE1383">
        <v>0</v>
      </c>
    </row>
    <row r="1384" spans="1:58" ht="12.75">
      <c r="A1384" s="2" t="str">
        <f>HYPERLINK("https://ibp.a2mac1.com/costing(costing:projects/details/8191/part/5388511)","Support on Tailgate")</f>
        <v>Support on Tailgate</v>
      </c>
      <c r="B1384">
        <v>5388511</v>
      </c>
      <c r="C1384">
        <v>5388216</v>
      </c>
      <c r="E1384">
        <v>0.022301204077894737</v>
      </c>
      <c r="F1384">
        <v>0</v>
      </c>
      <c r="G1384">
        <v>0</v>
      </c>
      <c r="H1384">
        <v>0.00011235655969894737</v>
      </c>
      <c r="I1384" t="s">
        <v>137</v>
      </c>
      <c r="J1384">
        <v>0.00078180508736842109</v>
      </c>
      <c r="K1384">
        <v>0.023195365724962107</v>
      </c>
      <c r="L1384">
        <v>0.00050960807960737217</v>
      </c>
      <c r="M1384">
        <v>0.0030576484776442328</v>
      </c>
      <c r="N1384">
        <v>0.02625301420260634</v>
      </c>
      <c r="O1384" t="s">
        <v>138</v>
      </c>
      <c r="P1384">
        <v>0.0013917219434977264</v>
      </c>
      <c r="Q1384" t="s">
        <v>138</v>
      </c>
      <c r="R1384">
        <v>0.00018345890865865397</v>
      </c>
      <c r="S1384" t="s">
        <v>139</v>
      </c>
      <c r="T1384">
        <v>0.0031503617043127604</v>
      </c>
      <c r="U1384" t="s">
        <v>90</v>
      </c>
      <c r="V1384">
        <v>0</v>
      </c>
      <c r="W1384" t="s">
        <v>90</v>
      </c>
      <c r="X1384">
        <v>0</v>
      </c>
      <c r="Y1384">
        <v>0.03097855675907548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21</v>
      </c>
      <c r="AF1384">
        <v>31</v>
      </c>
      <c r="AG1384">
        <v>31</v>
      </c>
      <c r="AI1384">
        <v>0.0054999999999999997</v>
      </c>
      <c r="AJ1384" t="s">
        <v>5616</v>
      </c>
      <c r="AK1384" t="s">
        <v>4605</v>
      </c>
      <c r="AL1384" t="s">
        <v>5617</v>
      </c>
      <c r="AM1384">
        <v>400000</v>
      </c>
      <c r="AN1384" t="s">
        <v>76</v>
      </c>
      <c r="AO1384">
        <v>2</v>
      </c>
      <c r="AP1384">
        <v>0</v>
      </c>
      <c r="AQ1384">
        <v>33333.333333333336</v>
      </c>
      <c r="AR1384" t="s">
        <v>5618</v>
      </c>
      <c r="AS1384" t="s">
        <v>78</v>
      </c>
      <c r="AX1384" t="s">
        <v>79</v>
      </c>
      <c r="AY1384" t="s">
        <v>137</v>
      </c>
      <c r="AZ1384">
        <v>0</v>
      </c>
      <c r="BA1384" t="s">
        <v>137</v>
      </c>
      <c r="BB1384">
        <v>0</v>
      </c>
      <c r="BE1384">
        <v>0</v>
      </c>
    </row>
    <row r="1385" spans="1:58" ht="12.75">
      <c r="A1385" s="2" t="str">
        <f>HYPERLINK("https://ibp.a2mac1.com/costing(costing:projects/details/8191/part/5388513)","Guide on Tailgate")</f>
        <v>Guide on Tailgate</v>
      </c>
      <c r="B1385">
        <v>5388513</v>
      </c>
      <c r="C1385">
        <v>5388217</v>
      </c>
      <c r="E1385">
        <v>0.078229699999999999</v>
      </c>
      <c r="F1385">
        <v>0</v>
      </c>
      <c r="G1385">
        <v>0</v>
      </c>
      <c r="H1385">
        <v>0.00039393149200000002</v>
      </c>
      <c r="I1385" t="s">
        <v>137</v>
      </c>
      <c r="J1385">
        <v>0.002741074</v>
      </c>
      <c r="K1385">
        <v>0.081364705492000006</v>
      </c>
      <c r="L1385">
        <v>0.00037042063531346589</v>
      </c>
      <c r="M1385">
        <v>0.0022225238118807954</v>
      </c>
      <c r="N1385">
        <v>0.083587229303880795</v>
      </c>
      <c r="O1385" t="s">
        <v>138</v>
      </c>
      <c r="P1385">
        <v>0.0048818823295200004</v>
      </c>
      <c r="Q1385" t="s">
        <v>138</v>
      </c>
      <c r="R1385">
        <v>0.00013335142871284772</v>
      </c>
      <c r="S1385" t="s">
        <v>139</v>
      </c>
      <c r="T1385">
        <v>0.010030467516465696</v>
      </c>
      <c r="U1385" t="s">
        <v>90</v>
      </c>
      <c r="V1385">
        <v>0</v>
      </c>
      <c r="W1385" t="s">
        <v>90</v>
      </c>
      <c r="X1385">
        <v>0</v>
      </c>
      <c r="Y1385">
        <v>0.098632930578579345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14</v>
      </c>
      <c r="AF1385">
        <v>34</v>
      </c>
      <c r="AG1385">
        <v>44</v>
      </c>
      <c r="AI1385">
        <v>0.0195</v>
      </c>
      <c r="AJ1385" t="s">
        <v>4987</v>
      </c>
      <c r="AK1385" t="s">
        <v>4605</v>
      </c>
      <c r="AL1385" t="s">
        <v>5628</v>
      </c>
      <c r="AM1385">
        <v>400000</v>
      </c>
      <c r="AN1385" t="s">
        <v>76</v>
      </c>
      <c r="AO1385">
        <v>2</v>
      </c>
      <c r="AP1385">
        <v>0</v>
      </c>
      <c r="AQ1385">
        <v>33333.333333333336</v>
      </c>
      <c r="AR1385" t="s">
        <v>5629</v>
      </c>
      <c r="AS1385" t="s">
        <v>78</v>
      </c>
      <c r="AX1385" t="s">
        <v>79</v>
      </c>
      <c r="AY1385" t="s">
        <v>137</v>
      </c>
      <c r="AZ1385">
        <v>0</v>
      </c>
      <c r="BA1385" t="s">
        <v>137</v>
      </c>
      <c r="BB1385">
        <v>0</v>
      </c>
      <c r="BE1385">
        <v>0</v>
      </c>
    </row>
    <row r="1386" spans="1:58" ht="12.75">
      <c r="A1386" s="2" t="str">
        <f>HYPERLINK("https://ibp.a2mac1.com/costing(costing:projects/details/8191/part/5388515)","Spoiler")</f>
        <v>Spoiler</v>
      </c>
      <c r="B1386">
        <v>5388515</v>
      </c>
      <c r="C1386">
        <v>5388218</v>
      </c>
      <c r="E1386">
        <v>3.5773150611860198</v>
      </c>
      <c r="F1386">
        <v>0</v>
      </c>
      <c r="G1386">
        <v>0</v>
      </c>
      <c r="H1386">
        <v>0.039625074294621573</v>
      </c>
      <c r="I1386" t="s">
        <v>137</v>
      </c>
      <c r="J1386">
        <v>0.12526092311195822</v>
      </c>
      <c r="K1386">
        <v>3.7422010585925993</v>
      </c>
      <c r="L1386">
        <v>0.53095248676126716</v>
      </c>
      <c r="M1386">
        <v>3.185714920567603</v>
      </c>
      <c r="N1386">
        <v>6.9279159791602023</v>
      </c>
      <c r="O1386" t="s">
        <v>138</v>
      </c>
      <c r="P1386">
        <v>0.22453206351555596</v>
      </c>
      <c r="Q1386" t="s">
        <v>138</v>
      </c>
      <c r="R1386">
        <v>0.19114289523405617</v>
      </c>
      <c r="S1386" t="s">
        <v>139</v>
      </c>
      <c r="T1386">
        <v>0.83134991749922427</v>
      </c>
      <c r="U1386" t="s">
        <v>90</v>
      </c>
      <c r="V1386">
        <v>0</v>
      </c>
      <c r="W1386" t="s">
        <v>90</v>
      </c>
      <c r="X1386">
        <v>0</v>
      </c>
      <c r="Y1386">
        <v>8.174940855409039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245</v>
      </c>
      <c r="AF1386">
        <v>1070</v>
      </c>
      <c r="AG1386">
        <v>40</v>
      </c>
      <c r="AI1386">
        <v>0.65</v>
      </c>
      <c r="AJ1386" t="s">
        <v>685</v>
      </c>
      <c r="AK1386" t="s">
        <v>4605</v>
      </c>
      <c r="AL1386" t="s">
        <v>5638</v>
      </c>
      <c r="AM1386">
        <v>200000</v>
      </c>
      <c r="AN1386" t="s">
        <v>76</v>
      </c>
      <c r="AO1386">
        <v>1</v>
      </c>
      <c r="AP1386">
        <v>0</v>
      </c>
      <c r="AQ1386">
        <v>16666.666666666668</v>
      </c>
      <c r="AR1386" t="s">
        <v>5639</v>
      </c>
      <c r="AS1386" t="s">
        <v>78</v>
      </c>
      <c r="AX1386" t="s">
        <v>79</v>
      </c>
      <c r="AY1386" t="s">
        <v>137</v>
      </c>
      <c r="AZ1386">
        <v>0</v>
      </c>
      <c r="BA1386" t="s">
        <v>137</v>
      </c>
      <c r="BB1386">
        <v>0</v>
      </c>
      <c r="BE1386">
        <v>0</v>
      </c>
    </row>
    <row r="1387" spans="1:58" ht="12.75">
      <c r="A1387" s="2" t="str">
        <f>HYPERLINK("https://ibp.a2mac1.com/costing(costing:projects/details/8191/part/5388516)","Spoiler Support")</f>
        <v>Spoiler Support</v>
      </c>
      <c r="B1387">
        <v>5388516</v>
      </c>
      <c r="C1387">
        <v>5388218</v>
      </c>
      <c r="E1387">
        <v>0.59585585705897237</v>
      </c>
      <c r="F1387">
        <v>0</v>
      </c>
      <c r="G1387">
        <v>0</v>
      </c>
      <c r="H1387">
        <v>0.0012286676513068241</v>
      </c>
      <c r="I1387" t="s">
        <v>137</v>
      </c>
      <c r="J1387">
        <v>0.020875421260067403</v>
      </c>
      <c r="K1387">
        <v>0.61795994597034654</v>
      </c>
      <c r="L1387">
        <v>0.0596821014368474</v>
      </c>
      <c r="M1387">
        <v>0.35809260862108439</v>
      </c>
      <c r="N1387">
        <v>0.97605255459143092</v>
      </c>
      <c r="O1387" t="s">
        <v>138</v>
      </c>
      <c r="P1387">
        <v>0.037077596758220796</v>
      </c>
      <c r="Q1387" t="s">
        <v>138</v>
      </c>
      <c r="R1387">
        <v>0.021485556517265064</v>
      </c>
      <c r="S1387" t="s">
        <v>139</v>
      </c>
      <c r="T1387">
        <v>0.11712630655097171</v>
      </c>
      <c r="U1387" t="s">
        <v>90</v>
      </c>
      <c r="V1387">
        <v>0</v>
      </c>
      <c r="W1387" t="s">
        <v>90</v>
      </c>
      <c r="X1387">
        <v>0</v>
      </c>
      <c r="Y1387">
        <v>1.1517420144178885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175</v>
      </c>
      <c r="AF1387">
        <v>1030</v>
      </c>
      <c r="AG1387">
        <v>40</v>
      </c>
      <c r="AI1387">
        <v>0.255</v>
      </c>
      <c r="AJ1387" t="s">
        <v>5268</v>
      </c>
      <c r="AK1387" t="s">
        <v>4605</v>
      </c>
      <c r="AL1387" t="s">
        <v>1275</v>
      </c>
      <c r="AM1387">
        <v>200000</v>
      </c>
      <c r="AN1387" t="s">
        <v>76</v>
      </c>
      <c r="AO1387">
        <v>1</v>
      </c>
      <c r="AP1387">
        <v>0</v>
      </c>
      <c r="AQ1387">
        <v>16666.666666666668</v>
      </c>
      <c r="AR1387" t="s">
        <v>5643</v>
      </c>
      <c r="AS1387" t="s">
        <v>78</v>
      </c>
      <c r="AX1387" t="s">
        <v>79</v>
      </c>
      <c r="AY1387" t="s">
        <v>137</v>
      </c>
      <c r="AZ1387">
        <v>0</v>
      </c>
      <c r="BA1387" t="s">
        <v>137</v>
      </c>
      <c r="BB1387">
        <v>0</v>
      </c>
      <c r="BE1387">
        <v>0</v>
      </c>
    </row>
    <row r="1388" spans="1:58" ht="12.75">
      <c r="A1388" s="2" t="str">
        <f>HYPERLINK("https://ibp.a2mac1.com/costing(costing:projects/details/8191/part/5388206)","Side Trim")</f>
        <v>Side Trim</v>
      </c>
      <c r="B1388">
        <v>5388206</v>
      </c>
      <c r="C1388">
        <v>5388136</v>
      </c>
      <c r="E1388">
        <v>1.4964039287166113</v>
      </c>
      <c r="F1388">
        <v>0</v>
      </c>
      <c r="G1388">
        <v>0</v>
      </c>
      <c r="H1388">
        <v>0.0030406810590049693</v>
      </c>
      <c r="I1388" t="s">
        <v>137</v>
      </c>
      <c r="J1388">
        <v>0.052425535500085683</v>
      </c>
      <c r="K1388">
        <v>1.551870145275702</v>
      </c>
      <c r="L1388">
        <v>0.074237028356519949</v>
      </c>
      <c r="M1388">
        <v>0.44542217013911967</v>
      </c>
      <c r="N1388">
        <v>1.9972923154148217</v>
      </c>
      <c r="O1388" t="s">
        <v>138</v>
      </c>
      <c r="P1388">
        <v>0.093112208716542119</v>
      </c>
      <c r="Q1388" t="s">
        <v>138</v>
      </c>
      <c r="R1388">
        <v>0.026725330208347182</v>
      </c>
      <c r="S1388" t="s">
        <v>139</v>
      </c>
      <c r="T1388">
        <v>0.23967507784977859</v>
      </c>
      <c r="U1388" t="s">
        <v>90</v>
      </c>
      <c r="V1388">
        <v>0</v>
      </c>
      <c r="W1388" t="s">
        <v>90</v>
      </c>
      <c r="X1388">
        <v>0</v>
      </c>
      <c r="Y1388">
        <v>2.3568049321894895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75</v>
      </c>
      <c r="AF1388">
        <v>175</v>
      </c>
      <c r="AG1388">
        <v>400</v>
      </c>
      <c r="AI1388">
        <v>0.27600000000000002</v>
      </c>
      <c r="AJ1388" t="s">
        <v>685</v>
      </c>
      <c r="AK1388" t="s">
        <v>4605</v>
      </c>
      <c r="AL1388" t="s">
        <v>5649</v>
      </c>
      <c r="AM1388">
        <v>400000</v>
      </c>
      <c r="AN1388" t="s">
        <v>76</v>
      </c>
      <c r="AO1388">
        <v>2</v>
      </c>
      <c r="AP1388">
        <v>0</v>
      </c>
      <c r="AQ1388">
        <v>33333.333333333336</v>
      </c>
      <c r="AR1388" t="s">
        <v>5650</v>
      </c>
      <c r="AS1388" t="s">
        <v>78</v>
      </c>
      <c r="AX1388" t="s">
        <v>79</v>
      </c>
      <c r="AY1388" t="s">
        <v>137</v>
      </c>
      <c r="AZ1388">
        <v>0</v>
      </c>
      <c r="BA1388" t="s">
        <v>137</v>
      </c>
      <c r="BB1388">
        <v>0</v>
      </c>
      <c r="BE1388">
        <v>0</v>
      </c>
    </row>
    <row r="1389" spans="1:58" ht="12.75">
      <c r="A1389" s="2" t="str">
        <f>HYPERLINK("https://ibp.a2mac1.com/costing(costing:projects/details/8191/part/5388207)","Glass")</f>
        <v>Glass</v>
      </c>
      <c r="B1389">
        <v>5388207</v>
      </c>
      <c r="C1389">
        <v>5388136</v>
      </c>
      <c r="E1389">
        <v>20.060369999999999</v>
      </c>
      <c r="F1389">
        <v>0</v>
      </c>
      <c r="G1389">
        <v>0</v>
      </c>
      <c r="H1389">
        <v>0.1015054722</v>
      </c>
      <c r="I1389" t="s">
        <v>137</v>
      </c>
      <c r="J1389">
        <v>0.70211294999999996</v>
      </c>
      <c r="K1389">
        <v>20.863988422199998</v>
      </c>
      <c r="L1389">
        <v>1.9750738344607608</v>
      </c>
      <c r="M1389">
        <v>11.850443006764566</v>
      </c>
      <c r="N1389">
        <v>32.714431428964566</v>
      </c>
      <c r="O1389" t="s">
        <v>138</v>
      </c>
      <c r="P1389">
        <v>1.2518393053320001</v>
      </c>
      <c r="Q1389" t="s">
        <v>138</v>
      </c>
      <c r="R1389">
        <v>0.71102658040587396</v>
      </c>
      <c r="S1389" t="s">
        <v>139</v>
      </c>
      <c r="T1389">
        <v>3.925731771475748</v>
      </c>
      <c r="U1389" t="s">
        <v>90</v>
      </c>
      <c r="V1389">
        <v>0</v>
      </c>
      <c r="W1389" t="s">
        <v>90</v>
      </c>
      <c r="X1389">
        <v>0</v>
      </c>
      <c r="Y1389">
        <v>38.603029086178189</v>
      </c>
      <c r="Z1389">
        <v>0</v>
      </c>
      <c r="AA1389">
        <v>0</v>
      </c>
      <c r="AB1389">
        <v>0</v>
      </c>
      <c r="AC1389">
        <v>0</v>
      </c>
      <c r="AD1389">
        <v>0</v>
      </c>
      <c r="AF1389">
        <v>1240</v>
      </c>
      <c r="AG1389">
        <v>545</v>
      </c>
      <c r="AI1389">
        <v>4.525</v>
      </c>
      <c r="AJ1389" t="s">
        <v>4803</v>
      </c>
      <c r="AK1389" t="s">
        <v>4605</v>
      </c>
      <c r="AL1389" t="s">
        <v>5653</v>
      </c>
      <c r="AM1389">
        <v>200000</v>
      </c>
      <c r="AN1389" t="s">
        <v>76</v>
      </c>
      <c r="AO1389">
        <v>1</v>
      </c>
      <c r="AP1389">
        <v>0</v>
      </c>
      <c r="AQ1389">
        <v>16666.666666666668</v>
      </c>
      <c r="AR1389" t="s">
        <v>5654</v>
      </c>
      <c r="AS1389" t="s">
        <v>78</v>
      </c>
      <c r="AX1389" t="s">
        <v>79</v>
      </c>
      <c r="AY1389" t="s">
        <v>137</v>
      </c>
      <c r="AZ1389">
        <v>0</v>
      </c>
      <c r="BA1389" t="s">
        <v>137</v>
      </c>
      <c r="BB1389">
        <v>0</v>
      </c>
      <c r="BE1389">
        <v>0</v>
      </c>
    </row>
    <row r="1390" spans="1:58" ht="12.75">
      <c r="A1390" s="2" t="str">
        <f>HYPERLINK("https://ibp.a2mac1.com/costing(costing:projects/details/8191/part/5388208)","Logo")</f>
        <v>Logo</v>
      </c>
      <c r="B1390">
        <v>5388208</v>
      </c>
      <c r="C1390">
        <v>5388136</v>
      </c>
      <c r="E1390">
        <v>0.35319091566928784</v>
      </c>
      <c r="F1390">
        <v>0</v>
      </c>
      <c r="G1390">
        <v>0</v>
      </c>
      <c r="H1390">
        <v>0.011007539477230618</v>
      </c>
      <c r="I1390" t="s">
        <v>137</v>
      </c>
      <c r="J1390">
        <v>0.012362711056821716</v>
      </c>
      <c r="K1390">
        <v>0.37656116620334018</v>
      </c>
      <c r="L1390">
        <v>0.048122140932838439</v>
      </c>
      <c r="M1390">
        <v>0.28873284559703066</v>
      </c>
      <c r="N1390">
        <v>0.66529401180037084</v>
      </c>
      <c r="O1390" t="s">
        <v>138</v>
      </c>
      <c r="P1390">
        <v>0.022593669972200411</v>
      </c>
      <c r="Q1390" t="s">
        <v>138</v>
      </c>
      <c r="R1390">
        <v>0.017323970735821839</v>
      </c>
      <c r="S1390" t="s">
        <v>139</v>
      </c>
      <c r="T1390">
        <v>0.079835281416044498</v>
      </c>
      <c r="U1390" t="s">
        <v>90</v>
      </c>
      <c r="V1390">
        <v>0</v>
      </c>
      <c r="W1390" t="s">
        <v>90</v>
      </c>
      <c r="X1390">
        <v>0</v>
      </c>
      <c r="Y1390">
        <v>0.78504693392443758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20</v>
      </c>
      <c r="AF1390">
        <v>115</v>
      </c>
      <c r="AG1390">
        <v>115</v>
      </c>
      <c r="AI1390">
        <v>0.014</v>
      </c>
      <c r="AJ1390" t="s">
        <v>5660</v>
      </c>
      <c r="AK1390" t="s">
        <v>4605</v>
      </c>
      <c r="AL1390" t="s">
        <v>1283</v>
      </c>
      <c r="AM1390">
        <v>200000</v>
      </c>
      <c r="AN1390" t="s">
        <v>76</v>
      </c>
      <c r="AO1390">
        <v>1</v>
      </c>
      <c r="AP1390">
        <v>0</v>
      </c>
      <c r="AQ1390">
        <v>16666.666666666668</v>
      </c>
      <c r="AR1390" t="s">
        <v>5661</v>
      </c>
      <c r="AS1390" t="s">
        <v>78</v>
      </c>
      <c r="AX1390" t="s">
        <v>79</v>
      </c>
      <c r="AY1390" t="s">
        <v>137</v>
      </c>
      <c r="AZ1390">
        <v>0</v>
      </c>
      <c r="BA1390" t="s">
        <v>137</v>
      </c>
      <c r="BB1390">
        <v>0</v>
      </c>
      <c r="BE1390">
        <v>0</v>
      </c>
    </row>
    <row r="1391" spans="1:58" ht="12.75">
      <c r="A1391" s="2" t="str">
        <f>HYPERLINK("https://ibp.a2mac1.com/costing(costing:projects/details/8191/part/5388209)","Hole Plugs")</f>
        <v>Hole Plugs</v>
      </c>
      <c r="B1391">
        <v>5388209</v>
      </c>
      <c r="C1391">
        <v>5388136</v>
      </c>
      <c r="E1391">
        <v>0.0092300000000000004</v>
      </c>
      <c r="F1391">
        <v>0</v>
      </c>
      <c r="G1391">
        <v>0</v>
      </c>
      <c r="H1391">
        <v>0</v>
      </c>
      <c r="I1391" t="s">
        <v>74</v>
      </c>
      <c r="J1391">
        <v>0</v>
      </c>
      <c r="K1391">
        <v>0.0092300000000000004</v>
      </c>
      <c r="L1391">
        <v>0</v>
      </c>
      <c r="M1391">
        <v>0</v>
      </c>
      <c r="N1391">
        <v>0.0092300000000000004</v>
      </c>
      <c r="O1391" t="s">
        <v>74</v>
      </c>
      <c r="P1391">
        <v>0</v>
      </c>
      <c r="Q1391" t="s">
        <v>74</v>
      </c>
      <c r="R1391">
        <v>0</v>
      </c>
      <c r="S1391" t="s">
        <v>74</v>
      </c>
      <c r="T1391">
        <v>0</v>
      </c>
      <c r="U1391" t="s">
        <v>74</v>
      </c>
      <c r="V1391">
        <v>0</v>
      </c>
      <c r="W1391" t="s">
        <v>74</v>
      </c>
      <c r="X1391">
        <v>0</v>
      </c>
      <c r="Y1391">
        <v>0.0092300000000000004</v>
      </c>
      <c r="Z1391">
        <v>0</v>
      </c>
      <c r="AA1391">
        <v>0</v>
      </c>
      <c r="AB1391">
        <v>0</v>
      </c>
      <c r="AC1391">
        <v>0</v>
      </c>
      <c r="AD1391">
        <v>0</v>
      </c>
      <c r="AI1391">
        <v>0.0001</v>
      </c>
      <c r="AK1391" t="s">
        <v>4605</v>
      </c>
      <c r="AL1391" t="s">
        <v>3752</v>
      </c>
      <c r="AM1391">
        <v>200000</v>
      </c>
      <c r="AN1391" t="s">
        <v>76</v>
      </c>
      <c r="AO1391">
        <v>1</v>
      </c>
      <c r="AP1391">
        <v>0</v>
      </c>
      <c r="AQ1391">
        <v>16666.666666666668</v>
      </c>
      <c r="AR1391" t="s">
        <v>5662</v>
      </c>
      <c r="AS1391" t="s">
        <v>78</v>
      </c>
      <c r="AX1391" t="s">
        <v>79</v>
      </c>
      <c r="AY1391" t="s">
        <v>74</v>
      </c>
      <c r="AZ1391">
        <v>0</v>
      </c>
      <c r="BA1391" t="s">
        <v>74</v>
      </c>
      <c r="BB1391">
        <v>0</v>
      </c>
      <c r="BD1391">
        <v>0.0092300000000000004</v>
      </c>
      <c r="BE1391">
        <v>0</v>
      </c>
    </row>
    <row r="1392" spans="1:58" ht="12.75">
      <c r="A1392" s="2" t="str">
        <f>HYPERLINK("https://ibp.a2mac1.com/costing(costing:projects/details/8191/part/5388219)","Charging Inlet Support")</f>
        <v>Charging Inlet Support</v>
      </c>
      <c r="B1392">
        <v>5388219</v>
      </c>
      <c r="C1392">
        <v>5388137</v>
      </c>
      <c r="E1392">
        <v>0.40159210884446223</v>
      </c>
      <c r="F1392">
        <v>0</v>
      </c>
      <c r="G1392">
        <v>0</v>
      </c>
      <c r="H1392">
        <v>0.00083217493002798884</v>
      </c>
      <c r="I1392" t="s">
        <v>137</v>
      </c>
      <c r="J1392">
        <v>0.014138894442223111</v>
      </c>
      <c r="K1392">
        <v>0.41656317821671329</v>
      </c>
      <c r="L1392">
        <v>0.021949351487369043</v>
      </c>
      <c r="M1392">
        <v>0.13169610892421427</v>
      </c>
      <c r="N1392">
        <v>0.54825928714092753</v>
      </c>
      <c r="O1392" t="s">
        <v>138</v>
      </c>
      <c r="P1392">
        <v>0.024993790693002799</v>
      </c>
      <c r="Q1392" t="s">
        <v>138</v>
      </c>
      <c r="R1392">
        <v>0.007901766535452855</v>
      </c>
      <c r="S1392" t="s">
        <v>139</v>
      </c>
      <c r="T1392">
        <v>0.065791114456911312</v>
      </c>
      <c r="U1392" t="s">
        <v>90</v>
      </c>
      <c r="V1392">
        <v>0</v>
      </c>
      <c r="W1392" t="s">
        <v>90</v>
      </c>
      <c r="X1392">
        <v>0</v>
      </c>
      <c r="Y1392">
        <v>0.64694595882629458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51</v>
      </c>
      <c r="AF1392">
        <v>345</v>
      </c>
      <c r="AG1392">
        <v>210</v>
      </c>
      <c r="AI1392">
        <v>0.29399999999999998</v>
      </c>
      <c r="AJ1392" t="s">
        <v>5672</v>
      </c>
      <c r="AK1392" t="s">
        <v>5673</v>
      </c>
      <c r="AL1392" t="s">
        <v>5674</v>
      </c>
      <c r="AM1392">
        <v>200000</v>
      </c>
      <c r="AN1392" t="s">
        <v>76</v>
      </c>
      <c r="AO1392">
        <v>1</v>
      </c>
      <c r="AP1392">
        <v>0</v>
      </c>
      <c r="AQ1392">
        <v>16666.666666666668</v>
      </c>
      <c r="AR1392" t="s">
        <v>9</v>
      </c>
      <c r="AS1392" t="s">
        <v>78</v>
      </c>
      <c r="AX1392" t="s">
        <v>79</v>
      </c>
      <c r="AY1392" t="s">
        <v>137</v>
      </c>
      <c r="AZ1392">
        <v>0</v>
      </c>
      <c r="BA1392" t="s">
        <v>137</v>
      </c>
      <c r="BB1392">
        <v>0</v>
      </c>
      <c r="BE1392">
        <v>0</v>
      </c>
    </row>
    <row r="1393" spans="1:58" ht="12.75">
      <c r="A1393" s="2" t="str">
        <f>HYPERLINK("https://ibp.a2mac1.com/costing(costing:projects/details/8191/part/5388220)","Lid")</f>
        <v>Lid</v>
      </c>
      <c r="B1393">
        <v>5388220</v>
      </c>
      <c r="C1393">
        <v>5388137</v>
      </c>
      <c r="E1393">
        <v>0.22920870266327756</v>
      </c>
      <c r="F1393">
        <v>0</v>
      </c>
      <c r="G1393">
        <v>0</v>
      </c>
      <c r="H1393">
        <v>0.00047496385486621678</v>
      </c>
      <c r="I1393" t="s">
        <v>137</v>
      </c>
      <c r="J1393">
        <v>0.0080697742331638771</v>
      </c>
      <c r="K1393">
        <v>0.23775344075130764</v>
      </c>
      <c r="L1393">
        <v>0.020221189401926035</v>
      </c>
      <c r="M1393">
        <v>0.12132713641155619</v>
      </c>
      <c r="N1393">
        <v>0.35908057716286385</v>
      </c>
      <c r="O1393" t="s">
        <v>138</v>
      </c>
      <c r="P1393">
        <v>0.014265206445078459</v>
      </c>
      <c r="Q1393" t="s">
        <v>138</v>
      </c>
      <c r="R1393">
        <v>0.0072796281846933715</v>
      </c>
      <c r="S1393" t="s">
        <v>139</v>
      </c>
      <c r="T1393">
        <v>0.043089669259543661</v>
      </c>
      <c r="U1393" t="s">
        <v>90</v>
      </c>
      <c r="V1393">
        <v>0</v>
      </c>
      <c r="W1393" t="s">
        <v>90</v>
      </c>
      <c r="X1393">
        <v>0</v>
      </c>
      <c r="Y1393">
        <v>0.42371508105217931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61</v>
      </c>
      <c r="AF1393">
        <v>291</v>
      </c>
      <c r="AG1393">
        <v>136</v>
      </c>
      <c r="AI1393">
        <v>0.20200000000000001</v>
      </c>
      <c r="AJ1393" t="s">
        <v>685</v>
      </c>
      <c r="AK1393" t="s">
        <v>5673</v>
      </c>
      <c r="AL1393" t="s">
        <v>1182</v>
      </c>
      <c r="AM1393">
        <v>200000</v>
      </c>
      <c r="AN1393" t="s">
        <v>76</v>
      </c>
      <c r="AO1393">
        <v>1</v>
      </c>
      <c r="AP1393">
        <v>0</v>
      </c>
      <c r="AQ1393">
        <v>16666.666666666668</v>
      </c>
      <c r="AR1393" t="s">
        <v>9</v>
      </c>
      <c r="AS1393" t="s">
        <v>78</v>
      </c>
      <c r="AX1393" t="s">
        <v>79</v>
      </c>
      <c r="AY1393" t="s">
        <v>137</v>
      </c>
      <c r="AZ1393">
        <v>0</v>
      </c>
      <c r="BA1393" t="s">
        <v>137</v>
      </c>
      <c r="BB1393">
        <v>0</v>
      </c>
      <c r="BE1393">
        <v>0</v>
      </c>
    </row>
    <row r="1394" spans="1:58" ht="12.75">
      <c r="A1394" s="2" t="str">
        <f>HYPERLINK("https://ibp.a2mac1.com/costing(costing:projects/details/8191/part/5388221)","Lid Striker")</f>
        <v>Lid Striker</v>
      </c>
      <c r="B1394">
        <v>5388221</v>
      </c>
      <c r="C1394">
        <v>5388137</v>
      </c>
      <c r="E1394">
        <v>0.28097259729513907</v>
      </c>
      <c r="F1394">
        <v>0</v>
      </c>
      <c r="G1394">
        <v>0</v>
      </c>
      <c r="H1394">
        <v>0.00058222845106855215</v>
      </c>
      <c r="I1394" t="s">
        <v>137</v>
      </c>
      <c r="J1394">
        <v>0.009892230964756955</v>
      </c>
      <c r="K1394">
        <v>0.2914470567109646</v>
      </c>
      <c r="L1394">
        <v>0.022186976349745029</v>
      </c>
      <c r="M1394">
        <v>0.13312185809847016</v>
      </c>
      <c r="N1394">
        <v>0.42456891480943476</v>
      </c>
      <c r="O1394" t="s">
        <v>138</v>
      </c>
      <c r="P1394">
        <v>0.017486823402657874</v>
      </c>
      <c r="Q1394" t="s">
        <v>138</v>
      </c>
      <c r="R1394">
        <v>0.0079873114859082099</v>
      </c>
      <c r="S1394" t="s">
        <v>139</v>
      </c>
      <c r="T1394">
        <v>0.050948269777132169</v>
      </c>
      <c r="U1394" t="s">
        <v>216</v>
      </c>
      <c r="V1394">
        <v>0.002122844574047174</v>
      </c>
      <c r="W1394" t="s">
        <v>217</v>
      </c>
      <c r="X1394">
        <v>0.0084913782961886959</v>
      </c>
      <c r="Y1394">
        <v>0.51160554234536892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72</v>
      </c>
      <c r="AF1394">
        <v>338</v>
      </c>
      <c r="AG1394">
        <v>170</v>
      </c>
      <c r="AI1394">
        <v>0.218</v>
      </c>
      <c r="AJ1394" t="s">
        <v>685</v>
      </c>
      <c r="AK1394" t="s">
        <v>218</v>
      </c>
      <c r="AL1394" t="s">
        <v>5687</v>
      </c>
      <c r="AM1394">
        <v>200000</v>
      </c>
      <c r="AN1394" t="s">
        <v>76</v>
      </c>
      <c r="AO1394">
        <v>1</v>
      </c>
      <c r="AP1394">
        <v>0</v>
      </c>
      <c r="AQ1394">
        <v>16666.666666666668</v>
      </c>
      <c r="AR1394" t="s">
        <v>9</v>
      </c>
      <c r="AS1394" t="s">
        <v>78</v>
      </c>
      <c r="AX1394" t="s">
        <v>79</v>
      </c>
      <c r="AY1394" t="s">
        <v>137</v>
      </c>
      <c r="AZ1394">
        <v>0</v>
      </c>
      <c r="BA1394" t="s">
        <v>137</v>
      </c>
      <c r="BB1394">
        <v>0</v>
      </c>
      <c r="BE1394">
        <v>0</v>
      </c>
    </row>
    <row r="1395" spans="1:58" ht="12.75">
      <c r="A1395" s="2" t="str">
        <f>HYPERLINK("https://ibp.a2mac1.com/costing(costing:projects/details/8191/part/5388222)","Lid Trim")</f>
        <v>Lid Trim</v>
      </c>
      <c r="B1395">
        <v>5388222</v>
      </c>
      <c r="C1395">
        <v>5388137</v>
      </c>
      <c r="E1395">
        <v>0.88962741078617213</v>
      </c>
      <c r="F1395">
        <v>0</v>
      </c>
      <c r="G1395">
        <v>0</v>
      </c>
      <c r="H1395">
        <v>0.01045563618689581</v>
      </c>
      <c r="I1395" t="s">
        <v>137</v>
      </c>
      <c r="J1395">
        <v>0.03115392071366942</v>
      </c>
      <c r="K1395">
        <v>0.93123696768673736</v>
      </c>
      <c r="L1395">
        <v>0.13210791271036601</v>
      </c>
      <c r="M1395">
        <v>0.79264747626219612</v>
      </c>
      <c r="N1395">
        <v>1.7238844439489334</v>
      </c>
      <c r="O1395" t="s">
        <v>138</v>
      </c>
      <c r="P1395">
        <v>0.055874218061204239</v>
      </c>
      <c r="Q1395" t="s">
        <v>138</v>
      </c>
      <c r="R1395">
        <v>0.047558848575731769</v>
      </c>
      <c r="S1395" t="s">
        <v>139</v>
      </c>
      <c r="T1395">
        <v>0.20686613327387202</v>
      </c>
      <c r="U1395" t="s">
        <v>90</v>
      </c>
      <c r="V1395">
        <v>0</v>
      </c>
      <c r="W1395" t="s">
        <v>90</v>
      </c>
      <c r="X1395">
        <v>0</v>
      </c>
      <c r="Y1395">
        <v>2.0341836438597416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14</v>
      </c>
      <c r="AF1395">
        <v>299</v>
      </c>
      <c r="AG1395">
        <v>166</v>
      </c>
      <c r="AI1395">
        <v>0.185</v>
      </c>
      <c r="AJ1395" t="s">
        <v>685</v>
      </c>
      <c r="AK1395" t="s">
        <v>5673</v>
      </c>
      <c r="AL1395" t="s">
        <v>5698</v>
      </c>
      <c r="AM1395">
        <v>200000</v>
      </c>
      <c r="AN1395" t="s">
        <v>76</v>
      </c>
      <c r="AO1395">
        <v>1</v>
      </c>
      <c r="AP1395">
        <v>0</v>
      </c>
      <c r="AQ1395">
        <v>16666.666666666668</v>
      </c>
      <c r="AR1395" t="s">
        <v>9</v>
      </c>
      <c r="AS1395" t="s">
        <v>78</v>
      </c>
      <c r="AX1395" t="s">
        <v>79</v>
      </c>
      <c r="AY1395" t="s">
        <v>137</v>
      </c>
      <c r="AZ1395">
        <v>0</v>
      </c>
      <c r="BA1395" t="s">
        <v>137</v>
      </c>
      <c r="BB1395">
        <v>0</v>
      </c>
      <c r="BE1395">
        <v>0</v>
      </c>
    </row>
    <row r="1396" spans="1:58" ht="12.75">
      <c r="A1396" s="2" t="str">
        <f>HYPERLINK("https://ibp.a2mac1.com/costing(costing:projects/details/8191/part/5388223)","Lid Locking")</f>
        <v>Lid Locking</v>
      </c>
      <c r="B1396">
        <v>5388223</v>
      </c>
      <c r="C1396">
        <v>5388137</v>
      </c>
      <c r="E1396">
        <v>1.84548</v>
      </c>
      <c r="F1396">
        <v>0</v>
      </c>
      <c r="G1396">
        <v>0</v>
      </c>
      <c r="H1396">
        <v>0</v>
      </c>
      <c r="I1396" t="s">
        <v>74</v>
      </c>
      <c r="J1396">
        <v>0</v>
      </c>
      <c r="K1396">
        <v>1.84548</v>
      </c>
      <c r="L1396">
        <v>0</v>
      </c>
      <c r="M1396">
        <v>0</v>
      </c>
      <c r="N1396">
        <v>1.84548</v>
      </c>
      <c r="O1396" t="s">
        <v>74</v>
      </c>
      <c r="P1396">
        <v>0</v>
      </c>
      <c r="Q1396" t="s">
        <v>74</v>
      </c>
      <c r="R1396">
        <v>0</v>
      </c>
      <c r="S1396" t="s">
        <v>74</v>
      </c>
      <c r="T1396">
        <v>0</v>
      </c>
      <c r="U1396" t="s">
        <v>74</v>
      </c>
      <c r="V1396">
        <v>0</v>
      </c>
      <c r="W1396" t="s">
        <v>74</v>
      </c>
      <c r="X1396">
        <v>0</v>
      </c>
      <c r="Y1396">
        <v>1.84548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55</v>
      </c>
      <c r="AF1396">
        <v>36</v>
      </c>
      <c r="AG1396">
        <v>88</v>
      </c>
      <c r="AI1396">
        <v>0.055</v>
      </c>
      <c r="AJ1396" t="s">
        <v>685</v>
      </c>
      <c r="AK1396" t="s">
        <v>218</v>
      </c>
      <c r="AL1396" t="s">
        <v>1306</v>
      </c>
      <c r="AM1396">
        <v>200000</v>
      </c>
      <c r="AN1396" t="s">
        <v>76</v>
      </c>
      <c r="AO1396">
        <v>1</v>
      </c>
      <c r="AP1396">
        <v>0</v>
      </c>
      <c r="AQ1396">
        <v>16666.666666666668</v>
      </c>
      <c r="AR1396" t="s">
        <v>9</v>
      </c>
      <c r="AS1396" t="s">
        <v>78</v>
      </c>
      <c r="AX1396" t="s">
        <v>79</v>
      </c>
      <c r="AY1396" t="s">
        <v>74</v>
      </c>
      <c r="AZ1396">
        <v>0</v>
      </c>
      <c r="BA1396" t="s">
        <v>74</v>
      </c>
      <c r="BB1396">
        <v>0</v>
      </c>
      <c r="BD1396">
        <v>1.84548</v>
      </c>
      <c r="BE1396">
        <v>0</v>
      </c>
    </row>
    <row r="1397" spans="1:58" ht="12.75">
      <c r="A1397" s="2" t="str">
        <f>HYPERLINK("https://ibp.a2mac1.com/costing(costing:projects/details/8191/part/5388224)","Charging indicator")</f>
        <v>Charging indicator</v>
      </c>
      <c r="B1397">
        <v>5388224</v>
      </c>
      <c r="C1397">
        <v>5388137</v>
      </c>
      <c r="E1397">
        <v>1.1072900000000001</v>
      </c>
      <c r="F1397">
        <v>0</v>
      </c>
      <c r="G1397">
        <v>0</v>
      </c>
      <c r="H1397">
        <v>0</v>
      </c>
      <c r="I1397" t="s">
        <v>74</v>
      </c>
      <c r="J1397">
        <v>0</v>
      </c>
      <c r="K1397">
        <v>1.1072900000000001</v>
      </c>
      <c r="L1397">
        <v>0</v>
      </c>
      <c r="M1397">
        <v>0</v>
      </c>
      <c r="N1397">
        <v>1.1072900000000001</v>
      </c>
      <c r="O1397" t="s">
        <v>74</v>
      </c>
      <c r="P1397">
        <v>0</v>
      </c>
      <c r="Q1397" t="s">
        <v>74</v>
      </c>
      <c r="R1397">
        <v>0</v>
      </c>
      <c r="S1397" t="s">
        <v>74</v>
      </c>
      <c r="T1397">
        <v>0</v>
      </c>
      <c r="U1397" t="s">
        <v>74</v>
      </c>
      <c r="V1397">
        <v>0</v>
      </c>
      <c r="W1397" t="s">
        <v>74</v>
      </c>
      <c r="X1397">
        <v>0</v>
      </c>
      <c r="Y1397">
        <v>1.1072900000000001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44</v>
      </c>
      <c r="AF1397">
        <v>63</v>
      </c>
      <c r="AG1397">
        <v>17</v>
      </c>
      <c r="AI1397">
        <v>0.010999999999999999</v>
      </c>
      <c r="AJ1397" t="s">
        <v>685</v>
      </c>
      <c r="AK1397" t="s">
        <v>218</v>
      </c>
      <c r="AL1397" t="s">
        <v>5699</v>
      </c>
      <c r="AM1397">
        <v>200000</v>
      </c>
      <c r="AN1397" t="s">
        <v>76</v>
      </c>
      <c r="AO1397">
        <v>1</v>
      </c>
      <c r="AP1397">
        <v>0</v>
      </c>
      <c r="AQ1397">
        <v>16666.666666666668</v>
      </c>
      <c r="AR1397" t="s">
        <v>9</v>
      </c>
      <c r="AS1397" t="s">
        <v>78</v>
      </c>
      <c r="AX1397" t="s">
        <v>79</v>
      </c>
      <c r="AY1397" t="s">
        <v>74</v>
      </c>
      <c r="AZ1397">
        <v>0</v>
      </c>
      <c r="BA1397" t="s">
        <v>74</v>
      </c>
      <c r="BB1397">
        <v>0</v>
      </c>
      <c r="BD1397">
        <v>1.1072900000000001</v>
      </c>
      <c r="BE1397">
        <v>0</v>
      </c>
    </row>
    <row r="1398" spans="1:58" ht="12.75">
      <c r="A1398" s="2" t="str">
        <f>HYPERLINK("https://ibp.a2mac1.com/costing(costing:projects/details/8191/part/5388225)","Charging Plug Protection")</f>
        <v>Charging Plug Protection</v>
      </c>
      <c r="B1398">
        <v>5388225</v>
      </c>
      <c r="C1398">
        <v>5388137</v>
      </c>
      <c r="E1398">
        <v>0.052196041200548354</v>
      </c>
      <c r="F1398">
        <v>0</v>
      </c>
      <c r="G1398">
        <v>0</v>
      </c>
      <c r="H1398">
        <v>0.00010816008576161372</v>
      </c>
      <c r="I1398" t="s">
        <v>137</v>
      </c>
      <c r="J1398">
        <v>0.0018376713600274175</v>
      </c>
      <c r="K1398">
        <v>0.05414187264633738</v>
      </c>
      <c r="L1398">
        <v>0.013863535335513953</v>
      </c>
      <c r="M1398">
        <v>0.083181212013083719</v>
      </c>
      <c r="N1398">
        <v>0.13732308465942111</v>
      </c>
      <c r="O1398" t="s">
        <v>138</v>
      </c>
      <c r="P1398">
        <v>0.0032485123587802432</v>
      </c>
      <c r="Q1398" t="s">
        <v>138</v>
      </c>
      <c r="R1398">
        <v>0.0049908727207850232</v>
      </c>
      <c r="S1398" t="s">
        <v>139</v>
      </c>
      <c r="T1398">
        <v>0.016478770159130532</v>
      </c>
      <c r="U1398" t="s">
        <v>216</v>
      </c>
      <c r="V1398">
        <v>0.0006866154232971055</v>
      </c>
      <c r="W1398" t="s">
        <v>217</v>
      </c>
      <c r="X1398">
        <v>0.002746461693188422</v>
      </c>
      <c r="Y1398">
        <v>0.16547431701460244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46</v>
      </c>
      <c r="AF1398">
        <v>98</v>
      </c>
      <c r="AG1398">
        <v>131</v>
      </c>
      <c r="AI1398">
        <v>0.045999999999999999</v>
      </c>
      <c r="AJ1398" t="s">
        <v>685</v>
      </c>
      <c r="AK1398" t="s">
        <v>218</v>
      </c>
      <c r="AL1398" t="s">
        <v>1182</v>
      </c>
      <c r="AM1398">
        <v>200000</v>
      </c>
      <c r="AN1398" t="s">
        <v>76</v>
      </c>
      <c r="AO1398">
        <v>1</v>
      </c>
      <c r="AP1398">
        <v>0</v>
      </c>
      <c r="AQ1398">
        <v>16666.666666666668</v>
      </c>
      <c r="AR1398" t="s">
        <v>9</v>
      </c>
      <c r="AS1398" t="s">
        <v>78</v>
      </c>
      <c r="AX1398" t="s">
        <v>79</v>
      </c>
      <c r="AY1398" t="s">
        <v>137</v>
      </c>
      <c r="AZ1398">
        <v>0</v>
      </c>
      <c r="BA1398" t="s">
        <v>137</v>
      </c>
      <c r="BB1398">
        <v>0</v>
      </c>
      <c r="BE1398">
        <v>0</v>
      </c>
    </row>
    <row r="1399" spans="1:58" ht="12.75">
      <c r="A1399" s="2" t="str">
        <f>HYPERLINK("https://ibp.a2mac1.com/costing(costing:projects/details/8191/part/5389207)","Part 01 single/front")</f>
        <v>Part 01 single/front</v>
      </c>
      <c r="B1399">
        <v>5389207</v>
      </c>
      <c r="C1399">
        <v>5388840</v>
      </c>
      <c r="E1399">
        <v>5.4223421454545457</v>
      </c>
      <c r="F1399">
        <v>0</v>
      </c>
      <c r="G1399">
        <v>0</v>
      </c>
      <c r="H1399">
        <v>0.0065193477818181822</v>
      </c>
      <c r="I1399" t="s">
        <v>137</v>
      </c>
      <c r="J1399">
        <v>0.21940112727272729</v>
      </c>
      <c r="K1399">
        <v>5.6482626205090911</v>
      </c>
      <c r="L1399">
        <v>0.325343368290124</v>
      </c>
      <c r="M1399">
        <v>1.9520602097407442</v>
      </c>
      <c r="N1399">
        <v>7.6003228302498353</v>
      </c>
      <c r="O1399" t="s">
        <v>90</v>
      </c>
      <c r="P1399">
        <v>0</v>
      </c>
      <c r="Q1399" t="s">
        <v>90</v>
      </c>
      <c r="R1399">
        <v>0</v>
      </c>
      <c r="S1399" t="s">
        <v>90</v>
      </c>
      <c r="T1399">
        <v>0</v>
      </c>
      <c r="U1399" t="s">
        <v>90</v>
      </c>
      <c r="V1399">
        <v>0</v>
      </c>
      <c r="W1399" t="s">
        <v>90</v>
      </c>
      <c r="X1399">
        <v>0</v>
      </c>
      <c r="Y1399">
        <v>7.6003228302498353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K1399" t="s">
        <v>4599</v>
      </c>
      <c r="AM1399">
        <v>200000</v>
      </c>
      <c r="AN1399" t="s">
        <v>92</v>
      </c>
      <c r="AO1399">
        <v>1</v>
      </c>
      <c r="AP1399">
        <v>0</v>
      </c>
      <c r="AQ1399">
        <v>16666.666666666668</v>
      </c>
      <c r="AR1399" t="s">
        <v>9</v>
      </c>
      <c r="AS1399" t="s">
        <v>78</v>
      </c>
      <c r="AV1399">
        <v>0</v>
      </c>
      <c r="AW1399">
        <v>0</v>
      </c>
      <c r="AX1399" t="s">
        <v>79</v>
      </c>
      <c r="AY1399" t="s">
        <v>137</v>
      </c>
      <c r="AZ1399">
        <v>0</v>
      </c>
      <c r="BA1399" t="s">
        <v>137</v>
      </c>
      <c r="BB1399">
        <v>0</v>
      </c>
      <c r="BE1399">
        <v>0</v>
      </c>
    </row>
    <row r="1400" spans="1:58" ht="12.75">
      <c r="A1400" s="2" t="str">
        <f>HYPERLINK("https://ibp.a2mac1.com/costing(costing:projects/details/8191/part/5389208)","Part 02")</f>
        <v>Part 02</v>
      </c>
      <c r="B1400">
        <v>5389208</v>
      </c>
      <c r="C1400">
        <v>5388841</v>
      </c>
      <c r="E1400">
        <v>0.30906608823529413</v>
      </c>
      <c r="F1400">
        <v>0</v>
      </c>
      <c r="G1400">
        <v>0</v>
      </c>
      <c r="H1400">
        <v>0.0003365745882352941</v>
      </c>
      <c r="I1400" t="s">
        <v>137</v>
      </c>
      <c r="J1400">
        <v>0.011327029411764706</v>
      </c>
      <c r="K1400">
        <v>0.32072969223529413</v>
      </c>
      <c r="L1400">
        <v>0.037922540539062424</v>
      </c>
      <c r="M1400">
        <v>0.22753524323437452</v>
      </c>
      <c r="N1400">
        <v>0.5482649354696687</v>
      </c>
      <c r="O1400" t="s">
        <v>138</v>
      </c>
      <c r="P1400">
        <v>0.019243781534117647</v>
      </c>
      <c r="Q1400" t="s">
        <v>138</v>
      </c>
      <c r="R1400">
        <v>0.013652114594062471</v>
      </c>
      <c r="S1400" t="s">
        <v>139</v>
      </c>
      <c r="T1400">
        <v>0.06579179225636024</v>
      </c>
      <c r="U1400" t="s">
        <v>90</v>
      </c>
      <c r="V1400">
        <v>0</v>
      </c>
      <c r="W1400" t="s">
        <v>90</v>
      </c>
      <c r="X1400">
        <v>0</v>
      </c>
      <c r="Y1400">
        <v>0.64695262385420904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K1400" t="s">
        <v>4605</v>
      </c>
      <c r="AM1400">
        <v>200000</v>
      </c>
      <c r="AN1400" t="s">
        <v>76</v>
      </c>
      <c r="AO1400">
        <v>1</v>
      </c>
      <c r="AP1400">
        <v>0</v>
      </c>
      <c r="AQ1400">
        <v>16666.666666666668</v>
      </c>
      <c r="AR1400" t="s">
        <v>9</v>
      </c>
      <c r="AS1400" t="s">
        <v>78</v>
      </c>
      <c r="AV1400">
        <v>0</v>
      </c>
      <c r="AW1400">
        <v>0</v>
      </c>
      <c r="AX1400" t="s">
        <v>79</v>
      </c>
      <c r="AY1400" t="s">
        <v>137</v>
      </c>
      <c r="AZ1400">
        <v>0</v>
      </c>
      <c r="BA1400" t="s">
        <v>137</v>
      </c>
      <c r="BB1400">
        <v>0</v>
      </c>
      <c r="BE1400">
        <v>0</v>
      </c>
    </row>
    <row r="1401" spans="1:58" ht="12.75">
      <c r="A1401" s="2" t="str">
        <f>HYPERLINK("https://ibp.a2mac1.com/costing(costing:projects/details/8191/part/5389209)","Part 01 single/main")</f>
        <v>Part 01 single/main</v>
      </c>
      <c r="B1401">
        <v>5389209</v>
      </c>
      <c r="C1401">
        <v>5388841</v>
      </c>
      <c r="E1401">
        <v>0.55307367500000004</v>
      </c>
      <c r="F1401">
        <v>0</v>
      </c>
      <c r="G1401">
        <v>0</v>
      </c>
      <c r="H1401">
        <v>0.00061191130000000002</v>
      </c>
      <c r="I1401" t="s">
        <v>137</v>
      </c>
      <c r="J1401">
        <v>0.020593168750000002</v>
      </c>
      <c r="K1401">
        <v>0.57427875505000003</v>
      </c>
      <c r="L1401">
        <v>0.037922540539062424</v>
      </c>
      <c r="M1401">
        <v>0.22753524323437452</v>
      </c>
      <c r="N1401">
        <v>0.8018139982843745</v>
      </c>
      <c r="O1401" t="s">
        <v>138</v>
      </c>
      <c r="P1401">
        <v>0.034456725303000001</v>
      </c>
      <c r="Q1401" t="s">
        <v>138</v>
      </c>
      <c r="R1401">
        <v>0.013652114594062471</v>
      </c>
      <c r="S1401" t="s">
        <v>139</v>
      </c>
      <c r="T1401">
        <v>0.096217679794124947</v>
      </c>
      <c r="U1401" t="s">
        <v>90</v>
      </c>
      <c r="V1401">
        <v>0</v>
      </c>
      <c r="W1401" t="s">
        <v>90</v>
      </c>
      <c r="X1401">
        <v>0</v>
      </c>
      <c r="Y1401">
        <v>0.94614051797556198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K1401" t="s">
        <v>4605</v>
      </c>
      <c r="AM1401">
        <v>200000</v>
      </c>
      <c r="AN1401" t="s">
        <v>76</v>
      </c>
      <c r="AO1401">
        <v>1</v>
      </c>
      <c r="AP1401">
        <v>0</v>
      </c>
      <c r="AQ1401">
        <v>16666.666666666668</v>
      </c>
      <c r="AR1401" t="s">
        <v>9</v>
      </c>
      <c r="AS1401" t="s">
        <v>78</v>
      </c>
      <c r="AV1401">
        <v>0</v>
      </c>
      <c r="AW1401">
        <v>0</v>
      </c>
      <c r="AX1401" t="s">
        <v>79</v>
      </c>
      <c r="AY1401" t="s">
        <v>137</v>
      </c>
      <c r="AZ1401">
        <v>0</v>
      </c>
      <c r="BA1401" t="s">
        <v>137</v>
      </c>
      <c r="BB1401">
        <v>0</v>
      </c>
      <c r="BE1401">
        <v>0</v>
      </c>
    </row>
    <row r="1402" spans="1:58" ht="12.75">
      <c r="A1402" s="2" t="str">
        <f>HYPERLINK("https://ibp.a2mac1.com/costing(costing:projects/details/8191/part/5389423)","Part 03")</f>
        <v>Part 03</v>
      </c>
      <c r="B1402">
        <v>5389423</v>
      </c>
      <c r="C1402">
        <v>5389210</v>
      </c>
      <c r="E1402">
        <v>0.49005883333333333</v>
      </c>
      <c r="F1402">
        <v>0</v>
      </c>
      <c r="G1402">
        <v>0</v>
      </c>
      <c r="H1402">
        <v>0.00055098506666666669</v>
      </c>
      <c r="I1402" t="s">
        <v>137</v>
      </c>
      <c r="J1402">
        <v>0.018542766666666665</v>
      </c>
      <c r="K1402">
        <v>0.50915258506666672</v>
      </c>
      <c r="L1402">
        <v>0.019958738804621071</v>
      </c>
      <c r="M1402">
        <v>0.11975243282772643</v>
      </c>
      <c r="N1402">
        <v>0.62890501789439313</v>
      </c>
      <c r="O1402" t="s">
        <v>138</v>
      </c>
      <c r="P1402">
        <v>0.030549155104000001</v>
      </c>
      <c r="Q1402" t="s">
        <v>138</v>
      </c>
      <c r="R1402">
        <v>0.007185145969663586</v>
      </c>
      <c r="S1402" t="s">
        <v>139</v>
      </c>
      <c r="T1402">
        <v>0.075468602147327174</v>
      </c>
      <c r="U1402" t="s">
        <v>90</v>
      </c>
      <c r="V1402">
        <v>0</v>
      </c>
      <c r="W1402" t="s">
        <v>90</v>
      </c>
      <c r="X1402">
        <v>0</v>
      </c>
      <c r="Y1402">
        <v>0.74210792111538382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K1402" t="s">
        <v>4605</v>
      </c>
      <c r="AM1402">
        <v>200000</v>
      </c>
      <c r="AN1402" t="s">
        <v>76</v>
      </c>
      <c r="AO1402">
        <v>1</v>
      </c>
      <c r="AP1402">
        <v>0</v>
      </c>
      <c r="AQ1402">
        <v>16666.666666666668</v>
      </c>
      <c r="AR1402" t="s">
        <v>9</v>
      </c>
      <c r="AS1402" t="s">
        <v>78</v>
      </c>
      <c r="AV1402">
        <v>0</v>
      </c>
      <c r="AW1402">
        <v>0</v>
      </c>
      <c r="AX1402" t="s">
        <v>79</v>
      </c>
      <c r="AY1402" t="s">
        <v>137</v>
      </c>
      <c r="AZ1402">
        <v>0</v>
      </c>
      <c r="BA1402" t="s">
        <v>137</v>
      </c>
      <c r="BB1402">
        <v>0</v>
      </c>
      <c r="BE1402">
        <v>0</v>
      </c>
    </row>
    <row r="1403" spans="1:58" ht="12.75">
      <c r="A1403" s="2" t="str">
        <f>HYPERLINK("https://ibp.a2mac1.com/costing(costing:projects/details/8191/part/5389424)","Part 02")</f>
        <v>Part 02</v>
      </c>
      <c r="B1403">
        <v>5389424</v>
      </c>
      <c r="C1403">
        <v>5389210</v>
      </c>
      <c r="E1403">
        <v>0.51654849999999997</v>
      </c>
      <c r="F1403">
        <v>0</v>
      </c>
      <c r="G1403">
        <v>0</v>
      </c>
      <c r="H1403">
        <v>0.00059034114285714287</v>
      </c>
      <c r="I1403" t="s">
        <v>137</v>
      </c>
      <c r="J1403">
        <v>0.019867249999999999</v>
      </c>
      <c r="K1403">
        <v>0.53700609114285713</v>
      </c>
      <c r="L1403">
        <v>0.019958738804621071</v>
      </c>
      <c r="M1403">
        <v>0.11975243282772643</v>
      </c>
      <c r="N1403">
        <v>0.65675852397058354</v>
      </c>
      <c r="O1403" t="s">
        <v>138</v>
      </c>
      <c r="P1403">
        <v>0.032220365468571426</v>
      </c>
      <c r="Q1403" t="s">
        <v>138</v>
      </c>
      <c r="R1403">
        <v>0.007185145969663586</v>
      </c>
      <c r="S1403" t="s">
        <v>139</v>
      </c>
      <c r="T1403">
        <v>0.07881102287647003</v>
      </c>
      <c r="U1403" t="s">
        <v>90</v>
      </c>
      <c r="V1403">
        <v>0</v>
      </c>
      <c r="W1403" t="s">
        <v>90</v>
      </c>
      <c r="X1403">
        <v>0</v>
      </c>
      <c r="Y1403">
        <v>0.77497505828528856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K1403" t="s">
        <v>4605</v>
      </c>
      <c r="AM1403">
        <v>200000</v>
      </c>
      <c r="AN1403" t="s">
        <v>76</v>
      </c>
      <c r="AO1403">
        <v>1</v>
      </c>
      <c r="AP1403">
        <v>0</v>
      </c>
      <c r="AQ1403">
        <v>16666.666666666668</v>
      </c>
      <c r="AR1403" t="s">
        <v>9</v>
      </c>
      <c r="AS1403" t="s">
        <v>78</v>
      </c>
      <c r="AV1403">
        <v>0</v>
      </c>
      <c r="AW1403">
        <v>0</v>
      </c>
      <c r="AX1403" t="s">
        <v>79</v>
      </c>
      <c r="AY1403" t="s">
        <v>137</v>
      </c>
      <c r="AZ1403">
        <v>0</v>
      </c>
      <c r="BA1403" t="s">
        <v>137</v>
      </c>
      <c r="BB1403">
        <v>0</v>
      </c>
      <c r="BE1403">
        <v>0</v>
      </c>
    </row>
    <row r="1404" spans="1:58" ht="12.75">
      <c r="A1404" s="2" t="str">
        <f>HYPERLINK("https://ibp.a2mac1.com/costing(costing:projects/details/8191/part/5389425)","Part 01 single/main")</f>
        <v>Part 01 single/main</v>
      </c>
      <c r="B1404">
        <v>5389425</v>
      </c>
      <c r="C1404">
        <v>5389210</v>
      </c>
      <c r="E1404">
        <v>0.04120881176470588</v>
      </c>
      <c r="F1404">
        <v>0</v>
      </c>
      <c r="G1404">
        <v>0</v>
      </c>
      <c r="H1404">
        <v>4.4876611764705885E-05</v>
      </c>
      <c r="I1404" t="s">
        <v>137</v>
      </c>
      <c r="J1404">
        <v>0.0015102705882352942</v>
      </c>
      <c r="K1404">
        <v>0.042763958964705882</v>
      </c>
      <c r="L1404">
        <v>0.010976837937400397</v>
      </c>
      <c r="M1404">
        <v>0.06586102762440238</v>
      </c>
      <c r="N1404">
        <v>0.10862498658910825</v>
      </c>
      <c r="O1404" t="s">
        <v>138</v>
      </c>
      <c r="P1404">
        <v>0.0025658375378823529</v>
      </c>
      <c r="Q1404" t="s">
        <v>138</v>
      </c>
      <c r="R1404">
        <v>0.0039516616574641426</v>
      </c>
      <c r="S1404" t="s">
        <v>139</v>
      </c>
      <c r="T1404">
        <v>0.013034998390692991</v>
      </c>
      <c r="U1404" t="s">
        <v>90</v>
      </c>
      <c r="V1404">
        <v>0</v>
      </c>
      <c r="W1404" t="s">
        <v>90</v>
      </c>
      <c r="X1404">
        <v>0</v>
      </c>
      <c r="Y1404">
        <v>0.12817748417514774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K1404" t="s">
        <v>4605</v>
      </c>
      <c r="AM1404">
        <v>200000</v>
      </c>
      <c r="AN1404" t="s">
        <v>76</v>
      </c>
      <c r="AO1404">
        <v>1</v>
      </c>
      <c r="AP1404">
        <v>0</v>
      </c>
      <c r="AQ1404">
        <v>16666.666666666668</v>
      </c>
      <c r="AR1404" t="s">
        <v>9</v>
      </c>
      <c r="AS1404" t="s">
        <v>78</v>
      </c>
      <c r="AV1404">
        <v>0</v>
      </c>
      <c r="AW1404">
        <v>0</v>
      </c>
      <c r="AX1404" t="s">
        <v>79</v>
      </c>
      <c r="AY1404" t="s">
        <v>137</v>
      </c>
      <c r="AZ1404">
        <v>0</v>
      </c>
      <c r="BA1404" t="s">
        <v>137</v>
      </c>
      <c r="BB1404">
        <v>0</v>
      </c>
      <c r="BE1404">
        <v>0</v>
      </c>
    </row>
    <row r="1405" spans="1:58" ht="12.75">
      <c r="A1405" s="2" t="str">
        <f>HYPERLINK("https://ibp.a2mac1.com/costing(costing:projects/details/8191/part/5389426)","Part 01 single/main")</f>
        <v>Part 01 single/main</v>
      </c>
      <c r="B1405">
        <v>5389426</v>
      </c>
      <c r="C1405">
        <v>5389211</v>
      </c>
      <c r="E1405">
        <v>1.4133256000000001</v>
      </c>
      <c r="F1405">
        <v>0</v>
      </c>
      <c r="G1405">
        <v>0</v>
      </c>
      <c r="H1405">
        <v>0.0017292454400000001</v>
      </c>
      <c r="I1405" t="s">
        <v>137</v>
      </c>
      <c r="J1405">
        <v>0.058195759999999999</v>
      </c>
      <c r="K1405">
        <v>1.4732506054400001</v>
      </c>
      <c r="L1405">
        <v>0.16366915268015186</v>
      </c>
      <c r="M1405">
        <v>0.98201491608091118</v>
      </c>
      <c r="N1405">
        <v>2.4552655215209112</v>
      </c>
      <c r="O1405" t="s">
        <v>138</v>
      </c>
      <c r="P1405">
        <v>0.088395036326400001</v>
      </c>
      <c r="Q1405" t="s">
        <v>138</v>
      </c>
      <c r="R1405">
        <v>0.058920894964854677</v>
      </c>
      <c r="S1405" t="s">
        <v>139</v>
      </c>
      <c r="T1405">
        <v>0.29463186258250934</v>
      </c>
      <c r="U1405" t="s">
        <v>90</v>
      </c>
      <c r="V1405">
        <v>0</v>
      </c>
      <c r="W1405" t="s">
        <v>90</v>
      </c>
      <c r="X1405">
        <v>0</v>
      </c>
      <c r="Y1405">
        <v>2.8972133153946751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K1405" t="s">
        <v>4605</v>
      </c>
      <c r="AM1405">
        <v>200000</v>
      </c>
      <c r="AN1405" t="s">
        <v>76</v>
      </c>
      <c r="AO1405">
        <v>1</v>
      </c>
      <c r="AP1405">
        <v>0</v>
      </c>
      <c r="AQ1405">
        <v>16666.666666666668</v>
      </c>
      <c r="AR1405" t="s">
        <v>9</v>
      </c>
      <c r="AS1405" t="s">
        <v>78</v>
      </c>
      <c r="AV1405">
        <v>0</v>
      </c>
      <c r="AW1405">
        <v>0</v>
      </c>
      <c r="AX1405" t="s">
        <v>79</v>
      </c>
      <c r="AY1405" t="s">
        <v>137</v>
      </c>
      <c r="AZ1405">
        <v>0</v>
      </c>
      <c r="BA1405" t="s">
        <v>137</v>
      </c>
      <c r="BB1405">
        <v>0</v>
      </c>
      <c r="BE1405">
        <v>0</v>
      </c>
    </row>
    <row r="1406" spans="1:58" ht="12.75">
      <c r="A1406" s="2" t="str">
        <f>HYPERLINK("https://ibp.a2mac1.com/costing(costing:projects/details/8191/part/5389212)","Part 01 single/main")</f>
        <v>Part 01 single/main</v>
      </c>
      <c r="B1406">
        <v>5389212</v>
      </c>
      <c r="C1406">
        <v>5388844</v>
      </c>
      <c r="E1406">
        <v>0.16586606666666667</v>
      </c>
      <c r="F1406">
        <v>0</v>
      </c>
      <c r="G1406">
        <v>0</v>
      </c>
      <c r="H1406">
        <v>0.00018648725333333333</v>
      </c>
      <c r="I1406" t="s">
        <v>137</v>
      </c>
      <c r="J1406">
        <v>0.0062760133333333336</v>
      </c>
      <c r="K1406">
        <v>0.17232856725333334</v>
      </c>
      <c r="L1406">
        <v>0.010976837937400397</v>
      </c>
      <c r="M1406">
        <v>0.06586102762440238</v>
      </c>
      <c r="N1406">
        <v>0.23818959487773572</v>
      </c>
      <c r="O1406" t="s">
        <v>138</v>
      </c>
      <c r="P1406">
        <v>0.010339714035200001</v>
      </c>
      <c r="Q1406" t="s">
        <v>138</v>
      </c>
      <c r="R1406">
        <v>0.0039516616574641426</v>
      </c>
      <c r="S1406" t="s">
        <v>139</v>
      </c>
      <c r="T1406">
        <v>0.028582751385328287</v>
      </c>
      <c r="U1406" t="s">
        <v>90</v>
      </c>
      <c r="V1406">
        <v>0</v>
      </c>
      <c r="W1406" t="s">
        <v>90</v>
      </c>
      <c r="X1406">
        <v>0</v>
      </c>
      <c r="Y1406">
        <v>0.28106372195572815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K1406" t="s">
        <v>4605</v>
      </c>
      <c r="AM1406">
        <v>200000</v>
      </c>
      <c r="AN1406" t="s">
        <v>76</v>
      </c>
      <c r="AO1406">
        <v>1</v>
      </c>
      <c r="AP1406">
        <v>0</v>
      </c>
      <c r="AQ1406">
        <v>16666.666666666668</v>
      </c>
      <c r="AR1406" t="s">
        <v>9</v>
      </c>
      <c r="AS1406" t="s">
        <v>78</v>
      </c>
      <c r="AV1406">
        <v>0</v>
      </c>
      <c r="AW1406">
        <v>0</v>
      </c>
      <c r="AX1406" t="s">
        <v>79</v>
      </c>
      <c r="AY1406" t="s">
        <v>137</v>
      </c>
      <c r="AZ1406">
        <v>0</v>
      </c>
      <c r="BA1406" t="s">
        <v>137</v>
      </c>
      <c r="BB1406">
        <v>0</v>
      </c>
      <c r="BE1406">
        <v>0</v>
      </c>
    </row>
    <row r="1407" spans="1:58" ht="12.75">
      <c r="A1407" s="2" t="str">
        <f>HYPERLINK("https://ibp.a2mac1.com/costing(costing:projects/details/8191/part/5389714)","Part 01 single/main")</f>
        <v>Part 01 single/main</v>
      </c>
      <c r="B1407">
        <v>5389714</v>
      </c>
      <c r="C1407">
        <v>5389427</v>
      </c>
      <c r="E1407">
        <v>0.14324796666666667</v>
      </c>
      <c r="F1407">
        <v>0</v>
      </c>
      <c r="G1407">
        <v>0</v>
      </c>
      <c r="H1407">
        <v>0.00016105717333333332</v>
      </c>
      <c r="I1407" t="s">
        <v>137</v>
      </c>
      <c r="J1407">
        <v>0.0054201933333333334</v>
      </c>
      <c r="K1407">
        <v>0.14882921717333333</v>
      </c>
      <c r="L1407">
        <v>0.010976837937400397</v>
      </c>
      <c r="M1407">
        <v>0.06586102762440238</v>
      </c>
      <c r="N1407">
        <v>0.21469024479773571</v>
      </c>
      <c r="O1407" t="s">
        <v>138</v>
      </c>
      <c r="P1407">
        <v>0.0089297530304000006</v>
      </c>
      <c r="Q1407" t="s">
        <v>138</v>
      </c>
      <c r="R1407">
        <v>0.0039516616574641426</v>
      </c>
      <c r="S1407" t="s">
        <v>139</v>
      </c>
      <c r="T1407">
        <v>0.025762829375728286</v>
      </c>
      <c r="U1407" t="s">
        <v>90</v>
      </c>
      <c r="V1407">
        <v>0</v>
      </c>
      <c r="W1407" t="s">
        <v>90</v>
      </c>
      <c r="X1407">
        <v>0</v>
      </c>
      <c r="Y1407">
        <v>0.25333448886132814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K1407" t="s">
        <v>4605</v>
      </c>
      <c r="AM1407">
        <v>200000</v>
      </c>
      <c r="AN1407" t="s">
        <v>76</v>
      </c>
      <c r="AO1407">
        <v>1</v>
      </c>
      <c r="AP1407">
        <v>0</v>
      </c>
      <c r="AQ1407">
        <v>16666.666666666668</v>
      </c>
      <c r="AR1407" t="s">
        <v>9</v>
      </c>
      <c r="AS1407" t="s">
        <v>78</v>
      </c>
      <c r="AV1407">
        <v>0</v>
      </c>
      <c r="AW1407">
        <v>0</v>
      </c>
      <c r="AX1407" t="s">
        <v>79</v>
      </c>
      <c r="AY1407" t="s">
        <v>137</v>
      </c>
      <c r="AZ1407">
        <v>0</v>
      </c>
      <c r="BA1407" t="s">
        <v>137</v>
      </c>
      <c r="BB1407">
        <v>0</v>
      </c>
      <c r="BE1407">
        <v>0</v>
      </c>
    </row>
    <row r="1408" spans="1:58" ht="12.75">
      <c r="A1408" s="2" t="str">
        <f>HYPERLINK("https://ibp.a2mac1.com/costing(costing:projects/details/8191/part/5389214)","Part 01 single/front")</f>
        <v>Part 01 single/front</v>
      </c>
      <c r="B1408">
        <v>5389214</v>
      </c>
      <c r="C1408">
        <v>5388846</v>
      </c>
      <c r="E1408">
        <v>1.4133256000000001</v>
      </c>
      <c r="F1408">
        <v>0</v>
      </c>
      <c r="G1408">
        <v>0</v>
      </c>
      <c r="H1408">
        <v>0.0017292454400000001</v>
      </c>
      <c r="I1408" t="s">
        <v>137</v>
      </c>
      <c r="J1408">
        <v>0.058195759999999999</v>
      </c>
      <c r="K1408">
        <v>1.4732506054400001</v>
      </c>
      <c r="L1408">
        <v>0.16366915268015186</v>
      </c>
      <c r="M1408">
        <v>0.98201491608091118</v>
      </c>
      <c r="N1408">
        <v>2.4552655215209112</v>
      </c>
      <c r="O1408" t="s">
        <v>138</v>
      </c>
      <c r="P1408">
        <v>0.088395036326400001</v>
      </c>
      <c r="Q1408" t="s">
        <v>138</v>
      </c>
      <c r="R1408">
        <v>0.058920894964854677</v>
      </c>
      <c r="S1408" t="s">
        <v>139</v>
      </c>
      <c r="T1408">
        <v>0.29463186258250934</v>
      </c>
      <c r="U1408" t="s">
        <v>90</v>
      </c>
      <c r="V1408">
        <v>0</v>
      </c>
      <c r="W1408" t="s">
        <v>90</v>
      </c>
      <c r="X1408">
        <v>0</v>
      </c>
      <c r="Y1408">
        <v>2.8972133153946751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K1408" t="s">
        <v>4605</v>
      </c>
      <c r="AM1408">
        <v>200000</v>
      </c>
      <c r="AN1408" t="s">
        <v>76</v>
      </c>
      <c r="AO1408">
        <v>1</v>
      </c>
      <c r="AP1408">
        <v>0</v>
      </c>
      <c r="AQ1408">
        <v>16666.666666666668</v>
      </c>
      <c r="AR1408" t="s">
        <v>9</v>
      </c>
      <c r="AS1408" t="s">
        <v>78</v>
      </c>
      <c r="AV1408">
        <v>0</v>
      </c>
      <c r="AW1408">
        <v>0</v>
      </c>
      <c r="AX1408" t="s">
        <v>79</v>
      </c>
      <c r="AY1408" t="s">
        <v>137</v>
      </c>
      <c r="AZ1408">
        <v>0</v>
      </c>
      <c r="BA1408" t="s">
        <v>137</v>
      </c>
      <c r="BB1408">
        <v>0</v>
      </c>
      <c r="BE1408">
        <v>0</v>
      </c>
    </row>
    <row r="1409" spans="1:58" ht="12.75">
      <c r="A1409" s="2" t="str">
        <f>HYPERLINK("https://ibp.a2mac1.com/costing(costing:projects/details/8191/part/5389428)","Part 01 single/main")</f>
        <v>Part 01 single/main</v>
      </c>
      <c r="B1409">
        <v>5389428</v>
      </c>
      <c r="C1409">
        <v>5389215</v>
      </c>
      <c r="E1409">
        <v>0.70870046666666664</v>
      </c>
      <c r="F1409">
        <v>0</v>
      </c>
      <c r="G1409">
        <v>0</v>
      </c>
      <c r="H1409">
        <v>0.00079680917333333336</v>
      </c>
      <c r="I1409" t="s">
        <v>137</v>
      </c>
      <c r="J1409">
        <v>0.026815693333333335</v>
      </c>
      <c r="K1409">
        <v>0.73631296917333333</v>
      </c>
      <c r="L1409">
        <v>0.019958738804621071</v>
      </c>
      <c r="M1409">
        <v>0.11975243282772643</v>
      </c>
      <c r="N1409">
        <v>0.85606540200105974</v>
      </c>
      <c r="O1409" t="s">
        <v>138</v>
      </c>
      <c r="P1409">
        <v>0.0441787781504</v>
      </c>
      <c r="Q1409" t="s">
        <v>138</v>
      </c>
      <c r="R1409">
        <v>0.007185145969663586</v>
      </c>
      <c r="S1409" t="s">
        <v>139</v>
      </c>
      <c r="T1409">
        <v>0.10272784824012716</v>
      </c>
      <c r="U1409" t="s">
        <v>90</v>
      </c>
      <c r="V1409">
        <v>0</v>
      </c>
      <c r="W1409" t="s">
        <v>90</v>
      </c>
      <c r="X1409">
        <v>0</v>
      </c>
      <c r="Y1409">
        <v>1.0101571743612505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K1409" t="s">
        <v>4605</v>
      </c>
      <c r="AM1409">
        <v>200000</v>
      </c>
      <c r="AN1409" t="s">
        <v>76</v>
      </c>
      <c r="AO1409">
        <v>1</v>
      </c>
      <c r="AP1409">
        <v>0</v>
      </c>
      <c r="AQ1409">
        <v>16666.666666666668</v>
      </c>
      <c r="AR1409" t="s">
        <v>9</v>
      </c>
      <c r="AS1409" t="s">
        <v>78</v>
      </c>
      <c r="AV1409">
        <v>0</v>
      </c>
      <c r="AW1409">
        <v>0</v>
      </c>
      <c r="AX1409" t="s">
        <v>79</v>
      </c>
      <c r="AY1409" t="s">
        <v>137</v>
      </c>
      <c r="AZ1409">
        <v>0</v>
      </c>
      <c r="BA1409" t="s">
        <v>137</v>
      </c>
      <c r="BB1409">
        <v>0</v>
      </c>
      <c r="BE1409">
        <v>0</v>
      </c>
    </row>
    <row r="1410" spans="1:58" ht="12.75">
      <c r="A1410" s="2" t="str">
        <f>HYPERLINK("https://ibp.a2mac1.com/costing(costing:projects/details/8191/part/5389429)","Part 02")</f>
        <v>Part 02</v>
      </c>
      <c r="B1410">
        <v>5389429</v>
      </c>
      <c r="C1410">
        <v>5389215</v>
      </c>
      <c r="E1410">
        <v>0.20830047500000001</v>
      </c>
      <c r="F1410">
        <v>0</v>
      </c>
      <c r="G1410">
        <v>0</v>
      </c>
      <c r="H1410">
        <v>0.00023046009999999999</v>
      </c>
      <c r="I1410" t="s">
        <v>137</v>
      </c>
      <c r="J1410">
        <v>0.0077558687499999996</v>
      </c>
      <c r="K1410">
        <v>0.21628680384999999</v>
      </c>
      <c r="L1410">
        <v>0.010976837937400397</v>
      </c>
      <c r="M1410">
        <v>0.06586102762440238</v>
      </c>
      <c r="N1410">
        <v>0.28214783147440237</v>
      </c>
      <c r="O1410" t="s">
        <v>138</v>
      </c>
      <c r="P1410">
        <v>0.012977208230999999</v>
      </c>
      <c r="Q1410" t="s">
        <v>138</v>
      </c>
      <c r="R1410">
        <v>0.0039516616574641426</v>
      </c>
      <c r="S1410" t="s">
        <v>139</v>
      </c>
      <c r="T1410">
        <v>0.033857739776928283</v>
      </c>
      <c r="U1410" t="s">
        <v>90</v>
      </c>
      <c r="V1410">
        <v>0</v>
      </c>
      <c r="W1410" t="s">
        <v>90</v>
      </c>
      <c r="X1410">
        <v>0</v>
      </c>
      <c r="Y1410">
        <v>0.33293444113979481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K1410" t="s">
        <v>4605</v>
      </c>
      <c r="AM1410">
        <v>200000</v>
      </c>
      <c r="AN1410" t="s">
        <v>76</v>
      </c>
      <c r="AO1410">
        <v>1</v>
      </c>
      <c r="AP1410">
        <v>0</v>
      </c>
      <c r="AQ1410">
        <v>16666.666666666668</v>
      </c>
      <c r="AR1410" t="s">
        <v>9</v>
      </c>
      <c r="AS1410" t="s">
        <v>78</v>
      </c>
      <c r="AV1410">
        <v>0</v>
      </c>
      <c r="AW1410">
        <v>0</v>
      </c>
      <c r="AX1410" t="s">
        <v>79</v>
      </c>
      <c r="AY1410" t="s">
        <v>137</v>
      </c>
      <c r="AZ1410">
        <v>0</v>
      </c>
      <c r="BA1410" t="s">
        <v>137</v>
      </c>
      <c r="BB1410">
        <v>0</v>
      </c>
      <c r="BE1410">
        <v>0</v>
      </c>
    </row>
    <row r="1411" spans="1:58" ht="12.75">
      <c r="A1411" s="2" t="str">
        <f>HYPERLINK("https://ibp.a2mac1.com/costing(costing:projects/details/8191/part/5389430)","Part 01 single/main")</f>
        <v>Part 01 single/main</v>
      </c>
      <c r="B1411">
        <v>5389430</v>
      </c>
      <c r="C1411">
        <v>5389216</v>
      </c>
      <c r="E1411">
        <v>0.24421435</v>
      </c>
      <c r="F1411">
        <v>0</v>
      </c>
      <c r="G1411">
        <v>0</v>
      </c>
      <c r="H1411">
        <v>0.00027019460000000001</v>
      </c>
      <c r="I1411" t="s">
        <v>137</v>
      </c>
      <c r="J1411">
        <v>0.0090930874999999994</v>
      </c>
      <c r="K1411">
        <v>0.25357763210000001</v>
      </c>
      <c r="L1411">
        <v>0.010976837937400397</v>
      </c>
      <c r="M1411">
        <v>0.06586102762440238</v>
      </c>
      <c r="N1411">
        <v>0.31943865972440239</v>
      </c>
      <c r="O1411" t="s">
        <v>138</v>
      </c>
      <c r="P1411">
        <v>0.015214657926</v>
      </c>
      <c r="Q1411" t="s">
        <v>138</v>
      </c>
      <c r="R1411">
        <v>0.0039516616574641426</v>
      </c>
      <c r="S1411" t="s">
        <v>139</v>
      </c>
      <c r="T1411">
        <v>0.038332639166928285</v>
      </c>
      <c r="U1411" t="s">
        <v>90</v>
      </c>
      <c r="V1411">
        <v>0</v>
      </c>
      <c r="W1411" t="s">
        <v>90</v>
      </c>
      <c r="X1411">
        <v>0</v>
      </c>
      <c r="Y1411">
        <v>0.37693761847479479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K1411" t="s">
        <v>4605</v>
      </c>
      <c r="AM1411">
        <v>200000</v>
      </c>
      <c r="AN1411" t="s">
        <v>76</v>
      </c>
      <c r="AO1411">
        <v>1</v>
      </c>
      <c r="AP1411">
        <v>0</v>
      </c>
      <c r="AQ1411">
        <v>16666.666666666668</v>
      </c>
      <c r="AR1411" t="s">
        <v>9</v>
      </c>
      <c r="AS1411" t="s">
        <v>78</v>
      </c>
      <c r="AV1411">
        <v>0</v>
      </c>
      <c r="AW1411">
        <v>0</v>
      </c>
      <c r="AX1411" t="s">
        <v>79</v>
      </c>
      <c r="AY1411" t="s">
        <v>137</v>
      </c>
      <c r="AZ1411">
        <v>0</v>
      </c>
      <c r="BA1411" t="s">
        <v>137</v>
      </c>
      <c r="BB1411">
        <v>0</v>
      </c>
      <c r="BE1411">
        <v>0</v>
      </c>
    </row>
    <row r="1412" spans="1:58" ht="12.75">
      <c r="A1412" s="2" t="str">
        <f>HYPERLINK("https://ibp.a2mac1.com/costing(costing:projects/details/8191/part/5389431)","Part 01 single/main")</f>
        <v>Part 01 single/main</v>
      </c>
      <c r="B1412">
        <v>5389431</v>
      </c>
      <c r="C1412">
        <v>5389217</v>
      </c>
      <c r="E1412">
        <v>1.6926897000000001</v>
      </c>
      <c r="F1412">
        <v>0</v>
      </c>
      <c r="G1412">
        <v>0</v>
      </c>
      <c r="H1412">
        <v>0.0019345025142857143</v>
      </c>
      <c r="I1412" t="s">
        <v>137</v>
      </c>
      <c r="J1412">
        <v>0.065103449999999993</v>
      </c>
      <c r="K1412">
        <v>1.7597276525142858</v>
      </c>
      <c r="L1412">
        <v>0.028940639671841746</v>
      </c>
      <c r="M1412">
        <v>0.17364383803105049</v>
      </c>
      <c r="N1412">
        <v>1.9333714905453363</v>
      </c>
      <c r="O1412" t="s">
        <v>138</v>
      </c>
      <c r="P1412">
        <v>0.10558365915085714</v>
      </c>
      <c r="Q1412" t="s">
        <v>138</v>
      </c>
      <c r="R1412">
        <v>0.010418630281863029</v>
      </c>
      <c r="S1412" t="s">
        <v>139</v>
      </c>
      <c r="T1412">
        <v>0.23200457886544035</v>
      </c>
      <c r="U1412" t="s">
        <v>90</v>
      </c>
      <c r="V1412">
        <v>0</v>
      </c>
      <c r="W1412" t="s">
        <v>90</v>
      </c>
      <c r="X1412">
        <v>0</v>
      </c>
      <c r="Y1412">
        <v>2.2813783588434968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K1412" t="s">
        <v>4605</v>
      </c>
      <c r="AM1412">
        <v>200000</v>
      </c>
      <c r="AN1412" t="s">
        <v>76</v>
      </c>
      <c r="AO1412">
        <v>1</v>
      </c>
      <c r="AP1412">
        <v>0</v>
      </c>
      <c r="AQ1412">
        <v>16666.666666666668</v>
      </c>
      <c r="AR1412" t="s">
        <v>9</v>
      </c>
      <c r="AS1412" t="s">
        <v>78</v>
      </c>
      <c r="AV1412">
        <v>0</v>
      </c>
      <c r="AW1412">
        <v>0</v>
      </c>
      <c r="AX1412" t="s">
        <v>79</v>
      </c>
      <c r="AY1412" t="s">
        <v>137</v>
      </c>
      <c r="AZ1412">
        <v>0</v>
      </c>
      <c r="BA1412" t="s">
        <v>137</v>
      </c>
      <c r="BB1412">
        <v>0</v>
      </c>
      <c r="BE1412">
        <v>0</v>
      </c>
    </row>
    <row r="1413" spans="1:58" ht="12.75">
      <c r="A1413" s="2" t="str">
        <f>HYPERLINK("https://ibp.a2mac1.com/costing(costing:projects/details/8191/part/5389218)","Part 01 single/main")</f>
        <v>Part 01 single/main</v>
      </c>
      <c r="B1413">
        <v>5389218</v>
      </c>
      <c r="C1413">
        <v>5388849</v>
      </c>
      <c r="E1413">
        <v>3.1868147764705883</v>
      </c>
      <c r="F1413">
        <v>0</v>
      </c>
      <c r="G1413">
        <v>0</v>
      </c>
      <c r="H1413">
        <v>0.0034704579764705881</v>
      </c>
      <c r="I1413" t="s">
        <v>137</v>
      </c>
      <c r="J1413">
        <v>0.11679425882352941</v>
      </c>
      <c r="K1413">
        <v>3.3070794932705883</v>
      </c>
      <c r="L1413">
        <v>0.16366915268015186</v>
      </c>
      <c r="M1413">
        <v>0.98201491608091118</v>
      </c>
      <c r="N1413">
        <v>4.2890944093514998</v>
      </c>
      <c r="O1413" t="s">
        <v>90</v>
      </c>
      <c r="P1413">
        <v>0</v>
      </c>
      <c r="Q1413" t="s">
        <v>90</v>
      </c>
      <c r="R1413">
        <v>0</v>
      </c>
      <c r="S1413" t="s">
        <v>90</v>
      </c>
      <c r="T1413">
        <v>0</v>
      </c>
      <c r="U1413" t="s">
        <v>90</v>
      </c>
      <c r="V1413">
        <v>0</v>
      </c>
      <c r="W1413" t="s">
        <v>90</v>
      </c>
      <c r="X1413">
        <v>0</v>
      </c>
      <c r="Y1413">
        <v>4.2890944093514998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K1413" t="s">
        <v>4599</v>
      </c>
      <c r="AM1413">
        <v>200000</v>
      </c>
      <c r="AN1413" t="s">
        <v>92</v>
      </c>
      <c r="AO1413">
        <v>1</v>
      </c>
      <c r="AP1413">
        <v>0</v>
      </c>
      <c r="AQ1413">
        <v>16666.666666666668</v>
      </c>
      <c r="AR1413" t="s">
        <v>9</v>
      </c>
      <c r="AS1413" t="s">
        <v>78</v>
      </c>
      <c r="AV1413">
        <v>0</v>
      </c>
      <c r="AW1413">
        <v>0</v>
      </c>
      <c r="AX1413" t="s">
        <v>79</v>
      </c>
      <c r="AY1413" t="s">
        <v>137</v>
      </c>
      <c r="AZ1413">
        <v>0</v>
      </c>
      <c r="BA1413" t="s">
        <v>137</v>
      </c>
      <c r="BB1413">
        <v>0</v>
      </c>
      <c r="BE1413">
        <v>0</v>
      </c>
    </row>
    <row r="1414" spans="1:58" ht="12.75">
      <c r="A1414" s="2" t="str">
        <f>HYPERLINK("https://ibp.a2mac1.com/costing(costing:projects/details/8191/part/5388850)","Handle Support")</f>
        <v>Handle Support</v>
      </c>
      <c r="B1414">
        <v>5388850</v>
      </c>
      <c r="C1414">
        <v>5388528</v>
      </c>
      <c r="E1414">
        <v>0.62625750599999996</v>
      </c>
      <c r="F1414">
        <v>0</v>
      </c>
      <c r="G1414">
        <v>0</v>
      </c>
      <c r="H1414">
        <v>0.0031768049928421051</v>
      </c>
      <c r="I1414" t="s">
        <v>137</v>
      </c>
      <c r="J1414">
        <v>0.02197394757894737</v>
      </c>
      <c r="K1414">
        <v>0.65140825857178952</v>
      </c>
      <c r="L1414">
        <v>0.010961022270663793</v>
      </c>
      <c r="M1414">
        <v>0.065766133623982759</v>
      </c>
      <c r="N1414">
        <v>0.71717439219577228</v>
      </c>
      <c r="O1414" t="s">
        <v>138</v>
      </c>
      <c r="P1414">
        <v>0.039084495514307371</v>
      </c>
      <c r="Q1414" t="s">
        <v>138</v>
      </c>
      <c r="R1414">
        <v>0.0039459680174389654</v>
      </c>
      <c r="S1414" t="s">
        <v>139</v>
      </c>
      <c r="T1414">
        <v>0.086060927063492665</v>
      </c>
      <c r="U1414" t="s">
        <v>216</v>
      </c>
      <c r="V1414">
        <v>0.0035858719609788612</v>
      </c>
      <c r="W1414" t="s">
        <v>217</v>
      </c>
      <c r="X1414">
        <v>0.014343487843915445</v>
      </c>
      <c r="Y1414">
        <v>0.86419514259590557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108</v>
      </c>
      <c r="AF1414">
        <v>432</v>
      </c>
      <c r="AG1414">
        <v>134</v>
      </c>
      <c r="AI1414">
        <v>0.23599999999999999</v>
      </c>
      <c r="AJ1414" t="s">
        <v>685</v>
      </c>
      <c r="AK1414" t="s">
        <v>218</v>
      </c>
      <c r="AL1414" t="s">
        <v>1288</v>
      </c>
      <c r="AM1414">
        <v>200000</v>
      </c>
      <c r="AN1414" t="s">
        <v>76</v>
      </c>
      <c r="AO1414">
        <v>1</v>
      </c>
      <c r="AP1414">
        <v>0</v>
      </c>
      <c r="AQ1414">
        <v>16666.666666666668</v>
      </c>
      <c r="AR1414" t="s">
        <v>9</v>
      </c>
      <c r="AS1414" t="s">
        <v>78</v>
      </c>
      <c r="AX1414" t="s">
        <v>79</v>
      </c>
      <c r="AY1414" t="s">
        <v>137</v>
      </c>
      <c r="AZ1414">
        <v>0</v>
      </c>
      <c r="BA1414" t="s">
        <v>137</v>
      </c>
      <c r="BB1414">
        <v>0</v>
      </c>
      <c r="BE1414">
        <v>0</v>
      </c>
    </row>
    <row r="1415" spans="1:58" ht="12.75">
      <c r="A1415" s="2" t="str">
        <f>HYPERLINK("https://ibp.a2mac1.com/costing(costing:projects/details/8191/part/5388851)","2nd Handle Support")</f>
        <v>2nd Handle Support</v>
      </c>
      <c r="B1415">
        <v>5388851</v>
      </c>
      <c r="C1415">
        <v>5388528</v>
      </c>
      <c r="E1415">
        <v>0.045111769500000003</v>
      </c>
      <c r="F1415">
        <v>0</v>
      </c>
      <c r="G1415">
        <v>0</v>
      </c>
      <c r="H1415">
        <v>0.00022883764778947369</v>
      </c>
      <c r="I1415" t="s">
        <v>137</v>
      </c>
      <c r="J1415">
        <v>0.001582869105263158</v>
      </c>
      <c r="K1415">
        <v>0.046923476253052633</v>
      </c>
      <c r="L1415">
        <v>0.00078912868272557534</v>
      </c>
      <c r="M1415">
        <v>0.0047347720963534521</v>
      </c>
      <c r="N1415">
        <v>0.051658248349406084</v>
      </c>
      <c r="O1415" t="s">
        <v>138</v>
      </c>
      <c r="P1415">
        <v>0.0028154085751831578</v>
      </c>
      <c r="Q1415" t="s">
        <v>138</v>
      </c>
      <c r="R1415">
        <v>0.00028408632578120715</v>
      </c>
      <c r="S1415" t="s">
        <v>139</v>
      </c>
      <c r="T1415">
        <v>0.0061989898019287303</v>
      </c>
      <c r="U1415" t="s">
        <v>216</v>
      </c>
      <c r="V1415">
        <v>0.00025829124174703045</v>
      </c>
      <c r="W1415" t="s">
        <v>217</v>
      </c>
      <c r="X1415">
        <v>0.0010331649669881218</v>
      </c>
      <c r="Y1415">
        <v>0.062248189261034328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72</v>
      </c>
      <c r="AF1415">
        <v>47</v>
      </c>
      <c r="AG1415">
        <v>47</v>
      </c>
      <c r="AI1415">
        <v>0.017000000000000001</v>
      </c>
      <c r="AJ1415" t="s">
        <v>4681</v>
      </c>
      <c r="AK1415" t="s">
        <v>218</v>
      </c>
      <c r="AL1415" t="s">
        <v>1288</v>
      </c>
      <c r="AM1415">
        <v>200000</v>
      </c>
      <c r="AN1415" t="s">
        <v>76</v>
      </c>
      <c r="AO1415">
        <v>1</v>
      </c>
      <c r="AP1415">
        <v>0</v>
      </c>
      <c r="AQ1415">
        <v>16666.666666666668</v>
      </c>
      <c r="AR1415" t="s">
        <v>9</v>
      </c>
      <c r="AS1415" t="s">
        <v>78</v>
      </c>
      <c r="AX1415" t="s">
        <v>79</v>
      </c>
      <c r="AY1415" t="s">
        <v>137</v>
      </c>
      <c r="AZ1415">
        <v>0</v>
      </c>
      <c r="BA1415" t="s">
        <v>137</v>
      </c>
      <c r="BB1415">
        <v>0</v>
      </c>
      <c r="BE1415">
        <v>0</v>
      </c>
    </row>
    <row r="1416" spans="1:58" ht="12.75">
      <c r="A1416" s="2" t="str">
        <f>HYPERLINK("https://ibp.a2mac1.com/costing(costing:projects/details/8191/part/5388523)","Panel carrier")</f>
        <v>Panel carrier</v>
      </c>
      <c r="B1416">
        <v>5388523</v>
      </c>
      <c r="C1416">
        <v>5388229</v>
      </c>
      <c r="E1416">
        <v>1.4240736089999999</v>
      </c>
      <c r="F1416">
        <v>0</v>
      </c>
      <c r="G1416">
        <v>0</v>
      </c>
      <c r="H1416">
        <v>0.0072238721418947365</v>
      </c>
      <c r="I1416" t="s">
        <v>137</v>
      </c>
      <c r="J1416">
        <v>0.04996749505263158</v>
      </c>
      <c r="K1416">
        <v>1.4812649761945262</v>
      </c>
      <c r="L1416">
        <v>0.062456483255560455</v>
      </c>
      <c r="M1416">
        <v>0.3747388995333627</v>
      </c>
      <c r="N1416">
        <v>1.8560038757278889</v>
      </c>
      <c r="O1416" t="s">
        <v>90</v>
      </c>
      <c r="P1416">
        <v>0</v>
      </c>
      <c r="Q1416" t="s">
        <v>90</v>
      </c>
      <c r="R1416">
        <v>0</v>
      </c>
      <c r="S1416" t="s">
        <v>90</v>
      </c>
      <c r="T1416">
        <v>0</v>
      </c>
      <c r="U1416" t="s">
        <v>90</v>
      </c>
      <c r="V1416">
        <v>0</v>
      </c>
      <c r="W1416" t="s">
        <v>90</v>
      </c>
      <c r="X1416">
        <v>0</v>
      </c>
      <c r="Y1416">
        <v>1.8560038757278889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90</v>
      </c>
      <c r="AF1416">
        <v>899</v>
      </c>
      <c r="AG1416">
        <v>647</v>
      </c>
      <c r="AI1416">
        <v>1.341</v>
      </c>
      <c r="AJ1416" t="s">
        <v>4681</v>
      </c>
      <c r="AK1416" t="s">
        <v>5771</v>
      </c>
      <c r="AL1416" t="s">
        <v>1182</v>
      </c>
      <c r="AM1416">
        <v>200000</v>
      </c>
      <c r="AN1416" t="s">
        <v>76</v>
      </c>
      <c r="AO1416">
        <v>1</v>
      </c>
      <c r="AP1416">
        <v>0</v>
      </c>
      <c r="AQ1416">
        <v>16666.666666666668</v>
      </c>
      <c r="AR1416" t="s">
        <v>9</v>
      </c>
      <c r="AS1416" t="s">
        <v>78</v>
      </c>
      <c r="AX1416" t="s">
        <v>79</v>
      </c>
      <c r="AY1416" t="s">
        <v>137</v>
      </c>
      <c r="AZ1416">
        <v>0</v>
      </c>
      <c r="BA1416" t="s">
        <v>137</v>
      </c>
      <c r="BB1416">
        <v>0</v>
      </c>
      <c r="BE1416">
        <v>0</v>
      </c>
    </row>
    <row r="1417" spans="1:58" ht="12.75">
      <c r="A1417" s="2" t="str">
        <f>HYPERLINK("https://ibp.a2mac1.com/costing(costing:projects/details/8191/part/5388524)","Armrest")</f>
        <v>Armrest</v>
      </c>
      <c r="B1417">
        <v>5388524</v>
      </c>
      <c r="C1417">
        <v>5388229</v>
      </c>
      <c r="E1417">
        <v>0.67348990799999997</v>
      </c>
      <c r="F1417">
        <v>0</v>
      </c>
      <c r="G1417">
        <v>0</v>
      </c>
      <c r="H1417">
        <v>0.0034163999343157893</v>
      </c>
      <c r="I1417" t="s">
        <v>137</v>
      </c>
      <c r="J1417">
        <v>0.023631224842105263</v>
      </c>
      <c r="K1417">
        <v>0.70053753277642106</v>
      </c>
      <c r="L1417">
        <v>0.32908379657960268</v>
      </c>
      <c r="M1417">
        <v>1.974502779477616</v>
      </c>
      <c r="N1417">
        <v>2.6750403122540369</v>
      </c>
      <c r="O1417" t="s">
        <v>90</v>
      </c>
      <c r="P1417">
        <v>0</v>
      </c>
      <c r="Q1417" t="s">
        <v>90</v>
      </c>
      <c r="R1417">
        <v>0</v>
      </c>
      <c r="S1417" t="s">
        <v>90</v>
      </c>
      <c r="T1417">
        <v>0</v>
      </c>
      <c r="U1417" t="s">
        <v>90</v>
      </c>
      <c r="V1417">
        <v>0</v>
      </c>
      <c r="W1417" t="s">
        <v>90</v>
      </c>
      <c r="X1417">
        <v>0</v>
      </c>
      <c r="Y1417">
        <v>2.6750403122540369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111</v>
      </c>
      <c r="AF1417">
        <v>710</v>
      </c>
      <c r="AG1417">
        <v>332</v>
      </c>
      <c r="AI1417">
        <v>0.55900000000000005</v>
      </c>
      <c r="AJ1417" t="s">
        <v>685</v>
      </c>
      <c r="AK1417" t="s">
        <v>5771</v>
      </c>
      <c r="AL1417" t="s">
        <v>4693</v>
      </c>
      <c r="AM1417">
        <v>200000</v>
      </c>
      <c r="AN1417" t="s">
        <v>76</v>
      </c>
      <c r="AO1417">
        <v>1</v>
      </c>
      <c r="AP1417">
        <v>0</v>
      </c>
      <c r="AQ1417">
        <v>16666.666666666668</v>
      </c>
      <c r="AR1417" t="s">
        <v>9</v>
      </c>
      <c r="AS1417" t="s">
        <v>78</v>
      </c>
      <c r="AX1417" t="s">
        <v>79</v>
      </c>
      <c r="AY1417" t="s">
        <v>137</v>
      </c>
      <c r="AZ1417">
        <v>0</v>
      </c>
      <c r="BA1417" t="s">
        <v>137</v>
      </c>
      <c r="BB1417">
        <v>0</v>
      </c>
      <c r="BE1417">
        <v>0</v>
      </c>
    </row>
    <row r="1418" spans="1:58" ht="12.75">
      <c r="A1418" s="2" t="str">
        <f>HYPERLINK("https://ibp.a2mac1.com/costing(costing:projects/details/8191/part/5388525)","Upper Band")</f>
        <v>Upper Band</v>
      </c>
      <c r="B1418">
        <v>5388525</v>
      </c>
      <c r="C1418">
        <v>5388229</v>
      </c>
      <c r="E1418">
        <v>1.02633563025</v>
      </c>
      <c r="F1418">
        <v>0</v>
      </c>
      <c r="G1418">
        <v>0</v>
      </c>
      <c r="H1418">
        <v>0.0052062739740000004</v>
      </c>
      <c r="I1418" t="s">
        <v>137</v>
      </c>
      <c r="J1418">
        <v>0.036011776500000002</v>
      </c>
      <c r="K1418">
        <v>1.067553680724</v>
      </c>
      <c r="L1418">
        <v>0.30259254060512053</v>
      </c>
      <c r="M1418">
        <v>1.815555243630723</v>
      </c>
      <c r="N1418">
        <v>2.883108924354723</v>
      </c>
      <c r="O1418" t="s">
        <v>90</v>
      </c>
      <c r="P1418">
        <v>0</v>
      </c>
      <c r="Q1418" t="s">
        <v>90</v>
      </c>
      <c r="R1418">
        <v>0</v>
      </c>
      <c r="S1418" t="s">
        <v>90</v>
      </c>
      <c r="T1418">
        <v>0</v>
      </c>
      <c r="U1418" t="s">
        <v>90</v>
      </c>
      <c r="V1418">
        <v>0</v>
      </c>
      <c r="W1418" t="s">
        <v>90</v>
      </c>
      <c r="X1418">
        <v>0</v>
      </c>
      <c r="Y1418">
        <v>2.883108924354723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101</v>
      </c>
      <c r="AF1418">
        <v>934</v>
      </c>
      <c r="AG1418">
        <v>225</v>
      </c>
      <c r="AI1418">
        <v>0.51300000000000001</v>
      </c>
      <c r="AJ1418" t="s">
        <v>4681</v>
      </c>
      <c r="AK1418" t="s">
        <v>5771</v>
      </c>
      <c r="AL1418" t="s">
        <v>4699</v>
      </c>
      <c r="AM1418">
        <v>200000</v>
      </c>
      <c r="AN1418" t="s">
        <v>76</v>
      </c>
      <c r="AO1418">
        <v>1</v>
      </c>
      <c r="AP1418">
        <v>0</v>
      </c>
      <c r="AQ1418">
        <v>16666.666666666668</v>
      </c>
      <c r="AR1418" t="s">
        <v>9</v>
      </c>
      <c r="AS1418" t="s">
        <v>78</v>
      </c>
      <c r="AX1418" t="s">
        <v>79</v>
      </c>
      <c r="AY1418" t="s">
        <v>137</v>
      </c>
      <c r="AZ1418">
        <v>0</v>
      </c>
      <c r="BA1418" t="s">
        <v>137</v>
      </c>
      <c r="BB1418">
        <v>0</v>
      </c>
      <c r="BE1418">
        <v>0</v>
      </c>
    </row>
    <row r="1419" spans="1:58" ht="12.75">
      <c r="A1419" s="2" t="str">
        <f>HYPERLINK("https://ibp.a2mac1.com/costing(costing:projects/details/8191/part/5388526)","Door Map Pocket Bottom")</f>
        <v>Door Map Pocket Bottom</v>
      </c>
      <c r="B1419">
        <v>5388526</v>
      </c>
      <c r="C1419">
        <v>5388229</v>
      </c>
      <c r="E1419">
        <v>0.601063134</v>
      </c>
      <c r="F1419">
        <v>0</v>
      </c>
      <c r="G1419">
        <v>0</v>
      </c>
      <c r="H1419">
        <v>0.0030490019629473685</v>
      </c>
      <c r="I1419" t="s">
        <v>137</v>
      </c>
      <c r="J1419">
        <v>0.021089934526315791</v>
      </c>
      <c r="K1419">
        <v>0.62520207048926313</v>
      </c>
      <c r="L1419">
        <v>0.026309773348281128</v>
      </c>
      <c r="M1419">
        <v>0.15785864008968678</v>
      </c>
      <c r="N1419">
        <v>0.78306071057894988</v>
      </c>
      <c r="O1419" t="s">
        <v>138</v>
      </c>
      <c r="P1419">
        <v>0.037512124229355792</v>
      </c>
      <c r="Q1419" t="s">
        <v>138</v>
      </c>
      <c r="R1419">
        <v>0.009471518405381206</v>
      </c>
      <c r="S1419" t="s">
        <v>139</v>
      </c>
      <c r="T1419">
        <v>0.093967285269473996</v>
      </c>
      <c r="U1419" t="s">
        <v>216</v>
      </c>
      <c r="V1419">
        <v>0.0039153035528947493</v>
      </c>
      <c r="W1419" t="s">
        <v>217</v>
      </c>
      <c r="X1419">
        <v>0.015661214211578997</v>
      </c>
      <c r="Y1419">
        <v>0.9435881562476347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108</v>
      </c>
      <c r="AF1419">
        <v>804</v>
      </c>
      <c r="AG1419">
        <v>283</v>
      </c>
      <c r="AI1419">
        <v>0.56599999999999995</v>
      </c>
      <c r="AJ1419" t="s">
        <v>4681</v>
      </c>
      <c r="AK1419" t="s">
        <v>218</v>
      </c>
      <c r="AL1419" t="s">
        <v>1182</v>
      </c>
      <c r="AM1419">
        <v>200000</v>
      </c>
      <c r="AN1419" t="s">
        <v>76</v>
      </c>
      <c r="AO1419">
        <v>1</v>
      </c>
      <c r="AP1419">
        <v>0</v>
      </c>
      <c r="AQ1419">
        <v>16666.666666666668</v>
      </c>
      <c r="AR1419" t="s">
        <v>9</v>
      </c>
      <c r="AS1419" t="s">
        <v>78</v>
      </c>
      <c r="AX1419" t="s">
        <v>79</v>
      </c>
      <c r="AY1419" t="s">
        <v>137</v>
      </c>
      <c r="AZ1419">
        <v>0</v>
      </c>
      <c r="BA1419" t="s">
        <v>137</v>
      </c>
      <c r="BB1419">
        <v>0</v>
      </c>
      <c r="BE1419">
        <v>0</v>
      </c>
    </row>
    <row r="1420" spans="1:58" ht="12.75">
      <c r="A1420" s="2" t="str">
        <f>HYPERLINK("https://ibp.a2mac1.com/costing(costing:projects/details/8191/part/5388527)","Locking Indicator Trim")</f>
        <v>Locking Indicator Trim</v>
      </c>
      <c r="B1420">
        <v>5388527</v>
      </c>
      <c r="C1420">
        <v>5388229</v>
      </c>
      <c r="E1420">
        <v>0.0026536335</v>
      </c>
      <c r="F1420">
        <v>0</v>
      </c>
      <c r="G1420">
        <v>0</v>
      </c>
      <c r="H1420">
        <v>1.3461038105263157E-05</v>
      </c>
      <c r="I1420" t="s">
        <v>137</v>
      </c>
      <c r="J1420">
        <v>9.3109947368421049E-05</v>
      </c>
      <c r="K1420">
        <v>0.0027602044854736843</v>
      </c>
      <c r="L1420">
        <v>4.6417458453793706E-05</v>
      </c>
      <c r="M1420">
        <v>0.00027850475072276222</v>
      </c>
      <c r="N1420">
        <v>0.0030387092361964466</v>
      </c>
      <c r="O1420" t="s">
        <v>138</v>
      </c>
      <c r="P1420">
        <v>0.00016561226912842106</v>
      </c>
      <c r="Q1420" t="s">
        <v>138</v>
      </c>
      <c r="R1420">
        <v>1.6710285043365736E-05</v>
      </c>
      <c r="S1420" t="s">
        <v>139</v>
      </c>
      <c r="T1420">
        <v>0.00036464510834357356</v>
      </c>
      <c r="U1420" t="s">
        <v>216</v>
      </c>
      <c r="V1420">
        <v>1.5193546180982232E-05</v>
      </c>
      <c r="W1420" t="s">
        <v>217</v>
      </c>
      <c r="X1420">
        <v>6.0774184723928927E-05</v>
      </c>
      <c r="Y1420">
        <v>0.0036616446296167181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15</v>
      </c>
      <c r="AF1420">
        <v>15</v>
      </c>
      <c r="AG1420">
        <v>13</v>
      </c>
      <c r="AI1420">
        <v>0.001</v>
      </c>
      <c r="AK1420" t="s">
        <v>218</v>
      </c>
      <c r="AL1420" t="s">
        <v>1288</v>
      </c>
      <c r="AM1420">
        <v>200000</v>
      </c>
      <c r="AN1420" t="s">
        <v>76</v>
      </c>
      <c r="AO1420">
        <v>1</v>
      </c>
      <c r="AP1420">
        <v>0</v>
      </c>
      <c r="AQ1420">
        <v>16666.666666666668</v>
      </c>
      <c r="AR1420" t="s">
        <v>9</v>
      </c>
      <c r="AS1420" t="s">
        <v>78</v>
      </c>
      <c r="AX1420" t="s">
        <v>79</v>
      </c>
      <c r="AY1420" t="s">
        <v>137</v>
      </c>
      <c r="AZ1420">
        <v>0</v>
      </c>
      <c r="BA1420" t="s">
        <v>137</v>
      </c>
      <c r="BB1420">
        <v>0</v>
      </c>
      <c r="BE1420">
        <v>0</v>
      </c>
    </row>
    <row r="1421" spans="1:58" ht="12.75">
      <c r="A1421" s="2" t="str">
        <f>HYPERLINK("https://ibp.a2mac1.com/costing(costing:projects/details/8191/part/5388852)","Opening Control")</f>
        <v>Opening Control</v>
      </c>
      <c r="B1421">
        <v>5388852</v>
      </c>
      <c r="C1421">
        <v>5388535</v>
      </c>
      <c r="E1421">
        <v>0.072233279999999997</v>
      </c>
      <c r="F1421">
        <v>0</v>
      </c>
      <c r="G1421">
        <v>0</v>
      </c>
      <c r="H1421">
        <v>0.00036641643789473685</v>
      </c>
      <c r="I1421" t="s">
        <v>137</v>
      </c>
      <c r="J1421">
        <v>0.002534501052631579</v>
      </c>
      <c r="K1421">
        <v>0.075134197490526314</v>
      </c>
      <c r="L1421">
        <v>0.0013926257515536702</v>
      </c>
      <c r="M1421">
        <v>0.0083557545093220203</v>
      </c>
      <c r="N1421">
        <v>0.083489951999848336</v>
      </c>
      <c r="O1421" t="s">
        <v>138</v>
      </c>
      <c r="P1421">
        <v>0.0045080518494315788</v>
      </c>
      <c r="Q1421" t="s">
        <v>138</v>
      </c>
      <c r="R1421">
        <v>0.0005013452705593213</v>
      </c>
      <c r="S1421" t="s">
        <v>139</v>
      </c>
      <c r="T1421">
        <v>0.010018794239981801</v>
      </c>
      <c r="U1421" t="s">
        <v>216</v>
      </c>
      <c r="V1421">
        <v>0.00041744975999924167</v>
      </c>
      <c r="W1421" t="s">
        <v>217</v>
      </c>
      <c r="X1421">
        <v>0.0016697990399969667</v>
      </c>
      <c r="Y1421">
        <v>0.10060539215981724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43</v>
      </c>
      <c r="AF1421">
        <v>124</v>
      </c>
      <c r="AG1421">
        <v>31</v>
      </c>
      <c r="AI1421">
        <v>0.03</v>
      </c>
      <c r="AK1421" t="s">
        <v>218</v>
      </c>
      <c r="AL1421" t="s">
        <v>1275</v>
      </c>
      <c r="AM1421">
        <v>200000</v>
      </c>
      <c r="AN1421" t="s">
        <v>76</v>
      </c>
      <c r="AO1421">
        <v>1</v>
      </c>
      <c r="AP1421">
        <v>0</v>
      </c>
      <c r="AQ1421">
        <v>16666.666666666668</v>
      </c>
      <c r="AR1421" t="s">
        <v>9</v>
      </c>
      <c r="AS1421" t="s">
        <v>78</v>
      </c>
      <c r="AX1421" t="s">
        <v>79</v>
      </c>
      <c r="AY1421" t="s">
        <v>137</v>
      </c>
      <c r="AZ1421">
        <v>0</v>
      </c>
      <c r="BA1421" t="s">
        <v>137</v>
      </c>
      <c r="BB1421">
        <v>0</v>
      </c>
      <c r="BE1421">
        <v>0</v>
      </c>
    </row>
    <row r="1422" spans="1:58" ht="12.75">
      <c r="A1422" s="2" t="str">
        <f>HYPERLINK("https://ibp.a2mac1.com/costing(costing:projects/details/8191/part/5388853)","Opening Control Support")</f>
        <v>Opening Control Support</v>
      </c>
      <c r="B1422">
        <v>5388853</v>
      </c>
      <c r="C1422">
        <v>5388535</v>
      </c>
      <c r="E1422">
        <v>0.21731213610386049</v>
      </c>
      <c r="F1422">
        <v>0</v>
      </c>
      <c r="G1422">
        <v>0</v>
      </c>
      <c r="H1422">
        <v>0.00044810231988837119</v>
      </c>
      <c r="I1422" t="s">
        <v>137</v>
      </c>
      <c r="J1422">
        <v>0.0076133889301422284</v>
      </c>
      <c r="K1422">
        <v>0.2253736273538911</v>
      </c>
      <c r="L1422">
        <v>0.021195704989821807</v>
      </c>
      <c r="M1422">
        <v>0.12717422993893085</v>
      </c>
      <c r="N1422">
        <v>0.35254785729282195</v>
      </c>
      <c r="O1422" t="s">
        <v>138</v>
      </c>
      <c r="P1422">
        <v>0.013522417641233466</v>
      </c>
      <c r="Q1422" t="s">
        <v>138</v>
      </c>
      <c r="R1422">
        <v>0.0076304537963358511</v>
      </c>
      <c r="S1422" t="s">
        <v>139</v>
      </c>
      <c r="T1422">
        <v>0.042305742875138636</v>
      </c>
      <c r="U1422" t="s">
        <v>216</v>
      </c>
      <c r="V1422">
        <v>0.0017627392864641097</v>
      </c>
      <c r="W1422" t="s">
        <v>217</v>
      </c>
      <c r="X1422">
        <v>0.007050957145856439</v>
      </c>
      <c r="Y1422">
        <v>0.42482016803785044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504</v>
      </c>
      <c r="AF1422">
        <v>51</v>
      </c>
      <c r="AG1422">
        <v>154</v>
      </c>
      <c r="AI1422">
        <v>0.152</v>
      </c>
      <c r="AJ1422" t="s">
        <v>685</v>
      </c>
      <c r="AK1422" t="s">
        <v>218</v>
      </c>
      <c r="AL1422" t="s">
        <v>1275</v>
      </c>
      <c r="AM1422">
        <v>200000</v>
      </c>
      <c r="AN1422" t="s">
        <v>76</v>
      </c>
      <c r="AO1422">
        <v>1</v>
      </c>
      <c r="AP1422">
        <v>0</v>
      </c>
      <c r="AQ1422">
        <v>16666.666666666668</v>
      </c>
      <c r="AR1422" t="s">
        <v>9</v>
      </c>
      <c r="AS1422" t="s">
        <v>78</v>
      </c>
      <c r="AX1422" t="s">
        <v>79</v>
      </c>
      <c r="AY1422" t="s">
        <v>137</v>
      </c>
      <c r="AZ1422">
        <v>0</v>
      </c>
      <c r="BA1422" t="s">
        <v>137</v>
      </c>
      <c r="BB1422">
        <v>0</v>
      </c>
      <c r="BE1422">
        <v>0</v>
      </c>
    </row>
    <row r="1423" spans="1:58" ht="12.75">
      <c r="A1423" s="2" t="str">
        <f>HYPERLINK("https://ibp.a2mac1.com/costing(costing:projects/details/8191/part/5388855)","Opening Control")</f>
        <v>Opening Control</v>
      </c>
      <c r="B1423">
        <v>5388855</v>
      </c>
      <c r="C1423">
        <v>5388536</v>
      </c>
      <c r="E1423">
        <v>0.20263788362206139</v>
      </c>
      <c r="F1423">
        <v>0</v>
      </c>
      <c r="G1423">
        <v>0</v>
      </c>
      <c r="H1423">
        <v>0.00041743404026144647</v>
      </c>
      <c r="I1423" t="s">
        <v>137</v>
      </c>
      <c r="J1423">
        <v>0.0070923259267721486</v>
      </c>
      <c r="K1423">
        <v>0.21014764358909496</v>
      </c>
      <c r="L1423">
        <v>0.016520807172407351</v>
      </c>
      <c r="M1423">
        <v>0.099124843034444091</v>
      </c>
      <c r="N1423">
        <v>0.30927248662353907</v>
      </c>
      <c r="O1423" t="s">
        <v>138</v>
      </c>
      <c r="P1423">
        <v>0.012608858615345699</v>
      </c>
      <c r="Q1423" t="s">
        <v>138</v>
      </c>
      <c r="R1423">
        <v>0.0059474905820666455</v>
      </c>
      <c r="S1423" t="s">
        <v>139</v>
      </c>
      <c r="T1423">
        <v>0.037112698394824686</v>
      </c>
      <c r="U1423" t="s">
        <v>216</v>
      </c>
      <c r="V1423">
        <v>0.0015463624331176953</v>
      </c>
      <c r="W1423" t="s">
        <v>217</v>
      </c>
      <c r="X1423">
        <v>0.0061854497324707811</v>
      </c>
      <c r="Y1423">
        <v>0.37267334638136457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41</v>
      </c>
      <c r="AF1423">
        <v>221</v>
      </c>
      <c r="AG1423">
        <v>84</v>
      </c>
      <c r="AI1423">
        <v>0.071999999999999995</v>
      </c>
      <c r="AJ1423" t="s">
        <v>685</v>
      </c>
      <c r="AK1423" t="s">
        <v>218</v>
      </c>
      <c r="AL1423" t="s">
        <v>4730</v>
      </c>
      <c r="AM1423">
        <v>200000</v>
      </c>
      <c r="AN1423" t="s">
        <v>76</v>
      </c>
      <c r="AO1423">
        <v>1</v>
      </c>
      <c r="AP1423">
        <v>0</v>
      </c>
      <c r="AQ1423">
        <v>16666.666666666668</v>
      </c>
      <c r="AR1423" t="s">
        <v>9</v>
      </c>
      <c r="AS1423" t="s">
        <v>78</v>
      </c>
      <c r="AX1423" t="s">
        <v>79</v>
      </c>
      <c r="AY1423" t="s">
        <v>137</v>
      </c>
      <c r="AZ1423">
        <v>0</v>
      </c>
      <c r="BA1423" t="s">
        <v>137</v>
      </c>
      <c r="BB1423">
        <v>0</v>
      </c>
      <c r="BE1423">
        <v>0</v>
      </c>
    </row>
    <row r="1424" spans="1:58" ht="12.75">
      <c r="A1424" s="2" t="str">
        <f>HYPERLINK("https://ibp.a2mac1.com/costing(costing:projects/details/8191/part/5388856)","Opening Control Support")</f>
        <v>Opening Control Support</v>
      </c>
      <c r="B1424">
        <v>5388856</v>
      </c>
      <c r="C1424">
        <v>5388536</v>
      </c>
      <c r="E1424">
        <v>0.41690611150191759</v>
      </c>
      <c r="F1424">
        <v>0</v>
      </c>
      <c r="G1424">
        <v>0</v>
      </c>
      <c r="H1424">
        <v>0.00085966940958310558</v>
      </c>
      <c r="I1424" t="s">
        <v>137</v>
      </c>
      <c r="J1424">
        <v>0.014606033657965384</v>
      </c>
      <c r="K1424">
        <v>0.43237181456946611</v>
      </c>
      <c r="L1424">
        <v>0.021048452147644357</v>
      </c>
      <c r="M1424">
        <v>0.12629071288586616</v>
      </c>
      <c r="N1424">
        <v>0.55866252745533229</v>
      </c>
      <c r="O1424" t="s">
        <v>138</v>
      </c>
      <c r="P1424">
        <v>0.025942308874167964</v>
      </c>
      <c r="Q1424" t="s">
        <v>138</v>
      </c>
      <c r="R1424">
        <v>0.0075774427731519689</v>
      </c>
      <c r="S1424" t="s">
        <v>139</v>
      </c>
      <c r="T1424">
        <v>0.067039503294639868</v>
      </c>
      <c r="U1424" t="s">
        <v>216</v>
      </c>
      <c r="V1424">
        <v>0.0027933126372766612</v>
      </c>
      <c r="W1424" t="s">
        <v>217</v>
      </c>
      <c r="X1424">
        <v>0.011173250549106645</v>
      </c>
      <c r="Y1424">
        <v>0.67318834558367535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55</v>
      </c>
      <c r="AF1424">
        <v>274</v>
      </c>
      <c r="AG1424">
        <v>124</v>
      </c>
      <c r="AI1424">
        <v>0.21299999999999999</v>
      </c>
      <c r="AJ1424" t="s">
        <v>685</v>
      </c>
      <c r="AK1424" t="s">
        <v>218</v>
      </c>
      <c r="AL1424" t="s">
        <v>4737</v>
      </c>
      <c r="AM1424">
        <v>200000</v>
      </c>
      <c r="AN1424" t="s">
        <v>76</v>
      </c>
      <c r="AO1424">
        <v>1</v>
      </c>
      <c r="AP1424">
        <v>0</v>
      </c>
      <c r="AQ1424">
        <v>16666.666666666668</v>
      </c>
      <c r="AR1424" t="s">
        <v>9</v>
      </c>
      <c r="AS1424" t="s">
        <v>78</v>
      </c>
      <c r="AX1424" t="s">
        <v>79</v>
      </c>
      <c r="AY1424" t="s">
        <v>137</v>
      </c>
      <c r="AZ1424">
        <v>0</v>
      </c>
      <c r="BA1424" t="s">
        <v>137</v>
      </c>
      <c r="BB1424">
        <v>0</v>
      </c>
      <c r="BE1424">
        <v>0</v>
      </c>
    </row>
    <row r="1425" spans="1:58" ht="12.75">
      <c r="A1425" s="2" t="str">
        <f>HYPERLINK("https://ibp.a2mac1.com/costing(costing:projects/details/8191/part/5388857)","2nd Opening Control Support")</f>
        <v>2nd Opening Control Support</v>
      </c>
      <c r="B1425">
        <v>5388857</v>
      </c>
      <c r="C1425">
        <v>5388536</v>
      </c>
      <c r="E1425">
        <v>0.17250239910609633</v>
      </c>
      <c r="F1425">
        <v>0</v>
      </c>
      <c r="G1425">
        <v>0</v>
      </c>
      <c r="H1425">
        <v>0.00035570367404058785</v>
      </c>
      <c r="I1425" t="s">
        <v>137</v>
      </c>
      <c r="J1425">
        <v>0.0060435090249614442</v>
      </c>
      <c r="K1425">
        <v>0.17890161180509837</v>
      </c>
      <c r="L1425">
        <v>0.019665864559070736</v>
      </c>
      <c r="M1425">
        <v>0.11799518735442442</v>
      </c>
      <c r="N1425">
        <v>0.29689679915952277</v>
      </c>
      <c r="O1425" t="s">
        <v>138</v>
      </c>
      <c r="P1425">
        <v>0.010734096708305902</v>
      </c>
      <c r="Q1425" t="s">
        <v>138</v>
      </c>
      <c r="R1425">
        <v>0.0070797112412654649</v>
      </c>
      <c r="S1425" t="s">
        <v>139</v>
      </c>
      <c r="T1425">
        <v>0.035627615899142734</v>
      </c>
      <c r="U1425" t="s">
        <v>216</v>
      </c>
      <c r="V1425">
        <v>0.0014844839957976138</v>
      </c>
      <c r="W1425" t="s">
        <v>217</v>
      </c>
      <c r="X1425">
        <v>0.0059379359831904554</v>
      </c>
      <c r="Y1425">
        <v>0.35776064298722493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60</v>
      </c>
      <c r="AF1425">
        <v>247</v>
      </c>
      <c r="AG1425">
        <v>106</v>
      </c>
      <c r="AI1425">
        <v>0.079000000000000001</v>
      </c>
      <c r="AJ1425" t="s">
        <v>685</v>
      </c>
      <c r="AK1425" t="s">
        <v>218</v>
      </c>
      <c r="AL1425" t="s">
        <v>1261</v>
      </c>
      <c r="AM1425">
        <v>200000</v>
      </c>
      <c r="AN1425" t="s">
        <v>76</v>
      </c>
      <c r="AO1425">
        <v>1</v>
      </c>
      <c r="AP1425">
        <v>0</v>
      </c>
      <c r="AQ1425">
        <v>16666.666666666668</v>
      </c>
      <c r="AR1425" t="s">
        <v>9</v>
      </c>
      <c r="AS1425" t="s">
        <v>78</v>
      </c>
      <c r="AX1425" t="s">
        <v>79</v>
      </c>
      <c r="AY1425" t="s">
        <v>137</v>
      </c>
      <c r="AZ1425">
        <v>0</v>
      </c>
      <c r="BA1425" t="s">
        <v>137</v>
      </c>
      <c r="BB1425">
        <v>0</v>
      </c>
      <c r="BE1425">
        <v>0</v>
      </c>
    </row>
    <row r="1426" spans="1:58" ht="12.75">
      <c r="A1426" s="2" t="str">
        <f>HYPERLINK("https://ibp.a2mac1.com/costing(costing:projects/details/8191/part/5388858)","Bezel")</f>
        <v>Bezel</v>
      </c>
      <c r="B1426">
        <v>5388858</v>
      </c>
      <c r="C1426">
        <v>5388536</v>
      </c>
      <c r="E1426">
        <v>0.04815552</v>
      </c>
      <c r="F1426">
        <v>0</v>
      </c>
      <c r="G1426">
        <v>0</v>
      </c>
      <c r="H1426">
        <v>0.00024427762526315792</v>
      </c>
      <c r="I1426" t="s">
        <v>137</v>
      </c>
      <c r="J1426">
        <v>0.0016896673684210527</v>
      </c>
      <c r="K1426">
        <v>0.050089464993684212</v>
      </c>
      <c r="L1426">
        <v>0.00092839371990018039</v>
      </c>
      <c r="M1426">
        <v>0.0055703623194010825</v>
      </c>
      <c r="N1426">
        <v>0.055659827313085296</v>
      </c>
      <c r="O1426" t="s">
        <v>138</v>
      </c>
      <c r="P1426">
        <v>0.0030053678996210527</v>
      </c>
      <c r="Q1426" t="s">
        <v>138</v>
      </c>
      <c r="R1426">
        <v>0.00033422173916406491</v>
      </c>
      <c r="S1426" t="s">
        <v>139</v>
      </c>
      <c r="T1426">
        <v>0.0066791792775702354</v>
      </c>
      <c r="U1426" t="s">
        <v>216</v>
      </c>
      <c r="V1426">
        <v>0.00027829913656542647</v>
      </c>
      <c r="W1426" t="s">
        <v>217</v>
      </c>
      <c r="X1426">
        <v>0.0011131965462617059</v>
      </c>
      <c r="Y1426">
        <v>0.067070091912267774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30</v>
      </c>
      <c r="AF1426">
        <v>188</v>
      </c>
      <c r="AG1426">
        <v>37</v>
      </c>
      <c r="AI1426">
        <v>0.02</v>
      </c>
      <c r="AK1426" t="s">
        <v>218</v>
      </c>
      <c r="AL1426" t="s">
        <v>1275</v>
      </c>
      <c r="AM1426">
        <v>200000</v>
      </c>
      <c r="AN1426" t="s">
        <v>76</v>
      </c>
      <c r="AO1426">
        <v>1</v>
      </c>
      <c r="AP1426">
        <v>0</v>
      </c>
      <c r="AQ1426">
        <v>16666.666666666668</v>
      </c>
      <c r="AR1426" t="s">
        <v>9</v>
      </c>
      <c r="AS1426" t="s">
        <v>78</v>
      </c>
      <c r="AX1426" t="s">
        <v>79</v>
      </c>
      <c r="AY1426" t="s">
        <v>137</v>
      </c>
      <c r="AZ1426">
        <v>0</v>
      </c>
      <c r="BA1426" t="s">
        <v>137</v>
      </c>
      <c r="BB1426">
        <v>0</v>
      </c>
      <c r="BE1426">
        <v>0</v>
      </c>
    </row>
    <row r="1427" spans="1:58" ht="12.75">
      <c r="A1427" s="2" t="str">
        <f>HYPERLINK("https://ibp.a2mac1.com/costing(costing:projects/details/8191/part/5388859)","Welcome Light")</f>
        <v>Welcome Light</v>
      </c>
      <c r="B1427">
        <v>5388859</v>
      </c>
      <c r="C1427">
        <v>5388536</v>
      </c>
      <c r="E1427">
        <v>1.19956</v>
      </c>
      <c r="F1427">
        <v>0</v>
      </c>
      <c r="G1427">
        <v>0</v>
      </c>
      <c r="H1427">
        <v>0</v>
      </c>
      <c r="I1427" t="s">
        <v>74</v>
      </c>
      <c r="J1427">
        <v>0</v>
      </c>
      <c r="K1427">
        <v>1.19956</v>
      </c>
      <c r="L1427">
        <v>0</v>
      </c>
      <c r="M1427">
        <v>0</v>
      </c>
      <c r="N1427">
        <v>1.19956</v>
      </c>
      <c r="O1427" t="s">
        <v>74</v>
      </c>
      <c r="P1427">
        <v>0</v>
      </c>
      <c r="Q1427" t="s">
        <v>74</v>
      </c>
      <c r="R1427">
        <v>0</v>
      </c>
      <c r="S1427" t="s">
        <v>74</v>
      </c>
      <c r="T1427">
        <v>0</v>
      </c>
      <c r="U1427" t="s">
        <v>74</v>
      </c>
      <c r="V1427">
        <v>0</v>
      </c>
      <c r="W1427" t="s">
        <v>74</v>
      </c>
      <c r="X1427">
        <v>0</v>
      </c>
      <c r="Y1427">
        <v>1.19956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12</v>
      </c>
      <c r="AF1427">
        <v>76</v>
      </c>
      <c r="AG1427">
        <v>15</v>
      </c>
      <c r="AI1427">
        <v>0.001</v>
      </c>
      <c r="AK1427" t="s">
        <v>218</v>
      </c>
      <c r="AL1427" t="s">
        <v>4750</v>
      </c>
      <c r="AM1427">
        <v>200000</v>
      </c>
      <c r="AN1427" t="s">
        <v>76</v>
      </c>
      <c r="AO1427">
        <v>1</v>
      </c>
      <c r="AP1427">
        <v>0</v>
      </c>
      <c r="AQ1427">
        <v>16666.666666666668</v>
      </c>
      <c r="AR1427" t="s">
        <v>9</v>
      </c>
      <c r="AS1427" t="s">
        <v>78</v>
      </c>
      <c r="AX1427" t="s">
        <v>79</v>
      </c>
      <c r="AY1427" t="s">
        <v>74</v>
      </c>
      <c r="AZ1427">
        <v>0</v>
      </c>
      <c r="BA1427" t="s">
        <v>74</v>
      </c>
      <c r="BB1427">
        <v>0</v>
      </c>
      <c r="BD1427">
        <v>1.19956</v>
      </c>
      <c r="BE1427">
        <v>0</v>
      </c>
    </row>
    <row r="1428" spans="1:58" ht="12.75">
      <c r="A1428" s="2" t="str">
        <f>HYPERLINK("https://ibp.a2mac1.com/costing(costing:projects/details/8191/part/5388860)","Unlocking Contactor")</f>
        <v>Unlocking Contactor</v>
      </c>
      <c r="B1428">
        <v>5388860</v>
      </c>
      <c r="C1428">
        <v>5388536</v>
      </c>
      <c r="E1428">
        <v>1.1072900000000001</v>
      </c>
      <c r="F1428">
        <v>0</v>
      </c>
      <c r="G1428">
        <v>0</v>
      </c>
      <c r="H1428">
        <v>0</v>
      </c>
      <c r="I1428" t="s">
        <v>74</v>
      </c>
      <c r="J1428">
        <v>0</v>
      </c>
      <c r="K1428">
        <v>1.1072900000000001</v>
      </c>
      <c r="L1428">
        <v>0</v>
      </c>
      <c r="M1428">
        <v>0</v>
      </c>
      <c r="N1428">
        <v>1.1072900000000001</v>
      </c>
      <c r="O1428" t="s">
        <v>74</v>
      </c>
      <c r="P1428">
        <v>0</v>
      </c>
      <c r="Q1428" t="s">
        <v>74</v>
      </c>
      <c r="R1428">
        <v>0</v>
      </c>
      <c r="S1428" t="s">
        <v>74</v>
      </c>
      <c r="T1428">
        <v>0</v>
      </c>
      <c r="U1428" t="s">
        <v>74</v>
      </c>
      <c r="V1428">
        <v>0</v>
      </c>
      <c r="W1428" t="s">
        <v>74</v>
      </c>
      <c r="X1428">
        <v>0</v>
      </c>
      <c r="Y1428">
        <v>1.1072900000000001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10</v>
      </c>
      <c r="AF1428">
        <v>143</v>
      </c>
      <c r="AG1428">
        <v>22</v>
      </c>
      <c r="AI1428">
        <v>0.001</v>
      </c>
      <c r="AK1428" t="s">
        <v>218</v>
      </c>
      <c r="AL1428" t="s">
        <v>3705</v>
      </c>
      <c r="AM1428">
        <v>200000</v>
      </c>
      <c r="AN1428" t="s">
        <v>76</v>
      </c>
      <c r="AO1428">
        <v>1</v>
      </c>
      <c r="AP1428">
        <v>0</v>
      </c>
      <c r="AQ1428">
        <v>16666.666666666668</v>
      </c>
      <c r="AR1428" t="s">
        <v>9</v>
      </c>
      <c r="AS1428" t="s">
        <v>78</v>
      </c>
      <c r="AX1428" t="s">
        <v>79</v>
      </c>
      <c r="AY1428" t="s">
        <v>74</v>
      </c>
      <c r="AZ1428">
        <v>0</v>
      </c>
      <c r="BA1428" t="s">
        <v>74</v>
      </c>
      <c r="BB1428">
        <v>0</v>
      </c>
      <c r="BD1428">
        <v>1.1072900000000001</v>
      </c>
      <c r="BE1428">
        <v>0</v>
      </c>
    </row>
    <row r="1429" spans="1:58" ht="12.75">
      <c r="A1429" s="2" t="str">
        <f>HYPERLINK("https://ibp.a2mac1.com/costing(costing:projects/details/8191/part/5388861)","Seal")</f>
        <v>Seal</v>
      </c>
      <c r="B1429">
        <v>5388861</v>
      </c>
      <c r="C1429">
        <v>5388536</v>
      </c>
      <c r="E1429">
        <v>0.00661156125</v>
      </c>
      <c r="F1429">
        <v>0</v>
      </c>
      <c r="G1429">
        <v>0</v>
      </c>
      <c r="H1429">
        <v>3.3538345789473684E-05</v>
      </c>
      <c r="I1429" t="s">
        <v>137</v>
      </c>
      <c r="J1429">
        <v>0.00023198460526315789</v>
      </c>
      <c r="K1429">
        <v>0.0068770842010526315</v>
      </c>
      <c r="L1429">
        <v>0.00023208817156155354</v>
      </c>
      <c r="M1429">
        <v>0.0013925290293693212</v>
      </c>
      <c r="N1429">
        <v>0.0082696132304219527</v>
      </c>
      <c r="O1429" t="s">
        <v>138</v>
      </c>
      <c r="P1429">
        <v>0.00041262505206315789</v>
      </c>
      <c r="Q1429" t="s">
        <v>138</v>
      </c>
      <c r="R1429">
        <v>8.3551741762159277E-05</v>
      </c>
      <c r="S1429" t="s">
        <v>139</v>
      </c>
      <c r="T1429">
        <v>0.00099235358765063439</v>
      </c>
      <c r="U1429" t="s">
        <v>216</v>
      </c>
      <c r="V1429">
        <v>4.1348066152109762E-05</v>
      </c>
      <c r="W1429" t="s">
        <v>217</v>
      </c>
      <c r="X1429">
        <v>0.00016539226460843905</v>
      </c>
      <c r="Y1429">
        <v>0.0099648839426584538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12</v>
      </c>
      <c r="AF1429">
        <v>247</v>
      </c>
      <c r="AG1429">
        <v>61</v>
      </c>
      <c r="AI1429">
        <v>0.005</v>
      </c>
      <c r="AK1429" t="s">
        <v>218</v>
      </c>
      <c r="AL1429" t="s">
        <v>4757</v>
      </c>
      <c r="AM1429">
        <v>200000</v>
      </c>
      <c r="AN1429" t="s">
        <v>76</v>
      </c>
      <c r="AO1429">
        <v>1</v>
      </c>
      <c r="AP1429">
        <v>0</v>
      </c>
      <c r="AQ1429">
        <v>16666.666666666668</v>
      </c>
      <c r="AR1429" t="s">
        <v>9</v>
      </c>
      <c r="AS1429" t="s">
        <v>78</v>
      </c>
      <c r="AX1429" t="s">
        <v>79</v>
      </c>
      <c r="AY1429" t="s">
        <v>137</v>
      </c>
      <c r="AZ1429">
        <v>0</v>
      </c>
      <c r="BA1429" t="s">
        <v>137</v>
      </c>
      <c r="BB1429">
        <v>0</v>
      </c>
      <c r="BE1429">
        <v>0</v>
      </c>
    </row>
    <row r="1430" spans="1:58" ht="12.75">
      <c r="A1430" s="2" t="str">
        <f>HYPERLINK("https://ibp.a2mac1.com/costing(costing:projects/details/8191/part/5388529)","Door Latch")</f>
        <v>Door Latch</v>
      </c>
      <c r="B1430">
        <v>5388529</v>
      </c>
      <c r="C1430">
        <v>5388230</v>
      </c>
      <c r="E1430">
        <v>0</v>
      </c>
      <c r="F1430">
        <v>4.3797994800856248</v>
      </c>
      <c r="G1430">
        <v>0</v>
      </c>
      <c r="H1430">
        <v>0</v>
      </c>
      <c r="I1430" t="s">
        <v>137</v>
      </c>
      <c r="J1430">
        <v>0</v>
      </c>
      <c r="K1430">
        <v>4.5330924618886224</v>
      </c>
      <c r="L1430">
        <v>0.10844100670092785</v>
      </c>
      <c r="M1430">
        <v>0.65064604020556704</v>
      </c>
      <c r="N1430">
        <v>5.1837385020941893</v>
      </c>
      <c r="O1430" t="s">
        <v>138</v>
      </c>
      <c r="P1430">
        <v>0.27198554771331734</v>
      </c>
      <c r="Q1430" t="s">
        <v>138</v>
      </c>
      <c r="R1430">
        <v>0.039038762412334026</v>
      </c>
      <c r="S1430" t="s">
        <v>139</v>
      </c>
      <c r="T1430">
        <v>0.6220486202513027</v>
      </c>
      <c r="U1430" t="s">
        <v>216</v>
      </c>
      <c r="V1430">
        <v>0.025918692510470947</v>
      </c>
      <c r="W1430" t="s">
        <v>217</v>
      </c>
      <c r="X1430">
        <v>0.10367477004188379</v>
      </c>
      <c r="Y1430">
        <v>6.246404895023498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143</v>
      </c>
      <c r="AF1430">
        <v>83</v>
      </c>
      <c r="AG1430">
        <v>190</v>
      </c>
      <c r="AI1430">
        <v>0.73799999999999999</v>
      </c>
      <c r="AJ1430" t="s">
        <v>4764</v>
      </c>
      <c r="AK1430" t="s">
        <v>218</v>
      </c>
      <c r="AL1430" t="s">
        <v>4766</v>
      </c>
      <c r="AM1430">
        <v>200000</v>
      </c>
      <c r="AN1430" t="s">
        <v>76</v>
      </c>
      <c r="AO1430">
        <v>1</v>
      </c>
      <c r="AP1430">
        <v>0</v>
      </c>
      <c r="AQ1430">
        <v>16666.666666666668</v>
      </c>
      <c r="AR1430" t="s">
        <v>9</v>
      </c>
      <c r="AS1430" t="s">
        <v>78</v>
      </c>
      <c r="AX1430" t="s">
        <v>79</v>
      </c>
      <c r="AY1430" t="s">
        <v>137</v>
      </c>
      <c r="AZ1430">
        <v>0.15329298180299689</v>
      </c>
      <c r="BA1430" t="s">
        <v>137</v>
      </c>
      <c r="BB1430">
        <v>0</v>
      </c>
      <c r="BE1430">
        <v>0</v>
      </c>
    </row>
    <row r="1431" spans="1:58" ht="12.75">
      <c r="A1431" s="2" t="str">
        <f>HYPERLINK("https://ibp.a2mac1.com/costing(costing:projects/details/8191/part/5388530)","Door Striker")</f>
        <v>Door Striker</v>
      </c>
      <c r="B1431">
        <v>5388530</v>
      </c>
      <c r="C1431">
        <v>5388230</v>
      </c>
      <c r="E1431">
        <v>0.079468999999999998</v>
      </c>
      <c r="F1431">
        <v>0</v>
      </c>
      <c r="G1431">
        <v>0</v>
      </c>
      <c r="H1431">
        <v>0.0006200328571428572</v>
      </c>
      <c r="I1431" t="s">
        <v>137</v>
      </c>
      <c r="J1431">
        <v>0.0030565000000000002</v>
      </c>
      <c r="K1431">
        <v>0.083145532857142851</v>
      </c>
      <c r="L1431">
        <v>0.01012447902495087</v>
      </c>
      <c r="M1431">
        <v>0.06074687414970522</v>
      </c>
      <c r="N1431">
        <v>0.14389240700684808</v>
      </c>
      <c r="O1431" t="s">
        <v>138</v>
      </c>
      <c r="P1431">
        <v>0.0049887319714285719</v>
      </c>
      <c r="Q1431" t="s">
        <v>138</v>
      </c>
      <c r="R1431">
        <v>0.003644812448982313</v>
      </c>
      <c r="S1431" t="s">
        <v>139</v>
      </c>
      <c r="T1431">
        <v>0.01726708884082177</v>
      </c>
      <c r="U1431" t="s">
        <v>216</v>
      </c>
      <c r="V1431">
        <v>0.00071946203503424041</v>
      </c>
      <c r="W1431" t="s">
        <v>217</v>
      </c>
      <c r="X1431">
        <v>0.0028778481401369616</v>
      </c>
      <c r="Y1431">
        <v>0.17339035044325193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34</v>
      </c>
      <c r="AF1431">
        <v>48</v>
      </c>
      <c r="AG1431">
        <v>67</v>
      </c>
      <c r="AI1431">
        <v>0.098000000000000004</v>
      </c>
      <c r="AJ1431" t="s">
        <v>685</v>
      </c>
      <c r="AK1431" t="s">
        <v>218</v>
      </c>
      <c r="AL1431" t="s">
        <v>720</v>
      </c>
      <c r="AM1431">
        <v>200000</v>
      </c>
      <c r="AN1431" t="s">
        <v>76</v>
      </c>
      <c r="AO1431">
        <v>1</v>
      </c>
      <c r="AP1431">
        <v>0</v>
      </c>
      <c r="AQ1431">
        <v>16666.666666666668</v>
      </c>
      <c r="AR1431" t="s">
        <v>9</v>
      </c>
      <c r="AS1431" t="s">
        <v>78</v>
      </c>
      <c r="AX1431" t="s">
        <v>79</v>
      </c>
      <c r="AY1431" t="s">
        <v>137</v>
      </c>
      <c r="AZ1431">
        <v>0</v>
      </c>
      <c r="BA1431" t="s">
        <v>137</v>
      </c>
      <c r="BB1431">
        <v>0</v>
      </c>
      <c r="BE1431">
        <v>0</v>
      </c>
    </row>
    <row r="1432" spans="1:58" ht="12.75">
      <c r="A1432" s="2" t="str">
        <f>HYPERLINK("https://ibp.a2mac1.com/costing(costing:projects/details/8191/part/5388531)","Lock Cylinder")</f>
        <v>Lock Cylinder</v>
      </c>
      <c r="B1432">
        <v>5388531</v>
      </c>
      <c r="C1432">
        <v>5388230</v>
      </c>
      <c r="E1432">
        <v>0.49950893666666668</v>
      </c>
      <c r="F1432">
        <v>0</v>
      </c>
      <c r="G1432">
        <v>0</v>
      </c>
      <c r="H1432">
        <v>0.0026056857933333334</v>
      </c>
      <c r="I1432" t="s">
        <v>137</v>
      </c>
      <c r="J1432">
        <v>0.018023518333333332</v>
      </c>
      <c r="K1432">
        <v>0.52013814079333331</v>
      </c>
      <c r="L1432">
        <v>0.0022916812920044903</v>
      </c>
      <c r="M1432">
        <v>0.01375008775202694</v>
      </c>
      <c r="N1432">
        <v>0.53388822854536022</v>
      </c>
      <c r="O1432" t="s">
        <v>138</v>
      </c>
      <c r="P1432">
        <v>0.031208288447599999</v>
      </c>
      <c r="Q1432" t="s">
        <v>138</v>
      </c>
      <c r="R1432">
        <v>0.00082500526512161647</v>
      </c>
      <c r="S1432" t="s">
        <v>139</v>
      </c>
      <c r="T1432">
        <v>0.06406658742544323</v>
      </c>
      <c r="U1432" t="s">
        <v>216</v>
      </c>
      <c r="V1432">
        <v>0.0026694411427268016</v>
      </c>
      <c r="W1432" t="s">
        <v>217</v>
      </c>
      <c r="X1432">
        <v>0.010677764570907206</v>
      </c>
      <c r="Y1432">
        <v>0.64333531539715916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108</v>
      </c>
      <c r="AF1432">
        <v>36</v>
      </c>
      <c r="AG1432">
        <v>32</v>
      </c>
      <c r="AI1432">
        <v>0.165</v>
      </c>
      <c r="AK1432" t="s">
        <v>218</v>
      </c>
      <c r="AL1432" t="s">
        <v>4780</v>
      </c>
      <c r="AM1432">
        <v>200000</v>
      </c>
      <c r="AN1432" t="s">
        <v>76</v>
      </c>
      <c r="AO1432">
        <v>1</v>
      </c>
      <c r="AP1432">
        <v>0</v>
      </c>
      <c r="AQ1432">
        <v>16666.666666666668</v>
      </c>
      <c r="AR1432" t="s">
        <v>9</v>
      </c>
      <c r="AS1432" t="s">
        <v>78</v>
      </c>
      <c r="AX1432" t="s">
        <v>79</v>
      </c>
      <c r="AY1432" t="s">
        <v>137</v>
      </c>
      <c r="AZ1432">
        <v>0</v>
      </c>
      <c r="BA1432" t="s">
        <v>137</v>
      </c>
      <c r="BB1432">
        <v>0</v>
      </c>
      <c r="BE1432">
        <v>0</v>
      </c>
    </row>
    <row r="1433" spans="1:58" ht="12.75">
      <c r="A1433" s="2" t="str">
        <f>HYPERLINK("https://ibp.a2mac1.com/costing(costing:projects/details/8191/part/5388532)","Lock Cylinder Support")</f>
        <v>Lock Cylinder Support</v>
      </c>
      <c r="B1433">
        <v>5388532</v>
      </c>
      <c r="C1433">
        <v>5388230</v>
      </c>
      <c r="E1433">
        <v>0.045236199999999997</v>
      </c>
      <c r="F1433">
        <v>0</v>
      </c>
      <c r="G1433">
        <v>0</v>
      </c>
      <c r="H1433">
        <v>0.00024745424</v>
      </c>
      <c r="I1433" t="s">
        <v>137</v>
      </c>
      <c r="J1433">
        <v>0.0017116399999999999</v>
      </c>
      <c r="K1433">
        <v>0.047195294239999998</v>
      </c>
      <c r="L1433">
        <v>0.00048337848733072581</v>
      </c>
      <c r="M1433">
        <v>0.0029002709239843547</v>
      </c>
      <c r="N1433">
        <v>0.050095565163984355</v>
      </c>
      <c r="O1433" t="s">
        <v>138</v>
      </c>
      <c r="P1433">
        <v>0.0028317176544</v>
      </c>
      <c r="Q1433" t="s">
        <v>138</v>
      </c>
      <c r="R1433">
        <v>0.0001740162554390613</v>
      </c>
      <c r="S1433" t="s">
        <v>139</v>
      </c>
      <c r="T1433">
        <v>0.0060114678196781226</v>
      </c>
      <c r="U1433" t="s">
        <v>216</v>
      </c>
      <c r="V1433">
        <v>0.00025047782581992176</v>
      </c>
      <c r="W1433" t="s">
        <v>217</v>
      </c>
      <c r="X1433">
        <v>0.001001911303279687</v>
      </c>
      <c r="Y1433">
        <v>0.060365156022601146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32</v>
      </c>
      <c r="AF1433">
        <v>111</v>
      </c>
      <c r="AG1433">
        <v>47</v>
      </c>
      <c r="AI1433">
        <v>0.06</v>
      </c>
      <c r="AK1433" t="s">
        <v>218</v>
      </c>
      <c r="AL1433" t="s">
        <v>720</v>
      </c>
      <c r="AM1433">
        <v>200000</v>
      </c>
      <c r="AN1433" t="s">
        <v>76</v>
      </c>
      <c r="AO1433">
        <v>1</v>
      </c>
      <c r="AP1433">
        <v>0</v>
      </c>
      <c r="AQ1433">
        <v>16666.666666666668</v>
      </c>
      <c r="AR1433" t="s">
        <v>9</v>
      </c>
      <c r="AS1433" t="s">
        <v>78</v>
      </c>
      <c r="AX1433" t="s">
        <v>79</v>
      </c>
      <c r="AY1433" t="s">
        <v>137</v>
      </c>
      <c r="AZ1433">
        <v>0</v>
      </c>
      <c r="BA1433" t="s">
        <v>137</v>
      </c>
      <c r="BB1433">
        <v>0</v>
      </c>
      <c r="BE1433">
        <v>0</v>
      </c>
    </row>
    <row r="1434" spans="1:58" ht="12.75">
      <c r="A1434" s="2" t="str">
        <f>HYPERLINK("https://ibp.a2mac1.com/costing(costing:projects/details/8191/part/5388533)","Lock Cylinder Trim Cover")</f>
        <v>Lock Cylinder Trim Cover</v>
      </c>
      <c r="B1434">
        <v>5388533</v>
      </c>
      <c r="C1434">
        <v>5388230</v>
      </c>
      <c r="E1434">
        <v>0.021030206719728436</v>
      </c>
      <c r="F1434">
        <v>0</v>
      </c>
      <c r="G1434">
        <v>0</v>
      </c>
      <c r="H1434">
        <v>4.3364740634358503E-05</v>
      </c>
      <c r="I1434" t="s">
        <v>137</v>
      </c>
      <c r="J1434">
        <v>0.00073677957388473185</v>
      </c>
      <c r="K1434">
        <v>0.021810351034247527</v>
      </c>
      <c r="L1434">
        <v>0.018277838340669761</v>
      </c>
      <c r="M1434">
        <v>0.10966703004401855</v>
      </c>
      <c r="N1434">
        <v>0.13147738107826609</v>
      </c>
      <c r="O1434" t="s">
        <v>138</v>
      </c>
      <c r="P1434">
        <v>0.0013086210620548515</v>
      </c>
      <c r="Q1434" t="s">
        <v>138</v>
      </c>
      <c r="R1434">
        <v>0.0065800218026411134</v>
      </c>
      <c r="S1434" t="s">
        <v>139</v>
      </c>
      <c r="T1434">
        <v>0.015777285729391931</v>
      </c>
      <c r="U1434" t="s">
        <v>216</v>
      </c>
      <c r="V1434">
        <v>0.00065738690539133041</v>
      </c>
      <c r="W1434" t="s">
        <v>217</v>
      </c>
      <c r="X1434">
        <v>0.0026295476215653217</v>
      </c>
      <c r="Y1434">
        <v>0.15843024419931062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15</v>
      </c>
      <c r="AF1434">
        <v>53</v>
      </c>
      <c r="AG1434">
        <v>49</v>
      </c>
      <c r="AI1434">
        <v>0.0089999999999999993</v>
      </c>
      <c r="AJ1434" t="s">
        <v>685</v>
      </c>
      <c r="AK1434" t="s">
        <v>218</v>
      </c>
      <c r="AL1434" t="s">
        <v>1275</v>
      </c>
      <c r="AM1434">
        <v>200000</v>
      </c>
      <c r="AN1434" t="s">
        <v>76</v>
      </c>
      <c r="AO1434">
        <v>1</v>
      </c>
      <c r="AP1434">
        <v>0</v>
      </c>
      <c r="AQ1434">
        <v>16666.666666666668</v>
      </c>
      <c r="AR1434" t="s">
        <v>9</v>
      </c>
      <c r="AS1434" t="s">
        <v>78</v>
      </c>
      <c r="AX1434" t="s">
        <v>79</v>
      </c>
      <c r="AY1434" t="s">
        <v>137</v>
      </c>
      <c r="AZ1434">
        <v>0</v>
      </c>
      <c r="BA1434" t="s">
        <v>137</v>
      </c>
      <c r="BB1434">
        <v>0</v>
      </c>
      <c r="BE1434">
        <v>0</v>
      </c>
    </row>
    <row r="1435" spans="1:58" ht="12.75">
      <c r="A1435" s="2" t="str">
        <f>HYPERLINK("https://ibp.a2mac1.com/costing(costing:projects/details/8191/part/5388534)","Lock Cylinder Mechanism")</f>
        <v>Lock Cylinder Mechanism</v>
      </c>
      <c r="B1435">
        <v>5388534</v>
      </c>
      <c r="C1435">
        <v>5388230</v>
      </c>
      <c r="E1435">
        <v>0.026387783333333335</v>
      </c>
      <c r="F1435">
        <v>0</v>
      </c>
      <c r="G1435">
        <v>0</v>
      </c>
      <c r="H1435">
        <v>0.00014434830666666668</v>
      </c>
      <c r="I1435" t="s">
        <v>137</v>
      </c>
      <c r="J1435">
        <v>0.00099845666666666675</v>
      </c>
      <c r="K1435">
        <v>0.027530588306666666</v>
      </c>
      <c r="L1435">
        <v>0.00026282745696232549</v>
      </c>
      <c r="M1435">
        <v>0.0015769647417739532</v>
      </c>
      <c r="N1435">
        <v>0.029107553048440621</v>
      </c>
      <c r="O1435" t="s">
        <v>138</v>
      </c>
      <c r="P1435">
        <v>0.0016518352984</v>
      </c>
      <c r="Q1435" t="s">
        <v>138</v>
      </c>
      <c r="R1435">
        <v>9.4617884506437188E-05</v>
      </c>
      <c r="S1435" t="s">
        <v>139</v>
      </c>
      <c r="T1435">
        <v>0.0034929063658128744</v>
      </c>
      <c r="U1435" t="s">
        <v>216</v>
      </c>
      <c r="V1435">
        <v>0.0001455377652422031</v>
      </c>
      <c r="W1435" t="s">
        <v>217</v>
      </c>
      <c r="X1435">
        <v>0.0005821510609688124</v>
      </c>
      <c r="Y1435">
        <v>0.035074601423370946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22</v>
      </c>
      <c r="AF1435">
        <v>44</v>
      </c>
      <c r="AG1435">
        <v>48</v>
      </c>
      <c r="AI1435">
        <v>0.035</v>
      </c>
      <c r="AK1435" t="s">
        <v>218</v>
      </c>
      <c r="AL1435" t="s">
        <v>720</v>
      </c>
      <c r="AM1435">
        <v>200000</v>
      </c>
      <c r="AN1435" t="s">
        <v>76</v>
      </c>
      <c r="AO1435">
        <v>1</v>
      </c>
      <c r="AP1435">
        <v>0</v>
      </c>
      <c r="AQ1435">
        <v>16666.666666666668</v>
      </c>
      <c r="AR1435" t="s">
        <v>9</v>
      </c>
      <c r="AS1435" t="s">
        <v>78</v>
      </c>
      <c r="AX1435" t="s">
        <v>79</v>
      </c>
      <c r="AY1435" t="s">
        <v>137</v>
      </c>
      <c r="AZ1435">
        <v>0</v>
      </c>
      <c r="BA1435" t="s">
        <v>137</v>
      </c>
      <c r="BB1435">
        <v>0</v>
      </c>
      <c r="BE1435">
        <v>0</v>
      </c>
    </row>
    <row r="1436" spans="1:58" ht="12.75">
      <c r="A1436" s="2" t="str">
        <f>HYPERLINK("https://ibp.a2mac1.com/costing(costing:projects/details/8191/part/5388538)","Front Quarter Window")</f>
        <v>Front Quarter Window</v>
      </c>
      <c r="B1436">
        <v>5388538</v>
      </c>
      <c r="C1436">
        <v>5388231</v>
      </c>
      <c r="E1436">
        <v>0.42358094624999998</v>
      </c>
      <c r="F1436">
        <v>0</v>
      </c>
      <c r="G1436">
        <v>0</v>
      </c>
      <c r="H1436">
        <v>0.0021477858426315788</v>
      </c>
      <c r="I1436" t="s">
        <v>137</v>
      </c>
      <c r="J1436">
        <v>0.014856226184210525</v>
      </c>
      <c r="K1436">
        <v>0.44058495827684213</v>
      </c>
      <c r="L1436">
        <v>0.014964213933035313</v>
      </c>
      <c r="M1436">
        <v>0.089785283598211876</v>
      </c>
      <c r="N1436">
        <v>0.53037024187505399</v>
      </c>
      <c r="O1436" t="s">
        <v>138</v>
      </c>
      <c r="P1436">
        <v>0.026435097496610525</v>
      </c>
      <c r="Q1436" t="s">
        <v>138</v>
      </c>
      <c r="R1436">
        <v>0.0053871170158927128</v>
      </c>
      <c r="S1436" t="s">
        <v>139</v>
      </c>
      <c r="T1436">
        <v>0.063644429025006471</v>
      </c>
      <c r="U1436" t="s">
        <v>216</v>
      </c>
      <c r="V1436">
        <v>0.0026518512093752699</v>
      </c>
      <c r="W1436" t="s">
        <v>217</v>
      </c>
      <c r="X1436">
        <v>0.01060740483750108</v>
      </c>
      <c r="Y1436">
        <v>0.63909614145944005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41</v>
      </c>
      <c r="AF1436">
        <v>213</v>
      </c>
      <c r="AG1436">
        <v>275</v>
      </c>
      <c r="AI1436">
        <v>0.35699999999999998</v>
      </c>
      <c r="AJ1436" t="s">
        <v>4803</v>
      </c>
      <c r="AK1436" t="s">
        <v>218</v>
      </c>
      <c r="AL1436" t="s">
        <v>4804</v>
      </c>
      <c r="AM1436">
        <v>200000</v>
      </c>
      <c r="AN1436" t="s">
        <v>76</v>
      </c>
      <c r="AO1436">
        <v>1</v>
      </c>
      <c r="AP1436">
        <v>0</v>
      </c>
      <c r="AQ1436">
        <v>16666.666666666668</v>
      </c>
      <c r="AR1436" t="s">
        <v>9</v>
      </c>
      <c r="AS1436" t="s">
        <v>78</v>
      </c>
      <c r="AX1436" t="s">
        <v>79</v>
      </c>
      <c r="AY1436" t="s">
        <v>137</v>
      </c>
      <c r="AZ1436">
        <v>0</v>
      </c>
      <c r="BA1436" t="s">
        <v>137</v>
      </c>
      <c r="BB1436">
        <v>0</v>
      </c>
      <c r="BE1436">
        <v>0</v>
      </c>
    </row>
    <row r="1437" spans="1:58" ht="12.75">
      <c r="A1437" s="2" t="str">
        <f>HYPERLINK("https://ibp.a2mac1.com/costing(costing:projects/details/8191/part/5388539)","Window Regulator")</f>
        <v>Window Regulator</v>
      </c>
      <c r="B1437">
        <v>5388539</v>
      </c>
      <c r="C1437">
        <v>5388231</v>
      </c>
      <c r="D1437" t="s">
        <v>4806</v>
      </c>
      <c r="E1437">
        <v>13.841100000000001</v>
      </c>
      <c r="F1437">
        <v>0</v>
      </c>
      <c r="G1437">
        <v>0</v>
      </c>
      <c r="H1437">
        <v>0</v>
      </c>
      <c r="I1437" t="s">
        <v>74</v>
      </c>
      <c r="J1437">
        <v>0</v>
      </c>
      <c r="K1437">
        <v>13.841100000000001</v>
      </c>
      <c r="L1437">
        <v>0</v>
      </c>
      <c r="M1437">
        <v>0</v>
      </c>
      <c r="N1437">
        <v>13.841100000000001</v>
      </c>
      <c r="O1437" t="s">
        <v>74</v>
      </c>
      <c r="P1437">
        <v>0</v>
      </c>
      <c r="Q1437" t="s">
        <v>74</v>
      </c>
      <c r="R1437">
        <v>0</v>
      </c>
      <c r="S1437" t="s">
        <v>74</v>
      </c>
      <c r="T1437">
        <v>0</v>
      </c>
      <c r="U1437" t="s">
        <v>74</v>
      </c>
      <c r="V1437">
        <v>0</v>
      </c>
      <c r="W1437" t="s">
        <v>74</v>
      </c>
      <c r="X1437">
        <v>0</v>
      </c>
      <c r="Y1437">
        <v>13.841100000000001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96</v>
      </c>
      <c r="AF1437">
        <v>506</v>
      </c>
      <c r="AG1437">
        <v>604</v>
      </c>
      <c r="AI1437">
        <v>1.02</v>
      </c>
      <c r="AJ1437" t="s">
        <v>2898</v>
      </c>
      <c r="AK1437" t="s">
        <v>218</v>
      </c>
      <c r="AL1437" t="s">
        <v>4807</v>
      </c>
      <c r="AM1437">
        <v>200000</v>
      </c>
      <c r="AN1437" t="s">
        <v>76</v>
      </c>
      <c r="AO1437">
        <v>1</v>
      </c>
      <c r="AP1437">
        <v>0</v>
      </c>
      <c r="AQ1437">
        <v>16666.666666666668</v>
      </c>
      <c r="AR1437" t="s">
        <v>9</v>
      </c>
      <c r="AS1437" t="s">
        <v>78</v>
      </c>
      <c r="AX1437" t="s">
        <v>79</v>
      </c>
      <c r="AY1437" t="s">
        <v>74</v>
      </c>
      <c r="AZ1437">
        <v>0</v>
      </c>
      <c r="BA1437" t="s">
        <v>74</v>
      </c>
      <c r="BB1437">
        <v>0</v>
      </c>
      <c r="BD1437">
        <v>13.841100000000001</v>
      </c>
      <c r="BE1437">
        <v>0</v>
      </c>
    </row>
    <row r="1438" spans="1:58" ht="12.75">
      <c r="A1438" s="2" t="str">
        <f>HYPERLINK("https://ibp.a2mac1.com/costing(costing:projects/details/8191/part/5388540)","Window Regulator Motor")</f>
        <v>Window Regulator Motor</v>
      </c>
      <c r="B1438">
        <v>5388540</v>
      </c>
      <c r="C1438">
        <v>5388231</v>
      </c>
      <c r="E1438">
        <v>4.8905200000000004</v>
      </c>
      <c r="F1438">
        <v>0</v>
      </c>
      <c r="G1438">
        <v>0</v>
      </c>
      <c r="H1438">
        <v>0</v>
      </c>
      <c r="I1438" t="s">
        <v>74</v>
      </c>
      <c r="J1438">
        <v>0</v>
      </c>
      <c r="K1438">
        <v>4.8905200000000004</v>
      </c>
      <c r="L1438">
        <v>0</v>
      </c>
      <c r="M1438">
        <v>0</v>
      </c>
      <c r="N1438">
        <v>4.8905200000000004</v>
      </c>
      <c r="O1438" t="s">
        <v>74</v>
      </c>
      <c r="P1438">
        <v>0</v>
      </c>
      <c r="Q1438" t="s">
        <v>74</v>
      </c>
      <c r="R1438">
        <v>0</v>
      </c>
      <c r="S1438" t="s">
        <v>74</v>
      </c>
      <c r="T1438">
        <v>0</v>
      </c>
      <c r="U1438" t="s">
        <v>74</v>
      </c>
      <c r="V1438">
        <v>0</v>
      </c>
      <c r="W1438" t="s">
        <v>74</v>
      </c>
      <c r="X1438">
        <v>0</v>
      </c>
      <c r="Y1438">
        <v>4.8905200000000004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50</v>
      </c>
      <c r="AF1438">
        <v>175</v>
      </c>
      <c r="AG1438">
        <v>134</v>
      </c>
      <c r="AI1438">
        <v>0.45</v>
      </c>
      <c r="AJ1438" t="s">
        <v>2898</v>
      </c>
      <c r="AK1438" t="s">
        <v>218</v>
      </c>
      <c r="AL1438" t="s">
        <v>4809</v>
      </c>
      <c r="AM1438">
        <v>200000</v>
      </c>
      <c r="AN1438" t="s">
        <v>76</v>
      </c>
      <c r="AO1438">
        <v>1</v>
      </c>
      <c r="AP1438">
        <v>0</v>
      </c>
      <c r="AQ1438">
        <v>16666.666666666668</v>
      </c>
      <c r="AR1438" t="s">
        <v>9</v>
      </c>
      <c r="AS1438" t="s">
        <v>78</v>
      </c>
      <c r="AX1438" t="s">
        <v>79</v>
      </c>
      <c r="AY1438" t="s">
        <v>74</v>
      </c>
      <c r="AZ1438">
        <v>0</v>
      </c>
      <c r="BA1438" t="s">
        <v>74</v>
      </c>
      <c r="BB1438">
        <v>0</v>
      </c>
      <c r="BD1438">
        <v>4.8905200000000004</v>
      </c>
      <c r="BE1438">
        <v>0</v>
      </c>
    </row>
    <row r="1439" spans="1:58" ht="12.75">
      <c r="A1439" s="2" t="str">
        <f>HYPERLINK("https://ibp.a2mac1.com/costing(costing:projects/details/8191/part/5388863)","On Body")</f>
        <v>On Body</v>
      </c>
      <c r="B1439">
        <v>5388863</v>
      </c>
      <c r="C1439">
        <v>5388545</v>
      </c>
      <c r="E1439">
        <v>3.5907257014736844</v>
      </c>
      <c r="F1439">
        <v>0</v>
      </c>
      <c r="G1439">
        <v>0</v>
      </c>
      <c r="H1439">
        <v>0.0074202673225263159</v>
      </c>
      <c r="I1439" t="s">
        <v>137</v>
      </c>
      <c r="J1439">
        <v>0.12607250305263157</v>
      </c>
      <c r="K1439">
        <v>3.7242184718488422</v>
      </c>
      <c r="L1439">
        <v>0.052681933704389998</v>
      </c>
      <c r="M1439">
        <v>0.31609160222633997</v>
      </c>
      <c r="N1439">
        <v>4.0403100740751823</v>
      </c>
      <c r="O1439" t="s">
        <v>138</v>
      </c>
      <c r="P1439">
        <v>0.22345310831093051</v>
      </c>
      <c r="Q1439" t="s">
        <v>138</v>
      </c>
      <c r="R1439">
        <v>0.018965496133580399</v>
      </c>
      <c r="S1439" t="s">
        <v>139</v>
      </c>
      <c r="T1439">
        <v>0.48483720888902188</v>
      </c>
      <c r="U1439" t="s">
        <v>216</v>
      </c>
      <c r="V1439">
        <v>0.020201550370375909</v>
      </c>
      <c r="W1439" t="s">
        <v>217</v>
      </c>
      <c r="X1439">
        <v>0.080806201481503637</v>
      </c>
      <c r="Y1439">
        <v>4.8685736392605943</v>
      </c>
      <c r="Z1439">
        <v>0</v>
      </c>
      <c r="AA1439">
        <v>0</v>
      </c>
      <c r="AB1439">
        <v>0</v>
      </c>
      <c r="AC1439">
        <v>0</v>
      </c>
      <c r="AD1439">
        <v>0</v>
      </c>
      <c r="AI1439">
        <v>1.455</v>
      </c>
      <c r="AJ1439" t="s">
        <v>685</v>
      </c>
      <c r="AK1439" t="s">
        <v>218</v>
      </c>
      <c r="AL1439" t="s">
        <v>4824</v>
      </c>
      <c r="AM1439">
        <v>200000</v>
      </c>
      <c r="AN1439" t="s">
        <v>76</v>
      </c>
      <c r="AO1439">
        <v>1</v>
      </c>
      <c r="AP1439">
        <v>0</v>
      </c>
      <c r="AQ1439">
        <v>16666.666666666668</v>
      </c>
      <c r="AR1439" t="s">
        <v>9</v>
      </c>
      <c r="AS1439" t="s">
        <v>78</v>
      </c>
      <c r="AX1439" t="s">
        <v>79</v>
      </c>
      <c r="AY1439" t="s">
        <v>137</v>
      </c>
      <c r="AZ1439">
        <v>0</v>
      </c>
      <c r="BA1439" t="s">
        <v>137</v>
      </c>
      <c r="BB1439">
        <v>0</v>
      </c>
      <c r="BE1439">
        <v>0</v>
      </c>
    </row>
    <row r="1440" spans="1:58" ht="12.75">
      <c r="A1440" s="2" t="str">
        <f>HYPERLINK("https://ibp.a2mac1.com/costing(costing:projects/details/8191/part/5388864)","On Door")</f>
        <v>On Door</v>
      </c>
      <c r="B1440">
        <v>5388864</v>
      </c>
      <c r="C1440">
        <v>5388545</v>
      </c>
      <c r="E1440">
        <v>0.96717579136184206</v>
      </c>
      <c r="F1440">
        <v>0</v>
      </c>
      <c r="G1440">
        <v>0</v>
      </c>
      <c r="H1440">
        <v>0.0019990823467894736</v>
      </c>
      <c r="I1440" t="s">
        <v>137</v>
      </c>
      <c r="J1440">
        <v>0.033964991328947369</v>
      </c>
      <c r="K1440">
        <v>1.0031398650375789</v>
      </c>
      <c r="L1440">
        <v>0.052681933704389998</v>
      </c>
      <c r="M1440">
        <v>0.31609160222633997</v>
      </c>
      <c r="N1440">
        <v>1.3192314672639189</v>
      </c>
      <c r="O1440" t="s">
        <v>138</v>
      </c>
      <c r="P1440">
        <v>0.060188391902254737</v>
      </c>
      <c r="Q1440" t="s">
        <v>138</v>
      </c>
      <c r="R1440">
        <v>0.018965496133580399</v>
      </c>
      <c r="S1440" t="s">
        <v>139</v>
      </c>
      <c r="T1440">
        <v>0.15830777607167026</v>
      </c>
      <c r="U1440" t="s">
        <v>216</v>
      </c>
      <c r="V1440">
        <v>0.0065961573363195946</v>
      </c>
      <c r="W1440" t="s">
        <v>217</v>
      </c>
      <c r="X1440">
        <v>0.026384629345278379</v>
      </c>
      <c r="Y1440">
        <v>1.5896739180530224</v>
      </c>
      <c r="Z1440">
        <v>0</v>
      </c>
      <c r="AA1440">
        <v>0</v>
      </c>
      <c r="AB1440">
        <v>0</v>
      </c>
      <c r="AC1440">
        <v>0</v>
      </c>
      <c r="AD1440">
        <v>0</v>
      </c>
      <c r="AI1440">
        <v>0.41099999999999998</v>
      </c>
      <c r="AJ1440" t="s">
        <v>685</v>
      </c>
      <c r="AK1440" t="s">
        <v>218</v>
      </c>
      <c r="AL1440" t="s">
        <v>3856</v>
      </c>
      <c r="AM1440">
        <v>200000</v>
      </c>
      <c r="AN1440" t="s">
        <v>76</v>
      </c>
      <c r="AO1440">
        <v>1</v>
      </c>
      <c r="AP1440">
        <v>0</v>
      </c>
      <c r="AQ1440">
        <v>16666.666666666668</v>
      </c>
      <c r="AR1440" t="s">
        <v>9</v>
      </c>
      <c r="AS1440" t="s">
        <v>78</v>
      </c>
      <c r="AX1440" t="s">
        <v>79</v>
      </c>
      <c r="AY1440" t="s">
        <v>137</v>
      </c>
      <c r="AZ1440">
        <v>0</v>
      </c>
      <c r="BA1440" t="s">
        <v>137</v>
      </c>
      <c r="BB1440">
        <v>0</v>
      </c>
      <c r="BE1440">
        <v>0</v>
      </c>
    </row>
    <row r="1441" spans="1:58" ht="12.75">
      <c r="A1441" s="2" t="str">
        <f>HYPERLINK("https://ibp.a2mac1.com/costing(costing:projects/details/8191/part/5388542)","Interior Weatherstrip")</f>
        <v>Interior Weatherstrip</v>
      </c>
      <c r="B1441">
        <v>5388542</v>
      </c>
      <c r="C1441">
        <v>5388232</v>
      </c>
      <c r="E1441">
        <v>0.32881327500000002</v>
      </c>
      <c r="F1441">
        <v>0</v>
      </c>
      <c r="G1441">
        <v>0</v>
      </c>
      <c r="H1441">
        <v>0.00034282286315789472</v>
      </c>
      <c r="I1441" t="s">
        <v>137</v>
      </c>
      <c r="J1441">
        <v>0.011537307894736842</v>
      </c>
      <c r="K1441">
        <v>0.34069340575789475</v>
      </c>
      <c r="L1441">
        <v>0.02473920957733388</v>
      </c>
      <c r="M1441">
        <v>0.14843525746400327</v>
      </c>
      <c r="N1441">
        <v>0.48912866322189802</v>
      </c>
      <c r="O1441" t="s">
        <v>138</v>
      </c>
      <c r="P1441">
        <v>0.020441604345473683</v>
      </c>
      <c r="Q1441" t="s">
        <v>138</v>
      </c>
      <c r="R1441">
        <v>0.0089061154478401964</v>
      </c>
      <c r="S1441" t="s">
        <v>139</v>
      </c>
      <c r="T1441">
        <v>0.058695439586627762</v>
      </c>
      <c r="U1441" t="s">
        <v>216</v>
      </c>
      <c r="V1441">
        <v>0.0024456433161094901</v>
      </c>
      <c r="W1441" t="s">
        <v>217</v>
      </c>
      <c r="X1441">
        <v>0.0097825732644379604</v>
      </c>
      <c r="Y1441">
        <v>0.58940003918238715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21</v>
      </c>
      <c r="AF1441">
        <v>843</v>
      </c>
      <c r="AG1441">
        <v>58</v>
      </c>
      <c r="AI1441">
        <v>0.175</v>
      </c>
      <c r="AJ1441" t="s">
        <v>685</v>
      </c>
      <c r="AK1441" t="s">
        <v>218</v>
      </c>
      <c r="AL1441" t="s">
        <v>4840</v>
      </c>
      <c r="AM1441">
        <v>200000</v>
      </c>
      <c r="AN1441" t="s">
        <v>76</v>
      </c>
      <c r="AO1441">
        <v>1</v>
      </c>
      <c r="AP1441">
        <v>0</v>
      </c>
      <c r="AQ1441">
        <v>16666.666666666668</v>
      </c>
      <c r="AR1441" t="s">
        <v>9</v>
      </c>
      <c r="AS1441" t="s">
        <v>78</v>
      </c>
      <c r="AX1441" t="s">
        <v>79</v>
      </c>
      <c r="AY1441" t="s">
        <v>137</v>
      </c>
      <c r="AZ1441">
        <v>0</v>
      </c>
      <c r="BA1441" t="s">
        <v>137</v>
      </c>
      <c r="BB1441">
        <v>0</v>
      </c>
      <c r="BE1441">
        <v>0</v>
      </c>
    </row>
    <row r="1442" spans="1:58" ht="12.75">
      <c r="A1442" s="2" t="str">
        <f>HYPERLINK("https://ibp.a2mac1.com/costing(costing:projects/details/8191/part/5388543)","Exterior Weatherstrip")</f>
        <v>Exterior Weatherstrip</v>
      </c>
      <c r="B1442">
        <v>5388543</v>
      </c>
      <c r="C1442">
        <v>5388232</v>
      </c>
      <c r="E1442">
        <v>0.75757399999999997</v>
      </c>
      <c r="F1442">
        <v>0</v>
      </c>
      <c r="G1442">
        <v>0</v>
      </c>
      <c r="H1442">
        <v>0.00078940248126315794</v>
      </c>
      <c r="I1442" t="s">
        <v>137</v>
      </c>
      <c r="J1442">
        <v>0.026566429657894738</v>
      </c>
      <c r="K1442">
        <v>0.7849298321391579</v>
      </c>
      <c r="L1442">
        <v>0.03696388264930988</v>
      </c>
      <c r="M1442">
        <v>0.22178329589585927</v>
      </c>
      <c r="N1442">
        <v>1.0067131280350172</v>
      </c>
      <c r="O1442" t="s">
        <v>138</v>
      </c>
      <c r="P1442">
        <v>0.047095789928349473</v>
      </c>
      <c r="Q1442" t="s">
        <v>138</v>
      </c>
      <c r="R1442">
        <v>0.013306997753751557</v>
      </c>
      <c r="S1442" t="s">
        <v>139</v>
      </c>
      <c r="T1442">
        <v>0.12080557536420206</v>
      </c>
      <c r="U1442" t="s">
        <v>216</v>
      </c>
      <c r="V1442">
        <v>0.0050335656401750859</v>
      </c>
      <c r="W1442" t="s">
        <v>217</v>
      </c>
      <c r="X1442">
        <v>0.020134262560700344</v>
      </c>
      <c r="Y1442">
        <v>1.2130893192821957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18</v>
      </c>
      <c r="AF1442">
        <v>1110</v>
      </c>
      <c r="AG1442">
        <v>86</v>
      </c>
      <c r="AI1442">
        <v>0.27300000000000002</v>
      </c>
      <c r="AJ1442" t="s">
        <v>4846</v>
      </c>
      <c r="AK1442" t="s">
        <v>218</v>
      </c>
      <c r="AL1442" t="s">
        <v>4847</v>
      </c>
      <c r="AM1442">
        <v>200000</v>
      </c>
      <c r="AN1442" t="s">
        <v>76</v>
      </c>
      <c r="AO1442">
        <v>1</v>
      </c>
      <c r="AP1442">
        <v>0</v>
      </c>
      <c r="AQ1442">
        <v>16666.666666666668</v>
      </c>
      <c r="AR1442" t="s">
        <v>9</v>
      </c>
      <c r="AS1442" t="s">
        <v>78</v>
      </c>
      <c r="AX1442" t="s">
        <v>79</v>
      </c>
      <c r="AY1442" t="s">
        <v>137</v>
      </c>
      <c r="AZ1442">
        <v>0</v>
      </c>
      <c r="BA1442" t="s">
        <v>137</v>
      </c>
      <c r="BB1442">
        <v>0</v>
      </c>
      <c r="BE1442">
        <v>0</v>
      </c>
    </row>
    <row r="1443" spans="1:58" ht="12.75">
      <c r="A1443" s="2" t="str">
        <f>HYPERLINK("https://ibp.a2mac1.com/costing(costing:projects/details/8191/part/5388544)","Glass Run Channel Seal")</f>
        <v>Glass Run Channel Seal</v>
      </c>
      <c r="B1443">
        <v>5388544</v>
      </c>
      <c r="C1443">
        <v>5388232</v>
      </c>
      <c r="E1443">
        <v>2.1264245499999999</v>
      </c>
      <c r="F1443">
        <v>0</v>
      </c>
      <c r="G1443">
        <v>0</v>
      </c>
      <c r="H1443">
        <v>0.0022152953351578949</v>
      </c>
      <c r="I1443" t="s">
        <v>137</v>
      </c>
      <c r="J1443">
        <v>0.074553208394736836</v>
      </c>
      <c r="K1443">
        <v>2.2031930537298949</v>
      </c>
      <c r="L1443">
        <v>0.03696388264930988</v>
      </c>
      <c r="M1443">
        <v>0.22178329589585927</v>
      </c>
      <c r="N1443">
        <v>2.4249763496257541</v>
      </c>
      <c r="O1443" t="s">
        <v>138</v>
      </c>
      <c r="P1443">
        <v>0.13219158322379368</v>
      </c>
      <c r="Q1443" t="s">
        <v>138</v>
      </c>
      <c r="R1443">
        <v>0.013306997753751557</v>
      </c>
      <c r="S1443" t="s">
        <v>139</v>
      </c>
      <c r="T1443">
        <v>0.29099716195509046</v>
      </c>
      <c r="U1443" t="s">
        <v>216</v>
      </c>
      <c r="V1443">
        <v>0.01212488174812877</v>
      </c>
      <c r="W1443" t="s">
        <v>217</v>
      </c>
      <c r="X1443">
        <v>0.048499526992515078</v>
      </c>
      <c r="Y1443">
        <v>2.9220965012990336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52</v>
      </c>
      <c r="AF1443">
        <v>1214</v>
      </c>
      <c r="AG1443">
        <v>600</v>
      </c>
      <c r="AI1443">
        <v>0.78100000000000003</v>
      </c>
      <c r="AJ1443" t="s">
        <v>4846</v>
      </c>
      <c r="AK1443" t="s">
        <v>218</v>
      </c>
      <c r="AL1443" t="s">
        <v>4853</v>
      </c>
      <c r="AM1443">
        <v>200000</v>
      </c>
      <c r="AN1443" t="s">
        <v>76</v>
      </c>
      <c r="AO1443">
        <v>1</v>
      </c>
      <c r="AP1443">
        <v>0</v>
      </c>
      <c r="AQ1443">
        <v>16666.666666666668</v>
      </c>
      <c r="AR1443" t="s">
        <v>9</v>
      </c>
      <c r="AS1443" t="s">
        <v>78</v>
      </c>
      <c r="AX1443" t="s">
        <v>79</v>
      </c>
      <c r="AY1443" t="s">
        <v>137</v>
      </c>
      <c r="AZ1443">
        <v>0</v>
      </c>
      <c r="BA1443" t="s">
        <v>137</v>
      </c>
      <c r="BB1443">
        <v>0</v>
      </c>
      <c r="BE1443">
        <v>0</v>
      </c>
    </row>
    <row r="1444" spans="1:58" ht="12.75">
      <c r="A1444" s="2" t="str">
        <f>HYPERLINK("https://ibp.a2mac1.com/costing(costing:projects/details/8191/part/5389219)","Part 01 single/main")</f>
        <v>Part 01 single/main</v>
      </c>
      <c r="B1444">
        <v>5389219</v>
      </c>
      <c r="C1444">
        <v>5388865</v>
      </c>
      <c r="E1444">
        <v>0.15083827499999999</v>
      </c>
      <c r="F1444">
        <v>0</v>
      </c>
      <c r="G1444">
        <v>0</v>
      </c>
      <c r="H1444">
        <v>0.00016688489999999999</v>
      </c>
      <c r="I1444" t="s">
        <v>137</v>
      </c>
      <c r="J1444">
        <v>0.00561631875</v>
      </c>
      <c r="K1444">
        <v>0.15662147865000001</v>
      </c>
      <c r="L1444">
        <v>0.0040251954991824199</v>
      </c>
      <c r="M1444">
        <v>0.024151172995094523</v>
      </c>
      <c r="N1444">
        <v>0.18077265164509451</v>
      </c>
      <c r="O1444" t="s">
        <v>90</v>
      </c>
      <c r="P1444">
        <v>0</v>
      </c>
      <c r="Q1444" t="s">
        <v>90</v>
      </c>
      <c r="R1444">
        <v>0</v>
      </c>
      <c r="S1444" t="s">
        <v>90</v>
      </c>
      <c r="T1444">
        <v>0</v>
      </c>
      <c r="U1444" t="s">
        <v>90</v>
      </c>
      <c r="V1444">
        <v>0</v>
      </c>
      <c r="W1444" t="s">
        <v>90</v>
      </c>
      <c r="X1444">
        <v>0</v>
      </c>
      <c r="Y1444">
        <v>0.18077265164509451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K1444" t="s">
        <v>4599</v>
      </c>
      <c r="AM1444">
        <v>200000</v>
      </c>
      <c r="AN1444" t="s">
        <v>92</v>
      </c>
      <c r="AO1444">
        <v>1</v>
      </c>
      <c r="AP1444">
        <v>0</v>
      </c>
      <c r="AQ1444">
        <v>16666.666666666668</v>
      </c>
      <c r="AR1444" t="s">
        <v>9</v>
      </c>
      <c r="AS1444" t="s">
        <v>78</v>
      </c>
      <c r="AV1444">
        <v>0</v>
      </c>
      <c r="AW1444">
        <v>0</v>
      </c>
      <c r="AX1444" t="s">
        <v>79</v>
      </c>
      <c r="AY1444" t="s">
        <v>137</v>
      </c>
      <c r="AZ1444">
        <v>0</v>
      </c>
      <c r="BA1444" t="s">
        <v>137</v>
      </c>
      <c r="BB1444">
        <v>0</v>
      </c>
      <c r="BE1444">
        <v>0</v>
      </c>
    </row>
    <row r="1445" spans="1:58" ht="12.75">
      <c r="A1445" s="2" t="str">
        <f>HYPERLINK("https://ibp.a2mac1.com/costing(costing:projects/details/8191/part/5389220)","Part 01 single/main")</f>
        <v>Part 01 single/main</v>
      </c>
      <c r="B1445">
        <v>5389220</v>
      </c>
      <c r="C1445">
        <v>5388866</v>
      </c>
      <c r="E1445">
        <v>0.093376075000000003</v>
      </c>
      <c r="F1445">
        <v>0</v>
      </c>
      <c r="G1445">
        <v>0</v>
      </c>
      <c r="H1445">
        <v>0.0001033097</v>
      </c>
      <c r="I1445" t="s">
        <v>137</v>
      </c>
      <c r="J1445">
        <v>0.0034767687499999999</v>
      </c>
      <c r="K1445">
        <v>0.096956153449999999</v>
      </c>
      <c r="L1445">
        <v>0.18163295441459323</v>
      </c>
      <c r="M1445">
        <v>1.0897977264875593</v>
      </c>
      <c r="N1445">
        <v>1.1867538799375594</v>
      </c>
      <c r="O1445" t="s">
        <v>90</v>
      </c>
      <c r="P1445">
        <v>0</v>
      </c>
      <c r="Q1445" t="s">
        <v>90</v>
      </c>
      <c r="R1445">
        <v>0</v>
      </c>
      <c r="S1445" t="s">
        <v>90</v>
      </c>
      <c r="T1445">
        <v>0</v>
      </c>
      <c r="U1445" t="s">
        <v>90</v>
      </c>
      <c r="V1445">
        <v>0</v>
      </c>
      <c r="W1445" t="s">
        <v>90</v>
      </c>
      <c r="X1445">
        <v>0</v>
      </c>
      <c r="Y1445">
        <v>1.1867538799375594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K1445" t="s">
        <v>4599</v>
      </c>
      <c r="AM1445">
        <v>200000</v>
      </c>
      <c r="AN1445" t="s">
        <v>92</v>
      </c>
      <c r="AO1445">
        <v>1</v>
      </c>
      <c r="AP1445">
        <v>0</v>
      </c>
      <c r="AQ1445">
        <v>16666.666666666668</v>
      </c>
      <c r="AR1445" t="s">
        <v>9</v>
      </c>
      <c r="AS1445" t="s">
        <v>78</v>
      </c>
      <c r="AV1445">
        <v>0</v>
      </c>
      <c r="AW1445">
        <v>0</v>
      </c>
      <c r="AX1445" t="s">
        <v>79</v>
      </c>
      <c r="AY1445" t="s">
        <v>137</v>
      </c>
      <c r="AZ1445">
        <v>0</v>
      </c>
      <c r="BA1445" t="s">
        <v>137</v>
      </c>
      <c r="BB1445">
        <v>0</v>
      </c>
      <c r="BE1445">
        <v>0</v>
      </c>
    </row>
    <row r="1446" spans="1:58" ht="12.75">
      <c r="A1446" s="2" t="str">
        <f>HYPERLINK("https://ibp.a2mac1.com/costing(costing:projects/details/8191/part/5389221)","Part 01 single/main")</f>
        <v>Part 01 single/main</v>
      </c>
      <c r="B1446">
        <v>5389221</v>
      </c>
      <c r="C1446">
        <v>5388868</v>
      </c>
      <c r="E1446">
        <v>0.1668849</v>
      </c>
      <c r="F1446">
        <v>0</v>
      </c>
      <c r="G1446">
        <v>0</v>
      </c>
      <c r="H1446">
        <v>0.0001907256</v>
      </c>
      <c r="I1446" t="s">
        <v>137</v>
      </c>
      <c r="J1446">
        <v>0.0064186499999999997</v>
      </c>
      <c r="K1446">
        <v>0.1734942756</v>
      </c>
      <c r="L1446">
        <v>0.18163295441459323</v>
      </c>
      <c r="M1446">
        <v>1.0897977264875593</v>
      </c>
      <c r="N1446">
        <v>1.2632920020875593</v>
      </c>
      <c r="O1446" t="s">
        <v>90</v>
      </c>
      <c r="P1446">
        <v>0</v>
      </c>
      <c r="Q1446" t="s">
        <v>90</v>
      </c>
      <c r="R1446">
        <v>0</v>
      </c>
      <c r="S1446" t="s">
        <v>90</v>
      </c>
      <c r="T1446">
        <v>0</v>
      </c>
      <c r="U1446" t="s">
        <v>90</v>
      </c>
      <c r="V1446">
        <v>0</v>
      </c>
      <c r="W1446" t="s">
        <v>90</v>
      </c>
      <c r="X1446">
        <v>0</v>
      </c>
      <c r="Y1446">
        <v>1.2632920020875593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K1446" t="s">
        <v>4599</v>
      </c>
      <c r="AM1446">
        <v>200000</v>
      </c>
      <c r="AN1446" t="s">
        <v>92</v>
      </c>
      <c r="AO1446">
        <v>1</v>
      </c>
      <c r="AP1446">
        <v>0</v>
      </c>
      <c r="AQ1446">
        <v>16666.666666666668</v>
      </c>
      <c r="AR1446" t="s">
        <v>9</v>
      </c>
      <c r="AS1446" t="s">
        <v>78</v>
      </c>
      <c r="AV1446">
        <v>0</v>
      </c>
      <c r="AW1446">
        <v>0</v>
      </c>
      <c r="AX1446" t="s">
        <v>79</v>
      </c>
      <c r="AY1446" t="s">
        <v>137</v>
      </c>
      <c r="AZ1446">
        <v>0</v>
      </c>
      <c r="BA1446" t="s">
        <v>137</v>
      </c>
      <c r="BB1446">
        <v>0</v>
      </c>
      <c r="BE1446">
        <v>0</v>
      </c>
    </row>
    <row r="1447" spans="1:58" ht="12.75">
      <c r="A1447" s="2" t="str">
        <f>HYPERLINK("https://ibp.a2mac1.com/costing(costing:projects/details/8191/part/5389222)","Part 01 single/main")</f>
        <v>Part 01 single/main</v>
      </c>
      <c r="B1447">
        <v>5389222</v>
      </c>
      <c r="C1447">
        <v>5388869</v>
      </c>
      <c r="E1447">
        <v>0.079010524999999998</v>
      </c>
      <c r="F1447">
        <v>0</v>
      </c>
      <c r="G1447">
        <v>0</v>
      </c>
      <c r="H1447">
        <v>8.7415899999999998E-05</v>
      </c>
      <c r="I1447" t="s">
        <v>137</v>
      </c>
      <c r="J1447">
        <v>0.0029418812499999998</v>
      </c>
      <c r="K1447">
        <v>0.082039822149999997</v>
      </c>
      <c r="L1447">
        <v>0.18163295441459323</v>
      </c>
      <c r="M1447">
        <v>1.0897977264875593</v>
      </c>
      <c r="N1447">
        <v>1.1718375486375594</v>
      </c>
      <c r="O1447" t="s">
        <v>90</v>
      </c>
      <c r="P1447">
        <v>0</v>
      </c>
      <c r="Q1447" t="s">
        <v>90</v>
      </c>
      <c r="R1447">
        <v>0</v>
      </c>
      <c r="S1447" t="s">
        <v>90</v>
      </c>
      <c r="T1447">
        <v>0</v>
      </c>
      <c r="U1447" t="s">
        <v>90</v>
      </c>
      <c r="V1447">
        <v>0</v>
      </c>
      <c r="W1447" t="s">
        <v>90</v>
      </c>
      <c r="X1447">
        <v>0</v>
      </c>
      <c r="Y1447">
        <v>1.1718375486375594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K1447" t="s">
        <v>4599</v>
      </c>
      <c r="AM1447">
        <v>200000</v>
      </c>
      <c r="AN1447" t="s">
        <v>92</v>
      </c>
      <c r="AO1447">
        <v>1</v>
      </c>
      <c r="AP1447">
        <v>0</v>
      </c>
      <c r="AQ1447">
        <v>16666.666666666668</v>
      </c>
      <c r="AR1447" t="s">
        <v>9</v>
      </c>
      <c r="AS1447" t="s">
        <v>78</v>
      </c>
      <c r="AV1447">
        <v>0</v>
      </c>
      <c r="AW1447">
        <v>0</v>
      </c>
      <c r="AX1447" t="s">
        <v>79</v>
      </c>
      <c r="AY1447" t="s">
        <v>137</v>
      </c>
      <c r="AZ1447">
        <v>0</v>
      </c>
      <c r="BA1447" t="s">
        <v>137</v>
      </c>
      <c r="BB1447">
        <v>0</v>
      </c>
      <c r="BE1447">
        <v>0</v>
      </c>
    </row>
    <row r="1448" spans="1:58" ht="12.75">
      <c r="A1448" s="2" t="str">
        <f>HYPERLINK("https://ibp.a2mac1.com/costing(costing:projects/details/8191/part/5388546)","Door Stopper")</f>
        <v>Door Stopper</v>
      </c>
      <c r="B1448">
        <v>5388546</v>
      </c>
      <c r="C1448">
        <v>5388233</v>
      </c>
      <c r="D1448" t="s">
        <v>4771</v>
      </c>
      <c r="E1448">
        <v>2.0761699999999998</v>
      </c>
      <c r="F1448">
        <v>0</v>
      </c>
      <c r="G1448">
        <v>0</v>
      </c>
      <c r="H1448">
        <v>0</v>
      </c>
      <c r="I1448" t="s">
        <v>74</v>
      </c>
      <c r="J1448">
        <v>0</v>
      </c>
      <c r="K1448">
        <v>2.0761699999999998</v>
      </c>
      <c r="L1448">
        <v>0</v>
      </c>
      <c r="M1448">
        <v>0</v>
      </c>
      <c r="N1448">
        <v>2.0761699999999998</v>
      </c>
      <c r="O1448" t="s">
        <v>74</v>
      </c>
      <c r="P1448">
        <v>0</v>
      </c>
      <c r="Q1448" t="s">
        <v>74</v>
      </c>
      <c r="R1448">
        <v>0</v>
      </c>
      <c r="S1448" t="s">
        <v>74</v>
      </c>
      <c r="T1448">
        <v>0</v>
      </c>
      <c r="U1448" t="s">
        <v>74</v>
      </c>
      <c r="V1448">
        <v>0</v>
      </c>
      <c r="W1448" t="s">
        <v>74</v>
      </c>
      <c r="X1448">
        <v>0</v>
      </c>
      <c r="Y1448">
        <v>2.0761699999999998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34</v>
      </c>
      <c r="AF1448">
        <v>169</v>
      </c>
      <c r="AG1448">
        <v>73</v>
      </c>
      <c r="AI1448">
        <v>0.157</v>
      </c>
      <c r="AJ1448" t="s">
        <v>685</v>
      </c>
      <c r="AK1448" t="s">
        <v>218</v>
      </c>
      <c r="AL1448" t="s">
        <v>4883</v>
      </c>
      <c r="AM1448">
        <v>200000</v>
      </c>
      <c r="AN1448" t="s">
        <v>76</v>
      </c>
      <c r="AO1448">
        <v>1</v>
      </c>
      <c r="AP1448">
        <v>0</v>
      </c>
      <c r="AQ1448">
        <v>16666.666666666668</v>
      </c>
      <c r="AR1448" t="s">
        <v>9</v>
      </c>
      <c r="AS1448" t="s">
        <v>78</v>
      </c>
      <c r="AX1448" t="s">
        <v>79</v>
      </c>
      <c r="AY1448" t="s">
        <v>74</v>
      </c>
      <c r="AZ1448">
        <v>0</v>
      </c>
      <c r="BA1448" t="s">
        <v>74</v>
      </c>
      <c r="BB1448">
        <v>0</v>
      </c>
      <c r="BD1448">
        <v>2.0761699999999998</v>
      </c>
      <c r="BE1448">
        <v>0</v>
      </c>
    </row>
    <row r="1449" spans="1:58" ht="12.75">
      <c r="A1449" s="2" t="str">
        <f>HYPERLINK("https://ibp.a2mac1.com/costing(costing:projects/details/8191/part/5388871)","Lighting")</f>
        <v>Lighting</v>
      </c>
      <c r="B1449">
        <v>5388871</v>
      </c>
      <c r="C1449">
        <v>5388557</v>
      </c>
      <c r="E1449">
        <v>1.38411</v>
      </c>
      <c r="F1449">
        <v>0</v>
      </c>
      <c r="G1449">
        <v>0</v>
      </c>
      <c r="H1449">
        <v>0</v>
      </c>
      <c r="I1449" t="s">
        <v>74</v>
      </c>
      <c r="J1449">
        <v>0</v>
      </c>
      <c r="K1449">
        <v>1.38411</v>
      </c>
      <c r="L1449">
        <v>0</v>
      </c>
      <c r="M1449">
        <v>0</v>
      </c>
      <c r="N1449">
        <v>1.38411</v>
      </c>
      <c r="O1449" t="s">
        <v>74</v>
      </c>
      <c r="P1449">
        <v>0</v>
      </c>
      <c r="Q1449" t="s">
        <v>74</v>
      </c>
      <c r="R1449">
        <v>0</v>
      </c>
      <c r="S1449" t="s">
        <v>74</v>
      </c>
      <c r="T1449">
        <v>0</v>
      </c>
      <c r="U1449" t="s">
        <v>74</v>
      </c>
      <c r="V1449">
        <v>0</v>
      </c>
      <c r="W1449" t="s">
        <v>74</v>
      </c>
      <c r="X1449">
        <v>0</v>
      </c>
      <c r="Y1449">
        <v>1.38411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21</v>
      </c>
      <c r="AF1449">
        <v>18</v>
      </c>
      <c r="AG1449">
        <v>41</v>
      </c>
      <c r="AI1449">
        <v>0.005</v>
      </c>
      <c r="AJ1449" t="s">
        <v>3683</v>
      </c>
      <c r="AK1449" t="s">
        <v>218</v>
      </c>
      <c r="AL1449" t="s">
        <v>2811</v>
      </c>
      <c r="AM1449">
        <v>200000</v>
      </c>
      <c r="AN1449" t="s">
        <v>76</v>
      </c>
      <c r="AO1449">
        <v>1</v>
      </c>
      <c r="AP1449">
        <v>0</v>
      </c>
      <c r="AQ1449">
        <v>16666.666666666668</v>
      </c>
      <c r="AR1449" t="s">
        <v>9</v>
      </c>
      <c r="AS1449" t="s">
        <v>78</v>
      </c>
      <c r="AX1449" t="s">
        <v>79</v>
      </c>
      <c r="AY1449" t="s">
        <v>74</v>
      </c>
      <c r="AZ1449">
        <v>0</v>
      </c>
      <c r="BA1449" t="s">
        <v>74</v>
      </c>
      <c r="BB1449">
        <v>0</v>
      </c>
      <c r="BD1449">
        <v>1.38411</v>
      </c>
      <c r="BE1449">
        <v>0</v>
      </c>
    </row>
    <row r="1450" spans="1:58" ht="12.75">
      <c r="A1450" s="2" t="str">
        <f>HYPERLINK("https://ibp.a2mac1.com/costing(costing:projects/details/8191/part/5388872)","2nd Light")</f>
        <v>2nd Light</v>
      </c>
      <c r="B1450">
        <v>5388872</v>
      </c>
      <c r="C1450">
        <v>5388557</v>
      </c>
      <c r="E1450">
        <v>1.38411</v>
      </c>
      <c r="F1450">
        <v>0</v>
      </c>
      <c r="G1450">
        <v>0</v>
      </c>
      <c r="H1450">
        <v>0</v>
      </c>
      <c r="I1450" t="s">
        <v>74</v>
      </c>
      <c r="J1450">
        <v>0</v>
      </c>
      <c r="K1450">
        <v>1.38411</v>
      </c>
      <c r="L1450">
        <v>0</v>
      </c>
      <c r="M1450">
        <v>0</v>
      </c>
      <c r="N1450">
        <v>1.38411</v>
      </c>
      <c r="O1450" t="s">
        <v>74</v>
      </c>
      <c r="P1450">
        <v>0</v>
      </c>
      <c r="Q1450" t="s">
        <v>74</v>
      </c>
      <c r="R1450">
        <v>0</v>
      </c>
      <c r="S1450" t="s">
        <v>74</v>
      </c>
      <c r="T1450">
        <v>0</v>
      </c>
      <c r="U1450" t="s">
        <v>74</v>
      </c>
      <c r="V1450">
        <v>0</v>
      </c>
      <c r="W1450" t="s">
        <v>74</v>
      </c>
      <c r="X1450">
        <v>0</v>
      </c>
      <c r="Y1450">
        <v>1.38411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21</v>
      </c>
      <c r="AF1450">
        <v>18</v>
      </c>
      <c r="AG1450">
        <v>41</v>
      </c>
      <c r="AI1450">
        <v>0.005</v>
      </c>
      <c r="AJ1450" t="s">
        <v>3683</v>
      </c>
      <c r="AK1450" t="s">
        <v>218</v>
      </c>
      <c r="AL1450" t="s">
        <v>2811</v>
      </c>
      <c r="AM1450">
        <v>200000</v>
      </c>
      <c r="AN1450" t="s">
        <v>76</v>
      </c>
      <c r="AO1450">
        <v>1</v>
      </c>
      <c r="AP1450">
        <v>0</v>
      </c>
      <c r="AQ1450">
        <v>16666.666666666668</v>
      </c>
      <c r="AR1450" t="s">
        <v>9</v>
      </c>
      <c r="AS1450" t="s">
        <v>78</v>
      </c>
      <c r="AX1450" t="s">
        <v>79</v>
      </c>
      <c r="AY1450" t="s">
        <v>74</v>
      </c>
      <c r="AZ1450">
        <v>0</v>
      </c>
      <c r="BA1450" t="s">
        <v>74</v>
      </c>
      <c r="BB1450">
        <v>0</v>
      </c>
      <c r="BD1450">
        <v>1.38411</v>
      </c>
      <c r="BE1450">
        <v>0</v>
      </c>
    </row>
    <row r="1451" spans="1:58" ht="12.75">
      <c r="A1451" s="2" t="str">
        <f>HYPERLINK("https://ibp.a2mac1.com/costing(costing:projects/details/8191/part/5388873)","Light Diffuser")</f>
        <v>Light Diffuser</v>
      </c>
      <c r="B1451">
        <v>5388873</v>
      </c>
      <c r="C1451">
        <v>5388557</v>
      </c>
      <c r="E1451">
        <v>0.11996</v>
      </c>
      <c r="F1451">
        <v>0</v>
      </c>
      <c r="G1451">
        <v>0</v>
      </c>
      <c r="H1451">
        <v>0</v>
      </c>
      <c r="I1451" t="s">
        <v>74</v>
      </c>
      <c r="J1451">
        <v>0</v>
      </c>
      <c r="K1451">
        <v>0.11996</v>
      </c>
      <c r="L1451">
        <v>0</v>
      </c>
      <c r="M1451">
        <v>0</v>
      </c>
      <c r="N1451">
        <v>0.11996</v>
      </c>
      <c r="O1451" t="s">
        <v>74</v>
      </c>
      <c r="P1451">
        <v>0</v>
      </c>
      <c r="Q1451" t="s">
        <v>74</v>
      </c>
      <c r="R1451">
        <v>0</v>
      </c>
      <c r="S1451" t="s">
        <v>74</v>
      </c>
      <c r="T1451">
        <v>0</v>
      </c>
      <c r="U1451" t="s">
        <v>74</v>
      </c>
      <c r="V1451">
        <v>0</v>
      </c>
      <c r="W1451" t="s">
        <v>74</v>
      </c>
      <c r="X1451">
        <v>0</v>
      </c>
      <c r="Y1451">
        <v>0.11996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10</v>
      </c>
      <c r="AF1451">
        <v>219</v>
      </c>
      <c r="AG1451">
        <v>74</v>
      </c>
      <c r="AI1451">
        <v>0.0089999999999999993</v>
      </c>
      <c r="AK1451" t="s">
        <v>218</v>
      </c>
      <c r="AL1451" t="s">
        <v>1283</v>
      </c>
      <c r="AM1451">
        <v>200000</v>
      </c>
      <c r="AN1451" t="s">
        <v>76</v>
      </c>
      <c r="AO1451">
        <v>1</v>
      </c>
      <c r="AP1451">
        <v>0</v>
      </c>
      <c r="AQ1451">
        <v>16666.666666666668</v>
      </c>
      <c r="AR1451" t="s">
        <v>9</v>
      </c>
      <c r="AS1451" t="s">
        <v>78</v>
      </c>
      <c r="AX1451" t="s">
        <v>79</v>
      </c>
      <c r="AY1451" t="s">
        <v>74</v>
      </c>
      <c r="AZ1451">
        <v>0</v>
      </c>
      <c r="BA1451" t="s">
        <v>74</v>
      </c>
      <c r="BB1451">
        <v>0</v>
      </c>
      <c r="BD1451">
        <v>0.11996</v>
      </c>
      <c r="BE1451">
        <v>0</v>
      </c>
    </row>
    <row r="1452" spans="1:58" ht="12.75">
      <c r="A1452" s="2" t="str">
        <f>HYPERLINK("https://ibp.a2mac1.com/costing(costing:projects/details/8191/part/5388874)","2nd Light Diffuser")</f>
        <v>2nd Light Diffuser</v>
      </c>
      <c r="B1452">
        <v>5388874</v>
      </c>
      <c r="C1452">
        <v>5388557</v>
      </c>
      <c r="E1452">
        <v>0.15687000000000001</v>
      </c>
      <c r="F1452">
        <v>0</v>
      </c>
      <c r="G1452">
        <v>0</v>
      </c>
      <c r="H1452">
        <v>0</v>
      </c>
      <c r="I1452" t="s">
        <v>74</v>
      </c>
      <c r="J1452">
        <v>0</v>
      </c>
      <c r="K1452">
        <v>0.15687000000000001</v>
      </c>
      <c r="L1452">
        <v>0</v>
      </c>
      <c r="M1452">
        <v>0</v>
      </c>
      <c r="N1452">
        <v>0.15687000000000001</v>
      </c>
      <c r="O1452" t="s">
        <v>74</v>
      </c>
      <c r="P1452">
        <v>0</v>
      </c>
      <c r="Q1452" t="s">
        <v>74</v>
      </c>
      <c r="R1452">
        <v>0</v>
      </c>
      <c r="S1452" t="s">
        <v>74</v>
      </c>
      <c r="T1452">
        <v>0</v>
      </c>
      <c r="U1452" t="s">
        <v>74</v>
      </c>
      <c r="V1452">
        <v>0</v>
      </c>
      <c r="W1452" t="s">
        <v>74</v>
      </c>
      <c r="X1452">
        <v>0</v>
      </c>
      <c r="Y1452">
        <v>0.15687000000000001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14</v>
      </c>
      <c r="AF1452">
        <v>334</v>
      </c>
      <c r="AG1452">
        <v>79</v>
      </c>
      <c r="AI1452">
        <v>0.012</v>
      </c>
      <c r="AK1452" t="s">
        <v>218</v>
      </c>
      <c r="AL1452" t="s">
        <v>1283</v>
      </c>
      <c r="AM1452">
        <v>200000</v>
      </c>
      <c r="AN1452" t="s">
        <v>76</v>
      </c>
      <c r="AO1452">
        <v>1</v>
      </c>
      <c r="AP1452">
        <v>0</v>
      </c>
      <c r="AQ1452">
        <v>16666.666666666668</v>
      </c>
      <c r="AR1452" t="s">
        <v>9</v>
      </c>
      <c r="AS1452" t="s">
        <v>78</v>
      </c>
      <c r="AX1452" t="s">
        <v>79</v>
      </c>
      <c r="AY1452" t="s">
        <v>74</v>
      </c>
      <c r="AZ1452">
        <v>0</v>
      </c>
      <c r="BA1452" t="s">
        <v>74</v>
      </c>
      <c r="BB1452">
        <v>0</v>
      </c>
      <c r="BD1452">
        <v>0.15687000000000001</v>
      </c>
      <c r="BE1452">
        <v>0</v>
      </c>
    </row>
    <row r="1453" spans="1:58" ht="12.75">
      <c r="A1453" s="2" t="str">
        <f>HYPERLINK("https://ibp.a2mac1.com/costing(costing:projects/details/8191/part/5388550)","Harness")</f>
        <v>Harness</v>
      </c>
      <c r="B1453">
        <v>5388550</v>
      </c>
      <c r="C1453">
        <v>5388234</v>
      </c>
      <c r="E1453">
        <v>15.04989</v>
      </c>
      <c r="F1453">
        <v>0</v>
      </c>
      <c r="G1453">
        <v>0</v>
      </c>
      <c r="H1453">
        <v>0</v>
      </c>
      <c r="I1453" t="s">
        <v>74</v>
      </c>
      <c r="J1453">
        <v>0</v>
      </c>
      <c r="K1453">
        <v>15.04989</v>
      </c>
      <c r="L1453">
        <v>0</v>
      </c>
      <c r="M1453">
        <v>0</v>
      </c>
      <c r="N1453">
        <v>15.04989</v>
      </c>
      <c r="O1453" t="s">
        <v>74</v>
      </c>
      <c r="P1453">
        <v>0</v>
      </c>
      <c r="Q1453" t="s">
        <v>74</v>
      </c>
      <c r="R1453">
        <v>0</v>
      </c>
      <c r="S1453" t="s">
        <v>74</v>
      </c>
      <c r="T1453">
        <v>0</v>
      </c>
      <c r="U1453" t="s">
        <v>74</v>
      </c>
      <c r="V1453">
        <v>0</v>
      </c>
      <c r="W1453" t="s">
        <v>74</v>
      </c>
      <c r="X1453">
        <v>0</v>
      </c>
      <c r="Y1453">
        <v>15.04989</v>
      </c>
      <c r="Z1453">
        <v>0</v>
      </c>
      <c r="AA1453">
        <v>0</v>
      </c>
      <c r="AB1453">
        <v>0</v>
      </c>
      <c r="AC1453">
        <v>0</v>
      </c>
      <c r="AD1453">
        <v>0</v>
      </c>
      <c r="AI1453">
        <v>0.52700000000000002</v>
      </c>
      <c r="AJ1453" t="s">
        <v>1644</v>
      </c>
      <c r="AK1453" t="s">
        <v>218</v>
      </c>
      <c r="AL1453" t="s">
        <v>1658</v>
      </c>
      <c r="AM1453">
        <v>200000</v>
      </c>
      <c r="AN1453" t="s">
        <v>76</v>
      </c>
      <c r="AO1453">
        <v>1</v>
      </c>
      <c r="AP1453">
        <v>0</v>
      </c>
      <c r="AQ1453">
        <v>16666.666666666668</v>
      </c>
      <c r="AR1453" t="s">
        <v>9</v>
      </c>
      <c r="AS1453" t="s">
        <v>78</v>
      </c>
      <c r="AX1453" t="s">
        <v>79</v>
      </c>
      <c r="AY1453" t="s">
        <v>74</v>
      </c>
      <c r="AZ1453">
        <v>0</v>
      </c>
      <c r="BA1453" t="s">
        <v>74</v>
      </c>
      <c r="BB1453">
        <v>0</v>
      </c>
      <c r="BD1453">
        <v>15.04989</v>
      </c>
      <c r="BE1453">
        <v>0</v>
      </c>
    </row>
    <row r="1454" spans="1:58" ht="12.75">
      <c r="A1454" s="2" t="str">
        <f>HYPERLINK("https://ibp.a2mac1.com/costing(costing:projects/details/8191/part/5388551)","2nd Harness")</f>
        <v>2nd Harness</v>
      </c>
      <c r="B1454">
        <v>5388551</v>
      </c>
      <c r="C1454">
        <v>5388234</v>
      </c>
      <c r="E1454">
        <v>1.7993399999999999</v>
      </c>
      <c r="F1454">
        <v>0</v>
      </c>
      <c r="G1454">
        <v>0</v>
      </c>
      <c r="H1454">
        <v>0</v>
      </c>
      <c r="I1454" t="s">
        <v>74</v>
      </c>
      <c r="J1454">
        <v>0</v>
      </c>
      <c r="K1454">
        <v>1.7993399999999999</v>
      </c>
      <c r="L1454">
        <v>0</v>
      </c>
      <c r="M1454">
        <v>0</v>
      </c>
      <c r="N1454">
        <v>1.7993399999999999</v>
      </c>
      <c r="O1454" t="s">
        <v>74</v>
      </c>
      <c r="P1454">
        <v>0</v>
      </c>
      <c r="Q1454" t="s">
        <v>74</v>
      </c>
      <c r="R1454">
        <v>0</v>
      </c>
      <c r="S1454" t="s">
        <v>74</v>
      </c>
      <c r="T1454">
        <v>0</v>
      </c>
      <c r="U1454" t="s">
        <v>74</v>
      </c>
      <c r="V1454">
        <v>0</v>
      </c>
      <c r="W1454" t="s">
        <v>74</v>
      </c>
      <c r="X1454">
        <v>0</v>
      </c>
      <c r="Y1454">
        <v>1.7993399999999999</v>
      </c>
      <c r="Z1454">
        <v>0</v>
      </c>
      <c r="AA1454">
        <v>0</v>
      </c>
      <c r="AB1454">
        <v>0</v>
      </c>
      <c r="AC1454">
        <v>0</v>
      </c>
      <c r="AD1454">
        <v>0</v>
      </c>
      <c r="AI1454">
        <v>0.034000000000000002</v>
      </c>
      <c r="AJ1454" t="s">
        <v>1644</v>
      </c>
      <c r="AK1454" t="s">
        <v>218</v>
      </c>
      <c r="AL1454" t="s">
        <v>1658</v>
      </c>
      <c r="AM1454">
        <v>200000</v>
      </c>
      <c r="AN1454" t="s">
        <v>76</v>
      </c>
      <c r="AO1454">
        <v>1</v>
      </c>
      <c r="AP1454">
        <v>0</v>
      </c>
      <c r="AQ1454">
        <v>16666.666666666668</v>
      </c>
      <c r="AR1454" t="s">
        <v>9</v>
      </c>
      <c r="AS1454" t="s">
        <v>78</v>
      </c>
      <c r="AX1454" t="s">
        <v>79</v>
      </c>
      <c r="AY1454" t="s">
        <v>74</v>
      </c>
      <c r="AZ1454">
        <v>0</v>
      </c>
      <c r="BA1454" t="s">
        <v>74</v>
      </c>
      <c r="BB1454">
        <v>0</v>
      </c>
      <c r="BD1454">
        <v>1.7993399999999999</v>
      </c>
      <c r="BE1454">
        <v>0</v>
      </c>
    </row>
    <row r="1455" spans="1:58" ht="12.75">
      <c r="A1455" s="2" t="str">
        <f>HYPERLINK("https://ibp.a2mac1.com/costing(costing:projects/details/8191/part/5388552)","Lighting Wiring Harness")</f>
        <v>Lighting Wiring Harness</v>
      </c>
      <c r="B1455">
        <v>5388552</v>
      </c>
      <c r="C1455">
        <v>5388234</v>
      </c>
      <c r="E1455">
        <v>2.4268100000000001</v>
      </c>
      <c r="F1455">
        <v>0</v>
      </c>
      <c r="G1455">
        <v>0</v>
      </c>
      <c r="H1455">
        <v>0</v>
      </c>
      <c r="I1455" t="s">
        <v>74</v>
      </c>
      <c r="J1455">
        <v>0</v>
      </c>
      <c r="K1455">
        <v>2.4268100000000001</v>
      </c>
      <c r="L1455">
        <v>0</v>
      </c>
      <c r="M1455">
        <v>0</v>
      </c>
      <c r="N1455">
        <v>2.4268100000000001</v>
      </c>
      <c r="O1455" t="s">
        <v>74</v>
      </c>
      <c r="P1455">
        <v>0</v>
      </c>
      <c r="Q1455" t="s">
        <v>74</v>
      </c>
      <c r="R1455">
        <v>0</v>
      </c>
      <c r="S1455" t="s">
        <v>74</v>
      </c>
      <c r="T1455">
        <v>0</v>
      </c>
      <c r="U1455" t="s">
        <v>74</v>
      </c>
      <c r="V1455">
        <v>0</v>
      </c>
      <c r="W1455" t="s">
        <v>74</v>
      </c>
      <c r="X1455">
        <v>0</v>
      </c>
      <c r="Y1455">
        <v>2.4268100000000001</v>
      </c>
      <c r="Z1455">
        <v>0</v>
      </c>
      <c r="AA1455">
        <v>0</v>
      </c>
      <c r="AB1455">
        <v>0</v>
      </c>
      <c r="AC1455">
        <v>0</v>
      </c>
      <c r="AD1455">
        <v>0</v>
      </c>
      <c r="AI1455">
        <v>0.035999999999999997</v>
      </c>
      <c r="AK1455" t="s">
        <v>218</v>
      </c>
      <c r="AL1455" t="s">
        <v>1658</v>
      </c>
      <c r="AM1455">
        <v>200000</v>
      </c>
      <c r="AN1455" t="s">
        <v>76</v>
      </c>
      <c r="AO1455">
        <v>1</v>
      </c>
      <c r="AP1455">
        <v>0</v>
      </c>
      <c r="AQ1455">
        <v>16666.666666666668</v>
      </c>
      <c r="AR1455" t="s">
        <v>9</v>
      </c>
      <c r="AS1455" t="s">
        <v>78</v>
      </c>
      <c r="AX1455" t="s">
        <v>79</v>
      </c>
      <c r="AY1455" t="s">
        <v>74</v>
      </c>
      <c r="AZ1455">
        <v>0</v>
      </c>
      <c r="BA1455" t="s">
        <v>74</v>
      </c>
      <c r="BB1455">
        <v>0</v>
      </c>
      <c r="BD1455">
        <v>2.4268100000000001</v>
      </c>
      <c r="BE1455">
        <v>0</v>
      </c>
    </row>
    <row r="1456" spans="1:58" ht="12.75">
      <c r="A1456" s="2" t="str">
        <f>HYPERLINK("https://ibp.a2mac1.com/costing(costing:projects/details/8191/part/5388553)","Harness Grommet")</f>
        <v>Harness Grommet</v>
      </c>
      <c r="B1456">
        <v>5388553</v>
      </c>
      <c r="C1456">
        <v>5388234</v>
      </c>
      <c r="E1456">
        <v>0.20300000000000001</v>
      </c>
      <c r="F1456">
        <v>0</v>
      </c>
      <c r="G1456">
        <v>0</v>
      </c>
      <c r="H1456">
        <v>0</v>
      </c>
      <c r="I1456" t="s">
        <v>74</v>
      </c>
      <c r="J1456">
        <v>0</v>
      </c>
      <c r="K1456">
        <v>0.20300000000000001</v>
      </c>
      <c r="L1456">
        <v>0</v>
      </c>
      <c r="M1456">
        <v>0</v>
      </c>
      <c r="N1456">
        <v>0.20300000000000001</v>
      </c>
      <c r="O1456" t="s">
        <v>74</v>
      </c>
      <c r="P1456">
        <v>0</v>
      </c>
      <c r="Q1456" t="s">
        <v>74</v>
      </c>
      <c r="R1456">
        <v>0</v>
      </c>
      <c r="S1456" t="s">
        <v>74</v>
      </c>
      <c r="T1456">
        <v>0</v>
      </c>
      <c r="U1456" t="s">
        <v>74</v>
      </c>
      <c r="V1456">
        <v>0</v>
      </c>
      <c r="W1456" t="s">
        <v>74</v>
      </c>
      <c r="X1456">
        <v>0</v>
      </c>
      <c r="Y1456">
        <v>0.20300000000000001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49</v>
      </c>
      <c r="AF1456">
        <v>198</v>
      </c>
      <c r="AG1456">
        <v>77</v>
      </c>
      <c r="AI1456">
        <v>0.001</v>
      </c>
      <c r="AJ1456" t="s">
        <v>4900</v>
      </c>
      <c r="AK1456" t="s">
        <v>218</v>
      </c>
      <c r="AL1456" t="s">
        <v>4901</v>
      </c>
      <c r="AM1456">
        <v>200000</v>
      </c>
      <c r="AN1456" t="s">
        <v>76</v>
      </c>
      <c r="AO1456">
        <v>1</v>
      </c>
      <c r="AP1456">
        <v>0</v>
      </c>
      <c r="AQ1456">
        <v>16666.666666666668</v>
      </c>
      <c r="AR1456" t="s">
        <v>9</v>
      </c>
      <c r="AS1456" t="s">
        <v>78</v>
      </c>
      <c r="AX1456" t="s">
        <v>79</v>
      </c>
      <c r="AY1456" t="s">
        <v>74</v>
      </c>
      <c r="AZ1456">
        <v>0</v>
      </c>
      <c r="BA1456" t="s">
        <v>74</v>
      </c>
      <c r="BB1456">
        <v>0</v>
      </c>
      <c r="BD1456">
        <v>0.20300000000000001</v>
      </c>
      <c r="BE1456">
        <v>0</v>
      </c>
    </row>
    <row r="1457" spans="1:58" ht="12.75">
      <c r="A1457" s="2" t="str">
        <f>HYPERLINK("https://ibp.a2mac1.com/costing(costing:projects/details/8191/part/5388554)","2nd Harness Grommet")</f>
        <v>2nd Harness Grommet</v>
      </c>
      <c r="B1457">
        <v>5388554</v>
      </c>
      <c r="C1457">
        <v>5388234</v>
      </c>
      <c r="E1457">
        <v>0.04614</v>
      </c>
      <c r="F1457">
        <v>0</v>
      </c>
      <c r="G1457">
        <v>0</v>
      </c>
      <c r="H1457">
        <v>0</v>
      </c>
      <c r="I1457" t="s">
        <v>74</v>
      </c>
      <c r="J1457">
        <v>0</v>
      </c>
      <c r="K1457">
        <v>0.04614</v>
      </c>
      <c r="L1457">
        <v>0</v>
      </c>
      <c r="M1457">
        <v>0</v>
      </c>
      <c r="N1457">
        <v>0.04614</v>
      </c>
      <c r="O1457" t="s">
        <v>74</v>
      </c>
      <c r="P1457">
        <v>0</v>
      </c>
      <c r="Q1457" t="s">
        <v>74</v>
      </c>
      <c r="R1457">
        <v>0</v>
      </c>
      <c r="S1457" t="s">
        <v>74</v>
      </c>
      <c r="T1457">
        <v>0</v>
      </c>
      <c r="U1457" t="s">
        <v>74</v>
      </c>
      <c r="V1457">
        <v>0</v>
      </c>
      <c r="W1457" t="s">
        <v>74</v>
      </c>
      <c r="X1457">
        <v>0</v>
      </c>
      <c r="Y1457">
        <v>0.04614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14</v>
      </c>
      <c r="AF1457">
        <v>70</v>
      </c>
      <c r="AG1457">
        <v>70</v>
      </c>
      <c r="AI1457">
        <v>0.001</v>
      </c>
      <c r="AJ1457" t="s">
        <v>1211</v>
      </c>
      <c r="AK1457" t="s">
        <v>218</v>
      </c>
      <c r="AL1457" t="s">
        <v>3856</v>
      </c>
      <c r="AM1457">
        <v>200000</v>
      </c>
      <c r="AN1457" t="s">
        <v>76</v>
      </c>
      <c r="AO1457">
        <v>1</v>
      </c>
      <c r="AP1457">
        <v>0</v>
      </c>
      <c r="AQ1457">
        <v>16666.666666666668</v>
      </c>
      <c r="AR1457" t="s">
        <v>9</v>
      </c>
      <c r="AS1457" t="s">
        <v>78</v>
      </c>
      <c r="AX1457" t="s">
        <v>79</v>
      </c>
      <c r="AY1457" t="s">
        <v>74</v>
      </c>
      <c r="AZ1457">
        <v>0</v>
      </c>
      <c r="BA1457" t="s">
        <v>74</v>
      </c>
      <c r="BB1457">
        <v>0</v>
      </c>
      <c r="BD1457">
        <v>0.04614</v>
      </c>
      <c r="BE1457">
        <v>0</v>
      </c>
    </row>
    <row r="1458" spans="1:58" ht="12.75">
      <c r="A1458" s="2" t="str">
        <f>HYPERLINK("https://ibp.a2mac1.com/costing(costing:projects/details/8191/part/5388556)","Locking Indicator")</f>
        <v>Locking Indicator</v>
      </c>
      <c r="B1458">
        <v>5388556</v>
      </c>
      <c r="C1458">
        <v>5388234</v>
      </c>
      <c r="E1458">
        <v>0.73819000000000001</v>
      </c>
      <c r="F1458">
        <v>0</v>
      </c>
      <c r="G1458">
        <v>0</v>
      </c>
      <c r="H1458">
        <v>0</v>
      </c>
      <c r="I1458" t="s">
        <v>74</v>
      </c>
      <c r="J1458">
        <v>0</v>
      </c>
      <c r="K1458">
        <v>0.73819000000000001</v>
      </c>
      <c r="L1458">
        <v>0</v>
      </c>
      <c r="M1458">
        <v>0</v>
      </c>
      <c r="N1458">
        <v>0.73819000000000001</v>
      </c>
      <c r="O1458" t="s">
        <v>74</v>
      </c>
      <c r="P1458">
        <v>0</v>
      </c>
      <c r="Q1458" t="s">
        <v>74</v>
      </c>
      <c r="R1458">
        <v>0</v>
      </c>
      <c r="S1458" t="s">
        <v>74</v>
      </c>
      <c r="T1458">
        <v>0</v>
      </c>
      <c r="U1458" t="s">
        <v>74</v>
      </c>
      <c r="V1458">
        <v>0</v>
      </c>
      <c r="W1458" t="s">
        <v>74</v>
      </c>
      <c r="X1458">
        <v>0</v>
      </c>
      <c r="Y1458">
        <v>0.73819000000000001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17</v>
      </c>
      <c r="AF1458">
        <v>34</v>
      </c>
      <c r="AG1458">
        <v>32</v>
      </c>
      <c r="AI1458">
        <v>0.0030000000000000001</v>
      </c>
      <c r="AJ1458" t="s">
        <v>685</v>
      </c>
      <c r="AK1458" t="s">
        <v>218</v>
      </c>
      <c r="AL1458" t="s">
        <v>4904</v>
      </c>
      <c r="AM1458">
        <v>200000</v>
      </c>
      <c r="AN1458" t="s">
        <v>76</v>
      </c>
      <c r="AO1458">
        <v>1</v>
      </c>
      <c r="AP1458">
        <v>0</v>
      </c>
      <c r="AQ1458">
        <v>16666.666666666668</v>
      </c>
      <c r="AR1458" t="s">
        <v>9</v>
      </c>
      <c r="AS1458" t="s">
        <v>78</v>
      </c>
      <c r="AX1458" t="s">
        <v>79</v>
      </c>
      <c r="AY1458" t="s">
        <v>74</v>
      </c>
      <c r="AZ1458">
        <v>0</v>
      </c>
      <c r="BA1458" t="s">
        <v>74</v>
      </c>
      <c r="BB1458">
        <v>0</v>
      </c>
      <c r="BD1458">
        <v>0.73819000000000001</v>
      </c>
      <c r="BE1458">
        <v>0</v>
      </c>
    </row>
    <row r="1459" spans="1:58" ht="12.75">
      <c r="A1459" s="2" t="str">
        <f>HYPERLINK("https://ibp.a2mac1.com/costing(costing:projects/details/8191/part/5388559)","Side Protection Molding")</f>
        <v>Side Protection Molding</v>
      </c>
      <c r="B1459">
        <v>5388559</v>
      </c>
      <c r="C1459">
        <v>5388235</v>
      </c>
      <c r="E1459">
        <v>0.75202641460019259</v>
      </c>
      <c r="F1459">
        <v>0</v>
      </c>
      <c r="G1459">
        <v>0</v>
      </c>
      <c r="H1459">
        <v>0.0015506947151751544</v>
      </c>
      <c r="I1459" t="s">
        <v>137</v>
      </c>
      <c r="J1459">
        <v>0.026346754869480779</v>
      </c>
      <c r="K1459">
        <v>0.77992386418484849</v>
      </c>
      <c r="L1459">
        <v>0.061224264518072828</v>
      </c>
      <c r="M1459">
        <v>0.36734558710843696</v>
      </c>
      <c r="N1459">
        <v>1.1472694512932855</v>
      </c>
      <c r="O1459" t="s">
        <v>138</v>
      </c>
      <c r="P1459">
        <v>0.046795431851090911</v>
      </c>
      <c r="Q1459" t="s">
        <v>138</v>
      </c>
      <c r="R1459">
        <v>0.022040735226506219</v>
      </c>
      <c r="S1459" t="s">
        <v>139</v>
      </c>
      <c r="T1459">
        <v>0.13767233415519425</v>
      </c>
      <c r="U1459" t="s">
        <v>216</v>
      </c>
      <c r="V1459">
        <v>0.0057363472564664272</v>
      </c>
      <c r="W1459" t="s">
        <v>217</v>
      </c>
      <c r="X1459">
        <v>0.022945389025865709</v>
      </c>
      <c r="Y1459">
        <v>1.3824596888084091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37</v>
      </c>
      <c r="AF1459">
        <v>1075</v>
      </c>
      <c r="AG1459">
        <v>208</v>
      </c>
      <c r="AI1459">
        <v>0.66200000000000003</v>
      </c>
      <c r="AJ1459" t="s">
        <v>685</v>
      </c>
      <c r="AK1459" t="s">
        <v>218</v>
      </c>
      <c r="AL1459" t="s">
        <v>1182</v>
      </c>
      <c r="AM1459">
        <v>200000</v>
      </c>
      <c r="AN1459" t="s">
        <v>76</v>
      </c>
      <c r="AO1459">
        <v>1</v>
      </c>
      <c r="AP1459">
        <v>0</v>
      </c>
      <c r="AQ1459">
        <v>16666.666666666668</v>
      </c>
      <c r="AR1459" t="s">
        <v>9</v>
      </c>
      <c r="AS1459" t="s">
        <v>78</v>
      </c>
      <c r="AX1459" t="s">
        <v>79</v>
      </c>
      <c r="AY1459" t="s">
        <v>137</v>
      </c>
      <c r="AZ1459">
        <v>0</v>
      </c>
      <c r="BA1459" t="s">
        <v>137</v>
      </c>
      <c r="BB1459">
        <v>0</v>
      </c>
      <c r="BE1459">
        <v>0</v>
      </c>
    </row>
    <row r="1460" spans="1:58" ht="12.75">
      <c r="A1460" s="2" t="str">
        <f>HYPERLINK("https://ibp.a2mac1.com/costing(costing:projects/details/8191/part/5388560)","B Pillar Accent")</f>
        <v>B Pillar Accent</v>
      </c>
      <c r="B1460">
        <v>5388560</v>
      </c>
      <c r="C1460">
        <v>5388235</v>
      </c>
      <c r="E1460">
        <v>0.40444116153538584</v>
      </c>
      <c r="F1460">
        <v>0</v>
      </c>
      <c r="G1460">
        <v>0</v>
      </c>
      <c r="H1460">
        <v>0.00083396641343462617</v>
      </c>
      <c r="I1460" t="s">
        <v>137</v>
      </c>
      <c r="J1460">
        <v>0.014169332267093163</v>
      </c>
      <c r="K1460">
        <v>0.41944446021591364</v>
      </c>
      <c r="L1460">
        <v>0.05837799974930831</v>
      </c>
      <c r="M1460">
        <v>0.35026799849584983</v>
      </c>
      <c r="N1460">
        <v>0.76971245871176353</v>
      </c>
      <c r="O1460" t="s">
        <v>138</v>
      </c>
      <c r="P1460">
        <v>0.025166667612954819</v>
      </c>
      <c r="Q1460" t="s">
        <v>138</v>
      </c>
      <c r="R1460">
        <v>0.02101607990975099</v>
      </c>
      <c r="S1460" t="s">
        <v>139</v>
      </c>
      <c r="T1460">
        <v>0.092365495045411625</v>
      </c>
      <c r="U1460" t="s">
        <v>216</v>
      </c>
      <c r="V1460">
        <v>0.0038485622935588173</v>
      </c>
      <c r="W1460" t="s">
        <v>217</v>
      </c>
      <c r="X1460">
        <v>0.015394249174235269</v>
      </c>
      <c r="Y1460">
        <v>0.92750351274767495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37</v>
      </c>
      <c r="AF1460">
        <v>105</v>
      </c>
      <c r="AG1460">
        <v>531</v>
      </c>
      <c r="AI1460">
        <v>0.189</v>
      </c>
      <c r="AJ1460" t="s">
        <v>685</v>
      </c>
      <c r="AK1460" t="s">
        <v>218</v>
      </c>
      <c r="AL1460" t="s">
        <v>1294</v>
      </c>
      <c r="AM1460">
        <v>200000</v>
      </c>
      <c r="AN1460" t="s">
        <v>76</v>
      </c>
      <c r="AO1460">
        <v>1</v>
      </c>
      <c r="AP1460">
        <v>0</v>
      </c>
      <c r="AQ1460">
        <v>16666.666666666668</v>
      </c>
      <c r="AR1460" t="s">
        <v>9</v>
      </c>
      <c r="AS1460" t="s">
        <v>78</v>
      </c>
      <c r="AX1460" t="s">
        <v>79</v>
      </c>
      <c r="AY1460" t="s">
        <v>137</v>
      </c>
      <c r="AZ1460">
        <v>0</v>
      </c>
      <c r="BA1460" t="s">
        <v>137</v>
      </c>
      <c r="BB1460">
        <v>0</v>
      </c>
      <c r="BE1460">
        <v>0</v>
      </c>
    </row>
    <row r="1461" spans="1:58" ht="12.75">
      <c r="A1461" s="2" t="str">
        <f>HYPERLINK("https://ibp.a2mac1.com/costing(costing:projects/details/8191/part/5388561)","Outer Upper Trim")</f>
        <v>Outer Upper Trim</v>
      </c>
      <c r="B1461">
        <v>5388561</v>
      </c>
      <c r="C1461">
        <v>5388235</v>
      </c>
      <c r="E1461">
        <v>0.063162235499999997</v>
      </c>
      <c r="F1461">
        <v>0</v>
      </c>
      <c r="G1461">
        <v>0</v>
      </c>
      <c r="H1461">
        <v>0.00032040191642105265</v>
      </c>
      <c r="I1461" t="s">
        <v>137</v>
      </c>
      <c r="J1461">
        <v>0.0022162187894736842</v>
      </c>
      <c r="K1461">
        <v>0.065698856205894732</v>
      </c>
      <c r="L1461">
        <v>0.0012068904983701719</v>
      </c>
      <c r="M1461">
        <v>0.0072413429902210323</v>
      </c>
      <c r="N1461">
        <v>0.072940199196115774</v>
      </c>
      <c r="O1461" t="s">
        <v>138</v>
      </c>
      <c r="P1461">
        <v>0.0039419313723536844</v>
      </c>
      <c r="Q1461" t="s">
        <v>138</v>
      </c>
      <c r="R1461">
        <v>0.00043448057941326195</v>
      </c>
      <c r="S1461" t="s">
        <v>139</v>
      </c>
      <c r="T1461">
        <v>0.0087528239035338917</v>
      </c>
      <c r="U1461" t="s">
        <v>216</v>
      </c>
      <c r="V1461">
        <v>0.00036470099598057886</v>
      </c>
      <c r="W1461" t="s">
        <v>217</v>
      </c>
      <c r="X1461">
        <v>0.0014588039839223154</v>
      </c>
      <c r="Y1461">
        <v>0.087892940031319505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6</v>
      </c>
      <c r="AF1461">
        <v>287</v>
      </c>
      <c r="AG1461">
        <v>40</v>
      </c>
      <c r="AI1461">
        <v>0.025999999999999999</v>
      </c>
      <c r="AK1461" t="s">
        <v>218</v>
      </c>
      <c r="AL1461" t="s">
        <v>1294</v>
      </c>
      <c r="AM1461">
        <v>200000</v>
      </c>
      <c r="AN1461" t="s">
        <v>76</v>
      </c>
      <c r="AO1461">
        <v>1</v>
      </c>
      <c r="AP1461">
        <v>0</v>
      </c>
      <c r="AQ1461">
        <v>16666.666666666668</v>
      </c>
      <c r="AR1461" t="s">
        <v>9</v>
      </c>
      <c r="AS1461" t="s">
        <v>78</v>
      </c>
      <c r="AX1461" t="s">
        <v>79</v>
      </c>
      <c r="AY1461" t="s">
        <v>137</v>
      </c>
      <c r="AZ1461">
        <v>0</v>
      </c>
      <c r="BA1461" t="s">
        <v>137</v>
      </c>
      <c r="BB1461">
        <v>0</v>
      </c>
      <c r="BE1461">
        <v>0</v>
      </c>
    </row>
    <row r="1462" spans="1:58" ht="12.75">
      <c r="A1462" s="2" t="str">
        <f>HYPERLINK("https://ibp.a2mac1.com/costing(costing:projects/details/8191/part/5388562)","Exterior Front Trim")</f>
        <v>Exterior Front Trim</v>
      </c>
      <c r="B1462">
        <v>5388562</v>
      </c>
      <c r="C1462">
        <v>5388235</v>
      </c>
      <c r="E1462">
        <v>0.031843601999999999</v>
      </c>
      <c r="F1462">
        <v>0</v>
      </c>
      <c r="G1462">
        <v>0</v>
      </c>
      <c r="H1462">
        <v>0.0001615324572631579</v>
      </c>
      <c r="I1462" t="s">
        <v>137</v>
      </c>
      <c r="J1462">
        <v>0.0011173193684210526</v>
      </c>
      <c r="K1462">
        <v>0.033122453825684212</v>
      </c>
      <c r="L1462">
        <v>0.0005570249769950203</v>
      </c>
      <c r="M1462">
        <v>0.003342149861970122</v>
      </c>
      <c r="N1462">
        <v>0.036464603687654334</v>
      </c>
      <c r="O1462" t="s">
        <v>138</v>
      </c>
      <c r="P1462">
        <v>0.0019873472295410528</v>
      </c>
      <c r="Q1462" t="s">
        <v>138</v>
      </c>
      <c r="R1462">
        <v>0.00020052899171820731</v>
      </c>
      <c r="S1462" t="s">
        <v>139</v>
      </c>
      <c r="T1462">
        <v>0.0043757524425185202</v>
      </c>
      <c r="U1462" t="s">
        <v>216</v>
      </c>
      <c r="V1462">
        <v>0.00018232301843827166</v>
      </c>
      <c r="W1462" t="s">
        <v>217</v>
      </c>
      <c r="X1462">
        <v>0.00072929207375308663</v>
      </c>
      <c r="Y1462">
        <v>0.043939847443623468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5</v>
      </c>
      <c r="AF1462">
        <v>276</v>
      </c>
      <c r="AG1462">
        <v>30</v>
      </c>
      <c r="AI1462">
        <v>0.012</v>
      </c>
      <c r="AK1462" t="s">
        <v>218</v>
      </c>
      <c r="AL1462" t="s">
        <v>1288</v>
      </c>
      <c r="AM1462">
        <v>200000</v>
      </c>
      <c r="AN1462" t="s">
        <v>76</v>
      </c>
      <c r="AO1462">
        <v>1</v>
      </c>
      <c r="AP1462">
        <v>0</v>
      </c>
      <c r="AQ1462">
        <v>16666.666666666668</v>
      </c>
      <c r="AR1462" t="s">
        <v>9</v>
      </c>
      <c r="AS1462" t="s">
        <v>78</v>
      </c>
      <c r="AX1462" t="s">
        <v>79</v>
      </c>
      <c r="AY1462" t="s">
        <v>137</v>
      </c>
      <c r="AZ1462">
        <v>0</v>
      </c>
      <c r="BA1462" t="s">
        <v>137</v>
      </c>
      <c r="BB1462">
        <v>0</v>
      </c>
      <c r="BE1462">
        <v>0</v>
      </c>
    </row>
    <row r="1463" spans="1:58" ht="12.75">
      <c r="A1463" s="2" t="str">
        <f>HYPERLINK("https://ibp.a2mac1.com/costing(costing:projects/details/8191/part/5388875)","Mirror")</f>
        <v>Mirror</v>
      </c>
      <c r="B1463">
        <v>5388875</v>
      </c>
      <c r="C1463">
        <v>5388564</v>
      </c>
      <c r="E1463">
        <v>1.84548</v>
      </c>
      <c r="F1463">
        <v>0</v>
      </c>
      <c r="G1463">
        <v>0</v>
      </c>
      <c r="H1463">
        <v>0</v>
      </c>
      <c r="I1463" t="s">
        <v>74</v>
      </c>
      <c r="J1463">
        <v>0</v>
      </c>
      <c r="K1463">
        <v>1.84548</v>
      </c>
      <c r="L1463">
        <v>0</v>
      </c>
      <c r="M1463">
        <v>0</v>
      </c>
      <c r="N1463">
        <v>1.84548</v>
      </c>
      <c r="O1463" t="s">
        <v>74</v>
      </c>
      <c r="P1463">
        <v>0</v>
      </c>
      <c r="Q1463" t="s">
        <v>74</v>
      </c>
      <c r="R1463">
        <v>0</v>
      </c>
      <c r="S1463" t="s">
        <v>74</v>
      </c>
      <c r="T1463">
        <v>0</v>
      </c>
      <c r="U1463" t="s">
        <v>74</v>
      </c>
      <c r="V1463">
        <v>0</v>
      </c>
      <c r="W1463" t="s">
        <v>74</v>
      </c>
      <c r="X1463">
        <v>0</v>
      </c>
      <c r="Y1463">
        <v>1.84548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51</v>
      </c>
      <c r="AF1463">
        <v>213</v>
      </c>
      <c r="AG1463">
        <v>140</v>
      </c>
      <c r="AI1463">
        <v>0.15</v>
      </c>
      <c r="AJ1463" t="s">
        <v>4932</v>
      </c>
      <c r="AK1463" t="s">
        <v>218</v>
      </c>
      <c r="AL1463" t="s">
        <v>4933</v>
      </c>
      <c r="AM1463">
        <v>200000</v>
      </c>
      <c r="AN1463" t="s">
        <v>76</v>
      </c>
      <c r="AO1463">
        <v>1</v>
      </c>
      <c r="AP1463">
        <v>0</v>
      </c>
      <c r="AQ1463">
        <v>16666.666666666668</v>
      </c>
      <c r="AR1463" t="s">
        <v>9</v>
      </c>
      <c r="AS1463" t="s">
        <v>78</v>
      </c>
      <c r="AX1463" t="s">
        <v>79</v>
      </c>
      <c r="AY1463" t="s">
        <v>74</v>
      </c>
      <c r="AZ1463">
        <v>0</v>
      </c>
      <c r="BA1463" t="s">
        <v>74</v>
      </c>
      <c r="BB1463">
        <v>0</v>
      </c>
      <c r="BD1463">
        <v>1.84548</v>
      </c>
      <c r="BE1463">
        <v>0</v>
      </c>
    </row>
    <row r="1464" spans="1:58" ht="12.75">
      <c r="A1464" s="2" t="str">
        <f>HYPERLINK("https://ibp.a2mac1.com/costing(costing:projects/details/8191/part/5388876)","Frame")</f>
        <v>Frame</v>
      </c>
      <c r="B1464">
        <v>5388876</v>
      </c>
      <c r="C1464">
        <v>5388564</v>
      </c>
      <c r="E1464">
        <v>0.97337253999999995</v>
      </c>
      <c r="F1464">
        <v>0</v>
      </c>
      <c r="G1464">
        <v>0</v>
      </c>
      <c r="H1464">
        <v>0.0079621873771999994</v>
      </c>
      <c r="I1464" t="s">
        <v>137</v>
      </c>
      <c r="J1464">
        <v>0.0340680389</v>
      </c>
      <c r="K1464">
        <v>1.0154027662772001</v>
      </c>
      <c r="L1464">
        <v>0.17543734247623768</v>
      </c>
      <c r="M1464">
        <v>1.0526240548574262</v>
      </c>
      <c r="N1464">
        <v>2.0680268211346262</v>
      </c>
      <c r="O1464" t="s">
        <v>90</v>
      </c>
      <c r="P1464">
        <v>0</v>
      </c>
      <c r="Q1464" t="s">
        <v>90</v>
      </c>
      <c r="R1464">
        <v>0</v>
      </c>
      <c r="S1464" t="s">
        <v>90</v>
      </c>
      <c r="T1464">
        <v>0</v>
      </c>
      <c r="U1464" t="s">
        <v>90</v>
      </c>
      <c r="V1464">
        <v>0</v>
      </c>
      <c r="W1464" t="s">
        <v>90</v>
      </c>
      <c r="X1464">
        <v>0</v>
      </c>
      <c r="Y1464">
        <v>2.0680268211346262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176</v>
      </c>
      <c r="AF1464">
        <v>156</v>
      </c>
      <c r="AG1464">
        <v>172</v>
      </c>
      <c r="AI1464">
        <v>0.39700000000000002</v>
      </c>
      <c r="AJ1464" t="s">
        <v>685</v>
      </c>
      <c r="AK1464" t="s">
        <v>4599</v>
      </c>
      <c r="AL1464" t="s">
        <v>4948</v>
      </c>
      <c r="AM1464">
        <v>200000</v>
      </c>
      <c r="AN1464" t="s">
        <v>76</v>
      </c>
      <c r="AO1464">
        <v>1</v>
      </c>
      <c r="AP1464">
        <v>0</v>
      </c>
      <c r="AQ1464">
        <v>16666.666666666668</v>
      </c>
      <c r="AR1464" t="s">
        <v>9</v>
      </c>
      <c r="AS1464" t="s">
        <v>78</v>
      </c>
      <c r="AX1464" t="s">
        <v>79</v>
      </c>
      <c r="AY1464" t="s">
        <v>137</v>
      </c>
      <c r="AZ1464">
        <v>0</v>
      </c>
      <c r="BA1464" t="s">
        <v>137</v>
      </c>
      <c r="BB1464">
        <v>0</v>
      </c>
      <c r="BE1464">
        <v>0</v>
      </c>
    </row>
    <row r="1465" spans="1:58" ht="12.75">
      <c r="A1465" s="2" t="str">
        <f>HYPERLINK("https://ibp.a2mac1.com/costing(costing:projects/details/8191/part/5388877)","Mirror Attaching Plate")</f>
        <v>Mirror Attaching Plate</v>
      </c>
      <c r="B1465">
        <v>5388877</v>
      </c>
      <c r="C1465">
        <v>5388564</v>
      </c>
      <c r="E1465">
        <v>1.83625</v>
      </c>
      <c r="F1465">
        <v>0</v>
      </c>
      <c r="G1465">
        <v>0</v>
      </c>
      <c r="H1465">
        <v>0</v>
      </c>
      <c r="I1465" t="s">
        <v>74</v>
      </c>
      <c r="J1465">
        <v>0</v>
      </c>
      <c r="K1465">
        <v>1.83625</v>
      </c>
      <c r="L1465">
        <v>0</v>
      </c>
      <c r="M1465">
        <v>0</v>
      </c>
      <c r="N1465">
        <v>1.83625</v>
      </c>
      <c r="O1465" t="s">
        <v>74</v>
      </c>
      <c r="P1465">
        <v>0</v>
      </c>
      <c r="Q1465" t="s">
        <v>74</v>
      </c>
      <c r="R1465">
        <v>0</v>
      </c>
      <c r="S1465" t="s">
        <v>74</v>
      </c>
      <c r="T1465">
        <v>0</v>
      </c>
      <c r="U1465" t="s">
        <v>74</v>
      </c>
      <c r="V1465">
        <v>0</v>
      </c>
      <c r="W1465" t="s">
        <v>74</v>
      </c>
      <c r="X1465">
        <v>0</v>
      </c>
      <c r="Y1465">
        <v>1.83625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44</v>
      </c>
      <c r="AF1465">
        <v>94</v>
      </c>
      <c r="AG1465">
        <v>94</v>
      </c>
      <c r="AI1465">
        <v>0.121</v>
      </c>
      <c r="AJ1465" t="s">
        <v>4950</v>
      </c>
      <c r="AK1465" t="s">
        <v>218</v>
      </c>
      <c r="AL1465" t="s">
        <v>4951</v>
      </c>
      <c r="AM1465">
        <v>200000</v>
      </c>
      <c r="AN1465" t="s">
        <v>76</v>
      </c>
      <c r="AO1465">
        <v>1</v>
      </c>
      <c r="AP1465">
        <v>0</v>
      </c>
      <c r="AQ1465">
        <v>16666.666666666668</v>
      </c>
      <c r="AR1465" t="s">
        <v>9</v>
      </c>
      <c r="AS1465" t="s">
        <v>78</v>
      </c>
      <c r="AX1465" t="s">
        <v>79</v>
      </c>
      <c r="AY1465" t="s">
        <v>74</v>
      </c>
      <c r="AZ1465">
        <v>0</v>
      </c>
      <c r="BA1465" t="s">
        <v>74</v>
      </c>
      <c r="BB1465">
        <v>0</v>
      </c>
      <c r="BD1465">
        <v>1.83625</v>
      </c>
      <c r="BE1465">
        <v>0</v>
      </c>
    </row>
    <row r="1466" spans="1:58" ht="12.75">
      <c r="A1466" s="2" t="str">
        <f>HYPERLINK("https://ibp.a2mac1.com/costing(costing:projects/details/8191/part/5388878)","Mirror Attaching Plate Support")</f>
        <v>Mirror Attaching Plate Support</v>
      </c>
      <c r="B1466">
        <v>5388878</v>
      </c>
      <c r="C1466">
        <v>5388564</v>
      </c>
      <c r="E1466">
        <v>0.54094609622449796</v>
      </c>
      <c r="F1466">
        <v>0</v>
      </c>
      <c r="G1466">
        <v>0</v>
      </c>
      <c r="H1466">
        <v>0.0011154425380868061</v>
      </c>
      <c r="I1466" t="s">
        <v>137</v>
      </c>
      <c r="J1466">
        <v>0.018951693608270977</v>
      </c>
      <c r="K1466">
        <v>0.56101323237085576</v>
      </c>
      <c r="L1466">
        <v>0.018926498623837607</v>
      </c>
      <c r="M1466">
        <v>0.11355899174302565</v>
      </c>
      <c r="N1466">
        <v>0.6745722241138814</v>
      </c>
      <c r="O1466" t="s">
        <v>90</v>
      </c>
      <c r="P1466">
        <v>0</v>
      </c>
      <c r="Q1466" t="s">
        <v>90</v>
      </c>
      <c r="R1466">
        <v>0</v>
      </c>
      <c r="S1466" t="s">
        <v>90</v>
      </c>
      <c r="T1466">
        <v>0</v>
      </c>
      <c r="U1466" t="s">
        <v>90</v>
      </c>
      <c r="V1466">
        <v>0</v>
      </c>
      <c r="W1466" t="s">
        <v>90</v>
      </c>
      <c r="X1466">
        <v>0</v>
      </c>
      <c r="Y1466">
        <v>0.6745722241138814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108</v>
      </c>
      <c r="AF1466">
        <v>244</v>
      </c>
      <c r="AG1466">
        <v>113</v>
      </c>
      <c r="AI1466">
        <v>0.221</v>
      </c>
      <c r="AK1466" t="s">
        <v>4599</v>
      </c>
      <c r="AL1466" t="s">
        <v>1721</v>
      </c>
      <c r="AM1466">
        <v>200000</v>
      </c>
      <c r="AN1466" t="s">
        <v>76</v>
      </c>
      <c r="AO1466">
        <v>1</v>
      </c>
      <c r="AP1466">
        <v>0</v>
      </c>
      <c r="AQ1466">
        <v>16666.666666666668</v>
      </c>
      <c r="AR1466" t="s">
        <v>9</v>
      </c>
      <c r="AS1466" t="s">
        <v>78</v>
      </c>
      <c r="AX1466" t="s">
        <v>79</v>
      </c>
      <c r="AY1466" t="s">
        <v>137</v>
      </c>
      <c r="AZ1466">
        <v>0</v>
      </c>
      <c r="BA1466" t="s">
        <v>137</v>
      </c>
      <c r="BB1466">
        <v>0</v>
      </c>
      <c r="BE1466">
        <v>0</v>
      </c>
    </row>
    <row r="1467" spans="1:58" ht="12.75">
      <c r="A1467" s="2" t="str">
        <f>HYPERLINK("https://ibp.a2mac1.com/costing(costing:projects/details/8191/part/5388879)","Harness")</f>
        <v>Harness</v>
      </c>
      <c r="B1467">
        <v>5388879</v>
      </c>
      <c r="C1467">
        <v>5388564</v>
      </c>
      <c r="E1467">
        <v>5.2688499999999996</v>
      </c>
      <c r="F1467">
        <v>0</v>
      </c>
      <c r="G1467">
        <v>0</v>
      </c>
      <c r="H1467">
        <v>0</v>
      </c>
      <c r="I1467" t="s">
        <v>74</v>
      </c>
      <c r="J1467">
        <v>0</v>
      </c>
      <c r="K1467">
        <v>5.2688499999999996</v>
      </c>
      <c r="L1467">
        <v>0</v>
      </c>
      <c r="M1467">
        <v>0</v>
      </c>
      <c r="N1467">
        <v>5.2688499999999996</v>
      </c>
      <c r="O1467" t="s">
        <v>74</v>
      </c>
      <c r="P1467">
        <v>0</v>
      </c>
      <c r="Q1467" t="s">
        <v>74</v>
      </c>
      <c r="R1467">
        <v>0</v>
      </c>
      <c r="S1467" t="s">
        <v>74</v>
      </c>
      <c r="T1467">
        <v>0</v>
      </c>
      <c r="U1467" t="s">
        <v>74</v>
      </c>
      <c r="V1467">
        <v>0</v>
      </c>
      <c r="W1467" t="s">
        <v>74</v>
      </c>
      <c r="X1467">
        <v>0</v>
      </c>
      <c r="Y1467">
        <v>5.2688499999999996</v>
      </c>
      <c r="Z1467">
        <v>0</v>
      </c>
      <c r="AA1467">
        <v>0</v>
      </c>
      <c r="AB1467">
        <v>0</v>
      </c>
      <c r="AC1467">
        <v>0</v>
      </c>
      <c r="AD1467">
        <v>0</v>
      </c>
      <c r="AI1467">
        <v>0.129</v>
      </c>
      <c r="AK1467" t="s">
        <v>218</v>
      </c>
      <c r="AL1467" t="s">
        <v>1658</v>
      </c>
      <c r="AM1467">
        <v>200000</v>
      </c>
      <c r="AN1467" t="s">
        <v>76</v>
      </c>
      <c r="AO1467">
        <v>1</v>
      </c>
      <c r="AP1467">
        <v>0</v>
      </c>
      <c r="AQ1467">
        <v>16666.666666666668</v>
      </c>
      <c r="AR1467" t="s">
        <v>9</v>
      </c>
      <c r="AS1467" t="s">
        <v>78</v>
      </c>
      <c r="AX1467" t="s">
        <v>79</v>
      </c>
      <c r="AY1467" t="s">
        <v>74</v>
      </c>
      <c r="AZ1467">
        <v>0</v>
      </c>
      <c r="BA1467" t="s">
        <v>74</v>
      </c>
      <c r="BB1467">
        <v>0</v>
      </c>
      <c r="BD1467">
        <v>5.2688499999999996</v>
      </c>
      <c r="BE1467">
        <v>0</v>
      </c>
    </row>
    <row r="1468" spans="1:58" ht="12.75">
      <c r="A1468" s="2" t="str">
        <f>HYPERLINK("https://ibp.a2mac1.com/costing(costing:projects/details/8191/part/5388880)","2nd Mirror Harness")</f>
        <v>2nd Mirror Harness</v>
      </c>
      <c r="B1468">
        <v>5388880</v>
      </c>
      <c r="C1468">
        <v>5388564</v>
      </c>
      <c r="E1468">
        <v>0.36909999999999998</v>
      </c>
      <c r="F1468">
        <v>0</v>
      </c>
      <c r="G1468">
        <v>0</v>
      </c>
      <c r="H1468">
        <v>0</v>
      </c>
      <c r="I1468" t="s">
        <v>74</v>
      </c>
      <c r="J1468">
        <v>0</v>
      </c>
      <c r="K1468">
        <v>0.36909999999999998</v>
      </c>
      <c r="L1468">
        <v>0</v>
      </c>
      <c r="M1468">
        <v>0</v>
      </c>
      <c r="N1468">
        <v>0.36909999999999998</v>
      </c>
      <c r="O1468" t="s">
        <v>74</v>
      </c>
      <c r="P1468">
        <v>0</v>
      </c>
      <c r="Q1468" t="s">
        <v>74</v>
      </c>
      <c r="R1468">
        <v>0</v>
      </c>
      <c r="S1468" t="s">
        <v>74</v>
      </c>
      <c r="T1468">
        <v>0</v>
      </c>
      <c r="U1468" t="s">
        <v>74</v>
      </c>
      <c r="V1468">
        <v>0</v>
      </c>
      <c r="W1468" t="s">
        <v>74</v>
      </c>
      <c r="X1468">
        <v>0</v>
      </c>
      <c r="Y1468">
        <v>0.36909999999999998</v>
      </c>
      <c r="Z1468">
        <v>0</v>
      </c>
      <c r="AA1468">
        <v>0</v>
      </c>
      <c r="AB1468">
        <v>0</v>
      </c>
      <c r="AC1468">
        <v>0</v>
      </c>
      <c r="AD1468">
        <v>0</v>
      </c>
      <c r="AI1468">
        <v>0.0040000000000000001</v>
      </c>
      <c r="AK1468" t="s">
        <v>218</v>
      </c>
      <c r="AL1468" t="s">
        <v>1658</v>
      </c>
      <c r="AM1468">
        <v>200000</v>
      </c>
      <c r="AN1468" t="s">
        <v>76</v>
      </c>
      <c r="AO1468">
        <v>1</v>
      </c>
      <c r="AP1468">
        <v>0</v>
      </c>
      <c r="AQ1468">
        <v>16666.666666666668</v>
      </c>
      <c r="AR1468" t="s">
        <v>9</v>
      </c>
      <c r="AS1468" t="s">
        <v>78</v>
      </c>
      <c r="AX1468" t="s">
        <v>79</v>
      </c>
      <c r="AY1468" t="s">
        <v>74</v>
      </c>
      <c r="AZ1468">
        <v>0</v>
      </c>
      <c r="BA1468" t="s">
        <v>74</v>
      </c>
      <c r="BB1468">
        <v>0</v>
      </c>
      <c r="BD1468">
        <v>0.36909999999999998</v>
      </c>
      <c r="BE1468">
        <v>0</v>
      </c>
    </row>
    <row r="1469" spans="1:58" ht="12.75">
      <c r="A1469" s="2" t="str">
        <f>HYPERLINK("https://ibp.a2mac1.com/costing(costing:projects/details/8191/part/5388881)","Front Shell")</f>
        <v>Front Shell</v>
      </c>
      <c r="B1469">
        <v>5388881</v>
      </c>
      <c r="C1469">
        <v>5388564</v>
      </c>
      <c r="E1469">
        <v>0.34669604295951417</v>
      </c>
      <c r="F1469">
        <v>0</v>
      </c>
      <c r="G1469">
        <v>0</v>
      </c>
      <c r="H1469">
        <v>0.00071489473129115696</v>
      </c>
      <c r="I1469" t="s">
        <v>137</v>
      </c>
      <c r="J1469">
        <v>0.012146269706403152</v>
      </c>
      <c r="K1469">
        <v>0.35955720739720848</v>
      </c>
      <c r="L1469">
        <v>0.02168289732934351</v>
      </c>
      <c r="M1469">
        <v>0.13009738397606105</v>
      </c>
      <c r="N1469">
        <v>0.4896545913732695</v>
      </c>
      <c r="O1469" t="s">
        <v>90</v>
      </c>
      <c r="P1469">
        <v>0</v>
      </c>
      <c r="Q1469" t="s">
        <v>90</v>
      </c>
      <c r="R1469">
        <v>0</v>
      </c>
      <c r="S1469" t="s">
        <v>90</v>
      </c>
      <c r="T1469">
        <v>0</v>
      </c>
      <c r="U1469" t="s">
        <v>90</v>
      </c>
      <c r="V1469">
        <v>0</v>
      </c>
      <c r="W1469" t="s">
        <v>90</v>
      </c>
      <c r="X1469">
        <v>0</v>
      </c>
      <c r="Y1469">
        <v>0.4896545913732695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68</v>
      </c>
      <c r="AF1469">
        <v>272</v>
      </c>
      <c r="AG1469">
        <v>164</v>
      </c>
      <c r="AI1469">
        <v>0.14099999999999999</v>
      </c>
      <c r="AJ1469" t="s">
        <v>4932</v>
      </c>
      <c r="AK1469" t="s">
        <v>4599</v>
      </c>
      <c r="AL1469" t="s">
        <v>4964</v>
      </c>
      <c r="AM1469">
        <v>200000</v>
      </c>
      <c r="AN1469" t="s">
        <v>76</v>
      </c>
      <c r="AO1469">
        <v>1</v>
      </c>
      <c r="AP1469">
        <v>0</v>
      </c>
      <c r="AQ1469">
        <v>16666.666666666668</v>
      </c>
      <c r="AR1469" t="s">
        <v>9</v>
      </c>
      <c r="AS1469" t="s">
        <v>78</v>
      </c>
      <c r="AX1469" t="s">
        <v>79</v>
      </c>
      <c r="AY1469" t="s">
        <v>137</v>
      </c>
      <c r="AZ1469">
        <v>0</v>
      </c>
      <c r="BA1469" t="s">
        <v>137</v>
      </c>
      <c r="BB1469">
        <v>0</v>
      </c>
      <c r="BE1469">
        <v>0</v>
      </c>
    </row>
    <row r="1470" spans="1:58" ht="12.75">
      <c r="A1470" s="2" t="str">
        <f>HYPERLINK("https://ibp.a2mac1.com/costing(costing:projects/details/8191/part/5388883)","Lower Shell")</f>
        <v>Lower Shell</v>
      </c>
      <c r="B1470">
        <v>5388883</v>
      </c>
      <c r="C1470">
        <v>5388564</v>
      </c>
      <c r="E1470">
        <v>0.24588371841100296</v>
      </c>
      <c r="F1470">
        <v>0</v>
      </c>
      <c r="G1470">
        <v>0</v>
      </c>
      <c r="H1470">
        <v>0.00050701753992280635</v>
      </c>
      <c r="I1470" t="s">
        <v>137</v>
      </c>
      <c r="J1470">
        <v>0.0086143756783001093</v>
      </c>
      <c r="K1470">
        <v>0.25500511162922584</v>
      </c>
      <c r="L1470">
        <v>0.0094109981184295321</v>
      </c>
      <c r="M1470">
        <v>0.056465988710577196</v>
      </c>
      <c r="N1470">
        <v>0.31147110033980308</v>
      </c>
      <c r="O1470" t="s">
        <v>90</v>
      </c>
      <c r="P1470">
        <v>0</v>
      </c>
      <c r="Q1470" t="s">
        <v>90</v>
      </c>
      <c r="R1470">
        <v>0</v>
      </c>
      <c r="S1470" t="s">
        <v>90</v>
      </c>
      <c r="T1470">
        <v>0</v>
      </c>
      <c r="U1470" t="s">
        <v>90</v>
      </c>
      <c r="V1470">
        <v>0</v>
      </c>
      <c r="W1470" t="s">
        <v>90</v>
      </c>
      <c r="X1470">
        <v>0</v>
      </c>
      <c r="Y1470">
        <v>0.31147110033980308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144</v>
      </c>
      <c r="AF1470">
        <v>243</v>
      </c>
      <c r="AG1470">
        <v>63</v>
      </c>
      <c r="AI1470">
        <v>0.10</v>
      </c>
      <c r="AJ1470" t="s">
        <v>685</v>
      </c>
      <c r="AK1470" t="s">
        <v>4599</v>
      </c>
      <c r="AL1470" t="s">
        <v>4964</v>
      </c>
      <c r="AM1470">
        <v>200000</v>
      </c>
      <c r="AN1470" t="s">
        <v>76</v>
      </c>
      <c r="AO1470">
        <v>1</v>
      </c>
      <c r="AP1470">
        <v>0</v>
      </c>
      <c r="AQ1470">
        <v>16666.666666666668</v>
      </c>
      <c r="AR1470" t="s">
        <v>9</v>
      </c>
      <c r="AS1470" t="s">
        <v>78</v>
      </c>
      <c r="AX1470" t="s">
        <v>79</v>
      </c>
      <c r="AY1470" t="s">
        <v>137</v>
      </c>
      <c r="AZ1470">
        <v>0</v>
      </c>
      <c r="BA1470" t="s">
        <v>137</v>
      </c>
      <c r="BB1470">
        <v>0</v>
      </c>
      <c r="BE1470">
        <v>0</v>
      </c>
    </row>
    <row r="1471" spans="1:58" ht="12.75">
      <c r="A1471" s="2" t="str">
        <f>HYPERLINK("https://ibp.a2mac1.com/costing(costing:projects/details/8191/part/5388884)","Support Cover")</f>
        <v>Support Cover</v>
      </c>
      <c r="B1471">
        <v>5388884</v>
      </c>
      <c r="C1471">
        <v>5388564</v>
      </c>
      <c r="E1471">
        <v>0.23850720685867285</v>
      </c>
      <c r="F1471">
        <v>0</v>
      </c>
      <c r="G1471">
        <v>0</v>
      </c>
      <c r="H1471">
        <v>0.0004918070137251222</v>
      </c>
      <c r="I1471" t="s">
        <v>137</v>
      </c>
      <c r="J1471">
        <v>0.0083559444079511058</v>
      </c>
      <c r="K1471">
        <v>0.24735495828034909</v>
      </c>
      <c r="L1471">
        <v>0.020454220213445343</v>
      </c>
      <c r="M1471">
        <v>0.12272532128067207</v>
      </c>
      <c r="N1471">
        <v>0.37008027956102113</v>
      </c>
      <c r="O1471" t="s">
        <v>90</v>
      </c>
      <c r="P1471">
        <v>0</v>
      </c>
      <c r="Q1471" t="s">
        <v>90</v>
      </c>
      <c r="R1471">
        <v>0</v>
      </c>
      <c r="S1471" t="s">
        <v>90</v>
      </c>
      <c r="T1471">
        <v>0</v>
      </c>
      <c r="U1471" t="s">
        <v>90</v>
      </c>
      <c r="V1471">
        <v>0</v>
      </c>
      <c r="W1471" t="s">
        <v>90</v>
      </c>
      <c r="X1471">
        <v>0</v>
      </c>
      <c r="Y1471">
        <v>0.37008027956102113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124</v>
      </c>
      <c r="AF1471">
        <v>135</v>
      </c>
      <c r="AG1471">
        <v>76</v>
      </c>
      <c r="AI1471">
        <v>0.097000000000000003</v>
      </c>
      <c r="AJ1471" t="s">
        <v>4932</v>
      </c>
      <c r="AK1471" t="s">
        <v>4599</v>
      </c>
      <c r="AL1471" t="s">
        <v>4964</v>
      </c>
      <c r="AM1471">
        <v>200000</v>
      </c>
      <c r="AN1471" t="s">
        <v>76</v>
      </c>
      <c r="AO1471">
        <v>1</v>
      </c>
      <c r="AP1471">
        <v>0</v>
      </c>
      <c r="AQ1471">
        <v>16666.666666666668</v>
      </c>
      <c r="AR1471" t="s">
        <v>9</v>
      </c>
      <c r="AS1471" t="s">
        <v>78</v>
      </c>
      <c r="AX1471" t="s">
        <v>79</v>
      </c>
      <c r="AY1471" t="s">
        <v>137</v>
      </c>
      <c r="AZ1471">
        <v>0</v>
      </c>
      <c r="BA1471" t="s">
        <v>137</v>
      </c>
      <c r="BB1471">
        <v>0</v>
      </c>
      <c r="BE1471">
        <v>0</v>
      </c>
    </row>
    <row r="1472" spans="1:58" ht="12.75">
      <c r="A1472" s="2" t="str">
        <f>HYPERLINK("https://ibp.a2mac1.com/costing(costing:projects/details/8191/part/5388885)","Support Seal")</f>
        <v>Support Seal</v>
      </c>
      <c r="B1472">
        <v>5388885</v>
      </c>
      <c r="C1472">
        <v>5388564</v>
      </c>
      <c r="E1472">
        <v>0.0449586165</v>
      </c>
      <c r="F1472">
        <v>0</v>
      </c>
      <c r="G1472">
        <v>0</v>
      </c>
      <c r="H1472">
        <v>0.00022806075136842105</v>
      </c>
      <c r="I1472" t="s">
        <v>137</v>
      </c>
      <c r="J1472">
        <v>0.0015774953157894737</v>
      </c>
      <c r="K1472">
        <v>0.046764172567157897</v>
      </c>
      <c r="L1472">
        <v>0.0015782573654511507</v>
      </c>
      <c r="M1472">
        <v>0.0094695441927069041</v>
      </c>
      <c r="N1472">
        <v>0.056233716759864799</v>
      </c>
      <c r="O1472" t="s">
        <v>90</v>
      </c>
      <c r="P1472">
        <v>0</v>
      </c>
      <c r="Q1472" t="s">
        <v>90</v>
      </c>
      <c r="R1472">
        <v>0</v>
      </c>
      <c r="S1472" t="s">
        <v>90</v>
      </c>
      <c r="T1472">
        <v>0</v>
      </c>
      <c r="U1472" t="s">
        <v>90</v>
      </c>
      <c r="V1472">
        <v>0</v>
      </c>
      <c r="W1472" t="s">
        <v>90</v>
      </c>
      <c r="X1472">
        <v>0</v>
      </c>
      <c r="Y1472">
        <v>0.056233716759864799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119</v>
      </c>
      <c r="AF1472">
        <v>139</v>
      </c>
      <c r="AG1472">
        <v>37</v>
      </c>
      <c r="AI1472">
        <v>0.034000000000000002</v>
      </c>
      <c r="AJ1472" t="s">
        <v>685</v>
      </c>
      <c r="AK1472" t="s">
        <v>4599</v>
      </c>
      <c r="AL1472" t="s">
        <v>4980</v>
      </c>
      <c r="AM1472">
        <v>200000</v>
      </c>
      <c r="AN1472" t="s">
        <v>76</v>
      </c>
      <c r="AO1472">
        <v>1</v>
      </c>
      <c r="AP1472">
        <v>0</v>
      </c>
      <c r="AQ1472">
        <v>16666.666666666668</v>
      </c>
      <c r="AR1472" t="s">
        <v>9</v>
      </c>
      <c r="AS1472" t="s">
        <v>78</v>
      </c>
      <c r="AX1472" t="s">
        <v>79</v>
      </c>
      <c r="AY1472" t="s">
        <v>137</v>
      </c>
      <c r="AZ1472">
        <v>0</v>
      </c>
      <c r="BA1472" t="s">
        <v>137</v>
      </c>
      <c r="BB1472">
        <v>0</v>
      </c>
      <c r="BE1472">
        <v>0</v>
      </c>
    </row>
    <row r="1473" spans="1:58" ht="12.75">
      <c r="A1473" s="2" t="str">
        <f>HYPERLINK("https://ibp.a2mac1.com/costing(costing:projects/details/8191/part/5388886)","Seal Cover")</f>
        <v>Seal Cover</v>
      </c>
      <c r="B1473">
        <v>5388886</v>
      </c>
      <c r="C1473">
        <v>5388564</v>
      </c>
      <c r="E1473">
        <v>0.019834683749999998</v>
      </c>
      <c r="F1473">
        <v>0</v>
      </c>
      <c r="G1473">
        <v>0</v>
      </c>
      <c r="H1473">
        <v>0.00010061503736842106</v>
      </c>
      <c r="I1473" t="s">
        <v>137</v>
      </c>
      <c r="J1473">
        <v>0.00069595381578947365</v>
      </c>
      <c r="K1473">
        <v>0.020631252603157894</v>
      </c>
      <c r="L1473">
        <v>0.00069627330761051049</v>
      </c>
      <c r="M1473">
        <v>0.0041776398456630634</v>
      </c>
      <c r="N1473">
        <v>0.024808892448820959</v>
      </c>
      <c r="O1473" t="s">
        <v>90</v>
      </c>
      <c r="P1473">
        <v>0</v>
      </c>
      <c r="Q1473" t="s">
        <v>90</v>
      </c>
      <c r="R1473">
        <v>0</v>
      </c>
      <c r="S1473" t="s">
        <v>90</v>
      </c>
      <c r="T1473">
        <v>0</v>
      </c>
      <c r="U1473" t="s">
        <v>90</v>
      </c>
      <c r="V1473">
        <v>0</v>
      </c>
      <c r="W1473" t="s">
        <v>90</v>
      </c>
      <c r="X1473">
        <v>0</v>
      </c>
      <c r="Y1473">
        <v>0.024808892448820959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16</v>
      </c>
      <c r="AF1473">
        <v>153</v>
      </c>
      <c r="AG1473">
        <v>62</v>
      </c>
      <c r="AI1473">
        <v>0.015</v>
      </c>
      <c r="AJ1473" t="s">
        <v>685</v>
      </c>
      <c r="AK1473" t="s">
        <v>4599</v>
      </c>
      <c r="AL1473" t="s">
        <v>4980</v>
      </c>
      <c r="AM1473">
        <v>200000</v>
      </c>
      <c r="AN1473" t="s">
        <v>76</v>
      </c>
      <c r="AO1473">
        <v>1</v>
      </c>
      <c r="AP1473">
        <v>0</v>
      </c>
      <c r="AQ1473">
        <v>16666.666666666668</v>
      </c>
      <c r="AR1473" t="s">
        <v>9</v>
      </c>
      <c r="AS1473" t="s">
        <v>78</v>
      </c>
      <c r="AX1473" t="s">
        <v>79</v>
      </c>
      <c r="AY1473" t="s">
        <v>137</v>
      </c>
      <c r="AZ1473">
        <v>0</v>
      </c>
      <c r="BA1473" t="s">
        <v>137</v>
      </c>
      <c r="BB1473">
        <v>0</v>
      </c>
      <c r="BE1473">
        <v>0</v>
      </c>
    </row>
    <row r="1474" spans="1:58" ht="12.75">
      <c r="A1474" s="2" t="str">
        <f>HYPERLINK("https://ibp.a2mac1.com/costing(costing:projects/details/8191/part/5388887)","Turn Signal")</f>
        <v>Turn Signal</v>
      </c>
      <c r="B1474">
        <v>5388887</v>
      </c>
      <c r="C1474">
        <v>5388564</v>
      </c>
      <c r="E1474">
        <v>1.15343</v>
      </c>
      <c r="F1474">
        <v>0</v>
      </c>
      <c r="G1474">
        <v>0</v>
      </c>
      <c r="H1474">
        <v>0</v>
      </c>
      <c r="I1474" t="s">
        <v>74</v>
      </c>
      <c r="J1474">
        <v>0</v>
      </c>
      <c r="K1474">
        <v>1.15343</v>
      </c>
      <c r="L1474">
        <v>0</v>
      </c>
      <c r="M1474">
        <v>0</v>
      </c>
      <c r="N1474">
        <v>1.15343</v>
      </c>
      <c r="O1474" t="s">
        <v>74</v>
      </c>
      <c r="P1474">
        <v>0</v>
      </c>
      <c r="Q1474" t="s">
        <v>74</v>
      </c>
      <c r="R1474">
        <v>0</v>
      </c>
      <c r="S1474" t="s">
        <v>74</v>
      </c>
      <c r="T1474">
        <v>0</v>
      </c>
      <c r="U1474" t="s">
        <v>74</v>
      </c>
      <c r="V1474">
        <v>0</v>
      </c>
      <c r="W1474" t="s">
        <v>74</v>
      </c>
      <c r="X1474">
        <v>0</v>
      </c>
      <c r="Y1474">
        <v>1.15343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81</v>
      </c>
      <c r="AF1474">
        <v>306</v>
      </c>
      <c r="AG1474">
        <v>60</v>
      </c>
      <c r="AI1474">
        <v>0.109</v>
      </c>
      <c r="AJ1474" t="s">
        <v>685</v>
      </c>
      <c r="AK1474" t="s">
        <v>218</v>
      </c>
      <c r="AL1474" t="s">
        <v>4985</v>
      </c>
      <c r="AM1474">
        <v>200000</v>
      </c>
      <c r="AN1474" t="s">
        <v>76</v>
      </c>
      <c r="AO1474">
        <v>1</v>
      </c>
      <c r="AP1474">
        <v>0</v>
      </c>
      <c r="AQ1474">
        <v>16666.666666666668</v>
      </c>
      <c r="AR1474" t="s">
        <v>9</v>
      </c>
      <c r="AS1474" t="s">
        <v>78</v>
      </c>
      <c r="AX1474" t="s">
        <v>79</v>
      </c>
      <c r="AY1474" t="s">
        <v>74</v>
      </c>
      <c r="AZ1474">
        <v>0</v>
      </c>
      <c r="BA1474" t="s">
        <v>74</v>
      </c>
      <c r="BB1474">
        <v>0</v>
      </c>
      <c r="BD1474">
        <v>1.15343</v>
      </c>
      <c r="BE1474">
        <v>0</v>
      </c>
    </row>
    <row r="1475" spans="1:58" ht="12.75">
      <c r="A1475" s="2" t="str">
        <f>HYPERLINK("https://ibp.a2mac1.com/costing(costing:projects/details/8191/part/5388888)","Welcome Light")</f>
        <v>Welcome Light</v>
      </c>
      <c r="B1475">
        <v>5388888</v>
      </c>
      <c r="C1475">
        <v>5388564</v>
      </c>
      <c r="E1475">
        <v>2.03003</v>
      </c>
      <c r="F1475">
        <v>0</v>
      </c>
      <c r="G1475">
        <v>0</v>
      </c>
      <c r="H1475">
        <v>0</v>
      </c>
      <c r="I1475" t="s">
        <v>74</v>
      </c>
      <c r="J1475">
        <v>0</v>
      </c>
      <c r="K1475">
        <v>2.03003</v>
      </c>
      <c r="L1475">
        <v>0</v>
      </c>
      <c r="M1475">
        <v>0</v>
      </c>
      <c r="N1475">
        <v>2.03003</v>
      </c>
      <c r="O1475" t="s">
        <v>74</v>
      </c>
      <c r="P1475">
        <v>0</v>
      </c>
      <c r="Q1475" t="s">
        <v>74</v>
      </c>
      <c r="R1475">
        <v>0</v>
      </c>
      <c r="S1475" t="s">
        <v>74</v>
      </c>
      <c r="T1475">
        <v>0</v>
      </c>
      <c r="U1475" t="s">
        <v>74</v>
      </c>
      <c r="V1475">
        <v>0</v>
      </c>
      <c r="W1475" t="s">
        <v>74</v>
      </c>
      <c r="X1475">
        <v>0</v>
      </c>
      <c r="Y1475">
        <v>2.03003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26</v>
      </c>
      <c r="AF1475">
        <v>45</v>
      </c>
      <c r="AG1475">
        <v>49</v>
      </c>
      <c r="AI1475">
        <v>0.017000000000000001</v>
      </c>
      <c r="AJ1475" t="s">
        <v>4987</v>
      </c>
      <c r="AK1475" t="s">
        <v>218</v>
      </c>
      <c r="AL1475" t="s">
        <v>4988</v>
      </c>
      <c r="AM1475">
        <v>200000</v>
      </c>
      <c r="AN1475" t="s">
        <v>76</v>
      </c>
      <c r="AO1475">
        <v>1</v>
      </c>
      <c r="AP1475">
        <v>0</v>
      </c>
      <c r="AQ1475">
        <v>16666.666666666668</v>
      </c>
      <c r="AR1475" t="s">
        <v>9</v>
      </c>
      <c r="AS1475" t="s">
        <v>78</v>
      </c>
      <c r="AX1475" t="s">
        <v>79</v>
      </c>
      <c r="AY1475" t="s">
        <v>74</v>
      </c>
      <c r="AZ1475">
        <v>0</v>
      </c>
      <c r="BA1475" t="s">
        <v>74</v>
      </c>
      <c r="BB1475">
        <v>0</v>
      </c>
      <c r="BD1475">
        <v>2.03003</v>
      </c>
      <c r="BE1475">
        <v>0</v>
      </c>
    </row>
    <row r="1476" spans="1:58" ht="12.75">
      <c r="A1476" s="2" t="str">
        <f>HYPERLINK("https://ibp.a2mac1.com/costing(costing:projects/details/8191/part/5388889)","Folding Motor")</f>
        <v>Folding Motor</v>
      </c>
      <c r="B1476">
        <v>5388889</v>
      </c>
      <c r="C1476">
        <v>5388564</v>
      </c>
      <c r="E1476">
        <v>1.9377500000000001</v>
      </c>
      <c r="F1476">
        <v>0</v>
      </c>
      <c r="G1476">
        <v>0</v>
      </c>
      <c r="H1476">
        <v>0</v>
      </c>
      <c r="I1476" t="s">
        <v>74</v>
      </c>
      <c r="J1476">
        <v>0</v>
      </c>
      <c r="K1476">
        <v>1.9377500000000001</v>
      </c>
      <c r="L1476">
        <v>0</v>
      </c>
      <c r="M1476">
        <v>0</v>
      </c>
      <c r="N1476">
        <v>1.9377500000000001</v>
      </c>
      <c r="O1476" t="s">
        <v>74</v>
      </c>
      <c r="P1476">
        <v>0</v>
      </c>
      <c r="Q1476" t="s">
        <v>74</v>
      </c>
      <c r="R1476">
        <v>0</v>
      </c>
      <c r="S1476" t="s">
        <v>74</v>
      </c>
      <c r="T1476">
        <v>0</v>
      </c>
      <c r="U1476" t="s">
        <v>74</v>
      </c>
      <c r="V1476">
        <v>0</v>
      </c>
      <c r="W1476" t="s">
        <v>74</v>
      </c>
      <c r="X1476">
        <v>0</v>
      </c>
      <c r="Y1476">
        <v>1.9377500000000001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47</v>
      </c>
      <c r="AF1476">
        <v>77</v>
      </c>
      <c r="AG1476">
        <v>60</v>
      </c>
      <c r="AI1476">
        <v>0.17299999999999999</v>
      </c>
      <c r="AK1476" t="s">
        <v>218</v>
      </c>
      <c r="AL1476" t="s">
        <v>4990</v>
      </c>
      <c r="AM1476">
        <v>200000</v>
      </c>
      <c r="AN1476" t="s">
        <v>76</v>
      </c>
      <c r="AO1476">
        <v>1</v>
      </c>
      <c r="AP1476">
        <v>0</v>
      </c>
      <c r="AQ1476">
        <v>16666.666666666668</v>
      </c>
      <c r="AR1476" t="s">
        <v>9</v>
      </c>
      <c r="AS1476" t="s">
        <v>78</v>
      </c>
      <c r="AX1476" t="s">
        <v>79</v>
      </c>
      <c r="AY1476" t="s">
        <v>74</v>
      </c>
      <c r="AZ1476">
        <v>0</v>
      </c>
      <c r="BA1476" t="s">
        <v>74</v>
      </c>
      <c r="BB1476">
        <v>0</v>
      </c>
      <c r="BD1476">
        <v>1.9377500000000001</v>
      </c>
      <c r="BE1476">
        <v>0</v>
      </c>
    </row>
    <row r="1477" spans="1:58" ht="12.75">
      <c r="A1477" s="2" t="str">
        <f>HYPERLINK("https://ibp.a2mac1.com/costing(costing:projects/details/8191/part/5388890)","Folding Motor Support")</f>
        <v>Folding Motor Support</v>
      </c>
      <c r="B1477">
        <v>5388890</v>
      </c>
      <c r="C1477">
        <v>5388564</v>
      </c>
      <c r="E1477">
        <v>0.071102780000000004</v>
      </c>
      <c r="F1477">
        <v>0</v>
      </c>
      <c r="G1477">
        <v>0</v>
      </c>
      <c r="H1477">
        <v>0.0002189965624</v>
      </c>
      <c r="I1477" t="s">
        <v>137</v>
      </c>
      <c r="J1477">
        <v>0.0024885973</v>
      </c>
      <c r="K1477">
        <v>0.073810373862399997</v>
      </c>
      <c r="L1477">
        <v>0.022848247668198859</v>
      </c>
      <c r="M1477">
        <v>0.13708948600919316</v>
      </c>
      <c r="N1477">
        <v>0.21089985987159315</v>
      </c>
      <c r="O1477" t="s">
        <v>90</v>
      </c>
      <c r="P1477">
        <v>0</v>
      </c>
      <c r="Q1477" t="s">
        <v>90</v>
      </c>
      <c r="R1477">
        <v>0</v>
      </c>
      <c r="S1477" t="s">
        <v>90</v>
      </c>
      <c r="T1477">
        <v>0</v>
      </c>
      <c r="U1477" t="s">
        <v>90</v>
      </c>
      <c r="V1477">
        <v>0</v>
      </c>
      <c r="W1477" t="s">
        <v>90</v>
      </c>
      <c r="X1477">
        <v>0</v>
      </c>
      <c r="Y1477">
        <v>0.21089985987159315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46</v>
      </c>
      <c r="AF1477">
        <v>46</v>
      </c>
      <c r="AG1477">
        <v>11</v>
      </c>
      <c r="AI1477">
        <v>0.029000000000000001</v>
      </c>
      <c r="AJ1477" t="s">
        <v>1325</v>
      </c>
      <c r="AK1477" t="s">
        <v>4599</v>
      </c>
      <c r="AL1477" t="s">
        <v>1629</v>
      </c>
      <c r="AM1477">
        <v>200000</v>
      </c>
      <c r="AN1477" t="s">
        <v>76</v>
      </c>
      <c r="AO1477">
        <v>1</v>
      </c>
      <c r="AP1477">
        <v>0</v>
      </c>
      <c r="AQ1477">
        <v>16666.666666666668</v>
      </c>
      <c r="AR1477" t="s">
        <v>9</v>
      </c>
      <c r="AS1477" t="s">
        <v>78</v>
      </c>
      <c r="AX1477" t="s">
        <v>79</v>
      </c>
      <c r="AY1477" t="s">
        <v>137</v>
      </c>
      <c r="AZ1477">
        <v>0</v>
      </c>
      <c r="BA1477" t="s">
        <v>137</v>
      </c>
      <c r="BB1477">
        <v>0</v>
      </c>
      <c r="BE1477">
        <v>0</v>
      </c>
    </row>
    <row r="1478" spans="1:58" ht="12.75">
      <c r="A1478" s="2" t="str">
        <f>HYPERLINK("https://ibp.a2mac1.com/costing(costing:projects/details/8191/part/5388891)","Blind Spot Monitor Light")</f>
        <v>Blind Spot Monitor Light</v>
      </c>
      <c r="B1478">
        <v>5388891</v>
      </c>
      <c r="C1478">
        <v>5388564</v>
      </c>
      <c r="E1478">
        <v>0.14763999999999999</v>
      </c>
      <c r="F1478">
        <v>0</v>
      </c>
      <c r="G1478">
        <v>0</v>
      </c>
      <c r="H1478">
        <v>0</v>
      </c>
      <c r="I1478" t="s">
        <v>74</v>
      </c>
      <c r="J1478">
        <v>0</v>
      </c>
      <c r="K1478">
        <v>0.14763999999999999</v>
      </c>
      <c r="L1478">
        <v>0</v>
      </c>
      <c r="M1478">
        <v>0</v>
      </c>
      <c r="N1478">
        <v>0.14763999999999999</v>
      </c>
      <c r="O1478" t="s">
        <v>74</v>
      </c>
      <c r="P1478">
        <v>0</v>
      </c>
      <c r="Q1478" t="s">
        <v>74</v>
      </c>
      <c r="R1478">
        <v>0</v>
      </c>
      <c r="S1478" t="s">
        <v>74</v>
      </c>
      <c r="T1478">
        <v>0</v>
      </c>
      <c r="U1478" t="s">
        <v>74</v>
      </c>
      <c r="V1478">
        <v>0</v>
      </c>
      <c r="W1478" t="s">
        <v>74</v>
      </c>
      <c r="X1478">
        <v>0</v>
      </c>
      <c r="Y1478">
        <v>0.14763999999999999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56</v>
      </c>
      <c r="AF1478">
        <v>28</v>
      </c>
      <c r="AG1478">
        <v>46</v>
      </c>
      <c r="AI1478">
        <v>0.017000000000000001</v>
      </c>
      <c r="AJ1478" t="s">
        <v>685</v>
      </c>
      <c r="AK1478" t="s">
        <v>218</v>
      </c>
      <c r="AL1478" t="s">
        <v>4998</v>
      </c>
      <c r="AM1478">
        <v>200000</v>
      </c>
      <c r="AN1478" t="s">
        <v>76</v>
      </c>
      <c r="AO1478">
        <v>1</v>
      </c>
      <c r="AP1478">
        <v>0</v>
      </c>
      <c r="AQ1478">
        <v>16666.666666666668</v>
      </c>
      <c r="AR1478" t="s">
        <v>9</v>
      </c>
      <c r="AS1478" t="s">
        <v>78</v>
      </c>
      <c r="AX1478" t="s">
        <v>79</v>
      </c>
      <c r="AY1478" t="s">
        <v>74</v>
      </c>
      <c r="AZ1478">
        <v>0</v>
      </c>
      <c r="BA1478" t="s">
        <v>74</v>
      </c>
      <c r="BB1478">
        <v>0</v>
      </c>
      <c r="BD1478">
        <v>0.14763999999999999</v>
      </c>
      <c r="BE1478">
        <v>0</v>
      </c>
    </row>
    <row r="1479" spans="1:58" ht="12.75">
      <c r="A1479" s="2" t="str">
        <f>HYPERLINK("https://ibp.a2mac1.com/costing(costing:projects/details/8191/part/5388892)","Shell")</f>
        <v>Shell</v>
      </c>
      <c r="B1479">
        <v>5388892</v>
      </c>
      <c r="C1479">
        <v>5388564</v>
      </c>
      <c r="D1479" t="s">
        <v>5010</v>
      </c>
      <c r="E1479">
        <v>0.97025940169688996</v>
      </c>
      <c r="F1479">
        <v>0</v>
      </c>
      <c r="G1479">
        <v>0</v>
      </c>
      <c r="H1479">
        <v>0.0019403327349821976</v>
      </c>
      <c r="I1479" t="s">
        <v>137</v>
      </c>
      <c r="J1479">
        <v>0.033974735624797699</v>
      </c>
      <c r="K1479">
        <v>1.0061744700566699</v>
      </c>
      <c r="L1479">
        <v>0.12480884401923446</v>
      </c>
      <c r="M1479">
        <v>0.74885306411540675</v>
      </c>
      <c r="N1479">
        <v>1.7550275341720767</v>
      </c>
      <c r="O1479" t="s">
        <v>90</v>
      </c>
      <c r="P1479">
        <v>0</v>
      </c>
      <c r="Q1479" t="s">
        <v>90</v>
      </c>
      <c r="R1479">
        <v>0</v>
      </c>
      <c r="S1479" t="s">
        <v>90</v>
      </c>
      <c r="T1479">
        <v>0</v>
      </c>
      <c r="U1479" t="s">
        <v>90</v>
      </c>
      <c r="V1479">
        <v>0</v>
      </c>
      <c r="W1479" t="s">
        <v>90</v>
      </c>
      <c r="X1479">
        <v>0</v>
      </c>
      <c r="Y1479">
        <v>1.7550275341720767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159</v>
      </c>
      <c r="AF1479">
        <v>310</v>
      </c>
      <c r="AG1479">
        <v>130</v>
      </c>
      <c r="AH1479">
        <v>0</v>
      </c>
      <c r="AI1479">
        <v>0.17699999999999999</v>
      </c>
      <c r="AK1479" t="s">
        <v>4599</v>
      </c>
      <c r="AM1479">
        <v>200000</v>
      </c>
      <c r="AN1479" t="s">
        <v>92</v>
      </c>
      <c r="AO1479">
        <v>1</v>
      </c>
      <c r="AP1479">
        <v>0</v>
      </c>
      <c r="AQ1479">
        <v>16666.666666666668</v>
      </c>
      <c r="AR1479" t="s">
        <v>9</v>
      </c>
      <c r="AS1479" t="s">
        <v>78</v>
      </c>
      <c r="AX1479" t="s">
        <v>79</v>
      </c>
      <c r="AY1479" t="s">
        <v>137</v>
      </c>
      <c r="AZ1479">
        <v>0</v>
      </c>
      <c r="BA1479" t="s">
        <v>137</v>
      </c>
      <c r="BB1479">
        <v>0</v>
      </c>
      <c r="BE1479">
        <v>0</v>
      </c>
    </row>
    <row r="1480" spans="1:58" ht="12.75">
      <c r="A1480" s="2" t="str">
        <f>HYPERLINK("https://ibp.a2mac1.com/costing(costing:projects/details/8191/part/5388565)","Electric Windows Lift Control")</f>
        <v>Electric Windows Lift Control</v>
      </c>
      <c r="B1480">
        <v>5388565</v>
      </c>
      <c r="C1480">
        <v>5388237</v>
      </c>
      <c r="E1480">
        <v>4.4291499999999999</v>
      </c>
      <c r="F1480">
        <v>0</v>
      </c>
      <c r="G1480">
        <v>0</v>
      </c>
      <c r="H1480">
        <v>0</v>
      </c>
      <c r="I1480" t="s">
        <v>74</v>
      </c>
      <c r="J1480">
        <v>0</v>
      </c>
      <c r="K1480">
        <v>4.4291499999999999</v>
      </c>
      <c r="L1480">
        <v>0</v>
      </c>
      <c r="M1480">
        <v>0</v>
      </c>
      <c r="N1480">
        <v>4.4291499999999999</v>
      </c>
      <c r="O1480" t="s">
        <v>74</v>
      </c>
      <c r="P1480">
        <v>0</v>
      </c>
      <c r="Q1480" t="s">
        <v>74</v>
      </c>
      <c r="R1480">
        <v>0</v>
      </c>
      <c r="S1480" t="s">
        <v>74</v>
      </c>
      <c r="T1480">
        <v>0</v>
      </c>
      <c r="U1480" t="s">
        <v>74</v>
      </c>
      <c r="V1480">
        <v>0</v>
      </c>
      <c r="W1480" t="s">
        <v>74</v>
      </c>
      <c r="X1480">
        <v>0</v>
      </c>
      <c r="Y1480">
        <v>4.4291499999999999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56</v>
      </c>
      <c r="AF1480">
        <v>47</v>
      </c>
      <c r="AG1480">
        <v>127</v>
      </c>
      <c r="AI1480">
        <v>0.104</v>
      </c>
      <c r="AJ1480" t="s">
        <v>3677</v>
      </c>
      <c r="AK1480" t="s">
        <v>218</v>
      </c>
      <c r="AL1480" t="s">
        <v>5018</v>
      </c>
      <c r="AM1480">
        <v>200000</v>
      </c>
      <c r="AN1480" t="s">
        <v>76</v>
      </c>
      <c r="AO1480">
        <v>1</v>
      </c>
      <c r="AP1480">
        <v>0</v>
      </c>
      <c r="AQ1480">
        <v>16666.666666666668</v>
      </c>
      <c r="AR1480" t="s">
        <v>9</v>
      </c>
      <c r="AS1480" t="s">
        <v>78</v>
      </c>
      <c r="AX1480" t="s">
        <v>79</v>
      </c>
      <c r="AY1480" t="s">
        <v>74</v>
      </c>
      <c r="AZ1480">
        <v>0</v>
      </c>
      <c r="BA1480" t="s">
        <v>74</v>
      </c>
      <c r="BB1480">
        <v>0</v>
      </c>
      <c r="BD1480">
        <v>4.4291499999999999</v>
      </c>
      <c r="BE1480">
        <v>0</v>
      </c>
    </row>
    <row r="1481" spans="1:58" ht="12.75">
      <c r="A1481" s="2" t="str">
        <f>HYPERLINK("https://ibp.a2mac1.com/costing(costing:projects/details/8191/part/5388566)","Electric Windows Lift Control Support")</f>
        <v>Electric Windows Lift Control Support</v>
      </c>
      <c r="B1481">
        <v>5388566</v>
      </c>
      <c r="C1481">
        <v>5388237</v>
      </c>
      <c r="E1481">
        <v>0.42294082403009409</v>
      </c>
      <c r="F1481">
        <v>0</v>
      </c>
      <c r="G1481">
        <v>0</v>
      </c>
      <c r="H1481">
        <v>0.00087211311720209871</v>
      </c>
      <c r="I1481" t="s">
        <v>137</v>
      </c>
      <c r="J1481">
        <v>0.01481745587479294</v>
      </c>
      <c r="K1481">
        <v>0.43863039302208912</v>
      </c>
      <c r="L1481">
        <v>0.029247210033875124</v>
      </c>
      <c r="M1481">
        <v>0.17548326020325072</v>
      </c>
      <c r="N1481">
        <v>0.61411365322533984</v>
      </c>
      <c r="O1481" t="s">
        <v>138</v>
      </c>
      <c r="P1481">
        <v>0.026317823581325346</v>
      </c>
      <c r="Q1481" t="s">
        <v>138</v>
      </c>
      <c r="R1481">
        <v>0.010528995612195044</v>
      </c>
      <c r="S1481" t="s">
        <v>139</v>
      </c>
      <c r="T1481">
        <v>0.07369363838704078</v>
      </c>
      <c r="U1481" t="s">
        <v>216</v>
      </c>
      <c r="V1481">
        <v>0.0030705682661266993</v>
      </c>
      <c r="W1481" t="s">
        <v>217</v>
      </c>
      <c r="X1481">
        <v>0.012282273064506797</v>
      </c>
      <c r="Y1481">
        <v>0.74000695213653456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127</v>
      </c>
      <c r="AF1481">
        <v>75</v>
      </c>
      <c r="AG1481">
        <v>433</v>
      </c>
      <c r="AI1481">
        <v>0.18099999999999999</v>
      </c>
      <c r="AJ1481" t="s">
        <v>2797</v>
      </c>
      <c r="AK1481" t="s">
        <v>218</v>
      </c>
      <c r="AL1481" t="s">
        <v>1275</v>
      </c>
      <c r="AM1481">
        <v>200000</v>
      </c>
      <c r="AN1481" t="s">
        <v>76</v>
      </c>
      <c r="AO1481">
        <v>1</v>
      </c>
      <c r="AP1481">
        <v>0</v>
      </c>
      <c r="AQ1481">
        <v>16666.666666666668</v>
      </c>
      <c r="AR1481" t="s">
        <v>9</v>
      </c>
      <c r="AS1481" t="s">
        <v>78</v>
      </c>
      <c r="AX1481" t="s">
        <v>79</v>
      </c>
      <c r="AY1481" t="s">
        <v>137</v>
      </c>
      <c r="AZ1481">
        <v>0</v>
      </c>
      <c r="BA1481" t="s">
        <v>137</v>
      </c>
      <c r="BB1481">
        <v>0</v>
      </c>
      <c r="BE1481">
        <v>0</v>
      </c>
    </row>
    <row r="1482" spans="1:58" ht="12.75">
      <c r="A1482" s="2" t="str">
        <f>HYPERLINK("https://ibp.a2mac1.com/costing(costing:projects/details/8191/part/5388567)","Trunk Lid   Tailgate Opening Switch")</f>
        <v>Trunk Lid   Tailgate Opening Switch</v>
      </c>
      <c r="B1482">
        <v>5388567</v>
      </c>
      <c r="C1482">
        <v>5388237</v>
      </c>
      <c r="E1482">
        <v>0.55364000000000002</v>
      </c>
      <c r="F1482">
        <v>0</v>
      </c>
      <c r="G1482">
        <v>0</v>
      </c>
      <c r="H1482">
        <v>0</v>
      </c>
      <c r="I1482" t="s">
        <v>74</v>
      </c>
      <c r="J1482">
        <v>0</v>
      </c>
      <c r="K1482">
        <v>0.55364000000000002</v>
      </c>
      <c r="L1482">
        <v>0</v>
      </c>
      <c r="M1482">
        <v>0</v>
      </c>
      <c r="N1482">
        <v>0.55364000000000002</v>
      </c>
      <c r="O1482" t="s">
        <v>74</v>
      </c>
      <c r="P1482">
        <v>0</v>
      </c>
      <c r="Q1482" t="s">
        <v>74</v>
      </c>
      <c r="R1482">
        <v>0</v>
      </c>
      <c r="S1482" t="s">
        <v>74</v>
      </c>
      <c r="T1482">
        <v>0</v>
      </c>
      <c r="U1482" t="s">
        <v>74</v>
      </c>
      <c r="V1482">
        <v>0</v>
      </c>
      <c r="W1482" t="s">
        <v>74</v>
      </c>
      <c r="X1482">
        <v>0</v>
      </c>
      <c r="Y1482">
        <v>0.55364000000000002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44</v>
      </c>
      <c r="AF1482">
        <v>22</v>
      </c>
      <c r="AG1482">
        <v>39</v>
      </c>
      <c r="AI1482">
        <v>0.01</v>
      </c>
      <c r="AJ1482" t="s">
        <v>685</v>
      </c>
      <c r="AK1482" t="s">
        <v>218</v>
      </c>
      <c r="AL1482" t="s">
        <v>1180</v>
      </c>
      <c r="AM1482">
        <v>200000</v>
      </c>
      <c r="AN1482" t="s">
        <v>76</v>
      </c>
      <c r="AO1482">
        <v>1</v>
      </c>
      <c r="AP1482">
        <v>0</v>
      </c>
      <c r="AQ1482">
        <v>16666.666666666668</v>
      </c>
      <c r="AR1482" t="s">
        <v>9</v>
      </c>
      <c r="AS1482" t="s">
        <v>78</v>
      </c>
      <c r="AX1482" t="s">
        <v>79</v>
      </c>
      <c r="AY1482" t="s">
        <v>74</v>
      </c>
      <c r="AZ1482">
        <v>0</v>
      </c>
      <c r="BA1482" t="s">
        <v>74</v>
      </c>
      <c r="BB1482">
        <v>0</v>
      </c>
      <c r="BD1482">
        <v>0.55364000000000002</v>
      </c>
      <c r="BE1482">
        <v>0</v>
      </c>
    </row>
    <row r="1483" spans="1:58" ht="12.75">
      <c r="A1483" s="2" t="str">
        <f>HYPERLINK("https://ibp.a2mac1.com/costing(costing:projects/details/8191/part/5388568)","Trunk Lid   Tailgate Opening Switch Support")</f>
        <v>Trunk Lid   Tailgate Opening Switch Support</v>
      </c>
      <c r="B1483">
        <v>5388568</v>
      </c>
      <c r="C1483">
        <v>5388237</v>
      </c>
      <c r="E1483">
        <v>0.083049999999999999</v>
      </c>
      <c r="F1483">
        <v>0</v>
      </c>
      <c r="G1483">
        <v>0</v>
      </c>
      <c r="H1483">
        <v>0</v>
      </c>
      <c r="I1483" t="s">
        <v>74</v>
      </c>
      <c r="J1483">
        <v>0</v>
      </c>
      <c r="K1483">
        <v>0.083049999999999999</v>
      </c>
      <c r="L1483">
        <v>0</v>
      </c>
      <c r="M1483">
        <v>0</v>
      </c>
      <c r="N1483">
        <v>0.083049999999999999</v>
      </c>
      <c r="O1483" t="s">
        <v>74</v>
      </c>
      <c r="P1483">
        <v>0</v>
      </c>
      <c r="Q1483" t="s">
        <v>74</v>
      </c>
      <c r="R1483">
        <v>0</v>
      </c>
      <c r="S1483" t="s">
        <v>74</v>
      </c>
      <c r="T1483">
        <v>0</v>
      </c>
      <c r="U1483" t="s">
        <v>74</v>
      </c>
      <c r="V1483">
        <v>0</v>
      </c>
      <c r="W1483" t="s">
        <v>74</v>
      </c>
      <c r="X1483">
        <v>0</v>
      </c>
      <c r="Y1483">
        <v>0.083049999999999999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33</v>
      </c>
      <c r="AF1483">
        <v>35</v>
      </c>
      <c r="AG1483">
        <v>62</v>
      </c>
      <c r="AI1483">
        <v>0.010999999999999999</v>
      </c>
      <c r="AJ1483" t="s">
        <v>685</v>
      </c>
      <c r="AK1483" t="s">
        <v>218</v>
      </c>
      <c r="AL1483" t="s">
        <v>1288</v>
      </c>
      <c r="AM1483">
        <v>200000</v>
      </c>
      <c r="AN1483" t="s">
        <v>76</v>
      </c>
      <c r="AO1483">
        <v>1</v>
      </c>
      <c r="AP1483">
        <v>0</v>
      </c>
      <c r="AQ1483">
        <v>16666.666666666668</v>
      </c>
      <c r="AR1483" t="s">
        <v>9</v>
      </c>
      <c r="AS1483" t="s">
        <v>78</v>
      </c>
      <c r="AX1483" t="s">
        <v>79</v>
      </c>
      <c r="AY1483" t="s">
        <v>74</v>
      </c>
      <c r="AZ1483">
        <v>0</v>
      </c>
      <c r="BA1483" t="s">
        <v>74</v>
      </c>
      <c r="BB1483">
        <v>0</v>
      </c>
      <c r="BD1483">
        <v>0.083049999999999999</v>
      </c>
      <c r="BE1483">
        <v>0</v>
      </c>
    </row>
    <row r="1484" spans="1:58" ht="12.75">
      <c r="A1484" s="2" t="str">
        <f>HYPERLINK("https://ibp.a2mac1.com/costing(costing:projects/details/8191/part/5388570)","Speaker")</f>
        <v>Speaker</v>
      </c>
      <c r="B1484">
        <v>5388570</v>
      </c>
      <c r="C1484">
        <v>5388238</v>
      </c>
      <c r="E1484">
        <v>4.9458900000000003</v>
      </c>
      <c r="F1484">
        <v>0</v>
      </c>
      <c r="G1484">
        <v>0</v>
      </c>
      <c r="H1484">
        <v>0</v>
      </c>
      <c r="I1484" t="s">
        <v>74</v>
      </c>
      <c r="J1484">
        <v>0</v>
      </c>
      <c r="K1484">
        <v>4.9458900000000003</v>
      </c>
      <c r="L1484">
        <v>0</v>
      </c>
      <c r="M1484">
        <v>0</v>
      </c>
      <c r="N1484">
        <v>4.9458900000000003</v>
      </c>
      <c r="O1484" t="s">
        <v>74</v>
      </c>
      <c r="P1484">
        <v>0</v>
      </c>
      <c r="Q1484" t="s">
        <v>74</v>
      </c>
      <c r="R1484">
        <v>0</v>
      </c>
      <c r="S1484" t="s">
        <v>74</v>
      </c>
      <c r="T1484">
        <v>0</v>
      </c>
      <c r="U1484" t="s">
        <v>74</v>
      </c>
      <c r="V1484">
        <v>0</v>
      </c>
      <c r="W1484" t="s">
        <v>74</v>
      </c>
      <c r="X1484">
        <v>0</v>
      </c>
      <c r="Y1484">
        <v>4.9458900000000003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73</v>
      </c>
      <c r="AF1484">
        <v>170</v>
      </c>
      <c r="AG1484">
        <v>170</v>
      </c>
      <c r="AI1484">
        <v>0.69199999999999995</v>
      </c>
      <c r="AJ1484" t="s">
        <v>3827</v>
      </c>
      <c r="AK1484" t="s">
        <v>218</v>
      </c>
      <c r="AL1484" t="s">
        <v>5030</v>
      </c>
      <c r="AM1484">
        <v>200000</v>
      </c>
      <c r="AN1484" t="s">
        <v>76</v>
      </c>
      <c r="AO1484">
        <v>1</v>
      </c>
      <c r="AP1484">
        <v>0</v>
      </c>
      <c r="AQ1484">
        <v>16666.666666666668</v>
      </c>
      <c r="AR1484" t="s">
        <v>9</v>
      </c>
      <c r="AS1484" t="s">
        <v>78</v>
      </c>
      <c r="AX1484" t="s">
        <v>79</v>
      </c>
      <c r="AY1484" t="s">
        <v>74</v>
      </c>
      <c r="AZ1484">
        <v>0</v>
      </c>
      <c r="BA1484" t="s">
        <v>74</v>
      </c>
      <c r="BB1484">
        <v>0</v>
      </c>
      <c r="BD1484">
        <v>4.9458900000000003</v>
      </c>
      <c r="BE1484">
        <v>0</v>
      </c>
    </row>
    <row r="1485" spans="1:58" ht="12.75">
      <c r="A1485" s="2" t="str">
        <f>HYPERLINK("https://ibp.a2mac1.com/costing(costing:projects/details/8191/part/5388228)","Hole Plug")</f>
        <v>Hole Plug</v>
      </c>
      <c r="B1485">
        <v>5388228</v>
      </c>
      <c r="C1485">
        <v>5388138</v>
      </c>
      <c r="E1485">
        <v>0.30</v>
      </c>
      <c r="F1485">
        <v>0</v>
      </c>
      <c r="G1485">
        <v>0</v>
      </c>
      <c r="H1485">
        <v>0</v>
      </c>
      <c r="I1485" t="s">
        <v>74</v>
      </c>
      <c r="J1485">
        <v>0</v>
      </c>
      <c r="K1485">
        <v>0.30</v>
      </c>
      <c r="L1485">
        <v>0</v>
      </c>
      <c r="M1485">
        <v>0</v>
      </c>
      <c r="N1485">
        <v>0.30</v>
      </c>
      <c r="O1485" t="s">
        <v>74</v>
      </c>
      <c r="P1485">
        <v>0</v>
      </c>
      <c r="Q1485" t="s">
        <v>74</v>
      </c>
      <c r="R1485">
        <v>0</v>
      </c>
      <c r="S1485" t="s">
        <v>74</v>
      </c>
      <c r="T1485">
        <v>0</v>
      </c>
      <c r="U1485" t="s">
        <v>74</v>
      </c>
      <c r="V1485">
        <v>0</v>
      </c>
      <c r="W1485" t="s">
        <v>74</v>
      </c>
      <c r="X1485">
        <v>0</v>
      </c>
      <c r="Y1485">
        <v>0.30</v>
      </c>
      <c r="Z1485">
        <v>0</v>
      </c>
      <c r="AA1485">
        <v>0</v>
      </c>
      <c r="AB1485">
        <v>0</v>
      </c>
      <c r="AC1485">
        <v>0</v>
      </c>
      <c r="AD1485">
        <v>0</v>
      </c>
      <c r="AI1485">
        <v>3.0000000000000001E-05</v>
      </c>
      <c r="AK1485" t="s">
        <v>218</v>
      </c>
      <c r="AL1485" t="s">
        <v>3752</v>
      </c>
      <c r="AM1485">
        <v>600000</v>
      </c>
      <c r="AN1485" t="s">
        <v>76</v>
      </c>
      <c r="AO1485">
        <v>3</v>
      </c>
      <c r="AP1485">
        <v>0</v>
      </c>
      <c r="AQ1485">
        <v>50000</v>
      </c>
      <c r="AR1485" t="s">
        <v>9</v>
      </c>
      <c r="AS1485" t="s">
        <v>78</v>
      </c>
      <c r="AX1485" t="s">
        <v>79</v>
      </c>
      <c r="AY1485" t="s">
        <v>74</v>
      </c>
      <c r="AZ1485">
        <v>0</v>
      </c>
      <c r="BA1485" t="s">
        <v>74</v>
      </c>
      <c r="BB1485">
        <v>0</v>
      </c>
      <c r="BD1485">
        <v>0.10</v>
      </c>
      <c r="BE1485">
        <v>0</v>
      </c>
    </row>
    <row r="1486" spans="1:58" ht="12.75">
      <c r="A1486" s="2" t="str">
        <f>HYPERLINK("https://ibp.a2mac1.com/costing(costing:projects/details/8191/part/5389223)","Part 01 single/front")</f>
        <v>Part 01 single/front</v>
      </c>
      <c r="B1486">
        <v>5389223</v>
      </c>
      <c r="C1486">
        <v>5388894</v>
      </c>
      <c r="E1486">
        <v>4.9031817272727274</v>
      </c>
      <c r="F1486">
        <v>0</v>
      </c>
      <c r="G1486">
        <v>0</v>
      </c>
      <c r="H1486">
        <v>0.005895154909090909</v>
      </c>
      <c r="I1486" t="s">
        <v>137</v>
      </c>
      <c r="J1486">
        <v>0.19839463636363636</v>
      </c>
      <c r="K1486">
        <v>5.1074715185454549</v>
      </c>
      <c r="L1486">
        <v>0.3199542277697916</v>
      </c>
      <c r="M1486">
        <v>1.9197253666187497</v>
      </c>
      <c r="N1486">
        <v>7.0271968851642042</v>
      </c>
      <c r="O1486" t="s">
        <v>90</v>
      </c>
      <c r="P1486">
        <v>0</v>
      </c>
      <c r="Q1486" t="s">
        <v>90</v>
      </c>
      <c r="R1486">
        <v>0</v>
      </c>
      <c r="S1486" t="s">
        <v>90</v>
      </c>
      <c r="T1486">
        <v>0</v>
      </c>
      <c r="U1486" t="s">
        <v>90</v>
      </c>
      <c r="V1486">
        <v>0</v>
      </c>
      <c r="W1486" t="s">
        <v>90</v>
      </c>
      <c r="X1486">
        <v>0</v>
      </c>
      <c r="Y1486">
        <v>7.0271968851642042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K1486" t="s">
        <v>4599</v>
      </c>
      <c r="AM1486">
        <v>200000</v>
      </c>
      <c r="AN1486" t="s">
        <v>92</v>
      </c>
      <c r="AO1486">
        <v>1</v>
      </c>
      <c r="AP1486">
        <v>0</v>
      </c>
      <c r="AQ1486">
        <v>16666.666666666668</v>
      </c>
      <c r="AR1486" t="s">
        <v>9</v>
      </c>
      <c r="AS1486" t="s">
        <v>78</v>
      </c>
      <c r="AV1486">
        <v>0</v>
      </c>
      <c r="AW1486">
        <v>0</v>
      </c>
      <c r="AX1486" t="s">
        <v>79</v>
      </c>
      <c r="AY1486" t="s">
        <v>137</v>
      </c>
      <c r="AZ1486">
        <v>0</v>
      </c>
      <c r="BA1486" t="s">
        <v>137</v>
      </c>
      <c r="BB1486">
        <v>0</v>
      </c>
      <c r="BE1486">
        <v>0</v>
      </c>
    </row>
    <row r="1487" spans="1:58" ht="12.75">
      <c r="A1487" s="2" t="str">
        <f>HYPERLINK("https://ibp.a2mac1.com/costing(costing:projects/details/8191/part/5389224)","Part 01 single/main")</f>
        <v>Part 01 single/main</v>
      </c>
      <c r="B1487">
        <v>5389224</v>
      </c>
      <c r="C1487">
        <v>5388895</v>
      </c>
      <c r="E1487">
        <v>0.48124592500000002</v>
      </c>
      <c r="F1487">
        <v>0</v>
      </c>
      <c r="G1487">
        <v>0</v>
      </c>
      <c r="H1487">
        <v>0.00053244230000000004</v>
      </c>
      <c r="I1487" t="s">
        <v>137</v>
      </c>
      <c r="J1487">
        <v>0.01791873125</v>
      </c>
      <c r="K1487">
        <v>0.49969709855</v>
      </c>
      <c r="L1487">
        <v>0.010976837937400397</v>
      </c>
      <c r="M1487">
        <v>0.06586102762440238</v>
      </c>
      <c r="N1487">
        <v>0.56555812617440238</v>
      </c>
      <c r="O1487" t="s">
        <v>138</v>
      </c>
      <c r="P1487">
        <v>0.029981825912999999</v>
      </c>
      <c r="Q1487" t="s">
        <v>138</v>
      </c>
      <c r="R1487">
        <v>0.0039516616574641426</v>
      </c>
      <c r="S1487" t="s">
        <v>139</v>
      </c>
      <c r="T1487">
        <v>0.067866975140928279</v>
      </c>
      <c r="U1487" t="s">
        <v>90</v>
      </c>
      <c r="V1487">
        <v>0</v>
      </c>
      <c r="W1487" t="s">
        <v>90</v>
      </c>
      <c r="X1487">
        <v>0</v>
      </c>
      <c r="Y1487">
        <v>0.6673585888857948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K1487" t="s">
        <v>4605</v>
      </c>
      <c r="AM1487">
        <v>200000</v>
      </c>
      <c r="AN1487" t="s">
        <v>76</v>
      </c>
      <c r="AO1487">
        <v>1</v>
      </c>
      <c r="AP1487">
        <v>0</v>
      </c>
      <c r="AQ1487">
        <v>16666.666666666668</v>
      </c>
      <c r="AR1487" t="s">
        <v>9</v>
      </c>
      <c r="AS1487" t="s">
        <v>78</v>
      </c>
      <c r="AV1487">
        <v>0</v>
      </c>
      <c r="AW1487">
        <v>0</v>
      </c>
      <c r="AX1487" t="s">
        <v>79</v>
      </c>
      <c r="AY1487" t="s">
        <v>137</v>
      </c>
      <c r="AZ1487">
        <v>0</v>
      </c>
      <c r="BA1487" t="s">
        <v>137</v>
      </c>
      <c r="BB1487">
        <v>0</v>
      </c>
      <c r="BE1487">
        <v>0</v>
      </c>
    </row>
    <row r="1488" spans="1:58" ht="12.75">
      <c r="A1488" s="2" t="str">
        <f>HYPERLINK("https://ibp.a2mac1.com/costing(costing:projects/details/8191/part/5389225)","Part 02")</f>
        <v>Part 02</v>
      </c>
      <c r="B1488">
        <v>5389225</v>
      </c>
      <c r="C1488">
        <v>5388895</v>
      </c>
      <c r="E1488">
        <v>0.30885932500000002</v>
      </c>
      <c r="F1488">
        <v>0</v>
      </c>
      <c r="G1488">
        <v>0</v>
      </c>
      <c r="H1488">
        <v>0.00034171670000000001</v>
      </c>
      <c r="I1488" t="s">
        <v>137</v>
      </c>
      <c r="J1488">
        <v>0.01150008125</v>
      </c>
      <c r="K1488">
        <v>0.32070112294999997</v>
      </c>
      <c r="L1488">
        <v>0.010976837937400397</v>
      </c>
      <c r="M1488">
        <v>0.06586102762440238</v>
      </c>
      <c r="N1488">
        <v>0.38656215057440235</v>
      </c>
      <c r="O1488" t="s">
        <v>138</v>
      </c>
      <c r="P1488">
        <v>0.019242067376999999</v>
      </c>
      <c r="Q1488" t="s">
        <v>138</v>
      </c>
      <c r="R1488">
        <v>0.0039516616574641426</v>
      </c>
      <c r="S1488" t="s">
        <v>139</v>
      </c>
      <c r="T1488">
        <v>0.046387458068928286</v>
      </c>
      <c r="U1488" t="s">
        <v>90</v>
      </c>
      <c r="V1488">
        <v>0</v>
      </c>
      <c r="W1488" t="s">
        <v>90</v>
      </c>
      <c r="X1488">
        <v>0</v>
      </c>
      <c r="Y1488">
        <v>0.4561433376777948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K1488" t="s">
        <v>4605</v>
      </c>
      <c r="AM1488">
        <v>200000</v>
      </c>
      <c r="AN1488" t="s">
        <v>76</v>
      </c>
      <c r="AO1488">
        <v>1</v>
      </c>
      <c r="AP1488">
        <v>0</v>
      </c>
      <c r="AQ1488">
        <v>16666.666666666668</v>
      </c>
      <c r="AR1488" t="s">
        <v>9</v>
      </c>
      <c r="AS1488" t="s">
        <v>78</v>
      </c>
      <c r="AV1488">
        <v>0</v>
      </c>
      <c r="AW1488">
        <v>0</v>
      </c>
      <c r="AX1488" t="s">
        <v>79</v>
      </c>
      <c r="AY1488" t="s">
        <v>137</v>
      </c>
      <c r="AZ1488">
        <v>0</v>
      </c>
      <c r="BA1488" t="s">
        <v>137</v>
      </c>
      <c r="BB1488">
        <v>0</v>
      </c>
      <c r="BE1488">
        <v>0</v>
      </c>
    </row>
    <row r="1489" spans="1:58" ht="12.75">
      <c r="A1489" s="2" t="str">
        <f>HYPERLINK("https://ibp.a2mac1.com/costing(costing:projects/details/8191/part/5389432)","Part 01 single/main")</f>
        <v>Part 01 single/main</v>
      </c>
      <c r="B1489">
        <v>5389432</v>
      </c>
      <c r="C1489">
        <v>5389226</v>
      </c>
      <c r="E1489">
        <v>0.30885932500000002</v>
      </c>
      <c r="F1489">
        <v>0</v>
      </c>
      <c r="G1489">
        <v>0</v>
      </c>
      <c r="H1489">
        <v>0.00034171670000000001</v>
      </c>
      <c r="I1489" t="s">
        <v>137</v>
      </c>
      <c r="J1489">
        <v>0.01150008125</v>
      </c>
      <c r="K1489">
        <v>0.32070112294999997</v>
      </c>
      <c r="L1489">
        <v>0.010976837937400397</v>
      </c>
      <c r="M1489">
        <v>0.06586102762440238</v>
      </c>
      <c r="N1489">
        <v>0.38656215057440235</v>
      </c>
      <c r="O1489" t="s">
        <v>138</v>
      </c>
      <c r="P1489">
        <v>0.019242067376999999</v>
      </c>
      <c r="Q1489" t="s">
        <v>138</v>
      </c>
      <c r="R1489">
        <v>0.0039516616574641426</v>
      </c>
      <c r="S1489" t="s">
        <v>139</v>
      </c>
      <c r="T1489">
        <v>0.046387458068928286</v>
      </c>
      <c r="U1489" t="s">
        <v>90</v>
      </c>
      <c r="V1489">
        <v>0</v>
      </c>
      <c r="W1489" t="s">
        <v>90</v>
      </c>
      <c r="X1489">
        <v>0</v>
      </c>
      <c r="Y1489">
        <v>0.4561433376777948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K1489" t="s">
        <v>4605</v>
      </c>
      <c r="AM1489">
        <v>200000</v>
      </c>
      <c r="AN1489" t="s">
        <v>76</v>
      </c>
      <c r="AO1489">
        <v>1</v>
      </c>
      <c r="AP1489">
        <v>0</v>
      </c>
      <c r="AQ1489">
        <v>16666.666666666668</v>
      </c>
      <c r="AR1489" t="s">
        <v>9</v>
      </c>
      <c r="AS1489" t="s">
        <v>78</v>
      </c>
      <c r="AV1489">
        <v>0</v>
      </c>
      <c r="AW1489">
        <v>0</v>
      </c>
      <c r="AX1489" t="s">
        <v>79</v>
      </c>
      <c r="AY1489" t="s">
        <v>137</v>
      </c>
      <c r="AZ1489">
        <v>0</v>
      </c>
      <c r="BA1489" t="s">
        <v>137</v>
      </c>
      <c r="BB1489">
        <v>0</v>
      </c>
      <c r="BE1489">
        <v>0</v>
      </c>
    </row>
    <row r="1490" spans="1:58" ht="12.75">
      <c r="A1490" s="2" t="str">
        <f>HYPERLINK("https://ibp.a2mac1.com/costing(costing:projects/details/8191/part/5389433)","Part 02")</f>
        <v>Part 02</v>
      </c>
      <c r="B1490">
        <v>5389433</v>
      </c>
      <c r="C1490">
        <v>5389226</v>
      </c>
      <c r="E1490">
        <v>0.6895464</v>
      </c>
      <c r="F1490">
        <v>0</v>
      </c>
      <c r="G1490">
        <v>0</v>
      </c>
      <c r="H1490">
        <v>0.00076290240000000001</v>
      </c>
      <c r="I1490" t="s">
        <v>137</v>
      </c>
      <c r="J1490">
        <v>0.025674599999999999</v>
      </c>
      <c r="K1490">
        <v>0.71598390239999998</v>
      </c>
      <c r="L1490">
        <v>0.010976837937400397</v>
      </c>
      <c r="M1490">
        <v>0.06586102762440238</v>
      </c>
      <c r="N1490">
        <v>0.78184493002440236</v>
      </c>
      <c r="O1490" t="s">
        <v>138</v>
      </c>
      <c r="P1490">
        <v>0.042959034144</v>
      </c>
      <c r="Q1490" t="s">
        <v>138</v>
      </c>
      <c r="R1490">
        <v>0.0039516616574641426</v>
      </c>
      <c r="S1490" t="s">
        <v>139</v>
      </c>
      <c r="T1490">
        <v>0.093821391602928281</v>
      </c>
      <c r="U1490" t="s">
        <v>90</v>
      </c>
      <c r="V1490">
        <v>0</v>
      </c>
      <c r="W1490" t="s">
        <v>90</v>
      </c>
      <c r="X1490">
        <v>0</v>
      </c>
      <c r="Y1490">
        <v>0.92257701742879483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K1490" t="s">
        <v>4605</v>
      </c>
      <c r="AM1490">
        <v>200000</v>
      </c>
      <c r="AN1490" t="s">
        <v>76</v>
      </c>
      <c r="AO1490">
        <v>1</v>
      </c>
      <c r="AP1490">
        <v>0</v>
      </c>
      <c r="AQ1490">
        <v>16666.666666666668</v>
      </c>
      <c r="AR1490" t="s">
        <v>9</v>
      </c>
      <c r="AS1490" t="s">
        <v>78</v>
      </c>
      <c r="AV1490">
        <v>0</v>
      </c>
      <c r="AW1490">
        <v>0</v>
      </c>
      <c r="AX1490" t="s">
        <v>79</v>
      </c>
      <c r="AY1490" t="s">
        <v>137</v>
      </c>
      <c r="AZ1490">
        <v>0</v>
      </c>
      <c r="BA1490" t="s">
        <v>137</v>
      </c>
      <c r="BB1490">
        <v>0</v>
      </c>
      <c r="BE1490">
        <v>0</v>
      </c>
    </row>
    <row r="1491" spans="1:58" ht="12.75">
      <c r="A1491" s="2" t="str">
        <f>HYPERLINK("https://ibp.a2mac1.com/costing(costing:projects/details/8191/part/5389434)","Part 01 single/main")</f>
        <v>Part 01 single/main</v>
      </c>
      <c r="B1491">
        <v>5389434</v>
      </c>
      <c r="C1491">
        <v>5389227</v>
      </c>
      <c r="E1491">
        <v>0.65363252500000002</v>
      </c>
      <c r="F1491">
        <v>0</v>
      </c>
      <c r="G1491">
        <v>0</v>
      </c>
      <c r="H1491">
        <v>0.00072316790000000002</v>
      </c>
      <c r="I1491" t="s">
        <v>137</v>
      </c>
      <c r="J1491">
        <v>0.024337381250000002</v>
      </c>
      <c r="K1491">
        <v>0.67869307415000002</v>
      </c>
      <c r="L1491">
        <v>0.1708546733739284</v>
      </c>
      <c r="M1491">
        <v>1.0251280402435705</v>
      </c>
      <c r="N1491">
        <v>1.7038211143935704</v>
      </c>
      <c r="O1491" t="s">
        <v>138</v>
      </c>
      <c r="P1491">
        <v>0.040721584449000002</v>
      </c>
      <c r="Q1491" t="s">
        <v>138</v>
      </c>
      <c r="R1491">
        <v>0.061507682414614226</v>
      </c>
      <c r="S1491" t="s">
        <v>139</v>
      </c>
      <c r="T1491">
        <v>0.20445853372722847</v>
      </c>
      <c r="U1491" t="s">
        <v>90</v>
      </c>
      <c r="V1491">
        <v>0</v>
      </c>
      <c r="W1491" t="s">
        <v>90</v>
      </c>
      <c r="X1491">
        <v>0</v>
      </c>
      <c r="Y1491">
        <v>2.0105089149844133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K1491" t="s">
        <v>4605</v>
      </c>
      <c r="AM1491">
        <v>200000</v>
      </c>
      <c r="AN1491" t="s">
        <v>76</v>
      </c>
      <c r="AO1491">
        <v>1</v>
      </c>
      <c r="AP1491">
        <v>0</v>
      </c>
      <c r="AQ1491">
        <v>16666.666666666668</v>
      </c>
      <c r="AR1491" t="s">
        <v>9</v>
      </c>
      <c r="AS1491" t="s">
        <v>78</v>
      </c>
      <c r="AV1491">
        <v>0</v>
      </c>
      <c r="AW1491">
        <v>0</v>
      </c>
      <c r="AX1491" t="s">
        <v>79</v>
      </c>
      <c r="AY1491" t="s">
        <v>137</v>
      </c>
      <c r="AZ1491">
        <v>0</v>
      </c>
      <c r="BA1491" t="s">
        <v>137</v>
      </c>
      <c r="BB1491">
        <v>0</v>
      </c>
      <c r="BE1491">
        <v>0</v>
      </c>
    </row>
    <row r="1492" spans="1:58" ht="12.75">
      <c r="A1492" s="2" t="str">
        <f>HYPERLINK("https://ibp.a2mac1.com/costing(costing:projects/details/8191/part/5389228)","Part 01 single/front")</f>
        <v>Part 01 single/front</v>
      </c>
      <c r="B1492">
        <v>5389228</v>
      </c>
      <c r="C1492">
        <v>5388898</v>
      </c>
      <c r="E1492">
        <v>1.012771275</v>
      </c>
      <c r="F1492">
        <v>0</v>
      </c>
      <c r="G1492">
        <v>0</v>
      </c>
      <c r="H1492">
        <v>0.0011205129</v>
      </c>
      <c r="I1492" t="s">
        <v>137</v>
      </c>
      <c r="J1492">
        <v>0.037709568749999998</v>
      </c>
      <c r="K1492">
        <v>1.05160135665</v>
      </c>
      <c r="L1492">
        <v>0.16097458241998566</v>
      </c>
      <c r="M1492">
        <v>0.96584749451991403</v>
      </c>
      <c r="N1492">
        <v>2.017448851169914</v>
      </c>
      <c r="O1492" t="s">
        <v>138</v>
      </c>
      <c r="P1492">
        <v>0.063096081398999998</v>
      </c>
      <c r="Q1492" t="s">
        <v>138</v>
      </c>
      <c r="R1492">
        <v>0.057950849671194841</v>
      </c>
      <c r="S1492" t="s">
        <v>139</v>
      </c>
      <c r="T1492">
        <v>0.24209386214038969</v>
      </c>
      <c r="U1492" t="s">
        <v>90</v>
      </c>
      <c r="V1492">
        <v>0</v>
      </c>
      <c r="W1492" t="s">
        <v>90</v>
      </c>
      <c r="X1492">
        <v>0</v>
      </c>
      <c r="Y1492">
        <v>2.3805896443804984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K1492" t="s">
        <v>4605</v>
      </c>
      <c r="AM1492">
        <v>200000</v>
      </c>
      <c r="AN1492" t="s">
        <v>76</v>
      </c>
      <c r="AO1492">
        <v>1</v>
      </c>
      <c r="AP1492">
        <v>0</v>
      </c>
      <c r="AQ1492">
        <v>16666.666666666668</v>
      </c>
      <c r="AR1492" t="s">
        <v>9</v>
      </c>
      <c r="AS1492" t="s">
        <v>78</v>
      </c>
      <c r="AV1492">
        <v>0</v>
      </c>
      <c r="AW1492">
        <v>0</v>
      </c>
      <c r="AX1492" t="s">
        <v>79</v>
      </c>
      <c r="AY1492" t="s">
        <v>137</v>
      </c>
      <c r="AZ1492">
        <v>0</v>
      </c>
      <c r="BA1492" t="s">
        <v>137</v>
      </c>
      <c r="BB1492">
        <v>0</v>
      </c>
      <c r="BE1492">
        <v>0</v>
      </c>
    </row>
    <row r="1493" spans="1:58" ht="12.75">
      <c r="A1493" s="2" t="str">
        <f>HYPERLINK("https://ibp.a2mac1.com/costing(costing:projects/details/8191/part/5389435)","Part 01 single/main")</f>
        <v>Part 01 single/main</v>
      </c>
      <c r="B1493">
        <v>5389435</v>
      </c>
      <c r="C1493">
        <v>5389229</v>
      </c>
      <c r="E1493">
        <v>0.79163349999999999</v>
      </c>
      <c r="F1493">
        <v>0</v>
      </c>
      <c r="G1493">
        <v>0</v>
      </c>
      <c r="H1493">
        <v>0.00089005279999999996</v>
      </c>
      <c r="I1493" t="s">
        <v>137</v>
      </c>
      <c r="J1493">
        <v>0.0299537</v>
      </c>
      <c r="K1493">
        <v>0.82247725279999995</v>
      </c>
      <c r="L1493">
        <v>0.014569598284288667</v>
      </c>
      <c r="M1493">
        <v>0.087417589705732004</v>
      </c>
      <c r="N1493">
        <v>0.90989484250573205</v>
      </c>
      <c r="O1493" t="s">
        <v>138</v>
      </c>
      <c r="P1493">
        <v>0.049348635167999998</v>
      </c>
      <c r="Q1493" t="s">
        <v>138</v>
      </c>
      <c r="R1493">
        <v>0.0052450553823439197</v>
      </c>
      <c r="S1493" t="s">
        <v>139</v>
      </c>
      <c r="T1493">
        <v>0.10918738110068783</v>
      </c>
      <c r="U1493" t="s">
        <v>90</v>
      </c>
      <c r="V1493">
        <v>0</v>
      </c>
      <c r="W1493" t="s">
        <v>90</v>
      </c>
      <c r="X1493">
        <v>0</v>
      </c>
      <c r="Y1493">
        <v>1.0736759141567638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K1493" t="s">
        <v>4605</v>
      </c>
      <c r="AM1493">
        <v>200000</v>
      </c>
      <c r="AN1493" t="s">
        <v>76</v>
      </c>
      <c r="AO1493">
        <v>1</v>
      </c>
      <c r="AP1493">
        <v>0</v>
      </c>
      <c r="AQ1493">
        <v>16666.666666666668</v>
      </c>
      <c r="AR1493" t="s">
        <v>9</v>
      </c>
      <c r="AS1493" t="s">
        <v>78</v>
      </c>
      <c r="AV1493">
        <v>0</v>
      </c>
      <c r="AW1493">
        <v>0</v>
      </c>
      <c r="AX1493" t="s">
        <v>79</v>
      </c>
      <c r="AY1493" t="s">
        <v>137</v>
      </c>
      <c r="AZ1493">
        <v>0</v>
      </c>
      <c r="BA1493" t="s">
        <v>137</v>
      </c>
      <c r="BB1493">
        <v>0</v>
      </c>
      <c r="BE1493">
        <v>0</v>
      </c>
    </row>
    <row r="1494" spans="1:58" ht="12.75">
      <c r="A1494" s="2" t="str">
        <f>HYPERLINK("https://ibp.a2mac1.com/costing(costing:projects/details/8191/part/5389230)","Part 01 single/main")</f>
        <v>Part 01 single/main</v>
      </c>
      <c r="B1494">
        <v>5389230</v>
      </c>
      <c r="C1494">
        <v>5388900</v>
      </c>
      <c r="E1494">
        <v>3.1212977999999998</v>
      </c>
      <c r="F1494">
        <v>0</v>
      </c>
      <c r="G1494">
        <v>0</v>
      </c>
      <c r="H1494">
        <v>0.0035093510399999998</v>
      </c>
      <c r="I1494" t="s">
        <v>137</v>
      </c>
      <c r="J1494">
        <v>0.11810316</v>
      </c>
      <c r="K1494">
        <v>3.2429103110400002</v>
      </c>
      <c r="L1494">
        <v>0.16097458241998566</v>
      </c>
      <c r="M1494">
        <v>0.96584749451991403</v>
      </c>
      <c r="N1494">
        <v>4.2087578055599142</v>
      </c>
      <c r="O1494" t="s">
        <v>90</v>
      </c>
      <c r="P1494">
        <v>0</v>
      </c>
      <c r="Q1494" t="s">
        <v>90</v>
      </c>
      <c r="R1494">
        <v>0</v>
      </c>
      <c r="S1494" t="s">
        <v>90</v>
      </c>
      <c r="T1494">
        <v>0</v>
      </c>
      <c r="U1494" t="s">
        <v>90</v>
      </c>
      <c r="V1494">
        <v>0</v>
      </c>
      <c r="W1494" t="s">
        <v>90</v>
      </c>
      <c r="X1494">
        <v>0</v>
      </c>
      <c r="Y1494">
        <v>4.2087578055599142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K1494" t="s">
        <v>4599</v>
      </c>
      <c r="AM1494">
        <v>200000</v>
      </c>
      <c r="AN1494" t="s">
        <v>92</v>
      </c>
      <c r="AO1494">
        <v>1</v>
      </c>
      <c r="AP1494">
        <v>0</v>
      </c>
      <c r="AQ1494">
        <v>16666.666666666668</v>
      </c>
      <c r="AR1494" t="s">
        <v>9</v>
      </c>
      <c r="AS1494" t="s">
        <v>78</v>
      </c>
      <c r="AV1494">
        <v>0</v>
      </c>
      <c r="AW1494">
        <v>0</v>
      </c>
      <c r="AX1494" t="s">
        <v>79</v>
      </c>
      <c r="AY1494" t="s">
        <v>137</v>
      </c>
      <c r="AZ1494">
        <v>0</v>
      </c>
      <c r="BA1494" t="s">
        <v>137</v>
      </c>
      <c r="BB1494">
        <v>0</v>
      </c>
      <c r="BE1494">
        <v>0</v>
      </c>
    </row>
    <row r="1495" spans="1:58" ht="12.75">
      <c r="A1495" s="2" t="str">
        <f>HYPERLINK("https://ibp.a2mac1.com/costing(costing:projects/details/8191/part/5389436)","Part 01 single/main")</f>
        <v>Part 01 single/main</v>
      </c>
      <c r="B1495">
        <v>5389436</v>
      </c>
      <c r="C1495">
        <v>5389231</v>
      </c>
      <c r="E1495">
        <v>0.28159354705882356</v>
      </c>
      <c r="F1495">
        <v>0</v>
      </c>
      <c r="G1495">
        <v>0</v>
      </c>
      <c r="H1495">
        <v>0.00030665684705882351</v>
      </c>
      <c r="I1495" t="s">
        <v>137</v>
      </c>
      <c r="J1495">
        <v>0.010320182352941177</v>
      </c>
      <c r="K1495">
        <v>0.29222038625882352</v>
      </c>
      <c r="L1495">
        <v>0.012773218110844531</v>
      </c>
      <c r="M1495">
        <v>0.076639308665067185</v>
      </c>
      <c r="N1495">
        <v>0.3688596949238907</v>
      </c>
      <c r="O1495" t="s">
        <v>138</v>
      </c>
      <c r="P1495">
        <v>0.017533223175529411</v>
      </c>
      <c r="Q1495" t="s">
        <v>138</v>
      </c>
      <c r="R1495">
        <v>0.0045983585199040316</v>
      </c>
      <c r="S1495" t="s">
        <v>139</v>
      </c>
      <c r="T1495">
        <v>0.044263163390866889</v>
      </c>
      <c r="U1495" t="s">
        <v>90</v>
      </c>
      <c r="V1495">
        <v>0</v>
      </c>
      <c r="W1495" t="s">
        <v>90</v>
      </c>
      <c r="X1495">
        <v>0</v>
      </c>
      <c r="Y1495">
        <v>0.43525444001019103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K1495" t="s">
        <v>4605</v>
      </c>
      <c r="AM1495">
        <v>200000</v>
      </c>
      <c r="AN1495" t="s">
        <v>76</v>
      </c>
      <c r="AO1495">
        <v>1</v>
      </c>
      <c r="AP1495">
        <v>0</v>
      </c>
      <c r="AQ1495">
        <v>16666.666666666668</v>
      </c>
      <c r="AR1495" t="s">
        <v>9</v>
      </c>
      <c r="AS1495" t="s">
        <v>78</v>
      </c>
      <c r="AV1495">
        <v>0</v>
      </c>
      <c r="AW1495">
        <v>0</v>
      </c>
      <c r="AX1495" t="s">
        <v>79</v>
      </c>
      <c r="AY1495" t="s">
        <v>137</v>
      </c>
      <c r="AZ1495">
        <v>0</v>
      </c>
      <c r="BA1495" t="s">
        <v>137</v>
      </c>
      <c r="BB1495">
        <v>0</v>
      </c>
      <c r="BE1495">
        <v>0</v>
      </c>
    </row>
    <row r="1496" spans="1:58" ht="12.75">
      <c r="A1496" s="2" t="str">
        <f>HYPERLINK("https://ibp.a2mac1.com/costing(costing:projects/details/8191/part/5388902)","Opening Control")</f>
        <v>Opening Control</v>
      </c>
      <c r="B1496">
        <v>5388902</v>
      </c>
      <c r="C1496">
        <v>5388581</v>
      </c>
      <c r="E1496">
        <v>0.53519000000000005</v>
      </c>
      <c r="F1496">
        <v>0</v>
      </c>
      <c r="G1496">
        <v>0</v>
      </c>
      <c r="H1496">
        <v>0</v>
      </c>
      <c r="I1496" t="s">
        <v>74</v>
      </c>
      <c r="J1496">
        <v>0</v>
      </c>
      <c r="K1496">
        <v>0.53519000000000005</v>
      </c>
      <c r="L1496">
        <v>0</v>
      </c>
      <c r="M1496">
        <v>0</v>
      </c>
      <c r="N1496">
        <v>0.53519000000000005</v>
      </c>
      <c r="O1496" t="s">
        <v>74</v>
      </c>
      <c r="P1496">
        <v>0</v>
      </c>
      <c r="Q1496" t="s">
        <v>74</v>
      </c>
      <c r="R1496">
        <v>0</v>
      </c>
      <c r="S1496" t="s">
        <v>74</v>
      </c>
      <c r="T1496">
        <v>0</v>
      </c>
      <c r="U1496" t="s">
        <v>74</v>
      </c>
      <c r="V1496">
        <v>0</v>
      </c>
      <c r="W1496" t="s">
        <v>74</v>
      </c>
      <c r="X1496">
        <v>0</v>
      </c>
      <c r="Y1496">
        <v>0.53519000000000005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105</v>
      </c>
      <c r="AF1496">
        <v>370</v>
      </c>
      <c r="AG1496">
        <v>110</v>
      </c>
      <c r="AI1496">
        <v>0.17299999999999999</v>
      </c>
      <c r="AJ1496" t="s">
        <v>2797</v>
      </c>
      <c r="AK1496" t="s">
        <v>218</v>
      </c>
      <c r="AL1496" t="s">
        <v>1288</v>
      </c>
      <c r="AM1496">
        <v>200000</v>
      </c>
      <c r="AN1496" t="s">
        <v>76</v>
      </c>
      <c r="AO1496">
        <v>1</v>
      </c>
      <c r="AP1496">
        <v>0</v>
      </c>
      <c r="AQ1496">
        <v>16666.666666666668</v>
      </c>
      <c r="AR1496" t="s">
        <v>9</v>
      </c>
      <c r="AS1496" t="s">
        <v>78</v>
      </c>
      <c r="AX1496" t="s">
        <v>79</v>
      </c>
      <c r="AY1496" t="s">
        <v>74</v>
      </c>
      <c r="AZ1496">
        <v>0</v>
      </c>
      <c r="BA1496" t="s">
        <v>74</v>
      </c>
      <c r="BB1496">
        <v>0</v>
      </c>
      <c r="BD1496">
        <v>0.53519000000000005</v>
      </c>
      <c r="BE1496">
        <v>0</v>
      </c>
    </row>
    <row r="1497" spans="1:58" ht="12.75">
      <c r="A1497" s="2" t="str">
        <f>HYPERLINK("https://ibp.a2mac1.com/costing(costing:projects/details/8191/part/5388576)","Panel Carrier")</f>
        <v>Panel Carrier</v>
      </c>
      <c r="B1497">
        <v>5388576</v>
      </c>
      <c r="C1497">
        <v>5388242</v>
      </c>
      <c r="E1497">
        <v>1.280710494</v>
      </c>
      <c r="F1497">
        <v>0</v>
      </c>
      <c r="G1497">
        <v>0</v>
      </c>
      <c r="H1497">
        <v>0.0064966366913684209</v>
      </c>
      <c r="I1497" t="s">
        <v>137</v>
      </c>
      <c r="J1497">
        <v>0.044937210315789476</v>
      </c>
      <c r="K1497">
        <v>1.3321443410071578</v>
      </c>
      <c r="L1497">
        <v>0.056149830143713352</v>
      </c>
      <c r="M1497">
        <v>0.3368989808622801</v>
      </c>
      <c r="N1497">
        <v>1.669043321869438</v>
      </c>
      <c r="O1497" t="s">
        <v>90</v>
      </c>
      <c r="P1497">
        <v>0</v>
      </c>
      <c r="Q1497" t="s">
        <v>90</v>
      </c>
      <c r="R1497">
        <v>0</v>
      </c>
      <c r="S1497" t="s">
        <v>90</v>
      </c>
      <c r="T1497">
        <v>0</v>
      </c>
      <c r="U1497" t="s">
        <v>90</v>
      </c>
      <c r="V1497">
        <v>0</v>
      </c>
      <c r="W1497" t="s">
        <v>90</v>
      </c>
      <c r="X1497">
        <v>0</v>
      </c>
      <c r="Y1497">
        <v>1.669043321869438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100</v>
      </c>
      <c r="AF1497">
        <v>830</v>
      </c>
      <c r="AG1497">
        <v>795</v>
      </c>
      <c r="AI1497">
        <v>1.206</v>
      </c>
      <c r="AJ1497" t="s">
        <v>4681</v>
      </c>
      <c r="AK1497" t="s">
        <v>5771</v>
      </c>
      <c r="AL1497" t="s">
        <v>1182</v>
      </c>
      <c r="AM1497">
        <v>200000</v>
      </c>
      <c r="AN1497" t="s">
        <v>76</v>
      </c>
      <c r="AO1497">
        <v>1</v>
      </c>
      <c r="AP1497">
        <v>0</v>
      </c>
      <c r="AQ1497">
        <v>16666.666666666668</v>
      </c>
      <c r="AR1497" t="s">
        <v>9</v>
      </c>
      <c r="AS1497" t="s">
        <v>78</v>
      </c>
      <c r="AX1497" t="s">
        <v>79</v>
      </c>
      <c r="AY1497" t="s">
        <v>137</v>
      </c>
      <c r="AZ1497">
        <v>0</v>
      </c>
      <c r="BA1497" t="s">
        <v>137</v>
      </c>
      <c r="BB1497">
        <v>0</v>
      </c>
      <c r="BE1497">
        <v>0</v>
      </c>
    </row>
    <row r="1498" spans="1:58" ht="12.75">
      <c r="A1498" s="2" t="str">
        <f>HYPERLINK("https://ibp.a2mac1.com/costing(costing:projects/details/8191/part/5388577)","Insert")</f>
        <v>Insert</v>
      </c>
      <c r="B1498">
        <v>5388577</v>
      </c>
      <c r="C1498">
        <v>5388242</v>
      </c>
      <c r="E1498">
        <v>0.64818885599999998</v>
      </c>
      <c r="F1498">
        <v>0</v>
      </c>
      <c r="G1498">
        <v>0</v>
      </c>
      <c r="H1498">
        <v>0.0032880557507368423</v>
      </c>
      <c r="I1498" t="s">
        <v>137</v>
      </c>
      <c r="J1498">
        <v>0.022743468631578948</v>
      </c>
      <c r="K1498">
        <v>0.6742203803823158</v>
      </c>
      <c r="L1498">
        <v>0.32025337792144193</v>
      </c>
      <c r="M1498">
        <v>1.9215202675286518</v>
      </c>
      <c r="N1498">
        <v>2.5957406479109677</v>
      </c>
      <c r="O1498" t="s">
        <v>90</v>
      </c>
      <c r="P1498">
        <v>0</v>
      </c>
      <c r="Q1498" t="s">
        <v>90</v>
      </c>
      <c r="R1498">
        <v>0</v>
      </c>
      <c r="S1498" t="s">
        <v>90</v>
      </c>
      <c r="T1498">
        <v>0</v>
      </c>
      <c r="U1498" t="s">
        <v>90</v>
      </c>
      <c r="V1498">
        <v>0</v>
      </c>
      <c r="W1498" t="s">
        <v>90</v>
      </c>
      <c r="X1498">
        <v>0</v>
      </c>
      <c r="Y1498">
        <v>2.5957406479109677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110</v>
      </c>
      <c r="AF1498">
        <v>705</v>
      </c>
      <c r="AG1498">
        <v>360</v>
      </c>
      <c r="AI1498">
        <v>0.53800000000000003</v>
      </c>
      <c r="AJ1498" t="s">
        <v>4681</v>
      </c>
      <c r="AK1498" t="s">
        <v>5771</v>
      </c>
      <c r="AL1498" t="s">
        <v>5108</v>
      </c>
      <c r="AM1498">
        <v>200000</v>
      </c>
      <c r="AN1498" t="s">
        <v>76</v>
      </c>
      <c r="AO1498">
        <v>1</v>
      </c>
      <c r="AP1498">
        <v>0</v>
      </c>
      <c r="AQ1498">
        <v>16666.666666666668</v>
      </c>
      <c r="AR1498" t="s">
        <v>9</v>
      </c>
      <c r="AS1498" t="s">
        <v>78</v>
      </c>
      <c r="AX1498" t="s">
        <v>79</v>
      </c>
      <c r="AY1498" t="s">
        <v>137</v>
      </c>
      <c r="AZ1498">
        <v>0</v>
      </c>
      <c r="BA1498" t="s">
        <v>137</v>
      </c>
      <c r="BB1498">
        <v>0</v>
      </c>
      <c r="BE1498">
        <v>0</v>
      </c>
    </row>
    <row r="1499" spans="1:58" ht="12.75">
      <c r="A1499" s="2" t="str">
        <f>HYPERLINK("https://ibp.a2mac1.com/costing(costing:projects/details/8191/part/5388578)","Electric Window Lift Control Trim")</f>
        <v>Electric Window Lift Control Trim</v>
      </c>
      <c r="B1499">
        <v>5388578</v>
      </c>
      <c r="C1499">
        <v>5388242</v>
      </c>
      <c r="E1499">
        <v>0.46137</v>
      </c>
      <c r="F1499">
        <v>0</v>
      </c>
      <c r="G1499">
        <v>0</v>
      </c>
      <c r="H1499">
        <v>0</v>
      </c>
      <c r="I1499" t="s">
        <v>74</v>
      </c>
      <c r="J1499">
        <v>0</v>
      </c>
      <c r="K1499">
        <v>0.46137</v>
      </c>
      <c r="L1499">
        <v>0</v>
      </c>
      <c r="M1499">
        <v>0</v>
      </c>
      <c r="N1499">
        <v>0.46137</v>
      </c>
      <c r="O1499" t="s">
        <v>74</v>
      </c>
      <c r="P1499">
        <v>0</v>
      </c>
      <c r="Q1499" t="s">
        <v>74</v>
      </c>
      <c r="R1499">
        <v>0</v>
      </c>
      <c r="S1499" t="s">
        <v>74</v>
      </c>
      <c r="T1499">
        <v>0</v>
      </c>
      <c r="U1499" t="s">
        <v>74</v>
      </c>
      <c r="V1499">
        <v>0</v>
      </c>
      <c r="W1499" t="s">
        <v>74</v>
      </c>
      <c r="X1499">
        <v>0</v>
      </c>
      <c r="Y1499">
        <v>0.46137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70</v>
      </c>
      <c r="AF1499">
        <v>350</v>
      </c>
      <c r="AG1499">
        <v>140</v>
      </c>
      <c r="AI1499">
        <v>0.14599999999999999</v>
      </c>
      <c r="AJ1499" t="s">
        <v>2797</v>
      </c>
      <c r="AK1499" t="s">
        <v>3212</v>
      </c>
      <c r="AL1499" t="s">
        <v>1275</v>
      </c>
      <c r="AM1499">
        <v>200000</v>
      </c>
      <c r="AN1499" t="s">
        <v>76</v>
      </c>
      <c r="AO1499">
        <v>1</v>
      </c>
      <c r="AP1499">
        <v>0</v>
      </c>
      <c r="AQ1499">
        <v>16666.666666666668</v>
      </c>
      <c r="AR1499" t="s">
        <v>9</v>
      </c>
      <c r="AS1499" t="s">
        <v>78</v>
      </c>
      <c r="AX1499" t="s">
        <v>79</v>
      </c>
      <c r="AY1499" t="s">
        <v>74</v>
      </c>
      <c r="AZ1499">
        <v>0</v>
      </c>
      <c r="BA1499" t="s">
        <v>74</v>
      </c>
      <c r="BB1499">
        <v>0</v>
      </c>
      <c r="BD1499">
        <v>0.46137</v>
      </c>
      <c r="BE1499">
        <v>0</v>
      </c>
    </row>
    <row r="1500" spans="1:58" ht="12.75">
      <c r="A1500" s="2" t="str">
        <f>HYPERLINK("https://ibp.a2mac1.com/costing(costing:projects/details/8191/part/5388579)","Upper Band")</f>
        <v>Upper Band</v>
      </c>
      <c r="B1500">
        <v>5388579</v>
      </c>
      <c r="C1500">
        <v>5388242</v>
      </c>
      <c r="E1500">
        <v>0.38761138499999997</v>
      </c>
      <c r="F1500">
        <v>0</v>
      </c>
      <c r="G1500">
        <v>0</v>
      </c>
      <c r="H1500">
        <v>0.0019662291810526315</v>
      </c>
      <c r="I1500" t="s">
        <v>137</v>
      </c>
      <c r="J1500">
        <v>0.013600399473684211</v>
      </c>
      <c r="K1500">
        <v>0.40317801365473682</v>
      </c>
      <c r="L1500">
        <v>0.016957948710680286</v>
      </c>
      <c r="M1500">
        <v>0.10174769226408172</v>
      </c>
      <c r="N1500">
        <v>0.50492570591881858</v>
      </c>
      <c r="O1500" t="s">
        <v>90</v>
      </c>
      <c r="P1500">
        <v>0</v>
      </c>
      <c r="Q1500" t="s">
        <v>90</v>
      </c>
      <c r="R1500">
        <v>0</v>
      </c>
      <c r="S1500" t="s">
        <v>90</v>
      </c>
      <c r="T1500">
        <v>0</v>
      </c>
      <c r="U1500" t="s">
        <v>90</v>
      </c>
      <c r="V1500">
        <v>0</v>
      </c>
      <c r="W1500" t="s">
        <v>90</v>
      </c>
      <c r="X1500">
        <v>0</v>
      </c>
      <c r="Y1500">
        <v>0.50492570591881858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100</v>
      </c>
      <c r="AF1500">
        <v>887</v>
      </c>
      <c r="AG1500">
        <v>182</v>
      </c>
      <c r="AI1500">
        <v>0.365</v>
      </c>
      <c r="AJ1500" t="s">
        <v>4681</v>
      </c>
      <c r="AK1500" t="s">
        <v>5771</v>
      </c>
      <c r="AL1500" t="s">
        <v>1182</v>
      </c>
      <c r="AM1500">
        <v>200000</v>
      </c>
      <c r="AN1500" t="s">
        <v>76</v>
      </c>
      <c r="AO1500">
        <v>1</v>
      </c>
      <c r="AP1500">
        <v>0</v>
      </c>
      <c r="AQ1500">
        <v>16666.666666666668</v>
      </c>
      <c r="AR1500" t="s">
        <v>9</v>
      </c>
      <c r="AS1500" t="s">
        <v>78</v>
      </c>
      <c r="AX1500" t="s">
        <v>79</v>
      </c>
      <c r="AY1500" t="s">
        <v>137</v>
      </c>
      <c r="AZ1500">
        <v>0</v>
      </c>
      <c r="BA1500" t="s">
        <v>137</v>
      </c>
      <c r="BB1500">
        <v>0</v>
      </c>
      <c r="BE1500">
        <v>0</v>
      </c>
    </row>
    <row r="1501" spans="1:58" ht="12.75">
      <c r="A1501" s="2" t="str">
        <f>HYPERLINK("https://ibp.a2mac1.com/costing(costing:projects/details/8191/part/5388580)","Door Map Pocket Bottom")</f>
        <v>Door Map Pocket Bottom</v>
      </c>
      <c r="B1501">
        <v>5388580</v>
      </c>
      <c r="C1501">
        <v>5388242</v>
      </c>
      <c r="E1501">
        <v>0.33026613900000001</v>
      </c>
      <c r="F1501">
        <v>0</v>
      </c>
      <c r="G1501">
        <v>0</v>
      </c>
      <c r="H1501">
        <v>0.0016753350008421053</v>
      </c>
      <c r="I1501" t="s">
        <v>137</v>
      </c>
      <c r="J1501">
        <v>0.011588285578947368</v>
      </c>
      <c r="K1501">
        <v>0.34352975957978948</v>
      </c>
      <c r="L1501">
        <v>0.014447132592212371</v>
      </c>
      <c r="M1501">
        <v>0.086682795553274225</v>
      </c>
      <c r="N1501">
        <v>0.43021255513306367</v>
      </c>
      <c r="O1501" t="s">
        <v>138</v>
      </c>
      <c r="P1501">
        <v>0.020611785574787368</v>
      </c>
      <c r="Q1501" t="s">
        <v>138</v>
      </c>
      <c r="R1501">
        <v>0.0052009677331964531</v>
      </c>
      <c r="S1501" t="s">
        <v>139</v>
      </c>
      <c r="T1501">
        <v>0.051625506615967647</v>
      </c>
      <c r="U1501" t="s">
        <v>216</v>
      </c>
      <c r="V1501">
        <v>0.0021510627756653185</v>
      </c>
      <c r="W1501" t="s">
        <v>217</v>
      </c>
      <c r="X1501">
        <v>0.0086042511026612738</v>
      </c>
      <c r="Y1501">
        <v>0.51840612893534177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115</v>
      </c>
      <c r="AF1501">
        <v>580</v>
      </c>
      <c r="AG1501">
        <v>280</v>
      </c>
      <c r="AI1501">
        <v>0.311</v>
      </c>
      <c r="AJ1501" t="s">
        <v>4681</v>
      </c>
      <c r="AK1501" t="s">
        <v>218</v>
      </c>
      <c r="AL1501" t="s">
        <v>1182</v>
      </c>
      <c r="AM1501">
        <v>200000</v>
      </c>
      <c r="AN1501" t="s">
        <v>76</v>
      </c>
      <c r="AO1501">
        <v>1</v>
      </c>
      <c r="AP1501">
        <v>0</v>
      </c>
      <c r="AQ1501">
        <v>16666.666666666668</v>
      </c>
      <c r="AR1501" t="s">
        <v>9</v>
      </c>
      <c r="AS1501" t="s">
        <v>78</v>
      </c>
      <c r="AX1501" t="s">
        <v>79</v>
      </c>
      <c r="AY1501" t="s">
        <v>137</v>
      </c>
      <c r="AZ1501">
        <v>0</v>
      </c>
      <c r="BA1501" t="s">
        <v>137</v>
      </c>
      <c r="BB1501">
        <v>0</v>
      </c>
      <c r="BE1501">
        <v>0</v>
      </c>
    </row>
    <row r="1502" spans="1:58" ht="12.75">
      <c r="A1502" s="2" t="str">
        <f>HYPERLINK("https://ibp.a2mac1.com/costing(costing:projects/details/8191/part/5388903)","Opening Control")</f>
        <v>Opening Control</v>
      </c>
      <c r="B1502">
        <v>5388903</v>
      </c>
      <c r="C1502">
        <v>5388584</v>
      </c>
      <c r="E1502">
        <v>0.074641055999999997</v>
      </c>
      <c r="F1502">
        <v>0</v>
      </c>
      <c r="G1502">
        <v>0</v>
      </c>
      <c r="H1502">
        <v>0.00037863031915789475</v>
      </c>
      <c r="I1502" t="s">
        <v>137</v>
      </c>
      <c r="J1502">
        <v>0.0026189844210526315</v>
      </c>
      <c r="K1502">
        <v>0.077638670740210525</v>
      </c>
      <c r="L1502">
        <v>0.0014390502443481438</v>
      </c>
      <c r="M1502">
        <v>0.0086343014660888624</v>
      </c>
      <c r="N1502">
        <v>0.086272972206299384</v>
      </c>
      <c r="O1502" t="s">
        <v>138</v>
      </c>
      <c r="P1502">
        <v>0.0046583202444126313</v>
      </c>
      <c r="Q1502" t="s">
        <v>138</v>
      </c>
      <c r="R1502">
        <v>0.0005180580879653318</v>
      </c>
      <c r="S1502" t="s">
        <v>139</v>
      </c>
      <c r="T1502">
        <v>0.010352756664755927</v>
      </c>
      <c r="U1502" t="s">
        <v>216</v>
      </c>
      <c r="V1502">
        <v>0.00043136486103149697</v>
      </c>
      <c r="W1502" t="s">
        <v>217</v>
      </c>
      <c r="X1502">
        <v>0.0017254594441259879</v>
      </c>
      <c r="Y1502">
        <v>0.10395893150859076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43</v>
      </c>
      <c r="AF1502">
        <v>124</v>
      </c>
      <c r="AG1502">
        <v>36</v>
      </c>
      <c r="AI1502">
        <v>0.031</v>
      </c>
      <c r="AK1502" t="s">
        <v>218</v>
      </c>
      <c r="AL1502" t="s">
        <v>1275</v>
      </c>
      <c r="AM1502">
        <v>200000</v>
      </c>
      <c r="AN1502" t="s">
        <v>76</v>
      </c>
      <c r="AO1502">
        <v>1</v>
      </c>
      <c r="AP1502">
        <v>0</v>
      </c>
      <c r="AQ1502">
        <v>16666.666666666668</v>
      </c>
      <c r="AR1502" t="s">
        <v>9</v>
      </c>
      <c r="AS1502" t="s">
        <v>78</v>
      </c>
      <c r="AX1502" t="s">
        <v>79</v>
      </c>
      <c r="AY1502" t="s">
        <v>137</v>
      </c>
      <c r="AZ1502">
        <v>0</v>
      </c>
      <c r="BA1502" t="s">
        <v>137</v>
      </c>
      <c r="BB1502">
        <v>0</v>
      </c>
      <c r="BE1502">
        <v>0</v>
      </c>
    </row>
    <row r="1503" spans="1:58" ht="12.75">
      <c r="A1503" s="2" t="str">
        <f>HYPERLINK("https://ibp.a2mac1.com/costing(costing:projects/details/8191/part/5388904)","Opening Control Support")</f>
        <v>Opening Control Support</v>
      </c>
      <c r="B1503">
        <v>5388904</v>
      </c>
      <c r="C1503">
        <v>5388584</v>
      </c>
      <c r="E1503">
        <v>0.21731213610386049</v>
      </c>
      <c r="F1503">
        <v>0</v>
      </c>
      <c r="G1503">
        <v>0</v>
      </c>
      <c r="H1503">
        <v>0.00044810231988837119</v>
      </c>
      <c r="I1503" t="s">
        <v>137</v>
      </c>
      <c r="J1503">
        <v>0.0076133889301422284</v>
      </c>
      <c r="K1503">
        <v>0.2253736273538911</v>
      </c>
      <c r="L1503">
        <v>0.021195704989821807</v>
      </c>
      <c r="M1503">
        <v>0.12717422993893085</v>
      </c>
      <c r="N1503">
        <v>0.35254785729282195</v>
      </c>
      <c r="O1503" t="s">
        <v>138</v>
      </c>
      <c r="P1503">
        <v>0.013522417641233466</v>
      </c>
      <c r="Q1503" t="s">
        <v>138</v>
      </c>
      <c r="R1503">
        <v>0.0076304537963358511</v>
      </c>
      <c r="S1503" t="s">
        <v>139</v>
      </c>
      <c r="T1503">
        <v>0.042305742875138636</v>
      </c>
      <c r="U1503" t="s">
        <v>216</v>
      </c>
      <c r="V1503">
        <v>0.0017627392864641097</v>
      </c>
      <c r="W1503" t="s">
        <v>217</v>
      </c>
      <c r="X1503">
        <v>0.007050957145856439</v>
      </c>
      <c r="Y1503">
        <v>0.42482016803785044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45</v>
      </c>
      <c r="AF1503">
        <v>253</v>
      </c>
      <c r="AG1503">
        <v>108</v>
      </c>
      <c r="AI1503">
        <v>0.092999999999999999</v>
      </c>
      <c r="AJ1503" t="s">
        <v>685</v>
      </c>
      <c r="AK1503" t="s">
        <v>218</v>
      </c>
      <c r="AL1503" t="s">
        <v>1275</v>
      </c>
      <c r="AM1503">
        <v>200000</v>
      </c>
      <c r="AN1503" t="s">
        <v>76</v>
      </c>
      <c r="AO1503">
        <v>1</v>
      </c>
      <c r="AP1503">
        <v>0</v>
      </c>
      <c r="AQ1503">
        <v>16666.666666666668</v>
      </c>
      <c r="AR1503" t="s">
        <v>9</v>
      </c>
      <c r="AS1503" t="s">
        <v>78</v>
      </c>
      <c r="AX1503" t="s">
        <v>79</v>
      </c>
      <c r="AY1503" t="s">
        <v>137</v>
      </c>
      <c r="AZ1503">
        <v>0</v>
      </c>
      <c r="BA1503" t="s">
        <v>137</v>
      </c>
      <c r="BB1503">
        <v>0</v>
      </c>
      <c r="BE1503">
        <v>0</v>
      </c>
    </row>
    <row r="1504" spans="1:58" ht="12.75">
      <c r="A1504" s="2" t="str">
        <f>HYPERLINK("https://ibp.a2mac1.com/costing(costing:projects/details/8191/part/5388906)","Opening Control")</f>
        <v>Opening Control</v>
      </c>
      <c r="B1504">
        <v>5388906</v>
      </c>
      <c r="C1504">
        <v>5388585</v>
      </c>
      <c r="E1504">
        <v>0.20263788362206139</v>
      </c>
      <c r="F1504">
        <v>0</v>
      </c>
      <c r="G1504">
        <v>0</v>
      </c>
      <c r="H1504">
        <v>0.00041743404026144647</v>
      </c>
      <c r="I1504" t="s">
        <v>137</v>
      </c>
      <c r="J1504">
        <v>0.0070923259267721486</v>
      </c>
      <c r="K1504">
        <v>0.21014764358909496</v>
      </c>
      <c r="L1504">
        <v>0.016520807172407351</v>
      </c>
      <c r="M1504">
        <v>0.099124843034444091</v>
      </c>
      <c r="N1504">
        <v>0.30927248662353907</v>
      </c>
      <c r="O1504" t="s">
        <v>138</v>
      </c>
      <c r="P1504">
        <v>0.012608858615345699</v>
      </c>
      <c r="Q1504" t="s">
        <v>138</v>
      </c>
      <c r="R1504">
        <v>0.0059474905820666455</v>
      </c>
      <c r="S1504" t="s">
        <v>139</v>
      </c>
      <c r="T1504">
        <v>0.037112698394824686</v>
      </c>
      <c r="U1504" t="s">
        <v>216</v>
      </c>
      <c r="V1504">
        <v>0.0015463624331176953</v>
      </c>
      <c r="W1504" t="s">
        <v>217</v>
      </c>
      <c r="X1504">
        <v>0.0061854497324707811</v>
      </c>
      <c r="Y1504">
        <v>0.37267334638136457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40</v>
      </c>
      <c r="AF1504">
        <v>223</v>
      </c>
      <c r="AG1504">
        <v>78</v>
      </c>
      <c r="AI1504">
        <v>0.071999999999999995</v>
      </c>
      <c r="AK1504" t="s">
        <v>218</v>
      </c>
      <c r="AL1504" t="s">
        <v>4730</v>
      </c>
      <c r="AM1504">
        <v>200000</v>
      </c>
      <c r="AN1504" t="s">
        <v>76</v>
      </c>
      <c r="AO1504">
        <v>1</v>
      </c>
      <c r="AP1504">
        <v>0</v>
      </c>
      <c r="AQ1504">
        <v>16666.666666666668</v>
      </c>
      <c r="AR1504" t="s">
        <v>9</v>
      </c>
      <c r="AS1504" t="s">
        <v>78</v>
      </c>
      <c r="AX1504" t="s">
        <v>79</v>
      </c>
      <c r="AY1504" t="s">
        <v>137</v>
      </c>
      <c r="AZ1504">
        <v>0</v>
      </c>
      <c r="BA1504" t="s">
        <v>137</v>
      </c>
      <c r="BB1504">
        <v>0</v>
      </c>
      <c r="BE1504">
        <v>0</v>
      </c>
    </row>
    <row r="1505" spans="1:58" ht="12.75">
      <c r="A1505" s="2" t="str">
        <f>HYPERLINK("https://ibp.a2mac1.com/costing(costing:projects/details/8191/part/5388907)","Opening Control Support")</f>
        <v>Opening Control Support</v>
      </c>
      <c r="B1505">
        <v>5388907</v>
      </c>
      <c r="C1505">
        <v>5388585</v>
      </c>
      <c r="E1505">
        <v>0.41690611150191759</v>
      </c>
      <c r="F1505">
        <v>0</v>
      </c>
      <c r="G1505">
        <v>0</v>
      </c>
      <c r="H1505">
        <v>0.00085966940958310558</v>
      </c>
      <c r="I1505" t="s">
        <v>137</v>
      </c>
      <c r="J1505">
        <v>0.014606033657965384</v>
      </c>
      <c r="K1505">
        <v>0.43237181456946611</v>
      </c>
      <c r="L1505">
        <v>0.021048452147644357</v>
      </c>
      <c r="M1505">
        <v>0.12629071288586616</v>
      </c>
      <c r="N1505">
        <v>0.55866252745533229</v>
      </c>
      <c r="O1505" t="s">
        <v>138</v>
      </c>
      <c r="P1505">
        <v>0.025942308874167964</v>
      </c>
      <c r="Q1505" t="s">
        <v>138</v>
      </c>
      <c r="R1505">
        <v>0.0075774427731519689</v>
      </c>
      <c r="S1505" t="s">
        <v>139</v>
      </c>
      <c r="T1505">
        <v>0.067039503294639868</v>
      </c>
      <c r="U1505" t="s">
        <v>216</v>
      </c>
      <c r="V1505">
        <v>0.0027933126372766612</v>
      </c>
      <c r="W1505" t="s">
        <v>217</v>
      </c>
      <c r="X1505">
        <v>0.011173250549106645</v>
      </c>
      <c r="Y1505">
        <v>0.67318834558367535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53</v>
      </c>
      <c r="AF1505">
        <v>275</v>
      </c>
      <c r="AG1505">
        <v>124</v>
      </c>
      <c r="AI1505">
        <v>0.21199999999999999</v>
      </c>
      <c r="AJ1505" t="s">
        <v>685</v>
      </c>
      <c r="AK1505" t="s">
        <v>218</v>
      </c>
      <c r="AL1505" t="s">
        <v>5142</v>
      </c>
      <c r="AM1505">
        <v>200000</v>
      </c>
      <c r="AN1505" t="s">
        <v>76</v>
      </c>
      <c r="AO1505">
        <v>1</v>
      </c>
      <c r="AP1505">
        <v>0</v>
      </c>
      <c r="AQ1505">
        <v>16666.666666666668</v>
      </c>
      <c r="AR1505" t="s">
        <v>9</v>
      </c>
      <c r="AS1505" t="s">
        <v>78</v>
      </c>
      <c r="AX1505" t="s">
        <v>79</v>
      </c>
      <c r="AY1505" t="s">
        <v>137</v>
      </c>
      <c r="AZ1505">
        <v>0</v>
      </c>
      <c r="BA1505" t="s">
        <v>137</v>
      </c>
      <c r="BB1505">
        <v>0</v>
      </c>
      <c r="BE1505">
        <v>0</v>
      </c>
    </row>
    <row r="1506" spans="1:58" ht="12.75">
      <c r="A1506" s="2" t="str">
        <f>HYPERLINK("https://ibp.a2mac1.com/costing(costing:projects/details/8191/part/5388908)","2nd Opening Control Support")</f>
        <v>2nd Opening Control Support</v>
      </c>
      <c r="B1506">
        <v>5388908</v>
      </c>
      <c r="C1506">
        <v>5388585</v>
      </c>
      <c r="E1506">
        <v>0.17250239910609633</v>
      </c>
      <c r="F1506">
        <v>0</v>
      </c>
      <c r="G1506">
        <v>0</v>
      </c>
      <c r="H1506">
        <v>0.00035570367404058785</v>
      </c>
      <c r="I1506" t="s">
        <v>137</v>
      </c>
      <c r="J1506">
        <v>0.0060435090249614442</v>
      </c>
      <c r="K1506">
        <v>0.17890161180509837</v>
      </c>
      <c r="L1506">
        <v>0.019665864559070736</v>
      </c>
      <c r="M1506">
        <v>0.11799518735442442</v>
      </c>
      <c r="N1506">
        <v>0.29689679915952277</v>
      </c>
      <c r="O1506" t="s">
        <v>138</v>
      </c>
      <c r="P1506">
        <v>0.010734096708305902</v>
      </c>
      <c r="Q1506" t="s">
        <v>138</v>
      </c>
      <c r="R1506">
        <v>0.0070797112412654649</v>
      </c>
      <c r="S1506" t="s">
        <v>139</v>
      </c>
      <c r="T1506">
        <v>0.035627615899142734</v>
      </c>
      <c r="U1506" t="s">
        <v>216</v>
      </c>
      <c r="V1506">
        <v>0.0014844839957976138</v>
      </c>
      <c r="W1506" t="s">
        <v>217</v>
      </c>
      <c r="X1506">
        <v>0.0059379359831904554</v>
      </c>
      <c r="Y1506">
        <v>0.35776064298722493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75</v>
      </c>
      <c r="AF1506">
        <v>250</v>
      </c>
      <c r="AG1506">
        <v>84</v>
      </c>
      <c r="AI1506">
        <v>0.079000000000000001</v>
      </c>
      <c r="AJ1506" t="s">
        <v>685</v>
      </c>
      <c r="AK1506" t="s">
        <v>218</v>
      </c>
      <c r="AL1506" t="s">
        <v>1261</v>
      </c>
      <c r="AM1506">
        <v>200000</v>
      </c>
      <c r="AN1506" t="s">
        <v>76</v>
      </c>
      <c r="AO1506">
        <v>1</v>
      </c>
      <c r="AP1506">
        <v>0</v>
      </c>
      <c r="AQ1506">
        <v>16666.666666666668</v>
      </c>
      <c r="AR1506" t="s">
        <v>9</v>
      </c>
      <c r="AS1506" t="s">
        <v>78</v>
      </c>
      <c r="AX1506" t="s">
        <v>79</v>
      </c>
      <c r="AY1506" t="s">
        <v>137</v>
      </c>
      <c r="AZ1506">
        <v>0</v>
      </c>
      <c r="BA1506" t="s">
        <v>137</v>
      </c>
      <c r="BB1506">
        <v>0</v>
      </c>
      <c r="BE1506">
        <v>0</v>
      </c>
    </row>
    <row r="1507" spans="1:58" ht="12.75">
      <c r="A1507" s="2" t="str">
        <f>HYPERLINK("https://ibp.a2mac1.com/costing(costing:projects/details/8191/part/5388909)","Bezel")</f>
        <v>Bezel</v>
      </c>
      <c r="B1507">
        <v>5388909</v>
      </c>
      <c r="C1507">
        <v>5388585</v>
      </c>
      <c r="E1507">
        <v>0.069825503999999997</v>
      </c>
      <c r="F1507">
        <v>0</v>
      </c>
      <c r="G1507">
        <v>0</v>
      </c>
      <c r="H1507">
        <v>0.00035420255663157896</v>
      </c>
      <c r="I1507" t="s">
        <v>137</v>
      </c>
      <c r="J1507">
        <v>0.0024500176842105264</v>
      </c>
      <c r="K1507">
        <v>0.072629724240842103</v>
      </c>
      <c r="L1507">
        <v>0.0013462014932372193</v>
      </c>
      <c r="M1507">
        <v>0.0080772089594233158</v>
      </c>
      <c r="N1507">
        <v>0.080706933200265424</v>
      </c>
      <c r="O1507" t="s">
        <v>138</v>
      </c>
      <c r="P1507">
        <v>0.0043577834544505263</v>
      </c>
      <c r="Q1507" t="s">
        <v>138</v>
      </c>
      <c r="R1507">
        <v>0.00048463253756539891</v>
      </c>
      <c r="S1507" t="s">
        <v>139</v>
      </c>
      <c r="T1507">
        <v>0.0096848319840318504</v>
      </c>
      <c r="U1507" t="s">
        <v>216</v>
      </c>
      <c r="V1507">
        <v>0.0004035346660013271</v>
      </c>
      <c r="W1507" t="s">
        <v>217</v>
      </c>
      <c r="X1507">
        <v>0.0016141386640053084</v>
      </c>
      <c r="Y1507">
        <v>0.097251854506319832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30</v>
      </c>
      <c r="AF1507">
        <v>237</v>
      </c>
      <c r="AG1507">
        <v>47</v>
      </c>
      <c r="AI1507">
        <v>0.029000000000000001</v>
      </c>
      <c r="AK1507" t="s">
        <v>218</v>
      </c>
      <c r="AL1507" t="s">
        <v>1275</v>
      </c>
      <c r="AM1507">
        <v>200000</v>
      </c>
      <c r="AN1507" t="s">
        <v>76</v>
      </c>
      <c r="AO1507">
        <v>1</v>
      </c>
      <c r="AP1507">
        <v>0</v>
      </c>
      <c r="AQ1507">
        <v>16666.666666666668</v>
      </c>
      <c r="AR1507" t="s">
        <v>9</v>
      </c>
      <c r="AS1507" t="s">
        <v>78</v>
      </c>
      <c r="AX1507" t="s">
        <v>79</v>
      </c>
      <c r="AY1507" t="s">
        <v>137</v>
      </c>
      <c r="AZ1507">
        <v>0</v>
      </c>
      <c r="BA1507" t="s">
        <v>137</v>
      </c>
      <c r="BB1507">
        <v>0</v>
      </c>
      <c r="BE1507">
        <v>0</v>
      </c>
    </row>
    <row r="1508" spans="1:58" ht="12.75">
      <c r="A1508" s="2" t="str">
        <f>HYPERLINK("https://ibp.a2mac1.com/costing(costing:projects/details/8191/part/5388910)","Lock Cylinder Dummy Trim")</f>
        <v>Lock Cylinder Dummy Trim</v>
      </c>
      <c r="B1508">
        <v>5388910</v>
      </c>
      <c r="C1508">
        <v>5388585</v>
      </c>
      <c r="E1508">
        <v>0.0046909894736842104</v>
      </c>
      <c r="F1508">
        <v>0</v>
      </c>
      <c r="G1508">
        <v>0</v>
      </c>
      <c r="H1508">
        <v>2.3736406736842104E-05</v>
      </c>
      <c r="I1508" t="s">
        <v>137</v>
      </c>
      <c r="J1508">
        <v>0.00016418463157894737</v>
      </c>
      <c r="K1508">
        <v>0.0048789105119999999</v>
      </c>
      <c r="L1508">
        <v>9.2835151385610077E-05</v>
      </c>
      <c r="M1508">
        <v>0.00055701090831366043</v>
      </c>
      <c r="N1508">
        <v>0.0054359214203136604</v>
      </c>
      <c r="O1508" t="s">
        <v>138</v>
      </c>
      <c r="P1508">
        <v>0.00029273463072</v>
      </c>
      <c r="Q1508" t="s">
        <v>138</v>
      </c>
      <c r="R1508">
        <v>3.3420654498819631E-05</v>
      </c>
      <c r="S1508" t="s">
        <v>139</v>
      </c>
      <c r="T1508">
        <v>0.00065231057043763931</v>
      </c>
      <c r="U1508" t="s">
        <v>216</v>
      </c>
      <c r="V1508">
        <v>2.7179607101568302E-05</v>
      </c>
      <c r="W1508" t="s">
        <v>217</v>
      </c>
      <c r="X1508">
        <v>0.00010871842840627321</v>
      </c>
      <c r="Y1508">
        <v>0.0065502853114779609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7</v>
      </c>
      <c r="AF1508">
        <v>36</v>
      </c>
      <c r="AG1508">
        <v>30</v>
      </c>
      <c r="AI1508">
        <v>0.002</v>
      </c>
      <c r="AK1508" t="s">
        <v>218</v>
      </c>
      <c r="AL1508" t="s">
        <v>5153</v>
      </c>
      <c r="AM1508">
        <v>200000</v>
      </c>
      <c r="AN1508" t="s">
        <v>76</v>
      </c>
      <c r="AO1508">
        <v>1</v>
      </c>
      <c r="AP1508">
        <v>0</v>
      </c>
      <c r="AQ1508">
        <v>16666.666666666668</v>
      </c>
      <c r="AR1508" t="s">
        <v>9</v>
      </c>
      <c r="AS1508" t="s">
        <v>78</v>
      </c>
      <c r="AX1508" t="s">
        <v>79</v>
      </c>
      <c r="AY1508" t="s">
        <v>137</v>
      </c>
      <c r="AZ1508">
        <v>0</v>
      </c>
      <c r="BA1508" t="s">
        <v>137</v>
      </c>
      <c r="BB1508">
        <v>0</v>
      </c>
      <c r="BE1508">
        <v>0</v>
      </c>
    </row>
    <row r="1509" spans="1:58" ht="12.75">
      <c r="A1509" s="2" t="str">
        <f>HYPERLINK("https://ibp.a2mac1.com/costing(costing:projects/details/8191/part/5388911)","Welcome light")</f>
        <v>Welcome light</v>
      </c>
      <c r="B1509">
        <v>5388911</v>
      </c>
      <c r="C1509">
        <v>5388585</v>
      </c>
      <c r="E1509">
        <v>1.19956</v>
      </c>
      <c r="F1509">
        <v>0</v>
      </c>
      <c r="G1509">
        <v>0</v>
      </c>
      <c r="H1509">
        <v>0</v>
      </c>
      <c r="I1509" t="s">
        <v>74</v>
      </c>
      <c r="J1509">
        <v>0</v>
      </c>
      <c r="K1509">
        <v>1.19956</v>
      </c>
      <c r="L1509">
        <v>0</v>
      </c>
      <c r="M1509">
        <v>0</v>
      </c>
      <c r="N1509">
        <v>1.19956</v>
      </c>
      <c r="O1509" t="s">
        <v>74</v>
      </c>
      <c r="P1509">
        <v>0</v>
      </c>
      <c r="Q1509" t="s">
        <v>74</v>
      </c>
      <c r="R1509">
        <v>0</v>
      </c>
      <c r="S1509" t="s">
        <v>74</v>
      </c>
      <c r="T1509">
        <v>0</v>
      </c>
      <c r="U1509" t="s">
        <v>74</v>
      </c>
      <c r="V1509">
        <v>0</v>
      </c>
      <c r="W1509" t="s">
        <v>74</v>
      </c>
      <c r="X1509">
        <v>0</v>
      </c>
      <c r="Y1509">
        <v>1.19956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15</v>
      </c>
      <c r="AF1509">
        <v>76</v>
      </c>
      <c r="AG1509">
        <v>12</v>
      </c>
      <c r="AI1509">
        <v>0.001</v>
      </c>
      <c r="AK1509" t="s">
        <v>218</v>
      </c>
      <c r="AL1509" t="s">
        <v>4750</v>
      </c>
      <c r="AM1509">
        <v>200000</v>
      </c>
      <c r="AN1509" t="s">
        <v>76</v>
      </c>
      <c r="AO1509">
        <v>1</v>
      </c>
      <c r="AP1509">
        <v>0</v>
      </c>
      <c r="AQ1509">
        <v>16666.666666666668</v>
      </c>
      <c r="AR1509" t="s">
        <v>9</v>
      </c>
      <c r="AS1509" t="s">
        <v>78</v>
      </c>
      <c r="AX1509" t="s">
        <v>79</v>
      </c>
      <c r="AY1509" t="s">
        <v>74</v>
      </c>
      <c r="AZ1509">
        <v>0</v>
      </c>
      <c r="BA1509" t="s">
        <v>74</v>
      </c>
      <c r="BB1509">
        <v>0</v>
      </c>
      <c r="BD1509">
        <v>1.19956</v>
      </c>
      <c r="BE1509">
        <v>0</v>
      </c>
    </row>
    <row r="1510" spans="1:58" ht="12.75">
      <c r="A1510" s="2" t="str">
        <f>HYPERLINK("https://ibp.a2mac1.com/costing(costing:projects/details/8191/part/5388912)","Unlocking Contactor")</f>
        <v>Unlocking Contactor</v>
      </c>
      <c r="B1510">
        <v>5388912</v>
      </c>
      <c r="C1510">
        <v>5388585</v>
      </c>
      <c r="E1510">
        <v>1.1072900000000001</v>
      </c>
      <c r="F1510">
        <v>0</v>
      </c>
      <c r="G1510">
        <v>0</v>
      </c>
      <c r="H1510">
        <v>0</v>
      </c>
      <c r="I1510" t="s">
        <v>74</v>
      </c>
      <c r="J1510">
        <v>0</v>
      </c>
      <c r="K1510">
        <v>1.1072900000000001</v>
      </c>
      <c r="L1510">
        <v>0</v>
      </c>
      <c r="M1510">
        <v>0</v>
      </c>
      <c r="N1510">
        <v>1.1072900000000001</v>
      </c>
      <c r="O1510" t="s">
        <v>74</v>
      </c>
      <c r="P1510">
        <v>0</v>
      </c>
      <c r="Q1510" t="s">
        <v>74</v>
      </c>
      <c r="R1510">
        <v>0</v>
      </c>
      <c r="S1510" t="s">
        <v>74</v>
      </c>
      <c r="T1510">
        <v>0</v>
      </c>
      <c r="U1510" t="s">
        <v>74</v>
      </c>
      <c r="V1510">
        <v>0</v>
      </c>
      <c r="W1510" t="s">
        <v>74</v>
      </c>
      <c r="X1510">
        <v>0</v>
      </c>
      <c r="Y1510">
        <v>1.1072900000000001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9</v>
      </c>
      <c r="AF1510">
        <v>149</v>
      </c>
      <c r="AG1510">
        <v>22</v>
      </c>
      <c r="AI1510">
        <v>0.001</v>
      </c>
      <c r="AJ1510" t="s">
        <v>3265</v>
      </c>
      <c r="AK1510" t="s">
        <v>218</v>
      </c>
      <c r="AL1510" t="s">
        <v>681</v>
      </c>
      <c r="AM1510">
        <v>200000</v>
      </c>
      <c r="AN1510" t="s">
        <v>76</v>
      </c>
      <c r="AO1510">
        <v>1</v>
      </c>
      <c r="AP1510">
        <v>0</v>
      </c>
      <c r="AQ1510">
        <v>16666.666666666668</v>
      </c>
      <c r="AR1510" t="s">
        <v>9</v>
      </c>
      <c r="AS1510" t="s">
        <v>78</v>
      </c>
      <c r="AX1510" t="s">
        <v>79</v>
      </c>
      <c r="AY1510" t="s">
        <v>74</v>
      </c>
      <c r="AZ1510">
        <v>0</v>
      </c>
      <c r="BA1510" t="s">
        <v>74</v>
      </c>
      <c r="BB1510">
        <v>0</v>
      </c>
      <c r="BD1510">
        <v>1.1072900000000001</v>
      </c>
      <c r="BE1510">
        <v>0</v>
      </c>
    </row>
    <row r="1511" spans="1:58" ht="12.75">
      <c r="A1511" s="2" t="str">
        <f>HYPERLINK("https://ibp.a2mac1.com/costing(costing:projects/details/8191/part/5388582)","Door Latch")</f>
        <v>Door Latch</v>
      </c>
      <c r="B1511">
        <v>5388582</v>
      </c>
      <c r="C1511">
        <v>5388243</v>
      </c>
      <c r="E1511">
        <v>0</v>
      </c>
      <c r="F1511">
        <v>4.3797994800856248</v>
      </c>
      <c r="G1511">
        <v>0</v>
      </c>
      <c r="H1511">
        <v>0</v>
      </c>
      <c r="I1511" t="s">
        <v>137</v>
      </c>
      <c r="J1511">
        <v>0</v>
      </c>
      <c r="K1511">
        <v>4.5330924618886224</v>
      </c>
      <c r="L1511">
        <v>0.10844100670092785</v>
      </c>
      <c r="M1511">
        <v>0.65064604020556704</v>
      </c>
      <c r="N1511">
        <v>5.1837385020941893</v>
      </c>
      <c r="O1511" t="s">
        <v>138</v>
      </c>
      <c r="P1511">
        <v>0.27198554771331734</v>
      </c>
      <c r="Q1511" t="s">
        <v>138</v>
      </c>
      <c r="R1511">
        <v>0.039038762412334026</v>
      </c>
      <c r="S1511" t="s">
        <v>139</v>
      </c>
      <c r="T1511">
        <v>0.6220486202513027</v>
      </c>
      <c r="U1511" t="s">
        <v>216</v>
      </c>
      <c r="V1511">
        <v>0.025918692510470947</v>
      </c>
      <c r="W1511" t="s">
        <v>217</v>
      </c>
      <c r="X1511">
        <v>0.10367477004188379</v>
      </c>
      <c r="Y1511">
        <v>6.246404895023498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147</v>
      </c>
      <c r="AF1511">
        <v>85</v>
      </c>
      <c r="AG1511">
        <v>175</v>
      </c>
      <c r="AI1511">
        <v>0.775</v>
      </c>
      <c r="AJ1511" t="s">
        <v>4764</v>
      </c>
      <c r="AK1511" t="s">
        <v>218</v>
      </c>
      <c r="AL1511" t="s">
        <v>1309</v>
      </c>
      <c r="AM1511">
        <v>200000</v>
      </c>
      <c r="AN1511" t="s">
        <v>76</v>
      </c>
      <c r="AO1511">
        <v>1</v>
      </c>
      <c r="AP1511">
        <v>0</v>
      </c>
      <c r="AQ1511">
        <v>16666.666666666668</v>
      </c>
      <c r="AR1511" t="s">
        <v>9</v>
      </c>
      <c r="AS1511" t="s">
        <v>78</v>
      </c>
      <c r="AX1511" t="s">
        <v>79</v>
      </c>
      <c r="AY1511" t="s">
        <v>137</v>
      </c>
      <c r="AZ1511">
        <v>0.15329298180299689</v>
      </c>
      <c r="BA1511" t="s">
        <v>137</v>
      </c>
      <c r="BB1511">
        <v>0</v>
      </c>
      <c r="BE1511">
        <v>0</v>
      </c>
    </row>
    <row r="1512" spans="1:58" ht="12.75">
      <c r="A1512" s="2" t="str">
        <f>HYPERLINK("https://ibp.a2mac1.com/costing(costing:projects/details/8191/part/5388583)","Door Striker")</f>
        <v>Door Striker</v>
      </c>
      <c r="B1512">
        <v>5388583</v>
      </c>
      <c r="C1512">
        <v>5388243</v>
      </c>
      <c r="E1512">
        <v>0.079468999999999998</v>
      </c>
      <c r="F1512">
        <v>0</v>
      </c>
      <c r="G1512">
        <v>0</v>
      </c>
      <c r="H1512">
        <v>0.0006200328571428572</v>
      </c>
      <c r="I1512" t="s">
        <v>137</v>
      </c>
      <c r="J1512">
        <v>0.0030565000000000002</v>
      </c>
      <c r="K1512">
        <v>0.083145532857142851</v>
      </c>
      <c r="L1512">
        <v>0.01012447902495087</v>
      </c>
      <c r="M1512">
        <v>0.06074687414970522</v>
      </c>
      <c r="N1512">
        <v>0.14389240700684808</v>
      </c>
      <c r="O1512" t="s">
        <v>138</v>
      </c>
      <c r="P1512">
        <v>0.0049887319714285719</v>
      </c>
      <c r="Q1512" t="s">
        <v>138</v>
      </c>
      <c r="R1512">
        <v>0.003644812448982313</v>
      </c>
      <c r="S1512" t="s">
        <v>139</v>
      </c>
      <c r="T1512">
        <v>0.01726708884082177</v>
      </c>
      <c r="U1512" t="s">
        <v>216</v>
      </c>
      <c r="V1512">
        <v>0.00071946203503424041</v>
      </c>
      <c r="W1512" t="s">
        <v>217</v>
      </c>
      <c r="X1512">
        <v>0.0028778481401369616</v>
      </c>
      <c r="Y1512">
        <v>0.17339035044325193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34</v>
      </c>
      <c r="AF1512">
        <v>48</v>
      </c>
      <c r="AG1512">
        <v>67</v>
      </c>
      <c r="AI1512">
        <v>0.098000000000000004</v>
      </c>
      <c r="AJ1512" t="s">
        <v>685</v>
      </c>
      <c r="AK1512" t="s">
        <v>218</v>
      </c>
      <c r="AL1512" t="s">
        <v>720</v>
      </c>
      <c r="AM1512">
        <v>200000</v>
      </c>
      <c r="AN1512" t="s">
        <v>76</v>
      </c>
      <c r="AO1512">
        <v>1</v>
      </c>
      <c r="AP1512">
        <v>0</v>
      </c>
      <c r="AQ1512">
        <v>16666.666666666668</v>
      </c>
      <c r="AR1512" t="s">
        <v>9</v>
      </c>
      <c r="AS1512" t="s">
        <v>78</v>
      </c>
      <c r="AX1512" t="s">
        <v>79</v>
      </c>
      <c r="AY1512" t="s">
        <v>137</v>
      </c>
      <c r="AZ1512">
        <v>0</v>
      </c>
      <c r="BA1512" t="s">
        <v>137</v>
      </c>
      <c r="BB1512">
        <v>0</v>
      </c>
      <c r="BE1512">
        <v>0</v>
      </c>
    </row>
    <row r="1513" spans="1:58" ht="12.75">
      <c r="A1513" s="2" t="str">
        <f>HYPERLINK("https://ibp.a2mac1.com/costing(costing:projects/details/8191/part/5388587)","Rear Quarter Window")</f>
        <v>Rear Quarter Window</v>
      </c>
      <c r="B1513">
        <v>5388587</v>
      </c>
      <c r="C1513">
        <v>5388244</v>
      </c>
      <c r="E1513">
        <v>0.73074511399999997</v>
      </c>
      <c r="F1513">
        <v>0</v>
      </c>
      <c r="G1513">
        <v>0</v>
      </c>
      <c r="H1513">
        <v>0.0037048184429473684</v>
      </c>
      <c r="I1513" t="s">
        <v>137</v>
      </c>
      <c r="J1513">
        <v>0.025626214526315791</v>
      </c>
      <c r="K1513">
        <v>0.76007614696926318</v>
      </c>
      <c r="L1513">
        <v>0.0333747051768606</v>
      </c>
      <c r="M1513">
        <v>0.20024823106116363</v>
      </c>
      <c r="N1513">
        <v>0.96032437803042681</v>
      </c>
      <c r="O1513" t="s">
        <v>138</v>
      </c>
      <c r="P1513">
        <v>0.045604568818155791</v>
      </c>
      <c r="Q1513" t="s">
        <v>138</v>
      </c>
      <c r="R1513">
        <v>0.012014893863669817</v>
      </c>
      <c r="S1513" t="s">
        <v>139</v>
      </c>
      <c r="T1513">
        <v>0.11523892536365121</v>
      </c>
      <c r="U1513" t="s">
        <v>216</v>
      </c>
      <c r="V1513">
        <v>0.0048016218901521341</v>
      </c>
      <c r="W1513" t="s">
        <v>217</v>
      </c>
      <c r="X1513">
        <v>0.019206487560608537</v>
      </c>
      <c r="Y1513">
        <v>1.1571908755266642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43</v>
      </c>
      <c r="AF1513">
        <v>329</v>
      </c>
      <c r="AG1513">
        <v>515</v>
      </c>
      <c r="AI1513">
        <v>0.995</v>
      </c>
      <c r="AJ1513" t="s">
        <v>4803</v>
      </c>
      <c r="AK1513" t="s">
        <v>218</v>
      </c>
      <c r="AL1513" t="s">
        <v>5179</v>
      </c>
      <c r="AM1513">
        <v>200000</v>
      </c>
      <c r="AN1513" t="s">
        <v>76</v>
      </c>
      <c r="AO1513">
        <v>1</v>
      </c>
      <c r="AP1513">
        <v>0</v>
      </c>
      <c r="AQ1513">
        <v>16666.666666666668</v>
      </c>
      <c r="AR1513" t="s">
        <v>9</v>
      </c>
      <c r="AS1513" t="s">
        <v>78</v>
      </c>
      <c r="AX1513" t="s">
        <v>79</v>
      </c>
      <c r="AY1513" t="s">
        <v>137</v>
      </c>
      <c r="AZ1513">
        <v>0</v>
      </c>
      <c r="BA1513" t="s">
        <v>137</v>
      </c>
      <c r="BB1513">
        <v>0</v>
      </c>
      <c r="BE1513">
        <v>0</v>
      </c>
    </row>
    <row r="1514" spans="1:58" ht="12.75">
      <c r="A1514" s="2" t="str">
        <f>HYPERLINK("https://ibp.a2mac1.com/costing(costing:projects/details/8191/part/5388588)","Window Regulator")</f>
        <v>Window Regulator</v>
      </c>
      <c r="B1514">
        <v>5388588</v>
      </c>
      <c r="C1514">
        <v>5388244</v>
      </c>
      <c r="D1514" t="s">
        <v>4806</v>
      </c>
      <c r="E1514">
        <v>13.841100000000001</v>
      </c>
      <c r="F1514">
        <v>0</v>
      </c>
      <c r="G1514">
        <v>0</v>
      </c>
      <c r="H1514">
        <v>0</v>
      </c>
      <c r="I1514" t="s">
        <v>74</v>
      </c>
      <c r="J1514">
        <v>0</v>
      </c>
      <c r="K1514">
        <v>13.841100000000001</v>
      </c>
      <c r="L1514">
        <v>0</v>
      </c>
      <c r="M1514">
        <v>0</v>
      </c>
      <c r="N1514">
        <v>13.841100000000001</v>
      </c>
      <c r="O1514" t="s">
        <v>74</v>
      </c>
      <c r="P1514">
        <v>0</v>
      </c>
      <c r="Q1514" t="s">
        <v>74</v>
      </c>
      <c r="R1514">
        <v>0</v>
      </c>
      <c r="S1514" t="s">
        <v>74</v>
      </c>
      <c r="T1514">
        <v>0</v>
      </c>
      <c r="U1514" t="s">
        <v>74</v>
      </c>
      <c r="V1514">
        <v>0</v>
      </c>
      <c r="W1514" t="s">
        <v>74</v>
      </c>
      <c r="X1514">
        <v>0</v>
      </c>
      <c r="Y1514">
        <v>13.841100000000001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73</v>
      </c>
      <c r="AF1514">
        <v>353</v>
      </c>
      <c r="AG1514">
        <v>575</v>
      </c>
      <c r="AI1514">
        <v>0.63900000000000001</v>
      </c>
      <c r="AJ1514" t="s">
        <v>2898</v>
      </c>
      <c r="AK1514" t="s">
        <v>218</v>
      </c>
      <c r="AL1514" t="s">
        <v>5181</v>
      </c>
      <c r="AM1514">
        <v>200000</v>
      </c>
      <c r="AN1514" t="s">
        <v>76</v>
      </c>
      <c r="AO1514">
        <v>1</v>
      </c>
      <c r="AP1514">
        <v>0</v>
      </c>
      <c r="AQ1514">
        <v>16666.666666666668</v>
      </c>
      <c r="AR1514" t="s">
        <v>9</v>
      </c>
      <c r="AS1514" t="s">
        <v>78</v>
      </c>
      <c r="AX1514" t="s">
        <v>79</v>
      </c>
      <c r="AY1514" t="s">
        <v>74</v>
      </c>
      <c r="AZ1514">
        <v>0</v>
      </c>
      <c r="BA1514" t="s">
        <v>74</v>
      </c>
      <c r="BB1514">
        <v>0</v>
      </c>
      <c r="BD1514">
        <v>13.841100000000001</v>
      </c>
      <c r="BE1514">
        <v>0</v>
      </c>
    </row>
    <row r="1515" spans="1:58" ht="12.75">
      <c r="A1515" s="2" t="str">
        <f>HYPERLINK("https://ibp.a2mac1.com/costing(costing:projects/details/8191/part/5388589)","Window Regulator Motor")</f>
        <v>Window Regulator Motor</v>
      </c>
      <c r="B1515">
        <v>5388589</v>
      </c>
      <c r="C1515">
        <v>5388244</v>
      </c>
      <c r="E1515">
        <v>4.8905200000000004</v>
      </c>
      <c r="F1515">
        <v>0</v>
      </c>
      <c r="G1515">
        <v>0</v>
      </c>
      <c r="H1515">
        <v>0</v>
      </c>
      <c r="I1515" t="s">
        <v>74</v>
      </c>
      <c r="J1515">
        <v>0</v>
      </c>
      <c r="K1515">
        <v>4.8905200000000004</v>
      </c>
      <c r="L1515">
        <v>0</v>
      </c>
      <c r="M1515">
        <v>0</v>
      </c>
      <c r="N1515">
        <v>4.8905200000000004</v>
      </c>
      <c r="O1515" t="s">
        <v>74</v>
      </c>
      <c r="P1515">
        <v>0</v>
      </c>
      <c r="Q1515" t="s">
        <v>74</v>
      </c>
      <c r="R1515">
        <v>0</v>
      </c>
      <c r="S1515" t="s">
        <v>74</v>
      </c>
      <c r="T1515">
        <v>0</v>
      </c>
      <c r="U1515" t="s">
        <v>74</v>
      </c>
      <c r="V1515">
        <v>0</v>
      </c>
      <c r="W1515" t="s">
        <v>74</v>
      </c>
      <c r="X1515">
        <v>0</v>
      </c>
      <c r="Y1515">
        <v>4.8905200000000004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44</v>
      </c>
      <c r="AF1515">
        <v>178</v>
      </c>
      <c r="AG1515">
        <v>128</v>
      </c>
      <c r="AI1515">
        <v>0.443</v>
      </c>
      <c r="AJ1515" t="s">
        <v>2898</v>
      </c>
      <c r="AK1515" t="s">
        <v>218</v>
      </c>
      <c r="AL1515" t="s">
        <v>5183</v>
      </c>
      <c r="AM1515">
        <v>200000</v>
      </c>
      <c r="AN1515" t="s">
        <v>76</v>
      </c>
      <c r="AO1515">
        <v>1</v>
      </c>
      <c r="AP1515">
        <v>0</v>
      </c>
      <c r="AQ1515">
        <v>16666.666666666668</v>
      </c>
      <c r="AR1515" t="s">
        <v>9</v>
      </c>
      <c r="AS1515" t="s">
        <v>78</v>
      </c>
      <c r="AX1515" t="s">
        <v>79</v>
      </c>
      <c r="AY1515" t="s">
        <v>74</v>
      </c>
      <c r="AZ1515">
        <v>0</v>
      </c>
      <c r="BA1515" t="s">
        <v>74</v>
      </c>
      <c r="BB1515">
        <v>0</v>
      </c>
      <c r="BD1515">
        <v>4.8905200000000004</v>
      </c>
      <c r="BE1515">
        <v>0</v>
      </c>
    </row>
    <row r="1516" spans="1:58" ht="12.75">
      <c r="A1516" s="2" t="str">
        <f>HYPERLINK("https://ibp.a2mac1.com/costing(costing:projects/details/8191/part/5388915)","On Body")</f>
        <v>On Body</v>
      </c>
      <c r="B1516">
        <v>5388915</v>
      </c>
      <c r="C1516">
        <v>5388595</v>
      </c>
      <c r="E1516">
        <v>3.2748405538526315</v>
      </c>
      <c r="F1516">
        <v>0</v>
      </c>
      <c r="G1516">
        <v>0</v>
      </c>
      <c r="H1516">
        <v>0.0067674877917473682</v>
      </c>
      <c r="I1516" t="s">
        <v>137</v>
      </c>
      <c r="J1516">
        <v>0.11498158869473685</v>
      </c>
      <c r="K1516">
        <v>3.3965896303391157</v>
      </c>
      <c r="L1516">
        <v>0.052681933704389998</v>
      </c>
      <c r="M1516">
        <v>0.31609160222633997</v>
      </c>
      <c r="N1516">
        <v>3.7126812325654557</v>
      </c>
      <c r="O1516" t="s">
        <v>138</v>
      </c>
      <c r="P1516">
        <v>0.20379537782034696</v>
      </c>
      <c r="Q1516" t="s">
        <v>138</v>
      </c>
      <c r="R1516">
        <v>0.018965496133580399</v>
      </c>
      <c r="S1516" t="s">
        <v>139</v>
      </c>
      <c r="T1516">
        <v>0.4455217479078547</v>
      </c>
      <c r="U1516" t="s">
        <v>216</v>
      </c>
      <c r="V1516">
        <v>0.01856340616282728</v>
      </c>
      <c r="W1516" t="s">
        <v>217</v>
      </c>
      <c r="X1516">
        <v>0.074253624651309122</v>
      </c>
      <c r="Y1516">
        <v>4.4737808852413741</v>
      </c>
      <c r="Z1516">
        <v>0</v>
      </c>
      <c r="AA1516">
        <v>0</v>
      </c>
      <c r="AB1516">
        <v>0</v>
      </c>
      <c r="AC1516">
        <v>0</v>
      </c>
      <c r="AD1516">
        <v>0</v>
      </c>
      <c r="AI1516">
        <v>1.327</v>
      </c>
      <c r="AJ1516" t="s">
        <v>685</v>
      </c>
      <c r="AK1516" t="s">
        <v>218</v>
      </c>
      <c r="AL1516" t="s">
        <v>4824</v>
      </c>
      <c r="AM1516">
        <v>200000</v>
      </c>
      <c r="AN1516" t="s">
        <v>76</v>
      </c>
      <c r="AO1516">
        <v>1</v>
      </c>
      <c r="AP1516">
        <v>0</v>
      </c>
      <c r="AQ1516">
        <v>16666.666666666668</v>
      </c>
      <c r="AR1516" t="s">
        <v>9</v>
      </c>
      <c r="AS1516" t="s">
        <v>78</v>
      </c>
      <c r="AX1516" t="s">
        <v>79</v>
      </c>
      <c r="AY1516" t="s">
        <v>137</v>
      </c>
      <c r="AZ1516">
        <v>0</v>
      </c>
      <c r="BA1516" t="s">
        <v>137</v>
      </c>
      <c r="BB1516">
        <v>0</v>
      </c>
      <c r="BE1516">
        <v>0</v>
      </c>
    </row>
    <row r="1517" spans="1:58" ht="12.75">
      <c r="A1517" s="2" t="str">
        <f>HYPERLINK("https://ibp.a2mac1.com/costing(costing:projects/details/8191/part/5388916)","On Door")</f>
        <v>On Door</v>
      </c>
      <c r="B1517">
        <v>5388916</v>
      </c>
      <c r="C1517">
        <v>5388595</v>
      </c>
      <c r="E1517">
        <v>0.95259114829473679</v>
      </c>
      <c r="F1517">
        <v>0</v>
      </c>
      <c r="G1517">
        <v>0</v>
      </c>
      <c r="H1517">
        <v>0.0019685382725052633</v>
      </c>
      <c r="I1517" t="s">
        <v>137</v>
      </c>
      <c r="J1517">
        <v>0.033446038610526314</v>
      </c>
      <c r="K1517">
        <v>0.98800572517776841</v>
      </c>
      <c r="L1517">
        <v>0.052681933704389998</v>
      </c>
      <c r="M1517">
        <v>0.31609160222633997</v>
      </c>
      <c r="N1517">
        <v>1.3040973274041083</v>
      </c>
      <c r="O1517" t="s">
        <v>138</v>
      </c>
      <c r="P1517">
        <v>0.059280343510666106</v>
      </c>
      <c r="Q1517" t="s">
        <v>138</v>
      </c>
      <c r="R1517">
        <v>0.018965496133580399</v>
      </c>
      <c r="S1517" t="s">
        <v>139</v>
      </c>
      <c r="T1517">
        <v>0.156491679288493</v>
      </c>
      <c r="U1517" t="s">
        <v>216</v>
      </c>
      <c r="V1517">
        <v>0.006520486637020542</v>
      </c>
      <c r="W1517" t="s">
        <v>217</v>
      </c>
      <c r="X1517">
        <v>0.026081946548082168</v>
      </c>
      <c r="Y1517">
        <v>1.5714372795219507</v>
      </c>
      <c r="Z1517">
        <v>0</v>
      </c>
      <c r="AA1517">
        <v>0</v>
      </c>
      <c r="AB1517">
        <v>0</v>
      </c>
      <c r="AC1517">
        <v>0</v>
      </c>
      <c r="AD1517">
        <v>0</v>
      </c>
      <c r="AI1517">
        <v>0.38600000000000001</v>
      </c>
      <c r="AJ1517" t="s">
        <v>685</v>
      </c>
      <c r="AK1517" t="s">
        <v>218</v>
      </c>
      <c r="AL1517" t="s">
        <v>3856</v>
      </c>
      <c r="AM1517">
        <v>200000</v>
      </c>
      <c r="AN1517" t="s">
        <v>76</v>
      </c>
      <c r="AO1517">
        <v>1</v>
      </c>
      <c r="AP1517">
        <v>0</v>
      </c>
      <c r="AQ1517">
        <v>16666.666666666668</v>
      </c>
      <c r="AR1517" t="s">
        <v>9</v>
      </c>
      <c r="AS1517" t="s">
        <v>78</v>
      </c>
      <c r="AX1517" t="s">
        <v>79</v>
      </c>
      <c r="AY1517" t="s">
        <v>137</v>
      </c>
      <c r="AZ1517">
        <v>0</v>
      </c>
      <c r="BA1517" t="s">
        <v>137</v>
      </c>
      <c r="BB1517">
        <v>0</v>
      </c>
      <c r="BE1517">
        <v>0</v>
      </c>
    </row>
    <row r="1518" spans="1:58" ht="12.75">
      <c r="A1518" s="2" t="str">
        <f>HYPERLINK("https://ibp.a2mac1.com/costing(costing:projects/details/8191/part/5388592)","Window Weather Stripping")</f>
        <v>Window Weather Stripping</v>
      </c>
      <c r="B1518">
        <v>5388592</v>
      </c>
      <c r="C1518">
        <v>5388245</v>
      </c>
      <c r="E1518">
        <v>1.76765895</v>
      </c>
      <c r="F1518">
        <v>0</v>
      </c>
      <c r="G1518">
        <v>0</v>
      </c>
      <c r="H1518">
        <v>0.0018421791111578947</v>
      </c>
      <c r="I1518" t="s">
        <v>137</v>
      </c>
      <c r="J1518">
        <v>0.061996412394736841</v>
      </c>
      <c r="K1518">
        <v>1.8314975415058947</v>
      </c>
      <c r="L1518">
        <v>0.03696388264930988</v>
      </c>
      <c r="M1518">
        <v>0.22178329589585927</v>
      </c>
      <c r="N1518">
        <v>2.0532808374017542</v>
      </c>
      <c r="O1518" t="s">
        <v>138</v>
      </c>
      <c r="P1518">
        <v>0.10988985249035368</v>
      </c>
      <c r="Q1518" t="s">
        <v>138</v>
      </c>
      <c r="R1518">
        <v>0.013306997753751557</v>
      </c>
      <c r="S1518" t="s">
        <v>139</v>
      </c>
      <c r="T1518">
        <v>0.24639370048821049</v>
      </c>
      <c r="U1518" t="s">
        <v>216</v>
      </c>
      <c r="V1518">
        <v>0.010266404187008769</v>
      </c>
      <c r="W1518" t="s">
        <v>217</v>
      </c>
      <c r="X1518">
        <v>0.041065616748035078</v>
      </c>
      <c r="Y1518">
        <v>2.4742034090691134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23</v>
      </c>
      <c r="AF1518">
        <v>820</v>
      </c>
      <c r="AG1518">
        <v>550</v>
      </c>
      <c r="AI1518">
        <v>0.629</v>
      </c>
      <c r="AJ1518" t="s">
        <v>4846</v>
      </c>
      <c r="AK1518" t="s">
        <v>218</v>
      </c>
      <c r="AL1518" t="s">
        <v>4853</v>
      </c>
      <c r="AM1518">
        <v>200000</v>
      </c>
      <c r="AN1518" t="s">
        <v>76</v>
      </c>
      <c r="AO1518">
        <v>1</v>
      </c>
      <c r="AP1518">
        <v>0</v>
      </c>
      <c r="AQ1518">
        <v>16666.666666666668</v>
      </c>
      <c r="AR1518" t="s">
        <v>9</v>
      </c>
      <c r="AS1518" t="s">
        <v>78</v>
      </c>
      <c r="AX1518" t="s">
        <v>79</v>
      </c>
      <c r="AY1518" t="s">
        <v>137</v>
      </c>
      <c r="AZ1518">
        <v>0</v>
      </c>
      <c r="BA1518" t="s">
        <v>137</v>
      </c>
      <c r="BB1518">
        <v>0</v>
      </c>
      <c r="BE1518">
        <v>0</v>
      </c>
    </row>
    <row r="1519" spans="1:58" ht="12.75">
      <c r="A1519" s="2" t="str">
        <f>HYPERLINK("https://ibp.a2mac1.com/costing(costing:projects/details/8191/part/5388593)","Interior Weatherstrip")</f>
        <v>Interior Weatherstrip</v>
      </c>
      <c r="B1519">
        <v>5388593</v>
      </c>
      <c r="C1519">
        <v>5388245</v>
      </c>
      <c r="E1519">
        <v>0.32881327500000002</v>
      </c>
      <c r="F1519">
        <v>0</v>
      </c>
      <c r="G1519">
        <v>0</v>
      </c>
      <c r="H1519">
        <v>0.00034282286315789472</v>
      </c>
      <c r="I1519" t="s">
        <v>137</v>
      </c>
      <c r="J1519">
        <v>0.011537307894736842</v>
      </c>
      <c r="K1519">
        <v>0.34069340575789475</v>
      </c>
      <c r="L1519">
        <v>0.02473920957733388</v>
      </c>
      <c r="M1519">
        <v>0.14843525746400327</v>
      </c>
      <c r="N1519">
        <v>0.48912866322189802</v>
      </c>
      <c r="O1519" t="s">
        <v>138</v>
      </c>
      <c r="P1519">
        <v>0.020441604345473683</v>
      </c>
      <c r="Q1519" t="s">
        <v>138</v>
      </c>
      <c r="R1519">
        <v>0.0089061154478401964</v>
      </c>
      <c r="S1519" t="s">
        <v>139</v>
      </c>
      <c r="T1519">
        <v>0.058695439586627762</v>
      </c>
      <c r="U1519" t="s">
        <v>216</v>
      </c>
      <c r="V1519">
        <v>0.0024456433161094901</v>
      </c>
      <c r="W1519" t="s">
        <v>217</v>
      </c>
      <c r="X1519">
        <v>0.0097825732644379604</v>
      </c>
      <c r="Y1519">
        <v>0.58940003918238715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22</v>
      </c>
      <c r="AF1519">
        <v>805</v>
      </c>
      <c r="AG1519">
        <v>41</v>
      </c>
      <c r="AI1519">
        <v>0.17599999999999999</v>
      </c>
      <c r="AJ1519" t="s">
        <v>685</v>
      </c>
      <c r="AK1519" t="s">
        <v>218</v>
      </c>
      <c r="AL1519" t="s">
        <v>4840</v>
      </c>
      <c r="AM1519">
        <v>200000</v>
      </c>
      <c r="AN1519" t="s">
        <v>76</v>
      </c>
      <c r="AO1519">
        <v>1</v>
      </c>
      <c r="AP1519">
        <v>0</v>
      </c>
      <c r="AQ1519">
        <v>16666.666666666668</v>
      </c>
      <c r="AR1519" t="s">
        <v>9</v>
      </c>
      <c r="AS1519" t="s">
        <v>78</v>
      </c>
      <c r="AX1519" t="s">
        <v>79</v>
      </c>
      <c r="AY1519" t="s">
        <v>137</v>
      </c>
      <c r="AZ1519">
        <v>0</v>
      </c>
      <c r="BA1519" t="s">
        <v>137</v>
      </c>
      <c r="BB1519">
        <v>0</v>
      </c>
      <c r="BE1519">
        <v>0</v>
      </c>
    </row>
    <row r="1520" spans="1:58" ht="12.75">
      <c r="A1520" s="2" t="str">
        <f>HYPERLINK("https://ibp.a2mac1.com/costing(costing:projects/details/8191/part/5388594)","Exterior Weatherstrip")</f>
        <v>Exterior Weatherstrip</v>
      </c>
      <c r="B1520">
        <v>5388594</v>
      </c>
      <c r="C1520">
        <v>5388245</v>
      </c>
      <c r="E1520">
        <v>0.75757399999999997</v>
      </c>
      <c r="F1520">
        <v>0</v>
      </c>
      <c r="G1520">
        <v>0</v>
      </c>
      <c r="H1520">
        <v>0.00078940248126315794</v>
      </c>
      <c r="I1520" t="s">
        <v>137</v>
      </c>
      <c r="J1520">
        <v>0.026566429657894738</v>
      </c>
      <c r="K1520">
        <v>0.7849298321391579</v>
      </c>
      <c r="L1520">
        <v>0.03696388264930988</v>
      </c>
      <c r="M1520">
        <v>0.22178329589585927</v>
      </c>
      <c r="N1520">
        <v>1.0067131280350172</v>
      </c>
      <c r="O1520" t="s">
        <v>138</v>
      </c>
      <c r="P1520">
        <v>0.047095789928349473</v>
      </c>
      <c r="Q1520" t="s">
        <v>138</v>
      </c>
      <c r="R1520">
        <v>0.013306997753751557</v>
      </c>
      <c r="S1520" t="s">
        <v>139</v>
      </c>
      <c r="T1520">
        <v>0.12080557536420206</v>
      </c>
      <c r="U1520" t="s">
        <v>216</v>
      </c>
      <c r="V1520">
        <v>0.0050335656401750859</v>
      </c>
      <c r="W1520" t="s">
        <v>217</v>
      </c>
      <c r="X1520">
        <v>0.020134262560700344</v>
      </c>
      <c r="Y1520">
        <v>1.2130893192821957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20</v>
      </c>
      <c r="AF1520">
        <v>1035</v>
      </c>
      <c r="AG1520">
        <v>75</v>
      </c>
      <c r="AI1520">
        <v>0.248</v>
      </c>
      <c r="AJ1520" t="s">
        <v>4846</v>
      </c>
      <c r="AK1520" t="s">
        <v>218</v>
      </c>
      <c r="AL1520" t="s">
        <v>4847</v>
      </c>
      <c r="AM1520">
        <v>200000</v>
      </c>
      <c r="AN1520" t="s">
        <v>76</v>
      </c>
      <c r="AO1520">
        <v>1</v>
      </c>
      <c r="AP1520">
        <v>0</v>
      </c>
      <c r="AQ1520">
        <v>16666.666666666668</v>
      </c>
      <c r="AR1520" t="s">
        <v>9</v>
      </c>
      <c r="AS1520" t="s">
        <v>78</v>
      </c>
      <c r="AX1520" t="s">
        <v>79</v>
      </c>
      <c r="AY1520" t="s">
        <v>137</v>
      </c>
      <c r="AZ1520">
        <v>0</v>
      </c>
      <c r="BA1520" t="s">
        <v>137</v>
      </c>
      <c r="BB1520">
        <v>0</v>
      </c>
      <c r="BE1520">
        <v>0</v>
      </c>
    </row>
    <row r="1521" spans="1:58" ht="12.75">
      <c r="A1521" s="2" t="str">
        <f>HYPERLINK("https://ibp.a2mac1.com/costing(costing:projects/details/8191/part/5389232)","Part 01 single/main")</f>
        <v>Part 01 single/main</v>
      </c>
      <c r="B1521">
        <v>5389232</v>
      </c>
      <c r="C1521">
        <v>5388917</v>
      </c>
      <c r="E1521">
        <v>0.14150066750000001</v>
      </c>
      <c r="F1521">
        <v>0</v>
      </c>
      <c r="G1521">
        <v>0</v>
      </c>
      <c r="H1521">
        <v>0.00015655393</v>
      </c>
      <c r="I1521" t="s">
        <v>137</v>
      </c>
      <c r="J1521">
        <v>0.0052686418749999997</v>
      </c>
      <c r="K1521">
        <v>0.14692586330499999</v>
      </c>
      <c r="L1521">
        <v>0.00074289778343902672</v>
      </c>
      <c r="M1521">
        <v>0.0044573867006341599</v>
      </c>
      <c r="N1521">
        <v>0.15138325000563416</v>
      </c>
      <c r="O1521" t="s">
        <v>90</v>
      </c>
      <c r="P1521">
        <v>0</v>
      </c>
      <c r="Q1521" t="s">
        <v>90</v>
      </c>
      <c r="R1521">
        <v>0</v>
      </c>
      <c r="S1521" t="s">
        <v>90</v>
      </c>
      <c r="T1521">
        <v>0</v>
      </c>
      <c r="U1521" t="s">
        <v>90</v>
      </c>
      <c r="V1521">
        <v>0</v>
      </c>
      <c r="W1521" t="s">
        <v>90</v>
      </c>
      <c r="X1521">
        <v>0</v>
      </c>
      <c r="Y1521">
        <v>0.15138325000563416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K1521" t="s">
        <v>4599</v>
      </c>
      <c r="AM1521">
        <v>200000</v>
      </c>
      <c r="AN1521" t="s">
        <v>92</v>
      </c>
      <c r="AO1521">
        <v>1</v>
      </c>
      <c r="AP1521">
        <v>0</v>
      </c>
      <c r="AQ1521">
        <v>16666.666666666668</v>
      </c>
      <c r="AR1521" t="s">
        <v>9</v>
      </c>
      <c r="AS1521" t="s">
        <v>78</v>
      </c>
      <c r="AV1521">
        <v>0</v>
      </c>
      <c r="AW1521">
        <v>0</v>
      </c>
      <c r="AX1521" t="s">
        <v>79</v>
      </c>
      <c r="AY1521" t="s">
        <v>137</v>
      </c>
      <c r="AZ1521">
        <v>0</v>
      </c>
      <c r="BA1521" t="s">
        <v>137</v>
      </c>
      <c r="BB1521">
        <v>0</v>
      </c>
      <c r="BE1521">
        <v>0</v>
      </c>
    </row>
    <row r="1522" spans="1:58" ht="12.75">
      <c r="A1522" s="2" t="str">
        <f>HYPERLINK("https://ibp.a2mac1.com/costing(costing:projects/details/8191/part/5389233)","Part 01 single/main")</f>
        <v>Part 01 single/main</v>
      </c>
      <c r="B1522">
        <v>5389233</v>
      </c>
      <c r="C1522">
        <v>5388918</v>
      </c>
      <c r="E1522">
        <v>0.0861933</v>
      </c>
      <c r="F1522">
        <v>0</v>
      </c>
      <c r="G1522">
        <v>0</v>
      </c>
      <c r="H1522">
        <v>9.5362800000000001E-05</v>
      </c>
      <c r="I1522" t="s">
        <v>137</v>
      </c>
      <c r="J1522">
        <v>0.0032093249999999999</v>
      </c>
      <c r="K1522">
        <v>0.089497987799999998</v>
      </c>
      <c r="L1522">
        <v>0.00074289778343902672</v>
      </c>
      <c r="M1522">
        <v>0.0044573867006341599</v>
      </c>
      <c r="N1522">
        <v>0.093955374500634153</v>
      </c>
      <c r="O1522" t="s">
        <v>90</v>
      </c>
      <c r="P1522">
        <v>0</v>
      </c>
      <c r="Q1522" t="s">
        <v>90</v>
      </c>
      <c r="R1522">
        <v>0</v>
      </c>
      <c r="S1522" t="s">
        <v>90</v>
      </c>
      <c r="T1522">
        <v>0</v>
      </c>
      <c r="U1522" t="s">
        <v>90</v>
      </c>
      <c r="V1522">
        <v>0</v>
      </c>
      <c r="W1522" t="s">
        <v>90</v>
      </c>
      <c r="X1522">
        <v>0</v>
      </c>
      <c r="Y1522">
        <v>0.093955374500634153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K1522" t="s">
        <v>4599</v>
      </c>
      <c r="AM1522">
        <v>200000</v>
      </c>
      <c r="AN1522" t="s">
        <v>92</v>
      </c>
      <c r="AO1522">
        <v>1</v>
      </c>
      <c r="AP1522">
        <v>0</v>
      </c>
      <c r="AQ1522">
        <v>16666.666666666668</v>
      </c>
      <c r="AR1522" t="s">
        <v>9</v>
      </c>
      <c r="AS1522" t="s">
        <v>78</v>
      </c>
      <c r="AV1522">
        <v>0</v>
      </c>
      <c r="AW1522">
        <v>0</v>
      </c>
      <c r="AX1522" t="s">
        <v>79</v>
      </c>
      <c r="AY1522" t="s">
        <v>137</v>
      </c>
      <c r="AZ1522">
        <v>0</v>
      </c>
      <c r="BA1522" t="s">
        <v>137</v>
      </c>
      <c r="BB1522">
        <v>0</v>
      </c>
      <c r="BE1522">
        <v>0</v>
      </c>
    </row>
    <row r="1523" spans="1:58" ht="12.75">
      <c r="A1523" s="2" t="str">
        <f>HYPERLINK("https://ibp.a2mac1.com/costing(costing:projects/details/8191/part/5389234)","Part 01 single/main")</f>
        <v>Part 01 single/main</v>
      </c>
      <c r="B1523">
        <v>5389234</v>
      </c>
      <c r="C1523">
        <v>5388920</v>
      </c>
      <c r="E1523">
        <v>0.15083827499999999</v>
      </c>
      <c r="F1523">
        <v>0</v>
      </c>
      <c r="G1523">
        <v>0</v>
      </c>
      <c r="H1523">
        <v>0.00016688489999999999</v>
      </c>
      <c r="I1523" t="s">
        <v>137</v>
      </c>
      <c r="J1523">
        <v>0.00561631875</v>
      </c>
      <c r="K1523">
        <v>0.15662147865000001</v>
      </c>
      <c r="L1523">
        <v>0.00074289778343902672</v>
      </c>
      <c r="M1523">
        <v>0.0044573867006341599</v>
      </c>
      <c r="N1523">
        <v>0.16107886535063415</v>
      </c>
      <c r="O1523" t="s">
        <v>90</v>
      </c>
      <c r="P1523">
        <v>0</v>
      </c>
      <c r="Q1523" t="s">
        <v>90</v>
      </c>
      <c r="R1523">
        <v>0</v>
      </c>
      <c r="S1523" t="s">
        <v>90</v>
      </c>
      <c r="T1523">
        <v>0</v>
      </c>
      <c r="U1523" t="s">
        <v>90</v>
      </c>
      <c r="V1523">
        <v>0</v>
      </c>
      <c r="W1523" t="s">
        <v>90</v>
      </c>
      <c r="X1523">
        <v>0</v>
      </c>
      <c r="Y1523">
        <v>0.16107886535063415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K1523" t="s">
        <v>4599</v>
      </c>
      <c r="AM1523">
        <v>200000</v>
      </c>
      <c r="AN1523" t="s">
        <v>92</v>
      </c>
      <c r="AO1523">
        <v>1</v>
      </c>
      <c r="AP1523">
        <v>0</v>
      </c>
      <c r="AQ1523">
        <v>16666.666666666668</v>
      </c>
      <c r="AR1523" t="s">
        <v>9</v>
      </c>
      <c r="AS1523" t="s">
        <v>78</v>
      </c>
      <c r="AV1523">
        <v>0</v>
      </c>
      <c r="AW1523">
        <v>0</v>
      </c>
      <c r="AX1523" t="s">
        <v>79</v>
      </c>
      <c r="AY1523" t="s">
        <v>137</v>
      </c>
      <c r="AZ1523">
        <v>0</v>
      </c>
      <c r="BA1523" t="s">
        <v>137</v>
      </c>
      <c r="BB1523">
        <v>0</v>
      </c>
      <c r="BE1523">
        <v>0</v>
      </c>
    </row>
    <row r="1524" spans="1:58" ht="12.75">
      <c r="A1524" s="2" t="str">
        <f>HYPERLINK("https://ibp.a2mac1.com/costing(costing:projects/details/8191/part/5389235)","Part 01 single/main")</f>
        <v>Part 01 single/main</v>
      </c>
      <c r="B1524">
        <v>5389235</v>
      </c>
      <c r="C1524">
        <v>5388921</v>
      </c>
      <c r="E1524">
        <v>0.071827749999999996</v>
      </c>
      <c r="F1524">
        <v>0</v>
      </c>
      <c r="G1524">
        <v>0</v>
      </c>
      <c r="H1524">
        <v>7.9468999999999994E-05</v>
      </c>
      <c r="I1524" t="s">
        <v>137</v>
      </c>
      <c r="J1524">
        <v>0.0026744375000000002</v>
      </c>
      <c r="K1524">
        <v>0.074581656499999996</v>
      </c>
      <c r="L1524">
        <v>0.00074289778343902672</v>
      </c>
      <c r="M1524">
        <v>0.0044573867006341599</v>
      </c>
      <c r="N1524">
        <v>0.079039043200634165</v>
      </c>
      <c r="O1524" t="s">
        <v>90</v>
      </c>
      <c r="P1524">
        <v>0</v>
      </c>
      <c r="Q1524" t="s">
        <v>90</v>
      </c>
      <c r="R1524">
        <v>0</v>
      </c>
      <c r="S1524" t="s">
        <v>90</v>
      </c>
      <c r="T1524">
        <v>0</v>
      </c>
      <c r="U1524" t="s">
        <v>90</v>
      </c>
      <c r="V1524">
        <v>0</v>
      </c>
      <c r="W1524" t="s">
        <v>90</v>
      </c>
      <c r="X1524">
        <v>0</v>
      </c>
      <c r="Y1524">
        <v>0.079039043200634165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K1524" t="s">
        <v>4599</v>
      </c>
      <c r="AM1524">
        <v>200000</v>
      </c>
      <c r="AN1524" t="s">
        <v>92</v>
      </c>
      <c r="AO1524">
        <v>1</v>
      </c>
      <c r="AP1524">
        <v>0</v>
      </c>
      <c r="AQ1524">
        <v>16666.666666666668</v>
      </c>
      <c r="AR1524" t="s">
        <v>9</v>
      </c>
      <c r="AS1524" t="s">
        <v>78</v>
      </c>
      <c r="AV1524">
        <v>0</v>
      </c>
      <c r="AW1524">
        <v>0</v>
      </c>
      <c r="AX1524" t="s">
        <v>79</v>
      </c>
      <c r="AY1524" t="s">
        <v>137</v>
      </c>
      <c r="AZ1524">
        <v>0</v>
      </c>
      <c r="BA1524" t="s">
        <v>137</v>
      </c>
      <c r="BB1524">
        <v>0</v>
      </c>
      <c r="BE1524">
        <v>0</v>
      </c>
    </row>
    <row r="1525" spans="1:58" ht="12.75">
      <c r="A1525" s="2" t="str">
        <f>HYPERLINK("https://ibp.a2mac1.com/costing(costing:projects/details/8191/part/5388596)","Door Stopper")</f>
        <v>Door Stopper</v>
      </c>
      <c r="B1525">
        <v>5388596</v>
      </c>
      <c r="C1525">
        <v>5388246</v>
      </c>
      <c r="E1525">
        <v>2.0761699999999998</v>
      </c>
      <c r="F1525">
        <v>0</v>
      </c>
      <c r="G1525">
        <v>0</v>
      </c>
      <c r="H1525">
        <v>0</v>
      </c>
      <c r="I1525" t="s">
        <v>74</v>
      </c>
      <c r="J1525">
        <v>0</v>
      </c>
      <c r="K1525">
        <v>2.0761699999999998</v>
      </c>
      <c r="L1525">
        <v>0</v>
      </c>
      <c r="M1525">
        <v>0</v>
      </c>
      <c r="N1525">
        <v>2.0761699999999998</v>
      </c>
      <c r="O1525" t="s">
        <v>74</v>
      </c>
      <c r="P1525">
        <v>0</v>
      </c>
      <c r="Q1525" t="s">
        <v>74</v>
      </c>
      <c r="R1525">
        <v>0</v>
      </c>
      <c r="S1525" t="s">
        <v>74</v>
      </c>
      <c r="T1525">
        <v>0</v>
      </c>
      <c r="U1525" t="s">
        <v>74</v>
      </c>
      <c r="V1525">
        <v>0</v>
      </c>
      <c r="W1525" t="s">
        <v>74</v>
      </c>
      <c r="X1525">
        <v>0</v>
      </c>
      <c r="Y1525">
        <v>2.0761699999999998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38</v>
      </c>
      <c r="AF1525">
        <v>186</v>
      </c>
      <c r="AG1525">
        <v>73</v>
      </c>
      <c r="AI1525">
        <v>0.16</v>
      </c>
      <c r="AJ1525" t="s">
        <v>685</v>
      </c>
      <c r="AK1525" t="s">
        <v>218</v>
      </c>
      <c r="AL1525" t="s">
        <v>5245</v>
      </c>
      <c r="AM1525">
        <v>200000</v>
      </c>
      <c r="AN1525" t="s">
        <v>76</v>
      </c>
      <c r="AO1525">
        <v>1</v>
      </c>
      <c r="AP1525">
        <v>0</v>
      </c>
      <c r="AQ1525">
        <v>16666.666666666668</v>
      </c>
      <c r="AR1525" t="s">
        <v>9</v>
      </c>
      <c r="AS1525" t="s">
        <v>78</v>
      </c>
      <c r="AX1525" t="s">
        <v>79</v>
      </c>
      <c r="AY1525" t="s">
        <v>74</v>
      </c>
      <c r="AZ1525">
        <v>0</v>
      </c>
      <c r="BA1525" t="s">
        <v>74</v>
      </c>
      <c r="BB1525">
        <v>0</v>
      </c>
      <c r="BD1525">
        <v>2.0761699999999998</v>
      </c>
      <c r="BE1525">
        <v>0</v>
      </c>
    </row>
    <row r="1526" spans="1:58" ht="12.75">
      <c r="A1526" s="2" t="str">
        <f>HYPERLINK("https://ibp.a2mac1.com/costing(costing:projects/details/8191/part/5388600)","Harness")</f>
        <v>Harness</v>
      </c>
      <c r="B1526">
        <v>5388600</v>
      </c>
      <c r="C1526">
        <v>5388247</v>
      </c>
      <c r="E1526">
        <v>9.18126</v>
      </c>
      <c r="F1526">
        <v>0</v>
      </c>
      <c r="G1526">
        <v>0</v>
      </c>
      <c r="H1526">
        <v>0</v>
      </c>
      <c r="I1526" t="s">
        <v>74</v>
      </c>
      <c r="J1526">
        <v>0</v>
      </c>
      <c r="K1526">
        <v>9.18126</v>
      </c>
      <c r="L1526">
        <v>0</v>
      </c>
      <c r="M1526">
        <v>0</v>
      </c>
      <c r="N1526">
        <v>9.18126</v>
      </c>
      <c r="O1526" t="s">
        <v>74</v>
      </c>
      <c r="P1526">
        <v>0</v>
      </c>
      <c r="Q1526" t="s">
        <v>74</v>
      </c>
      <c r="R1526">
        <v>0</v>
      </c>
      <c r="S1526" t="s">
        <v>74</v>
      </c>
      <c r="T1526">
        <v>0</v>
      </c>
      <c r="U1526" t="s">
        <v>74</v>
      </c>
      <c r="V1526">
        <v>0</v>
      </c>
      <c r="W1526" t="s">
        <v>74</v>
      </c>
      <c r="X1526">
        <v>0</v>
      </c>
      <c r="Y1526">
        <v>9.18126</v>
      </c>
      <c r="Z1526">
        <v>0</v>
      </c>
      <c r="AA1526">
        <v>0</v>
      </c>
      <c r="AB1526">
        <v>0</v>
      </c>
      <c r="AC1526">
        <v>0</v>
      </c>
      <c r="AD1526">
        <v>0</v>
      </c>
      <c r="AI1526">
        <v>0.35699999999999998</v>
      </c>
      <c r="AJ1526" t="s">
        <v>1644</v>
      </c>
      <c r="AK1526" t="s">
        <v>218</v>
      </c>
      <c r="AL1526" t="s">
        <v>1658</v>
      </c>
      <c r="AM1526">
        <v>200000</v>
      </c>
      <c r="AN1526" t="s">
        <v>76</v>
      </c>
      <c r="AO1526">
        <v>1</v>
      </c>
      <c r="AP1526">
        <v>0</v>
      </c>
      <c r="AQ1526">
        <v>16666.666666666668</v>
      </c>
      <c r="AR1526" t="s">
        <v>9</v>
      </c>
      <c r="AS1526" t="s">
        <v>78</v>
      </c>
      <c r="AX1526" t="s">
        <v>79</v>
      </c>
      <c r="AY1526" t="s">
        <v>74</v>
      </c>
      <c r="AZ1526">
        <v>0</v>
      </c>
      <c r="BA1526" t="s">
        <v>74</v>
      </c>
      <c r="BB1526">
        <v>0</v>
      </c>
      <c r="BD1526">
        <v>9.18126</v>
      </c>
      <c r="BE1526">
        <v>0</v>
      </c>
    </row>
    <row r="1527" spans="1:58" ht="12.75">
      <c r="A1527" s="2" t="str">
        <f>HYPERLINK("https://ibp.a2mac1.com/costing(costing:projects/details/8191/part/5388601)","2nd Harness   Audio")</f>
        <v>2nd Harness   Audio</v>
      </c>
      <c r="B1527">
        <v>5388601</v>
      </c>
      <c r="C1527">
        <v>5388247</v>
      </c>
      <c r="E1527">
        <v>1.6055699999999999</v>
      </c>
      <c r="F1527">
        <v>0</v>
      </c>
      <c r="G1527">
        <v>0</v>
      </c>
      <c r="H1527">
        <v>0</v>
      </c>
      <c r="I1527" t="s">
        <v>74</v>
      </c>
      <c r="J1527">
        <v>0</v>
      </c>
      <c r="K1527">
        <v>1.6055699999999999</v>
      </c>
      <c r="L1527">
        <v>0</v>
      </c>
      <c r="M1527">
        <v>0</v>
      </c>
      <c r="N1527">
        <v>1.6055699999999999</v>
      </c>
      <c r="O1527" t="s">
        <v>74</v>
      </c>
      <c r="P1527">
        <v>0</v>
      </c>
      <c r="Q1527" t="s">
        <v>74</v>
      </c>
      <c r="R1527">
        <v>0</v>
      </c>
      <c r="S1527" t="s">
        <v>74</v>
      </c>
      <c r="T1527">
        <v>0</v>
      </c>
      <c r="U1527" t="s">
        <v>74</v>
      </c>
      <c r="V1527">
        <v>0</v>
      </c>
      <c r="W1527" t="s">
        <v>74</v>
      </c>
      <c r="X1527">
        <v>0</v>
      </c>
      <c r="Y1527">
        <v>1.6055699999999999</v>
      </c>
      <c r="Z1527">
        <v>0</v>
      </c>
      <c r="AA1527">
        <v>0</v>
      </c>
      <c r="AB1527">
        <v>0</v>
      </c>
      <c r="AC1527">
        <v>0</v>
      </c>
      <c r="AD1527">
        <v>0</v>
      </c>
      <c r="AI1527">
        <v>0.036999999999999998</v>
      </c>
      <c r="AJ1527" t="s">
        <v>685</v>
      </c>
      <c r="AK1527" t="s">
        <v>218</v>
      </c>
      <c r="AL1527" t="s">
        <v>1658</v>
      </c>
      <c r="AM1527">
        <v>200000</v>
      </c>
      <c r="AN1527" t="s">
        <v>76</v>
      </c>
      <c r="AO1527">
        <v>1</v>
      </c>
      <c r="AP1527">
        <v>0</v>
      </c>
      <c r="AQ1527">
        <v>16666.666666666668</v>
      </c>
      <c r="AR1527" t="s">
        <v>9</v>
      </c>
      <c r="AS1527" t="s">
        <v>78</v>
      </c>
      <c r="AX1527" t="s">
        <v>79</v>
      </c>
      <c r="AY1527" t="s">
        <v>74</v>
      </c>
      <c r="AZ1527">
        <v>0</v>
      </c>
      <c r="BA1527" t="s">
        <v>74</v>
      </c>
      <c r="BB1527">
        <v>0</v>
      </c>
      <c r="BD1527">
        <v>1.6055699999999999</v>
      </c>
      <c r="BE1527">
        <v>0</v>
      </c>
    </row>
    <row r="1528" spans="1:58" ht="12.75">
      <c r="A1528" s="2" t="str">
        <f>HYPERLINK("https://ibp.a2mac1.com/costing(costing:projects/details/8191/part/5388602)","3rd Harness")</f>
        <v>3rd Harness</v>
      </c>
      <c r="B1528">
        <v>5388602</v>
      </c>
      <c r="C1528">
        <v>5388247</v>
      </c>
      <c r="E1528">
        <v>2.2238000000000002</v>
      </c>
      <c r="F1528">
        <v>0</v>
      </c>
      <c r="G1528">
        <v>0</v>
      </c>
      <c r="H1528">
        <v>0</v>
      </c>
      <c r="I1528" t="s">
        <v>74</v>
      </c>
      <c r="J1528">
        <v>0</v>
      </c>
      <c r="K1528">
        <v>2.2238000000000002</v>
      </c>
      <c r="L1528">
        <v>0</v>
      </c>
      <c r="M1528">
        <v>0</v>
      </c>
      <c r="N1528">
        <v>2.2238000000000002</v>
      </c>
      <c r="O1528" t="s">
        <v>74</v>
      </c>
      <c r="P1528">
        <v>0</v>
      </c>
      <c r="Q1528" t="s">
        <v>74</v>
      </c>
      <c r="R1528">
        <v>0</v>
      </c>
      <c r="S1528" t="s">
        <v>74</v>
      </c>
      <c r="T1528">
        <v>0</v>
      </c>
      <c r="U1528" t="s">
        <v>74</v>
      </c>
      <c r="V1528">
        <v>0</v>
      </c>
      <c r="W1528" t="s">
        <v>74</v>
      </c>
      <c r="X1528">
        <v>0</v>
      </c>
      <c r="Y1528">
        <v>2.2238000000000002</v>
      </c>
      <c r="Z1528">
        <v>0</v>
      </c>
      <c r="AA1528">
        <v>0</v>
      </c>
      <c r="AB1528">
        <v>0</v>
      </c>
      <c r="AC1528">
        <v>0</v>
      </c>
      <c r="AD1528">
        <v>0</v>
      </c>
      <c r="AI1528">
        <v>0.033000000000000002</v>
      </c>
      <c r="AK1528" t="s">
        <v>218</v>
      </c>
      <c r="AL1528" t="s">
        <v>1658</v>
      </c>
      <c r="AM1528">
        <v>200000</v>
      </c>
      <c r="AN1528" t="s">
        <v>76</v>
      </c>
      <c r="AO1528">
        <v>1</v>
      </c>
      <c r="AP1528">
        <v>0</v>
      </c>
      <c r="AQ1528">
        <v>16666.666666666668</v>
      </c>
      <c r="AR1528" t="s">
        <v>9</v>
      </c>
      <c r="AS1528" t="s">
        <v>78</v>
      </c>
      <c r="AX1528" t="s">
        <v>79</v>
      </c>
      <c r="AY1528" t="s">
        <v>74</v>
      </c>
      <c r="AZ1528">
        <v>0</v>
      </c>
      <c r="BA1528" t="s">
        <v>74</v>
      </c>
      <c r="BB1528">
        <v>0</v>
      </c>
      <c r="BD1528">
        <v>2.2238000000000002</v>
      </c>
      <c r="BE1528">
        <v>0</v>
      </c>
    </row>
    <row r="1529" spans="1:58" ht="12.75">
      <c r="A1529" s="2" t="str">
        <f>HYPERLINK("https://ibp.a2mac1.com/costing(costing:projects/details/8191/part/5388603)","Harness Grommet")</f>
        <v>Harness Grommet</v>
      </c>
      <c r="B1529">
        <v>5388603</v>
      </c>
      <c r="C1529">
        <v>5388247</v>
      </c>
      <c r="E1529">
        <v>0.20300000000000001</v>
      </c>
      <c r="F1529">
        <v>0</v>
      </c>
      <c r="G1529">
        <v>0</v>
      </c>
      <c r="H1529">
        <v>0</v>
      </c>
      <c r="I1529" t="s">
        <v>74</v>
      </c>
      <c r="J1529">
        <v>0</v>
      </c>
      <c r="K1529">
        <v>0.20300000000000001</v>
      </c>
      <c r="L1529">
        <v>0</v>
      </c>
      <c r="M1529">
        <v>0</v>
      </c>
      <c r="N1529">
        <v>0.20300000000000001</v>
      </c>
      <c r="O1529" t="s">
        <v>74</v>
      </c>
      <c r="P1529">
        <v>0</v>
      </c>
      <c r="Q1529" t="s">
        <v>74</v>
      </c>
      <c r="R1529">
        <v>0</v>
      </c>
      <c r="S1529" t="s">
        <v>74</v>
      </c>
      <c r="T1529">
        <v>0</v>
      </c>
      <c r="U1529" t="s">
        <v>74</v>
      </c>
      <c r="V1529">
        <v>0</v>
      </c>
      <c r="W1529" t="s">
        <v>74</v>
      </c>
      <c r="X1529">
        <v>0</v>
      </c>
      <c r="Y1529">
        <v>0.20300000000000001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45</v>
      </c>
      <c r="AF1529">
        <v>185</v>
      </c>
      <c r="AG1529">
        <v>78</v>
      </c>
      <c r="AI1529">
        <v>0.001</v>
      </c>
      <c r="AJ1529" t="s">
        <v>685</v>
      </c>
      <c r="AK1529" t="s">
        <v>218</v>
      </c>
      <c r="AL1529" t="s">
        <v>5256</v>
      </c>
      <c r="AM1529">
        <v>200000</v>
      </c>
      <c r="AN1529" t="s">
        <v>76</v>
      </c>
      <c r="AO1529">
        <v>1</v>
      </c>
      <c r="AP1529">
        <v>0</v>
      </c>
      <c r="AQ1529">
        <v>16666.666666666668</v>
      </c>
      <c r="AR1529" t="s">
        <v>9</v>
      </c>
      <c r="AS1529" t="s">
        <v>78</v>
      </c>
      <c r="AX1529" t="s">
        <v>79</v>
      </c>
      <c r="AY1529" t="s">
        <v>74</v>
      </c>
      <c r="AZ1529">
        <v>0</v>
      </c>
      <c r="BA1529" t="s">
        <v>74</v>
      </c>
      <c r="BB1529">
        <v>0</v>
      </c>
      <c r="BD1529">
        <v>0.20300000000000001</v>
      </c>
      <c r="BE1529">
        <v>0</v>
      </c>
    </row>
    <row r="1530" spans="1:58" ht="12.75">
      <c r="A1530" s="2" t="str">
        <f>HYPERLINK("https://ibp.a2mac1.com/costing(costing:projects/details/8191/part/5388604)","2nd Harness Grommet")</f>
        <v>2nd Harness Grommet</v>
      </c>
      <c r="B1530">
        <v>5388604</v>
      </c>
      <c r="C1530">
        <v>5388247</v>
      </c>
      <c r="E1530">
        <v>0.04614</v>
      </c>
      <c r="F1530">
        <v>0</v>
      </c>
      <c r="G1530">
        <v>0</v>
      </c>
      <c r="H1530">
        <v>0</v>
      </c>
      <c r="I1530" t="s">
        <v>74</v>
      </c>
      <c r="J1530">
        <v>0</v>
      </c>
      <c r="K1530">
        <v>0.04614</v>
      </c>
      <c r="L1530">
        <v>0</v>
      </c>
      <c r="M1530">
        <v>0</v>
      </c>
      <c r="N1530">
        <v>0.04614</v>
      </c>
      <c r="O1530" t="s">
        <v>74</v>
      </c>
      <c r="P1530">
        <v>0</v>
      </c>
      <c r="Q1530" t="s">
        <v>74</v>
      </c>
      <c r="R1530">
        <v>0</v>
      </c>
      <c r="S1530" t="s">
        <v>74</v>
      </c>
      <c r="T1530">
        <v>0</v>
      </c>
      <c r="U1530" t="s">
        <v>74</v>
      </c>
      <c r="V1530">
        <v>0</v>
      </c>
      <c r="W1530" t="s">
        <v>74</v>
      </c>
      <c r="X1530">
        <v>0</v>
      </c>
      <c r="Y1530">
        <v>0.04614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29</v>
      </c>
      <c r="AF1530">
        <v>70</v>
      </c>
      <c r="AG1530">
        <v>96</v>
      </c>
      <c r="AI1530">
        <v>0.001</v>
      </c>
      <c r="AJ1530" t="s">
        <v>5258</v>
      </c>
      <c r="AK1530" t="s">
        <v>218</v>
      </c>
      <c r="AL1530" t="s">
        <v>3856</v>
      </c>
      <c r="AM1530">
        <v>200000</v>
      </c>
      <c r="AN1530" t="s">
        <v>76</v>
      </c>
      <c r="AO1530">
        <v>1</v>
      </c>
      <c r="AP1530">
        <v>0</v>
      </c>
      <c r="AQ1530">
        <v>16666.666666666668</v>
      </c>
      <c r="AR1530" t="s">
        <v>9</v>
      </c>
      <c r="AS1530" t="s">
        <v>78</v>
      </c>
      <c r="AX1530" t="s">
        <v>79</v>
      </c>
      <c r="AY1530" t="s">
        <v>74</v>
      </c>
      <c r="AZ1530">
        <v>0</v>
      </c>
      <c r="BA1530" t="s">
        <v>74</v>
      </c>
      <c r="BB1530">
        <v>0</v>
      </c>
      <c r="BD1530">
        <v>0.04614</v>
      </c>
      <c r="BE1530">
        <v>0</v>
      </c>
    </row>
    <row r="1531" spans="1:58" ht="12.75">
      <c r="A1531" s="2" t="str">
        <f>HYPERLINK("https://ibp.a2mac1.com/costing(costing:projects/details/8191/part/5388607)","Door Molding")</f>
        <v>Door Molding</v>
      </c>
      <c r="B1531">
        <v>5388607</v>
      </c>
      <c r="C1531">
        <v>5388248</v>
      </c>
      <c r="E1531">
        <v>0.51687616109227741</v>
      </c>
      <c r="F1531">
        <v>0</v>
      </c>
      <c r="G1531">
        <v>0</v>
      </c>
      <c r="H1531">
        <v>0.0010658098117895698</v>
      </c>
      <c r="I1531" t="s">
        <v>137</v>
      </c>
      <c r="J1531">
        <v>0.018108419132347061</v>
      </c>
      <c r="K1531">
        <v>0.53605039003641397</v>
      </c>
      <c r="L1531">
        <v>0.035391374815632502</v>
      </c>
      <c r="M1531">
        <v>0.212348248893795</v>
      </c>
      <c r="N1531">
        <v>0.74839863893020897</v>
      </c>
      <c r="O1531" t="s">
        <v>138</v>
      </c>
      <c r="P1531">
        <v>0.03216302340218484</v>
      </c>
      <c r="Q1531" t="s">
        <v>138</v>
      </c>
      <c r="R1531">
        <v>0.0127408949336277</v>
      </c>
      <c r="S1531" t="s">
        <v>139</v>
      </c>
      <c r="T1531">
        <v>0.089807836671625077</v>
      </c>
      <c r="U1531" t="s">
        <v>216</v>
      </c>
      <c r="V1531">
        <v>0.0037419931946510452</v>
      </c>
      <c r="W1531" t="s">
        <v>217</v>
      </c>
      <c r="X1531">
        <v>0.014967972778604181</v>
      </c>
      <c r="Y1531">
        <v>0.90182035991090181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38</v>
      </c>
      <c r="AF1531">
        <v>174</v>
      </c>
      <c r="AG1531">
        <v>207</v>
      </c>
      <c r="AI1531">
        <v>0.455</v>
      </c>
      <c r="AJ1531" t="s">
        <v>5268</v>
      </c>
      <c r="AK1531" t="s">
        <v>218</v>
      </c>
      <c r="AL1531" t="s">
        <v>1182</v>
      </c>
      <c r="AM1531">
        <v>200000</v>
      </c>
      <c r="AN1531" t="s">
        <v>76</v>
      </c>
      <c r="AO1531">
        <v>1</v>
      </c>
      <c r="AP1531">
        <v>0</v>
      </c>
      <c r="AQ1531">
        <v>16666.666666666668</v>
      </c>
      <c r="AR1531" t="s">
        <v>9</v>
      </c>
      <c r="AS1531" t="s">
        <v>78</v>
      </c>
      <c r="AX1531" t="s">
        <v>79</v>
      </c>
      <c r="AY1531" t="s">
        <v>137</v>
      </c>
      <c r="AZ1531">
        <v>0</v>
      </c>
      <c r="BA1531" t="s">
        <v>137</v>
      </c>
      <c r="BB1531">
        <v>0</v>
      </c>
      <c r="BE1531">
        <v>0</v>
      </c>
    </row>
    <row r="1532" spans="1:58" ht="12.75">
      <c r="A1532" s="2" t="str">
        <f>HYPERLINK("https://ibp.a2mac1.com/costing(costing:projects/details/8191/part/5388608)","Upper Frame Front Exterior Trim")</f>
        <v>Upper Frame Front Exterior Trim</v>
      </c>
      <c r="B1532">
        <v>5388608</v>
      </c>
      <c r="C1532">
        <v>5388248</v>
      </c>
      <c r="E1532">
        <v>0.41086086251213799</v>
      </c>
      <c r="F1532">
        <v>0</v>
      </c>
      <c r="G1532">
        <v>0</v>
      </c>
      <c r="H1532">
        <v>0.00084720397555263611</v>
      </c>
      <c r="I1532" t="s">
        <v>137</v>
      </c>
      <c r="J1532">
        <v>0.014394242303078768</v>
      </c>
      <c r="K1532">
        <v>0.42610230879076938</v>
      </c>
      <c r="L1532">
        <v>0.03920066320334574</v>
      </c>
      <c r="M1532">
        <v>0.23520397922007444</v>
      </c>
      <c r="N1532">
        <v>0.66130628801084379</v>
      </c>
      <c r="O1532" t="s">
        <v>138</v>
      </c>
      <c r="P1532">
        <v>0.025566138527446165</v>
      </c>
      <c r="Q1532" t="s">
        <v>138</v>
      </c>
      <c r="R1532">
        <v>0.014112238753204467</v>
      </c>
      <c r="S1532" t="s">
        <v>139</v>
      </c>
      <c r="T1532">
        <v>0.079356754561301257</v>
      </c>
      <c r="U1532" t="s">
        <v>216</v>
      </c>
      <c r="V1532">
        <v>0.0033065314400542193</v>
      </c>
      <c r="W1532" t="s">
        <v>217</v>
      </c>
      <c r="X1532">
        <v>0.013226125760216877</v>
      </c>
      <c r="Y1532">
        <v>0.79687407705306679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42</v>
      </c>
      <c r="AF1532">
        <v>102</v>
      </c>
      <c r="AG1532">
        <v>510</v>
      </c>
      <c r="AI1532">
        <v>0.192</v>
      </c>
      <c r="AJ1532" t="s">
        <v>685</v>
      </c>
      <c r="AK1532" t="s">
        <v>218</v>
      </c>
      <c r="AL1532" t="s">
        <v>1294</v>
      </c>
      <c r="AM1532">
        <v>200000</v>
      </c>
      <c r="AN1532" t="s">
        <v>76</v>
      </c>
      <c r="AO1532">
        <v>1</v>
      </c>
      <c r="AP1532">
        <v>0</v>
      </c>
      <c r="AQ1532">
        <v>16666.666666666668</v>
      </c>
      <c r="AR1532" t="s">
        <v>9</v>
      </c>
      <c r="AS1532" t="s">
        <v>78</v>
      </c>
      <c r="AX1532" t="s">
        <v>79</v>
      </c>
      <c r="AY1532" t="s">
        <v>137</v>
      </c>
      <c r="AZ1532">
        <v>0</v>
      </c>
      <c r="BA1532" t="s">
        <v>137</v>
      </c>
      <c r="BB1532">
        <v>0</v>
      </c>
      <c r="BE1532">
        <v>0</v>
      </c>
    </row>
    <row r="1533" spans="1:58" ht="12.75">
      <c r="A1533" s="2" t="str">
        <f>HYPERLINK("https://ibp.a2mac1.com/costing(costing:projects/details/8191/part/5388610)","Electric window lift control")</f>
        <v>Electric window lift control</v>
      </c>
      <c r="B1533">
        <v>5388610</v>
      </c>
      <c r="C1533">
        <v>5388249</v>
      </c>
      <c r="E1533">
        <v>0.46137</v>
      </c>
      <c r="F1533">
        <v>0</v>
      </c>
      <c r="G1533">
        <v>0</v>
      </c>
      <c r="H1533">
        <v>0</v>
      </c>
      <c r="I1533" t="s">
        <v>74</v>
      </c>
      <c r="J1533">
        <v>0</v>
      </c>
      <c r="K1533">
        <v>0.46137</v>
      </c>
      <c r="L1533">
        <v>0</v>
      </c>
      <c r="M1533">
        <v>0</v>
      </c>
      <c r="N1533">
        <v>0.46137</v>
      </c>
      <c r="O1533" t="s">
        <v>74</v>
      </c>
      <c r="P1533">
        <v>0</v>
      </c>
      <c r="Q1533" t="s">
        <v>74</v>
      </c>
      <c r="R1533">
        <v>0</v>
      </c>
      <c r="S1533" t="s">
        <v>74</v>
      </c>
      <c r="T1533">
        <v>0</v>
      </c>
      <c r="U1533" t="s">
        <v>74</v>
      </c>
      <c r="V1533">
        <v>0</v>
      </c>
      <c r="W1533" t="s">
        <v>74</v>
      </c>
      <c r="X1533">
        <v>0</v>
      </c>
      <c r="Y1533">
        <v>0.46137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48</v>
      </c>
      <c r="AF1533">
        <v>22</v>
      </c>
      <c r="AG1533">
        <v>39</v>
      </c>
      <c r="AI1533">
        <v>0.01</v>
      </c>
      <c r="AJ1533" t="s">
        <v>685</v>
      </c>
      <c r="AK1533" t="s">
        <v>218</v>
      </c>
      <c r="AL1533" t="s">
        <v>1690</v>
      </c>
      <c r="AM1533">
        <v>200000</v>
      </c>
      <c r="AN1533" t="s">
        <v>76</v>
      </c>
      <c r="AO1533">
        <v>1</v>
      </c>
      <c r="AP1533">
        <v>0</v>
      </c>
      <c r="AQ1533">
        <v>16666.666666666668</v>
      </c>
      <c r="AR1533" t="s">
        <v>9</v>
      </c>
      <c r="AS1533" t="s">
        <v>78</v>
      </c>
      <c r="AX1533" t="s">
        <v>79</v>
      </c>
      <c r="AY1533" t="s">
        <v>74</v>
      </c>
      <c r="AZ1533">
        <v>0</v>
      </c>
      <c r="BA1533" t="s">
        <v>74</v>
      </c>
      <c r="BB1533">
        <v>0</v>
      </c>
      <c r="BD1533">
        <v>0.46137</v>
      </c>
      <c r="BE1533">
        <v>0</v>
      </c>
    </row>
    <row r="1534" spans="1:58" ht="12.75">
      <c r="A1534" s="2" t="str">
        <f>HYPERLINK("https://ibp.a2mac1.com/costing(costing:projects/details/8191/part/5388611)","Speaker")</f>
        <v>Speaker</v>
      </c>
      <c r="B1534">
        <v>5388611</v>
      </c>
      <c r="C1534">
        <v>5388250</v>
      </c>
      <c r="E1534">
        <v>4.9458900000000003</v>
      </c>
      <c r="F1534">
        <v>0</v>
      </c>
      <c r="G1534">
        <v>0</v>
      </c>
      <c r="H1534">
        <v>0</v>
      </c>
      <c r="I1534" t="s">
        <v>74</v>
      </c>
      <c r="J1534">
        <v>0</v>
      </c>
      <c r="K1534">
        <v>4.9458900000000003</v>
      </c>
      <c r="L1534">
        <v>0</v>
      </c>
      <c r="M1534">
        <v>0</v>
      </c>
      <c r="N1534">
        <v>4.9458900000000003</v>
      </c>
      <c r="O1534" t="s">
        <v>74</v>
      </c>
      <c r="P1534">
        <v>0</v>
      </c>
      <c r="Q1534" t="s">
        <v>74</v>
      </c>
      <c r="R1534">
        <v>0</v>
      </c>
      <c r="S1534" t="s">
        <v>74</v>
      </c>
      <c r="T1534">
        <v>0</v>
      </c>
      <c r="U1534" t="s">
        <v>74</v>
      </c>
      <c r="V1534">
        <v>0</v>
      </c>
      <c r="W1534" t="s">
        <v>74</v>
      </c>
      <c r="X1534">
        <v>0</v>
      </c>
      <c r="Y1534">
        <v>4.9458900000000003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71</v>
      </c>
      <c r="AF1534">
        <v>168</v>
      </c>
      <c r="AG1534">
        <v>168</v>
      </c>
      <c r="AI1534">
        <v>0.61199999999999999</v>
      </c>
      <c r="AJ1534" t="s">
        <v>3827</v>
      </c>
      <c r="AK1534" t="s">
        <v>218</v>
      </c>
      <c r="AL1534" t="s">
        <v>5281</v>
      </c>
      <c r="AM1534">
        <v>200000</v>
      </c>
      <c r="AN1534" t="s">
        <v>76</v>
      </c>
      <c r="AO1534">
        <v>1</v>
      </c>
      <c r="AP1534">
        <v>0</v>
      </c>
      <c r="AQ1534">
        <v>16666.666666666668</v>
      </c>
      <c r="AR1534" t="s">
        <v>9</v>
      </c>
      <c r="AS1534" t="s">
        <v>78</v>
      </c>
      <c r="AX1534" t="s">
        <v>79</v>
      </c>
      <c r="AY1534" t="s">
        <v>74</v>
      </c>
      <c r="AZ1534">
        <v>0</v>
      </c>
      <c r="BA1534" t="s">
        <v>74</v>
      </c>
      <c r="BB1534">
        <v>0</v>
      </c>
      <c r="BD1534">
        <v>4.9458900000000003</v>
      </c>
      <c r="BE1534">
        <v>0</v>
      </c>
    </row>
    <row r="1535" spans="1:58" ht="12.75">
      <c r="A1535" s="2" t="str">
        <f>HYPERLINK("https://ibp.a2mac1.com/costing(costing:projects/details/8191/part/5388241)","Hole Plugs")</f>
        <v>Hole Plugs</v>
      </c>
      <c r="B1535">
        <v>5388241</v>
      </c>
      <c r="C1535">
        <v>5388139</v>
      </c>
      <c r="E1535">
        <v>0.60</v>
      </c>
      <c r="F1535">
        <v>0</v>
      </c>
      <c r="G1535">
        <v>0</v>
      </c>
      <c r="H1535">
        <v>0</v>
      </c>
      <c r="I1535" t="s">
        <v>74</v>
      </c>
      <c r="J1535">
        <v>0</v>
      </c>
      <c r="K1535">
        <v>0.60</v>
      </c>
      <c r="L1535">
        <v>0</v>
      </c>
      <c r="M1535">
        <v>0</v>
      </c>
      <c r="N1535">
        <v>0.60</v>
      </c>
      <c r="O1535" t="s">
        <v>74</v>
      </c>
      <c r="P1535">
        <v>0</v>
      </c>
      <c r="Q1535" t="s">
        <v>74</v>
      </c>
      <c r="R1535">
        <v>0</v>
      </c>
      <c r="S1535" t="s">
        <v>74</v>
      </c>
      <c r="T1535">
        <v>0</v>
      </c>
      <c r="U1535" t="s">
        <v>74</v>
      </c>
      <c r="V1535">
        <v>0</v>
      </c>
      <c r="W1535" t="s">
        <v>74</v>
      </c>
      <c r="X1535">
        <v>0</v>
      </c>
      <c r="Y1535">
        <v>0.60</v>
      </c>
      <c r="Z1535">
        <v>0</v>
      </c>
      <c r="AA1535">
        <v>0</v>
      </c>
      <c r="AB1535">
        <v>0</v>
      </c>
      <c r="AC1535">
        <v>0</v>
      </c>
      <c r="AD1535">
        <v>0</v>
      </c>
      <c r="AI1535">
        <v>2.0000000000000002E-05</v>
      </c>
      <c r="AK1535" t="s">
        <v>218</v>
      </c>
      <c r="AL1535" t="s">
        <v>5285</v>
      </c>
      <c r="AM1535">
        <v>1200000</v>
      </c>
      <c r="AN1535" t="s">
        <v>76</v>
      </c>
      <c r="AO1535">
        <v>6</v>
      </c>
      <c r="AP1535">
        <v>0</v>
      </c>
      <c r="AQ1535">
        <v>100000</v>
      </c>
      <c r="AR1535" t="s">
        <v>9</v>
      </c>
      <c r="AS1535" t="s">
        <v>78</v>
      </c>
      <c r="AX1535" t="s">
        <v>79</v>
      </c>
      <c r="AY1535" t="s">
        <v>74</v>
      </c>
      <c r="AZ1535">
        <v>0</v>
      </c>
      <c r="BA1535" t="s">
        <v>74</v>
      </c>
      <c r="BB1535">
        <v>0</v>
      </c>
      <c r="BD1535">
        <v>0.10</v>
      </c>
      <c r="BE1535">
        <v>0</v>
      </c>
    </row>
    <row r="1536" spans="1:58" ht="12.75">
      <c r="A1536" s="2" t="str">
        <f>HYPERLINK("https://ibp.a2mac1.com/costing(costing:projects/details/8191/part/5388612)","Upper Cross Member")</f>
        <v>Upper Cross Member</v>
      </c>
      <c r="B1536">
        <v>5388612</v>
      </c>
      <c r="C1536">
        <v>5388252</v>
      </c>
      <c r="E1536">
        <v>3.0803876492448734</v>
      </c>
      <c r="F1536">
        <v>0.35</v>
      </c>
      <c r="G1536">
        <v>0</v>
      </c>
      <c r="H1536">
        <v>0.0032225595394495261</v>
      </c>
      <c r="I1536" t="s">
        <v>137</v>
      </c>
      <c r="J1536">
        <v>0.10845152296224367</v>
      </c>
      <c r="K1536">
        <v>3.5543117317465667</v>
      </c>
      <c r="L1536">
        <v>0.037504494904533635</v>
      </c>
      <c r="M1536">
        <v>0.2250269694272018</v>
      </c>
      <c r="N1536">
        <v>3.7793387011737685</v>
      </c>
      <c r="O1536" t="s">
        <v>138</v>
      </c>
      <c r="P1536">
        <v>0.21325870390479401</v>
      </c>
      <c r="Q1536" t="s">
        <v>138</v>
      </c>
      <c r="R1536">
        <v>0.013501618165632109</v>
      </c>
      <c r="S1536" t="s">
        <v>139</v>
      </c>
      <c r="T1536">
        <v>0.45352064414085219</v>
      </c>
      <c r="U1536" t="s">
        <v>216</v>
      </c>
      <c r="V1536">
        <v>0.018896693505868842</v>
      </c>
      <c r="W1536" t="s">
        <v>217</v>
      </c>
      <c r="X1536">
        <v>0.07558677402347537</v>
      </c>
      <c r="Y1536">
        <v>4.5541031349143912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K1536" t="s">
        <v>218</v>
      </c>
      <c r="AM1536">
        <v>200000</v>
      </c>
      <c r="AN1536" t="s">
        <v>76</v>
      </c>
      <c r="AO1536">
        <v>1</v>
      </c>
      <c r="AP1536">
        <v>0</v>
      </c>
      <c r="AQ1536">
        <v>16666.666666666668</v>
      </c>
      <c r="AR1536" t="s">
        <v>9</v>
      </c>
      <c r="AS1536" t="s">
        <v>78</v>
      </c>
      <c r="AV1536">
        <v>0</v>
      </c>
      <c r="AW1536">
        <v>0</v>
      </c>
      <c r="AX1536" t="s">
        <v>79</v>
      </c>
      <c r="AY1536" t="s">
        <v>137</v>
      </c>
      <c r="AZ1536">
        <v>0.01225</v>
      </c>
      <c r="BA1536" t="s">
        <v>137</v>
      </c>
      <c r="BB1536">
        <v>0</v>
      </c>
      <c r="BE1536">
        <v>0</v>
      </c>
    </row>
    <row r="1537" spans="1:58" ht="12.75">
      <c r="A1537" s="2" t="str">
        <f>HYPERLINK("https://ibp.a2mac1.com/costing(costing:projects/details/8191/part/5388253)","Reinforcement")</f>
        <v>Reinforcement</v>
      </c>
      <c r="B1537">
        <v>5388253</v>
      </c>
      <c r="C1537">
        <v>5388142</v>
      </c>
      <c r="E1537">
        <v>1.9380248253333334</v>
      </c>
      <c r="F1537">
        <v>0</v>
      </c>
      <c r="G1537">
        <v>0</v>
      </c>
      <c r="H1537">
        <v>0.010538664725866667</v>
      </c>
      <c r="I1537" t="s">
        <v>137</v>
      </c>
      <c r="J1537">
        <v>0.073330669066666673</v>
      </c>
      <c r="K1537">
        <v>2.0218941591258668</v>
      </c>
      <c r="L1537">
        <v>0.023550608023967197</v>
      </c>
      <c r="M1537">
        <v>0.1413036481438032</v>
      </c>
      <c r="N1537">
        <v>2.16319780726967</v>
      </c>
      <c r="O1537" t="s">
        <v>138</v>
      </c>
      <c r="P1537">
        <v>0.121313649547552</v>
      </c>
      <c r="Q1537" t="s">
        <v>138</v>
      </c>
      <c r="R1537">
        <v>0.008478218888628191</v>
      </c>
      <c r="S1537" t="s">
        <v>139</v>
      </c>
      <c r="T1537">
        <v>0.25958373687236036</v>
      </c>
      <c r="U1537" t="s">
        <v>90</v>
      </c>
      <c r="V1537">
        <v>0</v>
      </c>
      <c r="W1537" t="s">
        <v>90</v>
      </c>
      <c r="X1537">
        <v>0</v>
      </c>
      <c r="Y1537">
        <v>2.5525734125782105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140</v>
      </c>
      <c r="AF1537">
        <v>120</v>
      </c>
      <c r="AG1537">
        <v>281</v>
      </c>
      <c r="AI1537">
        <v>0.64149999999999996</v>
      </c>
      <c r="AJ1537" t="s">
        <v>685</v>
      </c>
      <c r="AK1537" t="s">
        <v>501</v>
      </c>
      <c r="AL1537" t="s">
        <v>720</v>
      </c>
      <c r="AM1537">
        <v>400000</v>
      </c>
      <c r="AN1537" t="s">
        <v>76</v>
      </c>
      <c r="AO1537">
        <v>2</v>
      </c>
      <c r="AP1537">
        <v>0</v>
      </c>
      <c r="AQ1537">
        <v>33333.333333333336</v>
      </c>
      <c r="AR1537" t="s">
        <v>6080</v>
      </c>
      <c r="AS1537" t="s">
        <v>78</v>
      </c>
      <c r="AX1537" t="s">
        <v>79</v>
      </c>
      <c r="AY1537" t="s">
        <v>137</v>
      </c>
      <c r="AZ1537">
        <v>0</v>
      </c>
      <c r="BA1537" t="s">
        <v>137</v>
      </c>
      <c r="BB1537">
        <v>0</v>
      </c>
      <c r="BE1537">
        <v>0</v>
      </c>
    </row>
    <row r="1538" spans="1:58" ht="12.75">
      <c r="A1538" s="2" t="str">
        <f>HYPERLINK("https://ibp.a2mac1.com/costing(costing:projects/details/8191/part/5388254)","2nd Reinforcement")</f>
        <v>2nd Reinforcement</v>
      </c>
      <c r="B1538">
        <v>5388254</v>
      </c>
      <c r="C1538">
        <v>5388142</v>
      </c>
      <c r="E1538">
        <v>0.54929406000000003</v>
      </c>
      <c r="F1538">
        <v>0</v>
      </c>
      <c r="G1538">
        <v>0</v>
      </c>
      <c r="H1538">
        <v>0.0027794279435999999</v>
      </c>
      <c r="I1538" t="s">
        <v>137</v>
      </c>
      <c r="J1538">
        <v>0.019225292099999999</v>
      </c>
      <c r="K1538">
        <v>0.57129878004360002</v>
      </c>
      <c r="L1538">
        <v>0.012954808616905138</v>
      </c>
      <c r="M1538">
        <v>0.077728851701430832</v>
      </c>
      <c r="N1538">
        <v>0.64902763174503086</v>
      </c>
      <c r="O1538" t="s">
        <v>138</v>
      </c>
      <c r="P1538">
        <v>0.034277926802616002</v>
      </c>
      <c r="Q1538" t="s">
        <v>138</v>
      </c>
      <c r="R1538">
        <v>0.0046637311020858501</v>
      </c>
      <c r="S1538" t="s">
        <v>139</v>
      </c>
      <c r="T1538">
        <v>0.077883315809403705</v>
      </c>
      <c r="U1538" t="s">
        <v>90</v>
      </c>
      <c r="V1538">
        <v>0</v>
      </c>
      <c r="W1538" t="s">
        <v>90</v>
      </c>
      <c r="X1538">
        <v>0</v>
      </c>
      <c r="Y1538">
        <v>0.76585260545913636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111</v>
      </c>
      <c r="AF1538">
        <v>996</v>
      </c>
      <c r="AG1538">
        <v>37</v>
      </c>
      <c r="AI1538">
        <v>0.93400000000000005</v>
      </c>
      <c r="AJ1538" t="s">
        <v>685</v>
      </c>
      <c r="AK1538" t="s">
        <v>501</v>
      </c>
      <c r="AL1538" t="s">
        <v>720</v>
      </c>
      <c r="AM1538">
        <v>200000</v>
      </c>
      <c r="AN1538" t="s">
        <v>76</v>
      </c>
      <c r="AO1538">
        <v>1</v>
      </c>
      <c r="AP1538">
        <v>0</v>
      </c>
      <c r="AQ1538">
        <v>16666.666666666668</v>
      </c>
      <c r="AR1538" t="s">
        <v>6085</v>
      </c>
      <c r="AS1538" t="s">
        <v>78</v>
      </c>
      <c r="AX1538" t="s">
        <v>79</v>
      </c>
      <c r="AY1538" t="s">
        <v>137</v>
      </c>
      <c r="AZ1538">
        <v>0</v>
      </c>
      <c r="BA1538" t="s">
        <v>137</v>
      </c>
      <c r="BB1538">
        <v>0</v>
      </c>
      <c r="BE1538">
        <v>0</v>
      </c>
    </row>
    <row r="1539" spans="1:58" ht="12.75">
      <c r="A1539" s="2" t="str">
        <f>HYPERLINK("https://ibp.a2mac1.com/costing(costing:projects/details/8191/part/5388255)","3rd Reinforcement")</f>
        <v>3rd Reinforcement</v>
      </c>
      <c r="B1539">
        <v>5388255</v>
      </c>
      <c r="C1539">
        <v>5388142</v>
      </c>
      <c r="E1539">
        <v>0.41790672000000001</v>
      </c>
      <c r="F1539">
        <v>0</v>
      </c>
      <c r="G1539">
        <v>0</v>
      </c>
      <c r="H1539">
        <v>0.0021146080032000002</v>
      </c>
      <c r="I1539" t="s">
        <v>137</v>
      </c>
      <c r="J1539">
        <v>0.014626735199999999</v>
      </c>
      <c r="K1539">
        <v>0.43464806320319999</v>
      </c>
      <c r="L1539">
        <v>0.012954808616905138</v>
      </c>
      <c r="M1539">
        <v>0.077728851701430832</v>
      </c>
      <c r="N1539">
        <v>0.51237691490463078</v>
      </c>
      <c r="O1539" t="s">
        <v>138</v>
      </c>
      <c r="P1539">
        <v>0.026078883792192</v>
      </c>
      <c r="Q1539" t="s">
        <v>138</v>
      </c>
      <c r="R1539">
        <v>0.0046637311020858501</v>
      </c>
      <c r="S1539" t="s">
        <v>139</v>
      </c>
      <c r="T1539">
        <v>0.061485229788555702</v>
      </c>
      <c r="U1539" t="s">
        <v>90</v>
      </c>
      <c r="V1539">
        <v>0</v>
      </c>
      <c r="W1539" t="s">
        <v>90</v>
      </c>
      <c r="X1539">
        <v>0</v>
      </c>
      <c r="Y1539">
        <v>0.6046047595874644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58</v>
      </c>
      <c r="AF1539">
        <v>616</v>
      </c>
      <c r="AG1539">
        <v>584</v>
      </c>
      <c r="AI1539">
        <v>0.75800000000000001</v>
      </c>
      <c r="AJ1539" t="s">
        <v>685</v>
      </c>
      <c r="AK1539" t="s">
        <v>501</v>
      </c>
      <c r="AL1539" t="s">
        <v>720</v>
      </c>
      <c r="AM1539">
        <v>200000</v>
      </c>
      <c r="AN1539" t="s">
        <v>76</v>
      </c>
      <c r="AO1539">
        <v>1</v>
      </c>
      <c r="AP1539">
        <v>0</v>
      </c>
      <c r="AQ1539">
        <v>16666.666666666668</v>
      </c>
      <c r="AR1539" t="s">
        <v>6090</v>
      </c>
      <c r="AS1539" t="s">
        <v>78</v>
      </c>
      <c r="AX1539" t="s">
        <v>79</v>
      </c>
      <c r="AY1539" t="s">
        <v>137</v>
      </c>
      <c r="AZ1539">
        <v>0</v>
      </c>
      <c r="BA1539" t="s">
        <v>137</v>
      </c>
      <c r="BB1539">
        <v>0</v>
      </c>
      <c r="BE1539">
        <v>0</v>
      </c>
    </row>
    <row r="1540" spans="1:58" ht="12.75">
      <c r="A1540" s="2" t="str">
        <f>HYPERLINK("https://ibp.a2mac1.com/costing(costing:projects/details/8191/part/5388256)","Lower Supports")</f>
        <v>Lower Supports</v>
      </c>
      <c r="B1540">
        <v>5388256</v>
      </c>
      <c r="C1540">
        <v>5388142</v>
      </c>
      <c r="E1540">
        <v>1.1207714912044489</v>
      </c>
      <c r="F1540">
        <v>0.073440000000000005</v>
      </c>
      <c r="G1540">
        <v>0</v>
      </c>
      <c r="H1540">
        <v>0.0011330900876384141</v>
      </c>
      <c r="I1540" t="s">
        <v>137</v>
      </c>
      <c r="J1540">
        <v>0.039265498086479694</v>
      </c>
      <c r="K1540">
        <v>1.237180479378567</v>
      </c>
      <c r="L1540">
        <v>0.020367242547475978</v>
      </c>
      <c r="M1540">
        <v>0.12220345528485588</v>
      </c>
      <c r="N1540">
        <v>1.3593839346634229</v>
      </c>
      <c r="O1540" t="s">
        <v>138</v>
      </c>
      <c r="P1540">
        <v>0.074230828762714016</v>
      </c>
      <c r="Q1540" t="s">
        <v>138</v>
      </c>
      <c r="R1540">
        <v>0.0073322073170913526</v>
      </c>
      <c r="S1540" t="s">
        <v>139</v>
      </c>
      <c r="T1540">
        <v>0.16312607215961075</v>
      </c>
      <c r="U1540" t="s">
        <v>90</v>
      </c>
      <c r="V1540">
        <v>0</v>
      </c>
      <c r="W1540" t="s">
        <v>90</v>
      </c>
      <c r="X1540">
        <v>0</v>
      </c>
      <c r="Y1540">
        <v>1.6040730429028389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116</v>
      </c>
      <c r="AF1540">
        <v>146</v>
      </c>
      <c r="AG1540">
        <v>116</v>
      </c>
      <c r="AI1540">
        <v>0.31900000000000001</v>
      </c>
      <c r="AJ1540" t="s">
        <v>685</v>
      </c>
      <c r="AK1540" t="s">
        <v>501</v>
      </c>
      <c r="AL1540" t="s">
        <v>6096</v>
      </c>
      <c r="AM1540">
        <v>400000</v>
      </c>
      <c r="AN1540" t="s">
        <v>76</v>
      </c>
      <c r="AO1540">
        <v>2</v>
      </c>
      <c r="AP1540">
        <v>0</v>
      </c>
      <c r="AQ1540">
        <v>33333.333333333336</v>
      </c>
      <c r="AR1540" t="s">
        <v>6097</v>
      </c>
      <c r="AS1540" t="s">
        <v>78</v>
      </c>
      <c r="AX1540" t="s">
        <v>79</v>
      </c>
      <c r="AY1540" t="s">
        <v>137</v>
      </c>
      <c r="AZ1540">
        <v>0.0025704</v>
      </c>
      <c r="BA1540" t="s">
        <v>137</v>
      </c>
      <c r="BB1540">
        <v>0</v>
      </c>
      <c r="BE1540">
        <v>0</v>
      </c>
    </row>
    <row r="1541" spans="1:58" ht="12.75">
      <c r="A1541" s="2" t="str">
        <f>HYPERLINK("https://ibp.a2mac1.com/costing(costing:projects/details/8191/part/5388613)","Main Shield")</f>
        <v>Main Shield</v>
      </c>
      <c r="B1541">
        <v>5388613</v>
      </c>
      <c r="C1541">
        <v>5388260</v>
      </c>
      <c r="E1541">
        <v>2.1404708745000001</v>
      </c>
      <c r="F1541">
        <v>0</v>
      </c>
      <c r="G1541">
        <v>0</v>
      </c>
      <c r="H1541">
        <v>0.010857927443578948</v>
      </c>
      <c r="I1541" t="s">
        <v>137</v>
      </c>
      <c r="J1541">
        <v>0.075104241210526321</v>
      </c>
      <c r="K1541">
        <v>2.2264330431541053</v>
      </c>
      <c r="L1541">
        <v>0.063484639076591784</v>
      </c>
      <c r="M1541">
        <v>0.38090783445955073</v>
      </c>
      <c r="N1541">
        <v>2.6073408776136562</v>
      </c>
      <c r="O1541" t="s">
        <v>138</v>
      </c>
      <c r="P1541">
        <v>0.13358598258924631</v>
      </c>
      <c r="Q1541" t="s">
        <v>138</v>
      </c>
      <c r="R1541">
        <v>0.022854470067573043</v>
      </c>
      <c r="S1541" t="s">
        <v>139</v>
      </c>
      <c r="T1541">
        <v>0.31288090531363871</v>
      </c>
      <c r="U1541" t="s">
        <v>90</v>
      </c>
      <c r="V1541">
        <v>0</v>
      </c>
      <c r="W1541" t="s">
        <v>90</v>
      </c>
      <c r="X1541">
        <v>0</v>
      </c>
      <c r="Y1541">
        <v>3.0766622355841142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419</v>
      </c>
      <c r="AF1541">
        <v>1713</v>
      </c>
      <c r="AG1541">
        <v>80</v>
      </c>
      <c r="AI1541">
        <v>1.363</v>
      </c>
      <c r="AJ1541" t="s">
        <v>1325</v>
      </c>
      <c r="AK1541" t="s">
        <v>501</v>
      </c>
      <c r="AL1541" t="s">
        <v>6105</v>
      </c>
      <c r="AM1541">
        <v>200000</v>
      </c>
      <c r="AN1541" t="s">
        <v>76</v>
      </c>
      <c r="AO1541">
        <v>1</v>
      </c>
      <c r="AP1541">
        <v>0</v>
      </c>
      <c r="AQ1541">
        <v>16666.666666666668</v>
      </c>
      <c r="AR1541" t="s">
        <v>6106</v>
      </c>
      <c r="AS1541" t="s">
        <v>78</v>
      </c>
      <c r="AX1541" t="s">
        <v>79</v>
      </c>
      <c r="AY1541" t="s">
        <v>137</v>
      </c>
      <c r="AZ1541">
        <v>0</v>
      </c>
      <c r="BA1541" t="s">
        <v>137</v>
      </c>
      <c r="BB1541">
        <v>0</v>
      </c>
      <c r="BE1541">
        <v>0</v>
      </c>
    </row>
    <row r="1542" spans="1:58" ht="12.75">
      <c r="A1542" s="2" t="str">
        <f>HYPERLINK("https://ibp.a2mac1.com/costing(costing:projects/details/8191/part/5388614)","Left Shield")</f>
        <v>Left Shield</v>
      </c>
      <c r="B1542">
        <v>5388614</v>
      </c>
      <c r="C1542">
        <v>5388260</v>
      </c>
      <c r="E1542">
        <v>0.51106977600000003</v>
      </c>
      <c r="F1542">
        <v>0</v>
      </c>
      <c r="G1542">
        <v>0</v>
      </c>
      <c r="H1542">
        <v>0.0025924943023157895</v>
      </c>
      <c r="I1542" t="s">
        <v>137</v>
      </c>
      <c r="J1542">
        <v>0.017932272842105263</v>
      </c>
      <c r="K1542">
        <v>0.53159454314442101</v>
      </c>
      <c r="L1542">
        <v>0.0126341906214352</v>
      </c>
      <c r="M1542">
        <v>0.075805143728611205</v>
      </c>
      <c r="N1542">
        <v>0.60739968687303225</v>
      </c>
      <c r="O1542" t="s">
        <v>138</v>
      </c>
      <c r="P1542">
        <v>0.031895672588665262</v>
      </c>
      <c r="Q1542" t="s">
        <v>138</v>
      </c>
      <c r="R1542">
        <v>0.0045483086237166721</v>
      </c>
      <c r="S1542" t="s">
        <v>139</v>
      </c>
      <c r="T1542">
        <v>0.072887962424763864</v>
      </c>
      <c r="U1542" t="s">
        <v>90</v>
      </c>
      <c r="V1542">
        <v>0</v>
      </c>
      <c r="W1542" t="s">
        <v>90</v>
      </c>
      <c r="X1542">
        <v>0</v>
      </c>
      <c r="Y1542">
        <v>0.71673163051017807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350</v>
      </c>
      <c r="AF1542">
        <v>410</v>
      </c>
      <c r="AG1542">
        <v>85</v>
      </c>
      <c r="AI1542">
        <v>0.27200000000000002</v>
      </c>
      <c r="AJ1542" t="s">
        <v>685</v>
      </c>
      <c r="AK1542" t="s">
        <v>501</v>
      </c>
      <c r="AL1542" t="s">
        <v>6111</v>
      </c>
      <c r="AM1542">
        <v>200000</v>
      </c>
      <c r="AN1542" t="s">
        <v>76</v>
      </c>
      <c r="AO1542">
        <v>1</v>
      </c>
      <c r="AP1542">
        <v>0</v>
      </c>
      <c r="AQ1542">
        <v>16666.666666666668</v>
      </c>
      <c r="AR1542" t="s">
        <v>6112</v>
      </c>
      <c r="AS1542" t="s">
        <v>78</v>
      </c>
      <c r="AX1542" t="s">
        <v>79</v>
      </c>
      <c r="AY1542" t="s">
        <v>137</v>
      </c>
      <c r="AZ1542">
        <v>0</v>
      </c>
      <c r="BA1542" t="s">
        <v>137</v>
      </c>
      <c r="BB1542">
        <v>0</v>
      </c>
      <c r="BE1542">
        <v>0</v>
      </c>
    </row>
    <row r="1543" spans="1:58" ht="12.75">
      <c r="A1543" s="2" t="str">
        <f>HYPERLINK("https://ibp.a2mac1.com/costing(costing:projects/details/8191/part/5388615)","Right Shield")</f>
        <v>Right Shield</v>
      </c>
      <c r="B1543">
        <v>5388615</v>
      </c>
      <c r="C1543">
        <v>5388260</v>
      </c>
      <c r="E1543">
        <v>0.50919084299999995</v>
      </c>
      <c r="F1543">
        <v>0</v>
      </c>
      <c r="G1543">
        <v>0</v>
      </c>
      <c r="H1543">
        <v>0.0025829630732631579</v>
      </c>
      <c r="I1543" t="s">
        <v>137</v>
      </c>
      <c r="J1543">
        <v>0.017866345368421053</v>
      </c>
      <c r="K1543">
        <v>0.52964015144168419</v>
      </c>
      <c r="L1543">
        <v>0.012587709619437264</v>
      </c>
      <c r="M1543">
        <v>0.075526257716623579</v>
      </c>
      <c r="N1543">
        <v>0.60516640915830777</v>
      </c>
      <c r="O1543" t="s">
        <v>138</v>
      </c>
      <c r="P1543">
        <v>0.03177840908650105</v>
      </c>
      <c r="Q1543" t="s">
        <v>138</v>
      </c>
      <c r="R1543">
        <v>0.0045315754629974151</v>
      </c>
      <c r="S1543" t="s">
        <v>139</v>
      </c>
      <c r="T1543">
        <v>0.072619969098996942</v>
      </c>
      <c r="U1543" t="s">
        <v>90</v>
      </c>
      <c r="V1543">
        <v>0</v>
      </c>
      <c r="W1543" t="s">
        <v>90</v>
      </c>
      <c r="X1543">
        <v>0</v>
      </c>
      <c r="Y1543">
        <v>0.71409636280680322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350</v>
      </c>
      <c r="AF1543">
        <v>410</v>
      </c>
      <c r="AG1543">
        <v>85</v>
      </c>
      <c r="AI1543">
        <v>0.27100000000000002</v>
      </c>
      <c r="AJ1543" t="s">
        <v>685</v>
      </c>
      <c r="AK1543" t="s">
        <v>501</v>
      </c>
      <c r="AL1543" t="s">
        <v>6111</v>
      </c>
      <c r="AM1543">
        <v>200000</v>
      </c>
      <c r="AN1543" t="s">
        <v>76</v>
      </c>
      <c r="AO1543">
        <v>1</v>
      </c>
      <c r="AP1543">
        <v>0</v>
      </c>
      <c r="AQ1543">
        <v>16666.666666666668</v>
      </c>
      <c r="AR1543" t="s">
        <v>6117</v>
      </c>
      <c r="AS1543" t="s">
        <v>78</v>
      </c>
      <c r="AX1543" t="s">
        <v>79</v>
      </c>
      <c r="AY1543" t="s">
        <v>137</v>
      </c>
      <c r="AZ1543">
        <v>0</v>
      </c>
      <c r="BA1543" t="s">
        <v>137</v>
      </c>
      <c r="BB1543">
        <v>0</v>
      </c>
      <c r="BE1543">
        <v>0</v>
      </c>
    </row>
    <row r="1544" spans="1:58" ht="12.75">
      <c r="A1544" s="2" t="str">
        <f>HYPERLINK("https://ibp.a2mac1.com/costing(costing:projects/details/8191/part/5388616)","Shield Under Engine")</f>
        <v>Shield Under Engine</v>
      </c>
      <c r="B1544">
        <v>5388616</v>
      </c>
      <c r="C1544">
        <v>5388261</v>
      </c>
      <c r="E1544">
        <v>2.5216440480000002</v>
      </c>
      <c r="F1544">
        <v>0</v>
      </c>
      <c r="G1544">
        <v>0</v>
      </c>
      <c r="H1544">
        <v>0.012791497626947368</v>
      </c>
      <c r="I1544" t="s">
        <v>137</v>
      </c>
      <c r="J1544">
        <v>0.088478738526315784</v>
      </c>
      <c r="K1544">
        <v>2.6229142841532633</v>
      </c>
      <c r="L1544">
        <v>0.083087997338963521</v>
      </c>
      <c r="M1544">
        <v>0.49852798403378118</v>
      </c>
      <c r="N1544">
        <v>3.1214422681870442</v>
      </c>
      <c r="O1544" t="s">
        <v>138</v>
      </c>
      <c r="P1544">
        <v>0.15737485704919579</v>
      </c>
      <c r="Q1544" t="s">
        <v>138</v>
      </c>
      <c r="R1544">
        <v>0.029911679042026868</v>
      </c>
      <c r="S1544" t="s">
        <v>139</v>
      </c>
      <c r="T1544">
        <v>0.37457307218244534</v>
      </c>
      <c r="U1544" t="s">
        <v>90</v>
      </c>
      <c r="V1544">
        <v>0</v>
      </c>
      <c r="W1544" t="s">
        <v>90</v>
      </c>
      <c r="X1544">
        <v>0</v>
      </c>
      <c r="Y1544">
        <v>3.6833018764607122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1102</v>
      </c>
      <c r="AF1544">
        <v>882</v>
      </c>
      <c r="AG1544">
        <v>32</v>
      </c>
      <c r="AI1544">
        <v>1.782</v>
      </c>
      <c r="AJ1544" t="s">
        <v>5268</v>
      </c>
      <c r="AK1544" t="s">
        <v>501</v>
      </c>
      <c r="AL1544" t="s">
        <v>728</v>
      </c>
      <c r="AM1544">
        <v>200000</v>
      </c>
      <c r="AN1544" t="s">
        <v>76</v>
      </c>
      <c r="AO1544">
        <v>1</v>
      </c>
      <c r="AP1544">
        <v>0</v>
      </c>
      <c r="AQ1544">
        <v>16666.666666666668</v>
      </c>
      <c r="AR1544" t="s">
        <v>6124</v>
      </c>
      <c r="AS1544" t="s">
        <v>78</v>
      </c>
      <c r="AX1544" t="s">
        <v>79</v>
      </c>
      <c r="AY1544" t="s">
        <v>137</v>
      </c>
      <c r="AZ1544">
        <v>0</v>
      </c>
      <c r="BA1544" t="s">
        <v>137</v>
      </c>
      <c r="BB1544">
        <v>0</v>
      </c>
      <c r="BE1544">
        <v>0</v>
      </c>
    </row>
    <row r="1545" spans="1:58" ht="12.75">
      <c r="A1545" s="2" t="str">
        <f>HYPERLINK("https://ibp.a2mac1.com/costing(costing:projects/details/8191/part/5388257)","Under the Rear Axle")</f>
        <v>Under the Rear Axle</v>
      </c>
      <c r="B1545">
        <v>5388257</v>
      </c>
      <c r="C1545">
        <v>5388143</v>
      </c>
      <c r="E1545">
        <v>9.5575220999999999</v>
      </c>
      <c r="F1545">
        <v>0</v>
      </c>
      <c r="G1545">
        <v>0</v>
      </c>
      <c r="H1545">
        <v>0.048482267494736844</v>
      </c>
      <c r="I1545" t="s">
        <v>137</v>
      </c>
      <c r="J1545">
        <v>0.33535165263157896</v>
      </c>
      <c r="K1545">
        <v>9.9413560201263156</v>
      </c>
      <c r="L1545">
        <v>0.2227210080450486</v>
      </c>
      <c r="M1545">
        <v>1.3363260482702917</v>
      </c>
      <c r="N1545">
        <v>11.277682068396608</v>
      </c>
      <c r="O1545" t="s">
        <v>138</v>
      </c>
      <c r="P1545">
        <v>0.596481361207579</v>
      </c>
      <c r="Q1545" t="s">
        <v>138</v>
      </c>
      <c r="R1545">
        <v>0.080179562896217499</v>
      </c>
      <c r="S1545" t="s">
        <v>139</v>
      </c>
      <c r="T1545">
        <v>1.3533218482075928</v>
      </c>
      <c r="U1545" t="s">
        <v>90</v>
      </c>
      <c r="V1545">
        <v>0</v>
      </c>
      <c r="W1545" t="s">
        <v>90</v>
      </c>
      <c r="X1545">
        <v>0</v>
      </c>
      <c r="Y1545">
        <v>13.307664840707996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947</v>
      </c>
      <c r="AF1545">
        <v>1300</v>
      </c>
      <c r="AG1545">
        <v>67</v>
      </c>
      <c r="AI1545">
        <v>4.7789999999999999</v>
      </c>
      <c r="AK1545" t="s">
        <v>501</v>
      </c>
      <c r="AL1545" t="s">
        <v>6130</v>
      </c>
      <c r="AM1545">
        <v>200000</v>
      </c>
      <c r="AN1545" t="s">
        <v>76</v>
      </c>
      <c r="AO1545">
        <v>1</v>
      </c>
      <c r="AP1545">
        <v>0</v>
      </c>
      <c r="AQ1545">
        <v>16666.666666666668</v>
      </c>
      <c r="AR1545" t="s">
        <v>6131</v>
      </c>
      <c r="AS1545" t="s">
        <v>78</v>
      </c>
      <c r="AX1545" t="s">
        <v>79</v>
      </c>
      <c r="AY1545" t="s">
        <v>137</v>
      </c>
      <c r="AZ1545">
        <v>0</v>
      </c>
      <c r="BA1545" t="s">
        <v>137</v>
      </c>
      <c r="BB1545">
        <v>0</v>
      </c>
      <c r="BE1545">
        <v>0</v>
      </c>
    </row>
    <row r="1546" spans="1:58" ht="12.75">
      <c r="A1546" s="2" t="str">
        <f>HYPERLINK("https://ibp.a2mac1.com/costing(costing:projects/details/8191/part/5388258)","Screen Between Body and Rear Bumper")</f>
        <v>Screen Between Body and Rear Bumper</v>
      </c>
      <c r="B1546">
        <v>5388258</v>
      </c>
      <c r="C1546">
        <v>5388143</v>
      </c>
      <c r="E1546">
        <v>1.8070367279999999</v>
      </c>
      <c r="F1546">
        <v>0</v>
      </c>
      <c r="G1546">
        <v>0</v>
      </c>
      <c r="H1546">
        <v>0.0091665221490526312</v>
      </c>
      <c r="I1546" t="s">
        <v>137</v>
      </c>
      <c r="J1546">
        <v>0.063404797473684216</v>
      </c>
      <c r="K1546">
        <v>1.8796080476227368</v>
      </c>
      <c r="L1546">
        <v>0.059466129786987669</v>
      </c>
      <c r="M1546">
        <v>0.356796778721926</v>
      </c>
      <c r="N1546">
        <v>2.2364048263446628</v>
      </c>
      <c r="O1546" t="s">
        <v>138</v>
      </c>
      <c r="P1546">
        <v>0.1127764828573642</v>
      </c>
      <c r="Q1546" t="s">
        <v>138</v>
      </c>
      <c r="R1546">
        <v>0.021407806723315558</v>
      </c>
      <c r="S1546" t="s">
        <v>139</v>
      </c>
      <c r="T1546">
        <v>0.26836857916135953</v>
      </c>
      <c r="U1546" t="s">
        <v>90</v>
      </c>
      <c r="V1546">
        <v>0</v>
      </c>
      <c r="W1546" t="s">
        <v>90</v>
      </c>
      <c r="X1546">
        <v>0</v>
      </c>
      <c r="Y1546">
        <v>2.638957695086702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533</v>
      </c>
      <c r="AF1546">
        <v>1553</v>
      </c>
      <c r="AG1546">
        <v>101</v>
      </c>
      <c r="AI1546">
        <v>1.2769999999999999</v>
      </c>
      <c r="AJ1546" t="s">
        <v>5268</v>
      </c>
      <c r="AK1546" t="s">
        <v>501</v>
      </c>
      <c r="AL1546" t="s">
        <v>728</v>
      </c>
      <c r="AM1546">
        <v>200000</v>
      </c>
      <c r="AN1546" t="s">
        <v>76</v>
      </c>
      <c r="AO1546">
        <v>1</v>
      </c>
      <c r="AP1546">
        <v>0</v>
      </c>
      <c r="AQ1546">
        <v>16666.666666666668</v>
      </c>
      <c r="AR1546" t="s">
        <v>6136</v>
      </c>
      <c r="AS1546" t="s">
        <v>78</v>
      </c>
      <c r="AX1546" t="s">
        <v>79</v>
      </c>
      <c r="AY1546" t="s">
        <v>137</v>
      </c>
      <c r="AZ1546">
        <v>0</v>
      </c>
      <c r="BA1546" t="s">
        <v>137</v>
      </c>
      <c r="BB1546">
        <v>0</v>
      </c>
      <c r="BE1546">
        <v>0</v>
      </c>
    </row>
    <row r="1547" spans="1:58" ht="12.75">
      <c r="A1547" s="2" t="str">
        <f>HYPERLINK("https://ibp.a2mac1.com/costing(costing:projects/details/8191/part/5388259)","Support")</f>
        <v>Support</v>
      </c>
      <c r="B1547">
        <v>5388259</v>
      </c>
      <c r="C1547">
        <v>5388143</v>
      </c>
      <c r="E1547">
        <v>1.9244074500358286</v>
      </c>
      <c r="F1547">
        <v>0</v>
      </c>
      <c r="G1547">
        <v>0</v>
      </c>
      <c r="H1547">
        <v>0.010971091190658989</v>
      </c>
      <c r="I1547" t="s">
        <v>137</v>
      </c>
      <c r="J1547">
        <v>0.075886994401791433</v>
      </c>
      <c r="K1547">
        <v>2.0112655356282789</v>
      </c>
      <c r="L1547">
        <v>0.012954808616905138</v>
      </c>
      <c r="M1547">
        <v>0.077728851701430832</v>
      </c>
      <c r="N1547">
        <v>2.0889943873297097</v>
      </c>
      <c r="O1547" t="s">
        <v>138</v>
      </c>
      <c r="P1547">
        <v>0.12067593213769674</v>
      </c>
      <c r="Q1547" t="s">
        <v>138</v>
      </c>
      <c r="R1547">
        <v>0.0046637311020858501</v>
      </c>
      <c r="S1547" t="s">
        <v>139</v>
      </c>
      <c r="T1547">
        <v>0.2506793264795652</v>
      </c>
      <c r="U1547" t="s">
        <v>90</v>
      </c>
      <c r="V1547">
        <v>0</v>
      </c>
      <c r="W1547" t="s">
        <v>90</v>
      </c>
      <c r="X1547">
        <v>0</v>
      </c>
      <c r="Y1547">
        <v>2.4650133770490577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311</v>
      </c>
      <c r="AF1547">
        <v>409</v>
      </c>
      <c r="AG1547">
        <v>96</v>
      </c>
      <c r="AI1547">
        <v>2.496</v>
      </c>
      <c r="AJ1547" t="s">
        <v>685</v>
      </c>
      <c r="AK1547" t="s">
        <v>501</v>
      </c>
      <c r="AL1547" t="s">
        <v>720</v>
      </c>
      <c r="AM1547">
        <v>200000</v>
      </c>
      <c r="AN1547" t="s">
        <v>76</v>
      </c>
      <c r="AO1547">
        <v>1</v>
      </c>
      <c r="AP1547">
        <v>0</v>
      </c>
      <c r="AQ1547">
        <v>16666.666666666668</v>
      </c>
      <c r="AR1547" t="s">
        <v>6141</v>
      </c>
      <c r="AS1547" t="s">
        <v>78</v>
      </c>
      <c r="AX1547" t="s">
        <v>79</v>
      </c>
      <c r="AY1547" t="s">
        <v>137</v>
      </c>
      <c r="AZ1547">
        <v>0</v>
      </c>
      <c r="BA1547" t="s">
        <v>137</v>
      </c>
      <c r="BB1547">
        <v>0</v>
      </c>
      <c r="BE1547">
        <v>0</v>
      </c>
    </row>
    <row r="1548" spans="1:58" ht="12.75">
      <c r="A1548" s="2" t="str">
        <f>HYPERLINK("https://ibp.a2mac1.com/costing(costing:projects/details/8191/part/5388923)","Front Bezel")</f>
        <v>Front Bezel</v>
      </c>
      <c r="B1548">
        <v>5388923</v>
      </c>
      <c r="C1548">
        <v>5388617</v>
      </c>
      <c r="E1548">
        <v>0.10387921949999999</v>
      </c>
      <c r="F1548">
        <v>0</v>
      </c>
      <c r="G1548">
        <v>0</v>
      </c>
      <c r="H1548">
        <v>0.0005238220291578947</v>
      </c>
      <c r="I1548" t="s">
        <v>137</v>
      </c>
      <c r="J1548">
        <v>0.0036448848947368421</v>
      </c>
      <c r="K1548">
        <v>0.10804792642389474</v>
      </c>
      <c r="L1548">
        <v>0.0018984454108934023</v>
      </c>
      <c r="M1548">
        <v>0.011390672465360414</v>
      </c>
      <c r="N1548">
        <v>0.11943859888925515</v>
      </c>
      <c r="O1548" t="s">
        <v>138</v>
      </c>
      <c r="P1548">
        <v>0.0064828755854336841</v>
      </c>
      <c r="Q1548" t="s">
        <v>138</v>
      </c>
      <c r="R1548">
        <v>0.00068344034792162478</v>
      </c>
      <c r="S1548" t="s">
        <v>139</v>
      </c>
      <c r="T1548">
        <v>0.014332631866710618</v>
      </c>
      <c r="U1548" t="s">
        <v>216</v>
      </c>
      <c r="V1548">
        <v>0.00059719299444627573</v>
      </c>
      <c r="W1548" t="s">
        <v>217</v>
      </c>
      <c r="X1548">
        <v>0.0023887719777851029</v>
      </c>
      <c r="Y1548">
        <v>0.14392351166155246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41</v>
      </c>
      <c r="AF1548">
        <v>139</v>
      </c>
      <c r="AG1548">
        <v>106</v>
      </c>
      <c r="AI1548">
        <v>0.041000000000000002</v>
      </c>
      <c r="AJ1548" t="s">
        <v>685</v>
      </c>
      <c r="AK1548" t="s">
        <v>218</v>
      </c>
      <c r="AL1548" t="s">
        <v>6150</v>
      </c>
      <c r="AM1548">
        <v>400000</v>
      </c>
      <c r="AN1548" t="s">
        <v>76</v>
      </c>
      <c r="AO1548">
        <v>2</v>
      </c>
      <c r="AP1548">
        <v>0</v>
      </c>
      <c r="AQ1548">
        <v>33333.333333333336</v>
      </c>
      <c r="AR1548" t="s">
        <v>6151</v>
      </c>
      <c r="AS1548" t="s">
        <v>78</v>
      </c>
      <c r="AX1548" t="s">
        <v>79</v>
      </c>
      <c r="AY1548" t="s">
        <v>137</v>
      </c>
      <c r="AZ1548">
        <v>0</v>
      </c>
      <c r="BA1548" t="s">
        <v>137</v>
      </c>
      <c r="BB1548">
        <v>0</v>
      </c>
      <c r="BE1548">
        <v>0</v>
      </c>
    </row>
    <row r="1549" spans="1:58" ht="12.75">
      <c r="A1549" s="2" t="str">
        <f>HYPERLINK("https://ibp.a2mac1.com/costing(costing:projects/details/8191/part/5388924)","Window")</f>
        <v>Window</v>
      </c>
      <c r="B1549">
        <v>5388924</v>
      </c>
      <c r="C1549">
        <v>5388618</v>
      </c>
      <c r="E1549">
        <v>1.52</v>
      </c>
      <c r="F1549">
        <v>0</v>
      </c>
      <c r="G1549">
        <v>0</v>
      </c>
      <c r="H1549">
        <v>0.0076455999999999998</v>
      </c>
      <c r="I1549" t="s">
        <v>137</v>
      </c>
      <c r="J1549">
        <v>0.053199999999999997</v>
      </c>
      <c r="K1549">
        <v>1.5808456</v>
      </c>
      <c r="L1549">
        <v>0.70877064217945462</v>
      </c>
      <c r="M1549">
        <v>4.2526238530767273</v>
      </c>
      <c r="N1549">
        <v>5.8334694530767273</v>
      </c>
      <c r="O1549" t="s">
        <v>138</v>
      </c>
      <c r="P1549">
        <v>0.094850736000000005</v>
      </c>
      <c r="Q1549" t="s">
        <v>138</v>
      </c>
      <c r="R1549">
        <v>0.25515743118460366</v>
      </c>
      <c r="S1549" t="s">
        <v>139</v>
      </c>
      <c r="T1549">
        <v>0.70001633436920729</v>
      </c>
      <c r="U1549" t="s">
        <v>90</v>
      </c>
      <c r="V1549">
        <v>0</v>
      </c>
      <c r="W1549" t="s">
        <v>90</v>
      </c>
      <c r="X1549">
        <v>0</v>
      </c>
      <c r="Y1549">
        <v>6.8834939546305387</v>
      </c>
      <c r="Z1549">
        <v>0</v>
      </c>
      <c r="AA1549">
        <v>0</v>
      </c>
      <c r="AB1549">
        <v>0</v>
      </c>
      <c r="AC1549">
        <v>0</v>
      </c>
      <c r="AD1549">
        <v>0</v>
      </c>
      <c r="AF1549">
        <v>372</v>
      </c>
      <c r="AG1549">
        <v>332</v>
      </c>
      <c r="AI1549">
        <v>0.5725</v>
      </c>
      <c r="AJ1549" t="s">
        <v>4803</v>
      </c>
      <c r="AK1549" t="s">
        <v>5825</v>
      </c>
      <c r="AL1549" t="s">
        <v>6156</v>
      </c>
      <c r="AM1549">
        <v>400000</v>
      </c>
      <c r="AN1549" t="s">
        <v>76</v>
      </c>
      <c r="AO1549">
        <v>2</v>
      </c>
      <c r="AP1549">
        <v>0</v>
      </c>
      <c r="AQ1549">
        <v>33333.333333333336</v>
      </c>
      <c r="AR1549" t="s">
        <v>6157</v>
      </c>
      <c r="AS1549" t="s">
        <v>78</v>
      </c>
      <c r="AX1549" t="s">
        <v>79</v>
      </c>
      <c r="AY1549" t="s">
        <v>137</v>
      </c>
      <c r="AZ1549">
        <v>0</v>
      </c>
      <c r="BA1549" t="s">
        <v>137</v>
      </c>
      <c r="BB1549">
        <v>0</v>
      </c>
      <c r="BE1549">
        <v>0</v>
      </c>
    </row>
    <row r="1550" spans="1:58" ht="12.75">
      <c r="A1550" s="2" t="str">
        <f>HYPERLINK("https://ibp.a2mac1.com/costing(costing:projects/details/8191/part/5388930)","Lower seal")</f>
        <v>Lower seal</v>
      </c>
      <c r="B1550">
        <v>5388930</v>
      </c>
      <c r="C1550">
        <v>5388621</v>
      </c>
      <c r="E1550">
        <v>0.14500189511111111</v>
      </c>
      <c r="F1550">
        <v>0</v>
      </c>
      <c r="G1550">
        <v>0</v>
      </c>
      <c r="H1550">
        <v>0.00075655368233918134</v>
      </c>
      <c r="I1550" t="s">
        <v>137</v>
      </c>
      <c r="J1550">
        <v>0.0052330788304093571</v>
      </c>
      <c r="K1550">
        <v>0.15099152762385964</v>
      </c>
      <c r="L1550">
        <v>0.0020940347147895321</v>
      </c>
      <c r="M1550">
        <v>0.012564208288737192</v>
      </c>
      <c r="N1550">
        <v>0.16355573591259684</v>
      </c>
      <c r="O1550" t="s">
        <v>138</v>
      </c>
      <c r="P1550">
        <v>0.009059491657431579</v>
      </c>
      <c r="Q1550" t="s">
        <v>138</v>
      </c>
      <c r="R1550">
        <v>0.00075385249732423155</v>
      </c>
      <c r="S1550" t="s">
        <v>139</v>
      </c>
      <c r="T1550">
        <v>0.019626688309511621</v>
      </c>
      <c r="U1550" t="s">
        <v>216</v>
      </c>
      <c r="V1550">
        <v>0.00081777867956298424</v>
      </c>
      <c r="W1550" t="s">
        <v>217</v>
      </c>
      <c r="X1550">
        <v>0.003271114718251937</v>
      </c>
      <c r="Y1550">
        <v>0.1970846617746792</v>
      </c>
      <c r="Z1550">
        <v>0</v>
      </c>
      <c r="AA1550">
        <v>0</v>
      </c>
      <c r="AB1550">
        <v>0</v>
      </c>
      <c r="AC1550">
        <v>0</v>
      </c>
      <c r="AD1550">
        <v>0</v>
      </c>
      <c r="AI1550">
        <v>0.096000000000000002</v>
      </c>
      <c r="AJ1550" t="s">
        <v>6165</v>
      </c>
      <c r="AK1550" t="s">
        <v>218</v>
      </c>
      <c r="AL1550" t="s">
        <v>6166</v>
      </c>
      <c r="AM1550">
        <v>200000</v>
      </c>
      <c r="AN1550" t="s">
        <v>76</v>
      </c>
      <c r="AO1550">
        <v>1</v>
      </c>
      <c r="AP1550">
        <v>0</v>
      </c>
      <c r="AQ1550">
        <v>16666.666666666668</v>
      </c>
      <c r="AR1550" t="s">
        <v>6167</v>
      </c>
      <c r="AS1550" t="s">
        <v>78</v>
      </c>
      <c r="AX1550" t="s">
        <v>79</v>
      </c>
      <c r="AY1550" t="s">
        <v>137</v>
      </c>
      <c r="AZ1550">
        <v>0</v>
      </c>
      <c r="BA1550" t="s">
        <v>137</v>
      </c>
      <c r="BB1550">
        <v>0</v>
      </c>
      <c r="BE1550">
        <v>0</v>
      </c>
    </row>
    <row r="1551" spans="1:58" ht="12.75">
      <c r="A1551" s="2" t="str">
        <f>HYPERLINK("https://ibp.a2mac1.com/costing(costing:projects/details/8191/part/5388931)","Upper seal")</f>
        <v>Upper seal</v>
      </c>
      <c r="B1551">
        <v>5388931</v>
      </c>
      <c r="C1551">
        <v>5388621</v>
      </c>
      <c r="E1551">
        <v>0.058527210000000003</v>
      </c>
      <c r="F1551">
        <v>0</v>
      </c>
      <c r="G1551">
        <v>0</v>
      </c>
      <c r="H1551">
        <v>0.00029688990736842106</v>
      </c>
      <c r="I1551" t="s">
        <v>137</v>
      </c>
      <c r="J1551">
        <v>0.0020535863157894736</v>
      </c>
      <c r="K1551">
        <v>0.060877686223157895</v>
      </c>
      <c r="L1551">
        <v>0.00092839371990018039</v>
      </c>
      <c r="M1551">
        <v>0.0055703623194010825</v>
      </c>
      <c r="N1551">
        <v>0.06644804854255898</v>
      </c>
      <c r="O1551" t="s">
        <v>138</v>
      </c>
      <c r="P1551">
        <v>0.0036526611733894735</v>
      </c>
      <c r="Q1551" t="s">
        <v>138</v>
      </c>
      <c r="R1551">
        <v>0.00033422173916406491</v>
      </c>
      <c r="S1551" t="s">
        <v>139</v>
      </c>
      <c r="T1551">
        <v>0.0079737658251070771</v>
      </c>
      <c r="U1551" t="s">
        <v>216</v>
      </c>
      <c r="V1551">
        <v>0.00033224024271279488</v>
      </c>
      <c r="W1551" t="s">
        <v>217</v>
      </c>
      <c r="X1551">
        <v>0.0013289609708511795</v>
      </c>
      <c r="Y1551">
        <v>0.08006989849378357</v>
      </c>
      <c r="Z1551">
        <v>0</v>
      </c>
      <c r="AA1551">
        <v>0</v>
      </c>
      <c r="AB1551">
        <v>0</v>
      </c>
      <c r="AC1551">
        <v>0</v>
      </c>
      <c r="AD1551">
        <v>0</v>
      </c>
      <c r="AI1551">
        <v>0.02</v>
      </c>
      <c r="AK1551" t="s">
        <v>218</v>
      </c>
      <c r="AL1551" t="s">
        <v>3752</v>
      </c>
      <c r="AM1551">
        <v>200000</v>
      </c>
      <c r="AN1551" t="s">
        <v>76</v>
      </c>
      <c r="AO1551">
        <v>1</v>
      </c>
      <c r="AP1551">
        <v>0</v>
      </c>
      <c r="AQ1551">
        <v>16666.666666666668</v>
      </c>
      <c r="AR1551" t="s">
        <v>6170</v>
      </c>
      <c r="AS1551" t="s">
        <v>78</v>
      </c>
      <c r="AX1551" t="s">
        <v>79</v>
      </c>
      <c r="AY1551" t="s">
        <v>137</v>
      </c>
      <c r="AZ1551">
        <v>0</v>
      </c>
      <c r="BA1551" t="s">
        <v>137</v>
      </c>
      <c r="BB1551">
        <v>0</v>
      </c>
      <c r="BE1551">
        <v>0</v>
      </c>
    </row>
    <row r="1552" spans="1:58" ht="12.75">
      <c r="A1552" s="2" t="str">
        <f>HYPERLINK("https://ibp.a2mac1.com/costing(costing:projects/details/8191/part/5388932)","Glas Panel")</f>
        <v>Glas Panel</v>
      </c>
      <c r="B1552">
        <v>5388932</v>
      </c>
      <c r="C1552">
        <v>5388622</v>
      </c>
      <c r="E1552">
        <v>0.76</v>
      </c>
      <c r="F1552">
        <v>0</v>
      </c>
      <c r="G1552">
        <v>0</v>
      </c>
      <c r="H1552">
        <v>0.0038455999999999998</v>
      </c>
      <c r="I1552" t="s">
        <v>137</v>
      </c>
      <c r="J1552">
        <v>0.026599999999999999</v>
      </c>
      <c r="K1552">
        <v>0.79044559999999997</v>
      </c>
      <c r="L1552">
        <v>1.3799036169007284</v>
      </c>
      <c r="M1552">
        <v>8.2794217014043703</v>
      </c>
      <c r="N1552">
        <v>9.0698673014043703</v>
      </c>
      <c r="O1552" t="s">
        <v>90</v>
      </c>
      <c r="P1552">
        <v>0</v>
      </c>
      <c r="Q1552" t="s">
        <v>90</v>
      </c>
      <c r="R1552">
        <v>0</v>
      </c>
      <c r="S1552" t="s">
        <v>90</v>
      </c>
      <c r="T1552">
        <v>0</v>
      </c>
      <c r="U1552" t="s">
        <v>90</v>
      </c>
      <c r="V1552">
        <v>0</v>
      </c>
      <c r="W1552" t="s">
        <v>90</v>
      </c>
      <c r="X1552">
        <v>0</v>
      </c>
      <c r="Y1552">
        <v>9.0698673014043703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K1552" t="s">
        <v>6175</v>
      </c>
      <c r="AM1552">
        <v>200000</v>
      </c>
      <c r="AN1552" t="s">
        <v>92</v>
      </c>
      <c r="AO1552">
        <v>1</v>
      </c>
      <c r="AP1552">
        <v>0</v>
      </c>
      <c r="AQ1552">
        <v>16666.666666666668</v>
      </c>
      <c r="AR1552" t="s">
        <v>9</v>
      </c>
      <c r="AS1552" t="s">
        <v>78</v>
      </c>
      <c r="AX1552" t="s">
        <v>79</v>
      </c>
      <c r="AY1552" t="s">
        <v>137</v>
      </c>
      <c r="AZ1552">
        <v>0</v>
      </c>
      <c r="BA1552" t="s">
        <v>137</v>
      </c>
      <c r="BB1552">
        <v>0</v>
      </c>
      <c r="BE1552">
        <v>0</v>
      </c>
    </row>
    <row r="1553" spans="1:58" ht="12.75">
      <c r="A1553" s="2" t="str">
        <f>HYPERLINK("https://ibp.a2mac1.com/costing(costing:projects/details/8191/part/5388933)","Commodity: Sealing")</f>
        <v>Commodity: Sealing</v>
      </c>
      <c r="B1553">
        <v>5388933</v>
      </c>
      <c r="C1553">
        <v>5388622</v>
      </c>
      <c r="D1553" t="s">
        <v>6176</v>
      </c>
      <c r="E1553">
        <v>3.75</v>
      </c>
      <c r="F1553">
        <v>0</v>
      </c>
      <c r="G1553">
        <v>0</v>
      </c>
      <c r="H1553">
        <v>0</v>
      </c>
      <c r="I1553" t="s">
        <v>74</v>
      </c>
      <c r="J1553">
        <v>0</v>
      </c>
      <c r="K1553">
        <v>3.75</v>
      </c>
      <c r="L1553">
        <v>0</v>
      </c>
      <c r="M1553">
        <v>0</v>
      </c>
      <c r="N1553">
        <v>3.75</v>
      </c>
      <c r="O1553" t="s">
        <v>74</v>
      </c>
      <c r="P1553">
        <v>0</v>
      </c>
      <c r="Q1553" t="s">
        <v>74</v>
      </c>
      <c r="R1553">
        <v>0</v>
      </c>
      <c r="S1553" t="s">
        <v>74</v>
      </c>
      <c r="T1553">
        <v>0</v>
      </c>
      <c r="U1553" t="s">
        <v>74</v>
      </c>
      <c r="V1553">
        <v>0</v>
      </c>
      <c r="W1553" t="s">
        <v>74</v>
      </c>
      <c r="X1553">
        <v>0</v>
      </c>
      <c r="Y1553">
        <v>3.75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K1553" t="s">
        <v>218</v>
      </c>
      <c r="AM1553">
        <v>200000</v>
      </c>
      <c r="AN1553" t="s">
        <v>92</v>
      </c>
      <c r="AO1553">
        <v>1</v>
      </c>
      <c r="AP1553">
        <v>0</v>
      </c>
      <c r="AQ1553">
        <v>16666.666666666668</v>
      </c>
      <c r="AR1553" t="s">
        <v>9</v>
      </c>
      <c r="AS1553" t="s">
        <v>78</v>
      </c>
      <c r="AX1553" t="s">
        <v>79</v>
      </c>
      <c r="AY1553" t="s">
        <v>74</v>
      </c>
      <c r="AZ1553">
        <v>0</v>
      </c>
      <c r="BA1553" t="s">
        <v>74</v>
      </c>
      <c r="BB1553">
        <v>0</v>
      </c>
      <c r="BD1553">
        <v>3.75</v>
      </c>
      <c r="BE1553">
        <v>0</v>
      </c>
    </row>
    <row r="1554" spans="1:58" ht="12.75">
      <c r="A1554" s="2" t="str">
        <f>HYPERLINK("https://ibp.a2mac1.com/costing(costing:projects/details/8191/part/5388934)","Commodity: Mirror Support CPL")</f>
        <v>Commodity: Mirror Support CPL</v>
      </c>
      <c r="B1554">
        <v>5388934</v>
      </c>
      <c r="C1554">
        <v>5388622</v>
      </c>
      <c r="D1554" t="s">
        <v>603</v>
      </c>
      <c r="E1554">
        <v>0.30402593115729221</v>
      </c>
      <c r="F1554">
        <v>0</v>
      </c>
      <c r="G1554">
        <v>0</v>
      </c>
      <c r="H1554">
        <v>0.0062143020159283226</v>
      </c>
      <c r="I1554" t="s">
        <v>137</v>
      </c>
      <c r="J1554">
        <v>0.010651350174216027</v>
      </c>
      <c r="K1554">
        <v>0.32089158334743656</v>
      </c>
      <c r="L1554">
        <v>0.020261995838046252</v>
      </c>
      <c r="M1554">
        <v>0.12157197502827752</v>
      </c>
      <c r="N1554">
        <v>0.44246355837571405</v>
      </c>
      <c r="O1554" t="s">
        <v>90</v>
      </c>
      <c r="P1554">
        <v>0</v>
      </c>
      <c r="Q1554" t="s">
        <v>90</v>
      </c>
      <c r="R1554">
        <v>0</v>
      </c>
      <c r="S1554" t="s">
        <v>90</v>
      </c>
      <c r="T1554">
        <v>0</v>
      </c>
      <c r="U1554" t="s">
        <v>216</v>
      </c>
      <c r="V1554">
        <v>0.0022123177918785702</v>
      </c>
      <c r="W1554" t="s">
        <v>217</v>
      </c>
      <c r="X1554">
        <v>0.0088492711675142808</v>
      </c>
      <c r="Y1554">
        <v>0.4535251473351069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K1554" t="s">
        <v>218</v>
      </c>
      <c r="AM1554">
        <v>200000</v>
      </c>
      <c r="AN1554" t="s">
        <v>92</v>
      </c>
      <c r="AO1554">
        <v>1</v>
      </c>
      <c r="AP1554">
        <v>0</v>
      </c>
      <c r="AQ1554">
        <v>16666.666666666668</v>
      </c>
      <c r="AR1554" t="s">
        <v>9</v>
      </c>
      <c r="AS1554" t="s">
        <v>78</v>
      </c>
      <c r="AX1554" t="s">
        <v>79</v>
      </c>
      <c r="AY1554" t="s">
        <v>137</v>
      </c>
      <c r="AZ1554">
        <v>0</v>
      </c>
      <c r="BA1554" t="s">
        <v>137</v>
      </c>
      <c r="BB1554">
        <v>0</v>
      </c>
      <c r="BE1554">
        <v>0</v>
      </c>
    </row>
    <row r="1555" spans="1:58" ht="12.75">
      <c r="A1555" s="2" t="str">
        <f>HYPERLINK("https://ibp.a2mac1.com/costing(costing:projects/details/8191/part/5388619)","Windshield Trim")</f>
        <v>Windshield Trim</v>
      </c>
      <c r="B1555">
        <v>5388619</v>
      </c>
      <c r="C1555">
        <v>5388263</v>
      </c>
      <c r="E1555">
        <v>0.12584095649999999</v>
      </c>
      <c r="F1555">
        <v>0</v>
      </c>
      <c r="G1555">
        <v>0</v>
      </c>
      <c r="H1555">
        <v>0.00063456642726315794</v>
      </c>
      <c r="I1555" t="s">
        <v>137</v>
      </c>
      <c r="J1555">
        <v>0.0044154721578947365</v>
      </c>
      <c r="K1555">
        <v>0.13089099508515789</v>
      </c>
      <c r="L1555">
        <v>0.005487239438356036</v>
      </c>
      <c r="M1555">
        <v>0.032923436630136214</v>
      </c>
      <c r="N1555">
        <v>0.16381443171529411</v>
      </c>
      <c r="O1555" t="s">
        <v>138</v>
      </c>
      <c r="P1555">
        <v>0.0078534597051094744</v>
      </c>
      <c r="Q1555" t="s">
        <v>138</v>
      </c>
      <c r="R1555">
        <v>0.0019754061978081729</v>
      </c>
      <c r="S1555" t="s">
        <v>139</v>
      </c>
      <c r="T1555">
        <v>0.019657731805835292</v>
      </c>
      <c r="U1555" t="s">
        <v>216</v>
      </c>
      <c r="V1555">
        <v>0.00081907215857647054</v>
      </c>
      <c r="W1555" t="s">
        <v>217</v>
      </c>
      <c r="X1555">
        <v>0.0032762886343058822</v>
      </c>
      <c r="Y1555">
        <v>0.1973963902169294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18</v>
      </c>
      <c r="AF1555">
        <v>29</v>
      </c>
      <c r="AG1555">
        <v>876</v>
      </c>
      <c r="AI1555">
        <v>0.11849999999999999</v>
      </c>
      <c r="AJ1555" t="s">
        <v>685</v>
      </c>
      <c r="AK1555" t="s">
        <v>218</v>
      </c>
      <c r="AL1555" t="s">
        <v>5540</v>
      </c>
      <c r="AM1555">
        <v>400000</v>
      </c>
      <c r="AN1555" t="s">
        <v>76</v>
      </c>
      <c r="AO1555">
        <v>2</v>
      </c>
      <c r="AP1555">
        <v>0</v>
      </c>
      <c r="AQ1555">
        <v>33333.333333333336</v>
      </c>
      <c r="AR1555" t="s">
        <v>6187</v>
      </c>
      <c r="AS1555" t="s">
        <v>78</v>
      </c>
      <c r="AX1555" t="s">
        <v>79</v>
      </c>
      <c r="AY1555" t="s">
        <v>137</v>
      </c>
      <c r="AZ1555">
        <v>0</v>
      </c>
      <c r="BA1555" t="s">
        <v>137</v>
      </c>
      <c r="BB1555">
        <v>0</v>
      </c>
      <c r="BE1555">
        <v>0</v>
      </c>
    </row>
    <row r="1556" spans="1:58" ht="12.75">
      <c r="A1556" s="2" t="str">
        <f>HYPERLINK("https://ibp.a2mac1.com/costing(costing:projects/details/8191/part/5388620)","Windshield Trim Support")</f>
        <v>Windshield Trim Support</v>
      </c>
      <c r="B1556">
        <v>5388620</v>
      </c>
      <c r="C1556">
        <v>5388263</v>
      </c>
      <c r="E1556">
        <v>0.38691381000000002</v>
      </c>
      <c r="F1556">
        <v>0</v>
      </c>
      <c r="G1556">
        <v>0</v>
      </c>
      <c r="H1556">
        <v>0.0021039745560000002</v>
      </c>
      <c r="I1556" t="s">
        <v>137</v>
      </c>
      <c r="J1556">
        <v>0.014639981999999999</v>
      </c>
      <c r="K1556">
        <v>0.403657766556</v>
      </c>
      <c r="L1556">
        <v>0.020018545992406794</v>
      </c>
      <c r="M1556">
        <v>0.12011127595444075</v>
      </c>
      <c r="N1556">
        <v>0.52376904251044076</v>
      </c>
      <c r="O1556" t="s">
        <v>138</v>
      </c>
      <c r="P1556">
        <v>0.024219465993360001</v>
      </c>
      <c r="Q1556" t="s">
        <v>138</v>
      </c>
      <c r="R1556">
        <v>0.0072066765572664452</v>
      </c>
      <c r="S1556" t="s">
        <v>139</v>
      </c>
      <c r="T1556">
        <v>0.062852285101252889</v>
      </c>
      <c r="U1556" t="s">
        <v>216</v>
      </c>
      <c r="V1556">
        <v>0.002618845212552204</v>
      </c>
      <c r="W1556" t="s">
        <v>217</v>
      </c>
      <c r="X1556">
        <v>0.010475380850208816</v>
      </c>
      <c r="Y1556">
        <v>0.63114169622508109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4</v>
      </c>
      <c r="AF1556">
        <v>804</v>
      </c>
      <c r="AG1556">
        <v>10</v>
      </c>
      <c r="AI1556">
        <v>0.045</v>
      </c>
      <c r="AK1556" t="s">
        <v>218</v>
      </c>
      <c r="AL1556" t="s">
        <v>1629</v>
      </c>
      <c r="AM1556">
        <v>400000</v>
      </c>
      <c r="AN1556" t="s">
        <v>76</v>
      </c>
      <c r="AO1556">
        <v>2</v>
      </c>
      <c r="AP1556">
        <v>0</v>
      </c>
      <c r="AQ1556">
        <v>33333.333333333336</v>
      </c>
      <c r="AR1556" t="s">
        <v>6190</v>
      </c>
      <c r="AS1556" t="s">
        <v>78</v>
      </c>
      <c r="AX1556" t="s">
        <v>79</v>
      </c>
      <c r="AY1556" t="s">
        <v>137</v>
      </c>
      <c r="AZ1556">
        <v>0</v>
      </c>
      <c r="BA1556" t="s">
        <v>137</v>
      </c>
      <c r="BB1556">
        <v>0</v>
      </c>
      <c r="BE1556">
        <v>0</v>
      </c>
    </row>
    <row r="1557" spans="1:58" ht="12.75">
      <c r="A1557" s="2" t="str">
        <f>HYPERLINK("https://ibp.a2mac1.com/costing(costing:projects/details/8191/part/5388623)","Complete Panoramic Roof")</f>
        <v>Complete Panoramic Roof</v>
      </c>
      <c r="B1557">
        <v>5388623</v>
      </c>
      <c r="C1557">
        <v>5388264</v>
      </c>
      <c r="E1557">
        <v>89.736469999999997</v>
      </c>
      <c r="F1557">
        <v>0</v>
      </c>
      <c r="G1557">
        <v>0</v>
      </c>
      <c r="H1557">
        <v>0.45406653819999998</v>
      </c>
      <c r="I1557" t="s">
        <v>137</v>
      </c>
      <c r="J1557">
        <v>3.1407764500000002</v>
      </c>
      <c r="K1557">
        <v>93.331312988199997</v>
      </c>
      <c r="L1557">
        <v>1.3799036169007284</v>
      </c>
      <c r="M1557">
        <v>8.2794217014043703</v>
      </c>
      <c r="N1557">
        <v>101.61073468960437</v>
      </c>
      <c r="O1557" t="s">
        <v>138</v>
      </c>
      <c r="P1557">
        <v>5.5998787792920002</v>
      </c>
      <c r="Q1557" t="s">
        <v>138</v>
      </c>
      <c r="R1557">
        <v>0.49676530208426223</v>
      </c>
      <c r="S1557" t="s">
        <v>139</v>
      </c>
      <c r="T1557">
        <v>12.193288162752525</v>
      </c>
      <c r="U1557" t="s">
        <v>216</v>
      </c>
      <c r="V1557">
        <v>0.50805367344802188</v>
      </c>
      <c r="W1557" t="s">
        <v>217</v>
      </c>
      <c r="X1557">
        <v>2.0322146937920875</v>
      </c>
      <c r="Y1557">
        <v>122.44093530097327</v>
      </c>
      <c r="Z1557">
        <v>0</v>
      </c>
      <c r="AA1557">
        <v>0</v>
      </c>
      <c r="AB1557">
        <v>0</v>
      </c>
      <c r="AC1557">
        <v>0</v>
      </c>
      <c r="AD1557">
        <v>0</v>
      </c>
      <c r="AF1557">
        <v>1016</v>
      </c>
      <c r="AG1557">
        <v>1553</v>
      </c>
      <c r="AI1557">
        <v>18.26</v>
      </c>
      <c r="AJ1557" t="s">
        <v>6195</v>
      </c>
      <c r="AK1557" t="s">
        <v>218</v>
      </c>
      <c r="AL1557" t="s">
        <v>6196</v>
      </c>
      <c r="AM1557">
        <v>200000</v>
      </c>
      <c r="AN1557" t="s">
        <v>76</v>
      </c>
      <c r="AO1557">
        <v>1</v>
      </c>
      <c r="AP1557">
        <v>0</v>
      </c>
      <c r="AQ1557">
        <v>16666.666666666668</v>
      </c>
      <c r="AR1557" t="s">
        <v>6197</v>
      </c>
      <c r="AS1557" t="s">
        <v>78</v>
      </c>
      <c r="AX1557" t="s">
        <v>79</v>
      </c>
      <c r="AY1557" t="s">
        <v>137</v>
      </c>
      <c r="AZ1557">
        <v>0</v>
      </c>
      <c r="BA1557" t="s">
        <v>137</v>
      </c>
      <c r="BB1557">
        <v>0</v>
      </c>
      <c r="BE1557">
        <v>0</v>
      </c>
    </row>
    <row r="1558" spans="1:58" ht="12.75">
      <c r="A1558" s="2" t="str">
        <f>HYPERLINK("https://ibp.a2mac1.com/costing(costing:projects/details/8191/part/5388265)","Covering Cowl Air Inlet Central Single")</f>
        <v>Covering Cowl Air Inlet Central Single</v>
      </c>
      <c r="B1558">
        <v>5388265</v>
      </c>
      <c r="C1558">
        <v>5388145</v>
      </c>
      <c r="E1558">
        <v>0.71893947300000005</v>
      </c>
      <c r="F1558">
        <v>0</v>
      </c>
      <c r="G1558">
        <v>0</v>
      </c>
      <c r="H1558">
        <v>0.0036469511111578948</v>
      </c>
      <c r="I1558" t="s">
        <v>137</v>
      </c>
      <c r="J1558">
        <v>0.025225946421052633</v>
      </c>
      <c r="K1558">
        <v>0.7478123705322105</v>
      </c>
      <c r="L1558">
        <v>0.031478274041232497</v>
      </c>
      <c r="M1558">
        <v>0.18886964424739497</v>
      </c>
      <c r="N1558">
        <v>0.93668201477960544</v>
      </c>
      <c r="O1558" t="s">
        <v>138</v>
      </c>
      <c r="P1558">
        <v>0.044868742231932629</v>
      </c>
      <c r="Q1558" t="s">
        <v>138</v>
      </c>
      <c r="R1558">
        <v>0.011332178654843698</v>
      </c>
      <c r="S1558" t="s">
        <v>139</v>
      </c>
      <c r="T1558">
        <v>0.11240184177355265</v>
      </c>
      <c r="U1558" t="s">
        <v>90</v>
      </c>
      <c r="V1558">
        <v>0</v>
      </c>
      <c r="W1558" t="s">
        <v>90</v>
      </c>
      <c r="X1558">
        <v>0</v>
      </c>
      <c r="Y1558">
        <v>1.1052847774399346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391</v>
      </c>
      <c r="AF1558">
        <v>1468</v>
      </c>
      <c r="AG1558">
        <v>77</v>
      </c>
      <c r="AI1558">
        <v>0.67700000000000005</v>
      </c>
      <c r="AJ1558" t="s">
        <v>6205</v>
      </c>
      <c r="AK1558" t="s">
        <v>501</v>
      </c>
      <c r="AL1558" t="s">
        <v>1182</v>
      </c>
      <c r="AM1558">
        <v>200000</v>
      </c>
      <c r="AN1558" t="s">
        <v>76</v>
      </c>
      <c r="AO1558">
        <v>1</v>
      </c>
      <c r="AP1558">
        <v>0</v>
      </c>
      <c r="AQ1558">
        <v>16666.666666666668</v>
      </c>
      <c r="AR1558" t="s">
        <v>6206</v>
      </c>
      <c r="AS1558" t="s">
        <v>78</v>
      </c>
      <c r="AX1558" t="s">
        <v>79</v>
      </c>
      <c r="AY1558" t="s">
        <v>137</v>
      </c>
      <c r="AZ1558">
        <v>0</v>
      </c>
      <c r="BA1558" t="s">
        <v>137</v>
      </c>
      <c r="BB1558">
        <v>0</v>
      </c>
      <c r="BE1558">
        <v>0</v>
      </c>
    </row>
    <row r="1559" spans="1:58" ht="12.75">
      <c r="A1559" s="2" t="str">
        <f>HYPERLINK("https://ibp.a2mac1.com/costing(costing:projects/details/8191/part/5388266)","Windshield Weather Strip Trim")</f>
        <v>Windshield Weather Strip Trim</v>
      </c>
      <c r="B1559">
        <v>5388266</v>
      </c>
      <c r="C1559">
        <v>5388145</v>
      </c>
      <c r="E1559">
        <v>0.146548962</v>
      </c>
      <c r="F1559">
        <v>0</v>
      </c>
      <c r="G1559">
        <v>0</v>
      </c>
      <c r="H1559">
        <v>0.00073898875073684215</v>
      </c>
      <c r="I1559" t="s">
        <v>137</v>
      </c>
      <c r="J1559">
        <v>0.0051420688421052628</v>
      </c>
      <c r="K1559">
        <v>0.15243001959284211</v>
      </c>
      <c r="L1559">
        <v>0.0063902817604280186</v>
      </c>
      <c r="M1559">
        <v>0.038341690562568115</v>
      </c>
      <c r="N1559">
        <v>0.19077171015541022</v>
      </c>
      <c r="O1559" t="s">
        <v>138</v>
      </c>
      <c r="P1559">
        <v>0.0091458011755705271</v>
      </c>
      <c r="Q1559" t="s">
        <v>138</v>
      </c>
      <c r="R1559">
        <v>0.0023005014337540868</v>
      </c>
      <c r="S1559" t="s">
        <v>139</v>
      </c>
      <c r="T1559">
        <v>0.022892605218649227</v>
      </c>
      <c r="U1559" t="s">
        <v>90</v>
      </c>
      <c r="V1559">
        <v>0</v>
      </c>
      <c r="W1559" t="s">
        <v>90</v>
      </c>
      <c r="X1559">
        <v>0</v>
      </c>
      <c r="Y1559">
        <v>0.22511061798338405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469</v>
      </c>
      <c r="AF1559">
        <v>158</v>
      </c>
      <c r="AG1559">
        <v>130</v>
      </c>
      <c r="AI1559">
        <v>0.13800000000000001</v>
      </c>
      <c r="AJ1559" t="s">
        <v>6205</v>
      </c>
      <c r="AK1559" t="s">
        <v>501</v>
      </c>
      <c r="AL1559" t="s">
        <v>5540</v>
      </c>
      <c r="AM1559">
        <v>400000</v>
      </c>
      <c r="AN1559" t="s">
        <v>76</v>
      </c>
      <c r="AO1559">
        <v>2</v>
      </c>
      <c r="AP1559">
        <v>0</v>
      </c>
      <c r="AQ1559">
        <v>33333.333333333336</v>
      </c>
      <c r="AR1559" t="s">
        <v>6210</v>
      </c>
      <c r="AS1559" t="s">
        <v>78</v>
      </c>
      <c r="AX1559" t="s">
        <v>79</v>
      </c>
      <c r="AY1559" t="s">
        <v>137</v>
      </c>
      <c r="AZ1559">
        <v>0</v>
      </c>
      <c r="BA1559" t="s">
        <v>137</v>
      </c>
      <c r="BB1559">
        <v>0</v>
      </c>
      <c r="BE1559">
        <v>0</v>
      </c>
    </row>
    <row r="1560" spans="1:58" ht="12.75">
      <c r="A1560" s="2" t="str">
        <f>HYPERLINK("https://ibp.a2mac1.com/costing(costing:projects/details/8191/part/5388267)","Scuttle Grille Reinforcement")</f>
        <v>Scuttle Grille Reinforcement</v>
      </c>
      <c r="B1560">
        <v>5388267</v>
      </c>
      <c r="C1560">
        <v>5388145</v>
      </c>
      <c r="E1560">
        <v>0.10831879799999999</v>
      </c>
      <c r="F1560">
        <v>0</v>
      </c>
      <c r="G1560">
        <v>0</v>
      </c>
      <c r="H1560">
        <v>0.00054946678484210523</v>
      </c>
      <c r="I1560" t="s">
        <v>137</v>
      </c>
      <c r="J1560">
        <v>0.0038006595789473684</v>
      </c>
      <c r="K1560">
        <v>0.11266892436378947</v>
      </c>
      <c r="L1560">
        <v>0.0047357885585817012</v>
      </c>
      <c r="M1560">
        <v>0.028414731351490207</v>
      </c>
      <c r="N1560">
        <v>0.14108365571527967</v>
      </c>
      <c r="O1560" t="s">
        <v>138</v>
      </c>
      <c r="P1560">
        <v>0.0067601354618273685</v>
      </c>
      <c r="Q1560" t="s">
        <v>138</v>
      </c>
      <c r="R1560">
        <v>0.0017048838810894125</v>
      </c>
      <c r="S1560" t="s">
        <v>139</v>
      </c>
      <c r="T1560">
        <v>0.016930038685833562</v>
      </c>
      <c r="U1560" t="s">
        <v>90</v>
      </c>
      <c r="V1560">
        <v>0</v>
      </c>
      <c r="W1560" t="s">
        <v>90</v>
      </c>
      <c r="X1560">
        <v>0</v>
      </c>
      <c r="Y1560">
        <v>0.16647871374403003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107</v>
      </c>
      <c r="AF1560">
        <v>550</v>
      </c>
      <c r="AG1560">
        <v>29</v>
      </c>
      <c r="AI1560">
        <v>0.10199999999999999</v>
      </c>
      <c r="AK1560" t="s">
        <v>501</v>
      </c>
      <c r="AL1560" t="s">
        <v>1182</v>
      </c>
      <c r="AM1560">
        <v>200000</v>
      </c>
      <c r="AN1560" t="s">
        <v>76</v>
      </c>
      <c r="AO1560">
        <v>1</v>
      </c>
      <c r="AP1560">
        <v>0</v>
      </c>
      <c r="AQ1560">
        <v>16666.666666666668</v>
      </c>
      <c r="AR1560" t="s">
        <v>6215</v>
      </c>
      <c r="AS1560" t="s">
        <v>78</v>
      </c>
      <c r="AX1560" t="s">
        <v>79</v>
      </c>
      <c r="AY1560" t="s">
        <v>137</v>
      </c>
      <c r="AZ1560">
        <v>0</v>
      </c>
      <c r="BA1560" t="s">
        <v>137</v>
      </c>
      <c r="BB1560">
        <v>0</v>
      </c>
      <c r="BE1560">
        <v>0</v>
      </c>
    </row>
    <row r="1561" spans="1:58" ht="12.75">
      <c r="A1561" s="2" t="str">
        <f>HYPERLINK("https://ibp.a2mac1.com/costing(costing:projects/details/8191/part/5388624)","Draining Flap on Floor")</f>
        <v>Draining Flap on Floor</v>
      </c>
      <c r="B1561">
        <v>5388624</v>
      </c>
      <c r="C1561">
        <v>5388270</v>
      </c>
      <c r="E1561">
        <v>0.0031858469999999999</v>
      </c>
      <c r="F1561">
        <v>0</v>
      </c>
      <c r="G1561">
        <v>0</v>
      </c>
      <c r="H1561">
        <v>1.6160787789473685E-05</v>
      </c>
      <c r="I1561" t="s">
        <v>137</v>
      </c>
      <c r="J1561">
        <v>0.00011178410526315789</v>
      </c>
      <c r="K1561">
        <v>0.0033137918930526314</v>
      </c>
      <c r="L1561">
        <v>0.0001392530787954491</v>
      </c>
      <c r="M1561">
        <v>0.00083551847277269474</v>
      </c>
      <c r="N1561">
        <v>0.0041493103658253264</v>
      </c>
      <c r="O1561" t="s">
        <v>138</v>
      </c>
      <c r="P1561">
        <v>0.00019882751358315791</v>
      </c>
      <c r="Q1561" t="s">
        <v>138</v>
      </c>
      <c r="R1561">
        <v>5.0131108366361679E-05</v>
      </c>
      <c r="S1561" t="s">
        <v>139</v>
      </c>
      <c r="T1561">
        <v>0.00049791724389903916</v>
      </c>
      <c r="U1561" t="s">
        <v>90</v>
      </c>
      <c r="V1561">
        <v>0</v>
      </c>
      <c r="W1561" t="s">
        <v>90</v>
      </c>
      <c r="X1561">
        <v>0</v>
      </c>
      <c r="Y1561">
        <v>0.0048961862316738852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13</v>
      </c>
      <c r="AF1561">
        <v>34</v>
      </c>
      <c r="AG1561">
        <v>34</v>
      </c>
      <c r="AI1561">
        <v>0.0030000000000000001</v>
      </c>
      <c r="AK1561" t="s">
        <v>501</v>
      </c>
      <c r="AL1561" t="s">
        <v>1182</v>
      </c>
      <c r="AM1561">
        <v>200000</v>
      </c>
      <c r="AN1561" t="s">
        <v>76</v>
      </c>
      <c r="AO1561">
        <v>1</v>
      </c>
      <c r="AP1561">
        <v>0</v>
      </c>
      <c r="AQ1561">
        <v>16666.666666666668</v>
      </c>
      <c r="AR1561" t="s">
        <v>6221</v>
      </c>
      <c r="AS1561" t="s">
        <v>78</v>
      </c>
      <c r="AX1561" t="s">
        <v>79</v>
      </c>
      <c r="AY1561" t="s">
        <v>137</v>
      </c>
      <c r="AZ1561">
        <v>0</v>
      </c>
      <c r="BA1561" t="s">
        <v>137</v>
      </c>
      <c r="BB1561">
        <v>0</v>
      </c>
      <c r="BE1561">
        <v>0</v>
      </c>
    </row>
    <row r="1562" spans="1:58" ht="12.75">
      <c r="A1562" s="2" t="str">
        <f>HYPERLINK("https://ibp.a2mac1.com/costing(costing:projects/details/8191/part/5388625)","2nd Middle")</f>
        <v>2nd Middle</v>
      </c>
      <c r="B1562">
        <v>5388625</v>
      </c>
      <c r="C1562">
        <v>5388270</v>
      </c>
      <c r="E1562">
        <v>0.0031858469999999999</v>
      </c>
      <c r="F1562">
        <v>0</v>
      </c>
      <c r="G1562">
        <v>0</v>
      </c>
      <c r="H1562">
        <v>1.6160787789473685E-05</v>
      </c>
      <c r="I1562" t="s">
        <v>137</v>
      </c>
      <c r="J1562">
        <v>0.00011178410526315789</v>
      </c>
      <c r="K1562">
        <v>0.0033137918930526314</v>
      </c>
      <c r="L1562">
        <v>0.0001392530787954491</v>
      </c>
      <c r="M1562">
        <v>0.00083551847277269474</v>
      </c>
      <c r="N1562">
        <v>0.0041493103658253264</v>
      </c>
      <c r="O1562" t="s">
        <v>138</v>
      </c>
      <c r="P1562">
        <v>0.00019882751358315791</v>
      </c>
      <c r="Q1562" t="s">
        <v>138</v>
      </c>
      <c r="R1562">
        <v>5.0131108366361679E-05</v>
      </c>
      <c r="S1562" t="s">
        <v>139</v>
      </c>
      <c r="T1562">
        <v>0.00049791724389903916</v>
      </c>
      <c r="U1562" t="s">
        <v>90</v>
      </c>
      <c r="V1562">
        <v>0</v>
      </c>
      <c r="W1562" t="s">
        <v>90</v>
      </c>
      <c r="X1562">
        <v>0</v>
      </c>
      <c r="Y1562">
        <v>0.0048961862316738852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13</v>
      </c>
      <c r="AF1562">
        <v>34</v>
      </c>
      <c r="AG1562">
        <v>34</v>
      </c>
      <c r="AI1562">
        <v>0.0030000000000000001</v>
      </c>
      <c r="AK1562" t="s">
        <v>501</v>
      </c>
      <c r="AL1562" t="s">
        <v>1182</v>
      </c>
      <c r="AM1562">
        <v>200000</v>
      </c>
      <c r="AN1562" t="s">
        <v>76</v>
      </c>
      <c r="AO1562">
        <v>1</v>
      </c>
      <c r="AP1562">
        <v>0</v>
      </c>
      <c r="AQ1562">
        <v>16666.666666666668</v>
      </c>
      <c r="AR1562" t="s">
        <v>6224</v>
      </c>
      <c r="AS1562" t="s">
        <v>78</v>
      </c>
      <c r="AX1562" t="s">
        <v>79</v>
      </c>
      <c r="AY1562" t="s">
        <v>137</v>
      </c>
      <c r="AZ1562">
        <v>0</v>
      </c>
      <c r="BA1562" t="s">
        <v>137</v>
      </c>
      <c r="BB1562">
        <v>0</v>
      </c>
      <c r="BE1562">
        <v>0</v>
      </c>
    </row>
    <row r="1563" spans="1:58" ht="12.75">
      <c r="A1563" s="2" t="str">
        <f>HYPERLINK("https://ibp.a2mac1.com/costing(costing:projects/details/8191/part/5388268)","Bulkhead")</f>
        <v>Bulkhead</v>
      </c>
      <c r="B1563">
        <v>5388268</v>
      </c>
      <c r="C1563">
        <v>5388146</v>
      </c>
      <c r="E1563">
        <v>0.53452578776470583</v>
      </c>
      <c r="F1563">
        <v>0</v>
      </c>
      <c r="G1563">
        <v>0</v>
      </c>
      <c r="H1563">
        <v>0.0029919253164705883</v>
      </c>
      <c r="I1563" t="s">
        <v>137</v>
      </c>
      <c r="J1563">
        <v>0.020695135588235294</v>
      </c>
      <c r="K1563">
        <v>0.55821284866941179</v>
      </c>
      <c r="L1563">
        <v>0.011188724885354787</v>
      </c>
      <c r="M1563">
        <v>0.06713234931212872</v>
      </c>
      <c r="N1563">
        <v>0.62534519798154053</v>
      </c>
      <c r="O1563" t="s">
        <v>138</v>
      </c>
      <c r="P1563">
        <v>0.033492770920164706</v>
      </c>
      <c r="Q1563" t="s">
        <v>138</v>
      </c>
      <c r="R1563">
        <v>0.0040279409587277229</v>
      </c>
      <c r="S1563" t="s">
        <v>139</v>
      </c>
      <c r="T1563">
        <v>0.075041423757784859</v>
      </c>
      <c r="U1563" t="s">
        <v>90</v>
      </c>
      <c r="V1563">
        <v>0</v>
      </c>
      <c r="W1563" t="s">
        <v>90</v>
      </c>
      <c r="X1563">
        <v>0</v>
      </c>
      <c r="Y1563">
        <v>0.73790733361821781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145</v>
      </c>
      <c r="AF1563">
        <v>1309</v>
      </c>
      <c r="AG1563">
        <v>60</v>
      </c>
      <c r="AI1563">
        <v>0.755</v>
      </c>
      <c r="AJ1563" t="s">
        <v>685</v>
      </c>
      <c r="AK1563" t="s">
        <v>501</v>
      </c>
      <c r="AL1563" t="s">
        <v>754</v>
      </c>
      <c r="AM1563">
        <v>200000</v>
      </c>
      <c r="AN1563" t="s">
        <v>76</v>
      </c>
      <c r="AO1563">
        <v>1</v>
      </c>
      <c r="AP1563">
        <v>0</v>
      </c>
      <c r="AQ1563">
        <v>16666.666666666668</v>
      </c>
      <c r="AR1563" t="s">
        <v>6230</v>
      </c>
      <c r="AS1563" t="s">
        <v>78</v>
      </c>
      <c r="AX1563" t="s">
        <v>79</v>
      </c>
      <c r="AY1563" t="s">
        <v>137</v>
      </c>
      <c r="AZ1563">
        <v>0</v>
      </c>
      <c r="BA1563" t="s">
        <v>137</v>
      </c>
      <c r="BB1563">
        <v>0</v>
      </c>
      <c r="BE1563">
        <v>0</v>
      </c>
    </row>
    <row r="1564" spans="1:58" ht="12.75">
      <c r="A1564" s="2" t="str">
        <f>HYPERLINK("https://ibp.a2mac1.com/costing(costing:projects/details/8191/part/5388269)","Weather Stripping Panel Body")</f>
        <v>Weather Stripping Panel Body</v>
      </c>
      <c r="B1564">
        <v>5388269</v>
      </c>
      <c r="C1564">
        <v>5388146</v>
      </c>
      <c r="E1564">
        <v>0.36863560289473685</v>
      </c>
      <c r="F1564">
        <v>0</v>
      </c>
      <c r="G1564">
        <v>0</v>
      </c>
      <c r="H1564">
        <v>0.00038406751157894737</v>
      </c>
      <c r="I1564" t="s">
        <v>137</v>
      </c>
      <c r="J1564">
        <v>0.012925348947368421</v>
      </c>
      <c r="K1564">
        <v>0.38194501935368419</v>
      </c>
      <c r="L1564">
        <v>0.03696388264930988</v>
      </c>
      <c r="M1564">
        <v>0.22178329589585927</v>
      </c>
      <c r="N1564">
        <v>0.60372831524954351</v>
      </c>
      <c r="O1564" t="s">
        <v>138</v>
      </c>
      <c r="P1564">
        <v>0.022916701161221052</v>
      </c>
      <c r="Q1564" t="s">
        <v>138</v>
      </c>
      <c r="R1564">
        <v>0.013306997753751557</v>
      </c>
      <c r="S1564" t="s">
        <v>139</v>
      </c>
      <c r="T1564">
        <v>0.07244739782994522</v>
      </c>
      <c r="U1564" t="s">
        <v>90</v>
      </c>
      <c r="V1564">
        <v>0</v>
      </c>
      <c r="W1564" t="s">
        <v>90</v>
      </c>
      <c r="X1564">
        <v>0</v>
      </c>
      <c r="Y1564">
        <v>0.71239941199446133</v>
      </c>
      <c r="Z1564">
        <v>0</v>
      </c>
      <c r="AA1564">
        <v>0</v>
      </c>
      <c r="AB1564">
        <v>0</v>
      </c>
      <c r="AC1564">
        <v>0</v>
      </c>
      <c r="AD1564">
        <v>0</v>
      </c>
      <c r="AI1564">
        <v>0.097000000000000003</v>
      </c>
      <c r="AJ1564" t="s">
        <v>685</v>
      </c>
      <c r="AK1564" t="s">
        <v>501</v>
      </c>
      <c r="AL1564" t="s">
        <v>6234</v>
      </c>
      <c r="AM1564">
        <v>200000</v>
      </c>
      <c r="AN1564" t="s">
        <v>76</v>
      </c>
      <c r="AO1564">
        <v>1</v>
      </c>
      <c r="AP1564">
        <v>0</v>
      </c>
      <c r="AQ1564">
        <v>16666.666666666668</v>
      </c>
      <c r="AR1564" t="s">
        <v>6235</v>
      </c>
      <c r="AS1564" t="s">
        <v>78</v>
      </c>
      <c r="AX1564" t="s">
        <v>79</v>
      </c>
      <c r="AY1564" t="s">
        <v>137</v>
      </c>
      <c r="AZ1564">
        <v>0</v>
      </c>
      <c r="BA1564" t="s">
        <v>137</v>
      </c>
      <c r="BB1564">
        <v>0</v>
      </c>
      <c r="BE1564">
        <v>0</v>
      </c>
    </row>
    <row r="1565" spans="1:58" ht="12.75">
      <c r="A1565" s="2" t="str">
        <f>HYPERLINK("https://ibp.a2mac1.com/costing(costing:projects/details/8191/part/5388271)","Cover")</f>
        <v>Cover</v>
      </c>
      <c r="B1565">
        <v>5388271</v>
      </c>
      <c r="C1565">
        <v>5388147</v>
      </c>
      <c r="E1565">
        <v>2.7780579434999999</v>
      </c>
      <c r="F1565">
        <v>0</v>
      </c>
      <c r="G1565">
        <v>0</v>
      </c>
      <c r="H1565">
        <v>0.014008653088526316</v>
      </c>
      <c r="I1565" t="s">
        <v>137</v>
      </c>
      <c r="J1565">
        <v>0.097475717315789467</v>
      </c>
      <c r="K1565">
        <v>2.8895423139043159</v>
      </c>
      <c r="L1565">
        <v>0.082000566264113645</v>
      </c>
      <c r="M1565">
        <v>0.49200339758468187</v>
      </c>
      <c r="N1565">
        <v>3.3815457114889975</v>
      </c>
      <c r="O1565" t="s">
        <v>138</v>
      </c>
      <c r="P1565">
        <v>0.17337253883425896</v>
      </c>
      <c r="Q1565" t="s">
        <v>138</v>
      </c>
      <c r="R1565">
        <v>0.029520203855080914</v>
      </c>
      <c r="S1565" t="s">
        <v>139</v>
      </c>
      <c r="T1565">
        <v>0.4057854853786797</v>
      </c>
      <c r="U1565" t="s">
        <v>90</v>
      </c>
      <c r="V1565">
        <v>0</v>
      </c>
      <c r="W1565" t="s">
        <v>90</v>
      </c>
      <c r="X1565">
        <v>0</v>
      </c>
      <c r="Y1565">
        <v>3.9902239395570174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106</v>
      </c>
      <c r="AF1565">
        <v>1931</v>
      </c>
      <c r="AG1565">
        <v>67</v>
      </c>
      <c r="AI1565">
        <v>0.88449999999999995</v>
      </c>
      <c r="AJ1565" t="s">
        <v>5268</v>
      </c>
      <c r="AK1565" t="s">
        <v>501</v>
      </c>
      <c r="AL1565" t="s">
        <v>6105</v>
      </c>
      <c r="AM1565">
        <v>400000</v>
      </c>
      <c r="AN1565" t="s">
        <v>76</v>
      </c>
      <c r="AO1565">
        <v>2</v>
      </c>
      <c r="AP1565">
        <v>0</v>
      </c>
      <c r="AQ1565">
        <v>33333.333333333336</v>
      </c>
      <c r="AR1565" t="s">
        <v>6242</v>
      </c>
      <c r="AS1565" t="s">
        <v>78</v>
      </c>
      <c r="AX1565" t="s">
        <v>79</v>
      </c>
      <c r="AY1565" t="s">
        <v>137</v>
      </c>
      <c r="AZ1565">
        <v>0</v>
      </c>
      <c r="BA1565" t="s">
        <v>137</v>
      </c>
      <c r="BB1565">
        <v>0</v>
      </c>
      <c r="BE1565">
        <v>0</v>
      </c>
    </row>
    <row r="1566" spans="1:58" ht="12.75">
      <c r="A1566" s="2" t="str">
        <f>HYPERLINK("https://ibp.a2mac1.com/costing(costing:projects/details/8191/part/5388272)","A Pillar Trims 1")</f>
        <v>A Pillar Trims 1</v>
      </c>
      <c r="B1566">
        <v>5388272</v>
      </c>
      <c r="C1566">
        <v>5388148</v>
      </c>
      <c r="E1566">
        <v>0.033708863999999998</v>
      </c>
      <c r="F1566">
        <v>0</v>
      </c>
      <c r="G1566">
        <v>0</v>
      </c>
      <c r="H1566">
        <v>0.00016998053726315789</v>
      </c>
      <c r="I1566" t="s">
        <v>137</v>
      </c>
      <c r="J1566">
        <v>0.0011827671578947369</v>
      </c>
      <c r="K1566">
        <v>0.035061611695157896</v>
      </c>
      <c r="L1566">
        <v>0.00064823857374431452</v>
      </c>
      <c r="M1566">
        <v>0.0038894314424658873</v>
      </c>
      <c r="N1566">
        <v>0.038951043137623785</v>
      </c>
      <c r="O1566" t="s">
        <v>138</v>
      </c>
      <c r="P1566">
        <v>0.0021036967017094739</v>
      </c>
      <c r="Q1566" t="s">
        <v>138</v>
      </c>
      <c r="R1566">
        <v>0.00023336588654795324</v>
      </c>
      <c r="S1566" t="s">
        <v>139</v>
      </c>
      <c r="T1566">
        <v>0.0046741251765148534</v>
      </c>
      <c r="U1566" t="s">
        <v>90</v>
      </c>
      <c r="V1566">
        <v>0</v>
      </c>
      <c r="W1566" t="s">
        <v>90</v>
      </c>
      <c r="X1566">
        <v>0</v>
      </c>
      <c r="Y1566">
        <v>0.04596223090239606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4</v>
      </c>
      <c r="AF1566">
        <v>30</v>
      </c>
      <c r="AG1566">
        <v>104</v>
      </c>
      <c r="AI1566">
        <v>0.0070000000000000001</v>
      </c>
      <c r="AJ1566" t="s">
        <v>685</v>
      </c>
      <c r="AK1566" t="s">
        <v>501</v>
      </c>
      <c r="AL1566" t="s">
        <v>1275</v>
      </c>
      <c r="AM1566">
        <v>400000</v>
      </c>
      <c r="AN1566" t="s">
        <v>76</v>
      </c>
      <c r="AO1566">
        <v>2</v>
      </c>
      <c r="AP1566">
        <v>0</v>
      </c>
      <c r="AQ1566">
        <v>33333.333333333336</v>
      </c>
      <c r="AR1566" t="s">
        <v>6247</v>
      </c>
      <c r="AS1566" t="s">
        <v>78</v>
      </c>
      <c r="AX1566" t="s">
        <v>79</v>
      </c>
      <c r="AY1566" t="s">
        <v>137</v>
      </c>
      <c r="AZ1566">
        <v>0</v>
      </c>
      <c r="BA1566" t="s">
        <v>137</v>
      </c>
      <c r="BB1566">
        <v>0</v>
      </c>
      <c r="BE1566">
        <v>0</v>
      </c>
    </row>
    <row r="1567" spans="1:58" ht="12.75">
      <c r="A1567" s="2" t="str">
        <f>HYPERLINK("https://ibp.a2mac1.com/costing(costing:projects/details/8191/part/5388273)","C Left Pillar Trims")</f>
        <v>C Left Pillar Trims</v>
      </c>
      <c r="B1567">
        <v>5388273</v>
      </c>
      <c r="C1567">
        <v>5388148</v>
      </c>
      <c r="E1567">
        <v>1.579501056</v>
      </c>
      <c r="F1567">
        <v>0</v>
      </c>
      <c r="G1567">
        <v>0</v>
      </c>
      <c r="H1567">
        <v>0.0079648023174736845</v>
      </c>
      <c r="I1567" t="s">
        <v>137</v>
      </c>
      <c r="J1567">
        <v>0.055421089684210528</v>
      </c>
      <c r="K1567">
        <v>1.6428869480016841</v>
      </c>
      <c r="L1567">
        <v>0.03038695094802155</v>
      </c>
      <c r="M1567">
        <v>0.18232170568812928</v>
      </c>
      <c r="N1567">
        <v>1.8252086536898136</v>
      </c>
      <c r="O1567" t="s">
        <v>138</v>
      </c>
      <c r="P1567">
        <v>0.098573216880101053</v>
      </c>
      <c r="Q1567" t="s">
        <v>138</v>
      </c>
      <c r="R1567">
        <v>0.010939302341287756</v>
      </c>
      <c r="S1567" t="s">
        <v>139</v>
      </c>
      <c r="T1567">
        <v>0.21902503844277763</v>
      </c>
      <c r="U1567" t="s">
        <v>90</v>
      </c>
      <c r="V1567">
        <v>0</v>
      </c>
      <c r="W1567" t="s">
        <v>90</v>
      </c>
      <c r="X1567">
        <v>0</v>
      </c>
      <c r="Y1567">
        <v>2.15374621135398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14</v>
      </c>
      <c r="AF1567">
        <v>782</v>
      </c>
      <c r="AG1567">
        <v>321</v>
      </c>
      <c r="AI1567">
        <v>0.32800000000000001</v>
      </c>
      <c r="AK1567" t="s">
        <v>501</v>
      </c>
      <c r="AL1567" t="s">
        <v>1275</v>
      </c>
      <c r="AM1567">
        <v>400000</v>
      </c>
      <c r="AN1567" t="s">
        <v>76</v>
      </c>
      <c r="AO1567">
        <v>2</v>
      </c>
      <c r="AP1567">
        <v>0</v>
      </c>
      <c r="AQ1567">
        <v>33333.333333333336</v>
      </c>
      <c r="AR1567" t="s">
        <v>6252</v>
      </c>
      <c r="AS1567" t="s">
        <v>78</v>
      </c>
      <c r="AX1567" t="s">
        <v>79</v>
      </c>
      <c r="AY1567" t="s">
        <v>137</v>
      </c>
      <c r="AZ1567">
        <v>0</v>
      </c>
      <c r="BA1567" t="s">
        <v>137</v>
      </c>
      <c r="BB1567">
        <v>0</v>
      </c>
      <c r="BE1567">
        <v>0</v>
      </c>
    </row>
    <row r="1568" spans="1:58" ht="12.75">
      <c r="A1568" s="2" t="str">
        <f>HYPERLINK("https://ibp.a2mac1.com/costing(costing:projects/details/8191/part/5388274)","Left C Pillar Trims Support")</f>
        <v>Left C Pillar Trims Support</v>
      </c>
      <c r="B1568">
        <v>5388274</v>
      </c>
      <c r="C1568">
        <v>5388148</v>
      </c>
      <c r="E1568">
        <v>1.0467756306</v>
      </c>
      <c r="F1568">
        <v>0</v>
      </c>
      <c r="G1568">
        <v>0</v>
      </c>
      <c r="H1568">
        <v>0.0052784776159578951</v>
      </c>
      <c r="I1568" t="s">
        <v>137</v>
      </c>
      <c r="J1568">
        <v>0.036728969494736842</v>
      </c>
      <c r="K1568">
        <v>1.0887830777106948</v>
      </c>
      <c r="L1568">
        <v>0.024171421300390062</v>
      </c>
      <c r="M1568">
        <v>0.14502852780234038</v>
      </c>
      <c r="N1568">
        <v>1.233811605513035</v>
      </c>
      <c r="O1568" t="s">
        <v>138</v>
      </c>
      <c r="P1568">
        <v>0.065326984662641682</v>
      </c>
      <c r="Q1568" t="s">
        <v>138</v>
      </c>
      <c r="R1568">
        <v>0.0087017116681404223</v>
      </c>
      <c r="S1568" t="s">
        <v>139</v>
      </c>
      <c r="T1568">
        <v>0.1480573926615642</v>
      </c>
      <c r="U1568" t="s">
        <v>90</v>
      </c>
      <c r="V1568">
        <v>0</v>
      </c>
      <c r="W1568" t="s">
        <v>90</v>
      </c>
      <c r="X1568">
        <v>0</v>
      </c>
      <c r="Y1568">
        <v>1.4558976945053814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22</v>
      </c>
      <c r="AF1568">
        <v>790</v>
      </c>
      <c r="AG1568">
        <v>318</v>
      </c>
      <c r="AI1568">
        <v>0.26100000000000001</v>
      </c>
      <c r="AJ1568" t="s">
        <v>685</v>
      </c>
      <c r="AK1568" t="s">
        <v>501</v>
      </c>
      <c r="AL1568" t="s">
        <v>6257</v>
      </c>
      <c r="AM1568">
        <v>400000</v>
      </c>
      <c r="AN1568" t="s">
        <v>76</v>
      </c>
      <c r="AO1568">
        <v>2</v>
      </c>
      <c r="AP1568">
        <v>0</v>
      </c>
      <c r="AQ1568">
        <v>33333.333333333336</v>
      </c>
      <c r="AR1568" t="s">
        <v>6258</v>
      </c>
      <c r="AS1568" t="s">
        <v>78</v>
      </c>
      <c r="AX1568" t="s">
        <v>79</v>
      </c>
      <c r="AY1568" t="s">
        <v>137</v>
      </c>
      <c r="AZ1568">
        <v>0</v>
      </c>
      <c r="BA1568" t="s">
        <v>137</v>
      </c>
      <c r="BB1568">
        <v>0</v>
      </c>
      <c r="BE1568">
        <v>0</v>
      </c>
    </row>
    <row r="1569" spans="1:58" ht="12.75">
      <c r="A1569" s="2" t="str">
        <f>HYPERLINK("https://ibp.a2mac1.com/costing(costing:projects/details/8191/part/5388275)","Roof Trim Side")</f>
        <v>Roof Trim Side</v>
      </c>
      <c r="B1569">
        <v>5388275</v>
      </c>
      <c r="C1569">
        <v>5388149</v>
      </c>
      <c r="E1569">
        <v>1.8705818573802591</v>
      </c>
      <c r="F1569">
        <v>0</v>
      </c>
      <c r="G1569">
        <v>0</v>
      </c>
      <c r="H1569">
        <v>0.0019183384317915167</v>
      </c>
      <c r="I1569" t="s">
        <v>137</v>
      </c>
      <c r="J1569">
        <v>0.066477074369012956</v>
      </c>
      <c r="K1569">
        <v>1.9389772701810635</v>
      </c>
      <c r="L1569">
        <v>0.41236750193029487</v>
      </c>
      <c r="M1569">
        <v>2.4742050115817693</v>
      </c>
      <c r="N1569">
        <v>4.4131822817628326</v>
      </c>
      <c r="O1569" t="s">
        <v>138</v>
      </c>
      <c r="P1569">
        <v>0.11633863621086382</v>
      </c>
      <c r="Q1569" t="s">
        <v>138</v>
      </c>
      <c r="R1569">
        <v>0.14845230069490617</v>
      </c>
      <c r="S1569" t="s">
        <v>139</v>
      </c>
      <c r="T1569">
        <v>0.52958187381153998</v>
      </c>
      <c r="U1569" t="s">
        <v>90</v>
      </c>
      <c r="V1569">
        <v>0</v>
      </c>
      <c r="W1569" t="s">
        <v>90</v>
      </c>
      <c r="X1569">
        <v>0</v>
      </c>
      <c r="Y1569">
        <v>5.2075550924801428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2224</v>
      </c>
      <c r="AF1569">
        <v>14</v>
      </c>
      <c r="AG1569">
        <v>260</v>
      </c>
      <c r="AI1569">
        <v>0.33650000000000002</v>
      </c>
      <c r="AJ1569" t="s">
        <v>685</v>
      </c>
      <c r="AK1569" t="s">
        <v>501</v>
      </c>
      <c r="AL1569" t="s">
        <v>6267</v>
      </c>
      <c r="AM1569">
        <v>400000</v>
      </c>
      <c r="AN1569" t="s">
        <v>76</v>
      </c>
      <c r="AO1569">
        <v>2</v>
      </c>
      <c r="AP1569">
        <v>0</v>
      </c>
      <c r="AQ1569">
        <v>33333.333333333336</v>
      </c>
      <c r="AR1569" t="s">
        <v>6268</v>
      </c>
      <c r="AS1569" t="s">
        <v>78</v>
      </c>
      <c r="AX1569" t="s">
        <v>79</v>
      </c>
      <c r="AY1569" t="s">
        <v>137</v>
      </c>
      <c r="AZ1569">
        <v>0</v>
      </c>
      <c r="BA1569" t="s">
        <v>137</v>
      </c>
      <c r="BB1569">
        <v>0</v>
      </c>
      <c r="BE1569">
        <v>0</v>
      </c>
    </row>
    <row r="1570" spans="1:58" ht="12.75">
      <c r="A1570" s="2" t="str">
        <f>HYPERLINK("https://ibp.a2mac1.com/costing(costing:projects/details/8191/part/5388276)","Decompression Air Vent")</f>
        <v>Decompression Air Vent</v>
      </c>
      <c r="B1570">
        <v>5388276</v>
      </c>
      <c r="C1570">
        <v>5388150</v>
      </c>
      <c r="E1570">
        <v>0.43169587034143042</v>
      </c>
      <c r="F1570">
        <v>0</v>
      </c>
      <c r="G1570">
        <v>0</v>
      </c>
      <c r="H1570">
        <v>0.00087925704616116196</v>
      </c>
      <c r="I1570" t="s">
        <v>137</v>
      </c>
      <c r="J1570">
        <v>0.015159604244157963</v>
      </c>
      <c r="K1570">
        <v>0.44773473163174959</v>
      </c>
      <c r="L1570">
        <v>0.056739926544654762</v>
      </c>
      <c r="M1570">
        <v>0.34043955926792857</v>
      </c>
      <c r="N1570">
        <v>0.78817429089967816</v>
      </c>
      <c r="O1570" t="s">
        <v>138</v>
      </c>
      <c r="P1570">
        <v>0.026864083897904973</v>
      </c>
      <c r="Q1570" t="s">
        <v>138</v>
      </c>
      <c r="R1570">
        <v>0.020426373556075714</v>
      </c>
      <c r="S1570" t="s">
        <v>139</v>
      </c>
      <c r="T1570">
        <v>0.094580914907961375</v>
      </c>
      <c r="U1570" t="s">
        <v>216</v>
      </c>
      <c r="V1570">
        <v>0.0039408714544983906</v>
      </c>
      <c r="W1570" t="s">
        <v>217</v>
      </c>
      <c r="X1570">
        <v>0.015763485817993562</v>
      </c>
      <c r="Y1570">
        <v>0.94975002053411217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34</v>
      </c>
      <c r="AF1570">
        <v>144</v>
      </c>
      <c r="AG1570">
        <v>162</v>
      </c>
      <c r="AI1570">
        <v>0.113</v>
      </c>
      <c r="AJ1570" t="s">
        <v>6278</v>
      </c>
      <c r="AK1570" t="s">
        <v>218</v>
      </c>
      <c r="AL1570" t="s">
        <v>6279</v>
      </c>
      <c r="AM1570">
        <v>400000</v>
      </c>
      <c r="AN1570" t="s">
        <v>76</v>
      </c>
      <c r="AO1570">
        <v>2</v>
      </c>
      <c r="AP1570">
        <v>0</v>
      </c>
      <c r="AQ1570">
        <v>33333.333333333336</v>
      </c>
      <c r="AR1570" t="s">
        <v>9</v>
      </c>
      <c r="AS1570" t="s">
        <v>78</v>
      </c>
      <c r="AX1570" t="s">
        <v>79</v>
      </c>
      <c r="AY1570" t="s">
        <v>137</v>
      </c>
      <c r="AZ1570">
        <v>0</v>
      </c>
      <c r="BA1570" t="s">
        <v>137</v>
      </c>
      <c r="BB1570">
        <v>0</v>
      </c>
      <c r="BE1570">
        <v>0</v>
      </c>
    </row>
    <row r="1571" spans="1:58" ht="12.75">
      <c r="A1571" s="2" t="str">
        <f>HYPERLINK("https://ibp.a2mac1.com/costing(costing:projects/details/8191/part/5388277)","Wheel Arch Front")</f>
        <v>Wheel Arch Front</v>
      </c>
      <c r="B1571">
        <v>5388277</v>
      </c>
      <c r="C1571">
        <v>5388151</v>
      </c>
      <c r="E1571">
        <v>0.40</v>
      </c>
      <c r="F1571">
        <v>0</v>
      </c>
      <c r="G1571">
        <v>0</v>
      </c>
      <c r="H1571">
        <v>0</v>
      </c>
      <c r="I1571" t="s">
        <v>74</v>
      </c>
      <c r="J1571">
        <v>0</v>
      </c>
      <c r="K1571">
        <v>0.40</v>
      </c>
      <c r="L1571">
        <v>0</v>
      </c>
      <c r="M1571">
        <v>0</v>
      </c>
      <c r="N1571">
        <v>0.40</v>
      </c>
      <c r="O1571" t="s">
        <v>74</v>
      </c>
      <c r="P1571">
        <v>0</v>
      </c>
      <c r="Q1571" t="s">
        <v>74</v>
      </c>
      <c r="R1571">
        <v>0</v>
      </c>
      <c r="S1571" t="s">
        <v>74</v>
      </c>
      <c r="T1571">
        <v>0</v>
      </c>
      <c r="U1571" t="s">
        <v>74</v>
      </c>
      <c r="V1571">
        <v>0</v>
      </c>
      <c r="W1571" t="s">
        <v>74</v>
      </c>
      <c r="X1571">
        <v>0</v>
      </c>
      <c r="Y1571">
        <v>0.40</v>
      </c>
      <c r="Z1571">
        <v>0</v>
      </c>
      <c r="AA1571">
        <v>0</v>
      </c>
      <c r="AB1571">
        <v>0</v>
      </c>
      <c r="AC1571">
        <v>0</v>
      </c>
      <c r="AD1571">
        <v>0</v>
      </c>
      <c r="AI1571">
        <v>3.0000000000000001E-05</v>
      </c>
      <c r="AK1571" t="s">
        <v>501</v>
      </c>
      <c r="AL1571" t="s">
        <v>3752</v>
      </c>
      <c r="AM1571">
        <v>800000</v>
      </c>
      <c r="AN1571" t="s">
        <v>76</v>
      </c>
      <c r="AO1571">
        <v>4</v>
      </c>
      <c r="AP1571">
        <v>0</v>
      </c>
      <c r="AQ1571">
        <v>66666.666666666672</v>
      </c>
      <c r="AR1571" t="s">
        <v>6282</v>
      </c>
      <c r="AS1571" t="s">
        <v>78</v>
      </c>
      <c r="AX1571" t="s">
        <v>79</v>
      </c>
      <c r="AY1571" t="s">
        <v>74</v>
      </c>
      <c r="AZ1571">
        <v>0</v>
      </c>
      <c r="BA1571" t="s">
        <v>74</v>
      </c>
      <c r="BB1571">
        <v>0</v>
      </c>
      <c r="BD1571">
        <v>0.10</v>
      </c>
      <c r="BE1571">
        <v>0</v>
      </c>
    </row>
    <row r="1572" spans="1:58" ht="12.75">
      <c r="A1572" s="2" t="str">
        <f>HYPERLINK("https://ibp.a2mac1.com/costing(costing:projects/details/8191/part/5388278)","Wheel Arch Rear")</f>
        <v>Wheel Arch Rear</v>
      </c>
      <c r="B1572">
        <v>5388278</v>
      </c>
      <c r="C1572">
        <v>5388151</v>
      </c>
      <c r="E1572">
        <v>0.40</v>
      </c>
      <c r="F1572">
        <v>0</v>
      </c>
      <c r="G1572">
        <v>0</v>
      </c>
      <c r="H1572">
        <v>0</v>
      </c>
      <c r="I1572" t="s">
        <v>74</v>
      </c>
      <c r="J1572">
        <v>0</v>
      </c>
      <c r="K1572">
        <v>0.40</v>
      </c>
      <c r="L1572">
        <v>0</v>
      </c>
      <c r="M1572">
        <v>0</v>
      </c>
      <c r="N1572">
        <v>0.40</v>
      </c>
      <c r="O1572" t="s">
        <v>74</v>
      </c>
      <c r="P1572">
        <v>0</v>
      </c>
      <c r="Q1572" t="s">
        <v>74</v>
      </c>
      <c r="R1572">
        <v>0</v>
      </c>
      <c r="S1572" t="s">
        <v>74</v>
      </c>
      <c r="T1572">
        <v>0</v>
      </c>
      <c r="U1572" t="s">
        <v>74</v>
      </c>
      <c r="V1572">
        <v>0</v>
      </c>
      <c r="W1572" t="s">
        <v>74</v>
      </c>
      <c r="X1572">
        <v>0</v>
      </c>
      <c r="Y1572">
        <v>0.40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6</v>
      </c>
      <c r="AF1572">
        <v>55</v>
      </c>
      <c r="AG1572">
        <v>29</v>
      </c>
      <c r="AI1572">
        <v>3.0000000000000001E-05</v>
      </c>
      <c r="AK1572" t="s">
        <v>501</v>
      </c>
      <c r="AL1572" t="s">
        <v>6283</v>
      </c>
      <c r="AM1572">
        <v>800000</v>
      </c>
      <c r="AN1572" t="s">
        <v>76</v>
      </c>
      <c r="AO1572">
        <v>4</v>
      </c>
      <c r="AP1572">
        <v>0</v>
      </c>
      <c r="AQ1572">
        <v>66666.666666666672</v>
      </c>
      <c r="AR1572" t="s">
        <v>6284</v>
      </c>
      <c r="AS1572" t="s">
        <v>78</v>
      </c>
      <c r="AX1572" t="s">
        <v>79</v>
      </c>
      <c r="AY1572" t="s">
        <v>74</v>
      </c>
      <c r="AZ1572">
        <v>0</v>
      </c>
      <c r="BA1572" t="s">
        <v>74</v>
      </c>
      <c r="BB1572">
        <v>0</v>
      </c>
      <c r="BD1572">
        <v>0.10</v>
      </c>
      <c r="BE1572">
        <v>0</v>
      </c>
    </row>
    <row r="1573" spans="1:58" ht="12.75">
      <c r="A1573" s="2" t="str">
        <f>HYPERLINK("https://ibp.a2mac1.com/costing(costing:projects/details/8191/part/5388279)","Passenger Cell Floor")</f>
        <v>Passenger Cell Floor</v>
      </c>
      <c r="B1573">
        <v>5388279</v>
      </c>
      <c r="C1573">
        <v>5388151</v>
      </c>
      <c r="E1573">
        <v>2.50</v>
      </c>
      <c r="F1573">
        <v>0</v>
      </c>
      <c r="G1573">
        <v>0</v>
      </c>
      <c r="H1573">
        <v>0</v>
      </c>
      <c r="I1573" t="s">
        <v>74</v>
      </c>
      <c r="J1573">
        <v>0</v>
      </c>
      <c r="K1573">
        <v>2.50</v>
      </c>
      <c r="L1573">
        <v>0</v>
      </c>
      <c r="M1573">
        <v>0</v>
      </c>
      <c r="N1573">
        <v>2.50</v>
      </c>
      <c r="O1573" t="s">
        <v>74</v>
      </c>
      <c r="P1573">
        <v>0</v>
      </c>
      <c r="Q1573" t="s">
        <v>74</v>
      </c>
      <c r="R1573">
        <v>0</v>
      </c>
      <c r="S1573" t="s">
        <v>74</v>
      </c>
      <c r="T1573">
        <v>0</v>
      </c>
      <c r="U1573" t="s">
        <v>74</v>
      </c>
      <c r="V1573">
        <v>0</v>
      </c>
      <c r="W1573" t="s">
        <v>74</v>
      </c>
      <c r="X1573">
        <v>0</v>
      </c>
      <c r="Y1573">
        <v>2.50</v>
      </c>
      <c r="Z1573">
        <v>0</v>
      </c>
      <c r="AA1573">
        <v>0</v>
      </c>
      <c r="AB1573">
        <v>0</v>
      </c>
      <c r="AC1573">
        <v>0</v>
      </c>
      <c r="AD1573">
        <v>0</v>
      </c>
      <c r="AI1573">
        <v>0</v>
      </c>
      <c r="AK1573" t="s">
        <v>501</v>
      </c>
      <c r="AL1573" t="s">
        <v>6285</v>
      </c>
      <c r="AM1573">
        <v>5000000</v>
      </c>
      <c r="AN1573" t="s">
        <v>76</v>
      </c>
      <c r="AO1573">
        <v>25</v>
      </c>
      <c r="AP1573">
        <v>0</v>
      </c>
      <c r="AQ1573">
        <v>416666.66666666669</v>
      </c>
      <c r="AR1573" t="s">
        <v>6286</v>
      </c>
      <c r="AS1573" t="s">
        <v>78</v>
      </c>
      <c r="AX1573" t="s">
        <v>79</v>
      </c>
      <c r="AY1573" t="s">
        <v>74</v>
      </c>
      <c r="AZ1573">
        <v>0</v>
      </c>
      <c r="BA1573" t="s">
        <v>74</v>
      </c>
      <c r="BB1573">
        <v>0</v>
      </c>
      <c r="BD1573">
        <v>0.10</v>
      </c>
      <c r="BE1573">
        <v>0</v>
      </c>
    </row>
    <row r="1574" spans="1:58" ht="12.75">
      <c r="A1574" s="2" t="str">
        <f>HYPERLINK("https://ibp.a2mac1.com/costing(costing:projects/details/8191/part/5388280)","Trunk Tailgate Floor")</f>
        <v>Trunk Tailgate Floor</v>
      </c>
      <c r="B1574">
        <v>5388280</v>
      </c>
      <c r="C1574">
        <v>5388151</v>
      </c>
      <c r="E1574">
        <v>1</v>
      </c>
      <c r="F1574">
        <v>0</v>
      </c>
      <c r="G1574">
        <v>0</v>
      </c>
      <c r="H1574">
        <v>0</v>
      </c>
      <c r="I1574" t="s">
        <v>74</v>
      </c>
      <c r="J1574">
        <v>0</v>
      </c>
      <c r="K1574">
        <v>1</v>
      </c>
      <c r="L1574">
        <v>0</v>
      </c>
      <c r="M1574">
        <v>0</v>
      </c>
      <c r="N1574">
        <v>1</v>
      </c>
      <c r="O1574" t="s">
        <v>74</v>
      </c>
      <c r="P1574">
        <v>0</v>
      </c>
      <c r="Q1574" t="s">
        <v>74</v>
      </c>
      <c r="R1574">
        <v>0</v>
      </c>
      <c r="S1574" t="s">
        <v>74</v>
      </c>
      <c r="T1574">
        <v>0</v>
      </c>
      <c r="U1574" t="s">
        <v>74</v>
      </c>
      <c r="V1574">
        <v>0</v>
      </c>
      <c r="W1574" t="s">
        <v>74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I1574">
        <v>1.0000000000000001E-05</v>
      </c>
      <c r="AK1574" t="s">
        <v>501</v>
      </c>
      <c r="AL1574" t="s">
        <v>3752</v>
      </c>
      <c r="AM1574">
        <v>2000000</v>
      </c>
      <c r="AN1574" t="s">
        <v>76</v>
      </c>
      <c r="AO1574">
        <v>10</v>
      </c>
      <c r="AP1574">
        <v>0</v>
      </c>
      <c r="AQ1574">
        <v>166666.66666666666</v>
      </c>
      <c r="AR1574" t="s">
        <v>6287</v>
      </c>
      <c r="AS1574" t="s">
        <v>78</v>
      </c>
      <c r="AX1574" t="s">
        <v>79</v>
      </c>
      <c r="AY1574" t="s">
        <v>74</v>
      </c>
      <c r="AZ1574">
        <v>0</v>
      </c>
      <c r="BA1574" t="s">
        <v>74</v>
      </c>
      <c r="BB1574">
        <v>0</v>
      </c>
      <c r="BD1574">
        <v>0.10</v>
      </c>
      <c r="BE1574">
        <v>0</v>
      </c>
    </row>
    <row r="1575" spans="1:58" ht="12.75">
      <c r="A1575" s="2" t="str">
        <f>HYPERLINK("https://ibp.a2mac1.com/costing(costing:projects/details/8191/part/5388281)","Hyper Structure")</f>
        <v>Hyper Structure</v>
      </c>
      <c r="B1575">
        <v>5388281</v>
      </c>
      <c r="C1575">
        <v>5388151</v>
      </c>
      <c r="E1575">
        <v>2.70</v>
      </c>
      <c r="F1575">
        <v>0</v>
      </c>
      <c r="G1575">
        <v>0</v>
      </c>
      <c r="H1575">
        <v>0</v>
      </c>
      <c r="I1575" t="s">
        <v>74</v>
      </c>
      <c r="J1575">
        <v>0</v>
      </c>
      <c r="K1575">
        <v>2.70</v>
      </c>
      <c r="L1575">
        <v>0</v>
      </c>
      <c r="M1575">
        <v>0</v>
      </c>
      <c r="N1575">
        <v>2.70</v>
      </c>
      <c r="O1575" t="s">
        <v>74</v>
      </c>
      <c r="P1575">
        <v>0</v>
      </c>
      <c r="Q1575" t="s">
        <v>74</v>
      </c>
      <c r="R1575">
        <v>0</v>
      </c>
      <c r="S1575" t="s">
        <v>74</v>
      </c>
      <c r="T1575">
        <v>0</v>
      </c>
      <c r="U1575" t="s">
        <v>74</v>
      </c>
      <c r="V1575">
        <v>0</v>
      </c>
      <c r="W1575" t="s">
        <v>74</v>
      </c>
      <c r="X1575">
        <v>0</v>
      </c>
      <c r="Y1575">
        <v>2.70</v>
      </c>
      <c r="Z1575">
        <v>0</v>
      </c>
      <c r="AA1575">
        <v>0</v>
      </c>
      <c r="AB1575">
        <v>0</v>
      </c>
      <c r="AC1575">
        <v>0</v>
      </c>
      <c r="AD1575">
        <v>0</v>
      </c>
      <c r="AI1575">
        <v>0</v>
      </c>
      <c r="AK1575" t="s">
        <v>501</v>
      </c>
      <c r="AL1575" t="s">
        <v>6288</v>
      </c>
      <c r="AM1575">
        <v>5400000</v>
      </c>
      <c r="AN1575" t="s">
        <v>76</v>
      </c>
      <c r="AO1575">
        <v>27</v>
      </c>
      <c r="AP1575">
        <v>0</v>
      </c>
      <c r="AQ1575">
        <v>450000</v>
      </c>
      <c r="AR1575" t="s">
        <v>6289</v>
      </c>
      <c r="AS1575" t="s">
        <v>78</v>
      </c>
      <c r="AX1575" t="s">
        <v>79</v>
      </c>
      <c r="AY1575" t="s">
        <v>74</v>
      </c>
      <c r="AZ1575">
        <v>0</v>
      </c>
      <c r="BA1575" t="s">
        <v>74</v>
      </c>
      <c r="BB1575">
        <v>0</v>
      </c>
      <c r="BD1575">
        <v>0.10</v>
      </c>
      <c r="BE1575">
        <v>0</v>
      </c>
    </row>
    <row r="1576" spans="1:58" ht="12.75">
      <c r="A1576" s="2" t="str">
        <f>HYPERLINK("https://ibp.a2mac1.com/costing(costing:projects/details/8191/part/5388282)","Underbody")</f>
        <v>Underbody</v>
      </c>
      <c r="B1576">
        <v>5388282</v>
      </c>
      <c r="C1576">
        <v>5388151</v>
      </c>
      <c r="E1576">
        <v>4.80</v>
      </c>
      <c r="F1576">
        <v>0</v>
      </c>
      <c r="G1576">
        <v>0</v>
      </c>
      <c r="H1576">
        <v>0</v>
      </c>
      <c r="I1576" t="s">
        <v>74</v>
      </c>
      <c r="J1576">
        <v>0</v>
      </c>
      <c r="K1576">
        <v>4.80</v>
      </c>
      <c r="L1576">
        <v>0</v>
      </c>
      <c r="M1576">
        <v>0</v>
      </c>
      <c r="N1576">
        <v>4.80</v>
      </c>
      <c r="O1576" t="s">
        <v>74</v>
      </c>
      <c r="P1576">
        <v>0</v>
      </c>
      <c r="Q1576" t="s">
        <v>74</v>
      </c>
      <c r="R1576">
        <v>0</v>
      </c>
      <c r="S1576" t="s">
        <v>74</v>
      </c>
      <c r="T1576">
        <v>0</v>
      </c>
      <c r="U1576" t="s">
        <v>74</v>
      </c>
      <c r="V1576">
        <v>0</v>
      </c>
      <c r="W1576" t="s">
        <v>74</v>
      </c>
      <c r="X1576">
        <v>0</v>
      </c>
      <c r="Y1576">
        <v>4.80</v>
      </c>
      <c r="Z1576">
        <v>0</v>
      </c>
      <c r="AA1576">
        <v>0</v>
      </c>
      <c r="AB1576">
        <v>0</v>
      </c>
      <c r="AC1576">
        <v>0</v>
      </c>
      <c r="AD1576">
        <v>0</v>
      </c>
      <c r="AI1576">
        <v>0</v>
      </c>
      <c r="AK1576" t="s">
        <v>501</v>
      </c>
      <c r="AL1576" t="s">
        <v>6290</v>
      </c>
      <c r="AM1576">
        <v>9600000</v>
      </c>
      <c r="AN1576" t="s">
        <v>76</v>
      </c>
      <c r="AO1576">
        <v>48</v>
      </c>
      <c r="AP1576">
        <v>0</v>
      </c>
      <c r="AQ1576">
        <v>800000</v>
      </c>
      <c r="AR1576" t="s">
        <v>6291</v>
      </c>
      <c r="AS1576" t="s">
        <v>78</v>
      </c>
      <c r="AX1576" t="s">
        <v>79</v>
      </c>
      <c r="AY1576" t="s">
        <v>74</v>
      </c>
      <c r="AZ1576">
        <v>0</v>
      </c>
      <c r="BA1576" t="s">
        <v>74</v>
      </c>
      <c r="BB1576">
        <v>0</v>
      </c>
      <c r="BD1576">
        <v>0.10</v>
      </c>
      <c r="BE1576">
        <v>0</v>
      </c>
    </row>
    <row r="1577" spans="1:58" ht="12.75">
      <c r="A1577" s="2" t="str">
        <f>HYPERLINK("https://ibp.a2mac1.com/costing(costing:projects/details/8191/part/5388283)","Engine Compartment")</f>
        <v>Engine Compartment</v>
      </c>
      <c r="B1577">
        <v>5388283</v>
      </c>
      <c r="C1577">
        <v>5388151</v>
      </c>
      <c r="E1577">
        <v>0.70</v>
      </c>
      <c r="F1577">
        <v>0</v>
      </c>
      <c r="G1577">
        <v>0</v>
      </c>
      <c r="H1577">
        <v>0</v>
      </c>
      <c r="I1577" t="s">
        <v>74</v>
      </c>
      <c r="J1577">
        <v>0</v>
      </c>
      <c r="K1577">
        <v>0.70</v>
      </c>
      <c r="L1577">
        <v>0</v>
      </c>
      <c r="M1577">
        <v>0</v>
      </c>
      <c r="N1577">
        <v>0.70</v>
      </c>
      <c r="O1577" t="s">
        <v>74</v>
      </c>
      <c r="P1577">
        <v>0</v>
      </c>
      <c r="Q1577" t="s">
        <v>74</v>
      </c>
      <c r="R1577">
        <v>0</v>
      </c>
      <c r="S1577" t="s">
        <v>74</v>
      </c>
      <c r="T1577">
        <v>0</v>
      </c>
      <c r="U1577" t="s">
        <v>74</v>
      </c>
      <c r="V1577">
        <v>0</v>
      </c>
      <c r="W1577" t="s">
        <v>74</v>
      </c>
      <c r="X1577">
        <v>0</v>
      </c>
      <c r="Y1577">
        <v>0.70</v>
      </c>
      <c r="Z1577">
        <v>0</v>
      </c>
      <c r="AA1577">
        <v>0</v>
      </c>
      <c r="AB1577">
        <v>0</v>
      </c>
      <c r="AC1577">
        <v>0</v>
      </c>
      <c r="AD1577">
        <v>0</v>
      </c>
      <c r="AI1577">
        <v>1.0000000000000001E-05</v>
      </c>
      <c r="AK1577" t="s">
        <v>501</v>
      </c>
      <c r="AL1577" t="s">
        <v>6292</v>
      </c>
      <c r="AM1577">
        <v>1400000</v>
      </c>
      <c r="AN1577" t="s">
        <v>76</v>
      </c>
      <c r="AO1577">
        <v>7</v>
      </c>
      <c r="AP1577">
        <v>0</v>
      </c>
      <c r="AQ1577">
        <v>116666.66666666667</v>
      </c>
      <c r="AR1577" t="s">
        <v>6293</v>
      </c>
      <c r="AS1577" t="s">
        <v>78</v>
      </c>
      <c r="AX1577" t="s">
        <v>79</v>
      </c>
      <c r="AY1577" t="s">
        <v>74</v>
      </c>
      <c r="AZ1577">
        <v>0</v>
      </c>
      <c r="BA1577" t="s">
        <v>74</v>
      </c>
      <c r="BB1577">
        <v>0</v>
      </c>
      <c r="BD1577">
        <v>0.10</v>
      </c>
      <c r="BE1577">
        <v>0</v>
      </c>
    </row>
    <row r="1578" spans="1:58" ht="12.75">
      <c r="A1578" s="2" t="str">
        <f>HYPERLINK("https://ibp.a2mac1.com/costing(costing:projects/details/8191/part/5388284)","Front Body Panel")</f>
        <v>Front Body Panel</v>
      </c>
      <c r="B1578">
        <v>5388284</v>
      </c>
      <c r="C1578">
        <v>5388151</v>
      </c>
      <c r="E1578">
        <v>0.60</v>
      </c>
      <c r="F1578">
        <v>0</v>
      </c>
      <c r="G1578">
        <v>0</v>
      </c>
      <c r="H1578">
        <v>0</v>
      </c>
      <c r="I1578" t="s">
        <v>74</v>
      </c>
      <c r="J1578">
        <v>0</v>
      </c>
      <c r="K1578">
        <v>0.60</v>
      </c>
      <c r="L1578">
        <v>0</v>
      </c>
      <c r="M1578">
        <v>0</v>
      </c>
      <c r="N1578">
        <v>0.60</v>
      </c>
      <c r="O1578" t="s">
        <v>74</v>
      </c>
      <c r="P1578">
        <v>0</v>
      </c>
      <c r="Q1578" t="s">
        <v>74</v>
      </c>
      <c r="R1578">
        <v>0</v>
      </c>
      <c r="S1578" t="s">
        <v>74</v>
      </c>
      <c r="T1578">
        <v>0</v>
      </c>
      <c r="U1578" t="s">
        <v>74</v>
      </c>
      <c r="V1578">
        <v>0</v>
      </c>
      <c r="W1578" t="s">
        <v>74</v>
      </c>
      <c r="X1578">
        <v>0</v>
      </c>
      <c r="Y1578">
        <v>0.60</v>
      </c>
      <c r="Z1578">
        <v>0</v>
      </c>
      <c r="AA1578">
        <v>0</v>
      </c>
      <c r="AB1578">
        <v>0</v>
      </c>
      <c r="AC1578">
        <v>0</v>
      </c>
      <c r="AD1578">
        <v>0</v>
      </c>
      <c r="AI1578">
        <v>2.0000000000000002E-05</v>
      </c>
      <c r="AK1578" t="s">
        <v>501</v>
      </c>
      <c r="AL1578" t="s">
        <v>6294</v>
      </c>
      <c r="AM1578">
        <v>1200000</v>
      </c>
      <c r="AN1578" t="s">
        <v>76</v>
      </c>
      <c r="AO1578">
        <v>6</v>
      </c>
      <c r="AP1578">
        <v>0</v>
      </c>
      <c r="AQ1578">
        <v>100000</v>
      </c>
      <c r="AR1578" t="s">
        <v>6295</v>
      </c>
      <c r="AS1578" t="s">
        <v>78</v>
      </c>
      <c r="AX1578" t="s">
        <v>79</v>
      </c>
      <c r="AY1578" t="s">
        <v>74</v>
      </c>
      <c r="AZ1578">
        <v>0</v>
      </c>
      <c r="BA1578" t="s">
        <v>74</v>
      </c>
      <c r="BB1578">
        <v>0</v>
      </c>
      <c r="BD1578">
        <v>0.10</v>
      </c>
      <c r="BE1578">
        <v>0</v>
      </c>
    </row>
    <row r="1579" spans="1:58" ht="12.75">
      <c r="A1579" s="2" t="str">
        <f>HYPERLINK("https://ibp.a2mac1.com/costing(costing:projects/details/8191/part/5388285)","Drainage System")</f>
        <v>Drainage System</v>
      </c>
      <c r="B1579">
        <v>5388285</v>
      </c>
      <c r="C1579">
        <v>5388151</v>
      </c>
      <c r="E1579">
        <v>0.30</v>
      </c>
      <c r="F1579">
        <v>0</v>
      </c>
      <c r="G1579">
        <v>0</v>
      </c>
      <c r="H1579">
        <v>0</v>
      </c>
      <c r="I1579" t="s">
        <v>74</v>
      </c>
      <c r="J1579">
        <v>0</v>
      </c>
      <c r="K1579">
        <v>0.30</v>
      </c>
      <c r="L1579">
        <v>0</v>
      </c>
      <c r="M1579">
        <v>0</v>
      </c>
      <c r="N1579">
        <v>0.30</v>
      </c>
      <c r="O1579" t="s">
        <v>74</v>
      </c>
      <c r="P1579">
        <v>0</v>
      </c>
      <c r="Q1579" t="s">
        <v>74</v>
      </c>
      <c r="R1579">
        <v>0</v>
      </c>
      <c r="S1579" t="s">
        <v>74</v>
      </c>
      <c r="T1579">
        <v>0</v>
      </c>
      <c r="U1579" t="s">
        <v>74</v>
      </c>
      <c r="V1579">
        <v>0</v>
      </c>
      <c r="W1579" t="s">
        <v>74</v>
      </c>
      <c r="X1579">
        <v>0</v>
      </c>
      <c r="Y1579">
        <v>0.30</v>
      </c>
      <c r="Z1579">
        <v>0</v>
      </c>
      <c r="AA1579">
        <v>0</v>
      </c>
      <c r="AB1579">
        <v>0</v>
      </c>
      <c r="AC1579">
        <v>0</v>
      </c>
      <c r="AD1579">
        <v>0</v>
      </c>
      <c r="AI1579">
        <v>3.0000000000000001E-05</v>
      </c>
      <c r="AK1579" t="s">
        <v>501</v>
      </c>
      <c r="AL1579" t="s">
        <v>5424</v>
      </c>
      <c r="AM1579">
        <v>600000</v>
      </c>
      <c r="AN1579" t="s">
        <v>76</v>
      </c>
      <c r="AO1579">
        <v>3</v>
      </c>
      <c r="AP1579">
        <v>0</v>
      </c>
      <c r="AQ1579">
        <v>50000</v>
      </c>
      <c r="AR1579" t="s">
        <v>6296</v>
      </c>
      <c r="AS1579" t="s">
        <v>78</v>
      </c>
      <c r="AX1579" t="s">
        <v>79</v>
      </c>
      <c r="AY1579" t="s">
        <v>74</v>
      </c>
      <c r="AZ1579">
        <v>0</v>
      </c>
      <c r="BA1579" t="s">
        <v>74</v>
      </c>
      <c r="BB1579">
        <v>0</v>
      </c>
      <c r="BD1579">
        <v>0.10</v>
      </c>
      <c r="BE1579">
        <v>0</v>
      </c>
    </row>
    <row r="1580" spans="1:58" ht="12.75">
      <c r="A1580" s="2" t="str">
        <f>HYPERLINK("https://ibp.a2mac1.com/costing(costing:projects/details/8191/part/5388286)","On Roof")</f>
        <v>On Roof</v>
      </c>
      <c r="B1580">
        <v>5388286</v>
      </c>
      <c r="C1580">
        <v>5388151</v>
      </c>
      <c r="E1580">
        <v>0.20</v>
      </c>
      <c r="F1580">
        <v>0</v>
      </c>
      <c r="G1580">
        <v>0</v>
      </c>
      <c r="H1580">
        <v>0</v>
      </c>
      <c r="I1580" t="s">
        <v>74</v>
      </c>
      <c r="J1580">
        <v>0</v>
      </c>
      <c r="K1580">
        <v>0.20</v>
      </c>
      <c r="L1580">
        <v>0</v>
      </c>
      <c r="M1580">
        <v>0</v>
      </c>
      <c r="N1580">
        <v>0.20</v>
      </c>
      <c r="O1580" t="s">
        <v>74</v>
      </c>
      <c r="P1580">
        <v>0</v>
      </c>
      <c r="Q1580" t="s">
        <v>74</v>
      </c>
      <c r="R1580">
        <v>0</v>
      </c>
      <c r="S1580" t="s">
        <v>74</v>
      </c>
      <c r="T1580">
        <v>0</v>
      </c>
      <c r="U1580" t="s">
        <v>74</v>
      </c>
      <c r="V1580">
        <v>0</v>
      </c>
      <c r="W1580" t="s">
        <v>74</v>
      </c>
      <c r="X1580">
        <v>0</v>
      </c>
      <c r="Y1580">
        <v>0.20</v>
      </c>
      <c r="Z1580">
        <v>0</v>
      </c>
      <c r="AA1580">
        <v>0</v>
      </c>
      <c r="AB1580">
        <v>0</v>
      </c>
      <c r="AC1580">
        <v>0</v>
      </c>
      <c r="AD1580">
        <v>0</v>
      </c>
      <c r="AI1580">
        <v>5.0000000000000002E-05</v>
      </c>
      <c r="AK1580" t="s">
        <v>501</v>
      </c>
      <c r="AL1580" t="s">
        <v>3752</v>
      </c>
      <c r="AM1580">
        <v>400000</v>
      </c>
      <c r="AN1580" t="s">
        <v>76</v>
      </c>
      <c r="AO1580">
        <v>2</v>
      </c>
      <c r="AP1580">
        <v>0</v>
      </c>
      <c r="AQ1580">
        <v>33333.333333333336</v>
      </c>
      <c r="AR1580" t="s">
        <v>6297</v>
      </c>
      <c r="AS1580" t="s">
        <v>78</v>
      </c>
      <c r="AX1580" t="s">
        <v>79</v>
      </c>
      <c r="AY1580" t="s">
        <v>74</v>
      </c>
      <c r="AZ1580">
        <v>0</v>
      </c>
      <c r="BA1580" t="s">
        <v>74</v>
      </c>
      <c r="BB1580">
        <v>0</v>
      </c>
      <c r="BD1580">
        <v>0.10</v>
      </c>
      <c r="BE1580">
        <v>0</v>
      </c>
    </row>
    <row r="1581" spans="1:58" ht="12.75">
      <c r="A1581" s="2" t="str">
        <f>HYPERLINK("https://ibp.a2mac1.com/costing(costing:projects/details/8191/part/5388287)","Cross Member")</f>
        <v>Cross Member</v>
      </c>
      <c r="B1581">
        <v>5388287</v>
      </c>
      <c r="C1581">
        <v>5388152</v>
      </c>
      <c r="E1581">
        <v>1.6028118804641611</v>
      </c>
      <c r="F1581">
        <v>0</v>
      </c>
      <c r="G1581">
        <v>0</v>
      </c>
      <c r="H1581">
        <v>0.0036106693613460667</v>
      </c>
      <c r="I1581" t="s">
        <v>137</v>
      </c>
      <c r="J1581">
        <v>0.06225292002320805</v>
      </c>
      <c r="K1581">
        <v>1.6686754698487152</v>
      </c>
      <c r="L1581">
        <v>0.11451451834796614</v>
      </c>
      <c r="M1581">
        <v>0.68708711008779688</v>
      </c>
      <c r="N1581">
        <v>2.3557625799365121</v>
      </c>
      <c r="O1581" t="s">
        <v>138</v>
      </c>
      <c r="P1581">
        <v>0.1001205281909229</v>
      </c>
      <c r="Q1581" t="s">
        <v>138</v>
      </c>
      <c r="R1581">
        <v>0.041225226605267812</v>
      </c>
      <c r="S1581" t="s">
        <v>139</v>
      </c>
      <c r="T1581">
        <v>0.28269150959238143</v>
      </c>
      <c r="U1581" t="s">
        <v>90</v>
      </c>
      <c r="V1581">
        <v>0</v>
      </c>
      <c r="W1581" t="s">
        <v>90</v>
      </c>
      <c r="X1581">
        <v>0</v>
      </c>
      <c r="Y1581">
        <v>2.7797998443250842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1556</v>
      </c>
      <c r="AF1581">
        <v>34</v>
      </c>
      <c r="AG1581">
        <v>85</v>
      </c>
      <c r="AI1581">
        <v>1.13</v>
      </c>
      <c r="AK1581" t="s">
        <v>501</v>
      </c>
      <c r="AL1581" t="s">
        <v>6305</v>
      </c>
      <c r="AM1581">
        <v>400000</v>
      </c>
      <c r="AN1581" t="s">
        <v>76</v>
      </c>
      <c r="AO1581">
        <v>2</v>
      </c>
      <c r="AP1581">
        <v>0</v>
      </c>
      <c r="AQ1581">
        <v>33333.333333333336</v>
      </c>
      <c r="AR1581" t="s">
        <v>6306</v>
      </c>
      <c r="AS1581" t="s">
        <v>78</v>
      </c>
      <c r="AX1581" t="s">
        <v>79</v>
      </c>
      <c r="AY1581" t="s">
        <v>137</v>
      </c>
      <c r="AZ1581">
        <v>0</v>
      </c>
      <c r="BA1581" t="s">
        <v>137</v>
      </c>
      <c r="BB1581">
        <v>0</v>
      </c>
      <c r="BE1581">
        <v>0</v>
      </c>
    </row>
    <row r="1582" spans="1:58" ht="12.75">
      <c r="A1582" s="2" t="str">
        <f>HYPERLINK("https://ibp.a2mac1.com/costing(costing:projects/details/8191/part/5388626)","Sun Roof")</f>
        <v>Sun Roof</v>
      </c>
      <c r="B1582">
        <v>5388626</v>
      </c>
      <c r="C1582">
        <v>5388288</v>
      </c>
      <c r="E1582">
        <v>4.680549709322368</v>
      </c>
      <c r="F1582">
        <v>0</v>
      </c>
      <c r="G1582">
        <v>0</v>
      </c>
      <c r="H1582">
        <v>0.023721462825789474</v>
      </c>
      <c r="I1582" t="s">
        <v>137</v>
      </c>
      <c r="J1582">
        <v>0.16408126460526315</v>
      </c>
      <c r="K1582">
        <v>4.8683524367534208</v>
      </c>
      <c r="L1582">
        <v>0.17154833125252494</v>
      </c>
      <c r="M1582">
        <v>1.0292899875151498</v>
      </c>
      <c r="N1582">
        <v>5.8976424242685708</v>
      </c>
      <c r="O1582" t="s">
        <v>90</v>
      </c>
      <c r="P1582">
        <v>0</v>
      </c>
      <c r="Q1582" t="s">
        <v>90</v>
      </c>
      <c r="R1582">
        <v>0</v>
      </c>
      <c r="S1582" t="s">
        <v>90</v>
      </c>
      <c r="T1582">
        <v>0</v>
      </c>
      <c r="U1582" t="s">
        <v>90</v>
      </c>
      <c r="V1582">
        <v>0</v>
      </c>
      <c r="W1582" t="s">
        <v>90</v>
      </c>
      <c r="X1582">
        <v>0</v>
      </c>
      <c r="Y1582">
        <v>5.8976424242685708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80</v>
      </c>
      <c r="AF1582">
        <v>945</v>
      </c>
      <c r="AG1582">
        <v>1592</v>
      </c>
      <c r="AI1582">
        <v>4.0830000000000002</v>
      </c>
      <c r="AK1582" t="s">
        <v>6175</v>
      </c>
      <c r="AL1582" t="s">
        <v>6314</v>
      </c>
      <c r="AM1582">
        <v>200000</v>
      </c>
      <c r="AN1582" t="s">
        <v>92</v>
      </c>
      <c r="AO1582">
        <v>1</v>
      </c>
      <c r="AP1582">
        <v>0</v>
      </c>
      <c r="AQ1582">
        <v>16666.666666666668</v>
      </c>
      <c r="AR1582" t="s">
        <v>6315</v>
      </c>
      <c r="AS1582" t="s">
        <v>78</v>
      </c>
      <c r="AX1582" t="s">
        <v>79</v>
      </c>
      <c r="AY1582" t="s">
        <v>137</v>
      </c>
      <c r="AZ1582">
        <v>0</v>
      </c>
      <c r="BA1582" t="s">
        <v>137</v>
      </c>
      <c r="BB1582">
        <v>0</v>
      </c>
      <c r="BE1582">
        <v>0</v>
      </c>
    </row>
    <row r="1583" spans="1:58" ht="12.75">
      <c r="A1583" s="2" t="str">
        <f>HYPERLINK("https://ibp.a2mac1.com/costing(costing:projects/details/8191/part/5388627)","Rear")</f>
        <v>Rear</v>
      </c>
      <c r="B1583">
        <v>5388627</v>
      </c>
      <c r="C1583">
        <v>5388289</v>
      </c>
      <c r="E1583">
        <v>0.31939897499999997</v>
      </c>
      <c r="F1583">
        <v>0</v>
      </c>
      <c r="G1583">
        <v>0</v>
      </c>
      <c r="H1583">
        <v>0.001610603352631579</v>
      </c>
      <c r="I1583" t="s">
        <v>137</v>
      </c>
      <c r="J1583">
        <v>0.011206981578947369</v>
      </c>
      <c r="K1583">
        <v>0.33221655993157895</v>
      </c>
      <c r="L1583">
        <v>0.010975302001895344</v>
      </c>
      <c r="M1583">
        <v>0.065851812011372066</v>
      </c>
      <c r="N1583">
        <v>0.39806837194295103</v>
      </c>
      <c r="O1583" t="s">
        <v>138</v>
      </c>
      <c r="P1583">
        <v>0.019932993595894736</v>
      </c>
      <c r="Q1583" t="s">
        <v>138</v>
      </c>
      <c r="R1583">
        <v>0.0039511087206823238</v>
      </c>
      <c r="S1583" t="s">
        <v>139</v>
      </c>
      <c r="T1583">
        <v>0.047768204633154121</v>
      </c>
      <c r="U1583" t="s">
        <v>216</v>
      </c>
      <c r="V1583">
        <v>0.0019903418597147552</v>
      </c>
      <c r="W1583" t="s">
        <v>217</v>
      </c>
      <c r="X1583">
        <v>0.0079613674388590207</v>
      </c>
      <c r="Y1583">
        <v>0.47967238819125596</v>
      </c>
      <c r="Z1583">
        <v>0</v>
      </c>
      <c r="AA1583">
        <v>0</v>
      </c>
      <c r="AB1583">
        <v>0</v>
      </c>
      <c r="AC1583">
        <v>0</v>
      </c>
      <c r="AD1583">
        <v>0</v>
      </c>
      <c r="AI1583">
        <v>0.11849999999999999</v>
      </c>
      <c r="AK1583" t="s">
        <v>218</v>
      </c>
      <c r="AL1583" t="s">
        <v>6322</v>
      </c>
      <c r="AM1583">
        <v>400000</v>
      </c>
      <c r="AN1583" t="s">
        <v>76</v>
      </c>
      <c r="AO1583">
        <v>2</v>
      </c>
      <c r="AP1583">
        <v>0</v>
      </c>
      <c r="AQ1583">
        <v>33333.333333333336</v>
      </c>
      <c r="AR1583" t="s">
        <v>6323</v>
      </c>
      <c r="AS1583" t="s">
        <v>78</v>
      </c>
      <c r="AX1583" t="s">
        <v>79</v>
      </c>
      <c r="AY1583" t="s">
        <v>137</v>
      </c>
      <c r="AZ1583">
        <v>0</v>
      </c>
      <c r="BA1583" t="s">
        <v>137</v>
      </c>
      <c r="BB1583">
        <v>0</v>
      </c>
      <c r="BE1583">
        <v>0</v>
      </c>
    </row>
    <row r="1584" spans="1:58" ht="12.75">
      <c r="A1584" s="2" t="str">
        <f>HYPERLINK("https://ibp.a2mac1.com/costing(costing:projects/details/8191/part/5388628)","Water Drainage Outlet")</f>
        <v>Water Drainage Outlet</v>
      </c>
      <c r="B1584">
        <v>5388628</v>
      </c>
      <c r="C1584">
        <v>5388289</v>
      </c>
      <c r="E1584">
        <v>0.0015929234999999999</v>
      </c>
      <c r="F1584">
        <v>0</v>
      </c>
      <c r="G1584">
        <v>0</v>
      </c>
      <c r="H1584">
        <v>8.0324864210526308E-06</v>
      </c>
      <c r="I1584" t="s">
        <v>137</v>
      </c>
      <c r="J1584">
        <v>5.5892052631578945E-05</v>
      </c>
      <c r="K1584">
        <v>0.0016568480390526316</v>
      </c>
      <c r="L1584">
        <v>6.9453583359714674E-05</v>
      </c>
      <c r="M1584">
        <v>0.00041672150015828805</v>
      </c>
      <c r="N1584">
        <v>0.0020735695392109198</v>
      </c>
      <c r="O1584" t="s">
        <v>138</v>
      </c>
      <c r="P1584">
        <v>9.94108823431579E-05</v>
      </c>
      <c r="Q1584" t="s">
        <v>138</v>
      </c>
      <c r="R1584">
        <v>2.500329000949728E-05</v>
      </c>
      <c r="S1584" t="s">
        <v>139</v>
      </c>
      <c r="T1584">
        <v>0.00024882834470531034</v>
      </c>
      <c r="U1584" t="s">
        <v>216</v>
      </c>
      <c r="V1584">
        <v>1.0367847696054597E-05</v>
      </c>
      <c r="W1584" t="s">
        <v>217</v>
      </c>
      <c r="X1584">
        <v>4.147139078421839E-05</v>
      </c>
      <c r="Y1584">
        <v>0.002498651294749158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13</v>
      </c>
      <c r="AF1584">
        <v>36</v>
      </c>
      <c r="AG1584">
        <v>20</v>
      </c>
      <c r="AI1584">
        <v>0.0015</v>
      </c>
      <c r="AK1584" t="s">
        <v>218</v>
      </c>
      <c r="AL1584" t="s">
        <v>5540</v>
      </c>
      <c r="AM1584">
        <v>400000</v>
      </c>
      <c r="AN1584" t="s">
        <v>76</v>
      </c>
      <c r="AO1584">
        <v>2</v>
      </c>
      <c r="AP1584">
        <v>0</v>
      </c>
      <c r="AQ1584">
        <v>33333.333333333336</v>
      </c>
      <c r="AR1584" t="s">
        <v>6328</v>
      </c>
      <c r="AS1584" t="s">
        <v>78</v>
      </c>
      <c r="AX1584" t="s">
        <v>79</v>
      </c>
      <c r="AY1584" t="s">
        <v>137</v>
      </c>
      <c r="AZ1584">
        <v>0</v>
      </c>
      <c r="BA1584" t="s">
        <v>137</v>
      </c>
      <c r="BB1584">
        <v>0</v>
      </c>
      <c r="BE1584">
        <v>0</v>
      </c>
    </row>
    <row r="1585" spans="1:58" ht="12.75">
      <c r="A1585" s="2" t="str">
        <f>HYPERLINK("https://ibp.a2mac1.com/costing(costing:projects/details/8191/part/5388290)","Left")</f>
        <v>Left</v>
      </c>
      <c r="B1585">
        <v>5388290</v>
      </c>
      <c r="C1585">
        <v>5388154</v>
      </c>
      <c r="E1585">
        <v>0.41722517064046216</v>
      </c>
      <c r="F1585">
        <v>0</v>
      </c>
      <c r="G1585">
        <v>0</v>
      </c>
      <c r="H1585">
        <v>0.00043434000440640072</v>
      </c>
      <c r="I1585" t="s">
        <v>137</v>
      </c>
      <c r="J1585">
        <v>0.014617211686753871</v>
      </c>
      <c r="K1585">
        <v>0.43227672233162245</v>
      </c>
      <c r="L1585">
        <v>0.015381657845454236</v>
      </c>
      <c r="M1585">
        <v>0.09228994707272542</v>
      </c>
      <c r="N1585">
        <v>0.52456666940434782</v>
      </c>
      <c r="O1585" t="s">
        <v>138</v>
      </c>
      <c r="P1585">
        <v>0.025936603339897349</v>
      </c>
      <c r="Q1585" t="s">
        <v>138</v>
      </c>
      <c r="R1585">
        <v>0.0055373968243635245</v>
      </c>
      <c r="S1585" t="s">
        <v>139</v>
      </c>
      <c r="T1585">
        <v>0.062948000328521742</v>
      </c>
      <c r="U1585" t="s">
        <v>90</v>
      </c>
      <c r="V1585">
        <v>0</v>
      </c>
      <c r="W1585" t="s">
        <v>90</v>
      </c>
      <c r="X1585">
        <v>0</v>
      </c>
      <c r="Y1585">
        <v>0.61898866989713053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103</v>
      </c>
      <c r="AF1585">
        <v>391</v>
      </c>
      <c r="AG1585">
        <v>69</v>
      </c>
      <c r="AI1585">
        <v>0.193</v>
      </c>
      <c r="AJ1585" t="s">
        <v>685</v>
      </c>
      <c r="AK1585" t="s">
        <v>501</v>
      </c>
      <c r="AL1585" t="s">
        <v>1261</v>
      </c>
      <c r="AM1585">
        <v>200000</v>
      </c>
      <c r="AN1585" t="s">
        <v>76</v>
      </c>
      <c r="AO1585">
        <v>1</v>
      </c>
      <c r="AP1585">
        <v>0</v>
      </c>
      <c r="AQ1585">
        <v>16666.666666666668</v>
      </c>
      <c r="AR1585" t="s">
        <v>6336</v>
      </c>
      <c r="AS1585" t="s">
        <v>78</v>
      </c>
      <c r="AX1585" t="s">
        <v>79</v>
      </c>
      <c r="AY1585" t="s">
        <v>137</v>
      </c>
      <c r="AZ1585">
        <v>0</v>
      </c>
      <c r="BA1585" t="s">
        <v>137</v>
      </c>
      <c r="BB1585">
        <v>0</v>
      </c>
      <c r="BE1585">
        <v>0</v>
      </c>
    </row>
    <row r="1586" spans="1:58" ht="12.75">
      <c r="A1586" s="2" t="str">
        <f>HYPERLINK("https://ibp.a2mac1.com/costing(costing:projects/details/8191/part/5388291)","2nd Left")</f>
        <v>2nd Left</v>
      </c>
      <c r="B1586">
        <v>5388291</v>
      </c>
      <c r="C1586">
        <v>5388154</v>
      </c>
      <c r="E1586">
        <v>0.53684051399999999</v>
      </c>
      <c r="F1586">
        <v>0</v>
      </c>
      <c r="G1586">
        <v>0</v>
      </c>
      <c r="H1586">
        <v>0.0027232210534736843</v>
      </c>
      <c r="I1586" t="s">
        <v>137</v>
      </c>
      <c r="J1586">
        <v>0.018836509263157896</v>
      </c>
      <c r="K1586">
        <v>0.5584002443166316</v>
      </c>
      <c r="L1586">
        <v>0.0028445256836364678</v>
      </c>
      <c r="M1586">
        <v>0.017067154101818808</v>
      </c>
      <c r="N1586">
        <v>0.5754673984184504</v>
      </c>
      <c r="O1586" t="s">
        <v>138</v>
      </c>
      <c r="P1586">
        <v>0.033504014658997897</v>
      </c>
      <c r="Q1586" t="s">
        <v>138</v>
      </c>
      <c r="R1586">
        <v>0.0010240292461091284</v>
      </c>
      <c r="S1586" t="s">
        <v>139</v>
      </c>
      <c r="T1586">
        <v>0.069056087810214051</v>
      </c>
      <c r="U1586" t="s">
        <v>90</v>
      </c>
      <c r="V1586">
        <v>0</v>
      </c>
      <c r="W1586" t="s">
        <v>90</v>
      </c>
      <c r="X1586">
        <v>0</v>
      </c>
      <c r="Y1586">
        <v>0.67905153013377151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312</v>
      </c>
      <c r="AF1586">
        <v>210</v>
      </c>
      <c r="AG1586">
        <v>139</v>
      </c>
      <c r="AI1586">
        <v>0.24099999999999999</v>
      </c>
      <c r="AJ1586" t="s">
        <v>685</v>
      </c>
      <c r="AK1586" t="s">
        <v>501</v>
      </c>
      <c r="AL1586" t="s">
        <v>1261</v>
      </c>
      <c r="AM1586">
        <v>200000</v>
      </c>
      <c r="AN1586" t="s">
        <v>76</v>
      </c>
      <c r="AO1586">
        <v>1</v>
      </c>
      <c r="AP1586">
        <v>0</v>
      </c>
      <c r="AQ1586">
        <v>16666.666666666668</v>
      </c>
      <c r="AR1586" t="s">
        <v>6342</v>
      </c>
      <c r="AS1586" t="s">
        <v>78</v>
      </c>
      <c r="AX1586" t="s">
        <v>79</v>
      </c>
      <c r="AY1586" t="s">
        <v>137</v>
      </c>
      <c r="AZ1586">
        <v>0</v>
      </c>
      <c r="BA1586" t="s">
        <v>137</v>
      </c>
      <c r="BB1586">
        <v>0</v>
      </c>
      <c r="BE1586">
        <v>0</v>
      </c>
    </row>
    <row r="1587" spans="1:58" ht="12.75">
      <c r="A1587" s="2" t="str">
        <f>HYPERLINK("https://ibp.a2mac1.com/costing(costing:projects/details/8191/part/5389715)","Part 01 single/main")</f>
        <v>Part 01 single/main</v>
      </c>
      <c r="B1587">
        <v>5389715</v>
      </c>
      <c r="C1587">
        <v>5389437</v>
      </c>
      <c r="E1587">
        <v>0.77743775555555561</v>
      </c>
      <c r="F1587">
        <v>0</v>
      </c>
      <c r="G1587">
        <v>0</v>
      </c>
      <c r="H1587">
        <v>0.00011220751111111111</v>
      </c>
      <c r="I1587" t="s">
        <v>137</v>
      </c>
      <c r="J1587">
        <v>0.028051877777777779</v>
      </c>
      <c r="K1587">
        <v>0.80560184084444442</v>
      </c>
      <c r="L1587">
        <v>0.011196873006247164</v>
      </c>
      <c r="M1587">
        <v>0.067181238037482979</v>
      </c>
      <c r="N1587">
        <v>0.87278307888192741</v>
      </c>
      <c r="O1587" t="s">
        <v>138</v>
      </c>
      <c r="P1587">
        <v>0.048336110450666665</v>
      </c>
      <c r="Q1587" t="s">
        <v>138</v>
      </c>
      <c r="R1587">
        <v>0.0040308742822489788</v>
      </c>
      <c r="S1587" t="s">
        <v>139</v>
      </c>
      <c r="T1587">
        <v>0.10473396946583129</v>
      </c>
      <c r="U1587" t="s">
        <v>90</v>
      </c>
      <c r="V1587">
        <v>0</v>
      </c>
      <c r="W1587" t="s">
        <v>90</v>
      </c>
      <c r="X1587">
        <v>0</v>
      </c>
      <c r="Y1587">
        <v>1.0298840330806744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K1587" t="s">
        <v>6355</v>
      </c>
      <c r="AM1587">
        <v>200000</v>
      </c>
      <c r="AN1587" t="s">
        <v>76</v>
      </c>
      <c r="AO1587">
        <v>1</v>
      </c>
      <c r="AP1587">
        <v>0</v>
      </c>
      <c r="AQ1587">
        <v>16666.666666666668</v>
      </c>
      <c r="AR1587" t="s">
        <v>9</v>
      </c>
      <c r="AS1587" t="s">
        <v>78</v>
      </c>
      <c r="AW1587">
        <v>0</v>
      </c>
      <c r="AX1587" t="s">
        <v>79</v>
      </c>
      <c r="AY1587" t="s">
        <v>137</v>
      </c>
      <c r="AZ1587">
        <v>0</v>
      </c>
      <c r="BA1587" t="s">
        <v>137</v>
      </c>
      <c r="BB1587">
        <v>0</v>
      </c>
      <c r="BE1587">
        <v>0</v>
      </c>
    </row>
    <row r="1588" spans="1:58" ht="12.75">
      <c r="A1588" s="2" t="str">
        <f>HYPERLINK("https://ibp.a2mac1.com/costing(costing:projects/details/8191/part/5389716)","Part 02")</f>
        <v>Part 02</v>
      </c>
      <c r="B1588">
        <v>5389716</v>
      </c>
      <c r="C1588">
        <v>5389437</v>
      </c>
      <c r="E1588">
        <v>0.73790702222222226</v>
      </c>
      <c r="F1588">
        <v>0</v>
      </c>
      <c r="G1588">
        <v>0</v>
      </c>
      <c r="H1588">
        <v>0.00010650204444444444</v>
      </c>
      <c r="I1588" t="s">
        <v>137</v>
      </c>
      <c r="J1588">
        <v>0.026625511111111111</v>
      </c>
      <c r="K1588">
        <v>0.76463903537777778</v>
      </c>
      <c r="L1588">
        <v>0.014302988239190483</v>
      </c>
      <c r="M1588">
        <v>0.085817929435142895</v>
      </c>
      <c r="N1588">
        <v>0.85045696481292066</v>
      </c>
      <c r="O1588" t="s">
        <v>138</v>
      </c>
      <c r="P1588">
        <v>0.045878342122666664</v>
      </c>
      <c r="Q1588" t="s">
        <v>138</v>
      </c>
      <c r="R1588">
        <v>0.0051490757661085736</v>
      </c>
      <c r="S1588" t="s">
        <v>139</v>
      </c>
      <c r="T1588">
        <v>0.10205483577755048</v>
      </c>
      <c r="U1588" t="s">
        <v>90</v>
      </c>
      <c r="V1588">
        <v>0</v>
      </c>
      <c r="W1588" t="s">
        <v>90</v>
      </c>
      <c r="X1588">
        <v>0</v>
      </c>
      <c r="Y1588">
        <v>1.0035392184792464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K1588" t="s">
        <v>6355</v>
      </c>
      <c r="AM1588">
        <v>200000</v>
      </c>
      <c r="AN1588" t="s">
        <v>76</v>
      </c>
      <c r="AO1588">
        <v>1</v>
      </c>
      <c r="AP1588">
        <v>0</v>
      </c>
      <c r="AQ1588">
        <v>16666.666666666668</v>
      </c>
      <c r="AR1588" t="s">
        <v>9</v>
      </c>
      <c r="AS1588" t="s">
        <v>78</v>
      </c>
      <c r="AW1588">
        <v>0</v>
      </c>
      <c r="AX1588" t="s">
        <v>79</v>
      </c>
      <c r="AY1588" t="s">
        <v>137</v>
      </c>
      <c r="AZ1588">
        <v>0</v>
      </c>
      <c r="BA1588" t="s">
        <v>137</v>
      </c>
      <c r="BB1588">
        <v>0</v>
      </c>
      <c r="BE1588">
        <v>0</v>
      </c>
    </row>
    <row r="1589" spans="1:58" ht="12.75">
      <c r="A1589" s="2" t="str">
        <f>HYPERLINK("https://ibp.a2mac1.com/costing(costing:projects/details/8191/part/5389717)","Part 01 single/main")</f>
        <v>Part 01 single/main</v>
      </c>
      <c r="B1589">
        <v>5389717</v>
      </c>
      <c r="C1589">
        <v>5389438</v>
      </c>
      <c r="E1589">
        <v>0.31665339999999997</v>
      </c>
      <c r="F1589">
        <v>0</v>
      </c>
      <c r="G1589">
        <v>0</v>
      </c>
      <c r="H1589">
        <v>3.7656079999999999E-05</v>
      </c>
      <c r="I1589" t="s">
        <v>137</v>
      </c>
      <c r="J1589">
        <v>0.011981479999999999</v>
      </c>
      <c r="K1589">
        <v>0.32867253608000002</v>
      </c>
      <c r="L1589">
        <v>0.012017019305024818</v>
      </c>
      <c r="M1589">
        <v>0.072102115830148902</v>
      </c>
      <c r="N1589">
        <v>0.40077465191014888</v>
      </c>
      <c r="O1589" t="s">
        <v>138</v>
      </c>
      <c r="P1589">
        <v>0.0197203521648</v>
      </c>
      <c r="Q1589" t="s">
        <v>138</v>
      </c>
      <c r="R1589">
        <v>0.0043261269498089342</v>
      </c>
      <c r="S1589" t="s">
        <v>139</v>
      </c>
      <c r="T1589">
        <v>0.048092958229217872</v>
      </c>
      <c r="U1589" t="s">
        <v>90</v>
      </c>
      <c r="V1589">
        <v>0</v>
      </c>
      <c r="W1589" t="s">
        <v>90</v>
      </c>
      <c r="X1589">
        <v>0</v>
      </c>
      <c r="Y1589">
        <v>0.47291408925397571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K1589" t="s">
        <v>6355</v>
      </c>
      <c r="AM1589">
        <v>400000</v>
      </c>
      <c r="AN1589" t="s">
        <v>76</v>
      </c>
      <c r="AO1589">
        <v>2</v>
      </c>
      <c r="AP1589">
        <v>0</v>
      </c>
      <c r="AQ1589">
        <v>33333.333333333336</v>
      </c>
      <c r="AR1589" t="s">
        <v>9</v>
      </c>
      <c r="AS1589" t="s">
        <v>78</v>
      </c>
      <c r="AW1589">
        <v>0</v>
      </c>
      <c r="AX1589" t="s">
        <v>79</v>
      </c>
      <c r="AY1589" t="s">
        <v>137</v>
      </c>
      <c r="AZ1589">
        <v>0</v>
      </c>
      <c r="BA1589" t="s">
        <v>137</v>
      </c>
      <c r="BB1589">
        <v>0</v>
      </c>
      <c r="BE1589">
        <v>0</v>
      </c>
    </row>
    <row r="1590" spans="1:58" ht="12.75">
      <c r="A1590" s="2" t="str">
        <f>HYPERLINK("https://ibp.a2mac1.com/costing(costing:projects/details/8191/part/5389718)","Part 01 single/main")</f>
        <v>Part 01 single/main</v>
      </c>
      <c r="B1590">
        <v>5389718</v>
      </c>
      <c r="C1590">
        <v>5389439</v>
      </c>
      <c r="E1590">
        <v>1.13487845</v>
      </c>
      <c r="F1590">
        <v>0</v>
      </c>
      <c r="G1590">
        <v>0</v>
      </c>
      <c r="H1590">
        <v>0.00016902445</v>
      </c>
      <c r="I1590" t="s">
        <v>137</v>
      </c>
      <c r="J1590">
        <v>0.042256112499999998</v>
      </c>
      <c r="K1590">
        <v>1.1773035869499999</v>
      </c>
      <c r="L1590">
        <v>0.011196873006247164</v>
      </c>
      <c r="M1590">
        <v>0.067181238037482979</v>
      </c>
      <c r="N1590">
        <v>1.2444848249874829</v>
      </c>
      <c r="O1590" t="s">
        <v>138</v>
      </c>
      <c r="P1590">
        <v>0.070638215217000005</v>
      </c>
      <c r="Q1590" t="s">
        <v>138</v>
      </c>
      <c r="R1590">
        <v>0.0040308742822489788</v>
      </c>
      <c r="S1590" t="s">
        <v>139</v>
      </c>
      <c r="T1590">
        <v>0.14933817899849797</v>
      </c>
      <c r="U1590" t="s">
        <v>90</v>
      </c>
      <c r="V1590">
        <v>0</v>
      </c>
      <c r="W1590" t="s">
        <v>90</v>
      </c>
      <c r="X1590">
        <v>0</v>
      </c>
      <c r="Y1590">
        <v>1.4684920934852299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K1590" t="s">
        <v>6355</v>
      </c>
      <c r="AM1590">
        <v>200000</v>
      </c>
      <c r="AN1590" t="s">
        <v>76</v>
      </c>
      <c r="AO1590">
        <v>1</v>
      </c>
      <c r="AP1590">
        <v>0</v>
      </c>
      <c r="AQ1590">
        <v>16666.666666666668</v>
      </c>
      <c r="AR1590" t="s">
        <v>9</v>
      </c>
      <c r="AS1590" t="s">
        <v>78</v>
      </c>
      <c r="AW1590">
        <v>0</v>
      </c>
      <c r="AX1590" t="s">
        <v>79</v>
      </c>
      <c r="AY1590" t="s">
        <v>137</v>
      </c>
      <c r="AZ1590">
        <v>0</v>
      </c>
      <c r="BA1590" t="s">
        <v>137</v>
      </c>
      <c r="BB1590">
        <v>0</v>
      </c>
      <c r="BE1590">
        <v>0</v>
      </c>
    </row>
    <row r="1591" spans="1:58" ht="12.75">
      <c r="A1591" s="2" t="str">
        <f>HYPERLINK("https://ibp.a2mac1.com/costing(costing:projects/details/8191/part/5389979)","Part 01 single/main")</f>
        <v>Part 01 single/main</v>
      </c>
      <c r="B1591">
        <v>5389979</v>
      </c>
      <c r="C1591">
        <v>5389719</v>
      </c>
      <c r="E1591">
        <v>0.43483806666666669</v>
      </c>
      <c r="F1591">
        <v>0</v>
      </c>
      <c r="G1591">
        <v>0</v>
      </c>
      <c r="H1591">
        <v>6.2760133333333336E-05</v>
      </c>
      <c r="I1591" t="s">
        <v>137</v>
      </c>
      <c r="J1591">
        <v>0.015690033333333332</v>
      </c>
      <c r="K1591">
        <v>0.45059086013333333</v>
      </c>
      <c r="L1591">
        <v>0.011196873006247164</v>
      </c>
      <c r="M1591">
        <v>0.067181238037482979</v>
      </c>
      <c r="N1591">
        <v>0.51777209817081626</v>
      </c>
      <c r="O1591" t="s">
        <v>138</v>
      </c>
      <c r="P1591">
        <v>0.027035451608</v>
      </c>
      <c r="Q1591" t="s">
        <v>138</v>
      </c>
      <c r="R1591">
        <v>0.0040308742822489788</v>
      </c>
      <c r="S1591" t="s">
        <v>139</v>
      </c>
      <c r="T1591">
        <v>0.062132651780497955</v>
      </c>
      <c r="U1591" t="s">
        <v>90</v>
      </c>
      <c r="V1591">
        <v>0</v>
      </c>
      <c r="W1591" t="s">
        <v>90</v>
      </c>
      <c r="X1591">
        <v>0</v>
      </c>
      <c r="Y1591">
        <v>0.61097107584156329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K1591" t="s">
        <v>6355</v>
      </c>
      <c r="AM1591">
        <v>200000</v>
      </c>
      <c r="AN1591" t="s">
        <v>76</v>
      </c>
      <c r="AO1591">
        <v>1</v>
      </c>
      <c r="AP1591">
        <v>0</v>
      </c>
      <c r="AQ1591">
        <v>16666.666666666668</v>
      </c>
      <c r="AR1591" t="s">
        <v>9</v>
      </c>
      <c r="AS1591" t="s">
        <v>78</v>
      </c>
      <c r="AW1591">
        <v>0</v>
      </c>
      <c r="AX1591" t="s">
        <v>79</v>
      </c>
      <c r="AY1591" t="s">
        <v>137</v>
      </c>
      <c r="AZ1591">
        <v>0</v>
      </c>
      <c r="BA1591" t="s">
        <v>137</v>
      </c>
      <c r="BB1591">
        <v>0</v>
      </c>
      <c r="BE1591">
        <v>0</v>
      </c>
    </row>
    <row r="1592" spans="1:58" ht="12.75">
      <c r="A1592" s="2" t="str">
        <f>HYPERLINK("https://ibp.a2mac1.com/costing(costing:projects/details/8191/part/5389441)","Part 01 main/front")</f>
        <v>Part 01 main/front</v>
      </c>
      <c r="B1592">
        <v>5389441</v>
      </c>
      <c r="C1592">
        <v>5389239</v>
      </c>
      <c r="E1592">
        <v>3.2322487500000001</v>
      </c>
      <c r="F1592">
        <v>0</v>
      </c>
      <c r="G1592">
        <v>0</v>
      </c>
      <c r="H1592">
        <v>0.00048139875</v>
      </c>
      <c r="I1592" t="s">
        <v>137</v>
      </c>
      <c r="J1592">
        <v>0.1203496875</v>
      </c>
      <c r="K1592">
        <v>3.3530798362500001</v>
      </c>
      <c r="L1592">
        <v>0.039486409451175458</v>
      </c>
      <c r="M1592">
        <v>0.23691845670705275</v>
      </c>
      <c r="N1592">
        <v>3.5899982929570529</v>
      </c>
      <c r="O1592" t="s">
        <v>90</v>
      </c>
      <c r="P1592">
        <v>0</v>
      </c>
      <c r="Q1592" t="s">
        <v>90</v>
      </c>
      <c r="R1592">
        <v>0</v>
      </c>
      <c r="S1592" t="s">
        <v>90</v>
      </c>
      <c r="T1592">
        <v>0</v>
      </c>
      <c r="U1592" t="s">
        <v>90</v>
      </c>
      <c r="V1592">
        <v>0</v>
      </c>
      <c r="W1592" t="s">
        <v>90</v>
      </c>
      <c r="X1592">
        <v>0</v>
      </c>
      <c r="Y1592">
        <v>3.5899982929570529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K1592" t="s">
        <v>6381</v>
      </c>
      <c r="AM1592">
        <v>200000</v>
      </c>
      <c r="AN1592" t="s">
        <v>92</v>
      </c>
      <c r="AO1592">
        <v>1</v>
      </c>
      <c r="AP1592">
        <v>0</v>
      </c>
      <c r="AQ1592">
        <v>16666.666666666668</v>
      </c>
      <c r="AR1592" t="s">
        <v>9</v>
      </c>
      <c r="AS1592" t="s">
        <v>78</v>
      </c>
      <c r="AW1592">
        <v>0</v>
      </c>
      <c r="AX1592" t="s">
        <v>79</v>
      </c>
      <c r="AY1592" t="s">
        <v>137</v>
      </c>
      <c r="AZ1592">
        <v>0</v>
      </c>
      <c r="BA1592" t="s">
        <v>137</v>
      </c>
      <c r="BB1592">
        <v>0</v>
      </c>
      <c r="BE1592">
        <v>0</v>
      </c>
    </row>
    <row r="1593" spans="1:58" ht="12.75">
      <c r="A1593" s="2" t="str">
        <f>HYPERLINK("https://ibp.a2mac1.com/costing(costing:projects/details/8191/part/5389720)","Part 01 single/main")</f>
        <v>Part 01 single/main</v>
      </c>
      <c r="B1593">
        <v>5389720</v>
      </c>
      <c r="C1593">
        <v>5389442</v>
      </c>
      <c r="E1593">
        <v>1.271504</v>
      </c>
      <c r="F1593">
        <v>0</v>
      </c>
      <c r="G1593">
        <v>0</v>
      </c>
      <c r="H1593">
        <v>0.00015369828571428572</v>
      </c>
      <c r="I1593" t="s">
        <v>137</v>
      </c>
      <c r="J1593">
        <v>0.048904000000000003</v>
      </c>
      <c r="K1593">
        <v>1.3205616982857142</v>
      </c>
      <c r="L1593">
        <v>0.10205175159991546</v>
      </c>
      <c r="M1593">
        <v>0.61231050959949285</v>
      </c>
      <c r="N1593">
        <v>1.932872207885207</v>
      </c>
      <c r="O1593" t="s">
        <v>138</v>
      </c>
      <c r="P1593">
        <v>0.079233701897142864</v>
      </c>
      <c r="Q1593" t="s">
        <v>138</v>
      </c>
      <c r="R1593">
        <v>0.036738630575969565</v>
      </c>
      <c r="S1593" t="s">
        <v>139</v>
      </c>
      <c r="T1593">
        <v>0.23194466494622484</v>
      </c>
      <c r="U1593" t="s">
        <v>90</v>
      </c>
      <c r="V1593">
        <v>0</v>
      </c>
      <c r="W1593" t="s">
        <v>90</v>
      </c>
      <c r="X1593">
        <v>0</v>
      </c>
      <c r="Y1593">
        <v>2.2807892053045444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K1593" t="s">
        <v>6355</v>
      </c>
      <c r="AM1593">
        <v>400000</v>
      </c>
      <c r="AN1593" t="s">
        <v>76</v>
      </c>
      <c r="AO1593">
        <v>2</v>
      </c>
      <c r="AP1593">
        <v>0</v>
      </c>
      <c r="AQ1593">
        <v>33333.333333333336</v>
      </c>
      <c r="AR1593" t="s">
        <v>9</v>
      </c>
      <c r="AS1593" t="s">
        <v>78</v>
      </c>
      <c r="AW1593">
        <v>0</v>
      </c>
      <c r="AX1593" t="s">
        <v>79</v>
      </c>
      <c r="AY1593" t="s">
        <v>137</v>
      </c>
      <c r="AZ1593">
        <v>0</v>
      </c>
      <c r="BA1593" t="s">
        <v>137</v>
      </c>
      <c r="BB1593">
        <v>0</v>
      </c>
      <c r="BE1593">
        <v>0</v>
      </c>
    </row>
    <row r="1594" spans="1:58" ht="12.75">
      <c r="A1594" s="2" t="str">
        <f>HYPERLINK("https://ibp.a2mac1.com/costing(costing:projects/details/8191/part/5389443)","Part 01 single/main")</f>
        <v>Part 01 single/main</v>
      </c>
      <c r="B1594">
        <v>5389443</v>
      </c>
      <c r="C1594">
        <v>5389241</v>
      </c>
      <c r="E1594">
        <v>1.6435819333333332</v>
      </c>
      <c r="F1594">
        <v>0</v>
      </c>
      <c r="G1594">
        <v>0</v>
      </c>
      <c r="H1594">
        <v>0.00024875834666666669</v>
      </c>
      <c r="I1594" t="s">
        <v>137</v>
      </c>
      <c r="J1594">
        <v>0.062189586666666664</v>
      </c>
      <c r="K1594">
        <v>1.7060202783466667</v>
      </c>
      <c r="L1594">
        <v>0.014302988239190483</v>
      </c>
      <c r="M1594">
        <v>0.085817929435142895</v>
      </c>
      <c r="N1594">
        <v>1.7918382077818096</v>
      </c>
      <c r="O1594" t="s">
        <v>138</v>
      </c>
      <c r="P1594">
        <v>0.10236121670080001</v>
      </c>
      <c r="Q1594" t="s">
        <v>138</v>
      </c>
      <c r="R1594">
        <v>0.0051490757661085736</v>
      </c>
      <c r="S1594" t="s">
        <v>139</v>
      </c>
      <c r="T1594">
        <v>0.21502058493381715</v>
      </c>
      <c r="U1594" t="s">
        <v>90</v>
      </c>
      <c r="V1594">
        <v>0</v>
      </c>
      <c r="W1594" t="s">
        <v>90</v>
      </c>
      <c r="X1594">
        <v>0</v>
      </c>
      <c r="Y1594">
        <v>2.1143690851825352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K1594" t="s">
        <v>6355</v>
      </c>
      <c r="AM1594">
        <v>200000</v>
      </c>
      <c r="AN1594" t="s">
        <v>76</v>
      </c>
      <c r="AO1594">
        <v>1</v>
      </c>
      <c r="AP1594">
        <v>0</v>
      </c>
      <c r="AQ1594">
        <v>16666.666666666668</v>
      </c>
      <c r="AR1594" t="s">
        <v>9</v>
      </c>
      <c r="AS1594" t="s">
        <v>78</v>
      </c>
      <c r="AW1594">
        <v>0</v>
      </c>
      <c r="AX1594" t="s">
        <v>79</v>
      </c>
      <c r="AY1594" t="s">
        <v>137</v>
      </c>
      <c r="AZ1594">
        <v>0</v>
      </c>
      <c r="BA1594" t="s">
        <v>137</v>
      </c>
      <c r="BB1594">
        <v>0</v>
      </c>
      <c r="BE1594">
        <v>0</v>
      </c>
    </row>
    <row r="1595" spans="1:58" ht="12.75">
      <c r="A1595" s="2" t="str">
        <f>HYPERLINK("https://ibp.a2mac1.com/costing(costing:projects/details/8191/part/5389444)","Part 01 single/main")</f>
        <v>Part 01 single/main</v>
      </c>
      <c r="B1595">
        <v>5389444</v>
      </c>
      <c r="C1595">
        <v>5389242</v>
      </c>
      <c r="E1595">
        <v>0.57236489230769227</v>
      </c>
      <c r="F1595">
        <v>0</v>
      </c>
      <c r="G1595">
        <v>0</v>
      </c>
      <c r="H1595">
        <v>7.0346523076923078E-05</v>
      </c>
      <c r="I1595" t="s">
        <v>137</v>
      </c>
      <c r="J1595">
        <v>0.022382984615384616</v>
      </c>
      <c r="K1595">
        <v>0.59481822344615387</v>
      </c>
      <c r="L1595">
        <v>0.060128692034496077</v>
      </c>
      <c r="M1595">
        <v>0.36077215220697645</v>
      </c>
      <c r="N1595">
        <v>0.95559037565313032</v>
      </c>
      <c r="O1595" t="s">
        <v>138</v>
      </c>
      <c r="P1595">
        <v>0.035689093406769228</v>
      </c>
      <c r="Q1595" t="s">
        <v>138</v>
      </c>
      <c r="R1595">
        <v>0.021646329132418589</v>
      </c>
      <c r="S1595" t="s">
        <v>139</v>
      </c>
      <c r="T1595">
        <v>0.11467084507837563</v>
      </c>
      <c r="U1595" t="s">
        <v>90</v>
      </c>
      <c r="V1595">
        <v>0</v>
      </c>
      <c r="W1595" t="s">
        <v>90</v>
      </c>
      <c r="X1595">
        <v>0</v>
      </c>
      <c r="Y1595">
        <v>1.1275966432706939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K1595" t="s">
        <v>6355</v>
      </c>
      <c r="AM1595">
        <v>400000</v>
      </c>
      <c r="AN1595" t="s">
        <v>76</v>
      </c>
      <c r="AO1595">
        <v>2</v>
      </c>
      <c r="AP1595">
        <v>0</v>
      </c>
      <c r="AQ1595">
        <v>33333.333333333336</v>
      </c>
      <c r="AR1595" t="s">
        <v>9</v>
      </c>
      <c r="AS1595" t="s">
        <v>78</v>
      </c>
      <c r="AW1595">
        <v>0</v>
      </c>
      <c r="AX1595" t="s">
        <v>79</v>
      </c>
      <c r="AY1595" t="s">
        <v>137</v>
      </c>
      <c r="AZ1595">
        <v>0</v>
      </c>
      <c r="BA1595" t="s">
        <v>137</v>
      </c>
      <c r="BB1595">
        <v>0</v>
      </c>
      <c r="BE1595">
        <v>0</v>
      </c>
    </row>
    <row r="1596" spans="1:58" ht="12.75">
      <c r="A1596" s="2" t="str">
        <f>HYPERLINK("https://ibp.a2mac1.com/costing(costing:projects/details/8191/part/5389445)","Part 02")</f>
        <v>Part 02</v>
      </c>
      <c r="B1596">
        <v>5389445</v>
      </c>
      <c r="C1596">
        <v>5389242</v>
      </c>
      <c r="E1596">
        <v>0.36555739999999998</v>
      </c>
      <c r="F1596">
        <v>0</v>
      </c>
      <c r="G1596">
        <v>0</v>
      </c>
      <c r="H1596">
        <v>4.4188257142857142E-05</v>
      </c>
      <c r="I1596" t="s">
        <v>137</v>
      </c>
      <c r="J1596">
        <v>0.0140599</v>
      </c>
      <c r="K1596">
        <v>0.37966148825714285</v>
      </c>
      <c r="L1596">
        <v>0.012017019305024818</v>
      </c>
      <c r="M1596">
        <v>0.072102115830148902</v>
      </c>
      <c r="N1596">
        <v>0.45176360408729177</v>
      </c>
      <c r="O1596" t="s">
        <v>138</v>
      </c>
      <c r="P1596">
        <v>0.022779689295428573</v>
      </c>
      <c r="Q1596" t="s">
        <v>138</v>
      </c>
      <c r="R1596">
        <v>0.0043261269498089342</v>
      </c>
      <c r="S1596" t="s">
        <v>139</v>
      </c>
      <c r="T1596">
        <v>0.05421163249047501</v>
      </c>
      <c r="U1596" t="s">
        <v>90</v>
      </c>
      <c r="V1596">
        <v>0</v>
      </c>
      <c r="W1596" t="s">
        <v>90</v>
      </c>
      <c r="X1596">
        <v>0</v>
      </c>
      <c r="Y1596">
        <v>0.53308105282300433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K1596" t="s">
        <v>6355</v>
      </c>
      <c r="AM1596">
        <v>400000</v>
      </c>
      <c r="AN1596" t="s">
        <v>76</v>
      </c>
      <c r="AO1596">
        <v>2</v>
      </c>
      <c r="AP1596">
        <v>0</v>
      </c>
      <c r="AQ1596">
        <v>33333.333333333336</v>
      </c>
      <c r="AR1596" t="s">
        <v>9</v>
      </c>
      <c r="AS1596" t="s">
        <v>78</v>
      </c>
      <c r="AW1596">
        <v>0</v>
      </c>
      <c r="AX1596" t="s">
        <v>79</v>
      </c>
      <c r="AY1596" t="s">
        <v>137</v>
      </c>
      <c r="AZ1596">
        <v>0</v>
      </c>
      <c r="BA1596" t="s">
        <v>137</v>
      </c>
      <c r="BB1596">
        <v>0</v>
      </c>
      <c r="BE1596">
        <v>0</v>
      </c>
    </row>
    <row r="1597" spans="1:58" ht="12.75">
      <c r="A1597" s="2" t="str">
        <f>HYPERLINK("https://ibp.a2mac1.com/costing(costing:projects/details/8191/part/5389446)","Part 01 single/main")</f>
        <v>Part 01 single/main</v>
      </c>
      <c r="B1597">
        <v>5389446</v>
      </c>
      <c r="C1597">
        <v>5389243</v>
      </c>
      <c r="E1597">
        <v>0.22251319999999999</v>
      </c>
      <c r="F1597">
        <v>0</v>
      </c>
      <c r="G1597">
        <v>0</v>
      </c>
      <c r="H1597">
        <v>2.6897200000000001E-05</v>
      </c>
      <c r="I1597" t="s">
        <v>137</v>
      </c>
      <c r="J1597">
        <v>0.0085582000000000002</v>
      </c>
      <c r="K1597">
        <v>0.2310982972</v>
      </c>
      <c r="L1597">
        <v>0.012017019305024818</v>
      </c>
      <c r="M1597">
        <v>0.072102115830148902</v>
      </c>
      <c r="N1597">
        <v>0.30320041303014889</v>
      </c>
      <c r="O1597" t="s">
        <v>138</v>
      </c>
      <c r="P1597">
        <v>0.013865897832</v>
      </c>
      <c r="Q1597" t="s">
        <v>138</v>
      </c>
      <c r="R1597">
        <v>0.0043261269498089342</v>
      </c>
      <c r="S1597" t="s">
        <v>139</v>
      </c>
      <c r="T1597">
        <v>0.036384049563617869</v>
      </c>
      <c r="U1597" t="s">
        <v>90</v>
      </c>
      <c r="V1597">
        <v>0</v>
      </c>
      <c r="W1597" t="s">
        <v>90</v>
      </c>
      <c r="X1597">
        <v>0</v>
      </c>
      <c r="Y1597">
        <v>0.35777648737557571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K1597" t="s">
        <v>6355</v>
      </c>
      <c r="AM1597">
        <v>400000</v>
      </c>
      <c r="AN1597" t="s">
        <v>76</v>
      </c>
      <c r="AO1597">
        <v>2</v>
      </c>
      <c r="AP1597">
        <v>0</v>
      </c>
      <c r="AQ1597">
        <v>33333.333333333336</v>
      </c>
      <c r="AR1597" t="s">
        <v>9</v>
      </c>
      <c r="AS1597" t="s">
        <v>78</v>
      </c>
      <c r="AW1597">
        <v>0</v>
      </c>
      <c r="AX1597" t="s">
        <v>79</v>
      </c>
      <c r="AY1597" t="s">
        <v>137</v>
      </c>
      <c r="AZ1597">
        <v>0</v>
      </c>
      <c r="BA1597" t="s">
        <v>137</v>
      </c>
      <c r="BB1597">
        <v>0</v>
      </c>
      <c r="BE1597">
        <v>0</v>
      </c>
    </row>
    <row r="1598" spans="1:58" ht="12.75">
      <c r="A1598" s="2" t="str">
        <f>HYPERLINK("https://ibp.a2mac1.com/costing(costing:projects/details/8191/part/5389447)","Part 02")</f>
        <v>Part 02</v>
      </c>
      <c r="B1598">
        <v>5389447</v>
      </c>
      <c r="C1598">
        <v>5389243</v>
      </c>
      <c r="E1598">
        <v>0.079468999999999998</v>
      </c>
      <c r="F1598">
        <v>0</v>
      </c>
      <c r="G1598">
        <v>0</v>
      </c>
      <c r="H1598">
        <v>9.6061428571428574E-06</v>
      </c>
      <c r="I1598" t="s">
        <v>137</v>
      </c>
      <c r="J1598">
        <v>0.0030565000000000002</v>
      </c>
      <c r="K1598">
        <v>0.08253510614285714</v>
      </c>
      <c r="L1598">
        <v>0.0093102457262997304</v>
      </c>
      <c r="M1598">
        <v>0.055861474357798382</v>
      </c>
      <c r="N1598">
        <v>0.13839658050065554</v>
      </c>
      <c r="O1598" t="s">
        <v>138</v>
      </c>
      <c r="P1598">
        <v>0.004952106368571429</v>
      </c>
      <c r="Q1598" t="s">
        <v>138</v>
      </c>
      <c r="R1598">
        <v>0.0033516884614679028</v>
      </c>
      <c r="S1598" t="s">
        <v>139</v>
      </c>
      <c r="T1598">
        <v>0.016607589660078664</v>
      </c>
      <c r="U1598" t="s">
        <v>90</v>
      </c>
      <c r="V1598">
        <v>0</v>
      </c>
      <c r="W1598" t="s">
        <v>90</v>
      </c>
      <c r="X1598">
        <v>0</v>
      </c>
      <c r="Y1598">
        <v>0.16330796499077352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K1598" t="s">
        <v>6355</v>
      </c>
      <c r="AM1598">
        <v>400000</v>
      </c>
      <c r="AN1598" t="s">
        <v>76</v>
      </c>
      <c r="AO1598">
        <v>2</v>
      </c>
      <c r="AP1598">
        <v>0</v>
      </c>
      <c r="AQ1598">
        <v>33333.333333333336</v>
      </c>
      <c r="AR1598" t="s">
        <v>9</v>
      </c>
      <c r="AS1598" t="s">
        <v>78</v>
      </c>
      <c r="AW1598">
        <v>0</v>
      </c>
      <c r="AX1598" t="s">
        <v>79</v>
      </c>
      <c r="AY1598" t="s">
        <v>137</v>
      </c>
      <c r="AZ1598">
        <v>0</v>
      </c>
      <c r="BA1598" t="s">
        <v>137</v>
      </c>
      <c r="BB1598">
        <v>0</v>
      </c>
      <c r="BE1598">
        <v>0</v>
      </c>
    </row>
    <row r="1599" spans="1:58" ht="12.75">
      <c r="A1599" s="2" t="str">
        <f>HYPERLINK("https://ibp.a2mac1.com/costing(costing:projects/details/8191/part/5389448)","Part 03")</f>
        <v>Part 03</v>
      </c>
      <c r="B1599">
        <v>5389448</v>
      </c>
      <c r="C1599">
        <v>5389243</v>
      </c>
      <c r="E1599">
        <v>0.079468999999999998</v>
      </c>
      <c r="F1599">
        <v>0</v>
      </c>
      <c r="G1599">
        <v>0</v>
      </c>
      <c r="H1599">
        <v>9.6061428571428574E-06</v>
      </c>
      <c r="I1599" t="s">
        <v>137</v>
      </c>
      <c r="J1599">
        <v>0.0030565000000000002</v>
      </c>
      <c r="K1599">
        <v>0.08253510614285714</v>
      </c>
      <c r="L1599">
        <v>0.012017019305024818</v>
      </c>
      <c r="M1599">
        <v>0.072102115830148902</v>
      </c>
      <c r="N1599">
        <v>0.15463722197300606</v>
      </c>
      <c r="O1599" t="s">
        <v>138</v>
      </c>
      <c r="P1599">
        <v>0.004952106368571429</v>
      </c>
      <c r="Q1599" t="s">
        <v>138</v>
      </c>
      <c r="R1599">
        <v>0.0043261269498089342</v>
      </c>
      <c r="S1599" t="s">
        <v>139</v>
      </c>
      <c r="T1599">
        <v>0.018556466636760725</v>
      </c>
      <c r="U1599" t="s">
        <v>90</v>
      </c>
      <c r="V1599">
        <v>0</v>
      </c>
      <c r="W1599" t="s">
        <v>90</v>
      </c>
      <c r="X1599">
        <v>0</v>
      </c>
      <c r="Y1599">
        <v>0.18247192192814715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K1599" t="s">
        <v>6355</v>
      </c>
      <c r="AM1599">
        <v>400000</v>
      </c>
      <c r="AN1599" t="s">
        <v>76</v>
      </c>
      <c r="AO1599">
        <v>2</v>
      </c>
      <c r="AP1599">
        <v>0</v>
      </c>
      <c r="AQ1599">
        <v>33333.333333333336</v>
      </c>
      <c r="AR1599" t="s">
        <v>9</v>
      </c>
      <c r="AS1599" t="s">
        <v>78</v>
      </c>
      <c r="AW1599">
        <v>0</v>
      </c>
      <c r="AX1599" t="s">
        <v>79</v>
      </c>
      <c r="AY1599" t="s">
        <v>137</v>
      </c>
      <c r="AZ1599">
        <v>0</v>
      </c>
      <c r="BA1599" t="s">
        <v>137</v>
      </c>
      <c r="BB1599">
        <v>0</v>
      </c>
      <c r="BE1599">
        <v>0</v>
      </c>
    </row>
    <row r="1600" spans="1:58" ht="12.75">
      <c r="A1600" s="2" t="str">
        <f>HYPERLINK("https://ibp.a2mac1.com/costing(costing:projects/details/8191/part/5389449)","Part 04")</f>
        <v>Part 04</v>
      </c>
      <c r="B1600">
        <v>5389449</v>
      </c>
      <c r="C1600">
        <v>5389243</v>
      </c>
      <c r="E1600">
        <v>0.035862933333333333</v>
      </c>
      <c r="F1600">
        <v>0</v>
      </c>
      <c r="G1600">
        <v>0</v>
      </c>
      <c r="H1600">
        <v>5.7054666666666664E-06</v>
      </c>
      <c r="I1600" t="s">
        <v>137</v>
      </c>
      <c r="J1600">
        <v>0.0014263666666666666</v>
      </c>
      <c r="K1600">
        <v>0.03729500546666667</v>
      </c>
      <c r="L1600">
        <v>0.016854072360103854</v>
      </c>
      <c r="M1600">
        <v>0.10112443416062311</v>
      </c>
      <c r="N1600">
        <v>0.13841943962728978</v>
      </c>
      <c r="O1600" t="s">
        <v>138</v>
      </c>
      <c r="P1600">
        <v>0.002237700328</v>
      </c>
      <c r="Q1600" t="s">
        <v>138</v>
      </c>
      <c r="R1600">
        <v>0.0060674660496373867</v>
      </c>
      <c r="S1600" t="s">
        <v>139</v>
      </c>
      <c r="T1600">
        <v>0.016610332755274775</v>
      </c>
      <c r="U1600" t="s">
        <v>90</v>
      </c>
      <c r="V1600">
        <v>0</v>
      </c>
      <c r="W1600" t="s">
        <v>90</v>
      </c>
      <c r="X1600">
        <v>0</v>
      </c>
      <c r="Y1600">
        <v>0.16333493876020194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K1600" t="s">
        <v>6355</v>
      </c>
      <c r="AM1600">
        <v>200000</v>
      </c>
      <c r="AN1600" t="s">
        <v>76</v>
      </c>
      <c r="AO1600">
        <v>1</v>
      </c>
      <c r="AP1600">
        <v>0</v>
      </c>
      <c r="AQ1600">
        <v>16666.666666666668</v>
      </c>
      <c r="AR1600" t="s">
        <v>9</v>
      </c>
      <c r="AS1600" t="s">
        <v>78</v>
      </c>
      <c r="AW1600">
        <v>0</v>
      </c>
      <c r="AX1600" t="s">
        <v>79</v>
      </c>
      <c r="AY1600" t="s">
        <v>137</v>
      </c>
      <c r="AZ1600">
        <v>0</v>
      </c>
      <c r="BA1600" t="s">
        <v>137</v>
      </c>
      <c r="BB1600">
        <v>0</v>
      </c>
      <c r="BE1600">
        <v>0</v>
      </c>
    </row>
    <row r="1601" spans="1:58" ht="12.75">
      <c r="A1601" s="2" t="str">
        <f>HYPERLINK("https://ibp.a2mac1.com/costing(costing:projects/details/8191/part/5389450)","Part 01 single/main")</f>
        <v>Part 01 single/main</v>
      </c>
      <c r="B1601">
        <v>5389450</v>
      </c>
      <c r="C1601">
        <v>5389244</v>
      </c>
      <c r="E1601">
        <v>2.6359256000000002</v>
      </c>
      <c r="F1601">
        <v>0</v>
      </c>
      <c r="G1601">
        <v>0</v>
      </c>
      <c r="H1601">
        <v>0.00041935179999999999</v>
      </c>
      <c r="I1601" t="s">
        <v>137</v>
      </c>
      <c r="J1601">
        <v>0.10483795</v>
      </c>
      <c r="K1601">
        <v>2.7411829017999998</v>
      </c>
      <c r="L1601">
        <v>0.051910920237535282</v>
      </c>
      <c r="M1601">
        <v>0.31146552142521172</v>
      </c>
      <c r="N1601">
        <v>3.0526484232252118</v>
      </c>
      <c r="O1601" t="s">
        <v>138</v>
      </c>
      <c r="P1601">
        <v>0.16447097410799999</v>
      </c>
      <c r="Q1601" t="s">
        <v>138</v>
      </c>
      <c r="R1601">
        <v>0.018687931285512702</v>
      </c>
      <c r="S1601" t="s">
        <v>139</v>
      </c>
      <c r="T1601">
        <v>0.36631781078702541</v>
      </c>
      <c r="U1601" t="s">
        <v>90</v>
      </c>
      <c r="V1601">
        <v>0</v>
      </c>
      <c r="W1601" t="s">
        <v>90</v>
      </c>
      <c r="X1601">
        <v>0</v>
      </c>
      <c r="Y1601">
        <v>3.6021251394057496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K1601" t="s">
        <v>6355</v>
      </c>
      <c r="AM1601">
        <v>200000</v>
      </c>
      <c r="AN1601" t="s">
        <v>76</v>
      </c>
      <c r="AO1601">
        <v>1</v>
      </c>
      <c r="AP1601">
        <v>0</v>
      </c>
      <c r="AQ1601">
        <v>16666.666666666668</v>
      </c>
      <c r="AR1601" t="s">
        <v>9</v>
      </c>
      <c r="AS1601" t="s">
        <v>78</v>
      </c>
      <c r="AW1601">
        <v>0</v>
      </c>
      <c r="AX1601" t="s">
        <v>79</v>
      </c>
      <c r="AY1601" t="s">
        <v>137</v>
      </c>
      <c r="AZ1601">
        <v>0</v>
      </c>
      <c r="BA1601" t="s">
        <v>137</v>
      </c>
      <c r="BB1601">
        <v>0</v>
      </c>
      <c r="BE1601">
        <v>0</v>
      </c>
    </row>
    <row r="1602" spans="1:58" ht="12.75">
      <c r="A1602" s="2" t="str">
        <f>HYPERLINK("https://ibp.a2mac1.com/costing(costing:projects/details/8191/part/5389451)","Part 01 single/main")</f>
        <v>Part 01 single/main</v>
      </c>
      <c r="B1602">
        <v>5389451</v>
      </c>
      <c r="C1602">
        <v>5389245</v>
      </c>
      <c r="E1602">
        <v>1.6676264000000001</v>
      </c>
      <c r="F1602">
        <v>0</v>
      </c>
      <c r="G1602">
        <v>0</v>
      </c>
      <c r="H1602">
        <v>0.00020845330000000001</v>
      </c>
      <c r="I1602" t="s">
        <v>137</v>
      </c>
      <c r="J1602">
        <v>0.066326049999999998</v>
      </c>
      <c r="K1602">
        <v>1.7341609033000001</v>
      </c>
      <c r="L1602">
        <v>0.060128692034496077</v>
      </c>
      <c r="M1602">
        <v>0.36077215220697645</v>
      </c>
      <c r="N1602">
        <v>2.0949330555069765</v>
      </c>
      <c r="O1602" t="s">
        <v>138</v>
      </c>
      <c r="P1602">
        <v>0.104049654198</v>
      </c>
      <c r="Q1602" t="s">
        <v>138</v>
      </c>
      <c r="R1602">
        <v>0.021646329132418589</v>
      </c>
      <c r="S1602" t="s">
        <v>139</v>
      </c>
      <c r="T1602">
        <v>0.25139196666083719</v>
      </c>
      <c r="U1602" t="s">
        <v>90</v>
      </c>
      <c r="V1602">
        <v>0</v>
      </c>
      <c r="W1602" t="s">
        <v>90</v>
      </c>
      <c r="X1602">
        <v>0</v>
      </c>
      <c r="Y1602">
        <v>2.4720210054982323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K1602" t="s">
        <v>6355</v>
      </c>
      <c r="AM1602">
        <v>400000</v>
      </c>
      <c r="AN1602" t="s">
        <v>76</v>
      </c>
      <c r="AO1602">
        <v>2</v>
      </c>
      <c r="AP1602">
        <v>0</v>
      </c>
      <c r="AQ1602">
        <v>33333.333333333336</v>
      </c>
      <c r="AR1602" t="s">
        <v>9</v>
      </c>
      <c r="AS1602" t="s">
        <v>78</v>
      </c>
      <c r="AW1602">
        <v>0</v>
      </c>
      <c r="AX1602" t="s">
        <v>79</v>
      </c>
      <c r="AY1602" t="s">
        <v>137</v>
      </c>
      <c r="AZ1602">
        <v>0</v>
      </c>
      <c r="BA1602" t="s">
        <v>137</v>
      </c>
      <c r="BB1602">
        <v>0</v>
      </c>
      <c r="BE1602">
        <v>0</v>
      </c>
    </row>
    <row r="1603" spans="1:58" ht="12.75">
      <c r="A1603" s="2" t="str">
        <f>HYPERLINK("https://ibp.a2mac1.com/costing(costing:projects/details/8191/part/5389452)","Part 01 single/main")</f>
        <v>Part 01 single/main</v>
      </c>
      <c r="B1603">
        <v>5389452</v>
      </c>
      <c r="C1603">
        <v>5389246</v>
      </c>
      <c r="E1603">
        <v>0.033668523076923078</v>
      </c>
      <c r="F1603">
        <v>0</v>
      </c>
      <c r="G1603">
        <v>0</v>
      </c>
      <c r="H1603">
        <v>5.2665846153846151E-06</v>
      </c>
      <c r="I1603" t="s">
        <v>137</v>
      </c>
      <c r="J1603">
        <v>0.0013166461538461538</v>
      </c>
      <c r="K1603">
        <v>0.034990435815384614</v>
      </c>
      <c r="L1603">
        <v>0.0030620502647544009</v>
      </c>
      <c r="M1603">
        <v>0.018372301588526405</v>
      </c>
      <c r="N1603">
        <v>0.053362737403911023</v>
      </c>
      <c r="O1603" t="s">
        <v>138</v>
      </c>
      <c r="P1603">
        <v>0.0020994261489230767</v>
      </c>
      <c r="Q1603" t="s">
        <v>138</v>
      </c>
      <c r="R1603">
        <v>0.0011023380953115844</v>
      </c>
      <c r="S1603" t="s">
        <v>139</v>
      </c>
      <c r="T1603">
        <v>0.0064035284884693226</v>
      </c>
      <c r="U1603" t="s">
        <v>90</v>
      </c>
      <c r="V1603">
        <v>0</v>
      </c>
      <c r="W1603" t="s">
        <v>90</v>
      </c>
      <c r="X1603">
        <v>0</v>
      </c>
      <c r="Y1603">
        <v>0.062968030136615005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K1603" t="s">
        <v>6355</v>
      </c>
      <c r="AM1603">
        <v>200000</v>
      </c>
      <c r="AN1603" t="s">
        <v>76</v>
      </c>
      <c r="AO1603">
        <v>1</v>
      </c>
      <c r="AP1603">
        <v>0</v>
      </c>
      <c r="AQ1603">
        <v>16666.666666666668</v>
      </c>
      <c r="AR1603" t="s">
        <v>9</v>
      </c>
      <c r="AS1603" t="s">
        <v>78</v>
      </c>
      <c r="AW1603">
        <v>0</v>
      </c>
      <c r="AX1603" t="s">
        <v>79</v>
      </c>
      <c r="AY1603" t="s">
        <v>137</v>
      </c>
      <c r="AZ1603">
        <v>0</v>
      </c>
      <c r="BA1603" t="s">
        <v>137</v>
      </c>
      <c r="BB1603">
        <v>0</v>
      </c>
      <c r="BE1603">
        <v>0</v>
      </c>
    </row>
    <row r="1604" spans="1:58" ht="12.75">
      <c r="A1604" s="2" t="str">
        <f>HYPERLINK("https://ibp.a2mac1.com/costing(costing:projects/details/8191/part/5389453)","Part 02")</f>
        <v>Part 02</v>
      </c>
      <c r="B1604">
        <v>5389453</v>
      </c>
      <c r="C1604">
        <v>5389246</v>
      </c>
      <c r="E1604">
        <v>0.033668523076923078</v>
      </c>
      <c r="F1604">
        <v>0</v>
      </c>
      <c r="G1604">
        <v>0</v>
      </c>
      <c r="H1604">
        <v>4.1380307692307692E-06</v>
      </c>
      <c r="I1604" t="s">
        <v>137</v>
      </c>
      <c r="J1604">
        <v>0.0013166461538461538</v>
      </c>
      <c r="K1604">
        <v>0.034989307261538462</v>
      </c>
      <c r="L1604">
        <v>0.0039320942634972159</v>
      </c>
      <c r="M1604">
        <v>0.023592565580983296</v>
      </c>
      <c r="N1604">
        <v>0.058581872842521761</v>
      </c>
      <c r="O1604" t="s">
        <v>138</v>
      </c>
      <c r="P1604">
        <v>0.0020993584356923077</v>
      </c>
      <c r="Q1604" t="s">
        <v>138</v>
      </c>
      <c r="R1604">
        <v>0.0014155539348589977</v>
      </c>
      <c r="S1604" t="s">
        <v>139</v>
      </c>
      <c r="T1604">
        <v>0.0070298247411026112</v>
      </c>
      <c r="U1604" t="s">
        <v>90</v>
      </c>
      <c r="V1604">
        <v>0</v>
      </c>
      <c r="W1604" t="s">
        <v>90</v>
      </c>
      <c r="X1604">
        <v>0</v>
      </c>
      <c r="Y1604">
        <v>0.069126609954175675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K1604" t="s">
        <v>6355</v>
      </c>
      <c r="AM1604">
        <v>400000</v>
      </c>
      <c r="AN1604" t="s">
        <v>76</v>
      </c>
      <c r="AO1604">
        <v>2</v>
      </c>
      <c r="AP1604">
        <v>0</v>
      </c>
      <c r="AQ1604">
        <v>33333.333333333336</v>
      </c>
      <c r="AR1604" t="s">
        <v>9</v>
      </c>
      <c r="AS1604" t="s">
        <v>78</v>
      </c>
      <c r="AW1604">
        <v>0</v>
      </c>
      <c r="AX1604" t="s">
        <v>79</v>
      </c>
      <c r="AY1604" t="s">
        <v>137</v>
      </c>
      <c r="AZ1604">
        <v>0</v>
      </c>
      <c r="BA1604" t="s">
        <v>137</v>
      </c>
      <c r="BB1604">
        <v>0</v>
      </c>
      <c r="BE1604">
        <v>0</v>
      </c>
    </row>
    <row r="1605" spans="1:58" ht="12.75">
      <c r="A1605" s="2" t="str">
        <f>HYPERLINK("https://ibp.a2mac1.com/costing(costing:projects/details/8191/part/5389721)","Part 01 single/main")</f>
        <v>Part 01 single/main</v>
      </c>
      <c r="B1605">
        <v>5389721</v>
      </c>
      <c r="C1605">
        <v>5389454</v>
      </c>
      <c r="E1605">
        <v>0.43096649999999997</v>
      </c>
      <c r="F1605">
        <v>0</v>
      </c>
      <c r="G1605">
        <v>0</v>
      </c>
      <c r="H1605">
        <v>6.4186500000000006E-05</v>
      </c>
      <c r="I1605" t="s">
        <v>137</v>
      </c>
      <c r="J1605">
        <v>0.016046624999999998</v>
      </c>
      <c r="K1605">
        <v>0.44707731150000002</v>
      </c>
      <c r="L1605">
        <v>0.0090624735196952709</v>
      </c>
      <c r="M1605">
        <v>0.054374841118171625</v>
      </c>
      <c r="N1605">
        <v>0.50145215261817166</v>
      </c>
      <c r="O1605" t="s">
        <v>138</v>
      </c>
      <c r="P1605">
        <v>0.026824638689999999</v>
      </c>
      <c r="Q1605" t="s">
        <v>138</v>
      </c>
      <c r="R1605">
        <v>0.0032624904670902977</v>
      </c>
      <c r="S1605" t="s">
        <v>139</v>
      </c>
      <c r="T1605">
        <v>0.060174258314180593</v>
      </c>
      <c r="U1605" t="s">
        <v>90</v>
      </c>
      <c r="V1605">
        <v>0</v>
      </c>
      <c r="W1605" t="s">
        <v>90</v>
      </c>
      <c r="X1605">
        <v>0</v>
      </c>
      <c r="Y1605">
        <v>0.59171354008944255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K1605" t="s">
        <v>6355</v>
      </c>
      <c r="AM1605">
        <v>200000</v>
      </c>
      <c r="AN1605" t="s">
        <v>76</v>
      </c>
      <c r="AO1605">
        <v>1</v>
      </c>
      <c r="AP1605">
        <v>0</v>
      </c>
      <c r="AQ1605">
        <v>16666.666666666668</v>
      </c>
      <c r="AR1605" t="s">
        <v>9</v>
      </c>
      <c r="AS1605" t="s">
        <v>78</v>
      </c>
      <c r="AW1605">
        <v>0</v>
      </c>
      <c r="AX1605" t="s">
        <v>79</v>
      </c>
      <c r="AY1605" t="s">
        <v>137</v>
      </c>
      <c r="AZ1605">
        <v>0</v>
      </c>
      <c r="BA1605" t="s">
        <v>137</v>
      </c>
      <c r="BB1605">
        <v>0</v>
      </c>
      <c r="BE1605">
        <v>0</v>
      </c>
    </row>
    <row r="1606" spans="1:58" ht="12.75">
      <c r="A1606" s="2" t="str">
        <f>HYPERLINK("https://ibp.a2mac1.com/costing(costing:projects/details/8191/part/5389722)","Part 01 single/main")</f>
        <v>Part 01 single/main</v>
      </c>
      <c r="B1606">
        <v>5389722</v>
      </c>
      <c r="C1606">
        <v>5389455</v>
      </c>
      <c r="E1606">
        <v>1.0233162</v>
      </c>
      <c r="F1606">
        <v>0</v>
      </c>
      <c r="G1606">
        <v>0</v>
      </c>
      <c r="H1606">
        <v>0.00012968292857142857</v>
      </c>
      <c r="I1606" t="s">
        <v>137</v>
      </c>
      <c r="J1606">
        <v>0.041262750000000001</v>
      </c>
      <c r="K1606">
        <v>1.0647086329285713</v>
      </c>
      <c r="L1606">
        <v>0.016357428824467144</v>
      </c>
      <c r="M1606">
        <v>0.098144572946802858</v>
      </c>
      <c r="N1606">
        <v>1.1628532058753742</v>
      </c>
      <c r="O1606" t="s">
        <v>138</v>
      </c>
      <c r="P1606">
        <v>0.063882517975714287</v>
      </c>
      <c r="Q1606" t="s">
        <v>138</v>
      </c>
      <c r="R1606">
        <v>0.0058886743768081715</v>
      </c>
      <c r="S1606" t="s">
        <v>139</v>
      </c>
      <c r="T1606">
        <v>0.1395423847050449</v>
      </c>
      <c r="U1606" t="s">
        <v>90</v>
      </c>
      <c r="V1606">
        <v>0</v>
      </c>
      <c r="W1606" t="s">
        <v>90</v>
      </c>
      <c r="X1606">
        <v>0</v>
      </c>
      <c r="Y1606">
        <v>1.3721667829329416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K1606" t="s">
        <v>6355</v>
      </c>
      <c r="AM1606">
        <v>400000</v>
      </c>
      <c r="AN1606" t="s">
        <v>76</v>
      </c>
      <c r="AO1606">
        <v>2</v>
      </c>
      <c r="AP1606">
        <v>0</v>
      </c>
      <c r="AQ1606">
        <v>33333.333333333336</v>
      </c>
      <c r="AR1606" t="s">
        <v>9</v>
      </c>
      <c r="AS1606" t="s">
        <v>78</v>
      </c>
      <c r="AW1606">
        <v>0</v>
      </c>
      <c r="AX1606" t="s">
        <v>79</v>
      </c>
      <c r="AY1606" t="s">
        <v>137</v>
      </c>
      <c r="AZ1606">
        <v>0</v>
      </c>
      <c r="BA1606" t="s">
        <v>137</v>
      </c>
      <c r="BB1606">
        <v>0</v>
      </c>
      <c r="BE1606">
        <v>0</v>
      </c>
    </row>
    <row r="1607" spans="1:58" ht="12.75">
      <c r="A1607" s="2" t="str">
        <f>HYPERLINK("https://ibp.a2mac1.com/costing(costing:projects/details/8191/part/5389248)","Part 01 single/main")</f>
        <v>Part 01 single/main</v>
      </c>
      <c r="B1607">
        <v>5389248</v>
      </c>
      <c r="C1607">
        <v>5388940</v>
      </c>
      <c r="E1607">
        <v>1.192035</v>
      </c>
      <c r="F1607">
        <v>0</v>
      </c>
      <c r="G1607">
        <v>0</v>
      </c>
      <c r="H1607">
        <v>0.00018338999999999999</v>
      </c>
      <c r="I1607" t="s">
        <v>137</v>
      </c>
      <c r="J1607">
        <v>0.045847499999999999</v>
      </c>
      <c r="K1607">
        <v>1.2380658899999999</v>
      </c>
      <c r="L1607">
        <v>0.051910920237535282</v>
      </c>
      <c r="M1607">
        <v>0.31146552142521172</v>
      </c>
      <c r="N1607">
        <v>1.5495314114252117</v>
      </c>
      <c r="O1607" t="s">
        <v>138</v>
      </c>
      <c r="P1607">
        <v>0.074283953400000005</v>
      </c>
      <c r="Q1607" t="s">
        <v>138</v>
      </c>
      <c r="R1607">
        <v>0.018687931285512702</v>
      </c>
      <c r="S1607" t="s">
        <v>139</v>
      </c>
      <c r="T1607">
        <v>0.18594376937102541</v>
      </c>
      <c r="U1607" t="s">
        <v>90</v>
      </c>
      <c r="V1607">
        <v>0</v>
      </c>
      <c r="W1607" t="s">
        <v>90</v>
      </c>
      <c r="X1607">
        <v>0</v>
      </c>
      <c r="Y1607">
        <v>1.8284470654817497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K1607" t="s">
        <v>6355</v>
      </c>
      <c r="AM1607">
        <v>200000</v>
      </c>
      <c r="AN1607" t="s">
        <v>76</v>
      </c>
      <c r="AO1607">
        <v>1</v>
      </c>
      <c r="AP1607">
        <v>0</v>
      </c>
      <c r="AQ1607">
        <v>16666.666666666668</v>
      </c>
      <c r="AR1607" t="s">
        <v>9</v>
      </c>
      <c r="AS1607" t="s">
        <v>78</v>
      </c>
      <c r="AW1607">
        <v>0</v>
      </c>
      <c r="AX1607" t="s">
        <v>79</v>
      </c>
      <c r="AY1607" t="s">
        <v>137</v>
      </c>
      <c r="AZ1607">
        <v>0</v>
      </c>
      <c r="BA1607" t="s">
        <v>137</v>
      </c>
      <c r="BB1607">
        <v>0</v>
      </c>
      <c r="BE1607">
        <v>0</v>
      </c>
    </row>
    <row r="1608" spans="1:58" ht="12.75">
      <c r="A1608" s="2" t="str">
        <f>HYPERLINK("https://ibp.a2mac1.com/costing(costing:projects/details/8191/part/5389249)","Part 01 single/main")</f>
        <v>Part 01 single/main</v>
      </c>
      <c r="B1608">
        <v>5389249</v>
      </c>
      <c r="C1608">
        <v>5388941</v>
      </c>
      <c r="E1608">
        <v>3.1143383846153845</v>
      </c>
      <c r="F1608">
        <v>0</v>
      </c>
      <c r="G1608">
        <v>0</v>
      </c>
      <c r="H1608">
        <v>0.00048715907692307693</v>
      </c>
      <c r="I1608" t="s">
        <v>137</v>
      </c>
      <c r="J1608">
        <v>0.12178976923076923</v>
      </c>
      <c r="K1608">
        <v>3.2366153129230768</v>
      </c>
      <c r="L1608">
        <v>0.062248268758096685</v>
      </c>
      <c r="M1608">
        <v>0.3734896125485801</v>
      </c>
      <c r="N1608">
        <v>3.6101049254716568</v>
      </c>
      <c r="O1608" t="s">
        <v>138</v>
      </c>
      <c r="P1608">
        <v>0.19419691877538461</v>
      </c>
      <c r="Q1608" t="s">
        <v>138</v>
      </c>
      <c r="R1608">
        <v>0.022409376752914805</v>
      </c>
      <c r="S1608" t="s">
        <v>139</v>
      </c>
      <c r="T1608">
        <v>0.43321259105659882</v>
      </c>
      <c r="U1608" t="s">
        <v>90</v>
      </c>
      <c r="V1608">
        <v>0</v>
      </c>
      <c r="W1608" t="s">
        <v>90</v>
      </c>
      <c r="X1608">
        <v>0</v>
      </c>
      <c r="Y1608">
        <v>4.259923812056555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K1608" t="s">
        <v>6355</v>
      </c>
      <c r="AM1608">
        <v>200000</v>
      </c>
      <c r="AN1608" t="s">
        <v>76</v>
      </c>
      <c r="AO1608">
        <v>1</v>
      </c>
      <c r="AP1608">
        <v>0</v>
      </c>
      <c r="AQ1608">
        <v>16666.666666666668</v>
      </c>
      <c r="AR1608" t="s">
        <v>9</v>
      </c>
      <c r="AS1608" t="s">
        <v>78</v>
      </c>
      <c r="AW1608">
        <v>0</v>
      </c>
      <c r="AX1608" t="s">
        <v>79</v>
      </c>
      <c r="AY1608" t="s">
        <v>137</v>
      </c>
      <c r="AZ1608">
        <v>0</v>
      </c>
      <c r="BA1608" t="s">
        <v>137</v>
      </c>
      <c r="BB1608">
        <v>0</v>
      </c>
      <c r="BE1608">
        <v>0</v>
      </c>
    </row>
    <row r="1609" spans="1:58" ht="12.75">
      <c r="A1609" s="2" t="str">
        <f>HYPERLINK("https://ibp.a2mac1.com/costing(costing:projects/details/8191/part/5389250)","Part 01 single/main")</f>
        <v>Part 01 single/main</v>
      </c>
      <c r="B1609">
        <v>5389250</v>
      </c>
      <c r="C1609">
        <v>5388942</v>
      </c>
      <c r="E1609">
        <v>0.15078733333333333</v>
      </c>
      <c r="F1609">
        <v>0</v>
      </c>
      <c r="G1609">
        <v>0</v>
      </c>
      <c r="H1609">
        <v>2.2821866666666666E-05</v>
      </c>
      <c r="I1609" t="s">
        <v>137</v>
      </c>
      <c r="J1609">
        <v>0.0057054666666666665</v>
      </c>
      <c r="K1609">
        <v>0.15651562186666668</v>
      </c>
      <c r="L1609">
        <v>0.0090624735196952709</v>
      </c>
      <c r="M1609">
        <v>0.054374841118171625</v>
      </c>
      <c r="N1609">
        <v>0.2108904629848383</v>
      </c>
      <c r="O1609" t="s">
        <v>138</v>
      </c>
      <c r="P1609">
        <v>0.0093909373120000007</v>
      </c>
      <c r="Q1609" t="s">
        <v>138</v>
      </c>
      <c r="R1609">
        <v>0.0032624904670902977</v>
      </c>
      <c r="S1609" t="s">
        <v>139</v>
      </c>
      <c r="T1609">
        <v>0.025306855558180595</v>
      </c>
      <c r="U1609" t="s">
        <v>90</v>
      </c>
      <c r="V1609">
        <v>0</v>
      </c>
      <c r="W1609" t="s">
        <v>90</v>
      </c>
      <c r="X1609">
        <v>0</v>
      </c>
      <c r="Y1609">
        <v>0.24885074632210918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K1609" t="s">
        <v>6355</v>
      </c>
      <c r="AM1609">
        <v>200000</v>
      </c>
      <c r="AN1609" t="s">
        <v>76</v>
      </c>
      <c r="AO1609">
        <v>1</v>
      </c>
      <c r="AP1609">
        <v>0</v>
      </c>
      <c r="AQ1609">
        <v>16666.666666666668</v>
      </c>
      <c r="AR1609" t="s">
        <v>9</v>
      </c>
      <c r="AS1609" t="s">
        <v>78</v>
      </c>
      <c r="AW1609">
        <v>0</v>
      </c>
      <c r="AX1609" t="s">
        <v>79</v>
      </c>
      <c r="AY1609" t="s">
        <v>137</v>
      </c>
      <c r="AZ1609">
        <v>0</v>
      </c>
      <c r="BA1609" t="s">
        <v>137</v>
      </c>
      <c r="BB1609">
        <v>0</v>
      </c>
      <c r="BE1609">
        <v>0</v>
      </c>
    </row>
    <row r="1610" spans="1:58" ht="12.75">
      <c r="A1610" s="2" t="str">
        <f>HYPERLINK("https://ibp.a2mac1.com/costing(costing:projects/details/8191/part/5389251)","Part 02")</f>
        <v>Part 02</v>
      </c>
      <c r="B1610">
        <v>5389251</v>
      </c>
      <c r="C1610">
        <v>5388942</v>
      </c>
      <c r="E1610">
        <v>0.017931466666666666</v>
      </c>
      <c r="F1610">
        <v>0</v>
      </c>
      <c r="G1610">
        <v>0</v>
      </c>
      <c r="H1610">
        <v>2.8527333333333332E-06</v>
      </c>
      <c r="I1610" t="s">
        <v>137</v>
      </c>
      <c r="J1610">
        <v>0.00071318333333333331</v>
      </c>
      <c r="K1610">
        <v>0.018647502733333335</v>
      </c>
      <c r="L1610">
        <v>0.0030620502647544009</v>
      </c>
      <c r="M1610">
        <v>0.018372301588526405</v>
      </c>
      <c r="N1610">
        <v>0.037019804321859737</v>
      </c>
      <c r="O1610" t="s">
        <v>138</v>
      </c>
      <c r="P1610">
        <v>0.001118850164</v>
      </c>
      <c r="Q1610" t="s">
        <v>138</v>
      </c>
      <c r="R1610">
        <v>0.0011023380953115844</v>
      </c>
      <c r="S1610" t="s">
        <v>139</v>
      </c>
      <c r="T1610">
        <v>0.0044423765186231683</v>
      </c>
      <c r="U1610" t="s">
        <v>90</v>
      </c>
      <c r="V1610">
        <v>0</v>
      </c>
      <c r="W1610" t="s">
        <v>90</v>
      </c>
      <c r="X1610">
        <v>0</v>
      </c>
      <c r="Y1610">
        <v>0.043683369099794492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K1610" t="s">
        <v>6355</v>
      </c>
      <c r="AM1610">
        <v>200000</v>
      </c>
      <c r="AN1610" t="s">
        <v>76</v>
      </c>
      <c r="AO1610">
        <v>1</v>
      </c>
      <c r="AP1610">
        <v>0</v>
      </c>
      <c r="AQ1610">
        <v>16666.666666666668</v>
      </c>
      <c r="AR1610" t="s">
        <v>9</v>
      </c>
      <c r="AS1610" t="s">
        <v>78</v>
      </c>
      <c r="AW1610">
        <v>0</v>
      </c>
      <c r="AX1610" t="s">
        <v>79</v>
      </c>
      <c r="AY1610" t="s">
        <v>137</v>
      </c>
      <c r="AZ1610">
        <v>0</v>
      </c>
      <c r="BA1610" t="s">
        <v>137</v>
      </c>
      <c r="BB1610">
        <v>0</v>
      </c>
      <c r="BE1610">
        <v>0</v>
      </c>
    </row>
    <row r="1611" spans="1:58" ht="12.75">
      <c r="A1611" s="2" t="str">
        <f>HYPERLINK("https://ibp.a2mac1.com/costing(costing:projects/details/8191/part/5389252)","Part 01 single/main")</f>
        <v>Part 01 single/main</v>
      </c>
      <c r="B1611">
        <v>5389252</v>
      </c>
      <c r="C1611">
        <v>5388943</v>
      </c>
      <c r="E1611">
        <v>0.10100556923076923</v>
      </c>
      <c r="F1611">
        <v>0</v>
      </c>
      <c r="G1611">
        <v>0</v>
      </c>
      <c r="H1611">
        <v>1.2414092307692308E-05</v>
      </c>
      <c r="I1611" t="s">
        <v>137</v>
      </c>
      <c r="J1611">
        <v>0.0039499384615384612</v>
      </c>
      <c r="K1611">
        <v>0.10496792178461538</v>
      </c>
      <c r="L1611">
        <v>0.0093102457262997304</v>
      </c>
      <c r="M1611">
        <v>0.055861474357798382</v>
      </c>
      <c r="N1611">
        <v>0.16082939614241376</v>
      </c>
      <c r="O1611" t="s">
        <v>138</v>
      </c>
      <c r="P1611">
        <v>0.0062980753070769231</v>
      </c>
      <c r="Q1611" t="s">
        <v>138</v>
      </c>
      <c r="R1611">
        <v>0.0033516884614679028</v>
      </c>
      <c r="S1611" t="s">
        <v>139</v>
      </c>
      <c r="T1611">
        <v>0.019299527537089651</v>
      </c>
      <c r="U1611" t="s">
        <v>90</v>
      </c>
      <c r="V1611">
        <v>0</v>
      </c>
      <c r="W1611" t="s">
        <v>90</v>
      </c>
      <c r="X1611">
        <v>0</v>
      </c>
      <c r="Y1611">
        <v>0.18977868744804824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K1611" t="s">
        <v>6355</v>
      </c>
      <c r="AM1611">
        <v>400000</v>
      </c>
      <c r="AN1611" t="s">
        <v>76</v>
      </c>
      <c r="AO1611">
        <v>2</v>
      </c>
      <c r="AP1611">
        <v>0</v>
      </c>
      <c r="AQ1611">
        <v>33333.333333333336</v>
      </c>
      <c r="AR1611" t="s">
        <v>9</v>
      </c>
      <c r="AS1611" t="s">
        <v>78</v>
      </c>
      <c r="AW1611">
        <v>0</v>
      </c>
      <c r="AX1611" t="s">
        <v>79</v>
      </c>
      <c r="AY1611" t="s">
        <v>137</v>
      </c>
      <c r="AZ1611">
        <v>0</v>
      </c>
      <c r="BA1611" t="s">
        <v>137</v>
      </c>
      <c r="BB1611">
        <v>0</v>
      </c>
      <c r="BE1611">
        <v>0</v>
      </c>
    </row>
    <row r="1612" spans="1:58" ht="12.75">
      <c r="A1612" s="2" t="str">
        <f>HYPERLINK("https://ibp.a2mac1.com/costing(costing:projects/details/8191/part/5389253)","Part 01 single/main")</f>
        <v>Part 01 single/main</v>
      </c>
      <c r="B1612">
        <v>5389253</v>
      </c>
      <c r="C1612">
        <v>5388944</v>
      </c>
      <c r="E1612">
        <v>0.095362799999999998</v>
      </c>
      <c r="F1612">
        <v>0</v>
      </c>
      <c r="G1612">
        <v>0</v>
      </c>
      <c r="H1612">
        <v>1.1527371428571429E-05</v>
      </c>
      <c r="I1612" t="s">
        <v>137</v>
      </c>
      <c r="J1612">
        <v>0.0036678000000000001</v>
      </c>
      <c r="K1612">
        <v>0.099042127371428576</v>
      </c>
      <c r="L1612">
        <v>0.0039320942634972159</v>
      </c>
      <c r="M1612">
        <v>0.023592565580983296</v>
      </c>
      <c r="N1612">
        <v>0.12263469295241186</v>
      </c>
      <c r="O1612" t="s">
        <v>138</v>
      </c>
      <c r="P1612">
        <v>0.0059425276422857146</v>
      </c>
      <c r="Q1612" t="s">
        <v>138</v>
      </c>
      <c r="R1612">
        <v>0.0014155539348589977</v>
      </c>
      <c r="S1612" t="s">
        <v>139</v>
      </c>
      <c r="T1612">
        <v>0.014716163154289424</v>
      </c>
      <c r="U1612" t="s">
        <v>90</v>
      </c>
      <c r="V1612">
        <v>0</v>
      </c>
      <c r="W1612" t="s">
        <v>90</v>
      </c>
      <c r="X1612">
        <v>0</v>
      </c>
      <c r="Y1612">
        <v>0.14470893768384602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K1612" t="s">
        <v>6355</v>
      </c>
      <c r="AM1612">
        <v>400000</v>
      </c>
      <c r="AN1612" t="s">
        <v>76</v>
      </c>
      <c r="AO1612">
        <v>2</v>
      </c>
      <c r="AP1612">
        <v>0</v>
      </c>
      <c r="AQ1612">
        <v>33333.333333333336</v>
      </c>
      <c r="AR1612" t="s">
        <v>9</v>
      </c>
      <c r="AS1612" t="s">
        <v>78</v>
      </c>
      <c r="AW1612">
        <v>0</v>
      </c>
      <c r="AX1612" t="s">
        <v>79</v>
      </c>
      <c r="AY1612" t="s">
        <v>137</v>
      </c>
      <c r="AZ1612">
        <v>0</v>
      </c>
      <c r="BA1612" t="s">
        <v>137</v>
      </c>
      <c r="BB1612">
        <v>0</v>
      </c>
      <c r="BE1612">
        <v>0</v>
      </c>
    </row>
    <row r="1613" spans="1:58" ht="12.75">
      <c r="A1613" s="2" t="str">
        <f>HYPERLINK("https://ibp.a2mac1.com/costing(costing:projects/details/8191/part/5389254)","Part 02")</f>
        <v>Part 02</v>
      </c>
      <c r="B1613">
        <v>5389254</v>
      </c>
      <c r="C1613">
        <v>5388944</v>
      </c>
      <c r="E1613">
        <v>0.026353822222222222</v>
      </c>
      <c r="F1613">
        <v>0</v>
      </c>
      <c r="G1613">
        <v>0</v>
      </c>
      <c r="H1613">
        <v>2.9885777777777777E-06</v>
      </c>
      <c r="I1613" t="s">
        <v>137</v>
      </c>
      <c r="J1613">
        <v>0.00095091111111111112</v>
      </c>
      <c r="K1613">
        <v>0.02730772191111111</v>
      </c>
      <c r="L1613">
        <v>0.010427353790616366</v>
      </c>
      <c r="M1613">
        <v>0.0625641227436982</v>
      </c>
      <c r="N1613">
        <v>0.08987184465480931</v>
      </c>
      <c r="O1613" t="s">
        <v>138</v>
      </c>
      <c r="P1613">
        <v>0.0016384633146666666</v>
      </c>
      <c r="Q1613" t="s">
        <v>138</v>
      </c>
      <c r="R1613">
        <v>0.003753847364621892</v>
      </c>
      <c r="S1613" t="s">
        <v>139</v>
      </c>
      <c r="T1613">
        <v>0.010784621358577117</v>
      </c>
      <c r="U1613" t="s">
        <v>90</v>
      </c>
      <c r="V1613">
        <v>0</v>
      </c>
      <c r="W1613" t="s">
        <v>90</v>
      </c>
      <c r="X1613">
        <v>0</v>
      </c>
      <c r="Y1613">
        <v>0.10604877669267498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K1613" t="s">
        <v>6355</v>
      </c>
      <c r="AM1613">
        <v>400000</v>
      </c>
      <c r="AN1613" t="s">
        <v>76</v>
      </c>
      <c r="AO1613">
        <v>2</v>
      </c>
      <c r="AP1613">
        <v>0</v>
      </c>
      <c r="AQ1613">
        <v>33333.333333333336</v>
      </c>
      <c r="AR1613" t="s">
        <v>9</v>
      </c>
      <c r="AS1613" t="s">
        <v>78</v>
      </c>
      <c r="AW1613">
        <v>0</v>
      </c>
      <c r="AX1613" t="s">
        <v>79</v>
      </c>
      <c r="AY1613" t="s">
        <v>137</v>
      </c>
      <c r="AZ1613">
        <v>0</v>
      </c>
      <c r="BA1613" t="s">
        <v>137</v>
      </c>
      <c r="BB1613">
        <v>0</v>
      </c>
      <c r="BE1613">
        <v>0</v>
      </c>
    </row>
    <row r="1614" spans="1:58" ht="12.75">
      <c r="A1614" s="2" t="str">
        <f>HYPERLINK("https://ibp.a2mac1.com/costing(costing:projects/details/8191/part/5389255)","Part 03")</f>
        <v>Part 03</v>
      </c>
      <c r="B1614">
        <v>5389255</v>
      </c>
      <c r="C1614">
        <v>5388944</v>
      </c>
      <c r="E1614">
        <v>0.026353822222222222</v>
      </c>
      <c r="F1614">
        <v>0</v>
      </c>
      <c r="G1614">
        <v>0</v>
      </c>
      <c r="H1614">
        <v>3.8036444444444443E-06</v>
      </c>
      <c r="I1614" t="s">
        <v>137</v>
      </c>
      <c r="J1614">
        <v>0.00095091111111111112</v>
      </c>
      <c r="K1614">
        <v>0.027308536977777777</v>
      </c>
      <c r="L1614">
        <v>0.016854072360103854</v>
      </c>
      <c r="M1614">
        <v>0.10112443416062311</v>
      </c>
      <c r="N1614">
        <v>0.12843297113840088</v>
      </c>
      <c r="O1614" t="s">
        <v>138</v>
      </c>
      <c r="P1614">
        <v>0.0016385122186666668</v>
      </c>
      <c r="Q1614" t="s">
        <v>138</v>
      </c>
      <c r="R1614">
        <v>0.0060674660496373867</v>
      </c>
      <c r="S1614" t="s">
        <v>139</v>
      </c>
      <c r="T1614">
        <v>0.015411956536608108</v>
      </c>
      <c r="U1614" t="s">
        <v>90</v>
      </c>
      <c r="V1614">
        <v>0</v>
      </c>
      <c r="W1614" t="s">
        <v>90</v>
      </c>
      <c r="X1614">
        <v>0</v>
      </c>
      <c r="Y1614">
        <v>0.15155090594331305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K1614" t="s">
        <v>6355</v>
      </c>
      <c r="AM1614">
        <v>200000</v>
      </c>
      <c r="AN1614" t="s">
        <v>76</v>
      </c>
      <c r="AO1614">
        <v>1</v>
      </c>
      <c r="AP1614">
        <v>0</v>
      </c>
      <c r="AQ1614">
        <v>16666.666666666668</v>
      </c>
      <c r="AR1614" t="s">
        <v>9</v>
      </c>
      <c r="AS1614" t="s">
        <v>78</v>
      </c>
      <c r="AW1614">
        <v>0</v>
      </c>
      <c r="AX1614" t="s">
        <v>79</v>
      </c>
      <c r="AY1614" t="s">
        <v>137</v>
      </c>
      <c r="AZ1614">
        <v>0</v>
      </c>
      <c r="BA1614" t="s">
        <v>137</v>
      </c>
      <c r="BB1614">
        <v>0</v>
      </c>
      <c r="BE1614">
        <v>0</v>
      </c>
    </row>
    <row r="1615" spans="1:58" ht="12.75">
      <c r="A1615" s="2" t="str">
        <f>HYPERLINK("https://ibp.a2mac1.com/costing(costing:projects/details/8191/part/5389256)","Part 04")</f>
        <v>Part 04</v>
      </c>
      <c r="B1615">
        <v>5389256</v>
      </c>
      <c r="C1615">
        <v>5388944</v>
      </c>
      <c r="E1615">
        <v>0.052707644444444444</v>
      </c>
      <c r="F1615">
        <v>0</v>
      </c>
      <c r="G1615">
        <v>0</v>
      </c>
      <c r="H1615">
        <v>5.9771555555555553E-06</v>
      </c>
      <c r="I1615" t="s">
        <v>137</v>
      </c>
      <c r="J1615">
        <v>0.0019018222222222222</v>
      </c>
      <c r="K1615">
        <v>0.05461544382222222</v>
      </c>
      <c r="L1615">
        <v>0.0093102457262997304</v>
      </c>
      <c r="M1615">
        <v>0.055861474357798382</v>
      </c>
      <c r="N1615">
        <v>0.1104769181800206</v>
      </c>
      <c r="O1615" t="s">
        <v>138</v>
      </c>
      <c r="P1615">
        <v>0.0032769266293333332</v>
      </c>
      <c r="Q1615" t="s">
        <v>138</v>
      </c>
      <c r="R1615">
        <v>0.0033516884614679028</v>
      </c>
      <c r="S1615" t="s">
        <v>139</v>
      </c>
      <c r="T1615">
        <v>0.013257230181602473</v>
      </c>
      <c r="U1615" t="s">
        <v>90</v>
      </c>
      <c r="V1615">
        <v>0</v>
      </c>
      <c r="W1615" t="s">
        <v>90</v>
      </c>
      <c r="X1615">
        <v>0</v>
      </c>
      <c r="Y1615">
        <v>0.13036276345242431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K1615" t="s">
        <v>6355</v>
      </c>
      <c r="AM1615">
        <v>400000</v>
      </c>
      <c r="AN1615" t="s">
        <v>76</v>
      </c>
      <c r="AO1615">
        <v>2</v>
      </c>
      <c r="AP1615">
        <v>0</v>
      </c>
      <c r="AQ1615">
        <v>33333.333333333336</v>
      </c>
      <c r="AR1615" t="s">
        <v>9</v>
      </c>
      <c r="AS1615" t="s">
        <v>78</v>
      </c>
      <c r="AW1615">
        <v>0</v>
      </c>
      <c r="AX1615" t="s">
        <v>79</v>
      </c>
      <c r="AY1615" t="s">
        <v>137</v>
      </c>
      <c r="AZ1615">
        <v>0</v>
      </c>
      <c r="BA1615" t="s">
        <v>137</v>
      </c>
      <c r="BB1615">
        <v>0</v>
      </c>
      <c r="BE1615">
        <v>0</v>
      </c>
    </row>
    <row r="1616" spans="1:58" ht="12.75">
      <c r="A1616" s="2" t="str">
        <f>HYPERLINK("https://ibp.a2mac1.com/costing(costing:projects/details/8191/part/5389456)","Part 01 single/main/front")</f>
        <v>Part 01 single/main/front</v>
      </c>
      <c r="B1616">
        <v>5389456</v>
      </c>
      <c r="C1616">
        <v>5389257</v>
      </c>
      <c r="E1616">
        <v>40.970548600000001</v>
      </c>
      <c r="F1616">
        <v>0</v>
      </c>
      <c r="G1616">
        <v>0</v>
      </c>
      <c r="H1616">
        <v>0.0055984600571428568</v>
      </c>
      <c r="I1616" t="s">
        <v>137</v>
      </c>
      <c r="J1616">
        <v>1.7813281999999999</v>
      </c>
      <c r="K1616">
        <v>42.757475260057141</v>
      </c>
      <c r="L1616">
        <v>1.4230815916268447</v>
      </c>
      <c r="M1616">
        <v>8.5384895497610689</v>
      </c>
      <c r="N1616">
        <v>51.295964809818209</v>
      </c>
      <c r="O1616" t="s">
        <v>90</v>
      </c>
      <c r="P1616">
        <v>0</v>
      </c>
      <c r="Q1616" t="s">
        <v>90</v>
      </c>
      <c r="R1616">
        <v>0</v>
      </c>
      <c r="S1616" t="s">
        <v>90</v>
      </c>
      <c r="T1616">
        <v>0</v>
      </c>
      <c r="U1616" t="s">
        <v>90</v>
      </c>
      <c r="V1616">
        <v>0</v>
      </c>
      <c r="W1616" t="s">
        <v>90</v>
      </c>
      <c r="X1616">
        <v>0</v>
      </c>
      <c r="Y1616">
        <v>51.295964809818209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K1616" t="s">
        <v>6381</v>
      </c>
      <c r="AM1616">
        <v>400000</v>
      </c>
      <c r="AN1616" t="s">
        <v>92</v>
      </c>
      <c r="AO1616">
        <v>2</v>
      </c>
      <c r="AP1616">
        <v>0</v>
      </c>
      <c r="AQ1616">
        <v>33333.333333333336</v>
      </c>
      <c r="AR1616" t="s">
        <v>9</v>
      </c>
      <c r="AS1616" t="s">
        <v>78</v>
      </c>
      <c r="AW1616">
        <v>0</v>
      </c>
      <c r="AX1616" t="s">
        <v>79</v>
      </c>
      <c r="AY1616" t="s">
        <v>137</v>
      </c>
      <c r="AZ1616">
        <v>0</v>
      </c>
      <c r="BA1616" t="s">
        <v>137</v>
      </c>
      <c r="BB1616">
        <v>0</v>
      </c>
      <c r="BE1616">
        <v>0</v>
      </c>
    </row>
    <row r="1617" spans="1:58" ht="12.75">
      <c r="A1617" s="2" t="str">
        <f>HYPERLINK("https://ibp.a2mac1.com/costing(costing:projects/details/8191/part/5389457)","Part 02")</f>
        <v>Part 02</v>
      </c>
      <c r="B1617">
        <v>5389457</v>
      </c>
      <c r="C1617">
        <v>5389257</v>
      </c>
      <c r="E1617">
        <v>0.23310906666666667</v>
      </c>
      <c r="F1617">
        <v>0</v>
      </c>
      <c r="G1617">
        <v>0</v>
      </c>
      <c r="H1617">
        <v>2.9138633333333333E-05</v>
      </c>
      <c r="I1617" t="s">
        <v>137</v>
      </c>
      <c r="J1617">
        <v>0.0092713833333333325</v>
      </c>
      <c r="K1617">
        <v>0.24240958863333334</v>
      </c>
      <c r="L1617">
        <v>0.042767053956726774</v>
      </c>
      <c r="M1617">
        <v>0.25660232374036063</v>
      </c>
      <c r="N1617">
        <v>0.49901191237369397</v>
      </c>
      <c r="O1617" t="s">
        <v>138</v>
      </c>
      <c r="P1617">
        <v>0.014544575318</v>
      </c>
      <c r="Q1617" t="s">
        <v>138</v>
      </c>
      <c r="R1617">
        <v>0.015396139424421638</v>
      </c>
      <c r="S1617" t="s">
        <v>139</v>
      </c>
      <c r="T1617">
        <v>0.059881429484843277</v>
      </c>
      <c r="U1617" t="s">
        <v>90</v>
      </c>
      <c r="V1617">
        <v>0</v>
      </c>
      <c r="W1617" t="s">
        <v>90</v>
      </c>
      <c r="X1617">
        <v>0</v>
      </c>
      <c r="Y1617">
        <v>0.58883405660095889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K1617" t="s">
        <v>6355</v>
      </c>
      <c r="AM1617">
        <v>400000</v>
      </c>
      <c r="AN1617" t="s">
        <v>76</v>
      </c>
      <c r="AO1617">
        <v>2</v>
      </c>
      <c r="AP1617">
        <v>0</v>
      </c>
      <c r="AQ1617">
        <v>33333.333333333336</v>
      </c>
      <c r="AR1617" t="s">
        <v>9</v>
      </c>
      <c r="AS1617" t="s">
        <v>78</v>
      </c>
      <c r="AW1617">
        <v>0</v>
      </c>
      <c r="AX1617" t="s">
        <v>79</v>
      </c>
      <c r="AY1617" t="s">
        <v>137</v>
      </c>
      <c r="AZ1617">
        <v>0</v>
      </c>
      <c r="BA1617" t="s">
        <v>137</v>
      </c>
      <c r="BB1617">
        <v>0</v>
      </c>
      <c r="BE1617">
        <v>0</v>
      </c>
    </row>
    <row r="1618" spans="1:58" ht="12.75">
      <c r="A1618" s="2" t="str">
        <f>HYPERLINK("https://ibp.a2mac1.com/costing(costing:projects/details/8191/part/5389458)"," Part 03")</f>
        <v xml:space="preserve"> Part 03</v>
      </c>
      <c r="B1618">
        <v>5389458</v>
      </c>
      <c r="C1618">
        <v>5389257</v>
      </c>
      <c r="E1618">
        <v>0.10100556923076923</v>
      </c>
      <c r="F1618">
        <v>0</v>
      </c>
      <c r="G1618">
        <v>0</v>
      </c>
      <c r="H1618">
        <v>1.2414092307692308E-05</v>
      </c>
      <c r="I1618" t="s">
        <v>137</v>
      </c>
      <c r="J1618">
        <v>0.0039499384615384612</v>
      </c>
      <c r="K1618">
        <v>0.10496792178461538</v>
      </c>
      <c r="L1618">
        <v>0.031940159054190634</v>
      </c>
      <c r="M1618">
        <v>0.1916409543251438</v>
      </c>
      <c r="N1618">
        <v>0.29660887610975917</v>
      </c>
      <c r="O1618" t="s">
        <v>138</v>
      </c>
      <c r="P1618">
        <v>0.0062980753070769231</v>
      </c>
      <c r="Q1618" t="s">
        <v>138</v>
      </c>
      <c r="R1618">
        <v>0.011498457259508628</v>
      </c>
      <c r="S1618" t="s">
        <v>139</v>
      </c>
      <c r="T1618">
        <v>0.035593065133171106</v>
      </c>
      <c r="U1618" t="s">
        <v>90</v>
      </c>
      <c r="V1618">
        <v>0</v>
      </c>
      <c r="W1618" t="s">
        <v>90</v>
      </c>
      <c r="X1618">
        <v>0</v>
      </c>
      <c r="Y1618">
        <v>0.34999847380951582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K1618" t="s">
        <v>6355</v>
      </c>
      <c r="AM1618">
        <v>400000</v>
      </c>
      <c r="AN1618" t="s">
        <v>76</v>
      </c>
      <c r="AO1618">
        <v>2</v>
      </c>
      <c r="AP1618">
        <v>0</v>
      </c>
      <c r="AQ1618">
        <v>33333.333333333336</v>
      </c>
      <c r="AR1618" t="s">
        <v>9</v>
      </c>
      <c r="AS1618" t="s">
        <v>78</v>
      </c>
      <c r="AW1618">
        <v>0</v>
      </c>
      <c r="AX1618" t="s">
        <v>79</v>
      </c>
      <c r="AY1618" t="s">
        <v>137</v>
      </c>
      <c r="AZ1618">
        <v>0</v>
      </c>
      <c r="BA1618" t="s">
        <v>137</v>
      </c>
      <c r="BB1618">
        <v>0</v>
      </c>
      <c r="BE1618">
        <v>0</v>
      </c>
    </row>
    <row r="1619" spans="1:58" ht="12.75">
      <c r="A1619" s="2" t="str">
        <f>HYPERLINK("https://ibp.a2mac1.com/costing(costing:projects/details/8191/part/5389459)"," Part 04")</f>
        <v xml:space="preserve"> Part 04</v>
      </c>
      <c r="B1619">
        <v>5389459</v>
      </c>
      <c r="C1619">
        <v>5389257</v>
      </c>
      <c r="E1619">
        <v>1.9724613333333334</v>
      </c>
      <c r="F1619">
        <v>0</v>
      </c>
      <c r="G1619">
        <v>0</v>
      </c>
      <c r="H1619">
        <v>0.00024655766666666665</v>
      </c>
      <c r="I1619" t="s">
        <v>137</v>
      </c>
      <c r="J1619">
        <v>0.078450166666666668</v>
      </c>
      <c r="K1619">
        <v>2.0511580576666666</v>
      </c>
      <c r="L1619">
        <v>0.06879874280571327</v>
      </c>
      <c r="M1619">
        <v>0.41279245683427962</v>
      </c>
      <c r="N1619">
        <v>2.4639505145009464</v>
      </c>
      <c r="O1619" t="s">
        <v>138</v>
      </c>
      <c r="P1619">
        <v>0.12306948346</v>
      </c>
      <c r="Q1619" t="s">
        <v>138</v>
      </c>
      <c r="R1619">
        <v>0.024767547410056778</v>
      </c>
      <c r="S1619" t="s">
        <v>139</v>
      </c>
      <c r="T1619">
        <v>0.29567406174011357</v>
      </c>
      <c r="U1619" t="s">
        <v>90</v>
      </c>
      <c r="V1619">
        <v>0</v>
      </c>
      <c r="W1619" t="s">
        <v>90</v>
      </c>
      <c r="X1619">
        <v>0</v>
      </c>
      <c r="Y1619">
        <v>2.9074616071111166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K1619" t="s">
        <v>6355</v>
      </c>
      <c r="AM1619">
        <v>400000</v>
      </c>
      <c r="AN1619" t="s">
        <v>76</v>
      </c>
      <c r="AO1619">
        <v>2</v>
      </c>
      <c r="AP1619">
        <v>0</v>
      </c>
      <c r="AQ1619">
        <v>33333.333333333336</v>
      </c>
      <c r="AR1619" t="s">
        <v>9</v>
      </c>
      <c r="AS1619" t="s">
        <v>78</v>
      </c>
      <c r="AW1619">
        <v>0</v>
      </c>
      <c r="AX1619" t="s">
        <v>79</v>
      </c>
      <c r="AY1619" t="s">
        <v>137</v>
      </c>
      <c r="AZ1619">
        <v>0</v>
      </c>
      <c r="BA1619" t="s">
        <v>137</v>
      </c>
      <c r="BB1619">
        <v>0</v>
      </c>
      <c r="BE1619">
        <v>0</v>
      </c>
    </row>
    <row r="1620" spans="1:58" ht="12.75">
      <c r="A1620" s="2" t="str">
        <f>HYPERLINK("https://ibp.a2mac1.com/costing(costing:projects/details/8191/part/5389460)","Part 05")</f>
        <v>Part 05</v>
      </c>
      <c r="B1620">
        <v>5389460</v>
      </c>
      <c r="C1620">
        <v>5389257</v>
      </c>
      <c r="E1620">
        <v>0.17931466666666668</v>
      </c>
      <c r="F1620">
        <v>0</v>
      </c>
      <c r="G1620">
        <v>0</v>
      </c>
      <c r="H1620">
        <v>2.2414333333333333E-05</v>
      </c>
      <c r="I1620" t="s">
        <v>137</v>
      </c>
      <c r="J1620">
        <v>0.0071318333333333329</v>
      </c>
      <c r="K1620">
        <v>0.18646891433333335</v>
      </c>
      <c r="L1620">
        <v>0.042767053956726774</v>
      </c>
      <c r="M1620">
        <v>0.25660232374036063</v>
      </c>
      <c r="N1620">
        <v>0.44307123807369397</v>
      </c>
      <c r="O1620" t="s">
        <v>138</v>
      </c>
      <c r="P1620">
        <v>0.011188134860000001</v>
      </c>
      <c r="Q1620" t="s">
        <v>138</v>
      </c>
      <c r="R1620">
        <v>0.015396139424421638</v>
      </c>
      <c r="S1620" t="s">
        <v>139</v>
      </c>
      <c r="T1620">
        <v>0.053168548568843281</v>
      </c>
      <c r="U1620" t="s">
        <v>90</v>
      </c>
      <c r="V1620">
        <v>0</v>
      </c>
      <c r="W1620" t="s">
        <v>90</v>
      </c>
      <c r="X1620">
        <v>0</v>
      </c>
      <c r="Y1620">
        <v>0.52282406092695888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K1620" t="s">
        <v>6355</v>
      </c>
      <c r="AM1620">
        <v>400000</v>
      </c>
      <c r="AN1620" t="s">
        <v>76</v>
      </c>
      <c r="AO1620">
        <v>2</v>
      </c>
      <c r="AP1620">
        <v>0</v>
      </c>
      <c r="AQ1620">
        <v>33333.333333333336</v>
      </c>
      <c r="AR1620" t="s">
        <v>9</v>
      </c>
      <c r="AS1620" t="s">
        <v>78</v>
      </c>
      <c r="AW1620">
        <v>0</v>
      </c>
      <c r="AX1620" t="s">
        <v>79</v>
      </c>
      <c r="AY1620" t="s">
        <v>137</v>
      </c>
      <c r="AZ1620">
        <v>0</v>
      </c>
      <c r="BA1620" t="s">
        <v>137</v>
      </c>
      <c r="BB1620">
        <v>0</v>
      </c>
      <c r="BE1620">
        <v>0</v>
      </c>
    </row>
    <row r="1621" spans="1:58" ht="12.75">
      <c r="A1621" s="2" t="str">
        <f>HYPERLINK("https://ibp.a2mac1.com/costing(costing:projects/details/8191/part/5389461)"," Part 01 single/main/upper")</f>
        <v xml:space="preserve"> Part 01 single/main/upper</v>
      </c>
      <c r="B1621">
        <v>5389461</v>
      </c>
      <c r="C1621">
        <v>5389258</v>
      </c>
      <c r="E1621">
        <v>0.90594660000000005</v>
      </c>
      <c r="F1621">
        <v>0</v>
      </c>
      <c r="G1621">
        <v>0</v>
      </c>
      <c r="H1621">
        <v>0.00010951002857142858</v>
      </c>
      <c r="I1621" t="s">
        <v>137</v>
      </c>
      <c r="J1621">
        <v>0.034844100000000003</v>
      </c>
      <c r="K1621">
        <v>0.94090021002857138</v>
      </c>
      <c r="L1621">
        <v>0.060128692034496077</v>
      </c>
      <c r="M1621">
        <v>0.36077215220697645</v>
      </c>
      <c r="N1621">
        <v>1.3016723622355479</v>
      </c>
      <c r="O1621" t="s">
        <v>138</v>
      </c>
      <c r="P1621">
        <v>0.056454012601714287</v>
      </c>
      <c r="Q1621" t="s">
        <v>138</v>
      </c>
      <c r="R1621">
        <v>0.021646329132418589</v>
      </c>
      <c r="S1621" t="s">
        <v>139</v>
      </c>
      <c r="T1621">
        <v>0.15620068346826574</v>
      </c>
      <c r="U1621" t="s">
        <v>90</v>
      </c>
      <c r="V1621">
        <v>0</v>
      </c>
      <c r="W1621" t="s">
        <v>90</v>
      </c>
      <c r="X1621">
        <v>0</v>
      </c>
      <c r="Y1621">
        <v>1.5359733874379464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K1621" t="s">
        <v>6355</v>
      </c>
      <c r="AM1621">
        <v>400000</v>
      </c>
      <c r="AN1621" t="s">
        <v>76</v>
      </c>
      <c r="AO1621">
        <v>2</v>
      </c>
      <c r="AP1621">
        <v>0</v>
      </c>
      <c r="AQ1621">
        <v>33333.333333333336</v>
      </c>
      <c r="AR1621" t="s">
        <v>9</v>
      </c>
      <c r="AS1621" t="s">
        <v>78</v>
      </c>
      <c r="AW1621">
        <v>0</v>
      </c>
      <c r="AX1621" t="s">
        <v>79</v>
      </c>
      <c r="AY1621" t="s">
        <v>137</v>
      </c>
      <c r="AZ1621">
        <v>0</v>
      </c>
      <c r="BA1621" t="s">
        <v>137</v>
      </c>
      <c r="BB1621">
        <v>0</v>
      </c>
      <c r="BE1621">
        <v>0</v>
      </c>
    </row>
    <row r="1622" spans="1:58" ht="12.75">
      <c r="A1622" s="2" t="str">
        <f>HYPERLINK("https://ibp.a2mac1.com/costing(costing:projects/details/8191/part/5389462)"," Part 01 single/main")</f>
        <v xml:space="preserve"> Part 01 single/main</v>
      </c>
      <c r="B1622">
        <v>5389462</v>
      </c>
      <c r="C1622">
        <v>5389259</v>
      </c>
      <c r="E1622">
        <v>0.60966986666666667</v>
      </c>
      <c r="F1622">
        <v>0</v>
      </c>
      <c r="G1622">
        <v>0</v>
      </c>
      <c r="H1622">
        <v>7.6208733333333334E-05</v>
      </c>
      <c r="I1622" t="s">
        <v>137</v>
      </c>
      <c r="J1622">
        <v>0.024248233333333334</v>
      </c>
      <c r="K1622">
        <v>0.63399430873333329</v>
      </c>
      <c r="L1622">
        <v>0.016357428824467144</v>
      </c>
      <c r="M1622">
        <v>0.098144572946802858</v>
      </c>
      <c r="N1622">
        <v>0.73213888168013619</v>
      </c>
      <c r="O1622" t="s">
        <v>138</v>
      </c>
      <c r="P1622">
        <v>0.038039658524</v>
      </c>
      <c r="Q1622" t="s">
        <v>138</v>
      </c>
      <c r="R1622">
        <v>0.0058886743768081715</v>
      </c>
      <c r="S1622" t="s">
        <v>139</v>
      </c>
      <c r="T1622">
        <v>0.087856665801616343</v>
      </c>
      <c r="U1622" t="s">
        <v>90</v>
      </c>
      <c r="V1622">
        <v>0</v>
      </c>
      <c r="W1622" t="s">
        <v>90</v>
      </c>
      <c r="X1622">
        <v>0</v>
      </c>
      <c r="Y1622">
        <v>0.86392388038256074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K1622" t="s">
        <v>6355</v>
      </c>
      <c r="AM1622">
        <v>400000</v>
      </c>
      <c r="AN1622" t="s">
        <v>76</v>
      </c>
      <c r="AO1622">
        <v>2</v>
      </c>
      <c r="AP1622">
        <v>0</v>
      </c>
      <c r="AQ1622">
        <v>33333.333333333336</v>
      </c>
      <c r="AR1622" t="s">
        <v>9</v>
      </c>
      <c r="AS1622" t="s">
        <v>78</v>
      </c>
      <c r="AW1622">
        <v>0</v>
      </c>
      <c r="AX1622" t="s">
        <v>79</v>
      </c>
      <c r="AY1622" t="s">
        <v>137</v>
      </c>
      <c r="AZ1622">
        <v>0</v>
      </c>
      <c r="BA1622" t="s">
        <v>137</v>
      </c>
      <c r="BB1622">
        <v>0</v>
      </c>
      <c r="BE1622">
        <v>0</v>
      </c>
    </row>
    <row r="1623" spans="1:58" ht="12.75">
      <c r="A1623" s="2" t="str">
        <f>HYPERLINK("https://ibp.a2mac1.com/costing(costing:projects/details/8191/part/5389463)","Part 02")</f>
        <v>Part 02</v>
      </c>
      <c r="B1623">
        <v>5389463</v>
      </c>
      <c r="C1623">
        <v>5389259</v>
      </c>
      <c r="E1623">
        <v>0.38718801538461539</v>
      </c>
      <c r="F1623">
        <v>0</v>
      </c>
      <c r="G1623">
        <v>0</v>
      </c>
      <c r="H1623">
        <v>4.7587353846153845E-05</v>
      </c>
      <c r="I1623" t="s">
        <v>137</v>
      </c>
      <c r="J1623">
        <v>0.015141430769230768</v>
      </c>
      <c r="K1623">
        <v>0.40237703350769233</v>
      </c>
      <c r="L1623">
        <v>0.016357428824467144</v>
      </c>
      <c r="M1623">
        <v>0.098144572946802858</v>
      </c>
      <c r="N1623">
        <v>0.50052160645449517</v>
      </c>
      <c r="O1623" t="s">
        <v>138</v>
      </c>
      <c r="P1623">
        <v>0.024142622010461537</v>
      </c>
      <c r="Q1623" t="s">
        <v>138</v>
      </c>
      <c r="R1623">
        <v>0.0058886743768081715</v>
      </c>
      <c r="S1623" t="s">
        <v>139</v>
      </c>
      <c r="T1623">
        <v>0.060062592774539424</v>
      </c>
      <c r="U1623" t="s">
        <v>90</v>
      </c>
      <c r="V1623">
        <v>0</v>
      </c>
      <c r="W1623" t="s">
        <v>90</v>
      </c>
      <c r="X1623">
        <v>0</v>
      </c>
      <c r="Y1623">
        <v>0.59061549561630433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K1623" t="s">
        <v>6355</v>
      </c>
      <c r="AM1623">
        <v>400000</v>
      </c>
      <c r="AN1623" t="s">
        <v>76</v>
      </c>
      <c r="AO1623">
        <v>2</v>
      </c>
      <c r="AP1623">
        <v>0</v>
      </c>
      <c r="AQ1623">
        <v>33333.333333333336</v>
      </c>
      <c r="AR1623" t="s">
        <v>9</v>
      </c>
      <c r="AS1623" t="s">
        <v>78</v>
      </c>
      <c r="AW1623">
        <v>0</v>
      </c>
      <c r="AX1623" t="s">
        <v>79</v>
      </c>
      <c r="AY1623" t="s">
        <v>137</v>
      </c>
      <c r="AZ1623">
        <v>0</v>
      </c>
      <c r="BA1623" t="s">
        <v>137</v>
      </c>
      <c r="BB1623">
        <v>0</v>
      </c>
      <c r="BE1623">
        <v>0</v>
      </c>
    </row>
    <row r="1624" spans="1:58" ht="12.75">
      <c r="A1624" s="2" t="str">
        <f>HYPERLINK("https://ibp.a2mac1.com/costing(costing:projects/details/8191/part/5389464)"," Part 03")</f>
        <v xml:space="preserve"> Part 03</v>
      </c>
      <c r="B1624">
        <v>5389464</v>
      </c>
      <c r="C1624">
        <v>5389259</v>
      </c>
      <c r="E1624">
        <v>0.32276640000000001</v>
      </c>
      <c r="F1624">
        <v>0</v>
      </c>
      <c r="G1624">
        <v>0</v>
      </c>
      <c r="H1624">
        <v>4.0345800000000003E-05</v>
      </c>
      <c r="I1624" t="s">
        <v>137</v>
      </c>
      <c r="J1624">
        <v>0.012837299999999999</v>
      </c>
      <c r="K1624">
        <v>0.33564404580000001</v>
      </c>
      <c r="L1624">
        <v>0.0093102457262997304</v>
      </c>
      <c r="M1624">
        <v>0.055861474357798382</v>
      </c>
      <c r="N1624">
        <v>0.39150552015779838</v>
      </c>
      <c r="O1624" t="s">
        <v>138</v>
      </c>
      <c r="P1624">
        <v>0.020138642748</v>
      </c>
      <c r="Q1624" t="s">
        <v>138</v>
      </c>
      <c r="R1624">
        <v>0.0033516884614679028</v>
      </c>
      <c r="S1624" t="s">
        <v>139</v>
      </c>
      <c r="T1624">
        <v>0.046980662418935802</v>
      </c>
      <c r="U1624" t="s">
        <v>90</v>
      </c>
      <c r="V1624">
        <v>0</v>
      </c>
      <c r="W1624" t="s">
        <v>90</v>
      </c>
      <c r="X1624">
        <v>0</v>
      </c>
      <c r="Y1624">
        <v>0.46197651378620208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K1624" t="s">
        <v>6355</v>
      </c>
      <c r="AM1624">
        <v>400000</v>
      </c>
      <c r="AN1624" t="s">
        <v>76</v>
      </c>
      <c r="AO1624">
        <v>2</v>
      </c>
      <c r="AP1624">
        <v>0</v>
      </c>
      <c r="AQ1624">
        <v>33333.333333333336</v>
      </c>
      <c r="AR1624" t="s">
        <v>9</v>
      </c>
      <c r="AS1624" t="s">
        <v>78</v>
      </c>
      <c r="AW1624">
        <v>0</v>
      </c>
      <c r="AX1624" t="s">
        <v>79</v>
      </c>
      <c r="AY1624" t="s">
        <v>137</v>
      </c>
      <c r="AZ1624">
        <v>0</v>
      </c>
      <c r="BA1624" t="s">
        <v>137</v>
      </c>
      <c r="BB1624">
        <v>0</v>
      </c>
      <c r="BE1624">
        <v>0</v>
      </c>
    </row>
    <row r="1625" spans="1:58" ht="12.75">
      <c r="A1625" s="2" t="str">
        <f>HYPERLINK("https://ibp.a2mac1.com/costing(costing:projects/details/8191/part/5389465)","Part 04")</f>
        <v>Part 04</v>
      </c>
      <c r="B1625">
        <v>5389465</v>
      </c>
      <c r="C1625">
        <v>5389259</v>
      </c>
      <c r="E1625">
        <v>0.22400748888888888</v>
      </c>
      <c r="F1625">
        <v>0</v>
      </c>
      <c r="G1625">
        <v>0</v>
      </c>
      <c r="H1625">
        <v>2.5402911111111113E-05</v>
      </c>
      <c r="I1625" t="s">
        <v>137</v>
      </c>
      <c r="J1625">
        <v>0.0080827444444444441</v>
      </c>
      <c r="K1625">
        <v>0.23211563624444445</v>
      </c>
      <c r="L1625">
        <v>0.0093102457262997304</v>
      </c>
      <c r="M1625">
        <v>0.055861474357798382</v>
      </c>
      <c r="N1625">
        <v>0.28797711060224285</v>
      </c>
      <c r="O1625" t="s">
        <v>138</v>
      </c>
      <c r="P1625">
        <v>0.013926938174666666</v>
      </c>
      <c r="Q1625" t="s">
        <v>138</v>
      </c>
      <c r="R1625">
        <v>0.0033516884614679028</v>
      </c>
      <c r="S1625" t="s">
        <v>139</v>
      </c>
      <c r="T1625">
        <v>0.034557253272269141</v>
      </c>
      <c r="U1625" t="s">
        <v>90</v>
      </c>
      <c r="V1625">
        <v>0</v>
      </c>
      <c r="W1625" t="s">
        <v>90</v>
      </c>
      <c r="X1625">
        <v>0</v>
      </c>
      <c r="Y1625">
        <v>0.33981299051064651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K1625" t="s">
        <v>6355</v>
      </c>
      <c r="AM1625">
        <v>400000</v>
      </c>
      <c r="AN1625" t="s">
        <v>76</v>
      </c>
      <c r="AO1625">
        <v>2</v>
      </c>
      <c r="AP1625">
        <v>0</v>
      </c>
      <c r="AQ1625">
        <v>33333.333333333336</v>
      </c>
      <c r="AR1625" t="s">
        <v>9</v>
      </c>
      <c r="AS1625" t="s">
        <v>78</v>
      </c>
      <c r="AW1625">
        <v>0</v>
      </c>
      <c r="AX1625" t="s">
        <v>79</v>
      </c>
      <c r="AY1625" t="s">
        <v>137</v>
      </c>
      <c r="AZ1625">
        <v>0</v>
      </c>
      <c r="BA1625" t="s">
        <v>137</v>
      </c>
      <c r="BB1625">
        <v>0</v>
      </c>
      <c r="BE1625">
        <v>0</v>
      </c>
    </row>
    <row r="1626" spans="1:58" ht="12.75">
      <c r="A1626" s="2" t="str">
        <f>HYPERLINK("https://ibp.a2mac1.com/costing(costing:projects/details/8191/part/5389466)","Part 01 single/main")</f>
        <v>Part 01 single/main</v>
      </c>
      <c r="B1626">
        <v>5389466</v>
      </c>
      <c r="C1626">
        <v>5389260</v>
      </c>
      <c r="E1626">
        <v>0.096140818181818188</v>
      </c>
      <c r="F1626">
        <v>0</v>
      </c>
      <c r="G1626">
        <v>0</v>
      </c>
      <c r="H1626">
        <v>1.2225999999999999E-05</v>
      </c>
      <c r="I1626" t="s">
        <v>137</v>
      </c>
      <c r="J1626">
        <v>0.003890090909090909</v>
      </c>
      <c r="K1626">
        <v>0.10004313509090909</v>
      </c>
      <c r="L1626">
        <v>0.031940159054190634</v>
      </c>
      <c r="M1626">
        <v>0.1916409543251438</v>
      </c>
      <c r="N1626">
        <v>0.29168408941605289</v>
      </c>
      <c r="O1626" t="s">
        <v>138</v>
      </c>
      <c r="P1626">
        <v>0.0060025881054545458</v>
      </c>
      <c r="Q1626" t="s">
        <v>138</v>
      </c>
      <c r="R1626">
        <v>0.011498457259508628</v>
      </c>
      <c r="S1626" t="s">
        <v>139</v>
      </c>
      <c r="T1626">
        <v>0.035002090729926348</v>
      </c>
      <c r="U1626" t="s">
        <v>90</v>
      </c>
      <c r="V1626">
        <v>0</v>
      </c>
      <c r="W1626" t="s">
        <v>90</v>
      </c>
      <c r="X1626">
        <v>0</v>
      </c>
      <c r="Y1626">
        <v>0.34418722551094244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K1626" t="s">
        <v>6355</v>
      </c>
      <c r="AM1626">
        <v>400000</v>
      </c>
      <c r="AN1626" t="s">
        <v>76</v>
      </c>
      <c r="AO1626">
        <v>2</v>
      </c>
      <c r="AP1626">
        <v>0</v>
      </c>
      <c r="AQ1626">
        <v>33333.333333333336</v>
      </c>
      <c r="AR1626" t="s">
        <v>9</v>
      </c>
      <c r="AS1626" t="s">
        <v>78</v>
      </c>
      <c r="AW1626">
        <v>0</v>
      </c>
      <c r="AX1626" t="s">
        <v>79</v>
      </c>
      <c r="AY1626" t="s">
        <v>137</v>
      </c>
      <c r="AZ1626">
        <v>0</v>
      </c>
      <c r="BA1626" t="s">
        <v>137</v>
      </c>
      <c r="BB1626">
        <v>0</v>
      </c>
      <c r="BE1626">
        <v>0</v>
      </c>
    </row>
    <row r="1627" spans="1:58" ht="12.75">
      <c r="A1627" s="2" t="str">
        <f>HYPERLINK("https://ibp.a2mac1.com/costing(costing:projects/details/8191/part/5389467)","Part 02")</f>
        <v>Part 02</v>
      </c>
      <c r="B1627">
        <v>5389467</v>
      </c>
      <c r="C1627">
        <v>5389260</v>
      </c>
      <c r="E1627">
        <v>0.071725866666666666</v>
      </c>
      <c r="F1627">
        <v>0</v>
      </c>
      <c r="G1627">
        <v>0</v>
      </c>
      <c r="H1627">
        <v>8.965733333333333E-06</v>
      </c>
      <c r="I1627" t="s">
        <v>137</v>
      </c>
      <c r="J1627">
        <v>0.0028527333333333332</v>
      </c>
      <c r="K1627">
        <v>0.074587565733333333</v>
      </c>
      <c r="L1627">
        <v>0.0043569423054512666</v>
      </c>
      <c r="M1627">
        <v>0.026141653832707602</v>
      </c>
      <c r="N1627">
        <v>0.10072921956604093</v>
      </c>
      <c r="O1627" t="s">
        <v>138</v>
      </c>
      <c r="P1627">
        <v>0.0044752539439999999</v>
      </c>
      <c r="Q1627" t="s">
        <v>138</v>
      </c>
      <c r="R1627">
        <v>0.0015684992299624561</v>
      </c>
      <c r="S1627" t="s">
        <v>139</v>
      </c>
      <c r="T1627">
        <v>0.012087506347924912</v>
      </c>
      <c r="U1627" t="s">
        <v>90</v>
      </c>
      <c r="V1627">
        <v>0</v>
      </c>
      <c r="W1627" t="s">
        <v>90</v>
      </c>
      <c r="X1627">
        <v>0</v>
      </c>
      <c r="Y1627">
        <v>0.11886047908792831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K1627" t="s">
        <v>6355</v>
      </c>
      <c r="AM1627">
        <v>400000</v>
      </c>
      <c r="AN1627" t="s">
        <v>76</v>
      </c>
      <c r="AO1627">
        <v>2</v>
      </c>
      <c r="AP1627">
        <v>0</v>
      </c>
      <c r="AQ1627">
        <v>33333.333333333336</v>
      </c>
      <c r="AR1627" t="s">
        <v>9</v>
      </c>
      <c r="AS1627" t="s">
        <v>78</v>
      </c>
      <c r="AW1627">
        <v>0</v>
      </c>
      <c r="AX1627" t="s">
        <v>79</v>
      </c>
      <c r="AY1627" t="s">
        <v>137</v>
      </c>
      <c r="AZ1627">
        <v>0</v>
      </c>
      <c r="BA1627" t="s">
        <v>137</v>
      </c>
      <c r="BB1627">
        <v>0</v>
      </c>
      <c r="BE1627">
        <v>0</v>
      </c>
    </row>
    <row r="1628" spans="1:58" ht="12.75">
      <c r="A1628" s="2" t="str">
        <f>HYPERLINK("https://ibp.a2mac1.com/costing(costing:projects/details/8191/part/5389468)"," Part 03")</f>
        <v xml:space="preserve"> Part 03</v>
      </c>
      <c r="B1628">
        <v>5389468</v>
      </c>
      <c r="C1628">
        <v>5389260</v>
      </c>
      <c r="E1628">
        <v>0.04120881176470588</v>
      </c>
      <c r="F1628">
        <v>0</v>
      </c>
      <c r="G1628">
        <v>0</v>
      </c>
      <c r="H1628">
        <v>4.7465647058823531E-06</v>
      </c>
      <c r="I1628" t="s">
        <v>137</v>
      </c>
      <c r="J1628">
        <v>0.0015102705882352942</v>
      </c>
      <c r="K1628">
        <v>0.042723828917647061</v>
      </c>
      <c r="L1628">
        <v>0.0039320942634972159</v>
      </c>
      <c r="M1628">
        <v>0.023592565580983296</v>
      </c>
      <c r="N1628">
        <v>0.06631639449863036</v>
      </c>
      <c r="O1628" t="s">
        <v>138</v>
      </c>
      <c r="P1628">
        <v>0.0025634297350588236</v>
      </c>
      <c r="Q1628" t="s">
        <v>138</v>
      </c>
      <c r="R1628">
        <v>0.0014155539348589977</v>
      </c>
      <c r="S1628" t="s">
        <v>139</v>
      </c>
      <c r="T1628">
        <v>0.0079579673398356421</v>
      </c>
      <c r="U1628" t="s">
        <v>90</v>
      </c>
      <c r="V1628">
        <v>0</v>
      </c>
      <c r="W1628" t="s">
        <v>90</v>
      </c>
      <c r="X1628">
        <v>0</v>
      </c>
      <c r="Y1628">
        <v>0.078253345508383823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K1628" t="s">
        <v>6355</v>
      </c>
      <c r="AM1628">
        <v>400000</v>
      </c>
      <c r="AN1628" t="s">
        <v>76</v>
      </c>
      <c r="AO1628">
        <v>2</v>
      </c>
      <c r="AP1628">
        <v>0</v>
      </c>
      <c r="AQ1628">
        <v>33333.333333333336</v>
      </c>
      <c r="AR1628" t="s">
        <v>9</v>
      </c>
      <c r="AS1628" t="s">
        <v>78</v>
      </c>
      <c r="AW1628">
        <v>0</v>
      </c>
      <c r="AX1628" t="s">
        <v>79</v>
      </c>
      <c r="AY1628" t="s">
        <v>137</v>
      </c>
      <c r="AZ1628">
        <v>0</v>
      </c>
      <c r="BA1628" t="s">
        <v>137</v>
      </c>
      <c r="BB1628">
        <v>0</v>
      </c>
      <c r="BE1628">
        <v>0</v>
      </c>
    </row>
    <row r="1629" spans="1:58" ht="12.75">
      <c r="A1629" s="2" t="str">
        <f>HYPERLINK("https://ibp.a2mac1.com/costing(costing:projects/details/8191/part/5389469)","Part 04")</f>
        <v>Part 04</v>
      </c>
      <c r="B1629">
        <v>5389469</v>
      </c>
      <c r="C1629">
        <v>5389260</v>
      </c>
      <c r="E1629">
        <v>0.083136799999999997</v>
      </c>
      <c r="F1629">
        <v>0</v>
      </c>
      <c r="G1629">
        <v>0</v>
      </c>
      <c r="H1629">
        <v>1.075888E-05</v>
      </c>
      <c r="I1629" t="s">
        <v>137</v>
      </c>
      <c r="J1629">
        <v>0.0034232799999999999</v>
      </c>
      <c r="K1629">
        <v>0.086570838880000001</v>
      </c>
      <c r="L1629">
        <v>0.0043569423054512666</v>
      </c>
      <c r="M1629">
        <v>0.026141653832707602</v>
      </c>
      <c r="N1629">
        <v>0.1127124927127076</v>
      </c>
      <c r="O1629" t="s">
        <v>138</v>
      </c>
      <c r="P1629">
        <v>0.0051942503328000003</v>
      </c>
      <c r="Q1629" t="s">
        <v>138</v>
      </c>
      <c r="R1629">
        <v>0.0015684992299624561</v>
      </c>
      <c r="S1629" t="s">
        <v>139</v>
      </c>
      <c r="T1629">
        <v>0.013525499125524912</v>
      </c>
      <c r="U1629" t="s">
        <v>90</v>
      </c>
      <c r="V1629">
        <v>0</v>
      </c>
      <c r="W1629" t="s">
        <v>90</v>
      </c>
      <c r="X1629">
        <v>0</v>
      </c>
      <c r="Y1629">
        <v>0.13300074140099497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K1629" t="s">
        <v>6355</v>
      </c>
      <c r="AM1629">
        <v>400000</v>
      </c>
      <c r="AN1629" t="s">
        <v>76</v>
      </c>
      <c r="AO1629">
        <v>2</v>
      </c>
      <c r="AP1629">
        <v>0</v>
      </c>
      <c r="AQ1629">
        <v>33333.333333333336</v>
      </c>
      <c r="AR1629" t="s">
        <v>9</v>
      </c>
      <c r="AS1629" t="s">
        <v>78</v>
      </c>
      <c r="AW1629">
        <v>0</v>
      </c>
      <c r="AX1629" t="s">
        <v>79</v>
      </c>
      <c r="AY1629" t="s">
        <v>137</v>
      </c>
      <c r="AZ1629">
        <v>0</v>
      </c>
      <c r="BA1629" t="s">
        <v>137</v>
      </c>
      <c r="BB1629">
        <v>0</v>
      </c>
      <c r="BE1629">
        <v>0</v>
      </c>
    </row>
    <row r="1630" spans="1:58" ht="12.75">
      <c r="A1630" s="2" t="str">
        <f>HYPERLINK("https://ibp.a2mac1.com/costing(costing:projects/details/8191/part/5389470)"," Part 05")</f>
        <v xml:space="preserve"> Part 05</v>
      </c>
      <c r="B1630">
        <v>5389470</v>
      </c>
      <c r="C1630">
        <v>5389260</v>
      </c>
      <c r="E1630">
        <v>0.20201113846153845</v>
      </c>
      <c r="F1630">
        <v>0</v>
      </c>
      <c r="G1630">
        <v>0</v>
      </c>
      <c r="H1630">
        <v>2.4828184615384615E-05</v>
      </c>
      <c r="I1630" t="s">
        <v>137</v>
      </c>
      <c r="J1630">
        <v>0.0078998769230769223</v>
      </c>
      <c r="K1630">
        <v>0.20993584356923076</v>
      </c>
      <c r="L1630">
        <v>0.0093102457262997304</v>
      </c>
      <c r="M1630">
        <v>0.055861474357798382</v>
      </c>
      <c r="N1630">
        <v>0.26579731792702915</v>
      </c>
      <c r="O1630" t="s">
        <v>138</v>
      </c>
      <c r="P1630">
        <v>0.012596150614153846</v>
      </c>
      <c r="Q1630" t="s">
        <v>138</v>
      </c>
      <c r="R1630">
        <v>0.0033516884614679028</v>
      </c>
      <c r="S1630" t="s">
        <v>139</v>
      </c>
      <c r="T1630">
        <v>0.031895678151243501</v>
      </c>
      <c r="U1630" t="s">
        <v>90</v>
      </c>
      <c r="V1630">
        <v>0</v>
      </c>
      <c r="W1630" t="s">
        <v>90</v>
      </c>
      <c r="X1630">
        <v>0</v>
      </c>
      <c r="Y1630">
        <v>0.3136408351538944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K1630" t="s">
        <v>6355</v>
      </c>
      <c r="AM1630">
        <v>400000</v>
      </c>
      <c r="AN1630" t="s">
        <v>76</v>
      </c>
      <c r="AO1630">
        <v>2</v>
      </c>
      <c r="AP1630">
        <v>0</v>
      </c>
      <c r="AQ1630">
        <v>33333.333333333336</v>
      </c>
      <c r="AR1630" t="s">
        <v>9</v>
      </c>
      <c r="AS1630" t="s">
        <v>78</v>
      </c>
      <c r="AW1630">
        <v>0</v>
      </c>
      <c r="AX1630" t="s">
        <v>79</v>
      </c>
      <c r="AY1630" t="s">
        <v>137</v>
      </c>
      <c r="AZ1630">
        <v>0</v>
      </c>
      <c r="BA1630" t="s">
        <v>137</v>
      </c>
      <c r="BB1630">
        <v>0</v>
      </c>
      <c r="BE1630">
        <v>0</v>
      </c>
    </row>
    <row r="1631" spans="1:58" ht="12.75">
      <c r="A1631" s="2" t="str">
        <f>HYPERLINK("https://ibp.a2mac1.com/costing(costing:projects/details/8191/part/5389471)","Part 06")</f>
        <v>Part 06</v>
      </c>
      <c r="B1631">
        <v>5389471</v>
      </c>
      <c r="C1631">
        <v>5389260</v>
      </c>
      <c r="E1631">
        <v>0.047681399999999999</v>
      </c>
      <c r="F1631">
        <v>0</v>
      </c>
      <c r="G1631">
        <v>0</v>
      </c>
      <c r="H1631">
        <v>5.7636857142857144E-06</v>
      </c>
      <c r="I1631" t="s">
        <v>137</v>
      </c>
      <c r="J1631">
        <v>0.0018339000000000001</v>
      </c>
      <c r="K1631">
        <v>0.049521063685714288</v>
      </c>
      <c r="L1631">
        <v>0.0043569423054512666</v>
      </c>
      <c r="M1631">
        <v>0.026141653832707602</v>
      </c>
      <c r="N1631">
        <v>0.075662717518421893</v>
      </c>
      <c r="O1631" t="s">
        <v>138</v>
      </c>
      <c r="P1631">
        <v>0.0029712638211428573</v>
      </c>
      <c r="Q1631" t="s">
        <v>138</v>
      </c>
      <c r="R1631">
        <v>0.0015684992299624561</v>
      </c>
      <c r="S1631" t="s">
        <v>139</v>
      </c>
      <c r="T1631">
        <v>0.0090795261022106263</v>
      </c>
      <c r="U1631" t="s">
        <v>90</v>
      </c>
      <c r="V1631">
        <v>0</v>
      </c>
      <c r="W1631" t="s">
        <v>90</v>
      </c>
      <c r="X1631">
        <v>0</v>
      </c>
      <c r="Y1631">
        <v>0.089282006671737829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K1631" t="s">
        <v>6355</v>
      </c>
      <c r="AM1631">
        <v>400000</v>
      </c>
      <c r="AN1631" t="s">
        <v>76</v>
      </c>
      <c r="AO1631">
        <v>2</v>
      </c>
      <c r="AP1631">
        <v>0</v>
      </c>
      <c r="AQ1631">
        <v>33333.333333333336</v>
      </c>
      <c r="AR1631" t="s">
        <v>9</v>
      </c>
      <c r="AS1631" t="s">
        <v>78</v>
      </c>
      <c r="AW1631">
        <v>0</v>
      </c>
      <c r="AX1631" t="s">
        <v>79</v>
      </c>
      <c r="AY1631" t="s">
        <v>137</v>
      </c>
      <c r="AZ1631">
        <v>0</v>
      </c>
      <c r="BA1631" t="s">
        <v>137</v>
      </c>
      <c r="BB1631">
        <v>0</v>
      </c>
      <c r="BE1631">
        <v>0</v>
      </c>
    </row>
    <row r="1632" spans="1:58" ht="12.75">
      <c r="A1632" s="2" t="str">
        <f>HYPERLINK("https://ibp.a2mac1.com/costing(costing:projects/details/8191/part/5389472)"," Part 01 single/main/front")</f>
        <v xml:space="preserve"> Part 01 single/main/front</v>
      </c>
      <c r="B1632">
        <v>5389472</v>
      </c>
      <c r="C1632">
        <v>5389261</v>
      </c>
      <c r="E1632">
        <v>34.608062279999999</v>
      </c>
      <c r="F1632">
        <v>0</v>
      </c>
      <c r="G1632">
        <v>0</v>
      </c>
      <c r="H1632">
        <v>0.0046425449399999999</v>
      </c>
      <c r="I1632" t="s">
        <v>137</v>
      </c>
      <c r="J1632">
        <v>1.4771733899999999</v>
      </c>
      <c r="K1632">
        <v>36.089878214940001</v>
      </c>
      <c r="L1632">
        <v>0.4218254306032842</v>
      </c>
      <c r="M1632">
        <v>2.5309525836197055</v>
      </c>
      <c r="N1632">
        <v>38.620830798559709</v>
      </c>
      <c r="O1632" t="s">
        <v>138</v>
      </c>
      <c r="P1632">
        <v>2.1653926928964</v>
      </c>
      <c r="Q1632" t="s">
        <v>138</v>
      </c>
      <c r="R1632">
        <v>0.15185715501718233</v>
      </c>
      <c r="S1632" t="s">
        <v>139</v>
      </c>
      <c r="T1632">
        <v>4.6344996958271647</v>
      </c>
      <c r="U1632" t="s">
        <v>90</v>
      </c>
      <c r="V1632">
        <v>0</v>
      </c>
      <c r="W1632" t="s">
        <v>90</v>
      </c>
      <c r="X1632">
        <v>0</v>
      </c>
      <c r="Y1632">
        <v>45.572580342300455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K1632" t="s">
        <v>6355</v>
      </c>
      <c r="AM1632">
        <v>400000</v>
      </c>
      <c r="AN1632" t="s">
        <v>76</v>
      </c>
      <c r="AO1632">
        <v>2</v>
      </c>
      <c r="AP1632">
        <v>0</v>
      </c>
      <c r="AQ1632">
        <v>33333.333333333336</v>
      </c>
      <c r="AR1632" t="s">
        <v>9</v>
      </c>
      <c r="AS1632" t="s">
        <v>78</v>
      </c>
      <c r="AW1632">
        <v>0</v>
      </c>
      <c r="AX1632" t="s">
        <v>79</v>
      </c>
      <c r="AY1632" t="s">
        <v>137</v>
      </c>
      <c r="AZ1632">
        <v>0</v>
      </c>
      <c r="BA1632" t="s">
        <v>137</v>
      </c>
      <c r="BB1632">
        <v>0</v>
      </c>
      <c r="BE1632">
        <v>0</v>
      </c>
    </row>
    <row r="1633" spans="1:58" ht="12.75">
      <c r="A1633" s="2" t="str">
        <f>HYPERLINK("https://ibp.a2mac1.com/costing(costing:projects/details/8191/part/5389473)"," Part 02")</f>
        <v xml:space="preserve"> Part 02</v>
      </c>
      <c r="B1633">
        <v>5389473</v>
      </c>
      <c r="C1633">
        <v>5389261</v>
      </c>
      <c r="E1633">
        <v>1.5681882666666667</v>
      </c>
      <c r="F1633">
        <v>0</v>
      </c>
      <c r="G1633">
        <v>0</v>
      </c>
      <c r="H1633">
        <v>0.00018648725333333333</v>
      </c>
      <c r="I1633" t="s">
        <v>137</v>
      </c>
      <c r="J1633">
        <v>0.059336853333333335</v>
      </c>
      <c r="K1633">
        <v>1.6277116072533333</v>
      </c>
      <c r="L1633">
        <v>0.016357428824467144</v>
      </c>
      <c r="M1633">
        <v>0.098144572946802858</v>
      </c>
      <c r="N1633">
        <v>1.7258561802001362</v>
      </c>
      <c r="O1633" t="s">
        <v>138</v>
      </c>
      <c r="P1633">
        <v>0.097662696435199994</v>
      </c>
      <c r="Q1633" t="s">
        <v>138</v>
      </c>
      <c r="R1633">
        <v>0.0058886743768081715</v>
      </c>
      <c r="S1633" t="s">
        <v>139</v>
      </c>
      <c r="T1633">
        <v>0.20710274162401635</v>
      </c>
      <c r="U1633" t="s">
        <v>90</v>
      </c>
      <c r="V1633">
        <v>0</v>
      </c>
      <c r="W1633" t="s">
        <v>90</v>
      </c>
      <c r="X1633">
        <v>0</v>
      </c>
      <c r="Y1633">
        <v>2.0365102926361609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K1633" t="s">
        <v>6355</v>
      </c>
      <c r="AM1633">
        <v>400000</v>
      </c>
      <c r="AN1633" t="s">
        <v>76</v>
      </c>
      <c r="AO1633">
        <v>2</v>
      </c>
      <c r="AP1633">
        <v>0</v>
      </c>
      <c r="AQ1633">
        <v>33333.333333333336</v>
      </c>
      <c r="AR1633" t="s">
        <v>9</v>
      </c>
      <c r="AS1633" t="s">
        <v>78</v>
      </c>
      <c r="AW1633">
        <v>0</v>
      </c>
      <c r="AX1633" t="s">
        <v>79</v>
      </c>
      <c r="AY1633" t="s">
        <v>137</v>
      </c>
      <c r="AZ1633">
        <v>0</v>
      </c>
      <c r="BA1633" t="s">
        <v>137</v>
      </c>
      <c r="BB1633">
        <v>0</v>
      </c>
      <c r="BE1633">
        <v>0</v>
      </c>
    </row>
    <row r="1634" spans="1:58" ht="12.75">
      <c r="A1634" s="2" t="str">
        <f>HYPERLINK("https://ibp.a2mac1.com/costing(costing:projects/details/8191/part/5389474)","Part 01 single/main/front")</f>
        <v>Part 01 single/main/front</v>
      </c>
      <c r="B1634">
        <v>5389474</v>
      </c>
      <c r="C1634">
        <v>5389262</v>
      </c>
      <c r="E1634">
        <v>12.135453439999999</v>
      </c>
      <c r="F1634">
        <v>0</v>
      </c>
      <c r="G1634">
        <v>0</v>
      </c>
      <c r="H1634">
        <v>0.0015169316799999999</v>
      </c>
      <c r="I1634" t="s">
        <v>137</v>
      </c>
      <c r="J1634">
        <v>0.48266007999999999</v>
      </c>
      <c r="K1634">
        <v>12.619630451680001</v>
      </c>
      <c r="L1634">
        <v>0.4218254306032842</v>
      </c>
      <c r="M1634">
        <v>2.5309525836197055</v>
      </c>
      <c r="N1634">
        <v>15.150583035299706</v>
      </c>
      <c r="O1634" t="s">
        <v>138</v>
      </c>
      <c r="P1634">
        <v>0.75717782710079995</v>
      </c>
      <c r="Q1634" t="s">
        <v>138</v>
      </c>
      <c r="R1634">
        <v>0.15185715501718233</v>
      </c>
      <c r="S1634" t="s">
        <v>139</v>
      </c>
      <c r="T1634">
        <v>1.8180699642359646</v>
      </c>
      <c r="U1634" t="s">
        <v>90</v>
      </c>
      <c r="V1634">
        <v>0</v>
      </c>
      <c r="W1634" t="s">
        <v>90</v>
      </c>
      <c r="X1634">
        <v>0</v>
      </c>
      <c r="Y1634">
        <v>17.877687981653651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K1634" t="s">
        <v>6355</v>
      </c>
      <c r="AM1634">
        <v>400000</v>
      </c>
      <c r="AN1634" t="s">
        <v>76</v>
      </c>
      <c r="AO1634">
        <v>2</v>
      </c>
      <c r="AP1634">
        <v>0</v>
      </c>
      <c r="AQ1634">
        <v>33333.333333333336</v>
      </c>
      <c r="AR1634" t="s">
        <v>9</v>
      </c>
      <c r="AS1634" t="s">
        <v>78</v>
      </c>
      <c r="AW1634">
        <v>0</v>
      </c>
      <c r="AX1634" t="s">
        <v>79</v>
      </c>
      <c r="AY1634" t="s">
        <v>137</v>
      </c>
      <c r="AZ1634">
        <v>0</v>
      </c>
      <c r="BA1634" t="s">
        <v>137</v>
      </c>
      <c r="BB1634">
        <v>0</v>
      </c>
      <c r="BE1634">
        <v>0</v>
      </c>
    </row>
    <row r="1635" spans="1:58" ht="12.75">
      <c r="A1635" s="2" t="str">
        <f>HYPERLINK("https://ibp.a2mac1.com/costing(costing:projects/details/8191/part/5389475)","Part 01 single/main")</f>
        <v>Part 01 single/main</v>
      </c>
      <c r="B1635">
        <v>5389475</v>
      </c>
      <c r="C1635">
        <v>5389263</v>
      </c>
      <c r="E1635">
        <v>1.2556102</v>
      </c>
      <c r="F1635">
        <v>0</v>
      </c>
      <c r="G1635">
        <v>0</v>
      </c>
      <c r="H1635">
        <v>0.00015177705714285714</v>
      </c>
      <c r="I1635" t="s">
        <v>137</v>
      </c>
      <c r="J1635">
        <v>0.048292700000000001</v>
      </c>
      <c r="K1635">
        <v>1.3040546770571428</v>
      </c>
      <c r="L1635">
        <v>0.016357428824467144</v>
      </c>
      <c r="M1635">
        <v>0.098144572946802858</v>
      </c>
      <c r="N1635">
        <v>1.4021992500039457</v>
      </c>
      <c r="O1635" t="s">
        <v>138</v>
      </c>
      <c r="P1635">
        <v>0.078243280623428571</v>
      </c>
      <c r="Q1635" t="s">
        <v>138</v>
      </c>
      <c r="R1635">
        <v>0.0058886743768081715</v>
      </c>
      <c r="S1635" t="s">
        <v>139</v>
      </c>
      <c r="T1635">
        <v>0.1682639100004735</v>
      </c>
      <c r="U1635" t="s">
        <v>90</v>
      </c>
      <c r="V1635">
        <v>0</v>
      </c>
      <c r="W1635" t="s">
        <v>90</v>
      </c>
      <c r="X1635">
        <v>0</v>
      </c>
      <c r="Y1635">
        <v>1.6545951150046561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K1635" t="s">
        <v>6355</v>
      </c>
      <c r="AM1635">
        <v>400000</v>
      </c>
      <c r="AN1635" t="s">
        <v>76</v>
      </c>
      <c r="AO1635">
        <v>2</v>
      </c>
      <c r="AP1635">
        <v>0</v>
      </c>
      <c r="AQ1635">
        <v>33333.333333333336</v>
      </c>
      <c r="AR1635" t="s">
        <v>9</v>
      </c>
      <c r="AS1635" t="s">
        <v>78</v>
      </c>
      <c r="AW1635">
        <v>0</v>
      </c>
      <c r="AX1635" t="s">
        <v>79</v>
      </c>
      <c r="AY1635" t="s">
        <v>137</v>
      </c>
      <c r="AZ1635">
        <v>0</v>
      </c>
      <c r="BA1635" t="s">
        <v>137</v>
      </c>
      <c r="BB1635">
        <v>0</v>
      </c>
      <c r="BE1635">
        <v>0</v>
      </c>
    </row>
    <row r="1636" spans="1:58" ht="12.75">
      <c r="A1636" s="2" t="str">
        <f>HYPERLINK("https://ibp.a2mac1.com/costing(costing:projects/details/8191/part/5389476)","Part 01 single/main")</f>
        <v>Part 01 single/main</v>
      </c>
      <c r="B1636">
        <v>5389476</v>
      </c>
      <c r="C1636">
        <v>5389264</v>
      </c>
      <c r="E1636">
        <v>0.10055885000000001</v>
      </c>
      <c r="F1636">
        <v>0</v>
      </c>
      <c r="G1636">
        <v>0</v>
      </c>
      <c r="H1636">
        <v>1.1767525E-05</v>
      </c>
      <c r="I1636" t="s">
        <v>137</v>
      </c>
      <c r="J1636">
        <v>0.0037442125</v>
      </c>
      <c r="K1636">
        <v>0.104314830025</v>
      </c>
      <c r="L1636">
        <v>0.012017019305024818</v>
      </c>
      <c r="M1636">
        <v>0.072102115830148902</v>
      </c>
      <c r="N1636">
        <v>0.17641694585514892</v>
      </c>
      <c r="O1636" t="s">
        <v>138</v>
      </c>
      <c r="P1636">
        <v>0.0062588898015000002</v>
      </c>
      <c r="Q1636" t="s">
        <v>138</v>
      </c>
      <c r="R1636">
        <v>0.0043261269498089342</v>
      </c>
      <c r="S1636" t="s">
        <v>139</v>
      </c>
      <c r="T1636">
        <v>0.021170033502617869</v>
      </c>
      <c r="U1636" t="s">
        <v>90</v>
      </c>
      <c r="V1636">
        <v>0</v>
      </c>
      <c r="W1636" t="s">
        <v>90</v>
      </c>
      <c r="X1636">
        <v>0</v>
      </c>
      <c r="Y1636">
        <v>0.20817199610907572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K1636" t="s">
        <v>6355</v>
      </c>
      <c r="AM1636">
        <v>400000</v>
      </c>
      <c r="AN1636" t="s">
        <v>76</v>
      </c>
      <c r="AO1636">
        <v>2</v>
      </c>
      <c r="AP1636">
        <v>0</v>
      </c>
      <c r="AQ1636">
        <v>33333.333333333336</v>
      </c>
      <c r="AR1636" t="s">
        <v>9</v>
      </c>
      <c r="AS1636" t="s">
        <v>78</v>
      </c>
      <c r="AW1636">
        <v>0</v>
      </c>
      <c r="AX1636" t="s">
        <v>79</v>
      </c>
      <c r="AY1636" t="s">
        <v>137</v>
      </c>
      <c r="AZ1636">
        <v>0</v>
      </c>
      <c r="BA1636" t="s">
        <v>137</v>
      </c>
      <c r="BB1636">
        <v>0</v>
      </c>
      <c r="BE1636">
        <v>0</v>
      </c>
    </row>
    <row r="1637" spans="1:58" ht="12.75">
      <c r="A1637" s="2" t="str">
        <f>HYPERLINK("https://ibp.a2mac1.com/costing(costing:projects/details/8191/part/5389477)","Part 02")</f>
        <v>Part 02</v>
      </c>
      <c r="B1637">
        <v>5389477</v>
      </c>
      <c r="C1637">
        <v>5389264</v>
      </c>
      <c r="E1637">
        <v>0.51960499999999998</v>
      </c>
      <c r="F1637">
        <v>0</v>
      </c>
      <c r="G1637">
        <v>0</v>
      </c>
      <c r="H1637">
        <v>6.7243000000000007E-05</v>
      </c>
      <c r="I1637" t="s">
        <v>137</v>
      </c>
      <c r="J1637">
        <v>0.021395500000000001</v>
      </c>
      <c r="K1637">
        <v>0.54106774300000005</v>
      </c>
      <c r="L1637">
        <v>0.016357428824467144</v>
      </c>
      <c r="M1637">
        <v>0.098144572946802858</v>
      </c>
      <c r="N1637">
        <v>0.63921231594680283</v>
      </c>
      <c r="O1637" t="s">
        <v>138</v>
      </c>
      <c r="P1637">
        <v>0.03246406458</v>
      </c>
      <c r="Q1637" t="s">
        <v>138</v>
      </c>
      <c r="R1637">
        <v>0.0058886743768081715</v>
      </c>
      <c r="S1637" t="s">
        <v>139</v>
      </c>
      <c r="T1637">
        <v>0.076705477913616343</v>
      </c>
      <c r="U1637" t="s">
        <v>90</v>
      </c>
      <c r="V1637">
        <v>0</v>
      </c>
      <c r="W1637" t="s">
        <v>90</v>
      </c>
      <c r="X1637">
        <v>0</v>
      </c>
      <c r="Y1637">
        <v>0.75427053281722733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K1637" t="s">
        <v>6355</v>
      </c>
      <c r="AM1637">
        <v>400000</v>
      </c>
      <c r="AN1637" t="s">
        <v>76</v>
      </c>
      <c r="AO1637">
        <v>2</v>
      </c>
      <c r="AP1637">
        <v>0</v>
      </c>
      <c r="AQ1637">
        <v>33333.333333333336</v>
      </c>
      <c r="AR1637" t="s">
        <v>9</v>
      </c>
      <c r="AS1637" t="s">
        <v>78</v>
      </c>
      <c r="AW1637">
        <v>0</v>
      </c>
      <c r="AX1637" t="s">
        <v>79</v>
      </c>
      <c r="AY1637" t="s">
        <v>137</v>
      </c>
      <c r="AZ1637">
        <v>0</v>
      </c>
      <c r="BA1637" t="s">
        <v>137</v>
      </c>
      <c r="BB1637">
        <v>0</v>
      </c>
      <c r="BE1637">
        <v>0</v>
      </c>
    </row>
    <row r="1638" spans="1:58" ht="12.75">
      <c r="A1638" s="2" t="str">
        <f>HYPERLINK("https://ibp.a2mac1.com/costing(costing:projects/details/8191/part/5389478)","Part 03")</f>
        <v>Part 03</v>
      </c>
      <c r="B1638">
        <v>5389478</v>
      </c>
      <c r="C1638">
        <v>5389264</v>
      </c>
      <c r="E1638">
        <v>0.51960499999999998</v>
      </c>
      <c r="F1638">
        <v>0</v>
      </c>
      <c r="G1638">
        <v>0</v>
      </c>
      <c r="H1638">
        <v>6.7243000000000007E-05</v>
      </c>
      <c r="I1638" t="s">
        <v>137</v>
      </c>
      <c r="J1638">
        <v>0.021395500000000001</v>
      </c>
      <c r="K1638">
        <v>0.54106774300000005</v>
      </c>
      <c r="L1638">
        <v>0.016357428824467144</v>
      </c>
      <c r="M1638">
        <v>0.098144572946802858</v>
      </c>
      <c r="N1638">
        <v>0.63921231594680283</v>
      </c>
      <c r="O1638" t="s">
        <v>138</v>
      </c>
      <c r="P1638">
        <v>0.03246406458</v>
      </c>
      <c r="Q1638" t="s">
        <v>138</v>
      </c>
      <c r="R1638">
        <v>0.0058886743768081715</v>
      </c>
      <c r="S1638" t="s">
        <v>139</v>
      </c>
      <c r="T1638">
        <v>0.076705477913616343</v>
      </c>
      <c r="U1638" t="s">
        <v>90</v>
      </c>
      <c r="V1638">
        <v>0</v>
      </c>
      <c r="W1638" t="s">
        <v>90</v>
      </c>
      <c r="X1638">
        <v>0</v>
      </c>
      <c r="Y1638">
        <v>0.75427053281722733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K1638" t="s">
        <v>6355</v>
      </c>
      <c r="AM1638">
        <v>400000</v>
      </c>
      <c r="AN1638" t="s">
        <v>76</v>
      </c>
      <c r="AO1638">
        <v>2</v>
      </c>
      <c r="AP1638">
        <v>0</v>
      </c>
      <c r="AQ1638">
        <v>33333.333333333336</v>
      </c>
      <c r="AR1638" t="s">
        <v>9</v>
      </c>
      <c r="AS1638" t="s">
        <v>78</v>
      </c>
      <c r="AW1638">
        <v>0</v>
      </c>
      <c r="AX1638" t="s">
        <v>79</v>
      </c>
      <c r="AY1638" t="s">
        <v>137</v>
      </c>
      <c r="AZ1638">
        <v>0</v>
      </c>
      <c r="BA1638" t="s">
        <v>137</v>
      </c>
      <c r="BB1638">
        <v>0</v>
      </c>
      <c r="BE1638">
        <v>0</v>
      </c>
    </row>
    <row r="1639" spans="1:58" ht="12.75">
      <c r="A1639" s="2" t="str">
        <f>HYPERLINK("https://ibp.a2mac1.com/costing(costing:projects/details/8191/part/5389479)","Part 01 single/main/upper")</f>
        <v>Part 01 single/main/upper</v>
      </c>
      <c r="B1639">
        <v>5389479</v>
      </c>
      <c r="C1639">
        <v>5389265</v>
      </c>
      <c r="E1639">
        <v>5.1176155076923076</v>
      </c>
      <c r="F1639">
        <v>0</v>
      </c>
      <c r="G1639">
        <v>0</v>
      </c>
      <c r="H1639">
        <v>0.00062898067692307696</v>
      </c>
      <c r="I1639" t="s">
        <v>137</v>
      </c>
      <c r="J1639">
        <v>0.2001302153846154</v>
      </c>
      <c r="K1639">
        <v>5.3183747037538458</v>
      </c>
      <c r="L1639">
        <v>0.020626099745884138</v>
      </c>
      <c r="M1639">
        <v>0.12375659847530482</v>
      </c>
      <c r="N1639">
        <v>5.4421313022291509</v>
      </c>
      <c r="O1639" t="s">
        <v>138</v>
      </c>
      <c r="P1639">
        <v>0.31910248222523074</v>
      </c>
      <c r="Q1639" t="s">
        <v>138</v>
      </c>
      <c r="R1639">
        <v>0.0074253959085182897</v>
      </c>
      <c r="S1639" t="s">
        <v>139</v>
      </c>
      <c r="T1639">
        <v>0.65305575626749812</v>
      </c>
      <c r="U1639" t="s">
        <v>90</v>
      </c>
      <c r="V1639">
        <v>0</v>
      </c>
      <c r="W1639" t="s">
        <v>90</v>
      </c>
      <c r="X1639">
        <v>0</v>
      </c>
      <c r="Y1639">
        <v>6.4217149366303978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K1639" t="s">
        <v>6355</v>
      </c>
      <c r="AM1639">
        <v>400000</v>
      </c>
      <c r="AN1639" t="s">
        <v>76</v>
      </c>
      <c r="AO1639">
        <v>2</v>
      </c>
      <c r="AP1639">
        <v>0</v>
      </c>
      <c r="AQ1639">
        <v>33333.333333333336</v>
      </c>
      <c r="AR1639" t="s">
        <v>9</v>
      </c>
      <c r="AS1639" t="s">
        <v>78</v>
      </c>
      <c r="AW1639">
        <v>0</v>
      </c>
      <c r="AX1639" t="s">
        <v>79</v>
      </c>
      <c r="AY1639" t="s">
        <v>137</v>
      </c>
      <c r="AZ1639">
        <v>0</v>
      </c>
      <c r="BA1639" t="s">
        <v>137</v>
      </c>
      <c r="BB1639">
        <v>0</v>
      </c>
      <c r="BE1639">
        <v>0</v>
      </c>
    </row>
    <row r="1640" spans="1:58" ht="12.75">
      <c r="A1640" s="2" t="str">
        <f>HYPERLINK("https://ibp.a2mac1.com/costing(costing:projects/details/8191/part/5389480)","Part 01 single/main")</f>
        <v>Part 01 single/main</v>
      </c>
      <c r="B1640">
        <v>5389480</v>
      </c>
      <c r="C1640">
        <v>5389266</v>
      </c>
      <c r="E1640">
        <v>0.96829920000000003</v>
      </c>
      <c r="F1640">
        <v>0</v>
      </c>
      <c r="G1640">
        <v>0</v>
      </c>
      <c r="H1640">
        <v>0.0001210374</v>
      </c>
      <c r="I1640" t="s">
        <v>137</v>
      </c>
      <c r="J1640">
        <v>0.038511900000000002</v>
      </c>
      <c r="K1640">
        <v>1.0069321374</v>
      </c>
      <c r="L1640">
        <v>0.060128692034496077</v>
      </c>
      <c r="M1640">
        <v>0.36077215220697645</v>
      </c>
      <c r="N1640">
        <v>1.3677042896069764</v>
      </c>
      <c r="O1640" t="s">
        <v>138</v>
      </c>
      <c r="P1640">
        <v>0.060415928244000001</v>
      </c>
      <c r="Q1640" t="s">
        <v>138</v>
      </c>
      <c r="R1640">
        <v>0.021646329132418589</v>
      </c>
      <c r="S1640" t="s">
        <v>139</v>
      </c>
      <c r="T1640">
        <v>0.16412451475283718</v>
      </c>
      <c r="U1640" t="s">
        <v>90</v>
      </c>
      <c r="V1640">
        <v>0</v>
      </c>
      <c r="W1640" t="s">
        <v>90</v>
      </c>
      <c r="X1640">
        <v>0</v>
      </c>
      <c r="Y1640">
        <v>1.6138910617362323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K1640" t="s">
        <v>6355</v>
      </c>
      <c r="AM1640">
        <v>400000</v>
      </c>
      <c r="AN1640" t="s">
        <v>76</v>
      </c>
      <c r="AO1640">
        <v>2</v>
      </c>
      <c r="AP1640">
        <v>0</v>
      </c>
      <c r="AQ1640">
        <v>33333.333333333336</v>
      </c>
      <c r="AR1640" t="s">
        <v>9</v>
      </c>
      <c r="AS1640" t="s">
        <v>78</v>
      </c>
      <c r="AW1640">
        <v>0</v>
      </c>
      <c r="AX1640" t="s">
        <v>79</v>
      </c>
      <c r="AY1640" t="s">
        <v>137</v>
      </c>
      <c r="AZ1640">
        <v>0</v>
      </c>
      <c r="BA1640" t="s">
        <v>137</v>
      </c>
      <c r="BB1640">
        <v>0</v>
      </c>
      <c r="BE1640">
        <v>0</v>
      </c>
    </row>
    <row r="1641" spans="1:58" ht="12.75">
      <c r="A1641" s="2" t="str">
        <f>HYPERLINK("https://ibp.a2mac1.com/costing(costing:projects/details/8191/part/5389481)"," Part 01 single/main")</f>
        <v xml:space="preserve"> Part 01 single/main</v>
      </c>
      <c r="B1641">
        <v>5389481</v>
      </c>
      <c r="C1641">
        <v>5389267</v>
      </c>
      <c r="E1641">
        <v>0.18675215000000001</v>
      </c>
      <c r="F1641">
        <v>0</v>
      </c>
      <c r="G1641">
        <v>0</v>
      </c>
      <c r="H1641">
        <v>2.1853974999999999E-05</v>
      </c>
      <c r="I1641" t="s">
        <v>137</v>
      </c>
      <c r="J1641">
        <v>0.0069535374999999998</v>
      </c>
      <c r="K1641">
        <v>0.19372754147499999</v>
      </c>
      <c r="L1641">
        <v>0.0043569423054512666</v>
      </c>
      <c r="M1641">
        <v>0.026141653832707602</v>
      </c>
      <c r="N1641">
        <v>0.2198691953077076</v>
      </c>
      <c r="O1641" t="s">
        <v>138</v>
      </c>
      <c r="P1641">
        <v>0.011623652488500001</v>
      </c>
      <c r="Q1641" t="s">
        <v>138</v>
      </c>
      <c r="R1641">
        <v>0.0015684992299624561</v>
      </c>
      <c r="S1641" t="s">
        <v>139</v>
      </c>
      <c r="T1641">
        <v>0.026384303436924911</v>
      </c>
      <c r="U1641" t="s">
        <v>90</v>
      </c>
      <c r="V1641">
        <v>0</v>
      </c>
      <c r="W1641" t="s">
        <v>90</v>
      </c>
      <c r="X1641">
        <v>0</v>
      </c>
      <c r="Y1641">
        <v>0.25944565046309498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K1641" t="s">
        <v>6355</v>
      </c>
      <c r="AM1641">
        <v>400000</v>
      </c>
      <c r="AN1641" t="s">
        <v>76</v>
      </c>
      <c r="AO1641">
        <v>2</v>
      </c>
      <c r="AP1641">
        <v>0</v>
      </c>
      <c r="AQ1641">
        <v>33333.333333333336</v>
      </c>
      <c r="AR1641" t="s">
        <v>9</v>
      </c>
      <c r="AS1641" t="s">
        <v>78</v>
      </c>
      <c r="AW1641">
        <v>0</v>
      </c>
      <c r="AX1641" t="s">
        <v>79</v>
      </c>
      <c r="AY1641" t="s">
        <v>137</v>
      </c>
      <c r="AZ1641">
        <v>0</v>
      </c>
      <c r="BA1641" t="s">
        <v>137</v>
      </c>
      <c r="BB1641">
        <v>0</v>
      </c>
      <c r="BE1641">
        <v>0</v>
      </c>
    </row>
    <row r="1642" spans="1:58" ht="12.75">
      <c r="A1642" s="2" t="str">
        <f>HYPERLINK("https://ibp.a2mac1.com/costing(costing:projects/details/8191/part/5389482)","Part 02")</f>
        <v>Part 02</v>
      </c>
      <c r="B1642">
        <v>5389482</v>
      </c>
      <c r="C1642">
        <v>5389267</v>
      </c>
      <c r="E1642">
        <v>0.96952179999999999</v>
      </c>
      <c r="F1642">
        <v>0</v>
      </c>
      <c r="G1642">
        <v>0</v>
      </c>
      <c r="H1642">
        <v>0.00011719494285714285</v>
      </c>
      <c r="I1642" t="s">
        <v>137</v>
      </c>
      <c r="J1642">
        <v>0.037289299999999997</v>
      </c>
      <c r="K1642">
        <v>1.0069282949428571</v>
      </c>
      <c r="L1642">
        <v>0.016357428824467144</v>
      </c>
      <c r="M1642">
        <v>0.098144572946802858</v>
      </c>
      <c r="N1642">
        <v>1.10507286788966</v>
      </c>
      <c r="O1642" t="s">
        <v>138</v>
      </c>
      <c r="P1642">
        <v>0.06041569769657143</v>
      </c>
      <c r="Q1642" t="s">
        <v>138</v>
      </c>
      <c r="R1642">
        <v>0.0058886743768081715</v>
      </c>
      <c r="S1642" t="s">
        <v>139</v>
      </c>
      <c r="T1642">
        <v>0.13260874414675919</v>
      </c>
      <c r="U1642" t="s">
        <v>90</v>
      </c>
      <c r="V1642">
        <v>0</v>
      </c>
      <c r="W1642" t="s">
        <v>90</v>
      </c>
      <c r="X1642">
        <v>0</v>
      </c>
      <c r="Y1642">
        <v>1.3039859841097987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K1642" t="s">
        <v>6355</v>
      </c>
      <c r="AM1642">
        <v>400000</v>
      </c>
      <c r="AN1642" t="s">
        <v>76</v>
      </c>
      <c r="AO1642">
        <v>2</v>
      </c>
      <c r="AP1642">
        <v>0</v>
      </c>
      <c r="AQ1642">
        <v>33333.333333333336</v>
      </c>
      <c r="AR1642" t="s">
        <v>9</v>
      </c>
      <c r="AS1642" t="s">
        <v>78</v>
      </c>
      <c r="AW1642">
        <v>0</v>
      </c>
      <c r="AX1642" t="s">
        <v>79</v>
      </c>
      <c r="AY1642" t="s">
        <v>137</v>
      </c>
      <c r="AZ1642">
        <v>0</v>
      </c>
      <c r="BA1642" t="s">
        <v>137</v>
      </c>
      <c r="BB1642">
        <v>0</v>
      </c>
      <c r="BE1642">
        <v>0</v>
      </c>
    </row>
    <row r="1643" spans="1:58" ht="12.75">
      <c r="A1643" s="2" t="str">
        <f>HYPERLINK("https://ibp.a2mac1.com/costing(costing:projects/details/8191/part/5389483)","Part 03")</f>
        <v>Part 03</v>
      </c>
      <c r="B1643">
        <v>5389483</v>
      </c>
      <c r="C1643">
        <v>5389267</v>
      </c>
      <c r="E1643">
        <v>0.76290239999999998</v>
      </c>
      <c r="F1643">
        <v>0</v>
      </c>
      <c r="G1643">
        <v>0</v>
      </c>
      <c r="H1643">
        <v>9.2218971428571431E-05</v>
      </c>
      <c r="I1643" t="s">
        <v>137</v>
      </c>
      <c r="J1643">
        <v>0.029342400000000001</v>
      </c>
      <c r="K1643">
        <v>0.79233701897142861</v>
      </c>
      <c r="L1643">
        <v>0.016357428824467144</v>
      </c>
      <c r="M1643">
        <v>0.098144572946802858</v>
      </c>
      <c r="N1643">
        <v>0.8904815919182314</v>
      </c>
      <c r="O1643" t="s">
        <v>138</v>
      </c>
      <c r="P1643">
        <v>0.047540221138285717</v>
      </c>
      <c r="Q1643" t="s">
        <v>138</v>
      </c>
      <c r="R1643">
        <v>0.0058886743768081715</v>
      </c>
      <c r="S1643" t="s">
        <v>139</v>
      </c>
      <c r="T1643">
        <v>0.10685779103018778</v>
      </c>
      <c r="U1643" t="s">
        <v>90</v>
      </c>
      <c r="V1643">
        <v>0</v>
      </c>
      <c r="W1643" t="s">
        <v>90</v>
      </c>
      <c r="X1643">
        <v>0</v>
      </c>
      <c r="Y1643">
        <v>1.0507682784635131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K1643" t="s">
        <v>6355</v>
      </c>
      <c r="AM1643">
        <v>400000</v>
      </c>
      <c r="AN1643" t="s">
        <v>76</v>
      </c>
      <c r="AO1643">
        <v>2</v>
      </c>
      <c r="AP1643">
        <v>0</v>
      </c>
      <c r="AQ1643">
        <v>33333.333333333336</v>
      </c>
      <c r="AR1643" t="s">
        <v>9</v>
      </c>
      <c r="AS1643" t="s">
        <v>78</v>
      </c>
      <c r="AW1643">
        <v>0</v>
      </c>
      <c r="AX1643" t="s">
        <v>79</v>
      </c>
      <c r="AY1643" t="s">
        <v>137</v>
      </c>
      <c r="AZ1643">
        <v>0</v>
      </c>
      <c r="BA1643" t="s">
        <v>137</v>
      </c>
      <c r="BB1643">
        <v>0</v>
      </c>
      <c r="BE1643">
        <v>0</v>
      </c>
    </row>
    <row r="1644" spans="1:58" ht="12.75">
      <c r="A1644" s="2" t="str">
        <f>HYPERLINK("https://ibp.a2mac1.com/costing(costing:projects/details/8191/part/5389484)","Part 01 single/main/upper")</f>
        <v>Part 01 single/main/upper</v>
      </c>
      <c r="B1644">
        <v>5389484</v>
      </c>
      <c r="C1644">
        <v>5389268</v>
      </c>
      <c r="E1644">
        <v>26.240471400000001</v>
      </c>
      <c r="F1644">
        <v>0</v>
      </c>
      <c r="G1644">
        <v>0</v>
      </c>
      <c r="H1644">
        <v>0.0031719251142857145</v>
      </c>
      <c r="I1644" t="s">
        <v>137</v>
      </c>
      <c r="J1644">
        <v>1.0092489</v>
      </c>
      <c r="K1644">
        <v>27.252892225114287</v>
      </c>
      <c r="L1644">
        <v>0.10678156361357313</v>
      </c>
      <c r="M1644">
        <v>0.64068938168143874</v>
      </c>
      <c r="N1644">
        <v>27.893581606795724</v>
      </c>
      <c r="O1644" t="s">
        <v>138</v>
      </c>
      <c r="P1644">
        <v>1.6351735335068571</v>
      </c>
      <c r="Q1644" t="s">
        <v>138</v>
      </c>
      <c r="R1644">
        <v>0.038441362900886324</v>
      </c>
      <c r="S1644" t="s">
        <v>139</v>
      </c>
      <c r="T1644">
        <v>3.347229792815487</v>
      </c>
      <c r="U1644" t="s">
        <v>90</v>
      </c>
      <c r="V1644">
        <v>0</v>
      </c>
      <c r="W1644" t="s">
        <v>90</v>
      </c>
      <c r="X1644">
        <v>0</v>
      </c>
      <c r="Y1644">
        <v>32.914426296018952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K1644" t="s">
        <v>6355</v>
      </c>
      <c r="AM1644">
        <v>400000</v>
      </c>
      <c r="AN1644" t="s">
        <v>76</v>
      </c>
      <c r="AO1644">
        <v>2</v>
      </c>
      <c r="AP1644">
        <v>0</v>
      </c>
      <c r="AQ1644">
        <v>33333.333333333336</v>
      </c>
      <c r="AR1644" t="s">
        <v>9</v>
      </c>
      <c r="AS1644" t="s">
        <v>78</v>
      </c>
      <c r="AW1644">
        <v>0</v>
      </c>
      <c r="AX1644" t="s">
        <v>79</v>
      </c>
      <c r="AY1644" t="s">
        <v>137</v>
      </c>
      <c r="AZ1644">
        <v>0</v>
      </c>
      <c r="BA1644" t="s">
        <v>137</v>
      </c>
      <c r="BB1644">
        <v>0</v>
      </c>
      <c r="BE1644">
        <v>0</v>
      </c>
    </row>
    <row r="1645" spans="1:58" ht="12.75">
      <c r="A1645" s="2" t="str">
        <f>HYPERLINK("https://ibp.a2mac1.com/costing(costing:projects/details/8191/part/5389485)","Part 01 single/main/front")</f>
        <v>Part 01 single/main/front</v>
      </c>
      <c r="B1645">
        <v>5389485</v>
      </c>
      <c r="C1645">
        <v>5389269</v>
      </c>
      <c r="E1645">
        <v>2.7255829333333335</v>
      </c>
      <c r="F1645">
        <v>0</v>
      </c>
      <c r="G1645">
        <v>0</v>
      </c>
      <c r="H1645">
        <v>0.00034069786666666665</v>
      </c>
      <c r="I1645" t="s">
        <v>137</v>
      </c>
      <c r="J1645">
        <v>0.10840386666666667</v>
      </c>
      <c r="K1645">
        <v>2.8343274978666666</v>
      </c>
      <c r="L1645">
        <v>0.07720347542634616</v>
      </c>
      <c r="M1645">
        <v>0.46322085255807693</v>
      </c>
      <c r="N1645">
        <v>3.2975483504247438</v>
      </c>
      <c r="O1645" t="s">
        <v>138</v>
      </c>
      <c r="P1645">
        <v>0.17005964987200001</v>
      </c>
      <c r="Q1645" t="s">
        <v>138</v>
      </c>
      <c r="R1645">
        <v>0.027793251153484615</v>
      </c>
      <c r="S1645" t="s">
        <v>139</v>
      </c>
      <c r="T1645">
        <v>0.39570580205096922</v>
      </c>
      <c r="U1645" t="s">
        <v>90</v>
      </c>
      <c r="V1645">
        <v>0</v>
      </c>
      <c r="W1645" t="s">
        <v>90</v>
      </c>
      <c r="X1645">
        <v>0</v>
      </c>
      <c r="Y1645">
        <v>3.8911070535011976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K1645" t="s">
        <v>6355</v>
      </c>
      <c r="AM1645">
        <v>400000</v>
      </c>
      <c r="AN1645" t="s">
        <v>76</v>
      </c>
      <c r="AO1645">
        <v>2</v>
      </c>
      <c r="AP1645">
        <v>0</v>
      </c>
      <c r="AQ1645">
        <v>33333.333333333336</v>
      </c>
      <c r="AR1645" t="s">
        <v>9</v>
      </c>
      <c r="AS1645" t="s">
        <v>78</v>
      </c>
      <c r="AW1645">
        <v>0</v>
      </c>
      <c r="AX1645" t="s">
        <v>79</v>
      </c>
      <c r="AY1645" t="s">
        <v>137</v>
      </c>
      <c r="AZ1645">
        <v>0</v>
      </c>
      <c r="BA1645" t="s">
        <v>137</v>
      </c>
      <c r="BB1645">
        <v>0</v>
      </c>
      <c r="BE1645">
        <v>0</v>
      </c>
    </row>
    <row r="1646" spans="1:58" ht="12.75">
      <c r="A1646" s="2" t="str">
        <f>HYPERLINK("https://ibp.a2mac1.com/costing(costing:projects/details/8191/part/5389486)","Part 02")</f>
        <v>Part 02</v>
      </c>
      <c r="B1646">
        <v>5389486</v>
      </c>
      <c r="C1646">
        <v>5389269</v>
      </c>
      <c r="E1646">
        <v>0.89657333333333333</v>
      </c>
      <c r="F1646">
        <v>0</v>
      </c>
      <c r="G1646">
        <v>0</v>
      </c>
      <c r="H1646">
        <v>0.00011207166666666667</v>
      </c>
      <c r="I1646" t="s">
        <v>137</v>
      </c>
      <c r="J1646">
        <v>0.035659166666666665</v>
      </c>
      <c r="K1646">
        <v>0.93234457166666662</v>
      </c>
      <c r="L1646">
        <v>0.016357428824467144</v>
      </c>
      <c r="M1646">
        <v>0.098144572946802858</v>
      </c>
      <c r="N1646">
        <v>1.0304891446134696</v>
      </c>
      <c r="O1646" t="s">
        <v>138</v>
      </c>
      <c r="P1646">
        <v>0.0559406743</v>
      </c>
      <c r="Q1646" t="s">
        <v>138</v>
      </c>
      <c r="R1646">
        <v>0.0058886743768081715</v>
      </c>
      <c r="S1646" t="s">
        <v>139</v>
      </c>
      <c r="T1646">
        <v>0.12365869735361634</v>
      </c>
      <c r="U1646" t="s">
        <v>90</v>
      </c>
      <c r="V1646">
        <v>0</v>
      </c>
      <c r="W1646" t="s">
        <v>90</v>
      </c>
      <c r="X1646">
        <v>0</v>
      </c>
      <c r="Y1646">
        <v>1.2159771906438941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K1646" t="s">
        <v>6355</v>
      </c>
      <c r="AM1646">
        <v>400000</v>
      </c>
      <c r="AN1646" t="s">
        <v>76</v>
      </c>
      <c r="AO1646">
        <v>2</v>
      </c>
      <c r="AP1646">
        <v>0</v>
      </c>
      <c r="AQ1646">
        <v>33333.333333333336</v>
      </c>
      <c r="AR1646" t="s">
        <v>9</v>
      </c>
      <c r="AS1646" t="s">
        <v>78</v>
      </c>
      <c r="AW1646">
        <v>0</v>
      </c>
      <c r="AX1646" t="s">
        <v>79</v>
      </c>
      <c r="AY1646" t="s">
        <v>137</v>
      </c>
      <c r="AZ1646">
        <v>0</v>
      </c>
      <c r="BA1646" t="s">
        <v>137</v>
      </c>
      <c r="BB1646">
        <v>0</v>
      </c>
      <c r="BE1646">
        <v>0</v>
      </c>
    </row>
    <row r="1647" spans="1:58" ht="12.75">
      <c r="A1647" s="2" t="str">
        <f>HYPERLINK("https://ibp.a2mac1.com/costing(costing:projects/details/8191/part/5389487)","Part 01 single/main")</f>
        <v>Part 01 single/main</v>
      </c>
      <c r="B1647">
        <v>5389487</v>
      </c>
      <c r="C1647">
        <v>5389270</v>
      </c>
      <c r="E1647">
        <v>0.46744073333333336</v>
      </c>
      <c r="F1647">
        <v>0</v>
      </c>
      <c r="G1647">
        <v>0</v>
      </c>
      <c r="H1647">
        <v>5.5587546666666668E-05</v>
      </c>
      <c r="I1647" t="s">
        <v>137</v>
      </c>
      <c r="J1647">
        <v>0.017686946666666668</v>
      </c>
      <c r="K1647">
        <v>0.48518326754666669</v>
      </c>
      <c r="L1647">
        <v>0.016357428824467144</v>
      </c>
      <c r="M1647">
        <v>0.098144572946802858</v>
      </c>
      <c r="N1647">
        <v>0.58332784049346953</v>
      </c>
      <c r="O1647" t="s">
        <v>138</v>
      </c>
      <c r="P1647">
        <v>0.029110996052800001</v>
      </c>
      <c r="Q1647" t="s">
        <v>138</v>
      </c>
      <c r="R1647">
        <v>0.0058886743768081715</v>
      </c>
      <c r="S1647" t="s">
        <v>139</v>
      </c>
      <c r="T1647">
        <v>0.069999340859216344</v>
      </c>
      <c r="U1647" t="s">
        <v>90</v>
      </c>
      <c r="V1647">
        <v>0</v>
      </c>
      <c r="W1647" t="s">
        <v>90</v>
      </c>
      <c r="X1647">
        <v>0</v>
      </c>
      <c r="Y1647">
        <v>0.68832685178229402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K1647" t="s">
        <v>6355</v>
      </c>
      <c r="AM1647">
        <v>400000</v>
      </c>
      <c r="AN1647" t="s">
        <v>76</v>
      </c>
      <c r="AO1647">
        <v>2</v>
      </c>
      <c r="AP1647">
        <v>0</v>
      </c>
      <c r="AQ1647">
        <v>33333.333333333336</v>
      </c>
      <c r="AR1647" t="s">
        <v>9</v>
      </c>
      <c r="AS1647" t="s">
        <v>78</v>
      </c>
      <c r="AW1647">
        <v>0</v>
      </c>
      <c r="AX1647" t="s">
        <v>79</v>
      </c>
      <c r="AY1647" t="s">
        <v>137</v>
      </c>
      <c r="AZ1647">
        <v>0</v>
      </c>
      <c r="BA1647" t="s">
        <v>137</v>
      </c>
      <c r="BB1647">
        <v>0</v>
      </c>
      <c r="BE1647">
        <v>0</v>
      </c>
    </row>
    <row r="1648" spans="1:58" ht="12.75">
      <c r="A1648" s="2" t="str">
        <f>HYPERLINK("https://ibp.a2mac1.com/costing(costing:projects/details/8191/part/5389488)"," Part 01 single/main")</f>
        <v xml:space="preserve"> Part 01 single/main</v>
      </c>
      <c r="B1648">
        <v>5389488</v>
      </c>
      <c r="C1648">
        <v>5389271</v>
      </c>
      <c r="E1648">
        <v>0.14365549999999999</v>
      </c>
      <c r="F1648">
        <v>0</v>
      </c>
      <c r="G1648">
        <v>0</v>
      </c>
      <c r="H1648">
        <v>1.6810750000000002E-05</v>
      </c>
      <c r="I1648" t="s">
        <v>137</v>
      </c>
      <c r="J1648">
        <v>0.0053488750000000003</v>
      </c>
      <c r="K1648">
        <v>0.14902118575000001</v>
      </c>
      <c r="L1648">
        <v>0.0093102457262997304</v>
      </c>
      <c r="M1648">
        <v>0.055861474357798382</v>
      </c>
      <c r="N1648">
        <v>0.20488266010779838</v>
      </c>
      <c r="O1648" t="s">
        <v>138</v>
      </c>
      <c r="P1648">
        <v>0.0089412711450000005</v>
      </c>
      <c r="Q1648" t="s">
        <v>138</v>
      </c>
      <c r="R1648">
        <v>0.0033516884614679028</v>
      </c>
      <c r="S1648" t="s">
        <v>139</v>
      </c>
      <c r="T1648">
        <v>0.024585919212935806</v>
      </c>
      <c r="U1648" t="s">
        <v>90</v>
      </c>
      <c r="V1648">
        <v>0</v>
      </c>
      <c r="W1648" t="s">
        <v>90</v>
      </c>
      <c r="X1648">
        <v>0</v>
      </c>
      <c r="Y1648">
        <v>0.24176153892720209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K1648" t="s">
        <v>6355</v>
      </c>
      <c r="AM1648">
        <v>400000</v>
      </c>
      <c r="AN1648" t="s">
        <v>76</v>
      </c>
      <c r="AO1648">
        <v>2</v>
      </c>
      <c r="AP1648">
        <v>0</v>
      </c>
      <c r="AQ1648">
        <v>33333.333333333336</v>
      </c>
      <c r="AR1648" t="s">
        <v>9</v>
      </c>
      <c r="AS1648" t="s">
        <v>78</v>
      </c>
      <c r="AW1648">
        <v>0</v>
      </c>
      <c r="AX1648" t="s">
        <v>79</v>
      </c>
      <c r="AY1648" t="s">
        <v>137</v>
      </c>
      <c r="AZ1648">
        <v>0</v>
      </c>
      <c r="BA1648" t="s">
        <v>137</v>
      </c>
      <c r="BB1648">
        <v>0</v>
      </c>
      <c r="BE1648">
        <v>0</v>
      </c>
    </row>
    <row r="1649" spans="1:58" ht="12.75">
      <c r="A1649" s="2" t="str">
        <f>HYPERLINK("https://ibp.a2mac1.com/costing(costing:projects/details/8191/part/5389489)","Part 02")</f>
        <v>Part 02</v>
      </c>
      <c r="B1649">
        <v>5389489</v>
      </c>
      <c r="C1649">
        <v>5389271</v>
      </c>
      <c r="E1649">
        <v>0.33173213333333335</v>
      </c>
      <c r="F1649">
        <v>0</v>
      </c>
      <c r="G1649">
        <v>0</v>
      </c>
      <c r="H1649">
        <v>3.9449226666666666E-05</v>
      </c>
      <c r="I1649" t="s">
        <v>137</v>
      </c>
      <c r="J1649">
        <v>0.012552026666666667</v>
      </c>
      <c r="K1649">
        <v>0.34432360922666666</v>
      </c>
      <c r="L1649">
        <v>0.0093102457262997304</v>
      </c>
      <c r="M1649">
        <v>0.055861474357798382</v>
      </c>
      <c r="N1649">
        <v>0.40018508358446503</v>
      </c>
      <c r="O1649" t="s">
        <v>138</v>
      </c>
      <c r="P1649">
        <v>0.020659416553599999</v>
      </c>
      <c r="Q1649" t="s">
        <v>138</v>
      </c>
      <c r="R1649">
        <v>0.0033516884614679028</v>
      </c>
      <c r="S1649" t="s">
        <v>139</v>
      </c>
      <c r="T1649">
        <v>0.048022210030135806</v>
      </c>
      <c r="U1649" t="s">
        <v>90</v>
      </c>
      <c r="V1649">
        <v>0</v>
      </c>
      <c r="W1649" t="s">
        <v>90</v>
      </c>
      <c r="X1649">
        <v>0</v>
      </c>
      <c r="Y1649">
        <v>0.47221839862966875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K1649" t="s">
        <v>6355</v>
      </c>
      <c r="AM1649">
        <v>400000</v>
      </c>
      <c r="AN1649" t="s">
        <v>76</v>
      </c>
      <c r="AO1649">
        <v>2</v>
      </c>
      <c r="AP1649">
        <v>0</v>
      </c>
      <c r="AQ1649">
        <v>33333.333333333336</v>
      </c>
      <c r="AR1649" t="s">
        <v>9</v>
      </c>
      <c r="AS1649" t="s">
        <v>78</v>
      </c>
      <c r="AW1649">
        <v>0</v>
      </c>
      <c r="AX1649" t="s">
        <v>79</v>
      </c>
      <c r="AY1649" t="s">
        <v>137</v>
      </c>
      <c r="AZ1649">
        <v>0</v>
      </c>
      <c r="BA1649" t="s">
        <v>137</v>
      </c>
      <c r="BB1649">
        <v>0</v>
      </c>
      <c r="BE1649">
        <v>0</v>
      </c>
    </row>
    <row r="1650" spans="1:58" ht="12.75">
      <c r="A1650" s="2" t="str">
        <f>HYPERLINK("https://ibp.a2mac1.com/costing(costing:projects/details/8191/part/5389490)","Part 03")</f>
        <v>Part 03</v>
      </c>
      <c r="B1650">
        <v>5389490</v>
      </c>
      <c r="C1650">
        <v>5389271</v>
      </c>
      <c r="E1650">
        <v>0.53152535000000001</v>
      </c>
      <c r="F1650">
        <v>0</v>
      </c>
      <c r="G1650">
        <v>0</v>
      </c>
      <c r="H1650">
        <v>6.2199774999999999E-05</v>
      </c>
      <c r="I1650" t="s">
        <v>137</v>
      </c>
      <c r="J1650">
        <v>0.019790837499999998</v>
      </c>
      <c r="K1650">
        <v>0.55137838727499999</v>
      </c>
      <c r="L1650">
        <v>0.012017019305024818</v>
      </c>
      <c r="M1650">
        <v>0.072102115830148902</v>
      </c>
      <c r="N1650">
        <v>0.62348050310514891</v>
      </c>
      <c r="O1650" t="s">
        <v>138</v>
      </c>
      <c r="P1650">
        <v>0.033082703236499998</v>
      </c>
      <c r="Q1650" t="s">
        <v>138</v>
      </c>
      <c r="R1650">
        <v>0.0043261269498089342</v>
      </c>
      <c r="S1650" t="s">
        <v>139</v>
      </c>
      <c r="T1650">
        <v>0.074817660372617875</v>
      </c>
      <c r="U1650" t="s">
        <v>90</v>
      </c>
      <c r="V1650">
        <v>0</v>
      </c>
      <c r="W1650" t="s">
        <v>90</v>
      </c>
      <c r="X1650">
        <v>0</v>
      </c>
      <c r="Y1650">
        <v>0.73570699366407566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K1650" t="s">
        <v>6355</v>
      </c>
      <c r="AM1650">
        <v>400000</v>
      </c>
      <c r="AN1650" t="s">
        <v>76</v>
      </c>
      <c r="AO1650">
        <v>2</v>
      </c>
      <c r="AP1650">
        <v>0</v>
      </c>
      <c r="AQ1650">
        <v>33333.333333333336</v>
      </c>
      <c r="AR1650" t="s">
        <v>9</v>
      </c>
      <c r="AS1650" t="s">
        <v>78</v>
      </c>
      <c r="AW1650">
        <v>0</v>
      </c>
      <c r="AX1650" t="s">
        <v>79</v>
      </c>
      <c r="AY1650" t="s">
        <v>137</v>
      </c>
      <c r="AZ1650">
        <v>0</v>
      </c>
      <c r="BA1650" t="s">
        <v>137</v>
      </c>
      <c r="BB1650">
        <v>0</v>
      </c>
      <c r="BE1650">
        <v>0</v>
      </c>
    </row>
    <row r="1651" spans="1:58" ht="12.75">
      <c r="A1651" s="2" t="str">
        <f>HYPERLINK("https://ibp.a2mac1.com/costing(costing:projects/details/8191/part/5389491)","Part 04")</f>
        <v>Part 04</v>
      </c>
      <c r="B1651">
        <v>5389491</v>
      </c>
      <c r="C1651">
        <v>5389271</v>
      </c>
      <c r="E1651">
        <v>0.26897199999999999</v>
      </c>
      <c r="F1651">
        <v>0</v>
      </c>
      <c r="G1651">
        <v>0</v>
      </c>
      <c r="H1651">
        <v>3.3621500000000003E-05</v>
      </c>
      <c r="I1651" t="s">
        <v>137</v>
      </c>
      <c r="J1651">
        <v>0.010697750000000001</v>
      </c>
      <c r="K1651">
        <v>0.27970337150000002</v>
      </c>
      <c r="L1651">
        <v>0.0093102457262997304</v>
      </c>
      <c r="M1651">
        <v>0.055861474357798382</v>
      </c>
      <c r="N1651">
        <v>0.33556484585779839</v>
      </c>
      <c r="O1651" t="s">
        <v>138</v>
      </c>
      <c r="P1651">
        <v>0.016782202289999999</v>
      </c>
      <c r="Q1651" t="s">
        <v>138</v>
      </c>
      <c r="R1651">
        <v>0.0033516884614679028</v>
      </c>
      <c r="S1651" t="s">
        <v>139</v>
      </c>
      <c r="T1651">
        <v>0.040267781502935807</v>
      </c>
      <c r="U1651" t="s">
        <v>90</v>
      </c>
      <c r="V1651">
        <v>0</v>
      </c>
      <c r="W1651" t="s">
        <v>90</v>
      </c>
      <c r="X1651">
        <v>0</v>
      </c>
      <c r="Y1651">
        <v>0.39596651811220207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K1651" t="s">
        <v>6355</v>
      </c>
      <c r="AM1651">
        <v>400000</v>
      </c>
      <c r="AN1651" t="s">
        <v>76</v>
      </c>
      <c r="AO1651">
        <v>2</v>
      </c>
      <c r="AP1651">
        <v>0</v>
      </c>
      <c r="AQ1651">
        <v>33333.333333333336</v>
      </c>
      <c r="AR1651" t="s">
        <v>9</v>
      </c>
      <c r="AS1651" t="s">
        <v>78</v>
      </c>
      <c r="AW1651">
        <v>0</v>
      </c>
      <c r="AX1651" t="s">
        <v>79</v>
      </c>
      <c r="AY1651" t="s">
        <v>137</v>
      </c>
      <c r="AZ1651">
        <v>0</v>
      </c>
      <c r="BA1651" t="s">
        <v>137</v>
      </c>
      <c r="BB1651">
        <v>0</v>
      </c>
      <c r="BE1651">
        <v>0</v>
      </c>
    </row>
    <row r="1652" spans="1:58" ht="12.75">
      <c r="A1652" s="2" t="str">
        <f>HYPERLINK("https://ibp.a2mac1.com/costing(costing:projects/details/8191/part/5389492)","Part 05")</f>
        <v>Part 05</v>
      </c>
      <c r="B1652">
        <v>5389492</v>
      </c>
      <c r="C1652">
        <v>5389271</v>
      </c>
      <c r="E1652">
        <v>0.103921</v>
      </c>
      <c r="F1652">
        <v>0</v>
      </c>
      <c r="G1652">
        <v>0</v>
      </c>
      <c r="H1652">
        <v>1.34486E-05</v>
      </c>
      <c r="I1652" t="s">
        <v>137</v>
      </c>
      <c r="J1652">
        <v>0.0042791000000000001</v>
      </c>
      <c r="K1652">
        <v>0.1082135486</v>
      </c>
      <c r="L1652">
        <v>0.0039320942634972159</v>
      </c>
      <c r="M1652">
        <v>0.023592565580983296</v>
      </c>
      <c r="N1652">
        <v>0.13180611418098329</v>
      </c>
      <c r="O1652" t="s">
        <v>138</v>
      </c>
      <c r="P1652">
        <v>0.0064928129160000004</v>
      </c>
      <c r="Q1652" t="s">
        <v>138</v>
      </c>
      <c r="R1652">
        <v>0.0014155539348589977</v>
      </c>
      <c r="S1652" t="s">
        <v>139</v>
      </c>
      <c r="T1652">
        <v>0.015816733701717996</v>
      </c>
      <c r="U1652" t="s">
        <v>90</v>
      </c>
      <c r="V1652">
        <v>0</v>
      </c>
      <c r="W1652" t="s">
        <v>90</v>
      </c>
      <c r="X1652">
        <v>0</v>
      </c>
      <c r="Y1652">
        <v>0.1555312147335603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K1652" t="s">
        <v>6355</v>
      </c>
      <c r="AM1652">
        <v>400000</v>
      </c>
      <c r="AN1652" t="s">
        <v>76</v>
      </c>
      <c r="AO1652">
        <v>2</v>
      </c>
      <c r="AP1652">
        <v>0</v>
      </c>
      <c r="AQ1652">
        <v>33333.333333333336</v>
      </c>
      <c r="AR1652" t="s">
        <v>9</v>
      </c>
      <c r="AS1652" t="s">
        <v>78</v>
      </c>
      <c r="AW1652">
        <v>0</v>
      </c>
      <c r="AX1652" t="s">
        <v>79</v>
      </c>
      <c r="AY1652" t="s">
        <v>137</v>
      </c>
      <c r="AZ1652">
        <v>0</v>
      </c>
      <c r="BA1652" t="s">
        <v>137</v>
      </c>
      <c r="BB1652">
        <v>0</v>
      </c>
      <c r="BE1652">
        <v>0</v>
      </c>
    </row>
    <row r="1653" spans="1:58" ht="12.75">
      <c r="A1653" s="2" t="str">
        <f>HYPERLINK("https://ibp.a2mac1.com/costing(costing:projects/details/8191/part/5389493)","Part 01 single/main/upper")</f>
        <v>Part 01 single/main/upper</v>
      </c>
      <c r="B1653">
        <v>5389493</v>
      </c>
      <c r="C1653">
        <v>5389272</v>
      </c>
      <c r="E1653">
        <v>3.7476765333333333</v>
      </c>
      <c r="F1653">
        <v>0</v>
      </c>
      <c r="G1653">
        <v>0</v>
      </c>
      <c r="H1653">
        <v>0.00046845956666666667</v>
      </c>
      <c r="I1653" t="s">
        <v>137</v>
      </c>
      <c r="J1653">
        <v>0.14905531666666666</v>
      </c>
      <c r="K1653">
        <v>3.8972003095666667</v>
      </c>
      <c r="L1653">
        <v>0.10205175159991546</v>
      </c>
      <c r="M1653">
        <v>0.61231050959949285</v>
      </c>
      <c r="N1653">
        <v>4.5095108191661595</v>
      </c>
      <c r="O1653" t="s">
        <v>138</v>
      </c>
      <c r="P1653">
        <v>0.23383201857399999</v>
      </c>
      <c r="Q1653" t="s">
        <v>138</v>
      </c>
      <c r="R1653">
        <v>0.036738630575969565</v>
      </c>
      <c r="S1653" t="s">
        <v>139</v>
      </c>
      <c r="T1653">
        <v>0.54114129829993918</v>
      </c>
      <c r="U1653" t="s">
        <v>90</v>
      </c>
      <c r="V1653">
        <v>0</v>
      </c>
      <c r="W1653" t="s">
        <v>90</v>
      </c>
      <c r="X1653">
        <v>0</v>
      </c>
      <c r="Y1653">
        <v>5.3212227666160681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K1653" t="s">
        <v>6355</v>
      </c>
      <c r="AM1653">
        <v>400000</v>
      </c>
      <c r="AN1653" t="s">
        <v>76</v>
      </c>
      <c r="AO1653">
        <v>2</v>
      </c>
      <c r="AP1653">
        <v>0</v>
      </c>
      <c r="AQ1653">
        <v>33333.333333333336</v>
      </c>
      <c r="AR1653" t="s">
        <v>9</v>
      </c>
      <c r="AS1653" t="s">
        <v>78</v>
      </c>
      <c r="AW1653">
        <v>0</v>
      </c>
      <c r="AX1653" t="s">
        <v>79</v>
      </c>
      <c r="AY1653" t="s">
        <v>137</v>
      </c>
      <c r="AZ1653">
        <v>0</v>
      </c>
      <c r="BA1653" t="s">
        <v>137</v>
      </c>
      <c r="BB1653">
        <v>0</v>
      </c>
      <c r="BE1653">
        <v>0</v>
      </c>
    </row>
    <row r="1654" spans="1:58" ht="12.75">
      <c r="A1654" s="2" t="str">
        <f>HYPERLINK("https://ibp.a2mac1.com/costing(costing:projects/details/8191/part/5389494)","Part 02")</f>
        <v>Part 02</v>
      </c>
      <c r="B1654">
        <v>5389494</v>
      </c>
      <c r="C1654">
        <v>5389272</v>
      </c>
      <c r="E1654">
        <v>0.15150835384615385</v>
      </c>
      <c r="F1654">
        <v>0</v>
      </c>
      <c r="G1654">
        <v>0</v>
      </c>
      <c r="H1654">
        <v>1.8621138461538462E-05</v>
      </c>
      <c r="I1654" t="s">
        <v>137</v>
      </c>
      <c r="J1654">
        <v>0.0059249076923076922</v>
      </c>
      <c r="K1654">
        <v>0.15745188267692309</v>
      </c>
      <c r="L1654">
        <v>0.012017019305024818</v>
      </c>
      <c r="M1654">
        <v>0.072102115830148902</v>
      </c>
      <c r="N1654">
        <v>0.22955399850707198</v>
      </c>
      <c r="O1654" t="s">
        <v>138</v>
      </c>
      <c r="P1654">
        <v>0.0094471129606153847</v>
      </c>
      <c r="Q1654" t="s">
        <v>138</v>
      </c>
      <c r="R1654">
        <v>0.0043261269498089342</v>
      </c>
      <c r="S1654" t="s">
        <v>139</v>
      </c>
      <c r="T1654">
        <v>0.027546479820848638</v>
      </c>
      <c r="U1654" t="s">
        <v>90</v>
      </c>
      <c r="V1654">
        <v>0</v>
      </c>
      <c r="W1654" t="s">
        <v>90</v>
      </c>
      <c r="X1654">
        <v>0</v>
      </c>
      <c r="Y1654">
        <v>0.27087371823834494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K1654" t="s">
        <v>6355</v>
      </c>
      <c r="AM1654">
        <v>400000</v>
      </c>
      <c r="AN1654" t="s">
        <v>76</v>
      </c>
      <c r="AO1654">
        <v>2</v>
      </c>
      <c r="AP1654">
        <v>0</v>
      </c>
      <c r="AQ1654">
        <v>33333.333333333336</v>
      </c>
      <c r="AR1654" t="s">
        <v>9</v>
      </c>
      <c r="AS1654" t="s">
        <v>78</v>
      </c>
      <c r="AW1654">
        <v>0</v>
      </c>
      <c r="AX1654" t="s">
        <v>79</v>
      </c>
      <c r="AY1654" t="s">
        <v>137</v>
      </c>
      <c r="AZ1654">
        <v>0</v>
      </c>
      <c r="BA1654" t="s">
        <v>137</v>
      </c>
      <c r="BB1654">
        <v>0</v>
      </c>
      <c r="BE1654">
        <v>0</v>
      </c>
    </row>
    <row r="1655" spans="1:58" ht="12.75">
      <c r="A1655" s="2" t="str">
        <f>HYPERLINK("https://ibp.a2mac1.com/costing(costing:projects/details/8191/part/5389495)","Part 01 single/main/upper")</f>
        <v>Part 01 single/main/upper</v>
      </c>
      <c r="B1655">
        <v>5389495</v>
      </c>
      <c r="C1655">
        <v>5389273</v>
      </c>
      <c r="E1655">
        <v>1.3191854000000001</v>
      </c>
      <c r="F1655">
        <v>0</v>
      </c>
      <c r="G1655">
        <v>0</v>
      </c>
      <c r="H1655">
        <v>0.00015946197142857144</v>
      </c>
      <c r="I1655" t="s">
        <v>137</v>
      </c>
      <c r="J1655">
        <v>0.050737900000000002</v>
      </c>
      <c r="K1655">
        <v>1.3700827619714286</v>
      </c>
      <c r="L1655">
        <v>0.018524891664180389</v>
      </c>
      <c r="M1655">
        <v>0.11114934998508233</v>
      </c>
      <c r="N1655">
        <v>1.4812321119565108</v>
      </c>
      <c r="O1655" t="s">
        <v>138</v>
      </c>
      <c r="P1655">
        <v>0.082204965718285714</v>
      </c>
      <c r="Q1655" t="s">
        <v>138</v>
      </c>
      <c r="R1655">
        <v>0.0066689609991049401</v>
      </c>
      <c r="S1655" t="s">
        <v>139</v>
      </c>
      <c r="T1655">
        <v>0.17774785343478131</v>
      </c>
      <c r="U1655" t="s">
        <v>90</v>
      </c>
      <c r="V1655">
        <v>0</v>
      </c>
      <c r="W1655" t="s">
        <v>90</v>
      </c>
      <c r="X1655">
        <v>0</v>
      </c>
      <c r="Y1655">
        <v>1.7478538921086828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K1655" t="s">
        <v>6355</v>
      </c>
      <c r="AM1655">
        <v>400000</v>
      </c>
      <c r="AN1655" t="s">
        <v>76</v>
      </c>
      <c r="AO1655">
        <v>2</v>
      </c>
      <c r="AP1655">
        <v>0</v>
      </c>
      <c r="AQ1655">
        <v>33333.333333333336</v>
      </c>
      <c r="AR1655" t="s">
        <v>9</v>
      </c>
      <c r="AS1655" t="s">
        <v>78</v>
      </c>
      <c r="AW1655">
        <v>0</v>
      </c>
      <c r="AX1655" t="s">
        <v>79</v>
      </c>
      <c r="AY1655" t="s">
        <v>137</v>
      </c>
      <c r="AZ1655">
        <v>0</v>
      </c>
      <c r="BA1655" t="s">
        <v>137</v>
      </c>
      <c r="BB1655">
        <v>0</v>
      </c>
      <c r="BE1655">
        <v>0</v>
      </c>
    </row>
    <row r="1656" spans="1:58" ht="12.75">
      <c r="A1656" s="2" t="str">
        <f>HYPERLINK("https://ibp.a2mac1.com/costing(costing:projects/details/8191/part/5389496)","Part 03")</f>
        <v>Part 03</v>
      </c>
      <c r="B1656">
        <v>5389496</v>
      </c>
      <c r="C1656">
        <v>5389273</v>
      </c>
      <c r="E1656">
        <v>2.9945549333333332</v>
      </c>
      <c r="F1656">
        <v>0</v>
      </c>
      <c r="G1656">
        <v>0</v>
      </c>
      <c r="H1656">
        <v>0.00037431936666666667</v>
      </c>
      <c r="I1656" t="s">
        <v>137</v>
      </c>
      <c r="J1656">
        <v>0.11910161666666666</v>
      </c>
      <c r="K1656">
        <v>3.1140308693666667</v>
      </c>
      <c r="L1656">
        <v>0.016357428824467144</v>
      </c>
      <c r="M1656">
        <v>0.098144572946802858</v>
      </c>
      <c r="N1656">
        <v>3.2121754423134696</v>
      </c>
      <c r="O1656" t="s">
        <v>138</v>
      </c>
      <c r="P1656">
        <v>0.186841852162</v>
      </c>
      <c r="Q1656" t="s">
        <v>138</v>
      </c>
      <c r="R1656">
        <v>0.0058886743768081715</v>
      </c>
      <c r="S1656" t="s">
        <v>139</v>
      </c>
      <c r="T1656">
        <v>0.38546105307761636</v>
      </c>
      <c r="U1656" t="s">
        <v>90</v>
      </c>
      <c r="V1656">
        <v>0</v>
      </c>
      <c r="W1656" t="s">
        <v>90</v>
      </c>
      <c r="X1656">
        <v>0</v>
      </c>
      <c r="Y1656">
        <v>3.7903670219298942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K1656" t="s">
        <v>6355</v>
      </c>
      <c r="AM1656">
        <v>400000</v>
      </c>
      <c r="AN1656" t="s">
        <v>76</v>
      </c>
      <c r="AO1656">
        <v>2</v>
      </c>
      <c r="AP1656">
        <v>0</v>
      </c>
      <c r="AQ1656">
        <v>33333.333333333336</v>
      </c>
      <c r="AR1656" t="s">
        <v>9</v>
      </c>
      <c r="AS1656" t="s">
        <v>78</v>
      </c>
      <c r="AW1656">
        <v>0</v>
      </c>
      <c r="AX1656" t="s">
        <v>79</v>
      </c>
      <c r="AY1656" t="s">
        <v>137</v>
      </c>
      <c r="AZ1656">
        <v>0</v>
      </c>
      <c r="BA1656" t="s">
        <v>137</v>
      </c>
      <c r="BB1656">
        <v>0</v>
      </c>
      <c r="BE1656">
        <v>0</v>
      </c>
    </row>
    <row r="1657" spans="1:58" ht="12.75">
      <c r="A1657" s="2" t="str">
        <f>HYPERLINK("https://ibp.a2mac1.com/costing(costing:projects/details/8191/part/5389497)","Part 01 single/main/upper")</f>
        <v>Part 01 single/main/upper</v>
      </c>
      <c r="B1657">
        <v>5389497</v>
      </c>
      <c r="C1657">
        <v>5389274</v>
      </c>
      <c r="E1657">
        <v>3.499525781818182</v>
      </c>
      <c r="F1657">
        <v>0</v>
      </c>
      <c r="G1657">
        <v>0</v>
      </c>
      <c r="H1657">
        <v>0.00044502639999999998</v>
      </c>
      <c r="I1657" t="s">
        <v>137</v>
      </c>
      <c r="J1657">
        <v>0.14159930909090909</v>
      </c>
      <c r="K1657">
        <v>3.6415701173090911</v>
      </c>
      <c r="L1657">
        <v>0.07720347542634616</v>
      </c>
      <c r="M1657">
        <v>0.46322085255807693</v>
      </c>
      <c r="N1657">
        <v>4.1047909698671683</v>
      </c>
      <c r="O1657" t="s">
        <v>138</v>
      </c>
      <c r="P1657">
        <v>0.21849420703854547</v>
      </c>
      <c r="Q1657" t="s">
        <v>138</v>
      </c>
      <c r="R1657">
        <v>0.027793251153484615</v>
      </c>
      <c r="S1657" t="s">
        <v>139</v>
      </c>
      <c r="T1657">
        <v>0.49257491638406015</v>
      </c>
      <c r="U1657" t="s">
        <v>90</v>
      </c>
      <c r="V1657">
        <v>0</v>
      </c>
      <c r="W1657" t="s">
        <v>90</v>
      </c>
      <c r="X1657">
        <v>0</v>
      </c>
      <c r="Y1657">
        <v>4.8436533444432577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K1657" t="s">
        <v>6355</v>
      </c>
      <c r="AM1657">
        <v>400000</v>
      </c>
      <c r="AN1657" t="s">
        <v>76</v>
      </c>
      <c r="AO1657">
        <v>2</v>
      </c>
      <c r="AP1657">
        <v>0</v>
      </c>
      <c r="AQ1657">
        <v>33333.333333333336</v>
      </c>
      <c r="AR1657" t="s">
        <v>9</v>
      </c>
      <c r="AS1657" t="s">
        <v>78</v>
      </c>
      <c r="AW1657">
        <v>0</v>
      </c>
      <c r="AX1657" t="s">
        <v>79</v>
      </c>
      <c r="AY1657" t="s">
        <v>137</v>
      </c>
      <c r="AZ1657">
        <v>0</v>
      </c>
      <c r="BA1657" t="s">
        <v>137</v>
      </c>
      <c r="BB1657">
        <v>0</v>
      </c>
      <c r="BE1657">
        <v>0</v>
      </c>
    </row>
    <row r="1658" spans="1:58" ht="12.75">
      <c r="A1658" s="2" t="str">
        <f>HYPERLINK("https://ibp.a2mac1.com/costing(costing:projects/details/8191/part/5389498)","Part 02")</f>
        <v>Part 02</v>
      </c>
      <c r="B1658">
        <v>5389498</v>
      </c>
      <c r="C1658">
        <v>5389274</v>
      </c>
      <c r="E1658">
        <v>1.4703802666666668</v>
      </c>
      <c r="F1658">
        <v>0</v>
      </c>
      <c r="G1658">
        <v>0</v>
      </c>
      <c r="H1658">
        <v>0.00018379753333333334</v>
      </c>
      <c r="I1658" t="s">
        <v>137</v>
      </c>
      <c r="J1658">
        <v>0.058481033333333335</v>
      </c>
      <c r="K1658">
        <v>1.5290450975333334</v>
      </c>
      <c r="L1658">
        <v>0.016357428824467144</v>
      </c>
      <c r="M1658">
        <v>0.098144572946802858</v>
      </c>
      <c r="N1658">
        <v>1.6271896704801363</v>
      </c>
      <c r="O1658" t="s">
        <v>138</v>
      </c>
      <c r="P1658">
        <v>0.091742705852000006</v>
      </c>
      <c r="Q1658" t="s">
        <v>138</v>
      </c>
      <c r="R1658">
        <v>0.0058886743768081715</v>
      </c>
      <c r="S1658" t="s">
        <v>139</v>
      </c>
      <c r="T1658">
        <v>0.19526276045761634</v>
      </c>
      <c r="U1658" t="s">
        <v>90</v>
      </c>
      <c r="V1658">
        <v>0</v>
      </c>
      <c r="W1658" t="s">
        <v>90</v>
      </c>
      <c r="X1658">
        <v>0</v>
      </c>
      <c r="Y1658">
        <v>1.9200838111665608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K1658" t="s">
        <v>6355</v>
      </c>
      <c r="AM1658">
        <v>400000</v>
      </c>
      <c r="AN1658" t="s">
        <v>76</v>
      </c>
      <c r="AO1658">
        <v>2</v>
      </c>
      <c r="AP1658">
        <v>0</v>
      </c>
      <c r="AQ1658">
        <v>33333.333333333336</v>
      </c>
      <c r="AR1658" t="s">
        <v>9</v>
      </c>
      <c r="AS1658" t="s">
        <v>78</v>
      </c>
      <c r="AW1658">
        <v>0</v>
      </c>
      <c r="AX1658" t="s">
        <v>79</v>
      </c>
      <c r="AY1658" t="s">
        <v>137</v>
      </c>
      <c r="AZ1658">
        <v>0</v>
      </c>
      <c r="BA1658" t="s">
        <v>137</v>
      </c>
      <c r="BB1658">
        <v>0</v>
      </c>
      <c r="BE1658">
        <v>0</v>
      </c>
    </row>
    <row r="1659" spans="1:58" ht="12.75">
      <c r="A1659" s="2" t="str">
        <f>HYPERLINK("https://ibp.a2mac1.com/costing(costing:projects/details/8191/part/5389499)"," Part 03")</f>
        <v xml:space="preserve"> Part 03</v>
      </c>
      <c r="B1659">
        <v>5389499</v>
      </c>
      <c r="C1659">
        <v>5389274</v>
      </c>
      <c r="E1659">
        <v>1.1152334909090909</v>
      </c>
      <c r="F1659">
        <v>0</v>
      </c>
      <c r="G1659">
        <v>0</v>
      </c>
      <c r="H1659">
        <v>0.0001418216</v>
      </c>
      <c r="I1659" t="s">
        <v>137</v>
      </c>
      <c r="J1659">
        <v>0.045125054545454547</v>
      </c>
      <c r="K1659">
        <v>1.1605003670545455</v>
      </c>
      <c r="L1659">
        <v>0.016357428824467144</v>
      </c>
      <c r="M1659">
        <v>0.098144572946802858</v>
      </c>
      <c r="N1659">
        <v>1.2586449400013484</v>
      </c>
      <c r="O1659" t="s">
        <v>138</v>
      </c>
      <c r="P1659">
        <v>0.069630022023272731</v>
      </c>
      <c r="Q1659" t="s">
        <v>138</v>
      </c>
      <c r="R1659">
        <v>0.0058886743768081715</v>
      </c>
      <c r="S1659" t="s">
        <v>139</v>
      </c>
      <c r="T1659">
        <v>0.15103739280016179</v>
      </c>
      <c r="U1659" t="s">
        <v>90</v>
      </c>
      <c r="V1659">
        <v>0</v>
      </c>
      <c r="W1659" t="s">
        <v>90</v>
      </c>
      <c r="X1659">
        <v>0</v>
      </c>
      <c r="Y1659">
        <v>1.4852010292015909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K1659" t="s">
        <v>6355</v>
      </c>
      <c r="AM1659">
        <v>400000</v>
      </c>
      <c r="AN1659" t="s">
        <v>76</v>
      </c>
      <c r="AO1659">
        <v>2</v>
      </c>
      <c r="AP1659">
        <v>0</v>
      </c>
      <c r="AQ1659">
        <v>33333.333333333336</v>
      </c>
      <c r="AR1659" t="s">
        <v>9</v>
      </c>
      <c r="AS1659" t="s">
        <v>78</v>
      </c>
      <c r="AW1659">
        <v>0</v>
      </c>
      <c r="AX1659" t="s">
        <v>79</v>
      </c>
      <c r="AY1659" t="s">
        <v>137</v>
      </c>
      <c r="AZ1659">
        <v>0</v>
      </c>
      <c r="BA1659" t="s">
        <v>137</v>
      </c>
      <c r="BB1659">
        <v>0</v>
      </c>
      <c r="BE1659">
        <v>0</v>
      </c>
    </row>
    <row r="1660" spans="1:58" ht="12.75">
      <c r="A1660" s="2" t="str">
        <f>HYPERLINK("https://ibp.a2mac1.com/costing(costing:projects/details/8191/part/5389500)","Part 04")</f>
        <v>Part 04</v>
      </c>
      <c r="B1660">
        <v>5389500</v>
      </c>
      <c r="C1660">
        <v>5389274</v>
      </c>
      <c r="E1660">
        <v>0.52186210769230768</v>
      </c>
      <c r="F1660">
        <v>0</v>
      </c>
      <c r="G1660">
        <v>0</v>
      </c>
      <c r="H1660">
        <v>6.4139476923076922E-05</v>
      </c>
      <c r="I1660" t="s">
        <v>137</v>
      </c>
      <c r="J1660">
        <v>0.020408015384615386</v>
      </c>
      <c r="K1660">
        <v>0.5423342625538462</v>
      </c>
      <c r="L1660">
        <v>0.016357428824467144</v>
      </c>
      <c r="M1660">
        <v>0.098144572946802858</v>
      </c>
      <c r="N1660">
        <v>0.64047883550064899</v>
      </c>
      <c r="O1660" t="s">
        <v>138</v>
      </c>
      <c r="P1660">
        <v>0.032540055753230768</v>
      </c>
      <c r="Q1660" t="s">
        <v>138</v>
      </c>
      <c r="R1660">
        <v>0.0058886743768081715</v>
      </c>
      <c r="S1660" t="s">
        <v>139</v>
      </c>
      <c r="T1660">
        <v>0.076857460260077878</v>
      </c>
      <c r="U1660" t="s">
        <v>90</v>
      </c>
      <c r="V1660">
        <v>0</v>
      </c>
      <c r="W1660" t="s">
        <v>90</v>
      </c>
      <c r="X1660">
        <v>0</v>
      </c>
      <c r="Y1660">
        <v>0.75576502589076588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K1660" t="s">
        <v>6355</v>
      </c>
      <c r="AM1660">
        <v>400000</v>
      </c>
      <c r="AN1660" t="s">
        <v>76</v>
      </c>
      <c r="AO1660">
        <v>2</v>
      </c>
      <c r="AP1660">
        <v>0</v>
      </c>
      <c r="AQ1660">
        <v>33333.333333333336</v>
      </c>
      <c r="AR1660" t="s">
        <v>9</v>
      </c>
      <c r="AS1660" t="s">
        <v>78</v>
      </c>
      <c r="AW1660">
        <v>0</v>
      </c>
      <c r="AX1660" t="s">
        <v>79</v>
      </c>
      <c r="AY1660" t="s">
        <v>137</v>
      </c>
      <c r="AZ1660">
        <v>0</v>
      </c>
      <c r="BA1660" t="s">
        <v>137</v>
      </c>
      <c r="BB1660">
        <v>0</v>
      </c>
      <c r="BE1660">
        <v>0</v>
      </c>
    </row>
    <row r="1661" spans="1:58" ht="12.75">
      <c r="A1661" s="2" t="str">
        <f>HYPERLINK("https://ibp.a2mac1.com/costing(costing:projects/details/8191/part/5389501)","Part 01 single/main")</f>
        <v>Part 01 single/main</v>
      </c>
      <c r="B1661">
        <v>5389501</v>
      </c>
      <c r="C1661">
        <v>5389275</v>
      </c>
      <c r="E1661">
        <v>0.5200125333333333</v>
      </c>
      <c r="F1661">
        <v>0</v>
      </c>
      <c r="G1661">
        <v>0</v>
      </c>
      <c r="H1661">
        <v>6.5001566666666671E-05</v>
      </c>
      <c r="I1661" t="s">
        <v>137</v>
      </c>
      <c r="J1661">
        <v>0.020682316666666666</v>
      </c>
      <c r="K1661">
        <v>0.54075985156666662</v>
      </c>
      <c r="L1661">
        <v>0.012017019305024818</v>
      </c>
      <c r="M1661">
        <v>0.072102115830148902</v>
      </c>
      <c r="N1661">
        <v>0.61286196739681553</v>
      </c>
      <c r="O1661" t="s">
        <v>138</v>
      </c>
      <c r="P1661">
        <v>0.032445591093999998</v>
      </c>
      <c r="Q1661" t="s">
        <v>138</v>
      </c>
      <c r="R1661">
        <v>0.0043261269498089342</v>
      </c>
      <c r="S1661" t="s">
        <v>139</v>
      </c>
      <c r="T1661">
        <v>0.073543436087617875</v>
      </c>
      <c r="U1661" t="s">
        <v>90</v>
      </c>
      <c r="V1661">
        <v>0</v>
      </c>
      <c r="W1661" t="s">
        <v>90</v>
      </c>
      <c r="X1661">
        <v>0</v>
      </c>
      <c r="Y1661">
        <v>0.72317712152824243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K1661" t="s">
        <v>6355</v>
      </c>
      <c r="AM1661">
        <v>400000</v>
      </c>
      <c r="AN1661" t="s">
        <v>76</v>
      </c>
      <c r="AO1661">
        <v>2</v>
      </c>
      <c r="AP1661">
        <v>0</v>
      </c>
      <c r="AQ1661">
        <v>33333.333333333336</v>
      </c>
      <c r="AR1661" t="s">
        <v>9</v>
      </c>
      <c r="AS1661" t="s">
        <v>78</v>
      </c>
      <c r="AW1661">
        <v>0</v>
      </c>
      <c r="AX1661" t="s">
        <v>79</v>
      </c>
      <c r="AY1661" t="s">
        <v>137</v>
      </c>
      <c r="AZ1661">
        <v>0</v>
      </c>
      <c r="BA1661" t="s">
        <v>137</v>
      </c>
      <c r="BB1661">
        <v>0</v>
      </c>
      <c r="BE1661">
        <v>0</v>
      </c>
    </row>
    <row r="1662" spans="1:58" ht="12.75">
      <c r="A1662" s="2" t="str">
        <f>HYPERLINK("https://ibp.a2mac1.com/costing(costing:projects/details/8191/part/5389502)","Part 01 single/main")</f>
        <v>Part 01 single/main</v>
      </c>
      <c r="B1662">
        <v>5389502</v>
      </c>
      <c r="C1662">
        <v>5389276</v>
      </c>
      <c r="E1662">
        <v>0.16586606666666667</v>
      </c>
      <c r="F1662">
        <v>0</v>
      </c>
      <c r="G1662">
        <v>0</v>
      </c>
      <c r="H1662">
        <v>1.9724613333333333E-05</v>
      </c>
      <c r="I1662" t="s">
        <v>137</v>
      </c>
      <c r="J1662">
        <v>0.0062760133333333336</v>
      </c>
      <c r="K1662">
        <v>0.17216180461333333</v>
      </c>
      <c r="L1662">
        <v>0.012017019305024818</v>
      </c>
      <c r="M1662">
        <v>0.072102115830148902</v>
      </c>
      <c r="N1662">
        <v>0.24426392044348225</v>
      </c>
      <c r="O1662" t="s">
        <v>138</v>
      </c>
      <c r="P1662">
        <v>0.0103297082768</v>
      </c>
      <c r="Q1662" t="s">
        <v>138</v>
      </c>
      <c r="R1662">
        <v>0.0043261269498089342</v>
      </c>
      <c r="S1662" t="s">
        <v>139</v>
      </c>
      <c r="T1662">
        <v>0.029311670453217867</v>
      </c>
      <c r="U1662" t="s">
        <v>90</v>
      </c>
      <c r="V1662">
        <v>0</v>
      </c>
      <c r="W1662" t="s">
        <v>90</v>
      </c>
      <c r="X1662">
        <v>0</v>
      </c>
      <c r="Y1662">
        <v>0.28823142612330904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K1662" t="s">
        <v>6355</v>
      </c>
      <c r="AM1662">
        <v>400000</v>
      </c>
      <c r="AN1662" t="s">
        <v>76</v>
      </c>
      <c r="AO1662">
        <v>2</v>
      </c>
      <c r="AP1662">
        <v>0</v>
      </c>
      <c r="AQ1662">
        <v>33333.333333333336</v>
      </c>
      <c r="AR1662" t="s">
        <v>9</v>
      </c>
      <c r="AS1662" t="s">
        <v>78</v>
      </c>
      <c r="AW1662">
        <v>0</v>
      </c>
      <c r="AX1662" t="s">
        <v>79</v>
      </c>
      <c r="AY1662" t="s">
        <v>137</v>
      </c>
      <c r="AZ1662">
        <v>0</v>
      </c>
      <c r="BA1662" t="s">
        <v>137</v>
      </c>
      <c r="BB1662">
        <v>0</v>
      </c>
      <c r="BE1662">
        <v>0</v>
      </c>
    </row>
    <row r="1663" spans="1:58" ht="12.75">
      <c r="A1663" s="2" t="str">
        <f>HYPERLINK("https://ibp.a2mac1.com/costing(costing:projects/details/8191/part/5389503)","Part 01 single/main")</f>
        <v>Part 01 single/main</v>
      </c>
      <c r="B1663">
        <v>5389503</v>
      </c>
      <c r="C1663">
        <v>5389277</v>
      </c>
      <c r="E1663">
        <v>0.85948780000000002</v>
      </c>
      <c r="F1663">
        <v>0</v>
      </c>
      <c r="G1663">
        <v>0</v>
      </c>
      <c r="H1663">
        <v>0.00010220935999999999</v>
      </c>
      <c r="I1663" t="s">
        <v>137</v>
      </c>
      <c r="J1663">
        <v>0.03252116</v>
      </c>
      <c r="K1663">
        <v>0.89211116936000001</v>
      </c>
      <c r="L1663">
        <v>0.016357428824467144</v>
      </c>
      <c r="M1663">
        <v>0.098144572946802858</v>
      </c>
      <c r="N1663">
        <v>0.99025574230680291</v>
      </c>
      <c r="O1663" t="s">
        <v>138</v>
      </c>
      <c r="P1663">
        <v>0.053526670161600003</v>
      </c>
      <c r="Q1663" t="s">
        <v>138</v>
      </c>
      <c r="R1663">
        <v>0.0058886743768081715</v>
      </c>
      <c r="S1663" t="s">
        <v>139</v>
      </c>
      <c r="T1663">
        <v>0.11883068907681635</v>
      </c>
      <c r="U1663" t="s">
        <v>90</v>
      </c>
      <c r="V1663">
        <v>0</v>
      </c>
      <c r="W1663" t="s">
        <v>90</v>
      </c>
      <c r="X1663">
        <v>0</v>
      </c>
      <c r="Y1663">
        <v>1.1685017759220273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K1663" t="s">
        <v>6355</v>
      </c>
      <c r="AM1663">
        <v>400000</v>
      </c>
      <c r="AN1663" t="s">
        <v>76</v>
      </c>
      <c r="AO1663">
        <v>2</v>
      </c>
      <c r="AP1663">
        <v>0</v>
      </c>
      <c r="AQ1663">
        <v>33333.333333333336</v>
      </c>
      <c r="AR1663" t="s">
        <v>9</v>
      </c>
      <c r="AS1663" t="s">
        <v>78</v>
      </c>
      <c r="AW1663">
        <v>0</v>
      </c>
      <c r="AX1663" t="s">
        <v>79</v>
      </c>
      <c r="AY1663" t="s">
        <v>137</v>
      </c>
      <c r="AZ1663">
        <v>0</v>
      </c>
      <c r="BA1663" t="s">
        <v>137</v>
      </c>
      <c r="BB1663">
        <v>0</v>
      </c>
      <c r="BE1663">
        <v>0</v>
      </c>
    </row>
    <row r="1664" spans="1:58" ht="12.75">
      <c r="A1664" s="2" t="str">
        <f>HYPERLINK("https://ibp.a2mac1.com/costing(costing:projects/details/8191/part/5389504)","Part 02")</f>
        <v>Part 02</v>
      </c>
      <c r="B1664">
        <v>5389504</v>
      </c>
      <c r="C1664">
        <v>5389277</v>
      </c>
      <c r="E1664">
        <v>0.050502784615384613</v>
      </c>
      <c r="F1664">
        <v>0</v>
      </c>
      <c r="G1664">
        <v>0</v>
      </c>
      <c r="H1664">
        <v>6.2070461538461538E-06</v>
      </c>
      <c r="I1664" t="s">
        <v>137</v>
      </c>
      <c r="J1664">
        <v>0.0019749692307692306</v>
      </c>
      <c r="K1664">
        <v>0.052483960892307689</v>
      </c>
      <c r="L1664">
        <v>0.0043569423054512666</v>
      </c>
      <c r="M1664">
        <v>0.026141653832707602</v>
      </c>
      <c r="N1664">
        <v>0.078625614725015294</v>
      </c>
      <c r="O1664" t="s">
        <v>138</v>
      </c>
      <c r="P1664">
        <v>0.0031490376535384616</v>
      </c>
      <c r="Q1664" t="s">
        <v>138</v>
      </c>
      <c r="R1664">
        <v>0.0015684992299624561</v>
      </c>
      <c r="S1664" t="s">
        <v>139</v>
      </c>
      <c r="T1664">
        <v>0.0094350737670018357</v>
      </c>
      <c r="U1664" t="s">
        <v>90</v>
      </c>
      <c r="V1664">
        <v>0</v>
      </c>
      <c r="W1664" t="s">
        <v>90</v>
      </c>
      <c r="X1664">
        <v>0</v>
      </c>
      <c r="Y1664">
        <v>0.092778225375518053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K1664" t="s">
        <v>6355</v>
      </c>
      <c r="AM1664">
        <v>400000</v>
      </c>
      <c r="AN1664" t="s">
        <v>76</v>
      </c>
      <c r="AO1664">
        <v>2</v>
      </c>
      <c r="AP1664">
        <v>0</v>
      </c>
      <c r="AQ1664">
        <v>33333.333333333336</v>
      </c>
      <c r="AR1664" t="s">
        <v>9</v>
      </c>
      <c r="AS1664" t="s">
        <v>78</v>
      </c>
      <c r="AW1664">
        <v>0</v>
      </c>
      <c r="AX1664" t="s">
        <v>79</v>
      </c>
      <c r="AY1664" t="s">
        <v>137</v>
      </c>
      <c r="AZ1664">
        <v>0</v>
      </c>
      <c r="BA1664" t="s">
        <v>137</v>
      </c>
      <c r="BB1664">
        <v>0</v>
      </c>
      <c r="BE1664">
        <v>0</v>
      </c>
    </row>
    <row r="1665" spans="1:58" ht="12.75">
      <c r="A1665" s="2" t="str">
        <f>HYPERLINK("https://ibp.a2mac1.com/costing(costing:projects/details/8191/part/5389505)","Part 01 single/main/front")</f>
        <v>Part 01 single/main/front</v>
      </c>
      <c r="B1665">
        <v>5389505</v>
      </c>
      <c r="C1665">
        <v>5389278</v>
      </c>
      <c r="E1665">
        <v>2.4953265999999998</v>
      </c>
      <c r="F1665">
        <v>0</v>
      </c>
      <c r="G1665">
        <v>0</v>
      </c>
      <c r="H1665">
        <v>0.00030163288571428569</v>
      </c>
      <c r="I1665" t="s">
        <v>137</v>
      </c>
      <c r="J1665">
        <v>0.095974100000000007</v>
      </c>
      <c r="K1665">
        <v>2.5916023328857141</v>
      </c>
      <c r="L1665">
        <v>0.018524891664180389</v>
      </c>
      <c r="M1665">
        <v>0.11114934998508233</v>
      </c>
      <c r="N1665">
        <v>2.7027516828707965</v>
      </c>
      <c r="O1665" t="s">
        <v>138</v>
      </c>
      <c r="P1665">
        <v>0.15549613997314285</v>
      </c>
      <c r="Q1665" t="s">
        <v>138</v>
      </c>
      <c r="R1665">
        <v>0.0066689609991049401</v>
      </c>
      <c r="S1665" t="s">
        <v>139</v>
      </c>
      <c r="T1665">
        <v>0.32433020194449558</v>
      </c>
      <c r="U1665" t="s">
        <v>90</v>
      </c>
      <c r="V1665">
        <v>0</v>
      </c>
      <c r="W1665" t="s">
        <v>90</v>
      </c>
      <c r="X1665">
        <v>0</v>
      </c>
      <c r="Y1665">
        <v>3.1892469857875398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K1665" t="s">
        <v>6355</v>
      </c>
      <c r="AM1665">
        <v>400000</v>
      </c>
      <c r="AN1665" t="s">
        <v>76</v>
      </c>
      <c r="AO1665">
        <v>2</v>
      </c>
      <c r="AP1665">
        <v>0</v>
      </c>
      <c r="AQ1665">
        <v>33333.333333333336</v>
      </c>
      <c r="AR1665" t="s">
        <v>9</v>
      </c>
      <c r="AS1665" t="s">
        <v>78</v>
      </c>
      <c r="AW1665">
        <v>0</v>
      </c>
      <c r="AX1665" t="s">
        <v>79</v>
      </c>
      <c r="AY1665" t="s">
        <v>137</v>
      </c>
      <c r="AZ1665">
        <v>0</v>
      </c>
      <c r="BA1665" t="s">
        <v>137</v>
      </c>
      <c r="BB1665">
        <v>0</v>
      </c>
      <c r="BE1665">
        <v>0</v>
      </c>
    </row>
    <row r="1666" spans="1:58" ht="12.75">
      <c r="A1666" s="2" t="str">
        <f>HYPERLINK("https://ibp.a2mac1.com/costing(costing:projects/details/8191/part/5389506)","Part 01 single/main")</f>
        <v>Part 01 single/main</v>
      </c>
      <c r="B1666">
        <v>5389506</v>
      </c>
      <c r="C1666">
        <v>5389279</v>
      </c>
      <c r="E1666">
        <v>0.69020472307692304</v>
      </c>
      <c r="F1666">
        <v>0</v>
      </c>
      <c r="G1666">
        <v>0</v>
      </c>
      <c r="H1666">
        <v>8.4829630769230762E-05</v>
      </c>
      <c r="I1666" t="s">
        <v>137</v>
      </c>
      <c r="J1666">
        <v>0.026991246153846155</v>
      </c>
      <c r="K1666">
        <v>0.7172807988615385</v>
      </c>
      <c r="L1666">
        <v>0.016357428824467144</v>
      </c>
      <c r="M1666">
        <v>0.098144572946802858</v>
      </c>
      <c r="N1666">
        <v>0.81542537180834129</v>
      </c>
      <c r="O1666" t="s">
        <v>138</v>
      </c>
      <c r="P1666">
        <v>0.04303684793169231</v>
      </c>
      <c r="Q1666" t="s">
        <v>138</v>
      </c>
      <c r="R1666">
        <v>0.0058886743768081715</v>
      </c>
      <c r="S1666" t="s">
        <v>139</v>
      </c>
      <c r="T1666">
        <v>0.097851044617000962</v>
      </c>
      <c r="U1666" t="s">
        <v>90</v>
      </c>
      <c r="V1666">
        <v>0</v>
      </c>
      <c r="W1666" t="s">
        <v>90</v>
      </c>
      <c r="X1666">
        <v>0</v>
      </c>
      <c r="Y1666">
        <v>0.96220193873384274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K1666" t="s">
        <v>6355</v>
      </c>
      <c r="AM1666">
        <v>400000</v>
      </c>
      <c r="AN1666" t="s">
        <v>76</v>
      </c>
      <c r="AO1666">
        <v>2</v>
      </c>
      <c r="AP1666">
        <v>0</v>
      </c>
      <c r="AQ1666">
        <v>33333.333333333336</v>
      </c>
      <c r="AR1666" t="s">
        <v>9</v>
      </c>
      <c r="AS1666" t="s">
        <v>78</v>
      </c>
      <c r="AW1666">
        <v>0</v>
      </c>
      <c r="AX1666" t="s">
        <v>79</v>
      </c>
      <c r="AY1666" t="s">
        <v>137</v>
      </c>
      <c r="AZ1666">
        <v>0</v>
      </c>
      <c r="BA1666" t="s">
        <v>137</v>
      </c>
      <c r="BB1666">
        <v>0</v>
      </c>
      <c r="BE1666">
        <v>0</v>
      </c>
    </row>
    <row r="1667" spans="1:58" ht="12.75">
      <c r="A1667" s="2" t="str">
        <f>HYPERLINK("https://ibp.a2mac1.com/costing(costing:projects/details/8191/part/5389507)","Part 02")</f>
        <v>Part 02</v>
      </c>
      <c r="B1667">
        <v>5389507</v>
      </c>
      <c r="C1667">
        <v>5389279</v>
      </c>
      <c r="E1667">
        <v>0.38718801538461539</v>
      </c>
      <c r="F1667">
        <v>0</v>
      </c>
      <c r="G1667">
        <v>0</v>
      </c>
      <c r="H1667">
        <v>4.7587353846153845E-05</v>
      </c>
      <c r="I1667" t="s">
        <v>137</v>
      </c>
      <c r="J1667">
        <v>0.015141430769230768</v>
      </c>
      <c r="K1667">
        <v>0.40237703350769233</v>
      </c>
      <c r="L1667">
        <v>0.012017019305024818</v>
      </c>
      <c r="M1667">
        <v>0.072102115830148902</v>
      </c>
      <c r="N1667">
        <v>0.47447914933784119</v>
      </c>
      <c r="O1667" t="s">
        <v>138</v>
      </c>
      <c r="P1667">
        <v>0.024142622010461537</v>
      </c>
      <c r="Q1667" t="s">
        <v>138</v>
      </c>
      <c r="R1667">
        <v>0.0043261269498089342</v>
      </c>
      <c r="S1667" t="s">
        <v>139</v>
      </c>
      <c r="T1667">
        <v>0.056937497920540946</v>
      </c>
      <c r="U1667" t="s">
        <v>90</v>
      </c>
      <c r="V1667">
        <v>0</v>
      </c>
      <c r="W1667" t="s">
        <v>90</v>
      </c>
      <c r="X1667">
        <v>0</v>
      </c>
      <c r="Y1667">
        <v>0.55988539621865263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K1667" t="s">
        <v>6355</v>
      </c>
      <c r="AM1667">
        <v>400000</v>
      </c>
      <c r="AN1667" t="s">
        <v>76</v>
      </c>
      <c r="AO1667">
        <v>2</v>
      </c>
      <c r="AP1667">
        <v>0</v>
      </c>
      <c r="AQ1667">
        <v>33333.333333333336</v>
      </c>
      <c r="AR1667" t="s">
        <v>9</v>
      </c>
      <c r="AS1667" t="s">
        <v>78</v>
      </c>
      <c r="AW1667">
        <v>0</v>
      </c>
      <c r="AX1667" t="s">
        <v>79</v>
      </c>
      <c r="AY1667" t="s">
        <v>137</v>
      </c>
      <c r="AZ1667">
        <v>0</v>
      </c>
      <c r="BA1667" t="s">
        <v>137</v>
      </c>
      <c r="BB1667">
        <v>0</v>
      </c>
      <c r="BE1667">
        <v>0</v>
      </c>
    </row>
    <row r="1668" spans="1:58" ht="12.75">
      <c r="A1668" s="2" t="str">
        <f>HYPERLINK("https://ibp.a2mac1.com/costing(costing:projects/details/8191/part/5389508)","Part 01 single/main")</f>
        <v>Part 01 single/main</v>
      </c>
      <c r="B1668">
        <v>5389508</v>
      </c>
      <c r="C1668">
        <v>5389280</v>
      </c>
      <c r="E1668">
        <v>33.086682119999999</v>
      </c>
      <c r="F1668">
        <v>0</v>
      </c>
      <c r="G1668">
        <v>0</v>
      </c>
      <c r="H1668">
        <v>0.00387184578</v>
      </c>
      <c r="I1668" t="s">
        <v>137</v>
      </c>
      <c r="J1668">
        <v>1.23195093</v>
      </c>
      <c r="K1668">
        <v>34.32250489578</v>
      </c>
      <c r="L1668">
        <v>0.10678156361357313</v>
      </c>
      <c r="M1668">
        <v>0.64068938168143874</v>
      </c>
      <c r="N1668">
        <v>34.96319427746144</v>
      </c>
      <c r="O1668" t="s">
        <v>138</v>
      </c>
      <c r="P1668">
        <v>2.0593502937468</v>
      </c>
      <c r="Q1668" t="s">
        <v>138</v>
      </c>
      <c r="R1668">
        <v>0.038441362900886324</v>
      </c>
      <c r="S1668" t="s">
        <v>139</v>
      </c>
      <c r="T1668">
        <v>4.1955833132953728</v>
      </c>
      <c r="U1668" t="s">
        <v>90</v>
      </c>
      <c r="V1668">
        <v>0</v>
      </c>
      <c r="W1668" t="s">
        <v>90</v>
      </c>
      <c r="X1668">
        <v>0</v>
      </c>
      <c r="Y1668">
        <v>41.256569247404499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K1668" t="s">
        <v>6355</v>
      </c>
      <c r="AM1668">
        <v>400000</v>
      </c>
      <c r="AN1668" t="s">
        <v>76</v>
      </c>
      <c r="AO1668">
        <v>2</v>
      </c>
      <c r="AP1668">
        <v>0</v>
      </c>
      <c r="AQ1668">
        <v>33333.333333333336</v>
      </c>
      <c r="AR1668" t="s">
        <v>9</v>
      </c>
      <c r="AS1668" t="s">
        <v>78</v>
      </c>
      <c r="AW1668">
        <v>0</v>
      </c>
      <c r="AX1668" t="s">
        <v>79</v>
      </c>
      <c r="AY1668" t="s">
        <v>137</v>
      </c>
      <c r="AZ1668">
        <v>0</v>
      </c>
      <c r="BA1668" t="s">
        <v>137</v>
      </c>
      <c r="BB1668">
        <v>0</v>
      </c>
      <c r="BE1668">
        <v>0</v>
      </c>
    </row>
    <row r="1669" spans="1:58" ht="12.75">
      <c r="A1669" s="2" t="str">
        <f>HYPERLINK("https://ibp.a2mac1.com/costing(costing:projects/details/8191/part/5389509)","Part 03 rear")</f>
        <v>Part 03 rear</v>
      </c>
      <c r="B1669">
        <v>5389509</v>
      </c>
      <c r="C1669">
        <v>5389280</v>
      </c>
      <c r="E1669">
        <v>0.74070750769230764</v>
      </c>
      <c r="F1669">
        <v>0</v>
      </c>
      <c r="G1669">
        <v>0</v>
      </c>
      <c r="H1669">
        <v>9.1036676923076919E-05</v>
      </c>
      <c r="I1669" t="s">
        <v>137</v>
      </c>
      <c r="J1669">
        <v>0.028966215384615385</v>
      </c>
      <c r="K1669">
        <v>0.76976475975384617</v>
      </c>
      <c r="L1669">
        <v>0.016357428824467144</v>
      </c>
      <c r="M1669">
        <v>0.098144572946802858</v>
      </c>
      <c r="N1669">
        <v>0.86790933270064896</v>
      </c>
      <c r="O1669" t="s">
        <v>138</v>
      </c>
      <c r="P1669">
        <v>0.04618588558523077</v>
      </c>
      <c r="Q1669" t="s">
        <v>138</v>
      </c>
      <c r="R1669">
        <v>0.0058886743768081715</v>
      </c>
      <c r="S1669" t="s">
        <v>139</v>
      </c>
      <c r="T1669">
        <v>0.10414911992407788</v>
      </c>
      <c r="U1669" t="s">
        <v>90</v>
      </c>
      <c r="V1669">
        <v>0</v>
      </c>
      <c r="W1669" t="s">
        <v>90</v>
      </c>
      <c r="X1669">
        <v>0</v>
      </c>
      <c r="Y1669">
        <v>1.0241330125867658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K1669" t="s">
        <v>6355</v>
      </c>
      <c r="AM1669">
        <v>400000</v>
      </c>
      <c r="AN1669" t="s">
        <v>76</v>
      </c>
      <c r="AO1669">
        <v>2</v>
      </c>
      <c r="AP1669">
        <v>0</v>
      </c>
      <c r="AQ1669">
        <v>33333.333333333336</v>
      </c>
      <c r="AR1669" t="s">
        <v>9</v>
      </c>
      <c r="AS1669" t="s">
        <v>78</v>
      </c>
      <c r="AW1669">
        <v>0</v>
      </c>
      <c r="AX1669" t="s">
        <v>79</v>
      </c>
      <c r="AY1669" t="s">
        <v>137</v>
      </c>
      <c r="AZ1669">
        <v>0</v>
      </c>
      <c r="BA1669" t="s">
        <v>137</v>
      </c>
      <c r="BB1669">
        <v>0</v>
      </c>
      <c r="BE1669">
        <v>0</v>
      </c>
    </row>
    <row r="1670" spans="1:58" ht="12.75">
      <c r="A1670" s="2" t="str">
        <f>HYPERLINK("https://ibp.a2mac1.com/costing(costing:projects/details/8191/part/5389510)","Part 01 single/main")</f>
        <v>Part 01 single/main</v>
      </c>
      <c r="B1670">
        <v>5389510</v>
      </c>
      <c r="C1670">
        <v>5389281</v>
      </c>
      <c r="E1670">
        <v>0.90146373333333329</v>
      </c>
      <c r="F1670">
        <v>0</v>
      </c>
      <c r="G1670">
        <v>0</v>
      </c>
      <c r="H1670">
        <v>0.00012552026666666667</v>
      </c>
      <c r="I1670" t="s">
        <v>137</v>
      </c>
      <c r="J1670">
        <v>0.039938266666666666</v>
      </c>
      <c r="K1670">
        <v>0.94152752026666664</v>
      </c>
      <c r="L1670">
        <v>0.060128692034496077</v>
      </c>
      <c r="M1670">
        <v>0.36077215220697645</v>
      </c>
      <c r="N1670">
        <v>1.3022996724736431</v>
      </c>
      <c r="O1670" t="s">
        <v>138</v>
      </c>
      <c r="P1670">
        <v>0.056491651216</v>
      </c>
      <c r="Q1670" t="s">
        <v>138</v>
      </c>
      <c r="R1670">
        <v>0.021646329132418589</v>
      </c>
      <c r="S1670" t="s">
        <v>139</v>
      </c>
      <c r="T1670">
        <v>0.15627596069683716</v>
      </c>
      <c r="U1670" t="s">
        <v>90</v>
      </c>
      <c r="V1670">
        <v>0</v>
      </c>
      <c r="W1670" t="s">
        <v>90</v>
      </c>
      <c r="X1670">
        <v>0</v>
      </c>
      <c r="Y1670">
        <v>1.5367136135188988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K1670" t="s">
        <v>6355</v>
      </c>
      <c r="AM1670">
        <v>400000</v>
      </c>
      <c r="AN1670" t="s">
        <v>76</v>
      </c>
      <c r="AO1670">
        <v>2</v>
      </c>
      <c r="AP1670">
        <v>0</v>
      </c>
      <c r="AQ1670">
        <v>33333.333333333336</v>
      </c>
      <c r="AR1670" t="s">
        <v>9</v>
      </c>
      <c r="AS1670" t="s">
        <v>78</v>
      </c>
      <c r="AW1670">
        <v>0</v>
      </c>
      <c r="AX1670" t="s">
        <v>79</v>
      </c>
      <c r="AY1670" t="s">
        <v>137</v>
      </c>
      <c r="AZ1670">
        <v>0</v>
      </c>
      <c r="BA1670" t="s">
        <v>137</v>
      </c>
      <c r="BB1670">
        <v>0</v>
      </c>
      <c r="BE1670">
        <v>0</v>
      </c>
    </row>
    <row r="1671" spans="1:58" ht="12.75">
      <c r="A1671" s="2" t="str">
        <f>HYPERLINK("https://ibp.a2mac1.com/costing(costing:projects/details/8191/part/5389511)","Part 02")</f>
        <v>Part 02</v>
      </c>
      <c r="B1671">
        <v>5389511</v>
      </c>
      <c r="C1671">
        <v>5389281</v>
      </c>
      <c r="E1671">
        <v>0.80487833333333336</v>
      </c>
      <c r="F1671">
        <v>0</v>
      </c>
      <c r="G1671">
        <v>0</v>
      </c>
      <c r="H1671">
        <v>0.00011207166666666667</v>
      </c>
      <c r="I1671" t="s">
        <v>137</v>
      </c>
      <c r="J1671">
        <v>0.035659166666666665</v>
      </c>
      <c r="K1671">
        <v>0.84064957166666665</v>
      </c>
      <c r="L1671">
        <v>0.060128692034496077</v>
      </c>
      <c r="M1671">
        <v>0.36077215220697645</v>
      </c>
      <c r="N1671">
        <v>1.2014217238736431</v>
      </c>
      <c r="O1671" t="s">
        <v>138</v>
      </c>
      <c r="P1671">
        <v>0.050438974300000002</v>
      </c>
      <c r="Q1671" t="s">
        <v>138</v>
      </c>
      <c r="R1671">
        <v>0.021646329132418589</v>
      </c>
      <c r="S1671" t="s">
        <v>139</v>
      </c>
      <c r="T1671">
        <v>0.14417060686483718</v>
      </c>
      <c r="U1671" t="s">
        <v>90</v>
      </c>
      <c r="V1671">
        <v>0</v>
      </c>
      <c r="W1671" t="s">
        <v>90</v>
      </c>
      <c r="X1671">
        <v>0</v>
      </c>
      <c r="Y1671">
        <v>1.417677634170899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K1671" t="s">
        <v>6355</v>
      </c>
      <c r="AM1671">
        <v>400000</v>
      </c>
      <c r="AN1671" t="s">
        <v>76</v>
      </c>
      <c r="AO1671">
        <v>2</v>
      </c>
      <c r="AP1671">
        <v>0</v>
      </c>
      <c r="AQ1671">
        <v>33333.333333333336</v>
      </c>
      <c r="AR1671" t="s">
        <v>9</v>
      </c>
      <c r="AS1671" t="s">
        <v>78</v>
      </c>
      <c r="AW1671">
        <v>0</v>
      </c>
      <c r="AX1671" t="s">
        <v>79</v>
      </c>
      <c r="AY1671" t="s">
        <v>137</v>
      </c>
      <c r="AZ1671">
        <v>0</v>
      </c>
      <c r="BA1671" t="s">
        <v>137</v>
      </c>
      <c r="BB1671">
        <v>0</v>
      </c>
      <c r="BE1671">
        <v>0</v>
      </c>
    </row>
    <row r="1672" spans="1:58" ht="12.75">
      <c r="A1672" s="2" t="str">
        <f>HYPERLINK("https://ibp.a2mac1.com/costing(costing:projects/details/8191/part/5389723)","Part 01 single/main/upper")</f>
        <v>Part 01 single/main/upper</v>
      </c>
      <c r="B1672">
        <v>5389723</v>
      </c>
      <c r="C1672">
        <v>5389512</v>
      </c>
      <c r="E1672">
        <v>0.91450480000000001</v>
      </c>
      <c r="F1672">
        <v>0</v>
      </c>
      <c r="G1672">
        <v>0</v>
      </c>
      <c r="H1672">
        <v>0.00011431309999999999</v>
      </c>
      <c r="I1672" t="s">
        <v>137</v>
      </c>
      <c r="J1672">
        <v>0.036372349999999998</v>
      </c>
      <c r="K1672">
        <v>0.95099146310000005</v>
      </c>
      <c r="L1672">
        <v>0.016357428824467144</v>
      </c>
      <c r="M1672">
        <v>0.098144572946802858</v>
      </c>
      <c r="N1672">
        <v>1.0491360360468029</v>
      </c>
      <c r="O1672" t="s">
        <v>138</v>
      </c>
      <c r="P1672">
        <v>0.057059487786</v>
      </c>
      <c r="Q1672" t="s">
        <v>138</v>
      </c>
      <c r="R1672">
        <v>0.0058886743768081715</v>
      </c>
      <c r="S1672" t="s">
        <v>139</v>
      </c>
      <c r="T1672">
        <v>0.12589632432561634</v>
      </c>
      <c r="U1672" t="s">
        <v>90</v>
      </c>
      <c r="V1672">
        <v>0</v>
      </c>
      <c r="W1672" t="s">
        <v>90</v>
      </c>
      <c r="X1672">
        <v>0</v>
      </c>
      <c r="Y1672">
        <v>1.2379805225352274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K1672" t="s">
        <v>6355</v>
      </c>
      <c r="AM1672">
        <v>400000</v>
      </c>
      <c r="AN1672" t="s">
        <v>76</v>
      </c>
      <c r="AO1672">
        <v>2</v>
      </c>
      <c r="AP1672">
        <v>0</v>
      </c>
      <c r="AQ1672">
        <v>33333.333333333336</v>
      </c>
      <c r="AR1672" t="s">
        <v>9</v>
      </c>
      <c r="AS1672" t="s">
        <v>78</v>
      </c>
      <c r="AW1672">
        <v>0</v>
      </c>
      <c r="AX1672" t="s">
        <v>79</v>
      </c>
      <c r="AY1672" t="s">
        <v>137</v>
      </c>
      <c r="AZ1672">
        <v>0</v>
      </c>
      <c r="BA1672" t="s">
        <v>137</v>
      </c>
      <c r="BB1672">
        <v>0</v>
      </c>
      <c r="BE1672">
        <v>0</v>
      </c>
    </row>
    <row r="1673" spans="1:58" ht="12.75">
      <c r="A1673" s="2" t="str">
        <f>HYPERLINK("https://ibp.a2mac1.com/costing(costing:projects/details/8191/part/5389724)","Part 01 single/main")</f>
        <v>Part 01 single/main</v>
      </c>
      <c r="B1673">
        <v>5389724</v>
      </c>
      <c r="C1673">
        <v>5389513</v>
      </c>
      <c r="E1673">
        <v>3.0675034000000001</v>
      </c>
      <c r="F1673">
        <v>0</v>
      </c>
      <c r="G1673">
        <v>0</v>
      </c>
      <c r="H1673">
        <v>0.00037079711428571427</v>
      </c>
      <c r="I1673" t="s">
        <v>137</v>
      </c>
      <c r="J1673">
        <v>0.1179809</v>
      </c>
      <c r="K1673">
        <v>3.1858550971142856</v>
      </c>
      <c r="L1673">
        <v>0.060128692034496077</v>
      </c>
      <c r="M1673">
        <v>0.36077215220697645</v>
      </c>
      <c r="N1673">
        <v>3.5466272493212623</v>
      </c>
      <c r="O1673" t="s">
        <v>138</v>
      </c>
      <c r="P1673">
        <v>0.19115130582685713</v>
      </c>
      <c r="Q1673" t="s">
        <v>138</v>
      </c>
      <c r="R1673">
        <v>0.021646329132418589</v>
      </c>
      <c r="S1673" t="s">
        <v>139</v>
      </c>
      <c r="T1673">
        <v>0.42559526991855146</v>
      </c>
      <c r="U1673" t="s">
        <v>90</v>
      </c>
      <c r="V1673">
        <v>0</v>
      </c>
      <c r="W1673" t="s">
        <v>90</v>
      </c>
      <c r="X1673">
        <v>0</v>
      </c>
      <c r="Y1673">
        <v>4.1850201541990897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K1673" t="s">
        <v>6355</v>
      </c>
      <c r="AM1673">
        <v>400000</v>
      </c>
      <c r="AN1673" t="s">
        <v>76</v>
      </c>
      <c r="AO1673">
        <v>2</v>
      </c>
      <c r="AP1673">
        <v>0</v>
      </c>
      <c r="AQ1673">
        <v>33333.333333333336</v>
      </c>
      <c r="AR1673" t="s">
        <v>9</v>
      </c>
      <c r="AS1673" t="s">
        <v>78</v>
      </c>
      <c r="AW1673">
        <v>0</v>
      </c>
      <c r="AX1673" t="s">
        <v>79</v>
      </c>
      <c r="AY1673" t="s">
        <v>137</v>
      </c>
      <c r="AZ1673">
        <v>0</v>
      </c>
      <c r="BA1673" t="s">
        <v>137</v>
      </c>
      <c r="BB1673">
        <v>0</v>
      </c>
      <c r="BE1673">
        <v>0</v>
      </c>
    </row>
    <row r="1674" spans="1:58" ht="12.75">
      <c r="A1674" s="2" t="str">
        <f>HYPERLINK("https://ibp.a2mac1.com/costing(costing:projects/details/8191/part/5389725)","Part 01 single/main/upper")</f>
        <v>Part 01 single/main/upper</v>
      </c>
      <c r="B1674">
        <v>5389725</v>
      </c>
      <c r="C1674">
        <v>5389514</v>
      </c>
      <c r="E1674">
        <v>4.5615205999999997</v>
      </c>
      <c r="F1674">
        <v>0</v>
      </c>
      <c r="G1674">
        <v>0</v>
      </c>
      <c r="H1674">
        <v>0.00055139260000000004</v>
      </c>
      <c r="I1674" t="s">
        <v>137</v>
      </c>
      <c r="J1674">
        <v>0.17544309999999999</v>
      </c>
      <c r="K1674">
        <v>4.7375150925999998</v>
      </c>
      <c r="L1674">
        <v>0.020626099745884138</v>
      </c>
      <c r="M1674">
        <v>0.12375659847530482</v>
      </c>
      <c r="N1674">
        <v>4.8612716910753049</v>
      </c>
      <c r="O1674" t="s">
        <v>138</v>
      </c>
      <c r="P1674">
        <v>0.28425090555600002</v>
      </c>
      <c r="Q1674" t="s">
        <v>138</v>
      </c>
      <c r="R1674">
        <v>0.0074253959085182897</v>
      </c>
      <c r="S1674" t="s">
        <v>139</v>
      </c>
      <c r="T1674">
        <v>0.58335260292903657</v>
      </c>
      <c r="U1674" t="s">
        <v>90</v>
      </c>
      <c r="V1674">
        <v>0</v>
      </c>
      <c r="W1674" t="s">
        <v>90</v>
      </c>
      <c r="X1674">
        <v>0</v>
      </c>
      <c r="Y1674">
        <v>5.73630059546886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K1674" t="s">
        <v>6355</v>
      </c>
      <c r="AM1674">
        <v>400000</v>
      </c>
      <c r="AN1674" t="s">
        <v>76</v>
      </c>
      <c r="AO1674">
        <v>2</v>
      </c>
      <c r="AP1674">
        <v>0</v>
      </c>
      <c r="AQ1674">
        <v>33333.333333333336</v>
      </c>
      <c r="AR1674" t="s">
        <v>9</v>
      </c>
      <c r="AS1674" t="s">
        <v>78</v>
      </c>
      <c r="AW1674">
        <v>0</v>
      </c>
      <c r="AX1674" t="s">
        <v>79</v>
      </c>
      <c r="AY1674" t="s">
        <v>137</v>
      </c>
      <c r="AZ1674">
        <v>0</v>
      </c>
      <c r="BA1674" t="s">
        <v>137</v>
      </c>
      <c r="BB1674">
        <v>0</v>
      </c>
      <c r="BE1674">
        <v>0</v>
      </c>
    </row>
    <row r="1675" spans="1:58" ht="12.75">
      <c r="A1675" s="2" t="str">
        <f>HYPERLINK("https://ibp.a2mac1.com/costing(costing:projects/details/8191/part/5389726)","Part 01 single/main")</f>
        <v>Part 01 single/main</v>
      </c>
      <c r="B1675">
        <v>5389726</v>
      </c>
      <c r="C1675">
        <v>5389515</v>
      </c>
      <c r="E1675">
        <v>1.8517687692307692</v>
      </c>
      <c r="F1675">
        <v>0</v>
      </c>
      <c r="G1675">
        <v>0</v>
      </c>
      <c r="H1675">
        <v>0.00022759169230769232</v>
      </c>
      <c r="I1675" t="s">
        <v>137</v>
      </c>
      <c r="J1675">
        <v>0.072415538461538462</v>
      </c>
      <c r="K1675">
        <v>1.9244118993846153</v>
      </c>
      <c r="L1675">
        <v>0.060128692034496077</v>
      </c>
      <c r="M1675">
        <v>0.36077215220697645</v>
      </c>
      <c r="N1675">
        <v>2.285184051591592</v>
      </c>
      <c r="O1675" t="s">
        <v>138</v>
      </c>
      <c r="P1675">
        <v>0.11546471396307692</v>
      </c>
      <c r="Q1675" t="s">
        <v>138</v>
      </c>
      <c r="R1675">
        <v>0.021646329132418589</v>
      </c>
      <c r="S1675" t="s">
        <v>139</v>
      </c>
      <c r="T1675">
        <v>0.27422208619099103</v>
      </c>
      <c r="U1675" t="s">
        <v>90</v>
      </c>
      <c r="V1675">
        <v>0</v>
      </c>
      <c r="W1675" t="s">
        <v>90</v>
      </c>
      <c r="X1675">
        <v>0</v>
      </c>
      <c r="Y1675">
        <v>2.6965171808780783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K1675" t="s">
        <v>6355</v>
      </c>
      <c r="AM1675">
        <v>400000</v>
      </c>
      <c r="AN1675" t="s">
        <v>76</v>
      </c>
      <c r="AO1675">
        <v>2</v>
      </c>
      <c r="AP1675">
        <v>0</v>
      </c>
      <c r="AQ1675">
        <v>33333.333333333336</v>
      </c>
      <c r="AR1675" t="s">
        <v>9</v>
      </c>
      <c r="AS1675" t="s">
        <v>78</v>
      </c>
      <c r="AW1675">
        <v>0</v>
      </c>
      <c r="AX1675" t="s">
        <v>79</v>
      </c>
      <c r="AY1675" t="s">
        <v>137</v>
      </c>
      <c r="AZ1675">
        <v>0</v>
      </c>
      <c r="BA1675" t="s">
        <v>137</v>
      </c>
      <c r="BB1675">
        <v>0</v>
      </c>
      <c r="BE1675">
        <v>0</v>
      </c>
    </row>
    <row r="1676" spans="1:58" ht="12.75">
      <c r="A1676" s="2" t="str">
        <f>HYPERLINK("https://ibp.a2mac1.com/costing(costing:projects/details/8191/part/5389727)","Part 02")</f>
        <v>Part 02</v>
      </c>
      <c r="B1676">
        <v>5389727</v>
      </c>
      <c r="C1676">
        <v>5389515</v>
      </c>
      <c r="E1676">
        <v>1.0917817999999999</v>
      </c>
      <c r="F1676">
        <v>0</v>
      </c>
      <c r="G1676">
        <v>0</v>
      </c>
      <c r="H1676">
        <v>0.00012776169999999999</v>
      </c>
      <c r="I1676" t="s">
        <v>137</v>
      </c>
      <c r="J1676">
        <v>0.040651449999999999</v>
      </c>
      <c r="K1676">
        <v>1.1325610117</v>
      </c>
      <c r="L1676">
        <v>0.060128692034496077</v>
      </c>
      <c r="M1676">
        <v>0.36077215220697645</v>
      </c>
      <c r="N1676">
        <v>1.4933331639069765</v>
      </c>
      <c r="O1676" t="s">
        <v>138</v>
      </c>
      <c r="P1676">
        <v>0.067953660701999999</v>
      </c>
      <c r="Q1676" t="s">
        <v>138</v>
      </c>
      <c r="R1676">
        <v>0.021646329132418589</v>
      </c>
      <c r="S1676" t="s">
        <v>139</v>
      </c>
      <c r="T1676">
        <v>0.17919997966883716</v>
      </c>
      <c r="U1676" t="s">
        <v>90</v>
      </c>
      <c r="V1676">
        <v>0</v>
      </c>
      <c r="W1676" t="s">
        <v>90</v>
      </c>
      <c r="X1676">
        <v>0</v>
      </c>
      <c r="Y1676">
        <v>1.7621331334102321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K1676" t="s">
        <v>6355</v>
      </c>
      <c r="AM1676">
        <v>400000</v>
      </c>
      <c r="AN1676" t="s">
        <v>76</v>
      </c>
      <c r="AO1676">
        <v>2</v>
      </c>
      <c r="AP1676">
        <v>0</v>
      </c>
      <c r="AQ1676">
        <v>33333.333333333336</v>
      </c>
      <c r="AR1676" t="s">
        <v>9</v>
      </c>
      <c r="AS1676" t="s">
        <v>78</v>
      </c>
      <c r="AW1676">
        <v>0</v>
      </c>
      <c r="AX1676" t="s">
        <v>79</v>
      </c>
      <c r="AY1676" t="s">
        <v>137</v>
      </c>
      <c r="AZ1676">
        <v>0</v>
      </c>
      <c r="BA1676" t="s">
        <v>137</v>
      </c>
      <c r="BB1676">
        <v>0</v>
      </c>
      <c r="BE1676">
        <v>0</v>
      </c>
    </row>
    <row r="1677" spans="1:58" ht="12.75">
      <c r="A1677" s="2" t="str">
        <f>HYPERLINK("https://ibp.a2mac1.com/costing(costing:projects/details/8191/part/5389728)"," Part 01 single/main")</f>
        <v xml:space="preserve"> Part 01 single/main</v>
      </c>
      <c r="B1677">
        <v>5389728</v>
      </c>
      <c r="C1677">
        <v>5389516</v>
      </c>
      <c r="E1677">
        <v>0.43035519999999999</v>
      </c>
      <c r="F1677">
        <v>0</v>
      </c>
      <c r="G1677">
        <v>0</v>
      </c>
      <c r="H1677">
        <v>5.3794400000000001E-05</v>
      </c>
      <c r="I1677" t="s">
        <v>137</v>
      </c>
      <c r="J1677">
        <v>0.0171164</v>
      </c>
      <c r="K1677">
        <v>0.4475253944</v>
      </c>
      <c r="L1677">
        <v>0.042767053956726774</v>
      </c>
      <c r="M1677">
        <v>0.25660232374036063</v>
      </c>
      <c r="N1677">
        <v>0.70412771814036068</v>
      </c>
      <c r="O1677" t="s">
        <v>138</v>
      </c>
      <c r="P1677">
        <v>0.026851523663999999</v>
      </c>
      <c r="Q1677" t="s">
        <v>138</v>
      </c>
      <c r="R1677">
        <v>0.015396139424421638</v>
      </c>
      <c r="S1677" t="s">
        <v>139</v>
      </c>
      <c r="T1677">
        <v>0.084495326176843272</v>
      </c>
      <c r="U1677" t="s">
        <v>90</v>
      </c>
      <c r="V1677">
        <v>0</v>
      </c>
      <c r="W1677" t="s">
        <v>90</v>
      </c>
      <c r="X1677">
        <v>0</v>
      </c>
      <c r="Y1677">
        <v>0.83087070740562552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K1677" t="s">
        <v>6355</v>
      </c>
      <c r="AM1677">
        <v>400000</v>
      </c>
      <c r="AN1677" t="s">
        <v>76</v>
      </c>
      <c r="AO1677">
        <v>2</v>
      </c>
      <c r="AP1677">
        <v>0</v>
      </c>
      <c r="AQ1677">
        <v>33333.333333333336</v>
      </c>
      <c r="AR1677" t="s">
        <v>9</v>
      </c>
      <c r="AS1677" t="s">
        <v>78</v>
      </c>
      <c r="AW1677">
        <v>0</v>
      </c>
      <c r="AX1677" t="s">
        <v>79</v>
      </c>
      <c r="AY1677" t="s">
        <v>137</v>
      </c>
      <c r="AZ1677">
        <v>0</v>
      </c>
      <c r="BA1677" t="s">
        <v>137</v>
      </c>
      <c r="BB1677">
        <v>0</v>
      </c>
      <c r="BE1677">
        <v>0</v>
      </c>
    </row>
    <row r="1678" spans="1:58" ht="12.75">
      <c r="A1678" s="2" t="str">
        <f>HYPERLINK("https://ibp.a2mac1.com/costing(costing:projects/details/8191/part/5389517)","Part 01 main/single/front")</f>
        <v>Part 01 main/single/front</v>
      </c>
      <c r="B1678">
        <v>5389517</v>
      </c>
      <c r="C1678">
        <v>5389285</v>
      </c>
      <c r="E1678">
        <v>2.8156477999999998</v>
      </c>
      <c r="F1678">
        <v>0</v>
      </c>
      <c r="G1678">
        <v>0</v>
      </c>
      <c r="H1678">
        <v>0.00032949070000000001</v>
      </c>
      <c r="I1678" t="s">
        <v>137</v>
      </c>
      <c r="J1678">
        <v>0.10483795</v>
      </c>
      <c r="K1678">
        <v>2.9208152407000001</v>
      </c>
      <c r="L1678">
        <v>0.016357428824467144</v>
      </c>
      <c r="M1678">
        <v>0.098144572946802858</v>
      </c>
      <c r="N1678">
        <v>3.018959813646803</v>
      </c>
      <c r="O1678" t="s">
        <v>138</v>
      </c>
      <c r="P1678">
        <v>0.175248914442</v>
      </c>
      <c r="Q1678" t="s">
        <v>138</v>
      </c>
      <c r="R1678">
        <v>0.0058886743768081715</v>
      </c>
      <c r="S1678" t="s">
        <v>139</v>
      </c>
      <c r="T1678">
        <v>0.36227517763761635</v>
      </c>
      <c r="U1678" t="s">
        <v>90</v>
      </c>
      <c r="V1678">
        <v>0</v>
      </c>
      <c r="W1678" t="s">
        <v>90</v>
      </c>
      <c r="X1678">
        <v>0</v>
      </c>
      <c r="Y1678">
        <v>3.5623725801032275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K1678" t="s">
        <v>6355</v>
      </c>
      <c r="AM1678">
        <v>400000</v>
      </c>
      <c r="AN1678" t="s">
        <v>76</v>
      </c>
      <c r="AO1678">
        <v>2</v>
      </c>
      <c r="AP1678">
        <v>0</v>
      </c>
      <c r="AQ1678">
        <v>33333.333333333336</v>
      </c>
      <c r="AR1678" t="s">
        <v>9</v>
      </c>
      <c r="AS1678" t="s">
        <v>78</v>
      </c>
      <c r="AW1678">
        <v>0</v>
      </c>
      <c r="AX1678" t="s">
        <v>79</v>
      </c>
      <c r="AY1678" t="s">
        <v>137</v>
      </c>
      <c r="AZ1678">
        <v>0</v>
      </c>
      <c r="BA1678" t="s">
        <v>137</v>
      </c>
      <c r="BB1678">
        <v>0</v>
      </c>
      <c r="BE1678">
        <v>0</v>
      </c>
    </row>
    <row r="1679" spans="1:58" ht="12.75">
      <c r="A1679" s="2" t="str">
        <f>HYPERLINK("https://ibp.a2mac1.com/costing(costing:projects/details/8191/part/5389518)","Part 02")</f>
        <v>Part 02</v>
      </c>
      <c r="B1679">
        <v>5389518</v>
      </c>
      <c r="C1679">
        <v>5389285</v>
      </c>
      <c r="E1679">
        <v>8.84802672</v>
      </c>
      <c r="F1679">
        <v>0</v>
      </c>
      <c r="G1679">
        <v>0</v>
      </c>
      <c r="H1679">
        <v>0.0010695416914285713</v>
      </c>
      <c r="I1679" t="s">
        <v>137</v>
      </c>
      <c r="J1679">
        <v>0.34030872000000001</v>
      </c>
      <c r="K1679">
        <v>9.1894049816914283</v>
      </c>
      <c r="L1679">
        <v>0.10678156361357313</v>
      </c>
      <c r="M1679">
        <v>0.64068938168143874</v>
      </c>
      <c r="N1679">
        <v>9.8300943633728668</v>
      </c>
      <c r="O1679" t="s">
        <v>138</v>
      </c>
      <c r="P1679">
        <v>0.55136429890148575</v>
      </c>
      <c r="Q1679" t="s">
        <v>138</v>
      </c>
      <c r="R1679">
        <v>0.038441362900886324</v>
      </c>
      <c r="S1679" t="s">
        <v>139</v>
      </c>
      <c r="T1679">
        <v>1.1796113236047441</v>
      </c>
      <c r="U1679" t="s">
        <v>90</v>
      </c>
      <c r="V1679">
        <v>0</v>
      </c>
      <c r="W1679" t="s">
        <v>90</v>
      </c>
      <c r="X1679">
        <v>0</v>
      </c>
      <c r="Y1679">
        <v>11.599511348779984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K1679" t="s">
        <v>6355</v>
      </c>
      <c r="AM1679">
        <v>400000</v>
      </c>
      <c r="AN1679" t="s">
        <v>76</v>
      </c>
      <c r="AO1679">
        <v>2</v>
      </c>
      <c r="AP1679">
        <v>0</v>
      </c>
      <c r="AQ1679">
        <v>33333.333333333336</v>
      </c>
      <c r="AR1679" t="s">
        <v>9</v>
      </c>
      <c r="AS1679" t="s">
        <v>78</v>
      </c>
      <c r="AW1679">
        <v>0</v>
      </c>
      <c r="AX1679" t="s">
        <v>79</v>
      </c>
      <c r="AY1679" t="s">
        <v>137</v>
      </c>
      <c r="AZ1679">
        <v>0</v>
      </c>
      <c r="BA1679" t="s">
        <v>137</v>
      </c>
      <c r="BB1679">
        <v>0</v>
      </c>
      <c r="BE1679">
        <v>0</v>
      </c>
    </row>
    <row r="1680" spans="1:58" ht="12.75">
      <c r="A1680" s="2" t="str">
        <f>HYPERLINK("https://ibp.a2mac1.com/costing(costing:projects/details/8191/part/5389519)","Part 03")</f>
        <v>Part 03</v>
      </c>
      <c r="B1680">
        <v>5389519</v>
      </c>
      <c r="C1680">
        <v>5389285</v>
      </c>
      <c r="E1680">
        <v>5.5791313333333337</v>
      </c>
      <c r="F1680">
        <v>0</v>
      </c>
      <c r="G1680">
        <v>0</v>
      </c>
      <c r="H1680">
        <v>0.00066346426666666662</v>
      </c>
      <c r="I1680" t="s">
        <v>137</v>
      </c>
      <c r="J1680">
        <v>0.21110226666666668</v>
      </c>
      <c r="K1680">
        <v>5.7908970642666668</v>
      </c>
      <c r="L1680">
        <v>0.018524891664180389</v>
      </c>
      <c r="M1680">
        <v>0.11114934998508233</v>
      </c>
      <c r="N1680">
        <v>5.9020464142517488</v>
      </c>
      <c r="O1680" t="s">
        <v>138</v>
      </c>
      <c r="P1680">
        <v>0.34745382385599999</v>
      </c>
      <c r="Q1680" t="s">
        <v>138</v>
      </c>
      <c r="R1680">
        <v>0.0066689609991049401</v>
      </c>
      <c r="S1680" t="s">
        <v>139</v>
      </c>
      <c r="T1680">
        <v>0.70824556971020991</v>
      </c>
      <c r="U1680" t="s">
        <v>90</v>
      </c>
      <c r="V1680">
        <v>0</v>
      </c>
      <c r="W1680" t="s">
        <v>90</v>
      </c>
      <c r="X1680">
        <v>0</v>
      </c>
      <c r="Y1680">
        <v>6.9644147688170639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K1680" t="s">
        <v>6355</v>
      </c>
      <c r="AM1680">
        <v>400000</v>
      </c>
      <c r="AN1680" t="s">
        <v>76</v>
      </c>
      <c r="AO1680">
        <v>2</v>
      </c>
      <c r="AP1680">
        <v>0</v>
      </c>
      <c r="AQ1680">
        <v>33333.333333333336</v>
      </c>
      <c r="AR1680" t="s">
        <v>9</v>
      </c>
      <c r="AS1680" t="s">
        <v>78</v>
      </c>
      <c r="AW1680">
        <v>0</v>
      </c>
      <c r="AX1680" t="s">
        <v>79</v>
      </c>
      <c r="AY1680" t="s">
        <v>137</v>
      </c>
      <c r="AZ1680">
        <v>0</v>
      </c>
      <c r="BA1680" t="s">
        <v>137</v>
      </c>
      <c r="BB1680">
        <v>0</v>
      </c>
      <c r="BE1680">
        <v>0</v>
      </c>
    </row>
    <row r="1681" spans="1:58" ht="12.75">
      <c r="A1681" s="2" t="str">
        <f>HYPERLINK("https://ibp.a2mac1.com/costing(costing:projects/details/8191/part/5389520)"," Part 04")</f>
        <v xml:space="preserve"> Part 04</v>
      </c>
      <c r="B1681">
        <v>5389520</v>
      </c>
      <c r="C1681">
        <v>5389285</v>
      </c>
      <c r="E1681">
        <v>1.8675215000000001</v>
      </c>
      <c r="F1681">
        <v>0</v>
      </c>
      <c r="G1681">
        <v>0</v>
      </c>
      <c r="H1681">
        <v>0.00021853975</v>
      </c>
      <c r="I1681" t="s">
        <v>137</v>
      </c>
      <c r="J1681">
        <v>0.069535374999999996</v>
      </c>
      <c r="K1681">
        <v>1.93727541475</v>
      </c>
      <c r="L1681">
        <v>0.016357428824467144</v>
      </c>
      <c r="M1681">
        <v>0.098144572946802858</v>
      </c>
      <c r="N1681">
        <v>2.0354199876968027</v>
      </c>
      <c r="O1681" t="s">
        <v>138</v>
      </c>
      <c r="P1681">
        <v>0.116236524885</v>
      </c>
      <c r="Q1681" t="s">
        <v>138</v>
      </c>
      <c r="R1681">
        <v>0.0058886743768081715</v>
      </c>
      <c r="S1681" t="s">
        <v>139</v>
      </c>
      <c r="T1681">
        <v>0.24425039852361635</v>
      </c>
      <c r="U1681" t="s">
        <v>90</v>
      </c>
      <c r="V1681">
        <v>0</v>
      </c>
      <c r="W1681" t="s">
        <v>90</v>
      </c>
      <c r="X1681">
        <v>0</v>
      </c>
      <c r="Y1681">
        <v>2.4017955854822275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K1681" t="s">
        <v>6355</v>
      </c>
      <c r="AM1681">
        <v>400000</v>
      </c>
      <c r="AN1681" t="s">
        <v>76</v>
      </c>
      <c r="AO1681">
        <v>2</v>
      </c>
      <c r="AP1681">
        <v>0</v>
      </c>
      <c r="AQ1681">
        <v>33333.333333333336</v>
      </c>
      <c r="AR1681" t="s">
        <v>9</v>
      </c>
      <c r="AS1681" t="s">
        <v>78</v>
      </c>
      <c r="AW1681">
        <v>0</v>
      </c>
      <c r="AX1681" t="s">
        <v>79</v>
      </c>
      <c r="AY1681" t="s">
        <v>137</v>
      </c>
      <c r="AZ1681">
        <v>0</v>
      </c>
      <c r="BA1681" t="s">
        <v>137</v>
      </c>
      <c r="BB1681">
        <v>0</v>
      </c>
      <c r="BE1681">
        <v>0</v>
      </c>
    </row>
    <row r="1682" spans="1:58" ht="12.75">
      <c r="A1682" s="2" t="str">
        <f>HYPERLINK("https://ibp.a2mac1.com/costing(costing:projects/details/8191/part/5389521)","Part 06")</f>
        <v>Part 06</v>
      </c>
      <c r="B1682">
        <v>5389521</v>
      </c>
      <c r="C1682">
        <v>5389285</v>
      </c>
      <c r="E1682">
        <v>1.2794038769230769</v>
      </c>
      <c r="F1682">
        <v>0</v>
      </c>
      <c r="G1682">
        <v>0</v>
      </c>
      <c r="H1682">
        <v>0.00015724516923076924</v>
      </c>
      <c r="I1682" t="s">
        <v>137</v>
      </c>
      <c r="J1682">
        <v>0.050032553846153849</v>
      </c>
      <c r="K1682">
        <v>1.3295936759384615</v>
      </c>
      <c r="L1682">
        <v>0.016357428824467144</v>
      </c>
      <c r="M1682">
        <v>0.098144572946802858</v>
      </c>
      <c r="N1682">
        <v>1.4277382488852643</v>
      </c>
      <c r="O1682" t="s">
        <v>138</v>
      </c>
      <c r="P1682">
        <v>0.079775620556307686</v>
      </c>
      <c r="Q1682" t="s">
        <v>138</v>
      </c>
      <c r="R1682">
        <v>0.0058886743768081715</v>
      </c>
      <c r="S1682" t="s">
        <v>139</v>
      </c>
      <c r="T1682">
        <v>0.17132858986623173</v>
      </c>
      <c r="U1682" t="s">
        <v>90</v>
      </c>
      <c r="V1682">
        <v>0</v>
      </c>
      <c r="W1682" t="s">
        <v>90</v>
      </c>
      <c r="X1682">
        <v>0</v>
      </c>
      <c r="Y1682">
        <v>1.684731133684612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K1682" t="s">
        <v>6355</v>
      </c>
      <c r="AM1682">
        <v>400000</v>
      </c>
      <c r="AN1682" t="s">
        <v>76</v>
      </c>
      <c r="AO1682">
        <v>2</v>
      </c>
      <c r="AP1682">
        <v>0</v>
      </c>
      <c r="AQ1682">
        <v>33333.333333333336</v>
      </c>
      <c r="AR1682" t="s">
        <v>9</v>
      </c>
      <c r="AS1682" t="s">
        <v>78</v>
      </c>
      <c r="AW1682">
        <v>0</v>
      </c>
      <c r="AX1682" t="s">
        <v>79</v>
      </c>
      <c r="AY1682" t="s">
        <v>137</v>
      </c>
      <c r="AZ1682">
        <v>0</v>
      </c>
      <c r="BA1682" t="s">
        <v>137</v>
      </c>
      <c r="BB1682">
        <v>0</v>
      </c>
      <c r="BE1682">
        <v>0</v>
      </c>
    </row>
    <row r="1683" spans="1:58" ht="12.75">
      <c r="A1683" s="2" t="str">
        <f>HYPERLINK("https://ibp.a2mac1.com/costing(costing:projects/details/8191/part/5389522)","Part 07")</f>
        <v>Part 07</v>
      </c>
      <c r="B1683">
        <v>5389522</v>
      </c>
      <c r="C1683">
        <v>5389285</v>
      </c>
      <c r="E1683">
        <v>15.846496778181818</v>
      </c>
      <c r="F1683">
        <v>0</v>
      </c>
      <c r="G1683">
        <v>0</v>
      </c>
      <c r="H1683">
        <v>0.0020151614400000001</v>
      </c>
      <c r="I1683" t="s">
        <v>137</v>
      </c>
      <c r="J1683">
        <v>0.64118773090909087</v>
      </c>
      <c r="K1683">
        <v>16.489699670530911</v>
      </c>
      <c r="L1683">
        <v>0.10678156361357313</v>
      </c>
      <c r="M1683">
        <v>0.64068938168143874</v>
      </c>
      <c r="N1683">
        <v>17.130389052212347</v>
      </c>
      <c r="O1683" t="s">
        <v>138</v>
      </c>
      <c r="P1683">
        <v>0.98938198023185453</v>
      </c>
      <c r="Q1683" t="s">
        <v>138</v>
      </c>
      <c r="R1683">
        <v>0.038441362900886324</v>
      </c>
      <c r="S1683" t="s">
        <v>139</v>
      </c>
      <c r="T1683">
        <v>2.0556466862654816</v>
      </c>
      <c r="U1683" t="s">
        <v>90</v>
      </c>
      <c r="V1683">
        <v>0</v>
      </c>
      <c r="W1683" t="s">
        <v>90</v>
      </c>
      <c r="X1683">
        <v>0</v>
      </c>
      <c r="Y1683">
        <v>20.213859081610572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K1683" t="s">
        <v>6355</v>
      </c>
      <c r="AM1683">
        <v>400000</v>
      </c>
      <c r="AN1683" t="s">
        <v>76</v>
      </c>
      <c r="AO1683">
        <v>2</v>
      </c>
      <c r="AP1683">
        <v>0</v>
      </c>
      <c r="AQ1683">
        <v>33333.333333333336</v>
      </c>
      <c r="AR1683" t="s">
        <v>9</v>
      </c>
      <c r="AS1683" t="s">
        <v>78</v>
      </c>
      <c r="AW1683">
        <v>0</v>
      </c>
      <c r="AX1683" t="s">
        <v>79</v>
      </c>
      <c r="AY1683" t="s">
        <v>137</v>
      </c>
      <c r="AZ1683">
        <v>0</v>
      </c>
      <c r="BA1683" t="s">
        <v>137</v>
      </c>
      <c r="BB1683">
        <v>0</v>
      </c>
      <c r="BE1683">
        <v>0</v>
      </c>
    </row>
    <row r="1684" spans="1:58" ht="12.75">
      <c r="A1684" s="2" t="str">
        <f>HYPERLINK("https://ibp.a2mac1.com/costing(costing:projects/details/8191/part/5389523)","Part 01 single/main")</f>
        <v>Part 01 single/main</v>
      </c>
      <c r="B1684">
        <v>5389523</v>
      </c>
      <c r="C1684">
        <v>5389286</v>
      </c>
      <c r="E1684">
        <v>3.2635269333333334</v>
      </c>
      <c r="F1684">
        <v>0</v>
      </c>
      <c r="G1684">
        <v>0</v>
      </c>
      <c r="H1684">
        <v>0.00040794086666666668</v>
      </c>
      <c r="I1684" t="s">
        <v>137</v>
      </c>
      <c r="J1684">
        <v>0.12979936666666667</v>
      </c>
      <c r="K1684">
        <v>3.3937342408666669</v>
      </c>
      <c r="L1684">
        <v>0.016357428824467144</v>
      </c>
      <c r="M1684">
        <v>0.098144572946802858</v>
      </c>
      <c r="N1684">
        <v>3.4918788138134693</v>
      </c>
      <c r="O1684" t="s">
        <v>138</v>
      </c>
      <c r="P1684">
        <v>0.20362405445199999</v>
      </c>
      <c r="Q1684" t="s">
        <v>138</v>
      </c>
      <c r="R1684">
        <v>0.0058886743768081715</v>
      </c>
      <c r="S1684" t="s">
        <v>139</v>
      </c>
      <c r="T1684">
        <v>0.41902545765761634</v>
      </c>
      <c r="U1684" t="s">
        <v>90</v>
      </c>
      <c r="V1684">
        <v>0</v>
      </c>
      <c r="W1684" t="s">
        <v>90</v>
      </c>
      <c r="X1684">
        <v>0</v>
      </c>
      <c r="Y1684">
        <v>4.1204170002998941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K1684" t="s">
        <v>6355</v>
      </c>
      <c r="AM1684">
        <v>400000</v>
      </c>
      <c r="AN1684" t="s">
        <v>76</v>
      </c>
      <c r="AO1684">
        <v>2</v>
      </c>
      <c r="AP1684">
        <v>0</v>
      </c>
      <c r="AQ1684">
        <v>33333.333333333336</v>
      </c>
      <c r="AR1684" t="s">
        <v>9</v>
      </c>
      <c r="AS1684" t="s">
        <v>78</v>
      </c>
      <c r="AW1684">
        <v>0</v>
      </c>
      <c r="AX1684" t="s">
        <v>79</v>
      </c>
      <c r="AY1684" t="s">
        <v>137</v>
      </c>
      <c r="AZ1684">
        <v>0</v>
      </c>
      <c r="BA1684" t="s">
        <v>137</v>
      </c>
      <c r="BB1684">
        <v>0</v>
      </c>
      <c r="BE1684">
        <v>0</v>
      </c>
    </row>
    <row r="1685" spans="1:58" ht="12.75">
      <c r="A1685" s="2" t="str">
        <f>HYPERLINK("https://ibp.a2mac1.com/costing(costing:projects/details/8191/part/5389524)","Part 02")</f>
        <v>Part 02</v>
      </c>
      <c r="B1685">
        <v>5389524</v>
      </c>
      <c r="C1685">
        <v>5389286</v>
      </c>
      <c r="E1685">
        <v>0.071725866666666666</v>
      </c>
      <c r="F1685">
        <v>0</v>
      </c>
      <c r="G1685">
        <v>0</v>
      </c>
      <c r="H1685">
        <v>8.965733333333333E-06</v>
      </c>
      <c r="I1685" t="s">
        <v>137</v>
      </c>
      <c r="J1685">
        <v>0.0028527333333333332</v>
      </c>
      <c r="K1685">
        <v>0.074587565733333333</v>
      </c>
      <c r="L1685">
        <v>0.0093102457262997304</v>
      </c>
      <c r="M1685">
        <v>0.055861474357798382</v>
      </c>
      <c r="N1685">
        <v>0.1304490400911317</v>
      </c>
      <c r="O1685" t="s">
        <v>138</v>
      </c>
      <c r="P1685">
        <v>0.0044752539439999999</v>
      </c>
      <c r="Q1685" t="s">
        <v>138</v>
      </c>
      <c r="R1685">
        <v>0.0033516884614679028</v>
      </c>
      <c r="S1685" t="s">
        <v>139</v>
      </c>
      <c r="T1685">
        <v>0.015653884810935804</v>
      </c>
      <c r="U1685" t="s">
        <v>90</v>
      </c>
      <c r="V1685">
        <v>0</v>
      </c>
      <c r="W1685" t="s">
        <v>90</v>
      </c>
      <c r="X1685">
        <v>0</v>
      </c>
      <c r="Y1685">
        <v>0.15392986730753541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K1685" t="s">
        <v>6355</v>
      </c>
      <c r="AM1685">
        <v>400000</v>
      </c>
      <c r="AN1685" t="s">
        <v>76</v>
      </c>
      <c r="AO1685">
        <v>2</v>
      </c>
      <c r="AP1685">
        <v>0</v>
      </c>
      <c r="AQ1685">
        <v>33333.333333333336</v>
      </c>
      <c r="AR1685" t="s">
        <v>9</v>
      </c>
      <c r="AS1685" t="s">
        <v>78</v>
      </c>
      <c r="AW1685">
        <v>0</v>
      </c>
      <c r="AX1685" t="s">
        <v>79</v>
      </c>
      <c r="AY1685" t="s">
        <v>137</v>
      </c>
      <c r="AZ1685">
        <v>0</v>
      </c>
      <c r="BA1685" t="s">
        <v>137</v>
      </c>
      <c r="BB1685">
        <v>0</v>
      </c>
      <c r="BE1685">
        <v>0</v>
      </c>
    </row>
    <row r="1686" spans="1:58" ht="12.75">
      <c r="A1686" s="2" t="str">
        <f>HYPERLINK("https://ibp.a2mac1.com/costing(costing:projects/details/8191/part/5389525)","Part 03")</f>
        <v>Part 03</v>
      </c>
      <c r="B1686">
        <v>5389525</v>
      </c>
      <c r="C1686">
        <v>5389286</v>
      </c>
      <c r="E1686">
        <v>1.1655453333333334</v>
      </c>
      <c r="F1686">
        <v>0</v>
      </c>
      <c r="G1686">
        <v>0</v>
      </c>
      <c r="H1686">
        <v>0.00014569316666666668</v>
      </c>
      <c r="I1686" t="s">
        <v>137</v>
      </c>
      <c r="J1686">
        <v>0.046356916666666664</v>
      </c>
      <c r="K1686">
        <v>1.2120479431666666</v>
      </c>
      <c r="L1686">
        <v>0.016357428824467144</v>
      </c>
      <c r="M1686">
        <v>0.098144572946802858</v>
      </c>
      <c r="N1686">
        <v>1.3101925161134695</v>
      </c>
      <c r="O1686" t="s">
        <v>138</v>
      </c>
      <c r="P1686">
        <v>0.072722876589999999</v>
      </c>
      <c r="Q1686" t="s">
        <v>138</v>
      </c>
      <c r="R1686">
        <v>0.0058886743768081715</v>
      </c>
      <c r="S1686" t="s">
        <v>139</v>
      </c>
      <c r="T1686">
        <v>0.15722310193361635</v>
      </c>
      <c r="U1686" t="s">
        <v>90</v>
      </c>
      <c r="V1686">
        <v>0</v>
      </c>
      <c r="W1686" t="s">
        <v>90</v>
      </c>
      <c r="X1686">
        <v>0</v>
      </c>
      <c r="Y1686">
        <v>1.546027169013894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K1686" t="s">
        <v>6355</v>
      </c>
      <c r="AM1686">
        <v>400000</v>
      </c>
      <c r="AN1686" t="s">
        <v>76</v>
      </c>
      <c r="AO1686">
        <v>2</v>
      </c>
      <c r="AP1686">
        <v>0</v>
      </c>
      <c r="AQ1686">
        <v>33333.333333333336</v>
      </c>
      <c r="AR1686" t="s">
        <v>9</v>
      </c>
      <c r="AS1686" t="s">
        <v>78</v>
      </c>
      <c r="AW1686">
        <v>0</v>
      </c>
      <c r="AX1686" t="s">
        <v>79</v>
      </c>
      <c r="AY1686" t="s">
        <v>137</v>
      </c>
      <c r="AZ1686">
        <v>0</v>
      </c>
      <c r="BA1686" t="s">
        <v>137</v>
      </c>
      <c r="BB1686">
        <v>0</v>
      </c>
      <c r="BE1686">
        <v>0</v>
      </c>
    </row>
    <row r="1687" spans="1:58" ht="12.75">
      <c r="A1687" s="2" t="str">
        <f>HYPERLINK("https://ibp.a2mac1.com/costing(costing:projects/details/8191/part/5389526)"," Part 04")</f>
        <v xml:space="preserve"> Part 04</v>
      </c>
      <c r="B1687">
        <v>5389526</v>
      </c>
      <c r="C1687">
        <v>5389286</v>
      </c>
      <c r="E1687">
        <v>1.8828039999999999</v>
      </c>
      <c r="F1687">
        <v>0</v>
      </c>
      <c r="G1687">
        <v>0</v>
      </c>
      <c r="H1687">
        <v>0.00023535050000000001</v>
      </c>
      <c r="I1687" t="s">
        <v>137</v>
      </c>
      <c r="J1687">
        <v>0.074884249999999999</v>
      </c>
      <c r="K1687">
        <v>1.9579236005</v>
      </c>
      <c r="L1687">
        <v>0.016357428824467144</v>
      </c>
      <c r="M1687">
        <v>0.098144572946802858</v>
      </c>
      <c r="N1687">
        <v>2.0560681734468029</v>
      </c>
      <c r="O1687" t="s">
        <v>138</v>
      </c>
      <c r="P1687">
        <v>0.11747541603</v>
      </c>
      <c r="Q1687" t="s">
        <v>138</v>
      </c>
      <c r="R1687">
        <v>0.0058886743768081715</v>
      </c>
      <c r="S1687" t="s">
        <v>139</v>
      </c>
      <c r="T1687">
        <v>0.24672818081361633</v>
      </c>
      <c r="U1687" t="s">
        <v>90</v>
      </c>
      <c r="V1687">
        <v>0</v>
      </c>
      <c r="W1687" t="s">
        <v>90</v>
      </c>
      <c r="X1687">
        <v>0</v>
      </c>
      <c r="Y1687">
        <v>2.4261604446672274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K1687" t="s">
        <v>6355</v>
      </c>
      <c r="AM1687">
        <v>400000</v>
      </c>
      <c r="AN1687" t="s">
        <v>76</v>
      </c>
      <c r="AO1687">
        <v>2</v>
      </c>
      <c r="AP1687">
        <v>0</v>
      </c>
      <c r="AQ1687">
        <v>33333.333333333336</v>
      </c>
      <c r="AR1687" t="s">
        <v>9</v>
      </c>
      <c r="AS1687" t="s">
        <v>78</v>
      </c>
      <c r="AW1687">
        <v>0</v>
      </c>
      <c r="AX1687" t="s">
        <v>79</v>
      </c>
      <c r="AY1687" t="s">
        <v>137</v>
      </c>
      <c r="AZ1687">
        <v>0</v>
      </c>
      <c r="BA1687" t="s">
        <v>137</v>
      </c>
      <c r="BB1687">
        <v>0</v>
      </c>
      <c r="BE1687">
        <v>0</v>
      </c>
    </row>
    <row r="1688" spans="1:58" ht="12.75">
      <c r="A1688" s="2" t="str">
        <f>HYPERLINK("https://ibp.a2mac1.com/costing(costing:projects/details/8191/part/5389527)","Part 01 single/main")</f>
        <v>Part 01 single/main</v>
      </c>
      <c r="B1688">
        <v>5389527</v>
      </c>
      <c r="C1688">
        <v>5389287</v>
      </c>
      <c r="E1688">
        <v>1.8754683999999999</v>
      </c>
      <c r="F1688">
        <v>0</v>
      </c>
      <c r="G1688">
        <v>0</v>
      </c>
      <c r="H1688">
        <v>0.00022670497142857142</v>
      </c>
      <c r="I1688" t="s">
        <v>137</v>
      </c>
      <c r="J1688">
        <v>0.0721334</v>
      </c>
      <c r="K1688">
        <v>1.9478285049714286</v>
      </c>
      <c r="L1688">
        <v>0.016357428824467144</v>
      </c>
      <c r="M1688">
        <v>0.098144572946802858</v>
      </c>
      <c r="N1688">
        <v>2.0459730779182315</v>
      </c>
      <c r="O1688" t="s">
        <v>138</v>
      </c>
      <c r="P1688">
        <v>0.11686971029828572</v>
      </c>
      <c r="Q1688" t="s">
        <v>138</v>
      </c>
      <c r="R1688">
        <v>0.0058886743768081715</v>
      </c>
      <c r="S1688" t="s">
        <v>139</v>
      </c>
      <c r="T1688">
        <v>0.24551676935018776</v>
      </c>
      <c r="U1688" t="s">
        <v>90</v>
      </c>
      <c r="V1688">
        <v>0</v>
      </c>
      <c r="W1688" t="s">
        <v>90</v>
      </c>
      <c r="X1688">
        <v>0</v>
      </c>
      <c r="Y1688">
        <v>2.414248231943513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K1688" t="s">
        <v>6355</v>
      </c>
      <c r="AM1688">
        <v>400000</v>
      </c>
      <c r="AN1688" t="s">
        <v>76</v>
      </c>
      <c r="AO1688">
        <v>2</v>
      </c>
      <c r="AP1688">
        <v>0</v>
      </c>
      <c r="AQ1688">
        <v>33333.333333333336</v>
      </c>
      <c r="AR1688" t="s">
        <v>9</v>
      </c>
      <c r="AS1688" t="s">
        <v>78</v>
      </c>
      <c r="AW1688">
        <v>0</v>
      </c>
      <c r="AX1688" t="s">
        <v>79</v>
      </c>
      <c r="AY1688" t="s">
        <v>137</v>
      </c>
      <c r="AZ1688">
        <v>0</v>
      </c>
      <c r="BA1688" t="s">
        <v>137</v>
      </c>
      <c r="BB1688">
        <v>0</v>
      </c>
      <c r="BE1688">
        <v>0</v>
      </c>
    </row>
    <row r="1689" spans="1:58" ht="12.75">
      <c r="A1689" s="2" t="str">
        <f>HYPERLINK("https://ibp.a2mac1.com/costing(costing:projects/details/8191/part/5389528)"," Part 02")</f>
        <v xml:space="preserve"> Part 02</v>
      </c>
      <c r="B1689">
        <v>5389528</v>
      </c>
      <c r="C1689">
        <v>5389287</v>
      </c>
      <c r="E1689">
        <v>1.1912199333333333</v>
      </c>
      <c r="F1689">
        <v>0</v>
      </c>
      <c r="G1689">
        <v>0</v>
      </c>
      <c r="H1689">
        <v>0.00016586606666666665</v>
      </c>
      <c r="I1689" t="s">
        <v>137</v>
      </c>
      <c r="J1689">
        <v>0.052775566666666669</v>
      </c>
      <c r="K1689">
        <v>1.2441613660666666</v>
      </c>
      <c r="L1689">
        <v>0.016357428824467144</v>
      </c>
      <c r="M1689">
        <v>0.098144572946802858</v>
      </c>
      <c r="N1689">
        <v>1.3423059390134695</v>
      </c>
      <c r="O1689" t="s">
        <v>138</v>
      </c>
      <c r="P1689">
        <v>0.074649681964</v>
      </c>
      <c r="Q1689" t="s">
        <v>138</v>
      </c>
      <c r="R1689">
        <v>0.0058886743768081715</v>
      </c>
      <c r="S1689" t="s">
        <v>139</v>
      </c>
      <c r="T1689">
        <v>0.16107671268161633</v>
      </c>
      <c r="U1689" t="s">
        <v>90</v>
      </c>
      <c r="V1689">
        <v>0</v>
      </c>
      <c r="W1689" t="s">
        <v>90</v>
      </c>
      <c r="X1689">
        <v>0</v>
      </c>
      <c r="Y1689">
        <v>1.5839210080358941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K1689" t="s">
        <v>6355</v>
      </c>
      <c r="AM1689">
        <v>400000</v>
      </c>
      <c r="AN1689" t="s">
        <v>76</v>
      </c>
      <c r="AO1689">
        <v>2</v>
      </c>
      <c r="AP1689">
        <v>0</v>
      </c>
      <c r="AQ1689">
        <v>33333.333333333336</v>
      </c>
      <c r="AR1689" t="s">
        <v>9</v>
      </c>
      <c r="AS1689" t="s">
        <v>78</v>
      </c>
      <c r="AW1689">
        <v>0</v>
      </c>
      <c r="AX1689" t="s">
        <v>79</v>
      </c>
      <c r="AY1689" t="s">
        <v>137</v>
      </c>
      <c r="AZ1689">
        <v>0</v>
      </c>
      <c r="BA1689" t="s">
        <v>137</v>
      </c>
      <c r="BB1689">
        <v>0</v>
      </c>
      <c r="BE1689">
        <v>0</v>
      </c>
    </row>
    <row r="1690" spans="1:58" ht="12.75">
      <c r="A1690" s="2" t="str">
        <f>HYPERLINK("https://ibp.a2mac1.com/costing(costing:projects/details/8191/part/5389529)","Part 03")</f>
        <v>Part 03</v>
      </c>
      <c r="B1690">
        <v>5389529</v>
      </c>
      <c r="C1690">
        <v>5389287</v>
      </c>
      <c r="E1690">
        <v>0.42085653846153848</v>
      </c>
      <c r="F1690">
        <v>0</v>
      </c>
      <c r="G1690">
        <v>0</v>
      </c>
      <c r="H1690">
        <v>5.1725384615384616E-05</v>
      </c>
      <c r="I1690" t="s">
        <v>137</v>
      </c>
      <c r="J1690">
        <v>0.016458076923076922</v>
      </c>
      <c r="K1690">
        <v>0.43736634076923075</v>
      </c>
      <c r="L1690">
        <v>0.012017019305024818</v>
      </c>
      <c r="M1690">
        <v>0.072102115830148902</v>
      </c>
      <c r="N1690">
        <v>0.50946845659937967</v>
      </c>
      <c r="O1690" t="s">
        <v>138</v>
      </c>
      <c r="P1690">
        <v>0.026241980446153845</v>
      </c>
      <c r="Q1690" t="s">
        <v>138</v>
      </c>
      <c r="R1690">
        <v>0.0043261269498089342</v>
      </c>
      <c r="S1690" t="s">
        <v>139</v>
      </c>
      <c r="T1690">
        <v>0.061136214791925561</v>
      </c>
      <c r="U1690" t="s">
        <v>90</v>
      </c>
      <c r="V1690">
        <v>0</v>
      </c>
      <c r="W1690" t="s">
        <v>90</v>
      </c>
      <c r="X1690">
        <v>0</v>
      </c>
      <c r="Y1690">
        <v>0.60117277878726805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K1690" t="s">
        <v>6355</v>
      </c>
      <c r="AM1690">
        <v>400000</v>
      </c>
      <c r="AN1690" t="s">
        <v>76</v>
      </c>
      <c r="AO1690">
        <v>2</v>
      </c>
      <c r="AP1690">
        <v>0</v>
      </c>
      <c r="AQ1690">
        <v>33333.333333333336</v>
      </c>
      <c r="AR1690" t="s">
        <v>9</v>
      </c>
      <c r="AS1690" t="s">
        <v>78</v>
      </c>
      <c r="AW1690">
        <v>0</v>
      </c>
      <c r="AX1690" t="s">
        <v>79</v>
      </c>
      <c r="AY1690" t="s">
        <v>137</v>
      </c>
      <c r="AZ1690">
        <v>0</v>
      </c>
      <c r="BA1690" t="s">
        <v>137</v>
      </c>
      <c r="BB1690">
        <v>0</v>
      </c>
      <c r="BE1690">
        <v>0</v>
      </c>
    </row>
    <row r="1691" spans="1:58" ht="12.75">
      <c r="A1691" s="2" t="str">
        <f>HYPERLINK("https://ibp.a2mac1.com/costing(costing:projects/details/8191/part/5389530)","Part 01 single/main")</f>
        <v>Part 01 single/main</v>
      </c>
      <c r="B1691">
        <v>5389530</v>
      </c>
      <c r="C1691">
        <v>5389288</v>
      </c>
      <c r="E1691">
        <v>1.4133256000000001</v>
      </c>
      <c r="F1691">
        <v>0</v>
      </c>
      <c r="G1691">
        <v>0</v>
      </c>
      <c r="H1691">
        <v>0.00018290096000000001</v>
      </c>
      <c r="I1691" t="s">
        <v>137</v>
      </c>
      <c r="J1691">
        <v>0.058195759999999999</v>
      </c>
      <c r="K1691">
        <v>1.47170426096</v>
      </c>
      <c r="L1691">
        <v>0.016357428824467144</v>
      </c>
      <c r="M1691">
        <v>0.098144572946802858</v>
      </c>
      <c r="N1691">
        <v>1.5698488339068029</v>
      </c>
      <c r="O1691" t="s">
        <v>138</v>
      </c>
      <c r="P1691">
        <v>0.088302255657599998</v>
      </c>
      <c r="Q1691" t="s">
        <v>138</v>
      </c>
      <c r="R1691">
        <v>0.0058886743768081715</v>
      </c>
      <c r="S1691" t="s">
        <v>139</v>
      </c>
      <c r="T1691">
        <v>0.18838186006881635</v>
      </c>
      <c r="U1691" t="s">
        <v>90</v>
      </c>
      <c r="V1691">
        <v>0</v>
      </c>
      <c r="W1691" t="s">
        <v>90</v>
      </c>
      <c r="X1691">
        <v>0</v>
      </c>
      <c r="Y1691">
        <v>1.8524216240100273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K1691" t="s">
        <v>6355</v>
      </c>
      <c r="AM1691">
        <v>400000</v>
      </c>
      <c r="AN1691" t="s">
        <v>76</v>
      </c>
      <c r="AO1691">
        <v>2</v>
      </c>
      <c r="AP1691">
        <v>0</v>
      </c>
      <c r="AQ1691">
        <v>33333.333333333336</v>
      </c>
      <c r="AR1691" t="s">
        <v>9</v>
      </c>
      <c r="AS1691" t="s">
        <v>78</v>
      </c>
      <c r="AW1691">
        <v>0</v>
      </c>
      <c r="AX1691" t="s">
        <v>79</v>
      </c>
      <c r="AY1691" t="s">
        <v>137</v>
      </c>
      <c r="AZ1691">
        <v>0</v>
      </c>
      <c r="BA1691" t="s">
        <v>137</v>
      </c>
      <c r="BB1691">
        <v>0</v>
      </c>
      <c r="BE1691">
        <v>0</v>
      </c>
    </row>
    <row r="1692" spans="1:58" ht="12.75">
      <c r="A1692" s="2" t="str">
        <f>HYPERLINK("https://ibp.a2mac1.com/costing(costing:projects/details/8191/part/5389531)","Part 01 single/main")</f>
        <v>Part 01 single/main</v>
      </c>
      <c r="B1692">
        <v>5389531</v>
      </c>
      <c r="C1692">
        <v>5389289</v>
      </c>
      <c r="E1692">
        <v>0.2115098</v>
      </c>
      <c r="F1692">
        <v>0</v>
      </c>
      <c r="G1692">
        <v>0</v>
      </c>
      <c r="H1692">
        <v>2.6897200000000001E-05</v>
      </c>
      <c r="I1692" t="s">
        <v>137</v>
      </c>
      <c r="J1692">
        <v>0.0085582000000000002</v>
      </c>
      <c r="K1692">
        <v>0.2200948972</v>
      </c>
      <c r="L1692">
        <v>0.0093102457262997304</v>
      </c>
      <c r="M1692">
        <v>0.055861474357798382</v>
      </c>
      <c r="N1692">
        <v>0.2759563715577984</v>
      </c>
      <c r="O1692" t="s">
        <v>138</v>
      </c>
      <c r="P1692">
        <v>0.013205693831999999</v>
      </c>
      <c r="Q1692" t="s">
        <v>138</v>
      </c>
      <c r="R1692">
        <v>0.0033516884614679028</v>
      </c>
      <c r="S1692" t="s">
        <v>139</v>
      </c>
      <c r="T1692">
        <v>0.033114764586935803</v>
      </c>
      <c r="U1692" t="s">
        <v>90</v>
      </c>
      <c r="V1692">
        <v>0</v>
      </c>
      <c r="W1692" t="s">
        <v>90</v>
      </c>
      <c r="X1692">
        <v>0</v>
      </c>
      <c r="Y1692">
        <v>0.32562851843820206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K1692" t="s">
        <v>6355</v>
      </c>
      <c r="AM1692">
        <v>400000</v>
      </c>
      <c r="AN1692" t="s">
        <v>76</v>
      </c>
      <c r="AO1692">
        <v>2</v>
      </c>
      <c r="AP1692">
        <v>0</v>
      </c>
      <c r="AQ1692">
        <v>33333.333333333336</v>
      </c>
      <c r="AR1692" t="s">
        <v>9</v>
      </c>
      <c r="AS1692" t="s">
        <v>78</v>
      </c>
      <c r="AW1692">
        <v>0</v>
      </c>
      <c r="AX1692" t="s">
        <v>79</v>
      </c>
      <c r="AY1692" t="s">
        <v>137</v>
      </c>
      <c r="AZ1692">
        <v>0</v>
      </c>
      <c r="BA1692" t="s">
        <v>137</v>
      </c>
      <c r="BB1692">
        <v>0</v>
      </c>
      <c r="BE1692">
        <v>0</v>
      </c>
    </row>
    <row r="1693" spans="1:58" ht="12.75">
      <c r="A1693" s="2" t="str">
        <f>HYPERLINK("https://ibp.a2mac1.com/costing(costing:projects/details/8191/part/5389532)","Part 02")</f>
        <v>Part 02</v>
      </c>
      <c r="B1693">
        <v>5389532</v>
      </c>
      <c r="C1693">
        <v>5389289</v>
      </c>
      <c r="E1693">
        <v>0.30167654999999999</v>
      </c>
      <c r="F1693">
        <v>0</v>
      </c>
      <c r="G1693">
        <v>0</v>
      </c>
      <c r="H1693">
        <v>3.5302575000000001E-05</v>
      </c>
      <c r="I1693" t="s">
        <v>137</v>
      </c>
      <c r="J1693">
        <v>0.0112326375</v>
      </c>
      <c r="K1693">
        <v>0.31294449007500003</v>
      </c>
      <c r="L1693">
        <v>0.056854640132678387</v>
      </c>
      <c r="M1693">
        <v>0.34112784079607034</v>
      </c>
      <c r="N1693">
        <v>0.65407233087107031</v>
      </c>
      <c r="O1693" t="s">
        <v>138</v>
      </c>
      <c r="P1693">
        <v>0.018776669404499999</v>
      </c>
      <c r="Q1693" t="s">
        <v>138</v>
      </c>
      <c r="R1693">
        <v>0.020467670447764218</v>
      </c>
      <c r="S1693" t="s">
        <v>139</v>
      </c>
      <c r="T1693">
        <v>0.078488679704528441</v>
      </c>
      <c r="U1693" t="s">
        <v>90</v>
      </c>
      <c r="V1693">
        <v>0</v>
      </c>
      <c r="W1693" t="s">
        <v>90</v>
      </c>
      <c r="X1693">
        <v>0</v>
      </c>
      <c r="Y1693">
        <v>0.77180535042786302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K1693" t="s">
        <v>6355</v>
      </c>
      <c r="AM1693">
        <v>400000</v>
      </c>
      <c r="AN1693" t="s">
        <v>76</v>
      </c>
      <c r="AO1693">
        <v>2</v>
      </c>
      <c r="AP1693">
        <v>0</v>
      </c>
      <c r="AQ1693">
        <v>33333.333333333336</v>
      </c>
      <c r="AR1693" t="s">
        <v>9</v>
      </c>
      <c r="AS1693" t="s">
        <v>78</v>
      </c>
      <c r="AW1693">
        <v>0</v>
      </c>
      <c r="AX1693" t="s">
        <v>79</v>
      </c>
      <c r="AY1693" t="s">
        <v>137</v>
      </c>
      <c r="AZ1693">
        <v>0</v>
      </c>
      <c r="BA1693" t="s">
        <v>137</v>
      </c>
      <c r="BB1693">
        <v>0</v>
      </c>
      <c r="BE1693">
        <v>0</v>
      </c>
    </row>
    <row r="1694" spans="1:58" ht="12.75">
      <c r="A1694" s="2" t="str">
        <f>HYPERLINK("https://ibp.a2mac1.com/costing(costing:projects/details/8191/part/5389533)","Part 03")</f>
        <v>Part 03</v>
      </c>
      <c r="B1694">
        <v>5389533</v>
      </c>
      <c r="C1694">
        <v>5389289</v>
      </c>
      <c r="E1694">
        <v>0.43035519999999999</v>
      </c>
      <c r="F1694">
        <v>0</v>
      </c>
      <c r="G1694">
        <v>0</v>
      </c>
      <c r="H1694">
        <v>5.3794400000000001E-05</v>
      </c>
      <c r="I1694" t="s">
        <v>137</v>
      </c>
      <c r="J1694">
        <v>0.0171164</v>
      </c>
      <c r="K1694">
        <v>0.4475253944</v>
      </c>
      <c r="L1694">
        <v>0.012017019305024818</v>
      </c>
      <c r="M1694">
        <v>0.072102115830148902</v>
      </c>
      <c r="N1694">
        <v>0.51962751023014886</v>
      </c>
      <c r="O1694" t="s">
        <v>138</v>
      </c>
      <c r="P1694">
        <v>0.026851523663999999</v>
      </c>
      <c r="Q1694" t="s">
        <v>138</v>
      </c>
      <c r="R1694">
        <v>0.0043261269498089342</v>
      </c>
      <c r="S1694" t="s">
        <v>139</v>
      </c>
      <c r="T1694">
        <v>0.062355301227617871</v>
      </c>
      <c r="U1694" t="s">
        <v>90</v>
      </c>
      <c r="V1694">
        <v>0</v>
      </c>
      <c r="W1694" t="s">
        <v>90</v>
      </c>
      <c r="X1694">
        <v>0</v>
      </c>
      <c r="Y1694">
        <v>0.61316046207157571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K1694" t="s">
        <v>6355</v>
      </c>
      <c r="AM1694">
        <v>400000</v>
      </c>
      <c r="AN1694" t="s">
        <v>76</v>
      </c>
      <c r="AO1694">
        <v>2</v>
      </c>
      <c r="AP1694">
        <v>0</v>
      </c>
      <c r="AQ1694">
        <v>33333.333333333336</v>
      </c>
      <c r="AR1694" t="s">
        <v>9</v>
      </c>
      <c r="AS1694" t="s">
        <v>78</v>
      </c>
      <c r="AW1694">
        <v>0</v>
      </c>
      <c r="AX1694" t="s">
        <v>79</v>
      </c>
      <c r="AY1694" t="s">
        <v>137</v>
      </c>
      <c r="AZ1694">
        <v>0</v>
      </c>
      <c r="BA1694" t="s">
        <v>137</v>
      </c>
      <c r="BB1694">
        <v>0</v>
      </c>
      <c r="BE1694">
        <v>0</v>
      </c>
    </row>
    <row r="1695" spans="1:58" ht="12.75">
      <c r="A1695" s="2" t="str">
        <f>HYPERLINK("https://ibp.a2mac1.com/costing(costing:projects/details/8191/part/5389534)","Part 04")</f>
        <v>Part 04</v>
      </c>
      <c r="B1695">
        <v>5389534</v>
      </c>
      <c r="C1695">
        <v>5389289</v>
      </c>
      <c r="E1695">
        <v>0.55761674545454543</v>
      </c>
      <c r="F1695">
        <v>0</v>
      </c>
      <c r="G1695">
        <v>0</v>
      </c>
      <c r="H1695">
        <v>7.0910799999999999E-05</v>
      </c>
      <c r="I1695" t="s">
        <v>137</v>
      </c>
      <c r="J1695">
        <v>0.022562527272727274</v>
      </c>
      <c r="K1695">
        <v>0.58025018352727276</v>
      </c>
      <c r="L1695">
        <v>0.012017019305024818</v>
      </c>
      <c r="M1695">
        <v>0.072102115830148902</v>
      </c>
      <c r="N1695">
        <v>0.65235229935742167</v>
      </c>
      <c r="O1695" t="s">
        <v>138</v>
      </c>
      <c r="P1695">
        <v>0.034815011011636365</v>
      </c>
      <c r="Q1695" t="s">
        <v>138</v>
      </c>
      <c r="R1695">
        <v>0.0043261269498089342</v>
      </c>
      <c r="S1695" t="s">
        <v>139</v>
      </c>
      <c r="T1695">
        <v>0.078282275922890596</v>
      </c>
      <c r="U1695" t="s">
        <v>90</v>
      </c>
      <c r="V1695">
        <v>0</v>
      </c>
      <c r="W1695" t="s">
        <v>90</v>
      </c>
      <c r="X1695">
        <v>0</v>
      </c>
      <c r="Y1695">
        <v>0.76977571324175753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K1695" t="s">
        <v>6355</v>
      </c>
      <c r="AM1695">
        <v>400000</v>
      </c>
      <c r="AN1695" t="s">
        <v>76</v>
      </c>
      <c r="AO1695">
        <v>2</v>
      </c>
      <c r="AP1695">
        <v>0</v>
      </c>
      <c r="AQ1695">
        <v>33333.333333333336</v>
      </c>
      <c r="AR1695" t="s">
        <v>9</v>
      </c>
      <c r="AS1695" t="s">
        <v>78</v>
      </c>
      <c r="AW1695">
        <v>0</v>
      </c>
      <c r="AX1695" t="s">
        <v>79</v>
      </c>
      <c r="AY1695" t="s">
        <v>137</v>
      </c>
      <c r="AZ1695">
        <v>0</v>
      </c>
      <c r="BA1695" t="s">
        <v>137</v>
      </c>
      <c r="BB1695">
        <v>0</v>
      </c>
      <c r="BE1695">
        <v>0</v>
      </c>
    </row>
    <row r="1696" spans="1:58" ht="12.75">
      <c r="A1696" s="2" t="str">
        <f>HYPERLINK("https://ibp.a2mac1.com/costing(costing:projects/details/8191/part/5389535)","Part 05")</f>
        <v>Part 05</v>
      </c>
      <c r="B1696">
        <v>5389535</v>
      </c>
      <c r="C1696">
        <v>5389289</v>
      </c>
      <c r="E1696">
        <v>1.5779690666666666</v>
      </c>
      <c r="F1696">
        <v>0</v>
      </c>
      <c r="G1696">
        <v>0</v>
      </c>
      <c r="H1696">
        <v>0.00019724613333333332</v>
      </c>
      <c r="I1696" t="s">
        <v>137</v>
      </c>
      <c r="J1696">
        <v>0.062760133333333329</v>
      </c>
      <c r="K1696">
        <v>1.6409264461333333</v>
      </c>
      <c r="L1696">
        <v>0.016357428824467144</v>
      </c>
      <c r="M1696">
        <v>0.098144572946802858</v>
      </c>
      <c r="N1696">
        <v>1.7390710190801362</v>
      </c>
      <c r="O1696" t="s">
        <v>138</v>
      </c>
      <c r="P1696">
        <v>0.098455586767999995</v>
      </c>
      <c r="Q1696" t="s">
        <v>138</v>
      </c>
      <c r="R1696">
        <v>0.0058886743768081715</v>
      </c>
      <c r="S1696" t="s">
        <v>139</v>
      </c>
      <c r="T1696">
        <v>0.20868852228961635</v>
      </c>
      <c r="U1696" t="s">
        <v>90</v>
      </c>
      <c r="V1696">
        <v>0</v>
      </c>
      <c r="W1696" t="s">
        <v>90</v>
      </c>
      <c r="X1696">
        <v>0</v>
      </c>
      <c r="Y1696">
        <v>2.0521038025145608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K1696" t="s">
        <v>6355</v>
      </c>
      <c r="AM1696">
        <v>400000</v>
      </c>
      <c r="AN1696" t="s">
        <v>76</v>
      </c>
      <c r="AO1696">
        <v>2</v>
      </c>
      <c r="AP1696">
        <v>0</v>
      </c>
      <c r="AQ1696">
        <v>33333.333333333336</v>
      </c>
      <c r="AR1696" t="s">
        <v>9</v>
      </c>
      <c r="AS1696" t="s">
        <v>78</v>
      </c>
      <c r="AW1696">
        <v>0</v>
      </c>
      <c r="AX1696" t="s">
        <v>79</v>
      </c>
      <c r="AY1696" t="s">
        <v>137</v>
      </c>
      <c r="AZ1696">
        <v>0</v>
      </c>
      <c r="BA1696" t="s">
        <v>137</v>
      </c>
      <c r="BB1696">
        <v>0</v>
      </c>
      <c r="BE1696">
        <v>0</v>
      </c>
    </row>
    <row r="1697" spans="1:58" ht="12.75">
      <c r="A1697" s="2" t="str">
        <f>HYPERLINK("https://ibp.a2mac1.com/costing(costing:projects/details/8191/part/5389536)","Part 06")</f>
        <v>Part 06</v>
      </c>
      <c r="B1697">
        <v>5389536</v>
      </c>
      <c r="C1697">
        <v>5389289</v>
      </c>
      <c r="E1697">
        <v>0.10055885000000001</v>
      </c>
      <c r="F1697">
        <v>0</v>
      </c>
      <c r="G1697">
        <v>0</v>
      </c>
      <c r="H1697">
        <v>1.1767525E-05</v>
      </c>
      <c r="I1697" t="s">
        <v>137</v>
      </c>
      <c r="J1697">
        <v>0.0037442125</v>
      </c>
      <c r="K1697">
        <v>0.104314830025</v>
      </c>
      <c r="L1697">
        <v>0.22211763697352316</v>
      </c>
      <c r="M1697">
        <v>1.3327058218411389</v>
      </c>
      <c r="N1697">
        <v>1.437020651866139</v>
      </c>
      <c r="O1697" t="s">
        <v>138</v>
      </c>
      <c r="P1697">
        <v>0.0062588898015000002</v>
      </c>
      <c r="Q1697" t="s">
        <v>138</v>
      </c>
      <c r="R1697">
        <v>0.079962349310468334</v>
      </c>
      <c r="S1697" t="s">
        <v>139</v>
      </c>
      <c r="T1697">
        <v>0.17244247822393668</v>
      </c>
      <c r="U1697" t="s">
        <v>90</v>
      </c>
      <c r="V1697">
        <v>0</v>
      </c>
      <c r="W1697" t="s">
        <v>90</v>
      </c>
      <c r="X1697">
        <v>0</v>
      </c>
      <c r="Y1697">
        <v>1.695684369202044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K1697" t="s">
        <v>6355</v>
      </c>
      <c r="AM1697">
        <v>400000</v>
      </c>
      <c r="AN1697" t="s">
        <v>76</v>
      </c>
      <c r="AO1697">
        <v>2</v>
      </c>
      <c r="AP1697">
        <v>0</v>
      </c>
      <c r="AQ1697">
        <v>33333.333333333336</v>
      </c>
      <c r="AR1697" t="s">
        <v>9</v>
      </c>
      <c r="AS1697" t="s">
        <v>78</v>
      </c>
      <c r="AW1697">
        <v>0</v>
      </c>
      <c r="AX1697" t="s">
        <v>79</v>
      </c>
      <c r="AY1697" t="s">
        <v>137</v>
      </c>
      <c r="AZ1697">
        <v>0</v>
      </c>
      <c r="BA1697" t="s">
        <v>137</v>
      </c>
      <c r="BB1697">
        <v>0</v>
      </c>
      <c r="BE1697">
        <v>0</v>
      </c>
    </row>
    <row r="1698" spans="1:58" ht="12.75">
      <c r="A1698" s="2" t="str">
        <f>HYPERLINK("https://ibp.a2mac1.com/costing(costing:projects/details/8191/part/5389537)","Part 07")</f>
        <v>Part 07</v>
      </c>
      <c r="B1698">
        <v>5389537</v>
      </c>
      <c r="C1698">
        <v>5389289</v>
      </c>
      <c r="E1698">
        <v>0.10055885000000001</v>
      </c>
      <c r="F1698">
        <v>0</v>
      </c>
      <c r="G1698">
        <v>0</v>
      </c>
      <c r="H1698">
        <v>1.1767525E-05</v>
      </c>
      <c r="I1698" t="s">
        <v>137</v>
      </c>
      <c r="J1698">
        <v>0.0037442125</v>
      </c>
      <c r="K1698">
        <v>0.104314830025</v>
      </c>
      <c r="L1698">
        <v>0.22211763697352316</v>
      </c>
      <c r="M1698">
        <v>1.3327058218411389</v>
      </c>
      <c r="N1698">
        <v>1.437020651866139</v>
      </c>
      <c r="O1698" t="s">
        <v>138</v>
      </c>
      <c r="P1698">
        <v>0.0062588898015000002</v>
      </c>
      <c r="Q1698" t="s">
        <v>138</v>
      </c>
      <c r="R1698">
        <v>0.079962349310468334</v>
      </c>
      <c r="S1698" t="s">
        <v>139</v>
      </c>
      <c r="T1698">
        <v>0.17244247822393668</v>
      </c>
      <c r="U1698" t="s">
        <v>90</v>
      </c>
      <c r="V1698">
        <v>0</v>
      </c>
      <c r="W1698" t="s">
        <v>90</v>
      </c>
      <c r="X1698">
        <v>0</v>
      </c>
      <c r="Y1698">
        <v>1.695684369202044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K1698" t="s">
        <v>6355</v>
      </c>
      <c r="AM1698">
        <v>400000</v>
      </c>
      <c r="AN1698" t="s">
        <v>76</v>
      </c>
      <c r="AO1698">
        <v>2</v>
      </c>
      <c r="AP1698">
        <v>0</v>
      </c>
      <c r="AQ1698">
        <v>33333.333333333336</v>
      </c>
      <c r="AR1698" t="s">
        <v>9</v>
      </c>
      <c r="AS1698" t="s">
        <v>78</v>
      </c>
      <c r="AW1698">
        <v>0</v>
      </c>
      <c r="AX1698" t="s">
        <v>79</v>
      </c>
      <c r="AY1698" t="s">
        <v>137</v>
      </c>
      <c r="AZ1698">
        <v>0</v>
      </c>
      <c r="BA1698" t="s">
        <v>137</v>
      </c>
      <c r="BB1698">
        <v>0</v>
      </c>
      <c r="BE1698">
        <v>0</v>
      </c>
    </row>
    <row r="1699" spans="1:58" ht="12.75">
      <c r="A1699" s="2" t="str">
        <f>HYPERLINK("https://ibp.a2mac1.com/costing(costing:projects/details/8191/part/5389538)","Part 01 single/main/upper")</f>
        <v>Part 01 single/main/upper</v>
      </c>
      <c r="B1699">
        <v>5389538</v>
      </c>
      <c r="C1699">
        <v>5389290</v>
      </c>
      <c r="E1699">
        <v>2.5765739272727273</v>
      </c>
      <c r="F1699">
        <v>0</v>
      </c>
      <c r="G1699">
        <v>0</v>
      </c>
      <c r="H1699">
        <v>0.00041701774545454547</v>
      </c>
      <c r="I1699" t="s">
        <v>137</v>
      </c>
      <c r="J1699">
        <v>0.10425443636363636</v>
      </c>
      <c r="K1699">
        <v>2.6812453813818182</v>
      </c>
      <c r="L1699">
        <v>0.062248268758096685</v>
      </c>
      <c r="M1699">
        <v>0.3734896125485801</v>
      </c>
      <c r="N1699">
        <v>3.0547349939303983</v>
      </c>
      <c r="O1699" t="s">
        <v>138</v>
      </c>
      <c r="P1699">
        <v>0.1608747228829091</v>
      </c>
      <c r="Q1699" t="s">
        <v>138</v>
      </c>
      <c r="R1699">
        <v>0.022409376752914805</v>
      </c>
      <c r="S1699" t="s">
        <v>139</v>
      </c>
      <c r="T1699">
        <v>0.3665681992716478</v>
      </c>
      <c r="U1699" t="s">
        <v>90</v>
      </c>
      <c r="V1699">
        <v>0</v>
      </c>
      <c r="W1699" t="s">
        <v>90</v>
      </c>
      <c r="X1699">
        <v>0</v>
      </c>
      <c r="Y1699">
        <v>3.6045872928378699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K1699" t="s">
        <v>6355</v>
      </c>
      <c r="AM1699">
        <v>200000</v>
      </c>
      <c r="AN1699" t="s">
        <v>76</v>
      </c>
      <c r="AO1699">
        <v>1</v>
      </c>
      <c r="AP1699">
        <v>0</v>
      </c>
      <c r="AQ1699">
        <v>16666.666666666668</v>
      </c>
      <c r="AR1699" t="s">
        <v>9</v>
      </c>
      <c r="AS1699" t="s">
        <v>78</v>
      </c>
      <c r="AW1699">
        <v>0</v>
      </c>
      <c r="AX1699" t="s">
        <v>79</v>
      </c>
      <c r="AY1699" t="s">
        <v>137</v>
      </c>
      <c r="AZ1699">
        <v>0</v>
      </c>
      <c r="BA1699" t="s">
        <v>137</v>
      </c>
      <c r="BB1699">
        <v>0</v>
      </c>
      <c r="BE1699">
        <v>0</v>
      </c>
    </row>
    <row r="1700" spans="1:58" ht="12.75">
      <c r="A1700" s="2" t="str">
        <f>HYPERLINK("https://ibp.a2mac1.com/costing(costing:projects/details/8191/part/5389729)"," Part 01 single/main")</f>
        <v xml:space="preserve"> Part 01 single/main</v>
      </c>
      <c r="B1700">
        <v>5389729</v>
      </c>
      <c r="C1700">
        <v>5389539</v>
      </c>
      <c r="E1700">
        <v>0.71827750000000001</v>
      </c>
      <c r="F1700">
        <v>0</v>
      </c>
      <c r="G1700">
        <v>0</v>
      </c>
      <c r="H1700">
        <v>0.0001069775</v>
      </c>
      <c r="I1700" t="s">
        <v>137</v>
      </c>
      <c r="J1700">
        <v>0.026744375000000001</v>
      </c>
      <c r="K1700">
        <v>0.74512885250000005</v>
      </c>
      <c r="L1700">
        <v>0.0090624735196952709</v>
      </c>
      <c r="M1700">
        <v>0.054374841118171625</v>
      </c>
      <c r="N1700">
        <v>0.79950369361817164</v>
      </c>
      <c r="O1700" t="s">
        <v>138</v>
      </c>
      <c r="P1700">
        <v>0.044707731149999999</v>
      </c>
      <c r="Q1700" t="s">
        <v>138</v>
      </c>
      <c r="R1700">
        <v>0.0032624904670902977</v>
      </c>
      <c r="S1700" t="s">
        <v>139</v>
      </c>
      <c r="T1700">
        <v>0.095940443234180592</v>
      </c>
      <c r="U1700" t="s">
        <v>90</v>
      </c>
      <c r="V1700">
        <v>0</v>
      </c>
      <c r="W1700" t="s">
        <v>90</v>
      </c>
      <c r="X1700">
        <v>0</v>
      </c>
      <c r="Y1700">
        <v>0.94341435846944255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K1700" t="s">
        <v>6355</v>
      </c>
      <c r="AM1700">
        <v>200000</v>
      </c>
      <c r="AN1700" t="s">
        <v>76</v>
      </c>
      <c r="AO1700">
        <v>1</v>
      </c>
      <c r="AP1700">
        <v>0</v>
      </c>
      <c r="AQ1700">
        <v>16666.666666666668</v>
      </c>
      <c r="AR1700" t="s">
        <v>9</v>
      </c>
      <c r="AS1700" t="s">
        <v>78</v>
      </c>
      <c r="AW1700">
        <v>0</v>
      </c>
      <c r="AX1700" t="s">
        <v>79</v>
      </c>
      <c r="AY1700" t="s">
        <v>137</v>
      </c>
      <c r="AZ1700">
        <v>0</v>
      </c>
      <c r="BA1700" t="s">
        <v>137</v>
      </c>
      <c r="BB1700">
        <v>0</v>
      </c>
      <c r="BE1700">
        <v>0</v>
      </c>
    </row>
    <row r="1701" spans="1:58" ht="12.75">
      <c r="A1701" s="2" t="str">
        <f>HYPERLINK("https://ibp.a2mac1.com/costing(costing:projects/details/8191/part/5389730)","Part 01 single/main")</f>
        <v>Part 01 single/main</v>
      </c>
      <c r="B1701">
        <v>5389730</v>
      </c>
      <c r="C1701">
        <v>5389540</v>
      </c>
      <c r="E1701">
        <v>1.0041621333333333</v>
      </c>
      <c r="F1701">
        <v>0</v>
      </c>
      <c r="G1701">
        <v>0</v>
      </c>
      <c r="H1701">
        <v>0.00012552026666666667</v>
      </c>
      <c r="I1701" t="s">
        <v>137</v>
      </c>
      <c r="J1701">
        <v>0.039938266666666666</v>
      </c>
      <c r="K1701">
        <v>1.0442259202666666</v>
      </c>
      <c r="L1701">
        <v>0.016357428824467144</v>
      </c>
      <c r="M1701">
        <v>0.098144572946802858</v>
      </c>
      <c r="N1701">
        <v>1.1423704932134695</v>
      </c>
      <c r="O1701" t="s">
        <v>138</v>
      </c>
      <c r="P1701">
        <v>0.062653555215999995</v>
      </c>
      <c r="Q1701" t="s">
        <v>138</v>
      </c>
      <c r="R1701">
        <v>0.0058886743768081715</v>
      </c>
      <c r="S1701" t="s">
        <v>139</v>
      </c>
      <c r="T1701">
        <v>0.13708445918561635</v>
      </c>
      <c r="U1701" t="s">
        <v>90</v>
      </c>
      <c r="V1701">
        <v>0</v>
      </c>
      <c r="W1701" t="s">
        <v>90</v>
      </c>
      <c r="X1701">
        <v>0</v>
      </c>
      <c r="Y1701">
        <v>1.3479971819918941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K1701" t="s">
        <v>6355</v>
      </c>
      <c r="AM1701">
        <v>400000</v>
      </c>
      <c r="AN1701" t="s">
        <v>76</v>
      </c>
      <c r="AO1701">
        <v>2</v>
      </c>
      <c r="AP1701">
        <v>0</v>
      </c>
      <c r="AQ1701">
        <v>33333.333333333336</v>
      </c>
      <c r="AR1701" t="s">
        <v>9</v>
      </c>
      <c r="AS1701" t="s">
        <v>78</v>
      </c>
      <c r="AW1701">
        <v>0</v>
      </c>
      <c r="AX1701" t="s">
        <v>79</v>
      </c>
      <c r="AY1701" t="s">
        <v>137</v>
      </c>
      <c r="AZ1701">
        <v>0</v>
      </c>
      <c r="BA1701" t="s">
        <v>137</v>
      </c>
      <c r="BB1701">
        <v>0</v>
      </c>
      <c r="BE1701">
        <v>0</v>
      </c>
    </row>
    <row r="1702" spans="1:58" ht="12.75">
      <c r="A1702" s="2" t="str">
        <f>HYPERLINK("https://ibp.a2mac1.com/costing(costing:projects/details/8191/part/5389541)","Part 01 single/main/front")</f>
        <v>Part 01 single/main/front</v>
      </c>
      <c r="B1702">
        <v>5389541</v>
      </c>
      <c r="C1702">
        <v>5389292</v>
      </c>
      <c r="E1702">
        <v>10.42278864</v>
      </c>
      <c r="F1702">
        <v>0</v>
      </c>
      <c r="G1702">
        <v>0</v>
      </c>
      <c r="H1702">
        <v>0.00130284858</v>
      </c>
      <c r="I1702" t="s">
        <v>137</v>
      </c>
      <c r="J1702">
        <v>0.41454273000000003</v>
      </c>
      <c r="K1702">
        <v>10.838634218579999</v>
      </c>
      <c r="L1702">
        <v>0.10678156361357313</v>
      </c>
      <c r="M1702">
        <v>0.64068938168143874</v>
      </c>
      <c r="N1702">
        <v>11.47932360026144</v>
      </c>
      <c r="O1702" t="s">
        <v>138</v>
      </c>
      <c r="P1702">
        <v>0.65031805311479995</v>
      </c>
      <c r="Q1702" t="s">
        <v>138</v>
      </c>
      <c r="R1702">
        <v>0.038441362900886324</v>
      </c>
      <c r="S1702" t="s">
        <v>139</v>
      </c>
      <c r="T1702">
        <v>1.3775188320313727</v>
      </c>
      <c r="U1702" t="s">
        <v>90</v>
      </c>
      <c r="V1702">
        <v>0</v>
      </c>
      <c r="W1702" t="s">
        <v>90</v>
      </c>
      <c r="X1702">
        <v>0</v>
      </c>
      <c r="Y1702">
        <v>13.545601848308499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K1702" t="s">
        <v>6355</v>
      </c>
      <c r="AM1702">
        <v>400000</v>
      </c>
      <c r="AN1702" t="s">
        <v>76</v>
      </c>
      <c r="AO1702">
        <v>2</v>
      </c>
      <c r="AP1702">
        <v>0</v>
      </c>
      <c r="AQ1702">
        <v>33333.333333333336</v>
      </c>
      <c r="AR1702" t="s">
        <v>9</v>
      </c>
      <c r="AS1702" t="s">
        <v>78</v>
      </c>
      <c r="AW1702">
        <v>0</v>
      </c>
      <c r="AX1702" t="s">
        <v>79</v>
      </c>
      <c r="AY1702" t="s">
        <v>137</v>
      </c>
      <c r="AZ1702">
        <v>0</v>
      </c>
      <c r="BA1702" t="s">
        <v>137</v>
      </c>
      <c r="BB1702">
        <v>0</v>
      </c>
      <c r="BE1702">
        <v>0</v>
      </c>
    </row>
    <row r="1703" spans="1:58" ht="12.75">
      <c r="A1703" s="2" t="str">
        <f>HYPERLINK("https://ibp.a2mac1.com/costing(costing:projects/details/8191/part/5389542)"," Part 02")</f>
        <v xml:space="preserve"> Part 02</v>
      </c>
      <c r="B1703">
        <v>5389542</v>
      </c>
      <c r="C1703">
        <v>5389292</v>
      </c>
      <c r="E1703">
        <v>2.0201113846153844</v>
      </c>
      <c r="F1703">
        <v>0</v>
      </c>
      <c r="G1703">
        <v>0</v>
      </c>
      <c r="H1703">
        <v>0.00024828184615384614</v>
      </c>
      <c r="I1703" t="s">
        <v>137</v>
      </c>
      <c r="J1703">
        <v>0.078998769230769234</v>
      </c>
      <c r="K1703">
        <v>2.0993584356923076</v>
      </c>
      <c r="L1703">
        <v>0.016357428824467144</v>
      </c>
      <c r="M1703">
        <v>0.098144572946802858</v>
      </c>
      <c r="N1703">
        <v>2.1975030086391105</v>
      </c>
      <c r="O1703" t="s">
        <v>138</v>
      </c>
      <c r="P1703">
        <v>0.12596150614153845</v>
      </c>
      <c r="Q1703" t="s">
        <v>138</v>
      </c>
      <c r="R1703">
        <v>0.0058886743768081715</v>
      </c>
      <c r="S1703" t="s">
        <v>139</v>
      </c>
      <c r="T1703">
        <v>0.26370036103669325</v>
      </c>
      <c r="U1703" t="s">
        <v>90</v>
      </c>
      <c r="V1703">
        <v>0</v>
      </c>
      <c r="W1703" t="s">
        <v>90</v>
      </c>
      <c r="X1703">
        <v>0</v>
      </c>
      <c r="Y1703">
        <v>2.5930535501941505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K1703" t="s">
        <v>6355</v>
      </c>
      <c r="AM1703">
        <v>400000</v>
      </c>
      <c r="AN1703" t="s">
        <v>76</v>
      </c>
      <c r="AO1703">
        <v>2</v>
      </c>
      <c r="AP1703">
        <v>0</v>
      </c>
      <c r="AQ1703">
        <v>33333.333333333336</v>
      </c>
      <c r="AR1703" t="s">
        <v>9</v>
      </c>
      <c r="AS1703" t="s">
        <v>78</v>
      </c>
      <c r="AW1703">
        <v>0</v>
      </c>
      <c r="AX1703" t="s">
        <v>79</v>
      </c>
      <c r="AY1703" t="s">
        <v>137</v>
      </c>
      <c r="AZ1703">
        <v>0</v>
      </c>
      <c r="BA1703" t="s">
        <v>137</v>
      </c>
      <c r="BB1703">
        <v>0</v>
      </c>
      <c r="BE1703">
        <v>0</v>
      </c>
    </row>
    <row r="1704" spans="1:58" ht="12.75">
      <c r="A1704" s="2" t="str">
        <f>HYPERLINK("https://ibp.a2mac1.com/costing(costing:projects/details/8191/part/5389543)","Part 01 single/main")</f>
        <v>Part 01 single/main</v>
      </c>
      <c r="B1704">
        <v>5389543</v>
      </c>
      <c r="C1704">
        <v>5389293</v>
      </c>
      <c r="E1704">
        <v>1.350973</v>
      </c>
      <c r="F1704">
        <v>0</v>
      </c>
      <c r="G1704">
        <v>0</v>
      </c>
      <c r="H1704">
        <v>0.0001748318</v>
      </c>
      <c r="I1704" t="s">
        <v>137</v>
      </c>
      <c r="J1704">
        <v>0.055628299999999999</v>
      </c>
      <c r="K1704">
        <v>1.4067761318000001</v>
      </c>
      <c r="L1704">
        <v>0.016357428824467144</v>
      </c>
      <c r="M1704">
        <v>0.098144572946802858</v>
      </c>
      <c r="N1704">
        <v>1.504920704746803</v>
      </c>
      <c r="O1704" t="s">
        <v>138</v>
      </c>
      <c r="P1704">
        <v>0.084406567907999996</v>
      </c>
      <c r="Q1704" t="s">
        <v>138</v>
      </c>
      <c r="R1704">
        <v>0.0058886743768081715</v>
      </c>
      <c r="S1704" t="s">
        <v>139</v>
      </c>
      <c r="T1704">
        <v>0.18059048456961635</v>
      </c>
      <c r="U1704" t="s">
        <v>90</v>
      </c>
      <c r="V1704">
        <v>0</v>
      </c>
      <c r="W1704" t="s">
        <v>90</v>
      </c>
      <c r="X1704">
        <v>0</v>
      </c>
      <c r="Y1704">
        <v>1.7758064316012274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K1704" t="s">
        <v>6355</v>
      </c>
      <c r="AM1704">
        <v>400000</v>
      </c>
      <c r="AN1704" t="s">
        <v>76</v>
      </c>
      <c r="AO1704">
        <v>2</v>
      </c>
      <c r="AP1704">
        <v>0</v>
      </c>
      <c r="AQ1704">
        <v>33333.333333333336</v>
      </c>
      <c r="AR1704" t="s">
        <v>9</v>
      </c>
      <c r="AS1704" t="s">
        <v>78</v>
      </c>
      <c r="AW1704">
        <v>0</v>
      </c>
      <c r="AX1704" t="s">
        <v>79</v>
      </c>
      <c r="AY1704" t="s">
        <v>137</v>
      </c>
      <c r="AZ1704">
        <v>0</v>
      </c>
      <c r="BA1704" t="s">
        <v>137</v>
      </c>
      <c r="BB1704">
        <v>0</v>
      </c>
      <c r="BE1704">
        <v>0</v>
      </c>
    </row>
    <row r="1705" spans="1:58" ht="12.75">
      <c r="A1705" s="2" t="str">
        <f>HYPERLINK("https://ibp.a2mac1.com/costing(costing:projects/details/8191/part/5389544)","Part 01 single/main/front")</f>
        <v>Part 01 single/main/front</v>
      </c>
      <c r="B1705">
        <v>5389544</v>
      </c>
      <c r="C1705">
        <v>5389294</v>
      </c>
      <c r="E1705">
        <v>8.6250354666666667</v>
      </c>
      <c r="F1705">
        <v>0</v>
      </c>
      <c r="G1705">
        <v>0</v>
      </c>
      <c r="H1705">
        <v>0.0013054107733333333</v>
      </c>
      <c r="I1705" t="s">
        <v>137</v>
      </c>
      <c r="J1705">
        <v>0.32635269333333333</v>
      </c>
      <c r="K1705">
        <v>8.9526935707733326</v>
      </c>
      <c r="L1705">
        <v>0.55634241877892621</v>
      </c>
      <c r="M1705">
        <v>3.338054512673557</v>
      </c>
      <c r="N1705">
        <v>12.290748083446891</v>
      </c>
      <c r="O1705" t="s">
        <v>90</v>
      </c>
      <c r="P1705">
        <v>0</v>
      </c>
      <c r="Q1705" t="s">
        <v>90</v>
      </c>
      <c r="R1705">
        <v>0</v>
      </c>
      <c r="S1705" t="s">
        <v>90</v>
      </c>
      <c r="T1705">
        <v>0</v>
      </c>
      <c r="U1705" t="s">
        <v>90</v>
      </c>
      <c r="V1705">
        <v>0</v>
      </c>
      <c r="W1705" t="s">
        <v>90</v>
      </c>
      <c r="X1705">
        <v>0</v>
      </c>
      <c r="Y1705">
        <v>12.290748083446891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K1705" t="s">
        <v>6381</v>
      </c>
      <c r="AM1705">
        <v>200000</v>
      </c>
      <c r="AN1705" t="s">
        <v>92</v>
      </c>
      <c r="AO1705">
        <v>1</v>
      </c>
      <c r="AP1705">
        <v>0</v>
      </c>
      <c r="AQ1705">
        <v>16666.666666666668</v>
      </c>
      <c r="AR1705" t="s">
        <v>9</v>
      </c>
      <c r="AS1705" t="s">
        <v>78</v>
      </c>
      <c r="AW1705">
        <v>0</v>
      </c>
      <c r="AX1705" t="s">
        <v>79</v>
      </c>
      <c r="AY1705" t="s">
        <v>137</v>
      </c>
      <c r="AZ1705">
        <v>0</v>
      </c>
      <c r="BA1705" t="s">
        <v>137</v>
      </c>
      <c r="BB1705">
        <v>0</v>
      </c>
      <c r="BE1705">
        <v>0</v>
      </c>
    </row>
    <row r="1706" spans="1:58" ht="12.75">
      <c r="A1706" s="2" t="str">
        <f>HYPERLINK("https://ibp.a2mac1.com/costing(costing:projects/details/8191/part/5389545)"," Part 02")</f>
        <v xml:space="preserve"> Part 02</v>
      </c>
      <c r="B1706">
        <v>5389545</v>
      </c>
      <c r="C1706">
        <v>5389294</v>
      </c>
      <c r="E1706">
        <v>16.905592763076925</v>
      </c>
      <c r="F1706">
        <v>0</v>
      </c>
      <c r="G1706">
        <v>0</v>
      </c>
      <c r="H1706">
        <v>0.0020777823507692307</v>
      </c>
      <c r="I1706" t="s">
        <v>137</v>
      </c>
      <c r="J1706">
        <v>0.66111256615384617</v>
      </c>
      <c r="K1706">
        <v>17.568783111581538</v>
      </c>
      <c r="L1706">
        <v>0.10678156361357313</v>
      </c>
      <c r="M1706">
        <v>0.64068938168143874</v>
      </c>
      <c r="N1706">
        <v>18.209472493262979</v>
      </c>
      <c r="O1706" t="s">
        <v>138</v>
      </c>
      <c r="P1706">
        <v>1.0541269866948924</v>
      </c>
      <c r="Q1706" t="s">
        <v>138</v>
      </c>
      <c r="R1706">
        <v>0.038441362900886324</v>
      </c>
      <c r="S1706" t="s">
        <v>139</v>
      </c>
      <c r="T1706">
        <v>2.1851366991915571</v>
      </c>
      <c r="U1706" t="s">
        <v>90</v>
      </c>
      <c r="V1706">
        <v>0</v>
      </c>
      <c r="W1706" t="s">
        <v>90</v>
      </c>
      <c r="X1706">
        <v>0</v>
      </c>
      <c r="Y1706">
        <v>21.487177542050315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K1706" t="s">
        <v>6355</v>
      </c>
      <c r="AM1706">
        <v>400000</v>
      </c>
      <c r="AN1706" t="s">
        <v>76</v>
      </c>
      <c r="AO1706">
        <v>2</v>
      </c>
      <c r="AP1706">
        <v>0</v>
      </c>
      <c r="AQ1706">
        <v>33333.333333333336</v>
      </c>
      <c r="AR1706" t="s">
        <v>9</v>
      </c>
      <c r="AS1706" t="s">
        <v>78</v>
      </c>
      <c r="AW1706">
        <v>0</v>
      </c>
      <c r="AX1706" t="s">
        <v>79</v>
      </c>
      <c r="AY1706" t="s">
        <v>137</v>
      </c>
      <c r="AZ1706">
        <v>0</v>
      </c>
      <c r="BA1706" t="s">
        <v>137</v>
      </c>
      <c r="BB1706">
        <v>0</v>
      </c>
      <c r="BE1706">
        <v>0</v>
      </c>
    </row>
    <row r="1707" spans="1:58" ht="12.75">
      <c r="A1707" s="2" t="str">
        <f>HYPERLINK("https://ibp.a2mac1.com/costing(costing:projects/details/8191/part/5389546)"," Part 03")</f>
        <v xml:space="preserve"> Part 03</v>
      </c>
      <c r="B1707">
        <v>5389546</v>
      </c>
      <c r="C1707">
        <v>5389294</v>
      </c>
      <c r="E1707">
        <v>12.817011904615384</v>
      </c>
      <c r="F1707">
        <v>0</v>
      </c>
      <c r="G1707">
        <v>0</v>
      </c>
      <c r="H1707">
        <v>0.0020048957169230769</v>
      </c>
      <c r="I1707" t="s">
        <v>137</v>
      </c>
      <c r="J1707">
        <v>0.50122392923076919</v>
      </c>
      <c r="K1707">
        <v>13.320240729563077</v>
      </c>
      <c r="L1707">
        <v>0.054275897186867962</v>
      </c>
      <c r="M1707">
        <v>0.32565538312120779</v>
      </c>
      <c r="N1707">
        <v>13.645896112684285</v>
      </c>
      <c r="O1707" t="s">
        <v>138</v>
      </c>
      <c r="P1707">
        <v>0.79921444377378459</v>
      </c>
      <c r="Q1707" t="s">
        <v>138</v>
      </c>
      <c r="R1707">
        <v>0.019539322987272466</v>
      </c>
      <c r="S1707" t="s">
        <v>139</v>
      </c>
      <c r="T1707">
        <v>1.6375075335221141</v>
      </c>
      <c r="U1707" t="s">
        <v>90</v>
      </c>
      <c r="V1707">
        <v>0</v>
      </c>
      <c r="W1707" t="s">
        <v>90</v>
      </c>
      <c r="X1707">
        <v>0</v>
      </c>
      <c r="Y1707">
        <v>16.102157412967458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K1707" t="s">
        <v>6355</v>
      </c>
      <c r="AM1707">
        <v>200000</v>
      </c>
      <c r="AN1707" t="s">
        <v>76</v>
      </c>
      <c r="AO1707">
        <v>1</v>
      </c>
      <c r="AP1707">
        <v>0</v>
      </c>
      <c r="AQ1707">
        <v>16666.666666666668</v>
      </c>
      <c r="AR1707" t="s">
        <v>9</v>
      </c>
      <c r="AS1707" t="s">
        <v>78</v>
      </c>
      <c r="AW1707">
        <v>0</v>
      </c>
      <c r="AX1707" t="s">
        <v>79</v>
      </c>
      <c r="AY1707" t="s">
        <v>137</v>
      </c>
      <c r="AZ1707">
        <v>0</v>
      </c>
      <c r="BA1707" t="s">
        <v>137</v>
      </c>
      <c r="BB1707">
        <v>0</v>
      </c>
      <c r="BE1707">
        <v>0</v>
      </c>
    </row>
    <row r="1708" spans="1:58" ht="12.75">
      <c r="A1708" s="2" t="str">
        <f>HYPERLINK("https://ibp.a2mac1.com/costing(costing:projects/details/8191/part/5389547)","Part 01 single/main")</f>
        <v>Part 01 single/main</v>
      </c>
      <c r="B1708">
        <v>5389547</v>
      </c>
      <c r="C1708">
        <v>5389295</v>
      </c>
      <c r="E1708">
        <v>0.083136799999999997</v>
      </c>
      <c r="F1708">
        <v>0</v>
      </c>
      <c r="G1708">
        <v>0</v>
      </c>
      <c r="H1708">
        <v>1.075888E-05</v>
      </c>
      <c r="I1708" t="s">
        <v>137</v>
      </c>
      <c r="J1708">
        <v>0.0034232799999999999</v>
      </c>
      <c r="K1708">
        <v>0.086570838880000001</v>
      </c>
      <c r="L1708">
        <v>0.012126845664614676</v>
      </c>
      <c r="M1708">
        <v>0.072761073987688066</v>
      </c>
      <c r="N1708">
        <v>0.15933191286768805</v>
      </c>
      <c r="O1708" t="s">
        <v>138</v>
      </c>
      <c r="P1708">
        <v>0.0051942503328000003</v>
      </c>
      <c r="Q1708" t="s">
        <v>138</v>
      </c>
      <c r="R1708">
        <v>0.0043656644392612836</v>
      </c>
      <c r="S1708" t="s">
        <v>139</v>
      </c>
      <c r="T1708">
        <v>0.019119829544122568</v>
      </c>
      <c r="U1708" t="s">
        <v>90</v>
      </c>
      <c r="V1708">
        <v>0</v>
      </c>
      <c r="W1708" t="s">
        <v>90</v>
      </c>
      <c r="X1708">
        <v>0</v>
      </c>
      <c r="Y1708">
        <v>0.18801165718387192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K1708" t="s">
        <v>6355</v>
      </c>
      <c r="AM1708">
        <v>400000</v>
      </c>
      <c r="AN1708" t="s">
        <v>76</v>
      </c>
      <c r="AO1708">
        <v>2</v>
      </c>
      <c r="AP1708">
        <v>0</v>
      </c>
      <c r="AQ1708">
        <v>33333.333333333336</v>
      </c>
      <c r="AR1708" t="s">
        <v>9</v>
      </c>
      <c r="AS1708" t="s">
        <v>78</v>
      </c>
      <c r="AW1708">
        <v>0</v>
      </c>
      <c r="AX1708" t="s">
        <v>79</v>
      </c>
      <c r="AY1708" t="s">
        <v>137</v>
      </c>
      <c r="AZ1708">
        <v>0</v>
      </c>
      <c r="BA1708" t="s">
        <v>137</v>
      </c>
      <c r="BB1708">
        <v>0</v>
      </c>
      <c r="BE1708">
        <v>0</v>
      </c>
    </row>
    <row r="1709" spans="1:58" ht="12.75">
      <c r="A1709" s="2" t="str">
        <f>HYPERLINK("https://ibp.a2mac1.com/costing(costing:projects/details/8191/part/5389548)"," Part 01 single/main")</f>
        <v xml:space="preserve"> Part 01 single/main</v>
      </c>
      <c r="B1709">
        <v>5389548</v>
      </c>
      <c r="C1709">
        <v>5389296</v>
      </c>
      <c r="E1709">
        <v>0.060314933333333334</v>
      </c>
      <c r="F1709">
        <v>0</v>
      </c>
      <c r="G1709">
        <v>0</v>
      </c>
      <c r="H1709">
        <v>7.1725866666666669E-06</v>
      </c>
      <c r="I1709" t="s">
        <v>137</v>
      </c>
      <c r="J1709">
        <v>0.0022821866666666666</v>
      </c>
      <c r="K1709">
        <v>0.062604292586666666</v>
      </c>
      <c r="L1709">
        <v>0.0093102457262997304</v>
      </c>
      <c r="M1709">
        <v>0.055861474357798382</v>
      </c>
      <c r="N1709">
        <v>0.11846576694446505</v>
      </c>
      <c r="O1709" t="s">
        <v>138</v>
      </c>
      <c r="P1709">
        <v>0.0037562575551999999</v>
      </c>
      <c r="Q1709" t="s">
        <v>138</v>
      </c>
      <c r="R1709">
        <v>0.0033516884614679028</v>
      </c>
      <c r="S1709" t="s">
        <v>139</v>
      </c>
      <c r="T1709">
        <v>0.014215892033335805</v>
      </c>
      <c r="U1709" t="s">
        <v>90</v>
      </c>
      <c r="V1709">
        <v>0</v>
      </c>
      <c r="W1709" t="s">
        <v>90</v>
      </c>
      <c r="X1709">
        <v>0</v>
      </c>
      <c r="Y1709">
        <v>0.13978960499446874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K1709" t="s">
        <v>6355</v>
      </c>
      <c r="AM1709">
        <v>400000</v>
      </c>
      <c r="AN1709" t="s">
        <v>76</v>
      </c>
      <c r="AO1709">
        <v>2</v>
      </c>
      <c r="AP1709">
        <v>0</v>
      </c>
      <c r="AQ1709">
        <v>33333.333333333336</v>
      </c>
      <c r="AR1709" t="s">
        <v>9</v>
      </c>
      <c r="AS1709" t="s">
        <v>78</v>
      </c>
      <c r="AW1709">
        <v>0</v>
      </c>
      <c r="AX1709" t="s">
        <v>79</v>
      </c>
      <c r="AY1709" t="s">
        <v>137</v>
      </c>
      <c r="AZ1709">
        <v>0</v>
      </c>
      <c r="BA1709" t="s">
        <v>137</v>
      </c>
      <c r="BB1709">
        <v>0</v>
      </c>
      <c r="BE1709">
        <v>0</v>
      </c>
    </row>
    <row r="1710" spans="1:58" ht="12.75">
      <c r="A1710" s="2" t="str">
        <f>HYPERLINK("https://ibp.a2mac1.com/costing(costing:projects/details/8191/part/5389549)"," Part 01 single/main")</f>
        <v xml:space="preserve"> Part 01 single/main</v>
      </c>
      <c r="B1710">
        <v>5389549</v>
      </c>
      <c r="C1710">
        <v>5389297</v>
      </c>
      <c r="E1710">
        <v>2.9101955333333334</v>
      </c>
      <c r="F1710">
        <v>0</v>
      </c>
      <c r="G1710">
        <v>0</v>
      </c>
      <c r="H1710">
        <v>0.00044046202666666668</v>
      </c>
      <c r="I1710" t="s">
        <v>137</v>
      </c>
      <c r="J1710">
        <v>0.11011550666666667</v>
      </c>
      <c r="K1710">
        <v>3.0207515020266666</v>
      </c>
      <c r="L1710">
        <v>0.035283917078179447</v>
      </c>
      <c r="M1710">
        <v>0.21170350246907668</v>
      </c>
      <c r="N1710">
        <v>3.2324550044957432</v>
      </c>
      <c r="O1710" t="s">
        <v>138</v>
      </c>
      <c r="P1710">
        <v>0.18124509012160001</v>
      </c>
      <c r="Q1710" t="s">
        <v>138</v>
      </c>
      <c r="R1710">
        <v>0.012702210148144601</v>
      </c>
      <c r="S1710" t="s">
        <v>139</v>
      </c>
      <c r="T1710">
        <v>0.38789460053948921</v>
      </c>
      <c r="U1710" t="s">
        <v>90</v>
      </c>
      <c r="V1710">
        <v>0</v>
      </c>
      <c r="W1710" t="s">
        <v>90</v>
      </c>
      <c r="X1710">
        <v>0</v>
      </c>
      <c r="Y1710">
        <v>3.8142969053049773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K1710" t="s">
        <v>6355</v>
      </c>
      <c r="AM1710">
        <v>200000</v>
      </c>
      <c r="AN1710" t="s">
        <v>76</v>
      </c>
      <c r="AO1710">
        <v>1</v>
      </c>
      <c r="AP1710">
        <v>0</v>
      </c>
      <c r="AQ1710">
        <v>16666.666666666668</v>
      </c>
      <c r="AR1710" t="s">
        <v>9</v>
      </c>
      <c r="AS1710" t="s">
        <v>78</v>
      </c>
      <c r="AW1710">
        <v>0</v>
      </c>
      <c r="AX1710" t="s">
        <v>79</v>
      </c>
      <c r="AY1710" t="s">
        <v>137</v>
      </c>
      <c r="AZ1710">
        <v>0</v>
      </c>
      <c r="BA1710" t="s">
        <v>137</v>
      </c>
      <c r="BB1710">
        <v>0</v>
      </c>
      <c r="BE1710">
        <v>0</v>
      </c>
    </row>
    <row r="1711" spans="1:58" ht="12.75">
      <c r="A1711" s="2" t="str">
        <f>HYPERLINK("https://ibp.a2mac1.com/costing(costing:projects/details/8191/part/5389550)","Part 01 single/main")</f>
        <v>Part 01 single/main</v>
      </c>
      <c r="B1711">
        <v>5389550</v>
      </c>
      <c r="C1711">
        <v>5389298</v>
      </c>
      <c r="E1711">
        <v>2.3046009999999999</v>
      </c>
      <c r="F1711">
        <v>0</v>
      </c>
      <c r="G1711">
        <v>0</v>
      </c>
      <c r="H1711">
        <v>0.00027857814285714286</v>
      </c>
      <c r="I1711" t="s">
        <v>137</v>
      </c>
      <c r="J1711">
        <v>0.088638499999999995</v>
      </c>
      <c r="K1711">
        <v>2.3935180781428573</v>
      </c>
      <c r="L1711">
        <v>0.016357428824467144</v>
      </c>
      <c r="M1711">
        <v>0.098144572946802858</v>
      </c>
      <c r="N1711">
        <v>2.4916626510896598</v>
      </c>
      <c r="O1711" t="s">
        <v>138</v>
      </c>
      <c r="P1711">
        <v>0.14361108468857142</v>
      </c>
      <c r="Q1711" t="s">
        <v>138</v>
      </c>
      <c r="R1711">
        <v>0.0058886743768081715</v>
      </c>
      <c r="S1711" t="s">
        <v>139</v>
      </c>
      <c r="T1711">
        <v>0.2989995181307592</v>
      </c>
      <c r="U1711" t="s">
        <v>90</v>
      </c>
      <c r="V1711">
        <v>0</v>
      </c>
      <c r="W1711" t="s">
        <v>90</v>
      </c>
      <c r="X1711">
        <v>0</v>
      </c>
      <c r="Y1711">
        <v>2.9401619282857987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K1711" t="s">
        <v>6355</v>
      </c>
      <c r="AM1711">
        <v>400000</v>
      </c>
      <c r="AN1711" t="s">
        <v>76</v>
      </c>
      <c r="AO1711">
        <v>2</v>
      </c>
      <c r="AP1711">
        <v>0</v>
      </c>
      <c r="AQ1711">
        <v>33333.333333333336</v>
      </c>
      <c r="AR1711" t="s">
        <v>9</v>
      </c>
      <c r="AS1711" t="s">
        <v>78</v>
      </c>
      <c r="AW1711">
        <v>0</v>
      </c>
      <c r="AX1711" t="s">
        <v>79</v>
      </c>
      <c r="AY1711" t="s">
        <v>137</v>
      </c>
      <c r="AZ1711">
        <v>0</v>
      </c>
      <c r="BA1711" t="s">
        <v>137</v>
      </c>
      <c r="BB1711">
        <v>0</v>
      </c>
      <c r="BE1711">
        <v>0</v>
      </c>
    </row>
    <row r="1712" spans="1:58" ht="12.75">
      <c r="A1712" s="2" t="str">
        <f>HYPERLINK("https://ibp.a2mac1.com/costing(costing:projects/details/8191/part/5389551)","Part 01 single/main")</f>
        <v>Part 01 single/main</v>
      </c>
      <c r="B1712">
        <v>5389551</v>
      </c>
      <c r="C1712">
        <v>5389299</v>
      </c>
      <c r="E1712">
        <v>0.057462199999999998</v>
      </c>
      <c r="F1712">
        <v>0</v>
      </c>
      <c r="G1712">
        <v>0</v>
      </c>
      <c r="H1712">
        <v>8.5582000000000005E-06</v>
      </c>
      <c r="I1712" t="s">
        <v>137</v>
      </c>
      <c r="J1712">
        <v>0.00213955</v>
      </c>
      <c r="K1712">
        <v>0.059610308200000003</v>
      </c>
      <c r="L1712">
        <v>0.0055387762698326255</v>
      </c>
      <c r="M1712">
        <v>0.033232657618995756</v>
      </c>
      <c r="N1712">
        <v>0.09284296581899576</v>
      </c>
      <c r="O1712" t="s">
        <v>138</v>
      </c>
      <c r="P1712">
        <v>0.0035766184919999999</v>
      </c>
      <c r="Q1712" t="s">
        <v>138</v>
      </c>
      <c r="R1712">
        <v>0.0019939594571397453</v>
      </c>
      <c r="S1712" t="s">
        <v>139</v>
      </c>
      <c r="T1712">
        <v>0.011141155898279491</v>
      </c>
      <c r="U1712" t="s">
        <v>90</v>
      </c>
      <c r="V1712">
        <v>0</v>
      </c>
      <c r="W1712" t="s">
        <v>90</v>
      </c>
      <c r="X1712">
        <v>0</v>
      </c>
      <c r="Y1712">
        <v>0.10955469966641498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K1712" t="s">
        <v>6355</v>
      </c>
      <c r="AM1712">
        <v>200000</v>
      </c>
      <c r="AN1712" t="s">
        <v>76</v>
      </c>
      <c r="AO1712">
        <v>1</v>
      </c>
      <c r="AP1712">
        <v>0</v>
      </c>
      <c r="AQ1712">
        <v>16666.666666666668</v>
      </c>
      <c r="AR1712" t="s">
        <v>9</v>
      </c>
      <c r="AS1712" t="s">
        <v>78</v>
      </c>
      <c r="AW1712">
        <v>0</v>
      </c>
      <c r="AX1712" t="s">
        <v>79</v>
      </c>
      <c r="AY1712" t="s">
        <v>137</v>
      </c>
      <c r="AZ1712">
        <v>0</v>
      </c>
      <c r="BA1712" t="s">
        <v>137</v>
      </c>
      <c r="BB1712">
        <v>0</v>
      </c>
      <c r="BE1712">
        <v>0</v>
      </c>
    </row>
    <row r="1713" spans="1:58" ht="12.75">
      <c r="A1713" s="2" t="str">
        <f>HYPERLINK("https://ibp.a2mac1.com/costing(costing:projects/details/8191/part/5389552)","Part 02")</f>
        <v>Part 02</v>
      </c>
      <c r="B1713">
        <v>5389552</v>
      </c>
      <c r="C1713">
        <v>5389299</v>
      </c>
      <c r="E1713">
        <v>0.58195759999999996</v>
      </c>
      <c r="F1713">
        <v>0</v>
      </c>
      <c r="G1713">
        <v>0</v>
      </c>
      <c r="H1713">
        <v>9.5851840000000006E-05</v>
      </c>
      <c r="I1713" t="s">
        <v>137</v>
      </c>
      <c r="J1713">
        <v>0.023962959999999998</v>
      </c>
      <c r="K1713">
        <v>0.60601641183999999</v>
      </c>
      <c r="L1713">
        <v>0.0090624735196952709</v>
      </c>
      <c r="M1713">
        <v>0.054374841118171625</v>
      </c>
      <c r="N1713">
        <v>0.66039125295817158</v>
      </c>
      <c r="O1713" t="s">
        <v>138</v>
      </c>
      <c r="P1713">
        <v>0.036360984710400002</v>
      </c>
      <c r="Q1713" t="s">
        <v>138</v>
      </c>
      <c r="R1713">
        <v>0.0032624904670902977</v>
      </c>
      <c r="S1713" t="s">
        <v>139</v>
      </c>
      <c r="T1713">
        <v>0.079246950354980597</v>
      </c>
      <c r="U1713" t="s">
        <v>90</v>
      </c>
      <c r="V1713">
        <v>0</v>
      </c>
      <c r="W1713" t="s">
        <v>90</v>
      </c>
      <c r="X1713">
        <v>0</v>
      </c>
      <c r="Y1713">
        <v>0.77926167849064254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K1713" t="s">
        <v>6355</v>
      </c>
      <c r="AM1713">
        <v>200000</v>
      </c>
      <c r="AN1713" t="s">
        <v>76</v>
      </c>
      <c r="AO1713">
        <v>1</v>
      </c>
      <c r="AP1713">
        <v>0</v>
      </c>
      <c r="AQ1713">
        <v>16666.666666666668</v>
      </c>
      <c r="AR1713" t="s">
        <v>9</v>
      </c>
      <c r="AS1713" t="s">
        <v>78</v>
      </c>
      <c r="AW1713">
        <v>0</v>
      </c>
      <c r="AX1713" t="s">
        <v>79</v>
      </c>
      <c r="AY1713" t="s">
        <v>137</v>
      </c>
      <c r="AZ1713">
        <v>0</v>
      </c>
      <c r="BA1713" t="s">
        <v>137</v>
      </c>
      <c r="BB1713">
        <v>0</v>
      </c>
      <c r="BE1713">
        <v>0</v>
      </c>
    </row>
    <row r="1714" spans="1:58" ht="12.75">
      <c r="A1714" s="2" t="str">
        <f>HYPERLINK("https://ibp.a2mac1.com/costing(costing:projects/details/8191/part/5389553)"," Part 03")</f>
        <v xml:space="preserve"> Part 03</v>
      </c>
      <c r="B1714">
        <v>5389553</v>
      </c>
      <c r="C1714">
        <v>5389299</v>
      </c>
      <c r="E1714">
        <v>0.32687878181818181</v>
      </c>
      <c r="F1714">
        <v>0</v>
      </c>
      <c r="G1714">
        <v>0</v>
      </c>
      <c r="H1714">
        <v>4.15684E-05</v>
      </c>
      <c r="I1714" t="s">
        <v>137</v>
      </c>
      <c r="J1714">
        <v>0.013226309090909091</v>
      </c>
      <c r="K1714">
        <v>0.34014665930909088</v>
      </c>
      <c r="L1714">
        <v>0.0093102457262997304</v>
      </c>
      <c r="M1714">
        <v>0.055861474357798382</v>
      </c>
      <c r="N1714">
        <v>0.39600813366688931</v>
      </c>
      <c r="O1714" t="s">
        <v>138</v>
      </c>
      <c r="P1714">
        <v>0.020408799558545455</v>
      </c>
      <c r="Q1714" t="s">
        <v>138</v>
      </c>
      <c r="R1714">
        <v>0.0033516884614679028</v>
      </c>
      <c r="S1714" t="s">
        <v>139</v>
      </c>
      <c r="T1714">
        <v>0.047520976040026718</v>
      </c>
      <c r="U1714" t="s">
        <v>90</v>
      </c>
      <c r="V1714">
        <v>0</v>
      </c>
      <c r="W1714" t="s">
        <v>90</v>
      </c>
      <c r="X1714">
        <v>0</v>
      </c>
      <c r="Y1714">
        <v>0.46728959772692935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K1714" t="s">
        <v>6355</v>
      </c>
      <c r="AM1714">
        <v>400000</v>
      </c>
      <c r="AN1714" t="s">
        <v>76</v>
      </c>
      <c r="AO1714">
        <v>2</v>
      </c>
      <c r="AP1714">
        <v>0</v>
      </c>
      <c r="AQ1714">
        <v>33333.333333333336</v>
      </c>
      <c r="AR1714" t="s">
        <v>9</v>
      </c>
      <c r="AS1714" t="s">
        <v>78</v>
      </c>
      <c r="AW1714">
        <v>0</v>
      </c>
      <c r="AX1714" t="s">
        <v>79</v>
      </c>
      <c r="AY1714" t="s">
        <v>137</v>
      </c>
      <c r="AZ1714">
        <v>0</v>
      </c>
      <c r="BA1714" t="s">
        <v>137</v>
      </c>
      <c r="BB1714">
        <v>0</v>
      </c>
      <c r="BE1714">
        <v>0</v>
      </c>
    </row>
    <row r="1715" spans="1:58" ht="12.75">
      <c r="A1715" s="2" t="str">
        <f>HYPERLINK("https://ibp.a2mac1.com/costing(costing:projects/details/8191/part/5389554)","Part 01 single/main")</f>
        <v>Part 01 single/main</v>
      </c>
      <c r="B1715">
        <v>5389554</v>
      </c>
      <c r="C1715">
        <v>5389300</v>
      </c>
      <c r="E1715">
        <v>10.2481858</v>
      </c>
      <c r="F1715">
        <v>0</v>
      </c>
      <c r="G1715">
        <v>0</v>
      </c>
      <c r="H1715">
        <v>0.0014791196000000001</v>
      </c>
      <c r="I1715" t="s">
        <v>137</v>
      </c>
      <c r="J1715">
        <v>0.36977989999999999</v>
      </c>
      <c r="K1715">
        <v>10.6194448196</v>
      </c>
      <c r="L1715">
        <v>0.054275897186867962</v>
      </c>
      <c r="M1715">
        <v>0.32565538312120779</v>
      </c>
      <c r="N1715">
        <v>10.945100202721207</v>
      </c>
      <c r="O1715" t="s">
        <v>138</v>
      </c>
      <c r="P1715">
        <v>0.63716668917599995</v>
      </c>
      <c r="Q1715" t="s">
        <v>138</v>
      </c>
      <c r="R1715">
        <v>0.019539322987272466</v>
      </c>
      <c r="S1715" t="s">
        <v>139</v>
      </c>
      <c r="T1715">
        <v>1.313412024326545</v>
      </c>
      <c r="U1715" t="s">
        <v>90</v>
      </c>
      <c r="V1715">
        <v>0</v>
      </c>
      <c r="W1715" t="s">
        <v>90</v>
      </c>
      <c r="X1715">
        <v>0</v>
      </c>
      <c r="Y1715">
        <v>12.915218239211026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K1715" t="s">
        <v>6355</v>
      </c>
      <c r="AM1715">
        <v>200000</v>
      </c>
      <c r="AN1715" t="s">
        <v>76</v>
      </c>
      <c r="AO1715">
        <v>1</v>
      </c>
      <c r="AP1715">
        <v>0</v>
      </c>
      <c r="AQ1715">
        <v>16666.666666666668</v>
      </c>
      <c r="AR1715" t="s">
        <v>9</v>
      </c>
      <c r="AS1715" t="s">
        <v>78</v>
      </c>
      <c r="AW1715">
        <v>0</v>
      </c>
      <c r="AX1715" t="s">
        <v>79</v>
      </c>
      <c r="AY1715" t="s">
        <v>137</v>
      </c>
      <c r="AZ1715">
        <v>0</v>
      </c>
      <c r="BA1715" t="s">
        <v>137</v>
      </c>
      <c r="BB1715">
        <v>0</v>
      </c>
      <c r="BE1715">
        <v>0</v>
      </c>
    </row>
    <row r="1716" spans="1:58" ht="12.75">
      <c r="A1716" s="2" t="str">
        <f>HYPERLINK("https://ibp.a2mac1.com/costing(costing:projects/details/8191/part/5389555)","Part 01 single/main")</f>
        <v>Part 01 single/main</v>
      </c>
      <c r="B1716">
        <v>5389555</v>
      </c>
      <c r="C1716">
        <v>5389301</v>
      </c>
      <c r="E1716">
        <v>0.4230196</v>
      </c>
      <c r="F1716">
        <v>0</v>
      </c>
      <c r="G1716">
        <v>0</v>
      </c>
      <c r="H1716">
        <v>5.3794400000000001E-05</v>
      </c>
      <c r="I1716" t="s">
        <v>137</v>
      </c>
      <c r="J1716">
        <v>0.0171164</v>
      </c>
      <c r="K1716">
        <v>0.4401897944</v>
      </c>
      <c r="L1716">
        <v>0.0093102457262997304</v>
      </c>
      <c r="M1716">
        <v>0.055861474357798382</v>
      </c>
      <c r="N1716">
        <v>0.49605126875779837</v>
      </c>
      <c r="O1716" t="s">
        <v>138</v>
      </c>
      <c r="P1716">
        <v>0.026411387663999999</v>
      </c>
      <c r="Q1716" t="s">
        <v>138</v>
      </c>
      <c r="R1716">
        <v>0.0033516884614679028</v>
      </c>
      <c r="S1716" t="s">
        <v>139</v>
      </c>
      <c r="T1716">
        <v>0.059526152250935806</v>
      </c>
      <c r="U1716" t="s">
        <v>90</v>
      </c>
      <c r="V1716">
        <v>0</v>
      </c>
      <c r="W1716" t="s">
        <v>90</v>
      </c>
      <c r="X1716">
        <v>0</v>
      </c>
      <c r="Y1716">
        <v>0.58534049713420211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K1716" t="s">
        <v>6355</v>
      </c>
      <c r="AM1716">
        <v>400000</v>
      </c>
      <c r="AN1716" t="s">
        <v>76</v>
      </c>
      <c r="AO1716">
        <v>2</v>
      </c>
      <c r="AP1716">
        <v>0</v>
      </c>
      <c r="AQ1716">
        <v>33333.333333333336</v>
      </c>
      <c r="AR1716" t="s">
        <v>9</v>
      </c>
      <c r="AS1716" t="s">
        <v>78</v>
      </c>
      <c r="AW1716">
        <v>0</v>
      </c>
      <c r="AX1716" t="s">
        <v>79</v>
      </c>
      <c r="AY1716" t="s">
        <v>137</v>
      </c>
      <c r="AZ1716">
        <v>0</v>
      </c>
      <c r="BA1716" t="s">
        <v>137</v>
      </c>
      <c r="BB1716">
        <v>0</v>
      </c>
      <c r="BE1716">
        <v>0</v>
      </c>
    </row>
    <row r="1717" spans="1:58" ht="12.75">
      <c r="A1717" s="2" t="str">
        <f>HYPERLINK("https://ibp.a2mac1.com/costing(costing:projects/details/8191/part/5389556)"," Part 02")</f>
        <v xml:space="preserve"> Part 02</v>
      </c>
      <c r="B1717">
        <v>5389556</v>
      </c>
      <c r="C1717">
        <v>5389301</v>
      </c>
      <c r="E1717">
        <v>0.095362799999999998</v>
      </c>
      <c r="F1717">
        <v>0</v>
      </c>
      <c r="G1717">
        <v>0</v>
      </c>
      <c r="H1717">
        <v>1.1527371428571429E-05</v>
      </c>
      <c r="I1717" t="s">
        <v>137</v>
      </c>
      <c r="J1717">
        <v>0.0036678000000000001</v>
      </c>
      <c r="K1717">
        <v>0.099042127371428576</v>
      </c>
      <c r="L1717">
        <v>0.0043569423054512666</v>
      </c>
      <c r="M1717">
        <v>0.026141653832707602</v>
      </c>
      <c r="N1717">
        <v>0.12518378120413617</v>
      </c>
      <c r="O1717" t="s">
        <v>138</v>
      </c>
      <c r="P1717">
        <v>0.0059425276422857146</v>
      </c>
      <c r="Q1717" t="s">
        <v>138</v>
      </c>
      <c r="R1717">
        <v>0.0015684992299624561</v>
      </c>
      <c r="S1717" t="s">
        <v>139</v>
      </c>
      <c r="T1717">
        <v>0.01502205374449634</v>
      </c>
      <c r="U1717" t="s">
        <v>90</v>
      </c>
      <c r="V1717">
        <v>0</v>
      </c>
      <c r="W1717" t="s">
        <v>90</v>
      </c>
      <c r="X1717">
        <v>0</v>
      </c>
      <c r="Y1717">
        <v>0.14771686182088067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K1717" t="s">
        <v>6355</v>
      </c>
      <c r="AM1717">
        <v>400000</v>
      </c>
      <c r="AN1717" t="s">
        <v>76</v>
      </c>
      <c r="AO1717">
        <v>2</v>
      </c>
      <c r="AP1717">
        <v>0</v>
      </c>
      <c r="AQ1717">
        <v>33333.333333333336</v>
      </c>
      <c r="AR1717" t="s">
        <v>9</v>
      </c>
      <c r="AS1717" t="s">
        <v>78</v>
      </c>
      <c r="AW1717">
        <v>0</v>
      </c>
      <c r="AX1717" t="s">
        <v>79</v>
      </c>
      <c r="AY1717" t="s">
        <v>137</v>
      </c>
      <c r="AZ1717">
        <v>0</v>
      </c>
      <c r="BA1717" t="s">
        <v>137</v>
      </c>
      <c r="BB1717">
        <v>0</v>
      </c>
      <c r="BE1717">
        <v>0</v>
      </c>
    </row>
    <row r="1718" spans="1:58" ht="12.75">
      <c r="A1718" s="2" t="str">
        <f>HYPERLINK("https://ibp.a2mac1.com/costing(costing:projects/details/8191/part/5389557)","Part 01 single/main")</f>
        <v>Part 01 single/main</v>
      </c>
      <c r="B1718">
        <v>5389557</v>
      </c>
      <c r="C1718">
        <v>5389302</v>
      </c>
      <c r="E1718">
        <v>0.30301670769230771</v>
      </c>
      <c r="F1718">
        <v>0</v>
      </c>
      <c r="G1718">
        <v>0</v>
      </c>
      <c r="H1718">
        <v>3.7242276923076924E-05</v>
      </c>
      <c r="I1718" t="s">
        <v>137</v>
      </c>
      <c r="J1718">
        <v>0.011849815384615384</v>
      </c>
      <c r="K1718">
        <v>0.31490376535384618</v>
      </c>
      <c r="L1718">
        <v>0.0093102457262997304</v>
      </c>
      <c r="M1718">
        <v>0.055861474357798382</v>
      </c>
      <c r="N1718">
        <v>0.37076523971164455</v>
      </c>
      <c r="O1718" t="s">
        <v>138</v>
      </c>
      <c r="P1718">
        <v>0.018894225921230769</v>
      </c>
      <c r="Q1718" t="s">
        <v>138</v>
      </c>
      <c r="R1718">
        <v>0.0033516884614679028</v>
      </c>
      <c r="S1718" t="s">
        <v>139</v>
      </c>
      <c r="T1718">
        <v>0.044491828765397347</v>
      </c>
      <c r="U1718" t="s">
        <v>90</v>
      </c>
      <c r="V1718">
        <v>0</v>
      </c>
      <c r="W1718" t="s">
        <v>90</v>
      </c>
      <c r="X1718">
        <v>0</v>
      </c>
      <c r="Y1718">
        <v>0.43750298285974054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K1718" t="s">
        <v>6355</v>
      </c>
      <c r="AM1718">
        <v>400000</v>
      </c>
      <c r="AN1718" t="s">
        <v>76</v>
      </c>
      <c r="AO1718">
        <v>2</v>
      </c>
      <c r="AP1718">
        <v>0</v>
      </c>
      <c r="AQ1718">
        <v>33333.333333333336</v>
      </c>
      <c r="AR1718" t="s">
        <v>9</v>
      </c>
      <c r="AS1718" t="s">
        <v>78</v>
      </c>
      <c r="AW1718">
        <v>0</v>
      </c>
      <c r="AX1718" t="s">
        <v>79</v>
      </c>
      <c r="AY1718" t="s">
        <v>137</v>
      </c>
      <c r="AZ1718">
        <v>0</v>
      </c>
      <c r="BA1718" t="s">
        <v>137</v>
      </c>
      <c r="BB1718">
        <v>0</v>
      </c>
      <c r="BE1718">
        <v>0</v>
      </c>
    </row>
    <row r="1719" spans="1:58" ht="12.75">
      <c r="A1719" s="2" t="str">
        <f>HYPERLINK("https://ibp.a2mac1.com/costing(costing:projects/details/8191/part/5389558)","Part 02")</f>
        <v>Part 02</v>
      </c>
      <c r="B1719">
        <v>5389558</v>
      </c>
      <c r="C1719">
        <v>5389302</v>
      </c>
      <c r="E1719">
        <v>0.1112566</v>
      </c>
      <c r="F1719">
        <v>0</v>
      </c>
      <c r="G1719">
        <v>0</v>
      </c>
      <c r="H1719">
        <v>1.34486E-05</v>
      </c>
      <c r="I1719" t="s">
        <v>137</v>
      </c>
      <c r="J1719">
        <v>0.0042791000000000001</v>
      </c>
      <c r="K1719">
        <v>0.1155491486</v>
      </c>
      <c r="L1719">
        <v>0.0043569423054512666</v>
      </c>
      <c r="M1719">
        <v>0.026141653832707602</v>
      </c>
      <c r="N1719">
        <v>0.1416908024327076</v>
      </c>
      <c r="O1719" t="s">
        <v>138</v>
      </c>
      <c r="P1719">
        <v>0.0069329489160000002</v>
      </c>
      <c r="Q1719" t="s">
        <v>138</v>
      </c>
      <c r="R1719">
        <v>0.0015684992299624561</v>
      </c>
      <c r="S1719" t="s">
        <v>139</v>
      </c>
      <c r="T1719">
        <v>0.017002896291924911</v>
      </c>
      <c r="U1719" t="s">
        <v>90</v>
      </c>
      <c r="V1719">
        <v>0</v>
      </c>
      <c r="W1719" t="s">
        <v>90</v>
      </c>
      <c r="X1719">
        <v>0</v>
      </c>
      <c r="Y1719">
        <v>0.16719514687059497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K1719" t="s">
        <v>6355</v>
      </c>
      <c r="AM1719">
        <v>400000</v>
      </c>
      <c r="AN1719" t="s">
        <v>76</v>
      </c>
      <c r="AO1719">
        <v>2</v>
      </c>
      <c r="AP1719">
        <v>0</v>
      </c>
      <c r="AQ1719">
        <v>33333.333333333336</v>
      </c>
      <c r="AR1719" t="s">
        <v>9</v>
      </c>
      <c r="AS1719" t="s">
        <v>78</v>
      </c>
      <c r="AW1719">
        <v>0</v>
      </c>
      <c r="AX1719" t="s">
        <v>79</v>
      </c>
      <c r="AY1719" t="s">
        <v>137</v>
      </c>
      <c r="AZ1719">
        <v>0</v>
      </c>
      <c r="BA1719" t="s">
        <v>137</v>
      </c>
      <c r="BB1719">
        <v>0</v>
      </c>
      <c r="BE1719">
        <v>0</v>
      </c>
    </row>
    <row r="1720" spans="1:58" ht="12.75">
      <c r="A1720" s="2" t="str">
        <f>HYPERLINK("https://ibp.a2mac1.com/costing(costing:projects/details/8191/part/5389559)","Part 01 single/main")</f>
        <v>Part 01 single/main</v>
      </c>
      <c r="B1720">
        <v>5389559</v>
      </c>
      <c r="C1720">
        <v>5389303</v>
      </c>
      <c r="E1720">
        <v>0.20201113846153845</v>
      </c>
      <c r="F1720">
        <v>0</v>
      </c>
      <c r="G1720">
        <v>0</v>
      </c>
      <c r="H1720">
        <v>3.1599507692307696E-05</v>
      </c>
      <c r="I1720" t="s">
        <v>137</v>
      </c>
      <c r="J1720">
        <v>0.0078998769230769223</v>
      </c>
      <c r="K1720">
        <v>0.2099426148923077</v>
      </c>
      <c r="L1720">
        <v>0.0068922036581226696</v>
      </c>
      <c r="M1720">
        <v>0.041353221948736016</v>
      </c>
      <c r="N1720">
        <v>0.25129583684104373</v>
      </c>
      <c r="O1720" t="s">
        <v>138</v>
      </c>
      <c r="P1720">
        <v>0.012596556893538462</v>
      </c>
      <c r="Q1720" t="s">
        <v>138</v>
      </c>
      <c r="R1720">
        <v>0.002481193316924161</v>
      </c>
      <c r="S1720" t="s">
        <v>139</v>
      </c>
      <c r="T1720">
        <v>0.030155500420925244</v>
      </c>
      <c r="U1720" t="s">
        <v>90</v>
      </c>
      <c r="V1720">
        <v>0</v>
      </c>
      <c r="W1720" t="s">
        <v>90</v>
      </c>
      <c r="X1720">
        <v>0</v>
      </c>
      <c r="Y1720">
        <v>0.29652908747243156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K1720" t="s">
        <v>6355</v>
      </c>
      <c r="AM1720">
        <v>200000</v>
      </c>
      <c r="AN1720" t="s">
        <v>76</v>
      </c>
      <c r="AO1720">
        <v>1</v>
      </c>
      <c r="AP1720">
        <v>0</v>
      </c>
      <c r="AQ1720">
        <v>16666.666666666668</v>
      </c>
      <c r="AR1720" t="s">
        <v>9</v>
      </c>
      <c r="AS1720" t="s">
        <v>78</v>
      </c>
      <c r="AW1720">
        <v>0</v>
      </c>
      <c r="AX1720" t="s">
        <v>79</v>
      </c>
      <c r="AY1720" t="s">
        <v>137</v>
      </c>
      <c r="AZ1720">
        <v>0</v>
      </c>
      <c r="BA1720" t="s">
        <v>137</v>
      </c>
      <c r="BB1720">
        <v>0</v>
      </c>
      <c r="BE1720">
        <v>0</v>
      </c>
    </row>
    <row r="1721" spans="1:58" ht="12.75">
      <c r="A1721" s="2" t="str">
        <f>HYPERLINK("https://ibp.a2mac1.com/costing(costing:projects/details/8191/part/5389560)","Part 01 single/main")</f>
        <v>Part 01 single/main</v>
      </c>
      <c r="B1721">
        <v>5389560</v>
      </c>
      <c r="C1721">
        <v>5389304</v>
      </c>
      <c r="E1721">
        <v>8.5940926533333339</v>
      </c>
      <c r="F1721">
        <v>0</v>
      </c>
      <c r="G1721">
        <v>0</v>
      </c>
      <c r="H1721">
        <v>0.0012403845066666667</v>
      </c>
      <c r="I1721" t="s">
        <v>137</v>
      </c>
      <c r="J1721">
        <v>0.31009612666666669</v>
      </c>
      <c r="K1721">
        <v>8.9054291645066659</v>
      </c>
      <c r="L1721">
        <v>0.054275897186867962</v>
      </c>
      <c r="M1721">
        <v>0.32565538312120779</v>
      </c>
      <c r="N1721">
        <v>9.2310845476278747</v>
      </c>
      <c r="O1721" t="s">
        <v>138</v>
      </c>
      <c r="P1721">
        <v>0.53432574987040005</v>
      </c>
      <c r="Q1721" t="s">
        <v>138</v>
      </c>
      <c r="R1721">
        <v>0.019539322987272466</v>
      </c>
      <c r="S1721" t="s">
        <v>139</v>
      </c>
      <c r="T1721">
        <v>1.107730145715345</v>
      </c>
      <c r="U1721" t="s">
        <v>90</v>
      </c>
      <c r="V1721">
        <v>0</v>
      </c>
      <c r="W1721" t="s">
        <v>90</v>
      </c>
      <c r="X1721">
        <v>0</v>
      </c>
      <c r="Y1721">
        <v>10.892679766200892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K1721" t="s">
        <v>6355</v>
      </c>
      <c r="AM1721">
        <v>200000</v>
      </c>
      <c r="AN1721" t="s">
        <v>76</v>
      </c>
      <c r="AO1721">
        <v>1</v>
      </c>
      <c r="AP1721">
        <v>0</v>
      </c>
      <c r="AQ1721">
        <v>16666.666666666668</v>
      </c>
      <c r="AR1721" t="s">
        <v>9</v>
      </c>
      <c r="AS1721" t="s">
        <v>78</v>
      </c>
      <c r="AW1721">
        <v>0</v>
      </c>
      <c r="AX1721" t="s">
        <v>79</v>
      </c>
      <c r="AY1721" t="s">
        <v>137</v>
      </c>
      <c r="AZ1721">
        <v>0</v>
      </c>
      <c r="BA1721" t="s">
        <v>137</v>
      </c>
      <c r="BB1721">
        <v>0</v>
      </c>
      <c r="BE1721">
        <v>0</v>
      </c>
    </row>
    <row r="1722" spans="1:58" ht="12.75">
      <c r="A1722" s="2" t="str">
        <f>HYPERLINK("https://ibp.a2mac1.com/costing(costing:projects/details/8191/part/5389561)","Part 01 single/main")</f>
        <v>Part 01 single/main</v>
      </c>
      <c r="B1722">
        <v>5389561</v>
      </c>
      <c r="C1722">
        <v>5389305</v>
      </c>
      <c r="E1722">
        <v>0.87864186666666666</v>
      </c>
      <c r="F1722">
        <v>0</v>
      </c>
      <c r="G1722">
        <v>0</v>
      </c>
      <c r="H1722">
        <v>0.00010983023333333334</v>
      </c>
      <c r="I1722" t="s">
        <v>137</v>
      </c>
      <c r="J1722">
        <v>0.034945983333333333</v>
      </c>
      <c r="K1722">
        <v>0.91369768023333331</v>
      </c>
      <c r="L1722">
        <v>0.060128692034496077</v>
      </c>
      <c r="M1722">
        <v>0.36077215220697645</v>
      </c>
      <c r="N1722">
        <v>1.2744698324403099</v>
      </c>
      <c r="O1722" t="s">
        <v>138</v>
      </c>
      <c r="P1722">
        <v>0.054821860813999999</v>
      </c>
      <c r="Q1722" t="s">
        <v>138</v>
      </c>
      <c r="R1722">
        <v>0.021646329132418589</v>
      </c>
      <c r="S1722" t="s">
        <v>139</v>
      </c>
      <c r="T1722">
        <v>0.15293637989283718</v>
      </c>
      <c r="U1722" t="s">
        <v>90</v>
      </c>
      <c r="V1722">
        <v>0</v>
      </c>
      <c r="W1722" t="s">
        <v>90</v>
      </c>
      <c r="X1722">
        <v>0</v>
      </c>
      <c r="Y1722">
        <v>1.5038744022795656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K1722" t="s">
        <v>6355</v>
      </c>
      <c r="AM1722">
        <v>400000</v>
      </c>
      <c r="AN1722" t="s">
        <v>76</v>
      </c>
      <c r="AO1722">
        <v>2</v>
      </c>
      <c r="AP1722">
        <v>0</v>
      </c>
      <c r="AQ1722">
        <v>33333.333333333336</v>
      </c>
      <c r="AR1722" t="s">
        <v>9</v>
      </c>
      <c r="AS1722" t="s">
        <v>78</v>
      </c>
      <c r="AW1722">
        <v>0</v>
      </c>
      <c r="AX1722" t="s">
        <v>79</v>
      </c>
      <c r="AY1722" t="s">
        <v>137</v>
      </c>
      <c r="AZ1722">
        <v>0</v>
      </c>
      <c r="BA1722" t="s">
        <v>137</v>
      </c>
      <c r="BB1722">
        <v>0</v>
      </c>
      <c r="BE1722">
        <v>0</v>
      </c>
    </row>
    <row r="1723" spans="1:58" ht="12.75">
      <c r="A1723" s="2" t="str">
        <f>HYPERLINK("https://ibp.a2mac1.com/costing(costing:projects/details/8191/part/5389562)","Part 02")</f>
        <v>Part 02</v>
      </c>
      <c r="B1723">
        <v>5389562</v>
      </c>
      <c r="C1723">
        <v>5389305</v>
      </c>
      <c r="E1723">
        <v>0.089657333333333339</v>
      </c>
      <c r="F1723">
        <v>0</v>
      </c>
      <c r="G1723">
        <v>0</v>
      </c>
      <c r="H1723">
        <v>1.1207166666666667E-05</v>
      </c>
      <c r="I1723" t="s">
        <v>137</v>
      </c>
      <c r="J1723">
        <v>0.0035659166666666665</v>
      </c>
      <c r="K1723">
        <v>0.093234457166666673</v>
      </c>
      <c r="L1723">
        <v>0.012126845664614676</v>
      </c>
      <c r="M1723">
        <v>0.072761073987688066</v>
      </c>
      <c r="N1723">
        <v>0.16599553115435473</v>
      </c>
      <c r="O1723" t="s">
        <v>138</v>
      </c>
      <c r="P1723">
        <v>0.0055940674300000003</v>
      </c>
      <c r="Q1723" t="s">
        <v>138</v>
      </c>
      <c r="R1723">
        <v>0.0043656644392612836</v>
      </c>
      <c r="S1723" t="s">
        <v>139</v>
      </c>
      <c r="T1723">
        <v>0.019919463738522568</v>
      </c>
      <c r="U1723" t="s">
        <v>90</v>
      </c>
      <c r="V1723">
        <v>0</v>
      </c>
      <c r="W1723" t="s">
        <v>90</v>
      </c>
      <c r="X1723">
        <v>0</v>
      </c>
      <c r="Y1723">
        <v>0.19587472676213857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K1723" t="s">
        <v>6355</v>
      </c>
      <c r="AM1723">
        <v>400000</v>
      </c>
      <c r="AN1723" t="s">
        <v>76</v>
      </c>
      <c r="AO1723">
        <v>2</v>
      </c>
      <c r="AP1723">
        <v>0</v>
      </c>
      <c r="AQ1723">
        <v>33333.333333333336</v>
      </c>
      <c r="AR1723" t="s">
        <v>9</v>
      </c>
      <c r="AS1723" t="s">
        <v>78</v>
      </c>
      <c r="AW1723">
        <v>0</v>
      </c>
      <c r="AX1723" t="s">
        <v>79</v>
      </c>
      <c r="AY1723" t="s">
        <v>137</v>
      </c>
      <c r="AZ1723">
        <v>0</v>
      </c>
      <c r="BA1723" t="s">
        <v>137</v>
      </c>
      <c r="BB1723">
        <v>0</v>
      </c>
      <c r="BE1723">
        <v>0</v>
      </c>
    </row>
    <row r="1724" spans="1:58" ht="12.75">
      <c r="A1724" s="2" t="str">
        <f>HYPERLINK("https://ibp.a2mac1.com/costing(costing:projects/details/8191/part/5389563)","Part 01 single/main")</f>
        <v>Part 01 single/main</v>
      </c>
      <c r="B1724">
        <v>5389563</v>
      </c>
      <c r="C1724">
        <v>5389306</v>
      </c>
      <c r="E1724">
        <v>1.3283548999999999</v>
      </c>
      <c r="F1724">
        <v>0</v>
      </c>
      <c r="G1724">
        <v>0</v>
      </c>
      <c r="H1724">
        <v>0.00017819394999999999</v>
      </c>
      <c r="I1724" t="s">
        <v>137</v>
      </c>
      <c r="J1724">
        <v>0.056698075000000001</v>
      </c>
      <c r="K1724">
        <v>1.3852311689500001</v>
      </c>
      <c r="L1724">
        <v>0.060128692034496077</v>
      </c>
      <c r="M1724">
        <v>0.36077215220697645</v>
      </c>
      <c r="N1724">
        <v>1.7460033211569765</v>
      </c>
      <c r="O1724" t="s">
        <v>138</v>
      </c>
      <c r="P1724">
        <v>0.083113870137000001</v>
      </c>
      <c r="Q1724" t="s">
        <v>138</v>
      </c>
      <c r="R1724">
        <v>0.021646329132418589</v>
      </c>
      <c r="S1724" t="s">
        <v>139</v>
      </c>
      <c r="T1724">
        <v>0.20952039853883717</v>
      </c>
      <c r="U1724" t="s">
        <v>90</v>
      </c>
      <c r="V1724">
        <v>0</v>
      </c>
      <c r="W1724" t="s">
        <v>90</v>
      </c>
      <c r="X1724">
        <v>0</v>
      </c>
      <c r="Y1724">
        <v>2.0602839189652324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K1724" t="s">
        <v>6355</v>
      </c>
      <c r="AM1724">
        <v>400000</v>
      </c>
      <c r="AN1724" t="s">
        <v>76</v>
      </c>
      <c r="AO1724">
        <v>2</v>
      </c>
      <c r="AP1724">
        <v>0</v>
      </c>
      <c r="AQ1724">
        <v>33333.333333333336</v>
      </c>
      <c r="AR1724" t="s">
        <v>9</v>
      </c>
      <c r="AS1724" t="s">
        <v>78</v>
      </c>
      <c r="AW1724">
        <v>0</v>
      </c>
      <c r="AX1724" t="s">
        <v>79</v>
      </c>
      <c r="AY1724" t="s">
        <v>137</v>
      </c>
      <c r="AZ1724">
        <v>0</v>
      </c>
      <c r="BA1724" t="s">
        <v>137</v>
      </c>
      <c r="BB1724">
        <v>0</v>
      </c>
      <c r="BE1724">
        <v>0</v>
      </c>
    </row>
    <row r="1725" spans="1:58" ht="12.75">
      <c r="A1725" s="2" t="str">
        <f>HYPERLINK("https://ibp.a2mac1.com/costing(costing:projects/details/8191/part/5389564)","Part 02")</f>
        <v>Part 02</v>
      </c>
      <c r="B1725">
        <v>5389564</v>
      </c>
      <c r="C1725">
        <v>5389306</v>
      </c>
      <c r="E1725">
        <v>1.1431309999999999</v>
      </c>
      <c r="F1725">
        <v>0</v>
      </c>
      <c r="G1725">
        <v>0</v>
      </c>
      <c r="H1725">
        <v>0.00018828040000000001</v>
      </c>
      <c r="I1725" t="s">
        <v>137</v>
      </c>
      <c r="J1725">
        <v>0.047070099999999997</v>
      </c>
      <c r="K1725">
        <v>1.1903893804000001</v>
      </c>
      <c r="L1725">
        <v>0.030948761650381341</v>
      </c>
      <c r="M1725">
        <v>0.18569256990228805</v>
      </c>
      <c r="N1725">
        <v>1.3760819503022881</v>
      </c>
      <c r="O1725" t="s">
        <v>138</v>
      </c>
      <c r="P1725">
        <v>0.071423362823999997</v>
      </c>
      <c r="Q1725" t="s">
        <v>138</v>
      </c>
      <c r="R1725">
        <v>0.011141554194137282</v>
      </c>
      <c r="S1725" t="s">
        <v>139</v>
      </c>
      <c r="T1725">
        <v>0.16512983403627457</v>
      </c>
      <c r="U1725" t="s">
        <v>90</v>
      </c>
      <c r="V1725">
        <v>0</v>
      </c>
      <c r="W1725" t="s">
        <v>90</v>
      </c>
      <c r="X1725">
        <v>0</v>
      </c>
      <c r="Y1725">
        <v>1.6237767013566999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K1725" t="s">
        <v>6355</v>
      </c>
      <c r="AM1725">
        <v>200000</v>
      </c>
      <c r="AN1725" t="s">
        <v>76</v>
      </c>
      <c r="AO1725">
        <v>1</v>
      </c>
      <c r="AP1725">
        <v>0</v>
      </c>
      <c r="AQ1725">
        <v>16666.666666666668</v>
      </c>
      <c r="AR1725" t="s">
        <v>9</v>
      </c>
      <c r="AS1725" t="s">
        <v>78</v>
      </c>
      <c r="AW1725">
        <v>0</v>
      </c>
      <c r="AX1725" t="s">
        <v>79</v>
      </c>
      <c r="AY1725" t="s">
        <v>137</v>
      </c>
      <c r="AZ1725">
        <v>0</v>
      </c>
      <c r="BA1725" t="s">
        <v>137</v>
      </c>
      <c r="BB1725">
        <v>0</v>
      </c>
      <c r="BE1725">
        <v>0</v>
      </c>
    </row>
    <row r="1726" spans="1:58" ht="12.75">
      <c r="A1726" s="2" t="str">
        <f>HYPERLINK("https://ibp.a2mac1.com/costing(costing:projects/details/8191/part/5389565)"," Part 01 single/main")</f>
        <v xml:space="preserve"> Part 01 single/main</v>
      </c>
      <c r="B1726">
        <v>5389565</v>
      </c>
      <c r="C1726">
        <v>5389307</v>
      </c>
      <c r="E1726">
        <v>0.2494104</v>
      </c>
      <c r="F1726">
        <v>0</v>
      </c>
      <c r="G1726">
        <v>0</v>
      </c>
      <c r="H1726">
        <v>4.1079360000000002E-05</v>
      </c>
      <c r="I1726" t="s">
        <v>137</v>
      </c>
      <c r="J1726">
        <v>0.010269840000000001</v>
      </c>
      <c r="K1726">
        <v>0.25972131935999998</v>
      </c>
      <c r="L1726">
        <v>0.022267682204090936</v>
      </c>
      <c r="M1726">
        <v>0.13360609322454561</v>
      </c>
      <c r="N1726">
        <v>0.39332741258454562</v>
      </c>
      <c r="O1726" t="s">
        <v>138</v>
      </c>
      <c r="P1726">
        <v>0.015583279161599999</v>
      </c>
      <c r="Q1726" t="s">
        <v>138</v>
      </c>
      <c r="R1726">
        <v>0.0080163655934727355</v>
      </c>
      <c r="S1726" t="s">
        <v>139</v>
      </c>
      <c r="T1726">
        <v>0.047199289510145473</v>
      </c>
      <c r="U1726" t="s">
        <v>90</v>
      </c>
      <c r="V1726">
        <v>0</v>
      </c>
      <c r="W1726" t="s">
        <v>90</v>
      </c>
      <c r="X1726">
        <v>0</v>
      </c>
      <c r="Y1726">
        <v>0.46412634684976384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K1726" t="s">
        <v>6355</v>
      </c>
      <c r="AM1726">
        <v>200000</v>
      </c>
      <c r="AN1726" t="s">
        <v>76</v>
      </c>
      <c r="AO1726">
        <v>1</v>
      </c>
      <c r="AP1726">
        <v>0</v>
      </c>
      <c r="AQ1726">
        <v>16666.666666666668</v>
      </c>
      <c r="AR1726" t="s">
        <v>9</v>
      </c>
      <c r="AS1726" t="s">
        <v>78</v>
      </c>
      <c r="AW1726">
        <v>0</v>
      </c>
      <c r="AX1726" t="s">
        <v>79</v>
      </c>
      <c r="AY1726" t="s">
        <v>137</v>
      </c>
      <c r="AZ1726">
        <v>0</v>
      </c>
      <c r="BA1726" t="s">
        <v>137</v>
      </c>
      <c r="BB1726">
        <v>0</v>
      </c>
      <c r="BE1726">
        <v>0</v>
      </c>
    </row>
    <row r="1727" spans="1:58" ht="12.75">
      <c r="A1727" s="2" t="str">
        <f>HYPERLINK("https://ibp.a2mac1.com/costing(costing:projects/details/8191/part/5389566)"," Part 02")</f>
        <v xml:space="preserve"> Part 02</v>
      </c>
      <c r="B1727">
        <v>5389566</v>
      </c>
      <c r="C1727">
        <v>5389307</v>
      </c>
      <c r="E1727">
        <v>0.35862933333333336</v>
      </c>
      <c r="F1727">
        <v>0</v>
      </c>
      <c r="G1727">
        <v>0</v>
      </c>
      <c r="H1727">
        <v>4.4828666666666667E-05</v>
      </c>
      <c r="I1727" t="s">
        <v>137</v>
      </c>
      <c r="J1727">
        <v>0.014263666666666666</v>
      </c>
      <c r="K1727">
        <v>0.37293782866666669</v>
      </c>
      <c r="L1727">
        <v>0.031940159054190634</v>
      </c>
      <c r="M1727">
        <v>0.1916409543251438</v>
      </c>
      <c r="N1727">
        <v>0.56457878299181052</v>
      </c>
      <c r="O1727" t="s">
        <v>138</v>
      </c>
      <c r="P1727">
        <v>0.022376269720000001</v>
      </c>
      <c r="Q1727" t="s">
        <v>138</v>
      </c>
      <c r="R1727">
        <v>0.011498457259508628</v>
      </c>
      <c r="S1727" t="s">
        <v>139</v>
      </c>
      <c r="T1727">
        <v>0.067749453959017256</v>
      </c>
      <c r="U1727" t="s">
        <v>90</v>
      </c>
      <c r="V1727">
        <v>0</v>
      </c>
      <c r="W1727" t="s">
        <v>90</v>
      </c>
      <c r="X1727">
        <v>0</v>
      </c>
      <c r="Y1727">
        <v>0.6662029639303364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K1727" t="s">
        <v>6355</v>
      </c>
      <c r="AM1727">
        <v>400000</v>
      </c>
      <c r="AN1727" t="s">
        <v>76</v>
      </c>
      <c r="AO1727">
        <v>2</v>
      </c>
      <c r="AP1727">
        <v>0</v>
      </c>
      <c r="AQ1727">
        <v>33333.333333333336</v>
      </c>
      <c r="AR1727" t="s">
        <v>9</v>
      </c>
      <c r="AS1727" t="s">
        <v>78</v>
      </c>
      <c r="AW1727">
        <v>0</v>
      </c>
      <c r="AX1727" t="s">
        <v>79</v>
      </c>
      <c r="AY1727" t="s">
        <v>137</v>
      </c>
      <c r="AZ1727">
        <v>0</v>
      </c>
      <c r="BA1727" t="s">
        <v>137</v>
      </c>
      <c r="BB1727">
        <v>0</v>
      </c>
      <c r="BE1727">
        <v>0</v>
      </c>
    </row>
    <row r="1728" spans="1:58" ht="12.75">
      <c r="A1728" s="2" t="str">
        <f>HYPERLINK("https://ibp.a2mac1.com/costing(costing:projects/details/8191/part/5389567)","Part 03")</f>
        <v>Part 03</v>
      </c>
      <c r="B1728">
        <v>5389567</v>
      </c>
      <c r="C1728">
        <v>5389307</v>
      </c>
      <c r="E1728">
        <v>0.49882080000000001</v>
      </c>
      <c r="F1728">
        <v>0</v>
      </c>
      <c r="G1728">
        <v>0</v>
      </c>
      <c r="H1728">
        <v>8.2158720000000005E-05</v>
      </c>
      <c r="I1728" t="s">
        <v>137</v>
      </c>
      <c r="J1728">
        <v>0.020539680000000001</v>
      </c>
      <c r="K1728">
        <v>0.51944263871999996</v>
      </c>
      <c r="L1728">
        <v>0.030948761650381341</v>
      </c>
      <c r="M1728">
        <v>0.18569256990228805</v>
      </c>
      <c r="N1728">
        <v>0.70513520862228807</v>
      </c>
      <c r="O1728" t="s">
        <v>138</v>
      </c>
      <c r="P1728">
        <v>0.031166558323199998</v>
      </c>
      <c r="Q1728" t="s">
        <v>138</v>
      </c>
      <c r="R1728">
        <v>0.011141554194137282</v>
      </c>
      <c r="S1728" t="s">
        <v>139</v>
      </c>
      <c r="T1728">
        <v>0.084616225034674558</v>
      </c>
      <c r="U1728" t="s">
        <v>90</v>
      </c>
      <c r="V1728">
        <v>0</v>
      </c>
      <c r="W1728" t="s">
        <v>90</v>
      </c>
      <c r="X1728">
        <v>0</v>
      </c>
      <c r="Y1728">
        <v>0.83205954617429989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K1728" t="s">
        <v>6355</v>
      </c>
      <c r="AM1728">
        <v>200000</v>
      </c>
      <c r="AN1728" t="s">
        <v>76</v>
      </c>
      <c r="AO1728">
        <v>1</v>
      </c>
      <c r="AP1728">
        <v>0</v>
      </c>
      <c r="AQ1728">
        <v>16666.666666666668</v>
      </c>
      <c r="AR1728" t="s">
        <v>9</v>
      </c>
      <c r="AS1728" t="s">
        <v>78</v>
      </c>
      <c r="AW1728">
        <v>0</v>
      </c>
      <c r="AX1728" t="s">
        <v>79</v>
      </c>
      <c r="AY1728" t="s">
        <v>137</v>
      </c>
      <c r="AZ1728">
        <v>0</v>
      </c>
      <c r="BA1728" t="s">
        <v>137</v>
      </c>
      <c r="BB1728">
        <v>0</v>
      </c>
      <c r="BE1728">
        <v>0</v>
      </c>
    </row>
    <row r="1729" spans="1:58" ht="12.75">
      <c r="A1729" s="2" t="str">
        <f>HYPERLINK("https://ibp.a2mac1.com/costing(costing:projects/details/8191/part/5389568)","Part 01 single/main")</f>
        <v>Part 01 single/main</v>
      </c>
      <c r="B1729">
        <v>5389568</v>
      </c>
      <c r="C1729">
        <v>5389308</v>
      </c>
      <c r="E1729">
        <v>20.065020692727273</v>
      </c>
      <c r="F1729">
        <v>0</v>
      </c>
      <c r="G1729">
        <v>0</v>
      </c>
      <c r="H1729">
        <v>0.0022895770499999999</v>
      </c>
      <c r="I1729" t="s">
        <v>137</v>
      </c>
      <c r="J1729">
        <v>0.72850178863636361</v>
      </c>
      <c r="K1729">
        <v>20.795812058413638</v>
      </c>
      <c r="L1729">
        <v>0.10678156361357313</v>
      </c>
      <c r="M1729">
        <v>0.64068938168143874</v>
      </c>
      <c r="N1729">
        <v>21.436501440095075</v>
      </c>
      <c r="O1729" t="s">
        <v>138</v>
      </c>
      <c r="P1729">
        <v>1.2477487235048181</v>
      </c>
      <c r="Q1729" t="s">
        <v>138</v>
      </c>
      <c r="R1729">
        <v>0.038441362900886324</v>
      </c>
      <c r="S1729" t="s">
        <v>139</v>
      </c>
      <c r="T1729">
        <v>2.5723801728114091</v>
      </c>
      <c r="U1729" t="s">
        <v>90</v>
      </c>
      <c r="V1729">
        <v>0</v>
      </c>
      <c r="W1729" t="s">
        <v>90</v>
      </c>
      <c r="X1729">
        <v>0</v>
      </c>
      <c r="Y1729">
        <v>25.295071699312189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K1729" t="s">
        <v>6355</v>
      </c>
      <c r="AM1729">
        <v>400000</v>
      </c>
      <c r="AN1729" t="s">
        <v>76</v>
      </c>
      <c r="AO1729">
        <v>2</v>
      </c>
      <c r="AP1729">
        <v>0</v>
      </c>
      <c r="AQ1729">
        <v>33333.333333333336</v>
      </c>
      <c r="AR1729" t="s">
        <v>9</v>
      </c>
      <c r="AS1729" t="s">
        <v>78</v>
      </c>
      <c r="AW1729">
        <v>0</v>
      </c>
      <c r="AX1729" t="s">
        <v>79</v>
      </c>
      <c r="AY1729" t="s">
        <v>137</v>
      </c>
      <c r="AZ1729">
        <v>0</v>
      </c>
      <c r="BA1729" t="s">
        <v>137</v>
      </c>
      <c r="BB1729">
        <v>0</v>
      </c>
      <c r="BE1729">
        <v>0</v>
      </c>
    </row>
    <row r="1730" spans="1:58" ht="12.75">
      <c r="A1730" s="2" t="str">
        <f>HYPERLINK("https://ibp.a2mac1.com/costing(costing:projects/details/8191/part/5389590)"," Part 02")</f>
        <v xml:space="preserve"> Part 02</v>
      </c>
      <c r="B1730">
        <v>5389590</v>
      </c>
      <c r="C1730">
        <v>5389308</v>
      </c>
      <c r="E1730">
        <v>9.4118715599999998</v>
      </c>
      <c r="F1730">
        <v>0</v>
      </c>
      <c r="G1730">
        <v>0</v>
      </c>
      <c r="H1730">
        <v>0.0011376987599999999</v>
      </c>
      <c r="I1730" t="s">
        <v>137</v>
      </c>
      <c r="J1730">
        <v>0.36199505999999998</v>
      </c>
      <c r="K1730">
        <v>9.7750043187600006</v>
      </c>
      <c r="L1730">
        <v>0.10678156361357313</v>
      </c>
      <c r="M1730">
        <v>0.64068938168143874</v>
      </c>
      <c r="N1730">
        <v>10.415693700441439</v>
      </c>
      <c r="O1730" t="s">
        <v>138</v>
      </c>
      <c r="P1730">
        <v>0.5865002591256</v>
      </c>
      <c r="Q1730" t="s">
        <v>138</v>
      </c>
      <c r="R1730">
        <v>0.038441362900886324</v>
      </c>
      <c r="S1730" t="s">
        <v>139</v>
      </c>
      <c r="T1730">
        <v>1.2498832440529726</v>
      </c>
      <c r="U1730" t="s">
        <v>90</v>
      </c>
      <c r="V1730">
        <v>0</v>
      </c>
      <c r="W1730" t="s">
        <v>90</v>
      </c>
      <c r="X1730">
        <v>0</v>
      </c>
      <c r="Y1730">
        <v>12.290518566520898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K1730" t="s">
        <v>6355</v>
      </c>
      <c r="AM1730">
        <v>400000</v>
      </c>
      <c r="AN1730" t="s">
        <v>76</v>
      </c>
      <c r="AO1730">
        <v>2</v>
      </c>
      <c r="AP1730">
        <v>0</v>
      </c>
      <c r="AQ1730">
        <v>33333.333333333336</v>
      </c>
      <c r="AR1730" t="s">
        <v>9</v>
      </c>
      <c r="AS1730" t="s">
        <v>78</v>
      </c>
      <c r="AW1730">
        <v>0</v>
      </c>
      <c r="AX1730" t="s">
        <v>79</v>
      </c>
      <c r="AY1730" t="s">
        <v>137</v>
      </c>
      <c r="AZ1730">
        <v>0</v>
      </c>
      <c r="BA1730" t="s">
        <v>137</v>
      </c>
      <c r="BB1730">
        <v>0</v>
      </c>
      <c r="BE1730">
        <v>0</v>
      </c>
    </row>
    <row r="1731" spans="1:58" ht="12.75">
      <c r="A1731" s="2" t="str">
        <f>HYPERLINK("https://ibp.a2mac1.com/costing(costing:projects/details/8191/part/5389591)","Part 03")</f>
        <v>Part 03</v>
      </c>
      <c r="B1731">
        <v>5389591</v>
      </c>
      <c r="C1731">
        <v>5389308</v>
      </c>
      <c r="E1731">
        <v>15.435541218461539</v>
      </c>
      <c r="F1731">
        <v>0</v>
      </c>
      <c r="G1731">
        <v>0</v>
      </c>
      <c r="H1731">
        <v>0.0018971056246153846</v>
      </c>
      <c r="I1731" t="s">
        <v>137</v>
      </c>
      <c r="J1731">
        <v>0.60362451692307695</v>
      </c>
      <c r="K1731">
        <v>16.041062841009232</v>
      </c>
      <c r="L1731">
        <v>0.10678156361357313</v>
      </c>
      <c r="M1731">
        <v>0.64068938168143874</v>
      </c>
      <c r="N1731">
        <v>16.681752222690669</v>
      </c>
      <c r="O1731" t="s">
        <v>138</v>
      </c>
      <c r="P1731">
        <v>0.96246377046055387</v>
      </c>
      <c r="Q1731" t="s">
        <v>138</v>
      </c>
      <c r="R1731">
        <v>0.038441362900886324</v>
      </c>
      <c r="S1731" t="s">
        <v>139</v>
      </c>
      <c r="T1731">
        <v>2.0018102667228805</v>
      </c>
      <c r="U1731" t="s">
        <v>90</v>
      </c>
      <c r="V1731">
        <v>0</v>
      </c>
      <c r="W1731" t="s">
        <v>90</v>
      </c>
      <c r="X1731">
        <v>0</v>
      </c>
      <c r="Y1731">
        <v>19.684467622774989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K1731" t="s">
        <v>6355</v>
      </c>
      <c r="AM1731">
        <v>400000</v>
      </c>
      <c r="AN1731" t="s">
        <v>76</v>
      </c>
      <c r="AO1731">
        <v>2</v>
      </c>
      <c r="AP1731">
        <v>0</v>
      </c>
      <c r="AQ1731">
        <v>33333.333333333336</v>
      </c>
      <c r="AR1731" t="s">
        <v>9</v>
      </c>
      <c r="AS1731" t="s">
        <v>78</v>
      </c>
      <c r="AW1731">
        <v>0</v>
      </c>
      <c r="AX1731" t="s">
        <v>79</v>
      </c>
      <c r="AY1731" t="s">
        <v>137</v>
      </c>
      <c r="AZ1731">
        <v>0</v>
      </c>
      <c r="BA1731" t="s">
        <v>137</v>
      </c>
      <c r="BB1731">
        <v>0</v>
      </c>
      <c r="BE1731">
        <v>0</v>
      </c>
    </row>
    <row r="1732" spans="1:58" ht="12.75">
      <c r="A1732" s="2" t="str">
        <f>HYPERLINK("https://ibp.a2mac1.com/costing(costing:projects/details/8191/part/5389592)","Part 01 single/main")</f>
        <v>Part 01 single/main</v>
      </c>
      <c r="B1732">
        <v>5389592</v>
      </c>
      <c r="C1732">
        <v>5389309</v>
      </c>
      <c r="E1732">
        <v>2.4227486181818181</v>
      </c>
      <c r="F1732">
        <v>0</v>
      </c>
      <c r="G1732">
        <v>0</v>
      </c>
      <c r="H1732">
        <v>0.0003080952</v>
      </c>
      <c r="I1732" t="s">
        <v>137</v>
      </c>
      <c r="J1732">
        <v>0.098030290909090906</v>
      </c>
      <c r="K1732">
        <v>2.521087004290909</v>
      </c>
      <c r="L1732">
        <v>0.060128692034496077</v>
      </c>
      <c r="M1732">
        <v>0.36077215220697645</v>
      </c>
      <c r="N1732">
        <v>2.8818591564978857</v>
      </c>
      <c r="O1732" t="s">
        <v>138</v>
      </c>
      <c r="P1732">
        <v>0.15126522025745454</v>
      </c>
      <c r="Q1732" t="s">
        <v>138</v>
      </c>
      <c r="R1732">
        <v>0.021646329132418589</v>
      </c>
      <c r="S1732" t="s">
        <v>139</v>
      </c>
      <c r="T1732">
        <v>0.34582309877974626</v>
      </c>
      <c r="U1732" t="s">
        <v>90</v>
      </c>
      <c r="V1732">
        <v>0</v>
      </c>
      <c r="W1732" t="s">
        <v>90</v>
      </c>
      <c r="X1732">
        <v>0</v>
      </c>
      <c r="Y1732">
        <v>3.4005938046675048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K1732" t="s">
        <v>6355</v>
      </c>
      <c r="AM1732">
        <v>400000</v>
      </c>
      <c r="AN1732" t="s">
        <v>76</v>
      </c>
      <c r="AO1732">
        <v>2</v>
      </c>
      <c r="AP1732">
        <v>0</v>
      </c>
      <c r="AQ1732">
        <v>33333.333333333336</v>
      </c>
      <c r="AR1732" t="s">
        <v>9</v>
      </c>
      <c r="AS1732" t="s">
        <v>78</v>
      </c>
      <c r="AW1732">
        <v>0</v>
      </c>
      <c r="AX1732" t="s">
        <v>79</v>
      </c>
      <c r="AY1732" t="s">
        <v>137</v>
      </c>
      <c r="AZ1732">
        <v>0</v>
      </c>
      <c r="BA1732" t="s">
        <v>137</v>
      </c>
      <c r="BB1732">
        <v>0</v>
      </c>
      <c r="BE1732">
        <v>0</v>
      </c>
    </row>
    <row r="1733" spans="1:58" ht="12.75">
      <c r="A1733" s="2" t="str">
        <f>HYPERLINK("https://ibp.a2mac1.com/costing(costing:projects/details/8191/part/5389593)","Part 02")</f>
        <v>Part 02</v>
      </c>
      <c r="B1733">
        <v>5389593</v>
      </c>
      <c r="C1733">
        <v>5389309</v>
      </c>
      <c r="E1733">
        <v>0.58195759999999996</v>
      </c>
      <c r="F1733">
        <v>0</v>
      </c>
      <c r="G1733">
        <v>0</v>
      </c>
      <c r="H1733">
        <v>7.5312159999999998E-05</v>
      </c>
      <c r="I1733" t="s">
        <v>137</v>
      </c>
      <c r="J1733">
        <v>0.023962959999999998</v>
      </c>
      <c r="K1733">
        <v>0.60599587215999995</v>
      </c>
      <c r="L1733">
        <v>0.060128692034496077</v>
      </c>
      <c r="M1733">
        <v>0.36077215220697645</v>
      </c>
      <c r="N1733">
        <v>0.96676802436697651</v>
      </c>
      <c r="O1733" t="s">
        <v>138</v>
      </c>
      <c r="P1733">
        <v>0.036359752329600002</v>
      </c>
      <c r="Q1733" t="s">
        <v>138</v>
      </c>
      <c r="R1733">
        <v>0.021646329132418589</v>
      </c>
      <c r="S1733" t="s">
        <v>139</v>
      </c>
      <c r="T1733">
        <v>0.11601216292403718</v>
      </c>
      <c r="U1733" t="s">
        <v>90</v>
      </c>
      <c r="V1733">
        <v>0</v>
      </c>
      <c r="W1733" t="s">
        <v>90</v>
      </c>
      <c r="X1733">
        <v>0</v>
      </c>
      <c r="Y1733">
        <v>1.1407862687530321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K1733" t="s">
        <v>6355</v>
      </c>
      <c r="AM1733">
        <v>400000</v>
      </c>
      <c r="AN1733" t="s">
        <v>76</v>
      </c>
      <c r="AO1733">
        <v>2</v>
      </c>
      <c r="AP1733">
        <v>0</v>
      </c>
      <c r="AQ1733">
        <v>33333.333333333336</v>
      </c>
      <c r="AR1733" t="s">
        <v>9</v>
      </c>
      <c r="AS1733" t="s">
        <v>78</v>
      </c>
      <c r="AW1733">
        <v>0</v>
      </c>
      <c r="AX1733" t="s">
        <v>79</v>
      </c>
      <c r="AY1733" t="s">
        <v>137</v>
      </c>
      <c r="AZ1733">
        <v>0</v>
      </c>
      <c r="BA1733" t="s">
        <v>137</v>
      </c>
      <c r="BB1733">
        <v>0</v>
      </c>
      <c r="BE1733">
        <v>0</v>
      </c>
    </row>
    <row r="1734" spans="1:58" ht="12.75">
      <c r="A1734" s="2" t="str">
        <f>HYPERLINK("https://ibp.a2mac1.com/costing(costing:projects/details/8191/part/5389594)","Part 03")</f>
        <v>Part 03</v>
      </c>
      <c r="B1734">
        <v>5389594</v>
      </c>
      <c r="C1734">
        <v>5389309</v>
      </c>
      <c r="E1734">
        <v>149.43422050000001</v>
      </c>
      <c r="F1734">
        <v>0</v>
      </c>
      <c r="G1734">
        <v>0</v>
      </c>
      <c r="H1734">
        <v>0.017486983250000001</v>
      </c>
      <c r="I1734" t="s">
        <v>137</v>
      </c>
      <c r="J1734">
        <v>5.564040125</v>
      </c>
      <c r="K1734">
        <v>155.01574760825</v>
      </c>
      <c r="L1734">
        <v>0.42422575723130623</v>
      </c>
      <c r="M1734">
        <v>2.5453545433878375</v>
      </c>
      <c r="N1734">
        <v>157.56110215163784</v>
      </c>
      <c r="O1734" t="s">
        <v>138</v>
      </c>
      <c r="P1734">
        <v>9.3009448564950006</v>
      </c>
      <c r="Q1734" t="s">
        <v>138</v>
      </c>
      <c r="R1734">
        <v>0.15272127260327026</v>
      </c>
      <c r="S1734" t="s">
        <v>139</v>
      </c>
      <c r="T1734">
        <v>18.90733225819654</v>
      </c>
      <c r="U1734" t="s">
        <v>90</v>
      </c>
      <c r="V1734">
        <v>0</v>
      </c>
      <c r="W1734" t="s">
        <v>90</v>
      </c>
      <c r="X1734">
        <v>0</v>
      </c>
      <c r="Y1734">
        <v>185.92210053893265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K1734" t="s">
        <v>6355</v>
      </c>
      <c r="AM1734">
        <v>400000</v>
      </c>
      <c r="AN1734" t="s">
        <v>76</v>
      </c>
      <c r="AO1734">
        <v>2</v>
      </c>
      <c r="AP1734">
        <v>0</v>
      </c>
      <c r="AQ1734">
        <v>33333.333333333336</v>
      </c>
      <c r="AR1734" t="s">
        <v>9</v>
      </c>
      <c r="AS1734" t="s">
        <v>78</v>
      </c>
      <c r="AW1734">
        <v>0</v>
      </c>
      <c r="AX1734" t="s">
        <v>79</v>
      </c>
      <c r="AY1734" t="s">
        <v>137</v>
      </c>
      <c r="AZ1734">
        <v>0</v>
      </c>
      <c r="BA1734" t="s">
        <v>137</v>
      </c>
      <c r="BB1734">
        <v>0</v>
      </c>
      <c r="BE1734">
        <v>0</v>
      </c>
    </row>
    <row r="1735" spans="1:58" ht="12.75">
      <c r="A1735" s="2" t="str">
        <f>HYPERLINK("https://ibp.a2mac1.com/costing(costing:projects/details/8191/part/5389595)","Part 04")</f>
        <v>Part 04</v>
      </c>
      <c r="B1735">
        <v>5389595</v>
      </c>
      <c r="C1735">
        <v>5389309</v>
      </c>
      <c r="E1735">
        <v>0.067337046153846156</v>
      </c>
      <c r="F1735">
        <v>0</v>
      </c>
      <c r="G1735">
        <v>0</v>
      </c>
      <c r="H1735">
        <v>8.2760615384615384E-06</v>
      </c>
      <c r="I1735" t="s">
        <v>137</v>
      </c>
      <c r="J1735">
        <v>0.0026332923076923076</v>
      </c>
      <c r="K1735">
        <v>0.069978614523076924</v>
      </c>
      <c r="L1735">
        <v>0.012126845664614676</v>
      </c>
      <c r="M1735">
        <v>0.072761073987688066</v>
      </c>
      <c r="N1735">
        <v>0.14273968851076499</v>
      </c>
      <c r="O1735" t="s">
        <v>138</v>
      </c>
      <c r="P1735">
        <v>0.0041987168713846154</v>
      </c>
      <c r="Q1735" t="s">
        <v>138</v>
      </c>
      <c r="R1735">
        <v>0.0043656644392612836</v>
      </c>
      <c r="S1735" t="s">
        <v>139</v>
      </c>
      <c r="T1735">
        <v>0.017128762621291798</v>
      </c>
      <c r="U1735" t="s">
        <v>90</v>
      </c>
      <c r="V1735">
        <v>0</v>
      </c>
      <c r="W1735" t="s">
        <v>90</v>
      </c>
      <c r="X1735">
        <v>0</v>
      </c>
      <c r="Y1735">
        <v>0.16843283244270268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K1735" t="s">
        <v>6355</v>
      </c>
      <c r="AM1735">
        <v>400000</v>
      </c>
      <c r="AN1735" t="s">
        <v>76</v>
      </c>
      <c r="AO1735">
        <v>2</v>
      </c>
      <c r="AP1735">
        <v>0</v>
      </c>
      <c r="AQ1735">
        <v>33333.333333333336</v>
      </c>
      <c r="AR1735" t="s">
        <v>9</v>
      </c>
      <c r="AS1735" t="s">
        <v>78</v>
      </c>
      <c r="AW1735">
        <v>0</v>
      </c>
      <c r="AX1735" t="s">
        <v>79</v>
      </c>
      <c r="AY1735" t="s">
        <v>137</v>
      </c>
      <c r="AZ1735">
        <v>0</v>
      </c>
      <c r="BA1735" t="s">
        <v>137</v>
      </c>
      <c r="BB1735">
        <v>0</v>
      </c>
      <c r="BE1735">
        <v>0</v>
      </c>
    </row>
    <row r="1736" spans="1:58" ht="12.75">
      <c r="A1736" s="2" t="str">
        <f>HYPERLINK("https://ibp.a2mac1.com/costing(costing:projects/details/8191/part/5389596)","Part 01 single/main")</f>
        <v>Part 01 single/main</v>
      </c>
      <c r="B1736">
        <v>5389596</v>
      </c>
      <c r="C1736">
        <v>5389310</v>
      </c>
      <c r="E1736">
        <v>0.10100556923076923</v>
      </c>
      <c r="F1736">
        <v>0</v>
      </c>
      <c r="G1736">
        <v>0</v>
      </c>
      <c r="H1736">
        <v>1.2414092307692308E-05</v>
      </c>
      <c r="I1736" t="s">
        <v>137</v>
      </c>
      <c r="J1736">
        <v>0.0039499384615384612</v>
      </c>
      <c r="K1736">
        <v>0.10496792178461538</v>
      </c>
      <c r="L1736">
        <v>0.012017019305024818</v>
      </c>
      <c r="M1736">
        <v>0.072102115830148902</v>
      </c>
      <c r="N1736">
        <v>0.17707003761476428</v>
      </c>
      <c r="O1736" t="s">
        <v>138</v>
      </c>
      <c r="P1736">
        <v>0.0062980753070769231</v>
      </c>
      <c r="Q1736" t="s">
        <v>138</v>
      </c>
      <c r="R1736">
        <v>0.0043261269498089342</v>
      </c>
      <c r="S1736" t="s">
        <v>139</v>
      </c>
      <c r="T1736">
        <v>0.021248404513771715</v>
      </c>
      <c r="U1736" t="s">
        <v>90</v>
      </c>
      <c r="V1736">
        <v>0</v>
      </c>
      <c r="W1736" t="s">
        <v>90</v>
      </c>
      <c r="X1736">
        <v>0</v>
      </c>
      <c r="Y1736">
        <v>0.20894264438542187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K1736" t="s">
        <v>6355</v>
      </c>
      <c r="AM1736">
        <v>400000</v>
      </c>
      <c r="AN1736" t="s">
        <v>76</v>
      </c>
      <c r="AO1736">
        <v>2</v>
      </c>
      <c r="AP1736">
        <v>0</v>
      </c>
      <c r="AQ1736">
        <v>33333.333333333336</v>
      </c>
      <c r="AR1736" t="s">
        <v>9</v>
      </c>
      <c r="AS1736" t="s">
        <v>78</v>
      </c>
      <c r="AW1736">
        <v>0</v>
      </c>
      <c r="AX1736" t="s">
        <v>79</v>
      </c>
      <c r="AY1736" t="s">
        <v>137</v>
      </c>
      <c r="AZ1736">
        <v>0</v>
      </c>
      <c r="BA1736" t="s">
        <v>137</v>
      </c>
      <c r="BB1736">
        <v>0</v>
      </c>
      <c r="BE1736">
        <v>0</v>
      </c>
    </row>
    <row r="1737" spans="1:58" ht="12.75">
      <c r="A1737" s="2" t="str">
        <f>HYPERLINK("https://ibp.a2mac1.com/costing(costing:projects/details/8191/part/5389597)","Part 02")</f>
        <v>Part 02</v>
      </c>
      <c r="B1737">
        <v>5389597</v>
      </c>
      <c r="C1737">
        <v>5389310</v>
      </c>
      <c r="E1737">
        <v>0.18517687692307691</v>
      </c>
      <c r="F1737">
        <v>0</v>
      </c>
      <c r="G1737">
        <v>0</v>
      </c>
      <c r="H1737">
        <v>2.275916923076923E-05</v>
      </c>
      <c r="I1737" t="s">
        <v>137</v>
      </c>
      <c r="J1737">
        <v>0.0072415538461538462</v>
      </c>
      <c r="K1737">
        <v>0.19244118993846154</v>
      </c>
      <c r="L1737">
        <v>0.0093102457262997304</v>
      </c>
      <c r="M1737">
        <v>0.055861474357798382</v>
      </c>
      <c r="N1737">
        <v>0.24830266429625991</v>
      </c>
      <c r="O1737" t="s">
        <v>138</v>
      </c>
      <c r="P1737">
        <v>0.011546471396307692</v>
      </c>
      <c r="Q1737" t="s">
        <v>138</v>
      </c>
      <c r="R1737">
        <v>0.0033516884614679028</v>
      </c>
      <c r="S1737" t="s">
        <v>139</v>
      </c>
      <c r="T1737">
        <v>0.029796319715551189</v>
      </c>
      <c r="U1737" t="s">
        <v>90</v>
      </c>
      <c r="V1737">
        <v>0</v>
      </c>
      <c r="W1737" t="s">
        <v>90</v>
      </c>
      <c r="X1737">
        <v>0</v>
      </c>
      <c r="Y1737">
        <v>0.2929971438695867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K1737" t="s">
        <v>6355</v>
      </c>
      <c r="AM1737">
        <v>400000</v>
      </c>
      <c r="AN1737" t="s">
        <v>76</v>
      </c>
      <c r="AO1737">
        <v>2</v>
      </c>
      <c r="AP1737">
        <v>0</v>
      </c>
      <c r="AQ1737">
        <v>33333.333333333336</v>
      </c>
      <c r="AR1737" t="s">
        <v>9</v>
      </c>
      <c r="AS1737" t="s">
        <v>78</v>
      </c>
      <c r="AW1737">
        <v>0</v>
      </c>
      <c r="AX1737" t="s">
        <v>79</v>
      </c>
      <c r="AY1737" t="s">
        <v>137</v>
      </c>
      <c r="AZ1737">
        <v>0</v>
      </c>
      <c r="BA1737" t="s">
        <v>137</v>
      </c>
      <c r="BB1737">
        <v>0</v>
      </c>
      <c r="BE1737">
        <v>0</v>
      </c>
    </row>
    <row r="1738" spans="1:58" ht="12.75">
      <c r="A1738" s="2" t="str">
        <f>HYPERLINK("https://ibp.a2mac1.com/costing(costing:projects/details/8191/part/5389598)"," Part 03")</f>
        <v xml:space="preserve"> Part 03</v>
      </c>
      <c r="B1738">
        <v>5389598</v>
      </c>
      <c r="C1738">
        <v>5389310</v>
      </c>
      <c r="E1738">
        <v>0.071725866666666666</v>
      </c>
      <c r="F1738">
        <v>0</v>
      </c>
      <c r="G1738">
        <v>0</v>
      </c>
      <c r="H1738">
        <v>8.965733333333333E-06</v>
      </c>
      <c r="I1738" t="s">
        <v>137</v>
      </c>
      <c r="J1738">
        <v>0.0028527333333333332</v>
      </c>
      <c r="K1738">
        <v>0.074587565733333333</v>
      </c>
      <c r="L1738">
        <v>0.0093102457262997304</v>
      </c>
      <c r="M1738">
        <v>0.055861474357798382</v>
      </c>
      <c r="N1738">
        <v>0.1304490400911317</v>
      </c>
      <c r="O1738" t="s">
        <v>138</v>
      </c>
      <c r="P1738">
        <v>0.0044752539439999999</v>
      </c>
      <c r="Q1738" t="s">
        <v>138</v>
      </c>
      <c r="R1738">
        <v>0.0033516884614679028</v>
      </c>
      <c r="S1738" t="s">
        <v>139</v>
      </c>
      <c r="T1738">
        <v>0.015653884810935804</v>
      </c>
      <c r="U1738" t="s">
        <v>90</v>
      </c>
      <c r="V1738">
        <v>0</v>
      </c>
      <c r="W1738" t="s">
        <v>90</v>
      </c>
      <c r="X1738">
        <v>0</v>
      </c>
      <c r="Y1738">
        <v>0.15392986730753541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K1738" t="s">
        <v>6355</v>
      </c>
      <c r="AM1738">
        <v>400000</v>
      </c>
      <c r="AN1738" t="s">
        <v>76</v>
      </c>
      <c r="AO1738">
        <v>2</v>
      </c>
      <c r="AP1738">
        <v>0</v>
      </c>
      <c r="AQ1738">
        <v>33333.333333333336</v>
      </c>
      <c r="AR1738" t="s">
        <v>9</v>
      </c>
      <c r="AS1738" t="s">
        <v>78</v>
      </c>
      <c r="AW1738">
        <v>0</v>
      </c>
      <c r="AX1738" t="s">
        <v>79</v>
      </c>
      <c r="AY1738" t="s">
        <v>137</v>
      </c>
      <c r="AZ1738">
        <v>0</v>
      </c>
      <c r="BA1738" t="s">
        <v>137</v>
      </c>
      <c r="BB1738">
        <v>0</v>
      </c>
      <c r="BE1738">
        <v>0</v>
      </c>
    </row>
    <row r="1739" spans="1:58" ht="12.75">
      <c r="A1739" s="2" t="str">
        <f>HYPERLINK("https://ibp.a2mac1.com/costing(costing:projects/details/8191/part/5389599)","Part 04")</f>
        <v>Part 04</v>
      </c>
      <c r="B1739">
        <v>5389599</v>
      </c>
      <c r="C1739">
        <v>5389310</v>
      </c>
      <c r="E1739">
        <v>0.053794399999999999</v>
      </c>
      <c r="F1739">
        <v>0</v>
      </c>
      <c r="G1739">
        <v>0</v>
      </c>
      <c r="H1739">
        <v>6.7243000000000001E-06</v>
      </c>
      <c r="I1739" t="s">
        <v>137</v>
      </c>
      <c r="J1739">
        <v>0.00213955</v>
      </c>
      <c r="K1739">
        <v>0.0559406743</v>
      </c>
      <c r="L1739">
        <v>0.0043569423054512666</v>
      </c>
      <c r="M1739">
        <v>0.026141653832707602</v>
      </c>
      <c r="N1739">
        <v>0.082082328132707605</v>
      </c>
      <c r="O1739" t="s">
        <v>138</v>
      </c>
      <c r="P1739">
        <v>0.0033564404579999999</v>
      </c>
      <c r="Q1739" t="s">
        <v>138</v>
      </c>
      <c r="R1739">
        <v>0.0015684992299624561</v>
      </c>
      <c r="S1739" t="s">
        <v>139</v>
      </c>
      <c r="T1739">
        <v>0.0098498793759249116</v>
      </c>
      <c r="U1739" t="s">
        <v>90</v>
      </c>
      <c r="V1739">
        <v>0</v>
      </c>
      <c r="W1739" t="s">
        <v>90</v>
      </c>
      <c r="X1739">
        <v>0</v>
      </c>
      <c r="Y1739">
        <v>0.096857147196594967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K1739" t="s">
        <v>6355</v>
      </c>
      <c r="AM1739">
        <v>400000</v>
      </c>
      <c r="AN1739" t="s">
        <v>76</v>
      </c>
      <c r="AO1739">
        <v>2</v>
      </c>
      <c r="AP1739">
        <v>0</v>
      </c>
      <c r="AQ1739">
        <v>33333.333333333336</v>
      </c>
      <c r="AR1739" t="s">
        <v>9</v>
      </c>
      <c r="AS1739" t="s">
        <v>78</v>
      </c>
      <c r="AW1739">
        <v>0</v>
      </c>
      <c r="AX1739" t="s">
        <v>79</v>
      </c>
      <c r="AY1739" t="s">
        <v>137</v>
      </c>
      <c r="AZ1739">
        <v>0</v>
      </c>
      <c r="BA1739" t="s">
        <v>137</v>
      </c>
      <c r="BB1739">
        <v>0</v>
      </c>
      <c r="BE1739">
        <v>0</v>
      </c>
    </row>
    <row r="1740" spans="1:58" ht="12.75">
      <c r="A1740" s="2" t="str">
        <f>HYPERLINK("https://ibp.a2mac1.com/costing(costing:projects/details/8191/part/5389600)"," Part 05")</f>
        <v xml:space="preserve"> Part 05</v>
      </c>
      <c r="B1740">
        <v>5389600</v>
      </c>
      <c r="C1740">
        <v>5389310</v>
      </c>
      <c r="E1740">
        <v>0.071725866666666666</v>
      </c>
      <c r="F1740">
        <v>0</v>
      </c>
      <c r="G1740">
        <v>0</v>
      </c>
      <c r="H1740">
        <v>8.965733333333333E-06</v>
      </c>
      <c r="I1740" t="s">
        <v>137</v>
      </c>
      <c r="J1740">
        <v>0.0028527333333333332</v>
      </c>
      <c r="K1740">
        <v>0.074587565733333333</v>
      </c>
      <c r="L1740">
        <v>0.0093102457262997304</v>
      </c>
      <c r="M1740">
        <v>0.055861474357798382</v>
      </c>
      <c r="N1740">
        <v>0.1304490400911317</v>
      </c>
      <c r="O1740" t="s">
        <v>138</v>
      </c>
      <c r="P1740">
        <v>0.0044752539439999999</v>
      </c>
      <c r="Q1740" t="s">
        <v>138</v>
      </c>
      <c r="R1740">
        <v>0.0033516884614679028</v>
      </c>
      <c r="S1740" t="s">
        <v>139</v>
      </c>
      <c r="T1740">
        <v>0.015653884810935804</v>
      </c>
      <c r="U1740" t="s">
        <v>90</v>
      </c>
      <c r="V1740">
        <v>0</v>
      </c>
      <c r="W1740" t="s">
        <v>90</v>
      </c>
      <c r="X1740">
        <v>0</v>
      </c>
      <c r="Y1740">
        <v>0.15392986730753541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K1740" t="s">
        <v>6355</v>
      </c>
      <c r="AM1740">
        <v>400000</v>
      </c>
      <c r="AN1740" t="s">
        <v>76</v>
      </c>
      <c r="AO1740">
        <v>2</v>
      </c>
      <c r="AP1740">
        <v>0</v>
      </c>
      <c r="AQ1740">
        <v>33333.333333333336</v>
      </c>
      <c r="AR1740" t="s">
        <v>9</v>
      </c>
      <c r="AS1740" t="s">
        <v>78</v>
      </c>
      <c r="AW1740">
        <v>0</v>
      </c>
      <c r="AX1740" t="s">
        <v>79</v>
      </c>
      <c r="AY1740" t="s">
        <v>137</v>
      </c>
      <c r="AZ1740">
        <v>0</v>
      </c>
      <c r="BA1740" t="s">
        <v>137</v>
      </c>
      <c r="BB1740">
        <v>0</v>
      </c>
      <c r="BE1740">
        <v>0</v>
      </c>
    </row>
    <row r="1741" spans="1:58" ht="12.75">
      <c r="A1741" s="2" t="str">
        <f>HYPERLINK("https://ibp.a2mac1.com/costing(costing:projects/details/8191/part/5389601)","Part 01 single/main")</f>
        <v>Part 01 single/main</v>
      </c>
      <c r="B1741">
        <v>5389601</v>
      </c>
      <c r="C1741">
        <v>5389311</v>
      </c>
      <c r="E1741">
        <v>0.54038920000000001</v>
      </c>
      <c r="F1741">
        <v>0</v>
      </c>
      <c r="G1741">
        <v>0</v>
      </c>
      <c r="H1741">
        <v>6.5321771428571433E-05</v>
      </c>
      <c r="I1741" t="s">
        <v>137</v>
      </c>
      <c r="J1741">
        <v>0.020784199999999999</v>
      </c>
      <c r="K1741">
        <v>0.56123872177142853</v>
      </c>
      <c r="L1741">
        <v>0.016357428824467144</v>
      </c>
      <c r="M1741">
        <v>0.098144572946802858</v>
      </c>
      <c r="N1741">
        <v>0.65938329471823143</v>
      </c>
      <c r="O1741" t="s">
        <v>138</v>
      </c>
      <c r="P1741">
        <v>0.033674323306285711</v>
      </c>
      <c r="Q1741" t="s">
        <v>138</v>
      </c>
      <c r="R1741">
        <v>0.0058886743768081715</v>
      </c>
      <c r="S1741" t="s">
        <v>139</v>
      </c>
      <c r="T1741">
        <v>0.079125995366187765</v>
      </c>
      <c r="U1741" t="s">
        <v>90</v>
      </c>
      <c r="V1741">
        <v>0</v>
      </c>
      <c r="W1741" t="s">
        <v>90</v>
      </c>
      <c r="X1741">
        <v>0</v>
      </c>
      <c r="Y1741">
        <v>0.77807228776751314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K1741" t="s">
        <v>6355</v>
      </c>
      <c r="AM1741">
        <v>400000</v>
      </c>
      <c r="AN1741" t="s">
        <v>76</v>
      </c>
      <c r="AO1741">
        <v>2</v>
      </c>
      <c r="AP1741">
        <v>0</v>
      </c>
      <c r="AQ1741">
        <v>33333.333333333336</v>
      </c>
      <c r="AR1741" t="s">
        <v>9</v>
      </c>
      <c r="AS1741" t="s">
        <v>78</v>
      </c>
      <c r="AW1741">
        <v>0</v>
      </c>
      <c r="AX1741" t="s">
        <v>79</v>
      </c>
      <c r="AY1741" t="s">
        <v>137</v>
      </c>
      <c r="AZ1741">
        <v>0</v>
      </c>
      <c r="BA1741" t="s">
        <v>137</v>
      </c>
      <c r="BB1741">
        <v>0</v>
      </c>
      <c r="BE1741">
        <v>0</v>
      </c>
    </row>
    <row r="1742" spans="1:58" ht="12.75">
      <c r="A1742" s="2" t="str">
        <f>HYPERLINK("https://ibp.a2mac1.com/costing(costing:projects/details/8191/part/5389602)","Part 02")</f>
        <v>Part 02</v>
      </c>
      <c r="B1742">
        <v>5389602</v>
      </c>
      <c r="C1742">
        <v>5389311</v>
      </c>
      <c r="E1742">
        <v>0.48754571111111111</v>
      </c>
      <c r="F1742">
        <v>0</v>
      </c>
      <c r="G1742">
        <v>0</v>
      </c>
      <c r="H1742">
        <v>5.5288688888888889E-05</v>
      </c>
      <c r="I1742" t="s">
        <v>137</v>
      </c>
      <c r="J1742">
        <v>0.017591855555555556</v>
      </c>
      <c r="K1742">
        <v>0.50519285535555558</v>
      </c>
      <c r="L1742">
        <v>0.0093102457262997304</v>
      </c>
      <c r="M1742">
        <v>0.055861474357798382</v>
      </c>
      <c r="N1742">
        <v>0.56105432971335389</v>
      </c>
      <c r="O1742" t="s">
        <v>138</v>
      </c>
      <c r="P1742">
        <v>0.030311571321333334</v>
      </c>
      <c r="Q1742" t="s">
        <v>138</v>
      </c>
      <c r="R1742">
        <v>0.0033516884614679028</v>
      </c>
      <c r="S1742" t="s">
        <v>139</v>
      </c>
      <c r="T1742">
        <v>0.067326519565602469</v>
      </c>
      <c r="U1742" t="s">
        <v>90</v>
      </c>
      <c r="V1742">
        <v>0</v>
      </c>
      <c r="W1742" t="s">
        <v>90</v>
      </c>
      <c r="X1742">
        <v>0</v>
      </c>
      <c r="Y1742">
        <v>0.66204410906175759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K1742" t="s">
        <v>6355</v>
      </c>
      <c r="AM1742">
        <v>400000</v>
      </c>
      <c r="AN1742" t="s">
        <v>76</v>
      </c>
      <c r="AO1742">
        <v>2</v>
      </c>
      <c r="AP1742">
        <v>0</v>
      </c>
      <c r="AQ1742">
        <v>33333.333333333336</v>
      </c>
      <c r="AR1742" t="s">
        <v>9</v>
      </c>
      <c r="AS1742" t="s">
        <v>78</v>
      </c>
      <c r="AW1742">
        <v>0</v>
      </c>
      <c r="AX1742" t="s">
        <v>79</v>
      </c>
      <c r="AY1742" t="s">
        <v>137</v>
      </c>
      <c r="AZ1742">
        <v>0</v>
      </c>
      <c r="BA1742" t="s">
        <v>137</v>
      </c>
      <c r="BB1742">
        <v>0</v>
      </c>
      <c r="BE1742">
        <v>0</v>
      </c>
    </row>
    <row r="1743" spans="1:58" ht="12.75">
      <c r="A1743" s="2" t="str">
        <f>HYPERLINK("https://ibp.a2mac1.com/costing(costing:projects/details/8191/part/5389603)","Part 03")</f>
        <v>Part 03</v>
      </c>
      <c r="B1743">
        <v>5389603</v>
      </c>
      <c r="C1743">
        <v>5389311</v>
      </c>
      <c r="E1743">
        <v>0.15812293333333333</v>
      </c>
      <c r="F1743">
        <v>0</v>
      </c>
      <c r="G1743">
        <v>0</v>
      </c>
      <c r="H1743">
        <v>1.7931466666666666E-05</v>
      </c>
      <c r="I1743" t="s">
        <v>137</v>
      </c>
      <c r="J1743">
        <v>0.0057054666666666665</v>
      </c>
      <c r="K1743">
        <v>0.16384633146666666</v>
      </c>
      <c r="L1743">
        <v>0.0093102457262997304</v>
      </c>
      <c r="M1743">
        <v>0.055861474357798382</v>
      </c>
      <c r="N1743">
        <v>0.21970780582446506</v>
      </c>
      <c r="O1743" t="s">
        <v>138</v>
      </c>
      <c r="P1743">
        <v>0.0098307798879999995</v>
      </c>
      <c r="Q1743" t="s">
        <v>138</v>
      </c>
      <c r="R1743">
        <v>0.0033516884614679028</v>
      </c>
      <c r="S1743" t="s">
        <v>139</v>
      </c>
      <c r="T1743">
        <v>0.026364936698935807</v>
      </c>
      <c r="U1743" t="s">
        <v>90</v>
      </c>
      <c r="V1743">
        <v>0</v>
      </c>
      <c r="W1743" t="s">
        <v>90</v>
      </c>
      <c r="X1743">
        <v>0</v>
      </c>
      <c r="Y1743">
        <v>0.25925521087286874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K1743" t="s">
        <v>6355</v>
      </c>
      <c r="AM1743">
        <v>400000</v>
      </c>
      <c r="AN1743" t="s">
        <v>76</v>
      </c>
      <c r="AO1743">
        <v>2</v>
      </c>
      <c r="AP1743">
        <v>0</v>
      </c>
      <c r="AQ1743">
        <v>33333.333333333336</v>
      </c>
      <c r="AR1743" t="s">
        <v>9</v>
      </c>
      <c r="AS1743" t="s">
        <v>78</v>
      </c>
      <c r="AW1743">
        <v>0</v>
      </c>
      <c r="AX1743" t="s">
        <v>79</v>
      </c>
      <c r="AY1743" t="s">
        <v>137</v>
      </c>
      <c r="AZ1743">
        <v>0</v>
      </c>
      <c r="BA1743" t="s">
        <v>137</v>
      </c>
      <c r="BB1743">
        <v>0</v>
      </c>
      <c r="BE1743">
        <v>0</v>
      </c>
    </row>
    <row r="1744" spans="1:58" ht="12.75">
      <c r="A1744" s="2" t="str">
        <f>HYPERLINK("https://ibp.a2mac1.com/costing(costing:projects/details/8191/part/5389604)","Part 01 single/main")</f>
        <v>Part 01 single/main</v>
      </c>
      <c r="B1744">
        <v>5389604</v>
      </c>
      <c r="C1744">
        <v>5389312</v>
      </c>
      <c r="E1744">
        <v>4.0345800000000001</v>
      </c>
      <c r="F1744">
        <v>0</v>
      </c>
      <c r="G1744">
        <v>0</v>
      </c>
      <c r="H1744">
        <v>0.00050432250000000004</v>
      </c>
      <c r="I1744" t="s">
        <v>137</v>
      </c>
      <c r="J1744">
        <v>0.16046625</v>
      </c>
      <c r="K1744">
        <v>4.1955505725000002</v>
      </c>
      <c r="L1744">
        <v>0.06879874280571327</v>
      </c>
      <c r="M1744">
        <v>0.41279245683427962</v>
      </c>
      <c r="N1744">
        <v>4.6083430293342795</v>
      </c>
      <c r="O1744" t="s">
        <v>138</v>
      </c>
      <c r="P1744">
        <v>0.25173303435</v>
      </c>
      <c r="Q1744" t="s">
        <v>138</v>
      </c>
      <c r="R1744">
        <v>0.024767547410056778</v>
      </c>
      <c r="S1744" t="s">
        <v>139</v>
      </c>
      <c r="T1744">
        <v>0.55300116352011353</v>
      </c>
      <c r="U1744" t="s">
        <v>90</v>
      </c>
      <c r="V1744">
        <v>0</v>
      </c>
      <c r="W1744" t="s">
        <v>90</v>
      </c>
      <c r="X1744">
        <v>0</v>
      </c>
      <c r="Y1744">
        <v>5.43784477461445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K1744" t="s">
        <v>6355</v>
      </c>
      <c r="AM1744">
        <v>400000</v>
      </c>
      <c r="AN1744" t="s">
        <v>76</v>
      </c>
      <c r="AO1744">
        <v>2</v>
      </c>
      <c r="AP1744">
        <v>0</v>
      </c>
      <c r="AQ1744">
        <v>33333.333333333336</v>
      </c>
      <c r="AR1744" t="s">
        <v>9</v>
      </c>
      <c r="AS1744" t="s">
        <v>78</v>
      </c>
      <c r="AW1744">
        <v>0</v>
      </c>
      <c r="AX1744" t="s">
        <v>79</v>
      </c>
      <c r="AY1744" t="s">
        <v>137</v>
      </c>
      <c r="AZ1744">
        <v>0</v>
      </c>
      <c r="BA1744" t="s">
        <v>137</v>
      </c>
      <c r="BB1744">
        <v>0</v>
      </c>
      <c r="BE1744">
        <v>0</v>
      </c>
    </row>
    <row r="1745" spans="1:58" ht="12.75">
      <c r="A1745" s="2" t="str">
        <f>HYPERLINK("https://ibp.a2mac1.com/costing(costing:projects/details/8191/part/5389605)","Part 02")</f>
        <v>Part 02</v>
      </c>
      <c r="B1745">
        <v>5389605</v>
      </c>
      <c r="C1745">
        <v>5389312</v>
      </c>
      <c r="E1745">
        <v>3.00239995</v>
      </c>
      <c r="F1745">
        <v>0</v>
      </c>
      <c r="G1745">
        <v>0</v>
      </c>
      <c r="H1745">
        <v>0.00035134467499999998</v>
      </c>
      <c r="I1745" t="s">
        <v>137</v>
      </c>
      <c r="J1745">
        <v>0.11179148749999999</v>
      </c>
      <c r="K1745">
        <v>3.114542782175</v>
      </c>
      <c r="L1745">
        <v>0.018524891664180389</v>
      </c>
      <c r="M1745">
        <v>0.11114934998508233</v>
      </c>
      <c r="N1745">
        <v>3.2256921321600824</v>
      </c>
      <c r="O1745" t="s">
        <v>138</v>
      </c>
      <c r="P1745">
        <v>0.1868725669305</v>
      </c>
      <c r="Q1745" t="s">
        <v>138</v>
      </c>
      <c r="R1745">
        <v>0.0066689609991049401</v>
      </c>
      <c r="S1745" t="s">
        <v>139</v>
      </c>
      <c r="T1745">
        <v>0.38708305585920988</v>
      </c>
      <c r="U1745" t="s">
        <v>90</v>
      </c>
      <c r="V1745">
        <v>0</v>
      </c>
      <c r="W1745" t="s">
        <v>90</v>
      </c>
      <c r="X1745">
        <v>0</v>
      </c>
      <c r="Y1745">
        <v>3.8063167159488973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K1745" t="s">
        <v>6355</v>
      </c>
      <c r="AM1745">
        <v>400000</v>
      </c>
      <c r="AN1745" t="s">
        <v>76</v>
      </c>
      <c r="AO1745">
        <v>2</v>
      </c>
      <c r="AP1745">
        <v>0</v>
      </c>
      <c r="AQ1745">
        <v>33333.333333333336</v>
      </c>
      <c r="AR1745" t="s">
        <v>9</v>
      </c>
      <c r="AS1745" t="s">
        <v>78</v>
      </c>
      <c r="AW1745">
        <v>0</v>
      </c>
      <c r="AX1745" t="s">
        <v>79</v>
      </c>
      <c r="AY1745" t="s">
        <v>137</v>
      </c>
      <c r="AZ1745">
        <v>0</v>
      </c>
      <c r="BA1745" t="s">
        <v>137</v>
      </c>
      <c r="BB1745">
        <v>0</v>
      </c>
      <c r="BE1745">
        <v>0</v>
      </c>
    </row>
    <row r="1746" spans="1:58" ht="12.75">
      <c r="A1746" s="2" t="str">
        <f>HYPERLINK("https://ibp.a2mac1.com/costing(costing:projects/details/8191/part/5389606)"," Part 01 single/main")</f>
        <v xml:space="preserve"> Part 01 single/main</v>
      </c>
      <c r="B1746">
        <v>5389606</v>
      </c>
      <c r="C1746">
        <v>5389313</v>
      </c>
      <c r="E1746">
        <v>1.4309122307692308</v>
      </c>
      <c r="F1746">
        <v>0</v>
      </c>
      <c r="G1746">
        <v>0</v>
      </c>
      <c r="H1746">
        <v>0.00017586630769230769</v>
      </c>
      <c r="I1746" t="s">
        <v>137</v>
      </c>
      <c r="J1746">
        <v>0.055957461538461539</v>
      </c>
      <c r="K1746">
        <v>1.4870455586153846</v>
      </c>
      <c r="L1746">
        <v>0.060128692034496077</v>
      </c>
      <c r="M1746">
        <v>0.36077215220697645</v>
      </c>
      <c r="N1746">
        <v>1.847817710822361</v>
      </c>
      <c r="O1746" t="s">
        <v>138</v>
      </c>
      <c r="P1746">
        <v>0.089222733516923072</v>
      </c>
      <c r="Q1746" t="s">
        <v>138</v>
      </c>
      <c r="R1746">
        <v>0.021646329132418589</v>
      </c>
      <c r="S1746" t="s">
        <v>139</v>
      </c>
      <c r="T1746">
        <v>0.22173812529868334</v>
      </c>
      <c r="U1746" t="s">
        <v>90</v>
      </c>
      <c r="V1746">
        <v>0</v>
      </c>
      <c r="W1746" t="s">
        <v>90</v>
      </c>
      <c r="X1746">
        <v>0</v>
      </c>
      <c r="Y1746">
        <v>2.180424898770386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K1746" t="s">
        <v>6355</v>
      </c>
      <c r="AM1746">
        <v>400000</v>
      </c>
      <c r="AN1746" t="s">
        <v>76</v>
      </c>
      <c r="AO1746">
        <v>2</v>
      </c>
      <c r="AP1746">
        <v>0</v>
      </c>
      <c r="AQ1746">
        <v>33333.333333333336</v>
      </c>
      <c r="AR1746" t="s">
        <v>9</v>
      </c>
      <c r="AS1746" t="s">
        <v>78</v>
      </c>
      <c r="AW1746">
        <v>0</v>
      </c>
      <c r="AX1746" t="s">
        <v>79</v>
      </c>
      <c r="AY1746" t="s">
        <v>137</v>
      </c>
      <c r="AZ1746">
        <v>0</v>
      </c>
      <c r="BA1746" t="s">
        <v>137</v>
      </c>
      <c r="BB1746">
        <v>0</v>
      </c>
      <c r="BE1746">
        <v>0</v>
      </c>
    </row>
    <row r="1747" spans="1:58" ht="12.75">
      <c r="A1747" s="2" t="str">
        <f>HYPERLINK("https://ibp.a2mac1.com/costing(costing:projects/details/8191/part/5389607)","Part 02")</f>
        <v>Part 02</v>
      </c>
      <c r="B1747">
        <v>5389607</v>
      </c>
      <c r="C1747">
        <v>5389313</v>
      </c>
      <c r="E1747">
        <v>2.860884</v>
      </c>
      <c r="F1747">
        <v>0</v>
      </c>
      <c r="G1747">
        <v>0</v>
      </c>
      <c r="H1747">
        <v>0.00034582114285714284</v>
      </c>
      <c r="I1747" t="s">
        <v>137</v>
      </c>
      <c r="J1747">
        <v>0.11003400000000001</v>
      </c>
      <c r="K1747">
        <v>2.9712638211428573</v>
      </c>
      <c r="L1747">
        <v>0.060128692034496077</v>
      </c>
      <c r="M1747">
        <v>0.36077215220697645</v>
      </c>
      <c r="N1747">
        <v>3.3320359733498335</v>
      </c>
      <c r="O1747" t="s">
        <v>138</v>
      </c>
      <c r="P1747">
        <v>0.17827582926857144</v>
      </c>
      <c r="Q1747" t="s">
        <v>138</v>
      </c>
      <c r="R1747">
        <v>0.021646329132418589</v>
      </c>
      <c r="S1747" t="s">
        <v>139</v>
      </c>
      <c r="T1747">
        <v>0.39984431680198002</v>
      </c>
      <c r="U1747" t="s">
        <v>90</v>
      </c>
      <c r="V1747">
        <v>0</v>
      </c>
      <c r="W1747" t="s">
        <v>90</v>
      </c>
      <c r="X1747">
        <v>0</v>
      </c>
      <c r="Y1747">
        <v>3.9318024485528036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K1747" t="s">
        <v>6355</v>
      </c>
      <c r="AM1747">
        <v>400000</v>
      </c>
      <c r="AN1747" t="s">
        <v>76</v>
      </c>
      <c r="AO1747">
        <v>2</v>
      </c>
      <c r="AP1747">
        <v>0</v>
      </c>
      <c r="AQ1747">
        <v>33333.333333333336</v>
      </c>
      <c r="AR1747" t="s">
        <v>9</v>
      </c>
      <c r="AS1747" t="s">
        <v>78</v>
      </c>
      <c r="AW1747">
        <v>0</v>
      </c>
      <c r="AX1747" t="s">
        <v>79</v>
      </c>
      <c r="AY1747" t="s">
        <v>137</v>
      </c>
      <c r="AZ1747">
        <v>0</v>
      </c>
      <c r="BA1747" t="s">
        <v>137</v>
      </c>
      <c r="BB1747">
        <v>0</v>
      </c>
      <c r="BE1747">
        <v>0</v>
      </c>
    </row>
    <row r="1748" spans="1:58" ht="12.75">
      <c r="A1748" s="2" t="str">
        <f>HYPERLINK("https://ibp.a2mac1.com/costing(costing:projects/details/8191/part/5389608)"," Part 01 single/main")</f>
        <v xml:space="preserve"> Part 01 single/main</v>
      </c>
      <c r="B1748">
        <v>5389608</v>
      </c>
      <c r="C1748">
        <v>5389314</v>
      </c>
      <c r="E1748">
        <v>0.34069786666666668</v>
      </c>
      <c r="F1748">
        <v>0</v>
      </c>
      <c r="G1748">
        <v>0</v>
      </c>
      <c r="H1748">
        <v>4.2587233333333331E-05</v>
      </c>
      <c r="I1748" t="s">
        <v>137</v>
      </c>
      <c r="J1748">
        <v>0.013550483333333333</v>
      </c>
      <c r="K1748">
        <v>0.35429093723333333</v>
      </c>
      <c r="L1748">
        <v>0.012126845664614676</v>
      </c>
      <c r="M1748">
        <v>0.072761073987688066</v>
      </c>
      <c r="N1748">
        <v>0.42705201122102138</v>
      </c>
      <c r="O1748" t="s">
        <v>138</v>
      </c>
      <c r="P1748">
        <v>0.021257456234000001</v>
      </c>
      <c r="Q1748" t="s">
        <v>138</v>
      </c>
      <c r="R1748">
        <v>0.0043656644392612836</v>
      </c>
      <c r="S1748" t="s">
        <v>139</v>
      </c>
      <c r="T1748">
        <v>0.051246241346522566</v>
      </c>
      <c r="U1748" t="s">
        <v>90</v>
      </c>
      <c r="V1748">
        <v>0</v>
      </c>
      <c r="W1748" t="s">
        <v>90</v>
      </c>
      <c r="X1748">
        <v>0</v>
      </c>
      <c r="Y1748">
        <v>0.50392137324080521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K1748" t="s">
        <v>6355</v>
      </c>
      <c r="AM1748">
        <v>400000</v>
      </c>
      <c r="AN1748" t="s">
        <v>76</v>
      </c>
      <c r="AO1748">
        <v>2</v>
      </c>
      <c r="AP1748">
        <v>0</v>
      </c>
      <c r="AQ1748">
        <v>33333.333333333336</v>
      </c>
      <c r="AR1748" t="s">
        <v>9</v>
      </c>
      <c r="AS1748" t="s">
        <v>78</v>
      </c>
      <c r="AW1748">
        <v>0</v>
      </c>
      <c r="AX1748" t="s">
        <v>79</v>
      </c>
      <c r="AY1748" t="s">
        <v>137</v>
      </c>
      <c r="AZ1748">
        <v>0</v>
      </c>
      <c r="BA1748" t="s">
        <v>137</v>
      </c>
      <c r="BB1748">
        <v>0</v>
      </c>
      <c r="BE1748">
        <v>0</v>
      </c>
    </row>
    <row r="1749" spans="1:58" ht="12.75">
      <c r="A1749" s="2" t="str">
        <f>HYPERLINK("https://ibp.a2mac1.com/costing(costing:projects/details/8191/part/5389609)"," Part 02")</f>
        <v xml:space="preserve"> Part 02</v>
      </c>
      <c r="B1749">
        <v>5389609</v>
      </c>
      <c r="C1749">
        <v>5389314</v>
      </c>
      <c r="E1749">
        <v>0.32276640000000001</v>
      </c>
      <c r="F1749">
        <v>0</v>
      </c>
      <c r="G1749">
        <v>0</v>
      </c>
      <c r="H1749">
        <v>4.0345800000000003E-05</v>
      </c>
      <c r="I1749" t="s">
        <v>137</v>
      </c>
      <c r="J1749">
        <v>0.012837299999999999</v>
      </c>
      <c r="K1749">
        <v>0.33564404580000001</v>
      </c>
      <c r="L1749">
        <v>0.012126845664614676</v>
      </c>
      <c r="M1749">
        <v>0.072761073987688066</v>
      </c>
      <c r="N1749">
        <v>0.40840511978768806</v>
      </c>
      <c r="O1749" t="s">
        <v>138</v>
      </c>
      <c r="P1749">
        <v>0.020138642748</v>
      </c>
      <c r="Q1749" t="s">
        <v>138</v>
      </c>
      <c r="R1749">
        <v>0.0043656644392612836</v>
      </c>
      <c r="S1749" t="s">
        <v>139</v>
      </c>
      <c r="T1749">
        <v>0.049008614374522565</v>
      </c>
      <c r="U1749" t="s">
        <v>90</v>
      </c>
      <c r="V1749">
        <v>0</v>
      </c>
      <c r="W1749" t="s">
        <v>90</v>
      </c>
      <c r="X1749">
        <v>0</v>
      </c>
      <c r="Y1749">
        <v>0.48191804134947192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K1749" t="s">
        <v>6355</v>
      </c>
      <c r="AM1749">
        <v>400000</v>
      </c>
      <c r="AN1749" t="s">
        <v>76</v>
      </c>
      <c r="AO1749">
        <v>2</v>
      </c>
      <c r="AP1749">
        <v>0</v>
      </c>
      <c r="AQ1749">
        <v>33333.333333333336</v>
      </c>
      <c r="AR1749" t="s">
        <v>9</v>
      </c>
      <c r="AS1749" t="s">
        <v>78</v>
      </c>
      <c r="AW1749">
        <v>0</v>
      </c>
      <c r="AX1749" t="s">
        <v>79</v>
      </c>
      <c r="AY1749" t="s">
        <v>137</v>
      </c>
      <c r="AZ1749">
        <v>0</v>
      </c>
      <c r="BA1749" t="s">
        <v>137</v>
      </c>
      <c r="BB1749">
        <v>0</v>
      </c>
      <c r="BE1749">
        <v>0</v>
      </c>
    </row>
    <row r="1750" spans="1:58" ht="12.75">
      <c r="A1750" s="2" t="str">
        <f>HYPERLINK("https://ibp.a2mac1.com/costing(costing:projects/details/8191/part/5389610)"," Part 03")</f>
        <v xml:space="preserve"> Part 03</v>
      </c>
      <c r="B1750">
        <v>5389610</v>
      </c>
      <c r="C1750">
        <v>5389314</v>
      </c>
      <c r="E1750">
        <v>0.07691265454545454</v>
      </c>
      <c r="F1750">
        <v>0</v>
      </c>
      <c r="G1750">
        <v>0</v>
      </c>
      <c r="H1750">
        <v>9.7807999999999996E-06</v>
      </c>
      <c r="I1750" t="s">
        <v>137</v>
      </c>
      <c r="J1750">
        <v>0.0031120727272727273</v>
      </c>
      <c r="K1750">
        <v>0.080034508072727273</v>
      </c>
      <c r="L1750">
        <v>0.0093102457262997304</v>
      </c>
      <c r="M1750">
        <v>0.055861474357798382</v>
      </c>
      <c r="N1750">
        <v>0.13589598243052564</v>
      </c>
      <c r="O1750" t="s">
        <v>138</v>
      </c>
      <c r="P1750">
        <v>0.0048020704843636363</v>
      </c>
      <c r="Q1750" t="s">
        <v>138</v>
      </c>
      <c r="R1750">
        <v>0.0033516884614679028</v>
      </c>
      <c r="S1750" t="s">
        <v>139</v>
      </c>
      <c r="T1750">
        <v>0.016307517891663077</v>
      </c>
      <c r="U1750" t="s">
        <v>90</v>
      </c>
      <c r="V1750">
        <v>0</v>
      </c>
      <c r="W1750" t="s">
        <v>90</v>
      </c>
      <c r="X1750">
        <v>0</v>
      </c>
      <c r="Y1750">
        <v>0.16035725926802027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K1750" t="s">
        <v>6355</v>
      </c>
      <c r="AM1750">
        <v>400000</v>
      </c>
      <c r="AN1750" t="s">
        <v>76</v>
      </c>
      <c r="AO1750">
        <v>2</v>
      </c>
      <c r="AP1750">
        <v>0</v>
      </c>
      <c r="AQ1750">
        <v>33333.333333333336</v>
      </c>
      <c r="AR1750" t="s">
        <v>9</v>
      </c>
      <c r="AS1750" t="s">
        <v>78</v>
      </c>
      <c r="AW1750">
        <v>0</v>
      </c>
      <c r="AX1750" t="s">
        <v>79</v>
      </c>
      <c r="AY1750" t="s">
        <v>137</v>
      </c>
      <c r="AZ1750">
        <v>0</v>
      </c>
      <c r="BA1750" t="s">
        <v>137</v>
      </c>
      <c r="BB1750">
        <v>0</v>
      </c>
      <c r="BE1750">
        <v>0</v>
      </c>
    </row>
    <row r="1751" spans="1:58" ht="12.75">
      <c r="A1751" s="2" t="str">
        <f>HYPERLINK("https://ibp.a2mac1.com/costing(costing:projects/details/8191/part/5389611)"," Part 04")</f>
        <v xml:space="preserve"> Part 04</v>
      </c>
      <c r="B1751">
        <v>5389611</v>
      </c>
      <c r="C1751">
        <v>5389314</v>
      </c>
      <c r="E1751">
        <v>0.15150835384615385</v>
      </c>
      <c r="F1751">
        <v>0</v>
      </c>
      <c r="G1751">
        <v>0</v>
      </c>
      <c r="H1751">
        <v>1.8621138461538462E-05</v>
      </c>
      <c r="I1751" t="s">
        <v>137</v>
      </c>
      <c r="J1751">
        <v>0.0059249076923076922</v>
      </c>
      <c r="K1751">
        <v>0.15745188267692309</v>
      </c>
      <c r="L1751">
        <v>0.0093102457262997304</v>
      </c>
      <c r="M1751">
        <v>0.055861474357798382</v>
      </c>
      <c r="N1751">
        <v>0.21331335703472146</v>
      </c>
      <c r="O1751" t="s">
        <v>138</v>
      </c>
      <c r="P1751">
        <v>0.0094471129606153847</v>
      </c>
      <c r="Q1751" t="s">
        <v>138</v>
      </c>
      <c r="R1751">
        <v>0.0033516884614679028</v>
      </c>
      <c r="S1751" t="s">
        <v>139</v>
      </c>
      <c r="T1751">
        <v>0.025597602844166574</v>
      </c>
      <c r="U1751" t="s">
        <v>90</v>
      </c>
      <c r="V1751">
        <v>0</v>
      </c>
      <c r="W1751" t="s">
        <v>90</v>
      </c>
      <c r="X1751">
        <v>0</v>
      </c>
      <c r="Y1751">
        <v>0.25170976130097134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K1751" t="s">
        <v>6355</v>
      </c>
      <c r="AM1751">
        <v>400000</v>
      </c>
      <c r="AN1751" t="s">
        <v>76</v>
      </c>
      <c r="AO1751">
        <v>2</v>
      </c>
      <c r="AP1751">
        <v>0</v>
      </c>
      <c r="AQ1751">
        <v>33333.333333333336</v>
      </c>
      <c r="AR1751" t="s">
        <v>9</v>
      </c>
      <c r="AS1751" t="s">
        <v>78</v>
      </c>
      <c r="AW1751">
        <v>0</v>
      </c>
      <c r="AX1751" t="s">
        <v>79</v>
      </c>
      <c r="AY1751" t="s">
        <v>137</v>
      </c>
      <c r="AZ1751">
        <v>0</v>
      </c>
      <c r="BA1751" t="s">
        <v>137</v>
      </c>
      <c r="BB1751">
        <v>0</v>
      </c>
      <c r="BE1751">
        <v>0</v>
      </c>
    </row>
    <row r="1752" spans="1:58" ht="12.75">
      <c r="A1752" s="2" t="str">
        <f>HYPERLINK("https://ibp.a2mac1.com/costing(costing:projects/details/8191/part/5389612)","Part 05")</f>
        <v>Part 05</v>
      </c>
      <c r="B1752">
        <v>5389612</v>
      </c>
      <c r="C1752">
        <v>5389314</v>
      </c>
      <c r="E1752">
        <v>0.1723866</v>
      </c>
      <c r="F1752">
        <v>0</v>
      </c>
      <c r="G1752">
        <v>0</v>
      </c>
      <c r="H1752">
        <v>2.0172900000000001E-05</v>
      </c>
      <c r="I1752" t="s">
        <v>137</v>
      </c>
      <c r="J1752">
        <v>0.0064186499999999997</v>
      </c>
      <c r="K1752">
        <v>0.1788254229</v>
      </c>
      <c r="L1752">
        <v>0.024426101758311454</v>
      </c>
      <c r="M1752">
        <v>0.14655661054986871</v>
      </c>
      <c r="N1752">
        <v>0.32538203344986871</v>
      </c>
      <c r="O1752" t="s">
        <v>138</v>
      </c>
      <c r="P1752">
        <v>0.010729525374</v>
      </c>
      <c r="Q1752" t="s">
        <v>138</v>
      </c>
      <c r="R1752">
        <v>0.0087933966329921225</v>
      </c>
      <c r="S1752" t="s">
        <v>139</v>
      </c>
      <c r="T1752">
        <v>0.039045844013984247</v>
      </c>
      <c r="U1752" t="s">
        <v>90</v>
      </c>
      <c r="V1752">
        <v>0</v>
      </c>
      <c r="W1752" t="s">
        <v>90</v>
      </c>
      <c r="X1752">
        <v>0</v>
      </c>
      <c r="Y1752">
        <v>0.38395079947084509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K1752" t="s">
        <v>6355</v>
      </c>
      <c r="AM1752">
        <v>400000</v>
      </c>
      <c r="AN1752" t="s">
        <v>76</v>
      </c>
      <c r="AO1752">
        <v>2</v>
      </c>
      <c r="AP1752">
        <v>0</v>
      </c>
      <c r="AQ1752">
        <v>33333.333333333336</v>
      </c>
      <c r="AR1752" t="s">
        <v>9</v>
      </c>
      <c r="AS1752" t="s">
        <v>78</v>
      </c>
      <c r="AW1752">
        <v>0</v>
      </c>
      <c r="AX1752" t="s">
        <v>79</v>
      </c>
      <c r="AY1752" t="s">
        <v>137</v>
      </c>
      <c r="AZ1752">
        <v>0</v>
      </c>
      <c r="BA1752" t="s">
        <v>137</v>
      </c>
      <c r="BB1752">
        <v>0</v>
      </c>
      <c r="BE1752">
        <v>0</v>
      </c>
    </row>
    <row r="1753" spans="1:58" ht="12.75">
      <c r="A1753" s="2" t="str">
        <f>HYPERLINK("https://ibp.a2mac1.com/costing(costing:projects/details/8191/part/5389613)","Part 06")</f>
        <v>Part 06</v>
      </c>
      <c r="B1753">
        <v>5389613</v>
      </c>
      <c r="C1753">
        <v>5389314</v>
      </c>
      <c r="E1753">
        <v>0.063575199999999998</v>
      </c>
      <c r="F1753">
        <v>0</v>
      </c>
      <c r="G1753">
        <v>0</v>
      </c>
      <c r="H1753">
        <v>7.6849142857142859E-06</v>
      </c>
      <c r="I1753" t="s">
        <v>137</v>
      </c>
      <c r="J1753">
        <v>0.0024451999999999998</v>
      </c>
      <c r="K1753">
        <v>0.066028084914285717</v>
      </c>
      <c r="L1753">
        <v>0.0039320942634972159</v>
      </c>
      <c r="M1753">
        <v>0.023592565580983296</v>
      </c>
      <c r="N1753">
        <v>0.089620650495269016</v>
      </c>
      <c r="O1753" t="s">
        <v>138</v>
      </c>
      <c r="P1753">
        <v>0.0039616850948571425</v>
      </c>
      <c r="Q1753" t="s">
        <v>138</v>
      </c>
      <c r="R1753">
        <v>0.0014155539348589977</v>
      </c>
      <c r="S1753" t="s">
        <v>139</v>
      </c>
      <c r="T1753">
        <v>0.010754478059432282</v>
      </c>
      <c r="U1753" t="s">
        <v>90</v>
      </c>
      <c r="V1753">
        <v>0</v>
      </c>
      <c r="W1753" t="s">
        <v>90</v>
      </c>
      <c r="X1753">
        <v>0</v>
      </c>
      <c r="Y1753">
        <v>0.10575236758441743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K1753" t="s">
        <v>6355</v>
      </c>
      <c r="AM1753">
        <v>400000</v>
      </c>
      <c r="AN1753" t="s">
        <v>76</v>
      </c>
      <c r="AO1753">
        <v>2</v>
      </c>
      <c r="AP1753">
        <v>0</v>
      </c>
      <c r="AQ1753">
        <v>33333.333333333336</v>
      </c>
      <c r="AR1753" t="s">
        <v>9</v>
      </c>
      <c r="AS1753" t="s">
        <v>78</v>
      </c>
      <c r="AW1753">
        <v>0</v>
      </c>
      <c r="AX1753" t="s">
        <v>79</v>
      </c>
      <c r="AY1753" t="s">
        <v>137</v>
      </c>
      <c r="AZ1753">
        <v>0</v>
      </c>
      <c r="BA1753" t="s">
        <v>137</v>
      </c>
      <c r="BB1753">
        <v>0</v>
      </c>
      <c r="BE1753">
        <v>0</v>
      </c>
    </row>
    <row r="1754" spans="1:58" ht="12.75">
      <c r="A1754" s="2" t="str">
        <f>HYPERLINK("https://ibp.a2mac1.com/costing(costing:projects/details/8191/part/5389614)"," Part 07")</f>
        <v xml:space="preserve"> Part 07</v>
      </c>
      <c r="B1754">
        <v>5389614</v>
      </c>
      <c r="C1754">
        <v>5389314</v>
      </c>
      <c r="E1754">
        <v>0.089657333333333339</v>
      </c>
      <c r="F1754">
        <v>0</v>
      </c>
      <c r="G1754">
        <v>0</v>
      </c>
      <c r="H1754">
        <v>1.1207166666666667E-05</v>
      </c>
      <c r="I1754" t="s">
        <v>137</v>
      </c>
      <c r="J1754">
        <v>0.0035659166666666665</v>
      </c>
      <c r="K1754">
        <v>0.093234457166666673</v>
      </c>
      <c r="L1754">
        <v>0.0043569423054512666</v>
      </c>
      <c r="M1754">
        <v>0.026141653832707602</v>
      </c>
      <c r="N1754">
        <v>0.11937611099937427</v>
      </c>
      <c r="O1754" t="s">
        <v>138</v>
      </c>
      <c r="P1754">
        <v>0.0055940674300000003</v>
      </c>
      <c r="Q1754" t="s">
        <v>138</v>
      </c>
      <c r="R1754">
        <v>0.0015684992299624561</v>
      </c>
      <c r="S1754" t="s">
        <v>139</v>
      </c>
      <c r="T1754">
        <v>0.014325133319924912</v>
      </c>
      <c r="U1754" t="s">
        <v>90</v>
      </c>
      <c r="V1754">
        <v>0</v>
      </c>
      <c r="W1754" t="s">
        <v>90</v>
      </c>
      <c r="X1754">
        <v>0</v>
      </c>
      <c r="Y1754">
        <v>0.14086381097926165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K1754" t="s">
        <v>6355</v>
      </c>
      <c r="AM1754">
        <v>400000</v>
      </c>
      <c r="AN1754" t="s">
        <v>76</v>
      </c>
      <c r="AO1754">
        <v>2</v>
      </c>
      <c r="AP1754">
        <v>0</v>
      </c>
      <c r="AQ1754">
        <v>33333.333333333336</v>
      </c>
      <c r="AR1754" t="s">
        <v>9</v>
      </c>
      <c r="AS1754" t="s">
        <v>78</v>
      </c>
      <c r="AW1754">
        <v>0</v>
      </c>
      <c r="AX1754" t="s">
        <v>79</v>
      </c>
      <c r="AY1754" t="s">
        <v>137</v>
      </c>
      <c r="AZ1754">
        <v>0</v>
      </c>
      <c r="BA1754" t="s">
        <v>137</v>
      </c>
      <c r="BB1754">
        <v>0</v>
      </c>
      <c r="BE1754">
        <v>0</v>
      </c>
    </row>
    <row r="1755" spans="1:58" ht="12.75">
      <c r="A1755" s="2" t="str">
        <f>HYPERLINK("https://ibp.a2mac1.com/costing(costing:projects/details/8191/part/5389615)"," Part 08")</f>
        <v xml:space="preserve"> Part 08</v>
      </c>
      <c r="B1755">
        <v>5389615</v>
      </c>
      <c r="C1755">
        <v>5389314</v>
      </c>
      <c r="E1755">
        <v>0.74070750769230764</v>
      </c>
      <c r="F1755">
        <v>0</v>
      </c>
      <c r="G1755">
        <v>0</v>
      </c>
      <c r="H1755">
        <v>9.1036676923076919E-05</v>
      </c>
      <c r="I1755" t="s">
        <v>137</v>
      </c>
      <c r="J1755">
        <v>0.028966215384615385</v>
      </c>
      <c r="K1755">
        <v>0.76976475975384617</v>
      </c>
      <c r="L1755">
        <v>0.016357428824467144</v>
      </c>
      <c r="M1755">
        <v>0.098144572946802858</v>
      </c>
      <c r="N1755">
        <v>0.86790933270064896</v>
      </c>
      <c r="O1755" t="s">
        <v>138</v>
      </c>
      <c r="P1755">
        <v>0.04618588558523077</v>
      </c>
      <c r="Q1755" t="s">
        <v>138</v>
      </c>
      <c r="R1755">
        <v>0.0058886743768081715</v>
      </c>
      <c r="S1755" t="s">
        <v>139</v>
      </c>
      <c r="T1755">
        <v>0.10414911992407788</v>
      </c>
      <c r="U1755" t="s">
        <v>90</v>
      </c>
      <c r="V1755">
        <v>0</v>
      </c>
      <c r="W1755" t="s">
        <v>90</v>
      </c>
      <c r="X1755">
        <v>0</v>
      </c>
      <c r="Y1755">
        <v>1.0241330125867658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K1755" t="s">
        <v>6355</v>
      </c>
      <c r="AM1755">
        <v>400000</v>
      </c>
      <c r="AN1755" t="s">
        <v>76</v>
      </c>
      <c r="AO1755">
        <v>2</v>
      </c>
      <c r="AP1755">
        <v>0</v>
      </c>
      <c r="AQ1755">
        <v>33333.333333333336</v>
      </c>
      <c r="AR1755" t="s">
        <v>9</v>
      </c>
      <c r="AS1755" t="s">
        <v>78</v>
      </c>
      <c r="AW1755">
        <v>0</v>
      </c>
      <c r="AX1755" t="s">
        <v>79</v>
      </c>
      <c r="AY1755" t="s">
        <v>137</v>
      </c>
      <c r="AZ1755">
        <v>0</v>
      </c>
      <c r="BA1755" t="s">
        <v>137</v>
      </c>
      <c r="BB1755">
        <v>0</v>
      </c>
      <c r="BE1755">
        <v>0</v>
      </c>
    </row>
    <row r="1756" spans="1:58" ht="12.75">
      <c r="A1756" s="2" t="str">
        <f>HYPERLINK("https://ibp.a2mac1.com/costing(costing:projects/details/8191/part/5389616)"," Part 09")</f>
        <v xml:space="preserve"> Part 09</v>
      </c>
      <c r="B1756">
        <v>5389616</v>
      </c>
      <c r="C1756">
        <v>5389314</v>
      </c>
      <c r="E1756">
        <v>2.2410258000000001</v>
      </c>
      <c r="F1756">
        <v>0</v>
      </c>
      <c r="G1756">
        <v>0</v>
      </c>
      <c r="H1756">
        <v>0.00027089322857142857</v>
      </c>
      <c r="I1756" t="s">
        <v>137</v>
      </c>
      <c r="J1756">
        <v>0.0861933</v>
      </c>
      <c r="K1756">
        <v>2.3274899932285713</v>
      </c>
      <c r="L1756">
        <v>0.018524891664180389</v>
      </c>
      <c r="M1756">
        <v>0.11114934998508233</v>
      </c>
      <c r="N1756">
        <v>2.4386393432136537</v>
      </c>
      <c r="O1756" t="s">
        <v>138</v>
      </c>
      <c r="P1756">
        <v>0.13964939959371428</v>
      </c>
      <c r="Q1756" t="s">
        <v>138</v>
      </c>
      <c r="R1756">
        <v>0.0066689609991049401</v>
      </c>
      <c r="S1756" t="s">
        <v>139</v>
      </c>
      <c r="T1756">
        <v>0.29263672118563844</v>
      </c>
      <c r="U1756" t="s">
        <v>90</v>
      </c>
      <c r="V1756">
        <v>0</v>
      </c>
      <c r="W1756" t="s">
        <v>90</v>
      </c>
      <c r="X1756">
        <v>0</v>
      </c>
      <c r="Y1756">
        <v>2.8775944249921115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K1756" t="s">
        <v>6355</v>
      </c>
      <c r="AM1756">
        <v>400000</v>
      </c>
      <c r="AN1756" t="s">
        <v>76</v>
      </c>
      <c r="AO1756">
        <v>2</v>
      </c>
      <c r="AP1756">
        <v>0</v>
      </c>
      <c r="AQ1756">
        <v>33333.333333333336</v>
      </c>
      <c r="AR1756" t="s">
        <v>9</v>
      </c>
      <c r="AS1756" t="s">
        <v>78</v>
      </c>
      <c r="AW1756">
        <v>0</v>
      </c>
      <c r="AX1756" t="s">
        <v>79</v>
      </c>
      <c r="AY1756" t="s">
        <v>137</v>
      </c>
      <c r="AZ1756">
        <v>0</v>
      </c>
      <c r="BA1756" t="s">
        <v>137</v>
      </c>
      <c r="BB1756">
        <v>0</v>
      </c>
      <c r="BE1756">
        <v>0</v>
      </c>
    </row>
    <row r="1757" spans="1:58" ht="12.75">
      <c r="A1757" s="2" t="str">
        <f>HYPERLINK("https://ibp.a2mac1.com/costing(costing:projects/details/8191/part/5389617)"," Part 10")</f>
        <v xml:space="preserve"> Part 10</v>
      </c>
      <c r="B1757">
        <v>5389617</v>
      </c>
      <c r="C1757">
        <v>5389314</v>
      </c>
      <c r="E1757">
        <v>0.10055885000000001</v>
      </c>
      <c r="F1757">
        <v>0</v>
      </c>
      <c r="G1757">
        <v>0</v>
      </c>
      <c r="H1757">
        <v>1.1767525E-05</v>
      </c>
      <c r="I1757" t="s">
        <v>137</v>
      </c>
      <c r="J1757">
        <v>0.0037442125</v>
      </c>
      <c r="K1757">
        <v>0.104314830025</v>
      </c>
      <c r="L1757">
        <v>0.22211763697352316</v>
      </c>
      <c r="M1757">
        <v>1.3327058218411389</v>
      </c>
      <c r="N1757">
        <v>1.437020651866139</v>
      </c>
      <c r="O1757" t="s">
        <v>138</v>
      </c>
      <c r="P1757">
        <v>0.0062588898015000002</v>
      </c>
      <c r="Q1757" t="s">
        <v>138</v>
      </c>
      <c r="R1757">
        <v>0.079962349310468334</v>
      </c>
      <c r="S1757" t="s">
        <v>139</v>
      </c>
      <c r="T1757">
        <v>0.17244247822393668</v>
      </c>
      <c r="U1757" t="s">
        <v>90</v>
      </c>
      <c r="V1757">
        <v>0</v>
      </c>
      <c r="W1757" t="s">
        <v>90</v>
      </c>
      <c r="X1757">
        <v>0</v>
      </c>
      <c r="Y1757">
        <v>1.695684369202044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K1757" t="s">
        <v>6355</v>
      </c>
      <c r="AM1757">
        <v>400000</v>
      </c>
      <c r="AN1757" t="s">
        <v>76</v>
      </c>
      <c r="AO1757">
        <v>2</v>
      </c>
      <c r="AP1757">
        <v>0</v>
      </c>
      <c r="AQ1757">
        <v>33333.333333333336</v>
      </c>
      <c r="AR1757" t="s">
        <v>9</v>
      </c>
      <c r="AS1757" t="s">
        <v>78</v>
      </c>
      <c r="AW1757">
        <v>0</v>
      </c>
      <c r="AX1757" t="s">
        <v>79</v>
      </c>
      <c r="AY1757" t="s">
        <v>137</v>
      </c>
      <c r="AZ1757">
        <v>0</v>
      </c>
      <c r="BA1757" t="s">
        <v>137</v>
      </c>
      <c r="BB1757">
        <v>0</v>
      </c>
      <c r="BE1757">
        <v>0</v>
      </c>
    </row>
    <row r="1758" spans="1:58" ht="12.75">
      <c r="A1758" s="2" t="str">
        <f>HYPERLINK("https://ibp.a2mac1.com/costing(costing:projects/details/8191/part/5389618)"," Part 11")</f>
        <v xml:space="preserve"> Part 11</v>
      </c>
      <c r="B1758">
        <v>5389618</v>
      </c>
      <c r="C1758">
        <v>5389314</v>
      </c>
      <c r="E1758">
        <v>0.33668523076923079</v>
      </c>
      <c r="F1758">
        <v>0</v>
      </c>
      <c r="G1758">
        <v>0</v>
      </c>
      <c r="H1758">
        <v>4.1380307692307695E-05</v>
      </c>
      <c r="I1758" t="s">
        <v>137</v>
      </c>
      <c r="J1758">
        <v>0.013166461538461538</v>
      </c>
      <c r="K1758">
        <v>0.3498930726153846</v>
      </c>
      <c r="L1758">
        <v>0.0093102457262997304</v>
      </c>
      <c r="M1758">
        <v>0.055861474357798382</v>
      </c>
      <c r="N1758">
        <v>0.40575454697318297</v>
      </c>
      <c r="O1758" t="s">
        <v>138</v>
      </c>
      <c r="P1758">
        <v>0.020993584356923077</v>
      </c>
      <c r="Q1758" t="s">
        <v>138</v>
      </c>
      <c r="R1758">
        <v>0.0033516884614679028</v>
      </c>
      <c r="S1758" t="s">
        <v>139</v>
      </c>
      <c r="T1758">
        <v>0.048690545636781962</v>
      </c>
      <c r="U1758" t="s">
        <v>90</v>
      </c>
      <c r="V1758">
        <v>0</v>
      </c>
      <c r="W1758" t="s">
        <v>90</v>
      </c>
      <c r="X1758">
        <v>0</v>
      </c>
      <c r="Y1758">
        <v>0.47879036542835596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K1758" t="s">
        <v>6355</v>
      </c>
      <c r="AM1758">
        <v>400000</v>
      </c>
      <c r="AN1758" t="s">
        <v>76</v>
      </c>
      <c r="AO1758">
        <v>2</v>
      </c>
      <c r="AP1758">
        <v>0</v>
      </c>
      <c r="AQ1758">
        <v>33333.333333333336</v>
      </c>
      <c r="AR1758" t="s">
        <v>9</v>
      </c>
      <c r="AS1758" t="s">
        <v>78</v>
      </c>
      <c r="AW1758">
        <v>0</v>
      </c>
      <c r="AX1758" t="s">
        <v>79</v>
      </c>
      <c r="AY1758" t="s">
        <v>137</v>
      </c>
      <c r="AZ1758">
        <v>0</v>
      </c>
      <c r="BA1758" t="s">
        <v>137</v>
      </c>
      <c r="BB1758">
        <v>0</v>
      </c>
      <c r="BE1758">
        <v>0</v>
      </c>
    </row>
    <row r="1759" spans="1:58" ht="12.75">
      <c r="A1759" s="2" t="str">
        <f>HYPERLINK("https://ibp.a2mac1.com/costing(costing:projects/details/8191/part/5389619)","Part 12")</f>
        <v>Part 12</v>
      </c>
      <c r="B1759">
        <v>5389619</v>
      </c>
      <c r="C1759">
        <v>5389314</v>
      </c>
      <c r="E1759">
        <v>0.035862933333333333</v>
      </c>
      <c r="F1759">
        <v>0</v>
      </c>
      <c r="G1759">
        <v>0</v>
      </c>
      <c r="H1759">
        <v>4.4828666666666665E-06</v>
      </c>
      <c r="I1759" t="s">
        <v>137</v>
      </c>
      <c r="J1759">
        <v>0.0014263666666666666</v>
      </c>
      <c r="K1759">
        <v>0.037293782866666667</v>
      </c>
      <c r="L1759">
        <v>0.0093102457262997304</v>
      </c>
      <c r="M1759">
        <v>0.055861474357798382</v>
      </c>
      <c r="N1759">
        <v>0.093155257224465049</v>
      </c>
      <c r="O1759" t="s">
        <v>138</v>
      </c>
      <c r="P1759">
        <v>0.002237626972</v>
      </c>
      <c r="Q1759" t="s">
        <v>138</v>
      </c>
      <c r="R1759">
        <v>0.0033516884614679028</v>
      </c>
      <c r="S1759" t="s">
        <v>139</v>
      </c>
      <c r="T1759">
        <v>0.011178630866935806</v>
      </c>
      <c r="U1759" t="s">
        <v>90</v>
      </c>
      <c r="V1759">
        <v>0</v>
      </c>
      <c r="W1759" t="s">
        <v>90</v>
      </c>
      <c r="X1759">
        <v>0</v>
      </c>
      <c r="Y1759">
        <v>0.10992320352486876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K1759" t="s">
        <v>6355</v>
      </c>
      <c r="AM1759">
        <v>400000</v>
      </c>
      <c r="AN1759" t="s">
        <v>76</v>
      </c>
      <c r="AO1759">
        <v>2</v>
      </c>
      <c r="AP1759">
        <v>0</v>
      </c>
      <c r="AQ1759">
        <v>33333.333333333336</v>
      </c>
      <c r="AR1759" t="s">
        <v>9</v>
      </c>
      <c r="AS1759" t="s">
        <v>78</v>
      </c>
      <c r="AW1759">
        <v>0</v>
      </c>
      <c r="AX1759" t="s">
        <v>79</v>
      </c>
      <c r="AY1759" t="s">
        <v>137</v>
      </c>
      <c r="AZ1759">
        <v>0</v>
      </c>
      <c r="BA1759" t="s">
        <v>137</v>
      </c>
      <c r="BB1759">
        <v>0</v>
      </c>
      <c r="BE1759">
        <v>0</v>
      </c>
    </row>
    <row r="1760" spans="1:58" ht="12.75">
      <c r="A1760" s="2" t="str">
        <f>HYPERLINK("https://ibp.a2mac1.com/costing(costing:projects/details/8191/part/5389731)","Part 01 single/main")</f>
        <v>Part 01 single/main</v>
      </c>
      <c r="B1760">
        <v>5389731</v>
      </c>
      <c r="C1760">
        <v>5389620</v>
      </c>
      <c r="E1760">
        <v>2.5589018000000001</v>
      </c>
      <c r="F1760">
        <v>0</v>
      </c>
      <c r="G1760">
        <v>0</v>
      </c>
      <c r="H1760">
        <v>0.00039367720000000001</v>
      </c>
      <c r="I1760" t="s">
        <v>137</v>
      </c>
      <c r="J1760">
        <v>0.098419300000000001</v>
      </c>
      <c r="K1760">
        <v>2.6577147771999998</v>
      </c>
      <c r="L1760">
        <v>0.051910920237535282</v>
      </c>
      <c r="M1760">
        <v>0.31146552142521172</v>
      </c>
      <c r="N1760">
        <v>2.9691802986252118</v>
      </c>
      <c r="O1760" t="s">
        <v>138</v>
      </c>
      <c r="P1760">
        <v>0.15946288663200001</v>
      </c>
      <c r="Q1760" t="s">
        <v>138</v>
      </c>
      <c r="R1760">
        <v>0.018687931285512702</v>
      </c>
      <c r="S1760" t="s">
        <v>139</v>
      </c>
      <c r="T1760">
        <v>0.35630163583502539</v>
      </c>
      <c r="U1760" t="s">
        <v>90</v>
      </c>
      <c r="V1760">
        <v>0</v>
      </c>
      <c r="W1760" t="s">
        <v>90</v>
      </c>
      <c r="X1760">
        <v>0</v>
      </c>
      <c r="Y1760">
        <v>3.50363275237775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K1760" t="s">
        <v>6355</v>
      </c>
      <c r="AM1760">
        <v>200000</v>
      </c>
      <c r="AN1760" t="s">
        <v>76</v>
      </c>
      <c r="AO1760">
        <v>1</v>
      </c>
      <c r="AP1760">
        <v>0</v>
      </c>
      <c r="AQ1760">
        <v>16666.666666666668</v>
      </c>
      <c r="AR1760" t="s">
        <v>9</v>
      </c>
      <c r="AS1760" t="s">
        <v>78</v>
      </c>
      <c r="AW1760">
        <v>0</v>
      </c>
      <c r="AX1760" t="s">
        <v>79</v>
      </c>
      <c r="AY1760" t="s">
        <v>137</v>
      </c>
      <c r="AZ1760">
        <v>0</v>
      </c>
      <c r="BA1760" t="s">
        <v>137</v>
      </c>
      <c r="BB1760">
        <v>0</v>
      </c>
      <c r="BE1760">
        <v>0</v>
      </c>
    </row>
    <row r="1761" spans="1:58" ht="12.75">
      <c r="A1761" s="2" t="str">
        <f>HYPERLINK("https://ibp.a2mac1.com/costing(costing:projects/details/8191/part/5389732)","Part 01 single/main")</f>
        <v>Part 01 single/main</v>
      </c>
      <c r="B1761">
        <v>5389732</v>
      </c>
      <c r="C1761">
        <v>5389621</v>
      </c>
      <c r="E1761">
        <v>0.38718801538461539</v>
      </c>
      <c r="F1761">
        <v>0</v>
      </c>
      <c r="G1761">
        <v>0</v>
      </c>
      <c r="H1761">
        <v>4.7587353846153845E-05</v>
      </c>
      <c r="I1761" t="s">
        <v>137</v>
      </c>
      <c r="J1761">
        <v>0.015141430769230768</v>
      </c>
      <c r="K1761">
        <v>0.40237703350769233</v>
      </c>
      <c r="L1761">
        <v>0.016357428824467144</v>
      </c>
      <c r="M1761">
        <v>0.098144572946802858</v>
      </c>
      <c r="N1761">
        <v>0.50052160645449517</v>
      </c>
      <c r="O1761" t="s">
        <v>138</v>
      </c>
      <c r="P1761">
        <v>0.024142622010461537</v>
      </c>
      <c r="Q1761" t="s">
        <v>138</v>
      </c>
      <c r="R1761">
        <v>0.0058886743768081715</v>
      </c>
      <c r="S1761" t="s">
        <v>139</v>
      </c>
      <c r="T1761">
        <v>0.060062592774539424</v>
      </c>
      <c r="U1761" t="s">
        <v>90</v>
      </c>
      <c r="V1761">
        <v>0</v>
      </c>
      <c r="W1761" t="s">
        <v>90</v>
      </c>
      <c r="X1761">
        <v>0</v>
      </c>
      <c r="Y1761">
        <v>0.59061549561630433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K1761" t="s">
        <v>6355</v>
      </c>
      <c r="AM1761">
        <v>400000</v>
      </c>
      <c r="AN1761" t="s">
        <v>76</v>
      </c>
      <c r="AO1761">
        <v>2</v>
      </c>
      <c r="AP1761">
        <v>0</v>
      </c>
      <c r="AQ1761">
        <v>33333.333333333336</v>
      </c>
      <c r="AR1761" t="s">
        <v>9</v>
      </c>
      <c r="AS1761" t="s">
        <v>78</v>
      </c>
      <c r="AW1761">
        <v>0</v>
      </c>
      <c r="AX1761" t="s">
        <v>79</v>
      </c>
      <c r="AY1761" t="s">
        <v>137</v>
      </c>
      <c r="AZ1761">
        <v>0</v>
      </c>
      <c r="BA1761" t="s">
        <v>137</v>
      </c>
      <c r="BB1761">
        <v>0</v>
      </c>
      <c r="BE1761">
        <v>0</v>
      </c>
    </row>
    <row r="1762" spans="1:58" ht="12.75">
      <c r="A1762" s="2" t="str">
        <f>HYPERLINK("https://ibp.a2mac1.com/costing(costing:projects/details/8191/part/5389746)","Part 02")</f>
        <v>Part 02</v>
      </c>
      <c r="B1762">
        <v>5389746</v>
      </c>
      <c r="C1762">
        <v>5389621</v>
      </c>
      <c r="E1762">
        <v>0.38718801538461539</v>
      </c>
      <c r="F1762">
        <v>0</v>
      </c>
      <c r="G1762">
        <v>0</v>
      </c>
      <c r="H1762">
        <v>4.7587353846153845E-05</v>
      </c>
      <c r="I1762" t="s">
        <v>137</v>
      </c>
      <c r="J1762">
        <v>0.015141430769230768</v>
      </c>
      <c r="K1762">
        <v>0.40237703350769233</v>
      </c>
      <c r="L1762">
        <v>0.016357428824467144</v>
      </c>
      <c r="M1762">
        <v>0.098144572946802858</v>
      </c>
      <c r="N1762">
        <v>0.50052160645449517</v>
      </c>
      <c r="O1762" t="s">
        <v>138</v>
      </c>
      <c r="P1762">
        <v>0.024142622010461537</v>
      </c>
      <c r="Q1762" t="s">
        <v>138</v>
      </c>
      <c r="R1762">
        <v>0.0058886743768081715</v>
      </c>
      <c r="S1762" t="s">
        <v>139</v>
      </c>
      <c r="T1762">
        <v>0.060062592774539424</v>
      </c>
      <c r="U1762" t="s">
        <v>90</v>
      </c>
      <c r="V1762">
        <v>0</v>
      </c>
      <c r="W1762" t="s">
        <v>90</v>
      </c>
      <c r="X1762">
        <v>0</v>
      </c>
      <c r="Y1762">
        <v>0.59061549561630433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K1762" t="s">
        <v>6355</v>
      </c>
      <c r="AM1762">
        <v>400000</v>
      </c>
      <c r="AN1762" t="s">
        <v>76</v>
      </c>
      <c r="AO1762">
        <v>2</v>
      </c>
      <c r="AP1762">
        <v>0</v>
      </c>
      <c r="AQ1762">
        <v>33333.333333333336</v>
      </c>
      <c r="AR1762" t="s">
        <v>9</v>
      </c>
      <c r="AS1762" t="s">
        <v>78</v>
      </c>
      <c r="AW1762">
        <v>0</v>
      </c>
      <c r="AX1762" t="s">
        <v>79</v>
      </c>
      <c r="AY1762" t="s">
        <v>137</v>
      </c>
      <c r="AZ1762">
        <v>0</v>
      </c>
      <c r="BA1762" t="s">
        <v>137</v>
      </c>
      <c r="BB1762">
        <v>0</v>
      </c>
      <c r="BE1762">
        <v>0</v>
      </c>
    </row>
    <row r="1763" spans="1:58" ht="12.75">
      <c r="A1763" s="2" t="str">
        <f>HYPERLINK("https://ibp.a2mac1.com/costing(costing:projects/details/8191/part/5389747)","Part 01 single/main")</f>
        <v>Part 01 single/main</v>
      </c>
      <c r="B1763">
        <v>5389747</v>
      </c>
      <c r="C1763">
        <v>5389622</v>
      </c>
      <c r="E1763">
        <v>4.1466516666666671</v>
      </c>
      <c r="F1763">
        <v>0</v>
      </c>
      <c r="G1763">
        <v>0</v>
      </c>
      <c r="H1763">
        <v>0.00062760133333333336</v>
      </c>
      <c r="I1763" t="s">
        <v>137</v>
      </c>
      <c r="J1763">
        <v>0.15690033333333334</v>
      </c>
      <c r="K1763">
        <v>4.3041796013333338</v>
      </c>
      <c r="L1763">
        <v>0.096559042747849308</v>
      </c>
      <c r="M1763">
        <v>0.57935425648709582</v>
      </c>
      <c r="N1763">
        <v>4.8835338578204288</v>
      </c>
      <c r="O1763" t="s">
        <v>138</v>
      </c>
      <c r="P1763">
        <v>0.25825077608000002</v>
      </c>
      <c r="Q1763" t="s">
        <v>138</v>
      </c>
      <c r="R1763">
        <v>0.034761255389225747</v>
      </c>
      <c r="S1763" t="s">
        <v>139</v>
      </c>
      <c r="T1763">
        <v>0.58602406293845155</v>
      </c>
      <c r="U1763" t="s">
        <v>90</v>
      </c>
      <c r="V1763">
        <v>0</v>
      </c>
      <c r="W1763" t="s">
        <v>90</v>
      </c>
      <c r="X1763">
        <v>0</v>
      </c>
      <c r="Y1763">
        <v>5.7625699522281062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K1763" t="s">
        <v>6355</v>
      </c>
      <c r="AM1763">
        <v>200000</v>
      </c>
      <c r="AN1763" t="s">
        <v>76</v>
      </c>
      <c r="AO1763">
        <v>1</v>
      </c>
      <c r="AP1763">
        <v>0</v>
      </c>
      <c r="AQ1763">
        <v>16666.666666666668</v>
      </c>
      <c r="AR1763" t="s">
        <v>9</v>
      </c>
      <c r="AS1763" t="s">
        <v>78</v>
      </c>
      <c r="AW1763">
        <v>0</v>
      </c>
      <c r="AX1763" t="s">
        <v>79</v>
      </c>
      <c r="AY1763" t="s">
        <v>137</v>
      </c>
      <c r="AZ1763">
        <v>0</v>
      </c>
      <c r="BA1763" t="s">
        <v>137</v>
      </c>
      <c r="BB1763">
        <v>0</v>
      </c>
      <c r="BE1763">
        <v>0</v>
      </c>
    </row>
    <row r="1764" spans="1:58" ht="12.75">
      <c r="A1764" s="2" t="str">
        <f>HYPERLINK("https://ibp.a2mac1.com/costing(costing:projects/details/8191/part/5389748)","Part 02")</f>
        <v>Part 02</v>
      </c>
      <c r="B1764">
        <v>5389748</v>
      </c>
      <c r="C1764">
        <v>5389622</v>
      </c>
      <c r="E1764">
        <v>1.4982492769230769</v>
      </c>
      <c r="F1764">
        <v>0</v>
      </c>
      <c r="G1764">
        <v>0</v>
      </c>
      <c r="H1764">
        <v>0.00018414236923076924</v>
      </c>
      <c r="I1764" t="s">
        <v>137</v>
      </c>
      <c r="J1764">
        <v>0.058590753846153844</v>
      </c>
      <c r="K1764">
        <v>1.5570241731384615</v>
      </c>
      <c r="L1764">
        <v>0.06879874280571327</v>
      </c>
      <c r="M1764">
        <v>0.41279245683427962</v>
      </c>
      <c r="N1764">
        <v>1.9698166299727411</v>
      </c>
      <c r="O1764" t="s">
        <v>138</v>
      </c>
      <c r="P1764">
        <v>0.093421450388307695</v>
      </c>
      <c r="Q1764" t="s">
        <v>138</v>
      </c>
      <c r="R1764">
        <v>0.024767547410056778</v>
      </c>
      <c r="S1764" t="s">
        <v>139</v>
      </c>
      <c r="T1764">
        <v>0.23637799559672895</v>
      </c>
      <c r="U1764" t="s">
        <v>90</v>
      </c>
      <c r="V1764">
        <v>0</v>
      </c>
      <c r="W1764" t="s">
        <v>90</v>
      </c>
      <c r="X1764">
        <v>0</v>
      </c>
      <c r="Y1764">
        <v>2.3243836233678348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K1764" t="s">
        <v>6355</v>
      </c>
      <c r="AM1764">
        <v>400000</v>
      </c>
      <c r="AN1764" t="s">
        <v>76</v>
      </c>
      <c r="AO1764">
        <v>2</v>
      </c>
      <c r="AP1764">
        <v>0</v>
      </c>
      <c r="AQ1764">
        <v>33333.333333333336</v>
      </c>
      <c r="AR1764" t="s">
        <v>9</v>
      </c>
      <c r="AS1764" t="s">
        <v>78</v>
      </c>
      <c r="AW1764">
        <v>0</v>
      </c>
      <c r="AX1764" t="s">
        <v>79</v>
      </c>
      <c r="AY1764" t="s">
        <v>137</v>
      </c>
      <c r="AZ1764">
        <v>0</v>
      </c>
      <c r="BA1764" t="s">
        <v>137</v>
      </c>
      <c r="BB1764">
        <v>0</v>
      </c>
      <c r="BE1764">
        <v>0</v>
      </c>
    </row>
    <row r="1765" spans="1:58" ht="12.75">
      <c r="A1765" s="2" t="str">
        <f>HYPERLINK("https://ibp.a2mac1.com/costing(costing:projects/details/8191/part/5389749)","Part 03")</f>
        <v>Part 03</v>
      </c>
      <c r="B1765">
        <v>5389749</v>
      </c>
      <c r="C1765">
        <v>5389622</v>
      </c>
      <c r="E1765">
        <v>2.9162066499999999</v>
      </c>
      <c r="F1765">
        <v>0</v>
      </c>
      <c r="G1765">
        <v>0</v>
      </c>
      <c r="H1765">
        <v>0.00043432865</v>
      </c>
      <c r="I1765" t="s">
        <v>137</v>
      </c>
      <c r="J1765">
        <v>0.1085821625</v>
      </c>
      <c r="K1765">
        <v>3.0252231411500001</v>
      </c>
      <c r="L1765">
        <v>0.035283917078179447</v>
      </c>
      <c r="M1765">
        <v>0.21170350246907668</v>
      </c>
      <c r="N1765">
        <v>3.2369266436190767</v>
      </c>
      <c r="O1765" t="s">
        <v>138</v>
      </c>
      <c r="P1765">
        <v>0.181513388469</v>
      </c>
      <c r="Q1765" t="s">
        <v>138</v>
      </c>
      <c r="R1765">
        <v>0.012702210148144601</v>
      </c>
      <c r="S1765" t="s">
        <v>139</v>
      </c>
      <c r="T1765">
        <v>0.3884311972342892</v>
      </c>
      <c r="U1765" t="s">
        <v>90</v>
      </c>
      <c r="V1765">
        <v>0</v>
      </c>
      <c r="W1765" t="s">
        <v>90</v>
      </c>
      <c r="X1765">
        <v>0</v>
      </c>
      <c r="Y1765">
        <v>3.8195734394705103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K1765" t="s">
        <v>6355</v>
      </c>
      <c r="AM1765">
        <v>200000</v>
      </c>
      <c r="AN1765" t="s">
        <v>76</v>
      </c>
      <c r="AO1765">
        <v>1</v>
      </c>
      <c r="AP1765">
        <v>0</v>
      </c>
      <c r="AQ1765">
        <v>16666.666666666668</v>
      </c>
      <c r="AR1765" t="s">
        <v>9</v>
      </c>
      <c r="AS1765" t="s">
        <v>78</v>
      </c>
      <c r="AW1765">
        <v>0</v>
      </c>
      <c r="AX1765" t="s">
        <v>79</v>
      </c>
      <c r="AY1765" t="s">
        <v>137</v>
      </c>
      <c r="AZ1765">
        <v>0</v>
      </c>
      <c r="BA1765" t="s">
        <v>137</v>
      </c>
      <c r="BB1765">
        <v>0</v>
      </c>
      <c r="BE1765">
        <v>0</v>
      </c>
    </row>
    <row r="1766" spans="1:58" ht="12.75">
      <c r="A1766" s="2" t="str">
        <f>HYPERLINK("https://ibp.a2mac1.com/costing(costing:projects/details/8191/part/5389750)"," Part 01 single/main")</f>
        <v xml:space="preserve"> Part 01 single/main</v>
      </c>
      <c r="B1766">
        <v>5389750</v>
      </c>
      <c r="C1766">
        <v>5389623</v>
      </c>
      <c r="E1766">
        <v>0.28618244615384614</v>
      </c>
      <c r="F1766">
        <v>0</v>
      </c>
      <c r="G1766">
        <v>0</v>
      </c>
      <c r="H1766">
        <v>3.5173261538461539E-05</v>
      </c>
      <c r="I1766" t="s">
        <v>137</v>
      </c>
      <c r="J1766">
        <v>0.011191492307692308</v>
      </c>
      <c r="K1766">
        <v>0.29740911172307694</v>
      </c>
      <c r="L1766">
        <v>0.012017019305024818</v>
      </c>
      <c r="M1766">
        <v>0.072102115830148902</v>
      </c>
      <c r="N1766">
        <v>0.36951122755322585</v>
      </c>
      <c r="O1766" t="s">
        <v>138</v>
      </c>
      <c r="P1766">
        <v>0.017844546703384614</v>
      </c>
      <c r="Q1766" t="s">
        <v>138</v>
      </c>
      <c r="R1766">
        <v>0.0043261269498089342</v>
      </c>
      <c r="S1766" t="s">
        <v>139</v>
      </c>
      <c r="T1766">
        <v>0.044341347306387099</v>
      </c>
      <c r="U1766" t="s">
        <v>90</v>
      </c>
      <c r="V1766">
        <v>0</v>
      </c>
      <c r="W1766" t="s">
        <v>90</v>
      </c>
      <c r="X1766">
        <v>0</v>
      </c>
      <c r="Y1766">
        <v>0.43602324851280649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K1766" t="s">
        <v>6355</v>
      </c>
      <c r="AM1766">
        <v>400000</v>
      </c>
      <c r="AN1766" t="s">
        <v>76</v>
      </c>
      <c r="AO1766">
        <v>2</v>
      </c>
      <c r="AP1766">
        <v>0</v>
      </c>
      <c r="AQ1766">
        <v>33333.333333333336</v>
      </c>
      <c r="AR1766" t="s">
        <v>9</v>
      </c>
      <c r="AS1766" t="s">
        <v>78</v>
      </c>
      <c r="AW1766">
        <v>0</v>
      </c>
      <c r="AX1766" t="s">
        <v>79</v>
      </c>
      <c r="AY1766" t="s">
        <v>137</v>
      </c>
      <c r="AZ1766">
        <v>0</v>
      </c>
      <c r="BA1766" t="s">
        <v>137</v>
      </c>
      <c r="BB1766">
        <v>0</v>
      </c>
      <c r="BE1766">
        <v>0</v>
      </c>
    </row>
    <row r="1767" spans="1:58" ht="12.75">
      <c r="A1767" s="2" t="str">
        <f>HYPERLINK("https://ibp.a2mac1.com/costing(costing:projects/details/8191/part/5389624)","Part 01 single/main")</f>
        <v>Part 01 single/main</v>
      </c>
      <c r="B1767">
        <v>5389624</v>
      </c>
      <c r="C1767">
        <v>5389317</v>
      </c>
      <c r="E1767">
        <v>18.100009643076923</v>
      </c>
      <c r="F1767">
        <v>0</v>
      </c>
      <c r="G1767">
        <v>0</v>
      </c>
      <c r="H1767">
        <v>0.0022245821907692308</v>
      </c>
      <c r="I1767" t="s">
        <v>137</v>
      </c>
      <c r="J1767">
        <v>0.70782160615384615</v>
      </c>
      <c r="K1767">
        <v>18.81005583142154</v>
      </c>
      <c r="L1767">
        <v>0.10678156361357313</v>
      </c>
      <c r="M1767">
        <v>0.64068938168143874</v>
      </c>
      <c r="N1767">
        <v>19.450745213102977</v>
      </c>
      <c r="O1767" t="s">
        <v>138</v>
      </c>
      <c r="P1767">
        <v>1.1286033498852923</v>
      </c>
      <c r="Q1767" t="s">
        <v>138</v>
      </c>
      <c r="R1767">
        <v>0.038441362900886324</v>
      </c>
      <c r="S1767" t="s">
        <v>139</v>
      </c>
      <c r="T1767">
        <v>2.3340894255723574</v>
      </c>
      <c r="U1767" t="s">
        <v>90</v>
      </c>
      <c r="V1767">
        <v>0</v>
      </c>
      <c r="W1767" t="s">
        <v>90</v>
      </c>
      <c r="X1767">
        <v>0</v>
      </c>
      <c r="Y1767">
        <v>22.951879351461514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K1767" t="s">
        <v>6355</v>
      </c>
      <c r="AM1767">
        <v>400000</v>
      </c>
      <c r="AN1767" t="s">
        <v>76</v>
      </c>
      <c r="AO1767">
        <v>2</v>
      </c>
      <c r="AP1767">
        <v>0</v>
      </c>
      <c r="AQ1767">
        <v>33333.333333333336</v>
      </c>
      <c r="AR1767" t="s">
        <v>9</v>
      </c>
      <c r="AS1767" t="s">
        <v>78</v>
      </c>
      <c r="AW1767">
        <v>0</v>
      </c>
      <c r="AX1767" t="s">
        <v>79</v>
      </c>
      <c r="AY1767" t="s">
        <v>137</v>
      </c>
      <c r="AZ1767">
        <v>0</v>
      </c>
      <c r="BA1767" t="s">
        <v>137</v>
      </c>
      <c r="BB1767">
        <v>0</v>
      </c>
      <c r="BE1767">
        <v>0</v>
      </c>
    </row>
    <row r="1768" spans="1:58" ht="12.75">
      <c r="A1768" s="2" t="str">
        <f>HYPERLINK("https://ibp.a2mac1.com/costing(costing:projects/details/8191/part/5389625)","Part 03")</f>
        <v>Part 03</v>
      </c>
      <c r="B1768">
        <v>5389625</v>
      </c>
      <c r="C1768">
        <v>5389317</v>
      </c>
      <c r="E1768">
        <v>6.2455110307692312</v>
      </c>
      <c r="F1768">
        <v>0</v>
      </c>
      <c r="G1768">
        <v>0</v>
      </c>
      <c r="H1768">
        <v>0.00076760470769230771</v>
      </c>
      <c r="I1768" t="s">
        <v>137</v>
      </c>
      <c r="J1768">
        <v>0.24423786153846153</v>
      </c>
      <c r="K1768">
        <v>6.4905164970153848</v>
      </c>
      <c r="L1768">
        <v>0.020626099745884138</v>
      </c>
      <c r="M1768">
        <v>0.12375659847530482</v>
      </c>
      <c r="N1768">
        <v>6.6142730954906899</v>
      </c>
      <c r="O1768" t="s">
        <v>138</v>
      </c>
      <c r="P1768">
        <v>0.38943098982092306</v>
      </c>
      <c r="Q1768" t="s">
        <v>138</v>
      </c>
      <c r="R1768">
        <v>0.0074253959085182897</v>
      </c>
      <c r="S1768" t="s">
        <v>139</v>
      </c>
      <c r="T1768">
        <v>0.79371277145888275</v>
      </c>
      <c r="U1768" t="s">
        <v>90</v>
      </c>
      <c r="V1768">
        <v>0</v>
      </c>
      <c r="W1768" t="s">
        <v>90</v>
      </c>
      <c r="X1768">
        <v>0</v>
      </c>
      <c r="Y1768">
        <v>7.8048422526790135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K1768" t="s">
        <v>6355</v>
      </c>
      <c r="AM1768">
        <v>400000</v>
      </c>
      <c r="AN1768" t="s">
        <v>76</v>
      </c>
      <c r="AO1768">
        <v>2</v>
      </c>
      <c r="AP1768">
        <v>0</v>
      </c>
      <c r="AQ1768">
        <v>33333.333333333336</v>
      </c>
      <c r="AR1768" t="s">
        <v>9</v>
      </c>
      <c r="AS1768" t="s">
        <v>78</v>
      </c>
      <c r="AW1768">
        <v>0</v>
      </c>
      <c r="AX1768" t="s">
        <v>79</v>
      </c>
      <c r="AY1768" t="s">
        <v>137</v>
      </c>
      <c r="AZ1768">
        <v>0</v>
      </c>
      <c r="BA1768" t="s">
        <v>137</v>
      </c>
      <c r="BB1768">
        <v>0</v>
      </c>
      <c r="BE1768">
        <v>0</v>
      </c>
    </row>
    <row r="1769" spans="1:58" ht="12.75">
      <c r="A1769" s="2" t="str">
        <f>HYPERLINK("https://ibp.a2mac1.com/costing(costing:projects/details/8191/part/5389626)","Part 04")</f>
        <v>Part 04</v>
      </c>
      <c r="B1769">
        <v>5389626</v>
      </c>
      <c r="C1769">
        <v>5389317</v>
      </c>
      <c r="E1769">
        <v>1.1602474</v>
      </c>
      <c r="F1769">
        <v>0</v>
      </c>
      <c r="G1769">
        <v>0</v>
      </c>
      <c r="H1769">
        <v>0.00014024968571428571</v>
      </c>
      <c r="I1769" t="s">
        <v>137</v>
      </c>
      <c r="J1769">
        <v>0.044624900000000002</v>
      </c>
      <c r="K1769">
        <v>1.2050125496857143</v>
      </c>
      <c r="L1769">
        <v>0.016357428824467144</v>
      </c>
      <c r="M1769">
        <v>0.098144572946802858</v>
      </c>
      <c r="N1769">
        <v>1.3031571226325172</v>
      </c>
      <c r="O1769" t="s">
        <v>138</v>
      </c>
      <c r="P1769">
        <v>0.072300752981142857</v>
      </c>
      <c r="Q1769" t="s">
        <v>138</v>
      </c>
      <c r="R1769">
        <v>0.0058886743768081715</v>
      </c>
      <c r="S1769" t="s">
        <v>139</v>
      </c>
      <c r="T1769">
        <v>0.15637885471590207</v>
      </c>
      <c r="U1769" t="s">
        <v>90</v>
      </c>
      <c r="V1769">
        <v>0</v>
      </c>
      <c r="W1769" t="s">
        <v>90</v>
      </c>
      <c r="X1769">
        <v>0</v>
      </c>
      <c r="Y1769">
        <v>1.5377254047063702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K1769" t="s">
        <v>6355</v>
      </c>
      <c r="AM1769">
        <v>400000</v>
      </c>
      <c r="AN1769" t="s">
        <v>76</v>
      </c>
      <c r="AO1769">
        <v>2</v>
      </c>
      <c r="AP1769">
        <v>0</v>
      </c>
      <c r="AQ1769">
        <v>33333.333333333336</v>
      </c>
      <c r="AR1769" t="s">
        <v>9</v>
      </c>
      <c r="AS1769" t="s">
        <v>78</v>
      </c>
      <c r="AW1769">
        <v>0</v>
      </c>
      <c r="AX1769" t="s">
        <v>79</v>
      </c>
      <c r="AY1769" t="s">
        <v>137</v>
      </c>
      <c r="AZ1769">
        <v>0</v>
      </c>
      <c r="BA1769" t="s">
        <v>137</v>
      </c>
      <c r="BB1769">
        <v>0</v>
      </c>
      <c r="BE1769">
        <v>0</v>
      </c>
    </row>
    <row r="1770" spans="1:58" ht="12.75">
      <c r="A1770" s="2" t="str">
        <f>HYPERLINK("https://ibp.a2mac1.com/costing(costing:projects/details/8191/part/5389627)"," Part 05")</f>
        <v xml:space="preserve"> Part 05</v>
      </c>
      <c r="B1770">
        <v>5389627</v>
      </c>
      <c r="C1770">
        <v>5389317</v>
      </c>
      <c r="E1770">
        <v>2.6353822222222223</v>
      </c>
      <c r="F1770">
        <v>0</v>
      </c>
      <c r="G1770">
        <v>0</v>
      </c>
      <c r="H1770">
        <v>0.00029885777777777776</v>
      </c>
      <c r="I1770" t="s">
        <v>137</v>
      </c>
      <c r="J1770">
        <v>0.095091111111111112</v>
      </c>
      <c r="K1770">
        <v>2.7307721911111109</v>
      </c>
      <c r="L1770">
        <v>0.016357428824467144</v>
      </c>
      <c r="M1770">
        <v>0.098144572946802858</v>
      </c>
      <c r="N1770">
        <v>2.8289167640579138</v>
      </c>
      <c r="O1770" t="s">
        <v>138</v>
      </c>
      <c r="P1770">
        <v>0.16384633146666666</v>
      </c>
      <c r="Q1770" t="s">
        <v>138</v>
      </c>
      <c r="R1770">
        <v>0.0058886743768081715</v>
      </c>
      <c r="S1770" t="s">
        <v>139</v>
      </c>
      <c r="T1770">
        <v>0.33947001168694968</v>
      </c>
      <c r="U1770" t="s">
        <v>90</v>
      </c>
      <c r="V1770">
        <v>0</v>
      </c>
      <c r="W1770" t="s">
        <v>90</v>
      </c>
      <c r="X1770">
        <v>0</v>
      </c>
      <c r="Y1770">
        <v>3.3381217815883386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K1770" t="s">
        <v>6355</v>
      </c>
      <c r="AM1770">
        <v>400000</v>
      </c>
      <c r="AN1770" t="s">
        <v>76</v>
      </c>
      <c r="AO1770">
        <v>2</v>
      </c>
      <c r="AP1770">
        <v>0</v>
      </c>
      <c r="AQ1770">
        <v>33333.333333333336</v>
      </c>
      <c r="AR1770" t="s">
        <v>9</v>
      </c>
      <c r="AS1770" t="s">
        <v>78</v>
      </c>
      <c r="AW1770">
        <v>0</v>
      </c>
      <c r="AX1770" t="s">
        <v>79</v>
      </c>
      <c r="AY1770" t="s">
        <v>137</v>
      </c>
      <c r="AZ1770">
        <v>0</v>
      </c>
      <c r="BA1770" t="s">
        <v>137</v>
      </c>
      <c r="BB1770">
        <v>0</v>
      </c>
      <c r="BE1770">
        <v>0</v>
      </c>
    </row>
    <row r="1771" spans="1:58" ht="12.75">
      <c r="A1771" s="2" t="str">
        <f>HYPERLINK("https://ibp.a2mac1.com/costing(costing:projects/details/8191/part/5389628)","Part 01 single/main")</f>
        <v>Part 01 single/main</v>
      </c>
      <c r="B1771">
        <v>5389628</v>
      </c>
      <c r="C1771">
        <v>5389318</v>
      </c>
      <c r="E1771">
        <v>1.2120668307692308</v>
      </c>
      <c r="F1771">
        <v>0</v>
      </c>
      <c r="G1771">
        <v>0</v>
      </c>
      <c r="H1771">
        <v>0.0001489691076923077</v>
      </c>
      <c r="I1771" t="s">
        <v>137</v>
      </c>
      <c r="J1771">
        <v>0.047399261538461537</v>
      </c>
      <c r="K1771">
        <v>1.2596150614153847</v>
      </c>
      <c r="L1771">
        <v>0.016357428824467144</v>
      </c>
      <c r="M1771">
        <v>0.098144572946802858</v>
      </c>
      <c r="N1771">
        <v>1.3577596343621874</v>
      </c>
      <c r="O1771" t="s">
        <v>138</v>
      </c>
      <c r="P1771">
        <v>0.075576903684923077</v>
      </c>
      <c r="Q1771" t="s">
        <v>138</v>
      </c>
      <c r="R1771">
        <v>0.0058886743768081715</v>
      </c>
      <c r="S1771" t="s">
        <v>139</v>
      </c>
      <c r="T1771">
        <v>0.16293115612346248</v>
      </c>
      <c r="U1771" t="s">
        <v>90</v>
      </c>
      <c r="V1771">
        <v>0</v>
      </c>
      <c r="W1771" t="s">
        <v>90</v>
      </c>
      <c r="X1771">
        <v>0</v>
      </c>
      <c r="Y1771">
        <v>1.6021563685473812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K1771" t="s">
        <v>6355</v>
      </c>
      <c r="AM1771">
        <v>400000</v>
      </c>
      <c r="AN1771" t="s">
        <v>76</v>
      </c>
      <c r="AO1771">
        <v>2</v>
      </c>
      <c r="AP1771">
        <v>0</v>
      </c>
      <c r="AQ1771">
        <v>33333.333333333336</v>
      </c>
      <c r="AR1771" t="s">
        <v>9</v>
      </c>
      <c r="AS1771" t="s">
        <v>78</v>
      </c>
      <c r="AW1771">
        <v>0</v>
      </c>
      <c r="AX1771" t="s">
        <v>79</v>
      </c>
      <c r="AY1771" t="s">
        <v>137</v>
      </c>
      <c r="AZ1771">
        <v>0</v>
      </c>
      <c r="BA1771" t="s">
        <v>137</v>
      </c>
      <c r="BB1771">
        <v>0</v>
      </c>
      <c r="BE1771">
        <v>0</v>
      </c>
    </row>
    <row r="1772" spans="1:58" ht="12.75">
      <c r="A1772" s="2" t="str">
        <f>HYPERLINK("https://ibp.a2mac1.com/costing(costing:projects/details/8191/part/5389629)"," Part 02")</f>
        <v xml:space="preserve"> Part 02</v>
      </c>
      <c r="B1772">
        <v>5389629</v>
      </c>
      <c r="C1772">
        <v>5389318</v>
      </c>
      <c r="E1772">
        <v>1.6497576307692308</v>
      </c>
      <c r="F1772">
        <v>0</v>
      </c>
      <c r="G1772">
        <v>0</v>
      </c>
      <c r="H1772">
        <v>0.00020276350769230769</v>
      </c>
      <c r="I1772" t="s">
        <v>137</v>
      </c>
      <c r="J1772">
        <v>0.064515661538461541</v>
      </c>
      <c r="K1772">
        <v>1.7144760558153846</v>
      </c>
      <c r="L1772">
        <v>0.016357428824467144</v>
      </c>
      <c r="M1772">
        <v>0.098144572946802858</v>
      </c>
      <c r="N1772">
        <v>1.8126206287621875</v>
      </c>
      <c r="O1772" t="s">
        <v>138</v>
      </c>
      <c r="P1772">
        <v>0.10286856334892308</v>
      </c>
      <c r="Q1772" t="s">
        <v>138</v>
      </c>
      <c r="R1772">
        <v>0.0058886743768081715</v>
      </c>
      <c r="S1772" t="s">
        <v>139</v>
      </c>
      <c r="T1772">
        <v>0.21751447545146249</v>
      </c>
      <c r="U1772" t="s">
        <v>90</v>
      </c>
      <c r="V1772">
        <v>0</v>
      </c>
      <c r="W1772" t="s">
        <v>90</v>
      </c>
      <c r="X1772">
        <v>0</v>
      </c>
      <c r="Y1772">
        <v>2.138892341939381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K1772" t="s">
        <v>6355</v>
      </c>
      <c r="AM1772">
        <v>400000</v>
      </c>
      <c r="AN1772" t="s">
        <v>76</v>
      </c>
      <c r="AO1772">
        <v>2</v>
      </c>
      <c r="AP1772">
        <v>0</v>
      </c>
      <c r="AQ1772">
        <v>33333.333333333336</v>
      </c>
      <c r="AR1772" t="s">
        <v>9</v>
      </c>
      <c r="AS1772" t="s">
        <v>78</v>
      </c>
      <c r="AW1772">
        <v>0</v>
      </c>
      <c r="AX1772" t="s">
        <v>79</v>
      </c>
      <c r="AY1772" t="s">
        <v>137</v>
      </c>
      <c r="AZ1772">
        <v>0</v>
      </c>
      <c r="BA1772" t="s">
        <v>137</v>
      </c>
      <c r="BB1772">
        <v>0</v>
      </c>
      <c r="BE1772">
        <v>0</v>
      </c>
    </row>
    <row r="1773" spans="1:58" ht="12.75">
      <c r="A1773" s="2" t="str">
        <f>HYPERLINK("https://ibp.a2mac1.com/costing(costing:projects/details/8191/part/5389630)","Part 03")</f>
        <v>Part 03</v>
      </c>
      <c r="B1773">
        <v>5389630</v>
      </c>
      <c r="C1773">
        <v>5389318</v>
      </c>
      <c r="E1773">
        <v>0.1075888</v>
      </c>
      <c r="F1773">
        <v>0</v>
      </c>
      <c r="G1773">
        <v>0</v>
      </c>
      <c r="H1773">
        <v>1.34486E-05</v>
      </c>
      <c r="I1773" t="s">
        <v>137</v>
      </c>
      <c r="J1773">
        <v>0.0042791000000000001</v>
      </c>
      <c r="K1773">
        <v>0.1118813486</v>
      </c>
      <c r="L1773">
        <v>0.016357428824467144</v>
      </c>
      <c r="M1773">
        <v>0.098144572946802858</v>
      </c>
      <c r="N1773">
        <v>0.21002592154680286</v>
      </c>
      <c r="O1773" t="s">
        <v>138</v>
      </c>
      <c r="P1773">
        <v>0.0067128809159999999</v>
      </c>
      <c r="Q1773" t="s">
        <v>138</v>
      </c>
      <c r="R1773">
        <v>0.0058886743768081715</v>
      </c>
      <c r="S1773" t="s">
        <v>139</v>
      </c>
      <c r="T1773">
        <v>0.025203110585616344</v>
      </c>
      <c r="U1773" t="s">
        <v>90</v>
      </c>
      <c r="V1773">
        <v>0</v>
      </c>
      <c r="W1773" t="s">
        <v>90</v>
      </c>
      <c r="X1773">
        <v>0</v>
      </c>
      <c r="Y1773">
        <v>0.24783058742522737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K1773" t="s">
        <v>6355</v>
      </c>
      <c r="AM1773">
        <v>400000</v>
      </c>
      <c r="AN1773" t="s">
        <v>76</v>
      </c>
      <c r="AO1773">
        <v>2</v>
      </c>
      <c r="AP1773">
        <v>0</v>
      </c>
      <c r="AQ1773">
        <v>33333.333333333336</v>
      </c>
      <c r="AR1773" t="s">
        <v>9</v>
      </c>
      <c r="AS1773" t="s">
        <v>78</v>
      </c>
      <c r="AW1773">
        <v>0</v>
      </c>
      <c r="AX1773" t="s">
        <v>79</v>
      </c>
      <c r="AY1773" t="s">
        <v>137</v>
      </c>
      <c r="AZ1773">
        <v>0</v>
      </c>
      <c r="BA1773" t="s">
        <v>137</v>
      </c>
      <c r="BB1773">
        <v>0</v>
      </c>
      <c r="BE1773">
        <v>0</v>
      </c>
    </row>
    <row r="1774" spans="1:58" ht="12.75">
      <c r="A1774" s="2" t="str">
        <f>HYPERLINK("https://ibp.a2mac1.com/costing(costing:projects/details/8191/part/5389631)"," Part 04")</f>
        <v xml:space="preserve"> Part 04</v>
      </c>
      <c r="B1774">
        <v>5389631</v>
      </c>
      <c r="C1774">
        <v>5389318</v>
      </c>
      <c r="E1774">
        <v>1.0437242153846154</v>
      </c>
      <c r="F1774">
        <v>0</v>
      </c>
      <c r="G1774">
        <v>0</v>
      </c>
      <c r="H1774">
        <v>0.00012827895384615384</v>
      </c>
      <c r="I1774" t="s">
        <v>137</v>
      </c>
      <c r="J1774">
        <v>0.040816030769230773</v>
      </c>
      <c r="K1774">
        <v>1.0846685251076924</v>
      </c>
      <c r="L1774">
        <v>0.016357428824467144</v>
      </c>
      <c r="M1774">
        <v>0.098144572946802858</v>
      </c>
      <c r="N1774">
        <v>1.1828130980544951</v>
      </c>
      <c r="O1774" t="s">
        <v>138</v>
      </c>
      <c r="P1774">
        <v>0.065080111506461535</v>
      </c>
      <c r="Q1774" t="s">
        <v>138</v>
      </c>
      <c r="R1774">
        <v>0.0058886743768081715</v>
      </c>
      <c r="S1774" t="s">
        <v>139</v>
      </c>
      <c r="T1774">
        <v>0.14193757176653943</v>
      </c>
      <c r="U1774" t="s">
        <v>90</v>
      </c>
      <c r="V1774">
        <v>0</v>
      </c>
      <c r="W1774" t="s">
        <v>90</v>
      </c>
      <c r="X1774">
        <v>0</v>
      </c>
      <c r="Y1774">
        <v>1.3957194557043042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K1774" t="s">
        <v>6355</v>
      </c>
      <c r="AM1774">
        <v>400000</v>
      </c>
      <c r="AN1774" t="s">
        <v>76</v>
      </c>
      <c r="AO1774">
        <v>2</v>
      </c>
      <c r="AP1774">
        <v>0</v>
      </c>
      <c r="AQ1774">
        <v>33333.333333333336</v>
      </c>
      <c r="AR1774" t="s">
        <v>9</v>
      </c>
      <c r="AS1774" t="s">
        <v>78</v>
      </c>
      <c r="AW1774">
        <v>0</v>
      </c>
      <c r="AX1774" t="s">
        <v>79</v>
      </c>
      <c r="AY1774" t="s">
        <v>137</v>
      </c>
      <c r="AZ1774">
        <v>0</v>
      </c>
      <c r="BA1774" t="s">
        <v>137</v>
      </c>
      <c r="BB1774">
        <v>0</v>
      </c>
      <c r="BE1774">
        <v>0</v>
      </c>
    </row>
    <row r="1775" spans="1:58" ht="12.75">
      <c r="A1775" s="2" t="str">
        <f>HYPERLINK("https://ibp.a2mac1.com/costing(costing:projects/details/8191/part/5389633)"," Part 05")</f>
        <v xml:space="preserve"> Part 05</v>
      </c>
      <c r="B1775">
        <v>5389633</v>
      </c>
      <c r="C1775">
        <v>5389318</v>
      </c>
      <c r="E1775">
        <v>0.12552026666666666</v>
      </c>
      <c r="F1775">
        <v>0</v>
      </c>
      <c r="G1775">
        <v>0</v>
      </c>
      <c r="H1775">
        <v>1.5690033333333334E-05</v>
      </c>
      <c r="I1775" t="s">
        <v>137</v>
      </c>
      <c r="J1775">
        <v>0.0049922833333333333</v>
      </c>
      <c r="K1775">
        <v>0.13052824003333333</v>
      </c>
      <c r="L1775">
        <v>0.016357428824467144</v>
      </c>
      <c r="M1775">
        <v>0.098144572946802858</v>
      </c>
      <c r="N1775">
        <v>0.2286728129801362</v>
      </c>
      <c r="O1775" t="s">
        <v>138</v>
      </c>
      <c r="P1775">
        <v>0.0078316944019999994</v>
      </c>
      <c r="Q1775" t="s">
        <v>138</v>
      </c>
      <c r="R1775">
        <v>0.0058886743768081715</v>
      </c>
      <c r="S1775" t="s">
        <v>139</v>
      </c>
      <c r="T1775">
        <v>0.027440737557616342</v>
      </c>
      <c r="U1775" t="s">
        <v>90</v>
      </c>
      <c r="V1775">
        <v>0</v>
      </c>
      <c r="W1775" t="s">
        <v>90</v>
      </c>
      <c r="X1775">
        <v>0</v>
      </c>
      <c r="Y1775">
        <v>0.2698339193165607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K1775" t="s">
        <v>6355</v>
      </c>
      <c r="AM1775">
        <v>400000</v>
      </c>
      <c r="AN1775" t="s">
        <v>76</v>
      </c>
      <c r="AO1775">
        <v>2</v>
      </c>
      <c r="AP1775">
        <v>0</v>
      </c>
      <c r="AQ1775">
        <v>33333.333333333336</v>
      </c>
      <c r="AR1775" t="s">
        <v>9</v>
      </c>
      <c r="AS1775" t="s">
        <v>78</v>
      </c>
      <c r="AW1775">
        <v>0</v>
      </c>
      <c r="AX1775" t="s">
        <v>79</v>
      </c>
      <c r="AY1775" t="s">
        <v>137</v>
      </c>
      <c r="AZ1775">
        <v>0</v>
      </c>
      <c r="BA1775" t="s">
        <v>137</v>
      </c>
      <c r="BB1775">
        <v>0</v>
      </c>
      <c r="BE1775">
        <v>0</v>
      </c>
    </row>
    <row r="1776" spans="1:58" ht="12.75">
      <c r="A1776" s="2" t="str">
        <f>HYPERLINK("https://ibp.a2mac1.com/costing(costing:projects/details/8191/part/5389634)"," Part 06")</f>
        <v xml:space="preserve"> Part 06</v>
      </c>
      <c r="B1776">
        <v>5389634</v>
      </c>
      <c r="C1776">
        <v>5389318</v>
      </c>
      <c r="E1776">
        <v>1.1443536000000001</v>
      </c>
      <c r="F1776">
        <v>0</v>
      </c>
      <c r="G1776">
        <v>0</v>
      </c>
      <c r="H1776">
        <v>0.00013832845714285713</v>
      </c>
      <c r="I1776" t="s">
        <v>137</v>
      </c>
      <c r="J1776">
        <v>0.0440136</v>
      </c>
      <c r="K1776">
        <v>1.1885055284571429</v>
      </c>
      <c r="L1776">
        <v>0.016357428824467144</v>
      </c>
      <c r="M1776">
        <v>0.098144572946802858</v>
      </c>
      <c r="N1776">
        <v>1.2866501014039458</v>
      </c>
      <c r="O1776" t="s">
        <v>138</v>
      </c>
      <c r="P1776">
        <v>0.071310331707428565</v>
      </c>
      <c r="Q1776" t="s">
        <v>138</v>
      </c>
      <c r="R1776">
        <v>0.0058886743768081715</v>
      </c>
      <c r="S1776" t="s">
        <v>139</v>
      </c>
      <c r="T1776">
        <v>0.15439801216847349</v>
      </c>
      <c r="U1776" t="s">
        <v>90</v>
      </c>
      <c r="V1776">
        <v>0</v>
      </c>
      <c r="W1776" t="s">
        <v>90</v>
      </c>
      <c r="X1776">
        <v>0</v>
      </c>
      <c r="Y1776">
        <v>1.518247119656656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K1776" t="s">
        <v>6355</v>
      </c>
      <c r="AM1776">
        <v>400000</v>
      </c>
      <c r="AN1776" t="s">
        <v>76</v>
      </c>
      <c r="AO1776">
        <v>2</v>
      </c>
      <c r="AP1776">
        <v>0</v>
      </c>
      <c r="AQ1776">
        <v>33333.333333333336</v>
      </c>
      <c r="AR1776" t="s">
        <v>9</v>
      </c>
      <c r="AS1776" t="s">
        <v>78</v>
      </c>
      <c r="AW1776">
        <v>0</v>
      </c>
      <c r="AX1776" t="s">
        <v>79</v>
      </c>
      <c r="AY1776" t="s">
        <v>137</v>
      </c>
      <c r="AZ1776">
        <v>0</v>
      </c>
      <c r="BA1776" t="s">
        <v>137</v>
      </c>
      <c r="BB1776">
        <v>0</v>
      </c>
      <c r="BE1776">
        <v>0</v>
      </c>
    </row>
    <row r="1777" spans="1:58" ht="12.75">
      <c r="A1777" s="2" t="str">
        <f>HYPERLINK("https://ibp.a2mac1.com/costing(costing:projects/details/8191/part/5389635)"," Part 07")</f>
        <v xml:space="preserve"> Part 07</v>
      </c>
      <c r="B1777">
        <v>5389635</v>
      </c>
      <c r="C1777">
        <v>5389318</v>
      </c>
      <c r="E1777">
        <v>0.62760133333333334</v>
      </c>
      <c r="F1777">
        <v>0</v>
      </c>
      <c r="G1777">
        <v>0</v>
      </c>
      <c r="H1777">
        <v>7.845016666666667E-05</v>
      </c>
      <c r="I1777" t="s">
        <v>137</v>
      </c>
      <c r="J1777">
        <v>0.024961416666666666</v>
      </c>
      <c r="K1777">
        <v>0.65264120016666671</v>
      </c>
      <c r="L1777">
        <v>0.016357428824467144</v>
      </c>
      <c r="M1777">
        <v>0.098144572946802858</v>
      </c>
      <c r="N1777">
        <v>0.7507857731134695</v>
      </c>
      <c r="O1777" t="s">
        <v>138</v>
      </c>
      <c r="P1777">
        <v>0.039158472010000001</v>
      </c>
      <c r="Q1777" t="s">
        <v>138</v>
      </c>
      <c r="R1777">
        <v>0.0058886743768081715</v>
      </c>
      <c r="S1777" t="s">
        <v>139</v>
      </c>
      <c r="T1777">
        <v>0.090094292773616344</v>
      </c>
      <c r="U1777" t="s">
        <v>90</v>
      </c>
      <c r="V1777">
        <v>0</v>
      </c>
      <c r="W1777" t="s">
        <v>90</v>
      </c>
      <c r="X1777">
        <v>0</v>
      </c>
      <c r="Y1777">
        <v>0.88592721227389404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K1777" t="s">
        <v>6355</v>
      </c>
      <c r="AM1777">
        <v>400000</v>
      </c>
      <c r="AN1777" t="s">
        <v>76</v>
      </c>
      <c r="AO1777">
        <v>2</v>
      </c>
      <c r="AP1777">
        <v>0</v>
      </c>
      <c r="AQ1777">
        <v>33333.333333333336</v>
      </c>
      <c r="AR1777" t="s">
        <v>9</v>
      </c>
      <c r="AS1777" t="s">
        <v>78</v>
      </c>
      <c r="AW1777">
        <v>0</v>
      </c>
      <c r="AX1777" t="s">
        <v>79</v>
      </c>
      <c r="AY1777" t="s">
        <v>137</v>
      </c>
      <c r="AZ1777">
        <v>0</v>
      </c>
      <c r="BA1777" t="s">
        <v>137</v>
      </c>
      <c r="BB1777">
        <v>0</v>
      </c>
      <c r="BE1777">
        <v>0</v>
      </c>
    </row>
    <row r="1778" spans="1:58" ht="12.75">
      <c r="A1778" s="2" t="str">
        <f>HYPERLINK("https://ibp.a2mac1.com/costing(costing:projects/details/8191/part/5389636)","Part 01 single/main")</f>
        <v>Part 01 single/main</v>
      </c>
      <c r="B1778">
        <v>5389636</v>
      </c>
      <c r="C1778">
        <v>5389319</v>
      </c>
      <c r="E1778">
        <v>0.26897199999999999</v>
      </c>
      <c r="F1778">
        <v>0</v>
      </c>
      <c r="G1778">
        <v>0</v>
      </c>
      <c r="H1778">
        <v>3.3621500000000003E-05</v>
      </c>
      <c r="I1778" t="s">
        <v>137</v>
      </c>
      <c r="J1778">
        <v>0.010697750000000001</v>
      </c>
      <c r="K1778">
        <v>0.27970337150000002</v>
      </c>
      <c r="L1778">
        <v>0.012017019305024818</v>
      </c>
      <c r="M1778">
        <v>0.072102115830148902</v>
      </c>
      <c r="N1778">
        <v>0.35180548733014888</v>
      </c>
      <c r="O1778" t="s">
        <v>138</v>
      </c>
      <c r="P1778">
        <v>0.016782202289999999</v>
      </c>
      <c r="Q1778" t="s">
        <v>138</v>
      </c>
      <c r="R1778">
        <v>0.0043261269498089342</v>
      </c>
      <c r="S1778" t="s">
        <v>139</v>
      </c>
      <c r="T1778">
        <v>0.04221665847961787</v>
      </c>
      <c r="U1778" t="s">
        <v>90</v>
      </c>
      <c r="V1778">
        <v>0</v>
      </c>
      <c r="W1778" t="s">
        <v>90</v>
      </c>
      <c r="X1778">
        <v>0</v>
      </c>
      <c r="Y1778">
        <v>0.41513047504957573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K1778" t="s">
        <v>6355</v>
      </c>
      <c r="AM1778">
        <v>400000</v>
      </c>
      <c r="AN1778" t="s">
        <v>76</v>
      </c>
      <c r="AO1778">
        <v>2</v>
      </c>
      <c r="AP1778">
        <v>0</v>
      </c>
      <c r="AQ1778">
        <v>33333.333333333336</v>
      </c>
      <c r="AR1778" t="s">
        <v>9</v>
      </c>
      <c r="AS1778" t="s">
        <v>78</v>
      </c>
      <c r="AW1778">
        <v>0</v>
      </c>
      <c r="AX1778" t="s">
        <v>79</v>
      </c>
      <c r="AY1778" t="s">
        <v>137</v>
      </c>
      <c r="AZ1778">
        <v>0</v>
      </c>
      <c r="BA1778" t="s">
        <v>137</v>
      </c>
      <c r="BB1778">
        <v>0</v>
      </c>
      <c r="BE1778">
        <v>0</v>
      </c>
    </row>
    <row r="1779" spans="1:58" ht="12.75">
      <c r="A1779" s="2" t="str">
        <f>HYPERLINK("https://ibp.a2mac1.com/costing(costing:projects/details/8191/part/5389637)","Part 02")</f>
        <v>Part 02</v>
      </c>
      <c r="B1779">
        <v>5389637</v>
      </c>
      <c r="C1779">
        <v>5389319</v>
      </c>
      <c r="E1779">
        <v>0.26934818461538462</v>
      </c>
      <c r="F1779">
        <v>0</v>
      </c>
      <c r="G1779">
        <v>0</v>
      </c>
      <c r="H1779">
        <v>3.3104246153846154E-05</v>
      </c>
      <c r="I1779" t="s">
        <v>137</v>
      </c>
      <c r="J1779">
        <v>0.01053316923076923</v>
      </c>
      <c r="K1779">
        <v>0.27991445809230769</v>
      </c>
      <c r="L1779">
        <v>0.0093102457262997304</v>
      </c>
      <c r="M1779">
        <v>0.055861474357798382</v>
      </c>
      <c r="N1779">
        <v>0.33577593245010606</v>
      </c>
      <c r="O1779" t="s">
        <v>138</v>
      </c>
      <c r="P1779">
        <v>0.016794867485538462</v>
      </c>
      <c r="Q1779" t="s">
        <v>138</v>
      </c>
      <c r="R1779">
        <v>0.0033516884614679028</v>
      </c>
      <c r="S1779" t="s">
        <v>139</v>
      </c>
      <c r="T1779">
        <v>0.040293111894012731</v>
      </c>
      <c r="U1779" t="s">
        <v>90</v>
      </c>
      <c r="V1779">
        <v>0</v>
      </c>
      <c r="W1779" t="s">
        <v>90</v>
      </c>
      <c r="X1779">
        <v>0</v>
      </c>
      <c r="Y1779">
        <v>0.39621560029112518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K1779" t="s">
        <v>6355</v>
      </c>
      <c r="AM1779">
        <v>400000</v>
      </c>
      <c r="AN1779" t="s">
        <v>76</v>
      </c>
      <c r="AO1779">
        <v>2</v>
      </c>
      <c r="AP1779">
        <v>0</v>
      </c>
      <c r="AQ1779">
        <v>33333.333333333336</v>
      </c>
      <c r="AR1779" t="s">
        <v>9</v>
      </c>
      <c r="AS1779" t="s">
        <v>78</v>
      </c>
      <c r="AW1779">
        <v>0</v>
      </c>
      <c r="AX1779" t="s">
        <v>79</v>
      </c>
      <c r="AY1779" t="s">
        <v>137</v>
      </c>
      <c r="AZ1779">
        <v>0</v>
      </c>
      <c r="BA1779" t="s">
        <v>137</v>
      </c>
      <c r="BB1779">
        <v>0</v>
      </c>
      <c r="BE1779">
        <v>0</v>
      </c>
    </row>
    <row r="1780" spans="1:58" ht="12.75">
      <c r="A1780" s="2" t="str">
        <f>HYPERLINK("https://ibp.a2mac1.com/costing(costing:projects/details/8191/part/5389638)","Part 01 single/main")</f>
        <v>Part 01 single/main</v>
      </c>
      <c r="B1780">
        <v>5389638</v>
      </c>
      <c r="C1780">
        <v>5389320</v>
      </c>
      <c r="E1780">
        <v>0.76912654545454551</v>
      </c>
      <c r="F1780">
        <v>0</v>
      </c>
      <c r="G1780">
        <v>0</v>
      </c>
      <c r="H1780">
        <v>9.7807999999999996E-05</v>
      </c>
      <c r="I1780" t="s">
        <v>137</v>
      </c>
      <c r="J1780">
        <v>0.031120727272727272</v>
      </c>
      <c r="K1780">
        <v>0.80034508072727273</v>
      </c>
      <c r="L1780">
        <v>0.012017019305024818</v>
      </c>
      <c r="M1780">
        <v>0.072102115830148902</v>
      </c>
      <c r="N1780">
        <v>0.87244719655742164</v>
      </c>
      <c r="O1780" t="s">
        <v>138</v>
      </c>
      <c r="P1780">
        <v>0.048020704843636366</v>
      </c>
      <c r="Q1780" t="s">
        <v>138</v>
      </c>
      <c r="R1780">
        <v>0.0043261269498089342</v>
      </c>
      <c r="S1780" t="s">
        <v>139</v>
      </c>
      <c r="T1780">
        <v>0.1046936635868906</v>
      </c>
      <c r="U1780" t="s">
        <v>90</v>
      </c>
      <c r="V1780">
        <v>0</v>
      </c>
      <c r="W1780" t="s">
        <v>90</v>
      </c>
      <c r="X1780">
        <v>0</v>
      </c>
      <c r="Y1780">
        <v>1.0294876919377576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K1780" t="s">
        <v>6355</v>
      </c>
      <c r="AM1780">
        <v>400000</v>
      </c>
      <c r="AN1780" t="s">
        <v>76</v>
      </c>
      <c r="AO1780">
        <v>2</v>
      </c>
      <c r="AP1780">
        <v>0</v>
      </c>
      <c r="AQ1780">
        <v>33333.333333333336</v>
      </c>
      <c r="AR1780" t="s">
        <v>9</v>
      </c>
      <c r="AS1780" t="s">
        <v>78</v>
      </c>
      <c r="AW1780">
        <v>0</v>
      </c>
      <c r="AX1780" t="s">
        <v>79</v>
      </c>
      <c r="AY1780" t="s">
        <v>137</v>
      </c>
      <c r="AZ1780">
        <v>0</v>
      </c>
      <c r="BA1780" t="s">
        <v>137</v>
      </c>
      <c r="BB1780">
        <v>0</v>
      </c>
      <c r="BE1780">
        <v>0</v>
      </c>
    </row>
    <row r="1781" spans="1:58" ht="12.75">
      <c r="A1781" s="2" t="str">
        <f>HYPERLINK("https://ibp.a2mac1.com/costing(costing:projects/details/8191/part/5389639)"," Part 02")</f>
        <v xml:space="preserve"> Part 02</v>
      </c>
      <c r="B1781">
        <v>5389639</v>
      </c>
      <c r="C1781">
        <v>5389320</v>
      </c>
      <c r="E1781">
        <v>1.9903928</v>
      </c>
      <c r="F1781">
        <v>0</v>
      </c>
      <c r="G1781">
        <v>0</v>
      </c>
      <c r="H1781">
        <v>0.00023669536000000001</v>
      </c>
      <c r="I1781" t="s">
        <v>137</v>
      </c>
      <c r="J1781">
        <v>0.075312160000000003</v>
      </c>
      <c r="K1781">
        <v>2.0659416553600001</v>
      </c>
      <c r="L1781">
        <v>0.018524891664180389</v>
      </c>
      <c r="M1781">
        <v>0.11114934998508233</v>
      </c>
      <c r="N1781">
        <v>2.1770910053450825</v>
      </c>
      <c r="O1781" t="s">
        <v>138</v>
      </c>
      <c r="P1781">
        <v>0.12395649932159999</v>
      </c>
      <c r="Q1781" t="s">
        <v>138</v>
      </c>
      <c r="R1781">
        <v>0.0066689609991049401</v>
      </c>
      <c r="S1781" t="s">
        <v>139</v>
      </c>
      <c r="T1781">
        <v>0.26125092064140987</v>
      </c>
      <c r="U1781" t="s">
        <v>90</v>
      </c>
      <c r="V1781">
        <v>0</v>
      </c>
      <c r="W1781" t="s">
        <v>90</v>
      </c>
      <c r="X1781">
        <v>0</v>
      </c>
      <c r="Y1781">
        <v>2.5689673863071971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K1781" t="s">
        <v>6355</v>
      </c>
      <c r="AM1781">
        <v>400000</v>
      </c>
      <c r="AN1781" t="s">
        <v>76</v>
      </c>
      <c r="AO1781">
        <v>2</v>
      </c>
      <c r="AP1781">
        <v>0</v>
      </c>
      <c r="AQ1781">
        <v>33333.333333333336</v>
      </c>
      <c r="AR1781" t="s">
        <v>9</v>
      </c>
      <c r="AS1781" t="s">
        <v>78</v>
      </c>
      <c r="AW1781">
        <v>0</v>
      </c>
      <c r="AX1781" t="s">
        <v>79</v>
      </c>
      <c r="AY1781" t="s">
        <v>137</v>
      </c>
      <c r="AZ1781">
        <v>0</v>
      </c>
      <c r="BA1781" t="s">
        <v>137</v>
      </c>
      <c r="BB1781">
        <v>0</v>
      </c>
      <c r="BE1781">
        <v>0</v>
      </c>
    </row>
    <row r="1782" spans="1:58" ht="12.75">
      <c r="A1782" s="2" t="str">
        <f>HYPERLINK("https://ibp.a2mac1.com/costing(costing:projects/details/8191/part/5389640)","Part 03")</f>
        <v>Part 03</v>
      </c>
      <c r="B1782">
        <v>5389640</v>
      </c>
      <c r="C1782">
        <v>5389320</v>
      </c>
      <c r="E1782">
        <v>0.24421435</v>
      </c>
      <c r="F1782">
        <v>0</v>
      </c>
      <c r="G1782">
        <v>0</v>
      </c>
      <c r="H1782">
        <v>2.8578274999999999E-05</v>
      </c>
      <c r="I1782" t="s">
        <v>137</v>
      </c>
      <c r="J1782">
        <v>0.0090930874999999994</v>
      </c>
      <c r="K1782">
        <v>0.25333601577499998</v>
      </c>
      <c r="L1782">
        <v>0.016357428824467144</v>
      </c>
      <c r="M1782">
        <v>0.098144572946802858</v>
      </c>
      <c r="N1782">
        <v>0.35148058872180288</v>
      </c>
      <c r="O1782" t="s">
        <v>138</v>
      </c>
      <c r="P1782">
        <v>0.015200160946500001</v>
      </c>
      <c r="Q1782" t="s">
        <v>138</v>
      </c>
      <c r="R1782">
        <v>0.0058886743768081715</v>
      </c>
      <c r="S1782" t="s">
        <v>139</v>
      </c>
      <c r="T1782">
        <v>0.042177670646616344</v>
      </c>
      <c r="U1782" t="s">
        <v>90</v>
      </c>
      <c r="V1782">
        <v>0</v>
      </c>
      <c r="W1782" t="s">
        <v>90</v>
      </c>
      <c r="X1782">
        <v>0</v>
      </c>
      <c r="Y1782">
        <v>0.41474709469172738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K1782" t="s">
        <v>6355</v>
      </c>
      <c r="AM1782">
        <v>400000</v>
      </c>
      <c r="AN1782" t="s">
        <v>76</v>
      </c>
      <c r="AO1782">
        <v>2</v>
      </c>
      <c r="AP1782">
        <v>0</v>
      </c>
      <c r="AQ1782">
        <v>33333.333333333336</v>
      </c>
      <c r="AR1782" t="s">
        <v>9</v>
      </c>
      <c r="AS1782" t="s">
        <v>78</v>
      </c>
      <c r="AW1782">
        <v>0</v>
      </c>
      <c r="AX1782" t="s">
        <v>79</v>
      </c>
      <c r="AY1782" t="s">
        <v>137</v>
      </c>
      <c r="AZ1782">
        <v>0</v>
      </c>
      <c r="BA1782" t="s">
        <v>137</v>
      </c>
      <c r="BB1782">
        <v>0</v>
      </c>
      <c r="BE1782">
        <v>0</v>
      </c>
    </row>
    <row r="1783" spans="1:58" ht="12.75">
      <c r="A1783" s="2" t="str">
        <f>HYPERLINK("https://ibp.a2mac1.com/costing(costing:projects/details/8191/part/5389641)"," Part 01 single/main")</f>
        <v xml:space="preserve"> Part 01 single/main</v>
      </c>
      <c r="B1783">
        <v>5389641</v>
      </c>
      <c r="C1783">
        <v>5389321</v>
      </c>
      <c r="E1783">
        <v>0.46058293103448278</v>
      </c>
      <c r="F1783">
        <v>0</v>
      </c>
      <c r="G1783">
        <v>0</v>
      </c>
      <c r="H1783">
        <v>5.7968103448275863E-05</v>
      </c>
      <c r="I1783" t="s">
        <v>137</v>
      </c>
      <c r="J1783">
        <v>0.018444396551724137</v>
      </c>
      <c r="K1783">
        <v>0.47908529568965519</v>
      </c>
      <c r="L1783">
        <v>0.016357428824467144</v>
      </c>
      <c r="M1783">
        <v>0.098144572946802858</v>
      </c>
      <c r="N1783">
        <v>0.57722986863645809</v>
      </c>
      <c r="O1783" t="s">
        <v>138</v>
      </c>
      <c r="P1783">
        <v>0.028745117741379309</v>
      </c>
      <c r="Q1783" t="s">
        <v>138</v>
      </c>
      <c r="R1783">
        <v>0.0058886743768081715</v>
      </c>
      <c r="S1783" t="s">
        <v>139</v>
      </c>
      <c r="T1783">
        <v>0.069267584236374968</v>
      </c>
      <c r="U1783" t="s">
        <v>90</v>
      </c>
      <c r="V1783">
        <v>0</v>
      </c>
      <c r="W1783" t="s">
        <v>90</v>
      </c>
      <c r="X1783">
        <v>0</v>
      </c>
      <c r="Y1783">
        <v>0.68113124499102051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K1783" t="s">
        <v>6355</v>
      </c>
      <c r="AM1783">
        <v>400000</v>
      </c>
      <c r="AN1783" t="s">
        <v>76</v>
      </c>
      <c r="AO1783">
        <v>2</v>
      </c>
      <c r="AP1783">
        <v>0</v>
      </c>
      <c r="AQ1783">
        <v>33333.333333333336</v>
      </c>
      <c r="AR1783" t="s">
        <v>9</v>
      </c>
      <c r="AS1783" t="s">
        <v>78</v>
      </c>
      <c r="AW1783">
        <v>0</v>
      </c>
      <c r="AX1783" t="s">
        <v>79</v>
      </c>
      <c r="AY1783" t="s">
        <v>137</v>
      </c>
      <c r="AZ1783">
        <v>0</v>
      </c>
      <c r="BA1783" t="s">
        <v>137</v>
      </c>
      <c r="BB1783">
        <v>0</v>
      </c>
      <c r="BE1783">
        <v>0</v>
      </c>
    </row>
    <row r="1784" spans="1:58" ht="12.75">
      <c r="A1784" s="2" t="str">
        <f>HYPERLINK("https://ibp.a2mac1.com/costing(costing:projects/details/8191/part/5389642)"," Part 03")</f>
        <v xml:space="preserve"> Part 03</v>
      </c>
      <c r="B1784">
        <v>5389642</v>
      </c>
      <c r="C1784">
        <v>5389321</v>
      </c>
      <c r="E1784">
        <v>0.57217680000000004</v>
      </c>
      <c r="F1784">
        <v>0</v>
      </c>
      <c r="G1784">
        <v>0</v>
      </c>
      <c r="H1784">
        <v>6.9164228571428566E-05</v>
      </c>
      <c r="I1784" t="s">
        <v>137</v>
      </c>
      <c r="J1784">
        <v>0.0220068</v>
      </c>
      <c r="K1784">
        <v>0.59425276422857143</v>
      </c>
      <c r="L1784">
        <v>0.056854640132678387</v>
      </c>
      <c r="M1784">
        <v>0.34112784079607034</v>
      </c>
      <c r="N1784">
        <v>0.93538060502464171</v>
      </c>
      <c r="O1784" t="s">
        <v>138</v>
      </c>
      <c r="P1784">
        <v>0.035655165853714282</v>
      </c>
      <c r="Q1784" t="s">
        <v>138</v>
      </c>
      <c r="R1784">
        <v>0.020467670447764218</v>
      </c>
      <c r="S1784" t="s">
        <v>139</v>
      </c>
      <c r="T1784">
        <v>0.11224567260295701</v>
      </c>
      <c r="U1784" t="s">
        <v>90</v>
      </c>
      <c r="V1784">
        <v>0</v>
      </c>
      <c r="W1784" t="s">
        <v>90</v>
      </c>
      <c r="X1784">
        <v>0</v>
      </c>
      <c r="Y1784">
        <v>1.1037491139290774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K1784" t="s">
        <v>6355</v>
      </c>
      <c r="AM1784">
        <v>400000</v>
      </c>
      <c r="AN1784" t="s">
        <v>76</v>
      </c>
      <c r="AO1784">
        <v>2</v>
      </c>
      <c r="AP1784">
        <v>0</v>
      </c>
      <c r="AQ1784">
        <v>33333.333333333336</v>
      </c>
      <c r="AR1784" t="s">
        <v>9</v>
      </c>
      <c r="AS1784" t="s">
        <v>78</v>
      </c>
      <c r="AW1784">
        <v>0</v>
      </c>
      <c r="AX1784" t="s">
        <v>79</v>
      </c>
      <c r="AY1784" t="s">
        <v>137</v>
      </c>
      <c r="AZ1784">
        <v>0</v>
      </c>
      <c r="BA1784" t="s">
        <v>137</v>
      </c>
      <c r="BB1784">
        <v>0</v>
      </c>
      <c r="BE1784">
        <v>0</v>
      </c>
    </row>
    <row r="1785" spans="1:58" ht="12.75">
      <c r="A1785" s="2" t="str">
        <f>HYPERLINK("https://ibp.a2mac1.com/costing(costing:projects/details/8191/part/5389643)"," Part 04")</f>
        <v xml:space="preserve"> Part 04</v>
      </c>
      <c r="B1785">
        <v>5389643</v>
      </c>
      <c r="C1785">
        <v>5389321</v>
      </c>
      <c r="E1785">
        <v>0.90920686666666661</v>
      </c>
      <c r="F1785">
        <v>0</v>
      </c>
      <c r="G1785">
        <v>0</v>
      </c>
      <c r="H1785">
        <v>0.00010310593333333333</v>
      </c>
      <c r="I1785" t="s">
        <v>137</v>
      </c>
      <c r="J1785">
        <v>0.032806433333333336</v>
      </c>
      <c r="K1785">
        <v>0.94211640593333335</v>
      </c>
      <c r="L1785">
        <v>0.016357428824467144</v>
      </c>
      <c r="M1785">
        <v>0.098144572946802858</v>
      </c>
      <c r="N1785">
        <v>1.0402609788801362</v>
      </c>
      <c r="O1785" t="s">
        <v>138</v>
      </c>
      <c r="P1785">
        <v>0.056526984356000003</v>
      </c>
      <c r="Q1785" t="s">
        <v>138</v>
      </c>
      <c r="R1785">
        <v>0.0058886743768081715</v>
      </c>
      <c r="S1785" t="s">
        <v>139</v>
      </c>
      <c r="T1785">
        <v>0.12483131746561635</v>
      </c>
      <c r="U1785" t="s">
        <v>90</v>
      </c>
      <c r="V1785">
        <v>0</v>
      </c>
      <c r="W1785" t="s">
        <v>90</v>
      </c>
      <c r="X1785">
        <v>0</v>
      </c>
      <c r="Y1785">
        <v>1.2275079550785608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K1785" t="s">
        <v>6355</v>
      </c>
      <c r="AM1785">
        <v>400000</v>
      </c>
      <c r="AN1785" t="s">
        <v>76</v>
      </c>
      <c r="AO1785">
        <v>2</v>
      </c>
      <c r="AP1785">
        <v>0</v>
      </c>
      <c r="AQ1785">
        <v>33333.333333333336</v>
      </c>
      <c r="AR1785" t="s">
        <v>9</v>
      </c>
      <c r="AS1785" t="s">
        <v>78</v>
      </c>
      <c r="AW1785">
        <v>0</v>
      </c>
      <c r="AX1785" t="s">
        <v>79</v>
      </c>
      <c r="AY1785" t="s">
        <v>137</v>
      </c>
      <c r="AZ1785">
        <v>0</v>
      </c>
      <c r="BA1785" t="s">
        <v>137</v>
      </c>
      <c r="BB1785">
        <v>0</v>
      </c>
      <c r="BE1785">
        <v>0</v>
      </c>
    </row>
    <row r="1786" spans="1:58" ht="12.75">
      <c r="A1786" s="2" t="str">
        <f>HYPERLINK("https://ibp.a2mac1.com/costing(costing:projects/details/8191/part/5389644)"," Part 05")</f>
        <v xml:space="preserve"> Part 05</v>
      </c>
      <c r="B1786">
        <v>5389644</v>
      </c>
      <c r="C1786">
        <v>5389321</v>
      </c>
      <c r="E1786">
        <v>2.777653153846154</v>
      </c>
      <c r="F1786">
        <v>0</v>
      </c>
      <c r="G1786">
        <v>0</v>
      </c>
      <c r="H1786">
        <v>0.00034138753846153845</v>
      </c>
      <c r="I1786" t="s">
        <v>137</v>
      </c>
      <c r="J1786">
        <v>0.10862330769230769</v>
      </c>
      <c r="K1786">
        <v>2.8866178490769232</v>
      </c>
      <c r="L1786">
        <v>0.016357428824467144</v>
      </c>
      <c r="M1786">
        <v>0.098144572946802858</v>
      </c>
      <c r="N1786">
        <v>2.9847624220237261</v>
      </c>
      <c r="O1786" t="s">
        <v>138</v>
      </c>
      <c r="P1786">
        <v>0.17319707094461539</v>
      </c>
      <c r="Q1786" t="s">
        <v>138</v>
      </c>
      <c r="R1786">
        <v>0.0058886743768081715</v>
      </c>
      <c r="S1786" t="s">
        <v>139</v>
      </c>
      <c r="T1786">
        <v>0.35817149064284709</v>
      </c>
      <c r="U1786" t="s">
        <v>90</v>
      </c>
      <c r="V1786">
        <v>0</v>
      </c>
      <c r="W1786" t="s">
        <v>90</v>
      </c>
      <c r="X1786">
        <v>0</v>
      </c>
      <c r="Y1786">
        <v>3.5220196579879968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K1786" t="s">
        <v>6355</v>
      </c>
      <c r="AM1786">
        <v>400000</v>
      </c>
      <c r="AN1786" t="s">
        <v>76</v>
      </c>
      <c r="AO1786">
        <v>2</v>
      </c>
      <c r="AP1786">
        <v>0</v>
      </c>
      <c r="AQ1786">
        <v>33333.333333333336</v>
      </c>
      <c r="AR1786" t="s">
        <v>9</v>
      </c>
      <c r="AS1786" t="s">
        <v>78</v>
      </c>
      <c r="AW1786">
        <v>0</v>
      </c>
      <c r="AX1786" t="s">
        <v>79</v>
      </c>
      <c r="AY1786" t="s">
        <v>137</v>
      </c>
      <c r="AZ1786">
        <v>0</v>
      </c>
      <c r="BA1786" t="s">
        <v>137</v>
      </c>
      <c r="BB1786">
        <v>0</v>
      </c>
      <c r="BE1786">
        <v>0</v>
      </c>
    </row>
    <row r="1787" spans="1:58" ht="12.75">
      <c r="A1787" s="2" t="str">
        <f>HYPERLINK("https://ibp.a2mac1.com/costing(costing:projects/details/8191/part/5389645)","Part 06")</f>
        <v>Part 06</v>
      </c>
      <c r="B1787">
        <v>5389645</v>
      </c>
      <c r="C1787">
        <v>5389321</v>
      </c>
      <c r="E1787">
        <v>0.74700860000000002</v>
      </c>
      <c r="F1787">
        <v>0</v>
      </c>
      <c r="G1787">
        <v>0</v>
      </c>
      <c r="H1787">
        <v>9.0297742857142857E-05</v>
      </c>
      <c r="I1787" t="s">
        <v>137</v>
      </c>
      <c r="J1787">
        <v>0.028731099999999999</v>
      </c>
      <c r="K1787">
        <v>0.7758299977428571</v>
      </c>
      <c r="L1787">
        <v>0.0093102457262997304</v>
      </c>
      <c r="M1787">
        <v>0.055861474357798382</v>
      </c>
      <c r="N1787">
        <v>0.83169147210065553</v>
      </c>
      <c r="O1787" t="s">
        <v>138</v>
      </c>
      <c r="P1787">
        <v>0.046549799864571431</v>
      </c>
      <c r="Q1787" t="s">
        <v>138</v>
      </c>
      <c r="R1787">
        <v>0.0033516884614679028</v>
      </c>
      <c r="S1787" t="s">
        <v>139</v>
      </c>
      <c r="T1787">
        <v>0.099802976652078657</v>
      </c>
      <c r="U1787" t="s">
        <v>90</v>
      </c>
      <c r="V1787">
        <v>0</v>
      </c>
      <c r="W1787" t="s">
        <v>90</v>
      </c>
      <c r="X1787">
        <v>0</v>
      </c>
      <c r="Y1787">
        <v>0.98139593707877348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K1787" t="s">
        <v>6355</v>
      </c>
      <c r="AM1787">
        <v>400000</v>
      </c>
      <c r="AN1787" t="s">
        <v>76</v>
      </c>
      <c r="AO1787">
        <v>2</v>
      </c>
      <c r="AP1787">
        <v>0</v>
      </c>
      <c r="AQ1787">
        <v>33333.333333333336</v>
      </c>
      <c r="AR1787" t="s">
        <v>9</v>
      </c>
      <c r="AS1787" t="s">
        <v>78</v>
      </c>
      <c r="AW1787">
        <v>0</v>
      </c>
      <c r="AX1787" t="s">
        <v>79</v>
      </c>
      <c r="AY1787" t="s">
        <v>137</v>
      </c>
      <c r="AZ1787">
        <v>0</v>
      </c>
      <c r="BA1787" t="s">
        <v>137</v>
      </c>
      <c r="BB1787">
        <v>0</v>
      </c>
      <c r="BE1787">
        <v>0</v>
      </c>
    </row>
    <row r="1788" spans="1:58" ht="12.75">
      <c r="A1788" s="2" t="str">
        <f>HYPERLINK("https://ibp.a2mac1.com/costing(costing:projects/details/8191/part/5389646)"," Part 07")</f>
        <v xml:space="preserve"> Part 07</v>
      </c>
      <c r="B1788">
        <v>5389646</v>
      </c>
      <c r="C1788">
        <v>5389321</v>
      </c>
      <c r="E1788">
        <v>0.28690346666666666</v>
      </c>
      <c r="F1788">
        <v>0</v>
      </c>
      <c r="G1788">
        <v>0</v>
      </c>
      <c r="H1788">
        <v>3.5862933333333332E-05</v>
      </c>
      <c r="I1788" t="s">
        <v>137</v>
      </c>
      <c r="J1788">
        <v>0.011410933333333333</v>
      </c>
      <c r="K1788">
        <v>0.29835026293333333</v>
      </c>
      <c r="L1788">
        <v>0.0093102457262997304</v>
      </c>
      <c r="M1788">
        <v>0.055861474357798382</v>
      </c>
      <c r="N1788">
        <v>0.3542117372911317</v>
      </c>
      <c r="O1788" t="s">
        <v>138</v>
      </c>
      <c r="P1788">
        <v>0.017901015776</v>
      </c>
      <c r="Q1788" t="s">
        <v>138</v>
      </c>
      <c r="R1788">
        <v>0.0033516884614679028</v>
      </c>
      <c r="S1788" t="s">
        <v>139</v>
      </c>
      <c r="T1788">
        <v>0.042505408474935807</v>
      </c>
      <c r="U1788" t="s">
        <v>90</v>
      </c>
      <c r="V1788">
        <v>0</v>
      </c>
      <c r="W1788" t="s">
        <v>90</v>
      </c>
      <c r="X1788">
        <v>0</v>
      </c>
      <c r="Y1788">
        <v>0.41796985000353543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K1788" t="s">
        <v>6355</v>
      </c>
      <c r="AM1788">
        <v>400000</v>
      </c>
      <c r="AN1788" t="s">
        <v>76</v>
      </c>
      <c r="AO1788">
        <v>2</v>
      </c>
      <c r="AP1788">
        <v>0</v>
      </c>
      <c r="AQ1788">
        <v>33333.333333333336</v>
      </c>
      <c r="AR1788" t="s">
        <v>9</v>
      </c>
      <c r="AS1788" t="s">
        <v>78</v>
      </c>
      <c r="AW1788">
        <v>0</v>
      </c>
      <c r="AX1788" t="s">
        <v>79</v>
      </c>
      <c r="AY1788" t="s">
        <v>137</v>
      </c>
      <c r="AZ1788">
        <v>0</v>
      </c>
      <c r="BA1788" t="s">
        <v>137</v>
      </c>
      <c r="BB1788">
        <v>0</v>
      </c>
      <c r="BE1788">
        <v>0</v>
      </c>
    </row>
    <row r="1789" spans="1:58" ht="12.75">
      <c r="A1789" s="2" t="str">
        <f>HYPERLINK("https://ibp.a2mac1.com/costing(costing:projects/details/8191/part/5389647)","Part 08")</f>
        <v>Part 08</v>
      </c>
      <c r="B1789">
        <v>5389647</v>
      </c>
      <c r="C1789">
        <v>5389321</v>
      </c>
      <c r="E1789">
        <v>0.079468999999999998</v>
      </c>
      <c r="F1789">
        <v>0</v>
      </c>
      <c r="G1789">
        <v>0</v>
      </c>
      <c r="H1789">
        <v>9.6061428571428574E-06</v>
      </c>
      <c r="I1789" t="s">
        <v>137</v>
      </c>
      <c r="J1789">
        <v>0.0030565000000000002</v>
      </c>
      <c r="K1789">
        <v>0.08253510614285714</v>
      </c>
      <c r="L1789">
        <v>0.0039320942634972159</v>
      </c>
      <c r="M1789">
        <v>0.023592565580983296</v>
      </c>
      <c r="N1789">
        <v>0.10612767172384044</v>
      </c>
      <c r="O1789" t="s">
        <v>138</v>
      </c>
      <c r="P1789">
        <v>0.004952106368571429</v>
      </c>
      <c r="Q1789" t="s">
        <v>138</v>
      </c>
      <c r="R1789">
        <v>0.0014155539348589977</v>
      </c>
      <c r="S1789" t="s">
        <v>139</v>
      </c>
      <c r="T1789">
        <v>0.012735320606860853</v>
      </c>
      <c r="U1789" t="s">
        <v>90</v>
      </c>
      <c r="V1789">
        <v>0</v>
      </c>
      <c r="W1789" t="s">
        <v>90</v>
      </c>
      <c r="X1789">
        <v>0</v>
      </c>
      <c r="Y1789">
        <v>0.12523065263413172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K1789" t="s">
        <v>6355</v>
      </c>
      <c r="AM1789">
        <v>400000</v>
      </c>
      <c r="AN1789" t="s">
        <v>76</v>
      </c>
      <c r="AO1789">
        <v>2</v>
      </c>
      <c r="AP1789">
        <v>0</v>
      </c>
      <c r="AQ1789">
        <v>33333.333333333336</v>
      </c>
      <c r="AR1789" t="s">
        <v>9</v>
      </c>
      <c r="AS1789" t="s">
        <v>78</v>
      </c>
      <c r="AW1789">
        <v>0</v>
      </c>
      <c r="AX1789" t="s">
        <v>79</v>
      </c>
      <c r="AY1789" t="s">
        <v>137</v>
      </c>
      <c r="AZ1789">
        <v>0</v>
      </c>
      <c r="BA1789" t="s">
        <v>137</v>
      </c>
      <c r="BB1789">
        <v>0</v>
      </c>
      <c r="BE1789">
        <v>0</v>
      </c>
    </row>
    <row r="1790" spans="1:58" ht="12.75">
      <c r="A1790" s="2" t="str">
        <f>HYPERLINK("https://ibp.a2mac1.com/costing(costing:projects/details/8191/part/5389751)"," Part 01 single/main")</f>
        <v xml:space="preserve"> Part 01 single/main</v>
      </c>
      <c r="B1790">
        <v>5389751</v>
      </c>
      <c r="C1790">
        <v>5389648</v>
      </c>
      <c r="E1790">
        <v>1.6376727</v>
      </c>
      <c r="F1790">
        <v>0</v>
      </c>
      <c r="G1790">
        <v>0</v>
      </c>
      <c r="H1790">
        <v>0.0002439087</v>
      </c>
      <c r="I1790" t="s">
        <v>137</v>
      </c>
      <c r="J1790">
        <v>0.060977175000000002</v>
      </c>
      <c r="K1790">
        <v>1.6988937837</v>
      </c>
      <c r="L1790">
        <v>0.014302988239190483</v>
      </c>
      <c r="M1790">
        <v>0.085817929435142895</v>
      </c>
      <c r="N1790">
        <v>1.7847117131351429</v>
      </c>
      <c r="O1790" t="s">
        <v>138</v>
      </c>
      <c r="P1790">
        <v>0.101933627022</v>
      </c>
      <c r="Q1790" t="s">
        <v>138</v>
      </c>
      <c r="R1790">
        <v>0.0051490757661085736</v>
      </c>
      <c r="S1790" t="s">
        <v>139</v>
      </c>
      <c r="T1790">
        <v>0.21416540557621716</v>
      </c>
      <c r="U1790" t="s">
        <v>90</v>
      </c>
      <c r="V1790">
        <v>0</v>
      </c>
      <c r="W1790" t="s">
        <v>90</v>
      </c>
      <c r="X1790">
        <v>0</v>
      </c>
      <c r="Y1790">
        <v>2.1059598214994688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K1790" t="s">
        <v>6355</v>
      </c>
      <c r="AM1790">
        <v>200000</v>
      </c>
      <c r="AN1790" t="s">
        <v>76</v>
      </c>
      <c r="AO1790">
        <v>1</v>
      </c>
      <c r="AP1790">
        <v>0</v>
      </c>
      <c r="AQ1790">
        <v>16666.666666666668</v>
      </c>
      <c r="AR1790" t="s">
        <v>9</v>
      </c>
      <c r="AS1790" t="s">
        <v>78</v>
      </c>
      <c r="AW1790">
        <v>0</v>
      </c>
      <c r="AX1790" t="s">
        <v>79</v>
      </c>
      <c r="AY1790" t="s">
        <v>137</v>
      </c>
      <c r="AZ1790">
        <v>0</v>
      </c>
      <c r="BA1790" t="s">
        <v>137</v>
      </c>
      <c r="BB1790">
        <v>0</v>
      </c>
      <c r="BE1790">
        <v>0</v>
      </c>
    </row>
    <row r="1791" spans="1:58" ht="12.75">
      <c r="A1791" s="2" t="str">
        <f>HYPERLINK("https://ibp.a2mac1.com/costing(costing:projects/details/8191/part/5389752)"," Part 01 single/main")</f>
        <v xml:space="preserve"> Part 01 single/main</v>
      </c>
      <c r="B1791">
        <v>5389752</v>
      </c>
      <c r="C1791">
        <v>5389649</v>
      </c>
      <c r="E1791">
        <v>0.1112566</v>
      </c>
      <c r="F1791">
        <v>0</v>
      </c>
      <c r="G1791">
        <v>0</v>
      </c>
      <c r="H1791">
        <v>1.34486E-05</v>
      </c>
      <c r="I1791" t="s">
        <v>137</v>
      </c>
      <c r="J1791">
        <v>0.0042791000000000001</v>
      </c>
      <c r="K1791">
        <v>0.1155491486</v>
      </c>
      <c r="L1791">
        <v>0.0043569423054512666</v>
      </c>
      <c r="M1791">
        <v>0.026141653832707602</v>
      </c>
      <c r="N1791">
        <v>0.1416908024327076</v>
      </c>
      <c r="O1791" t="s">
        <v>138</v>
      </c>
      <c r="P1791">
        <v>0.0069329489160000002</v>
      </c>
      <c r="Q1791" t="s">
        <v>138</v>
      </c>
      <c r="R1791">
        <v>0.0015684992299624561</v>
      </c>
      <c r="S1791" t="s">
        <v>139</v>
      </c>
      <c r="T1791">
        <v>0.017002896291924911</v>
      </c>
      <c r="U1791" t="s">
        <v>90</v>
      </c>
      <c r="V1791">
        <v>0</v>
      </c>
      <c r="W1791" t="s">
        <v>90</v>
      </c>
      <c r="X1791">
        <v>0</v>
      </c>
      <c r="Y1791">
        <v>0.16719514687059497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K1791" t="s">
        <v>6355</v>
      </c>
      <c r="AM1791">
        <v>400000</v>
      </c>
      <c r="AN1791" t="s">
        <v>76</v>
      </c>
      <c r="AO1791">
        <v>2</v>
      </c>
      <c r="AP1791">
        <v>0</v>
      </c>
      <c r="AQ1791">
        <v>33333.333333333336</v>
      </c>
      <c r="AR1791" t="s">
        <v>9</v>
      </c>
      <c r="AS1791" t="s">
        <v>78</v>
      </c>
      <c r="AW1791">
        <v>0</v>
      </c>
      <c r="AX1791" t="s">
        <v>79</v>
      </c>
      <c r="AY1791" t="s">
        <v>137</v>
      </c>
      <c r="AZ1791">
        <v>0</v>
      </c>
      <c r="BA1791" t="s">
        <v>137</v>
      </c>
      <c r="BB1791">
        <v>0</v>
      </c>
      <c r="BE1791">
        <v>0</v>
      </c>
    </row>
    <row r="1792" spans="1:58" ht="12.75">
      <c r="A1792" s="2" t="str">
        <f>HYPERLINK("https://ibp.a2mac1.com/costing(costing:projects/details/8191/part/5389753)"," Part 02")</f>
        <v xml:space="preserve"> Part 02</v>
      </c>
      <c r="B1792">
        <v>5389753</v>
      </c>
      <c r="C1792">
        <v>5389649</v>
      </c>
      <c r="E1792">
        <v>0.1112566</v>
      </c>
      <c r="F1792">
        <v>0</v>
      </c>
      <c r="G1792">
        <v>0</v>
      </c>
      <c r="H1792">
        <v>1.34486E-05</v>
      </c>
      <c r="I1792" t="s">
        <v>137</v>
      </c>
      <c r="J1792">
        <v>0.0042791000000000001</v>
      </c>
      <c r="K1792">
        <v>0.1155491486</v>
      </c>
      <c r="L1792">
        <v>0.0043569423054512666</v>
      </c>
      <c r="M1792">
        <v>0.026141653832707602</v>
      </c>
      <c r="N1792">
        <v>0.1416908024327076</v>
      </c>
      <c r="O1792" t="s">
        <v>138</v>
      </c>
      <c r="P1792">
        <v>0.0069329489160000002</v>
      </c>
      <c r="Q1792" t="s">
        <v>138</v>
      </c>
      <c r="R1792">
        <v>0.0015684992299624561</v>
      </c>
      <c r="S1792" t="s">
        <v>139</v>
      </c>
      <c r="T1792">
        <v>0.017002896291924911</v>
      </c>
      <c r="U1792" t="s">
        <v>90</v>
      </c>
      <c r="V1792">
        <v>0</v>
      </c>
      <c r="W1792" t="s">
        <v>90</v>
      </c>
      <c r="X1792">
        <v>0</v>
      </c>
      <c r="Y1792">
        <v>0.16719514687059497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K1792" t="s">
        <v>6355</v>
      </c>
      <c r="AM1792">
        <v>400000</v>
      </c>
      <c r="AN1792" t="s">
        <v>76</v>
      </c>
      <c r="AO1792">
        <v>2</v>
      </c>
      <c r="AP1792">
        <v>0</v>
      </c>
      <c r="AQ1792">
        <v>33333.333333333336</v>
      </c>
      <c r="AR1792" t="s">
        <v>9</v>
      </c>
      <c r="AS1792" t="s">
        <v>78</v>
      </c>
      <c r="AW1792">
        <v>0</v>
      </c>
      <c r="AX1792" t="s">
        <v>79</v>
      </c>
      <c r="AY1792" t="s">
        <v>137</v>
      </c>
      <c r="AZ1792">
        <v>0</v>
      </c>
      <c r="BA1792" t="s">
        <v>137</v>
      </c>
      <c r="BB1792">
        <v>0</v>
      </c>
      <c r="BE1792">
        <v>0</v>
      </c>
    </row>
    <row r="1793" spans="1:58" ht="12.75">
      <c r="A1793" s="2" t="str">
        <f>HYPERLINK("https://ibp.a2mac1.com/costing(costing:projects/details/8191/part/5389754)"," Part 03")</f>
        <v xml:space="preserve"> Part 03</v>
      </c>
      <c r="B1793">
        <v>5389754</v>
      </c>
      <c r="C1793">
        <v>5389649</v>
      </c>
      <c r="E1793">
        <v>0.10055885000000001</v>
      </c>
      <c r="F1793">
        <v>0</v>
      </c>
      <c r="G1793">
        <v>0</v>
      </c>
      <c r="H1793">
        <v>1.1767525E-05</v>
      </c>
      <c r="I1793" t="s">
        <v>137</v>
      </c>
      <c r="J1793">
        <v>0.0037442125</v>
      </c>
      <c r="K1793">
        <v>0.104314830025</v>
      </c>
      <c r="L1793">
        <v>0.024426101758311454</v>
      </c>
      <c r="M1793">
        <v>0.14655661054986871</v>
      </c>
      <c r="N1793">
        <v>0.25087144057486871</v>
      </c>
      <c r="O1793" t="s">
        <v>138</v>
      </c>
      <c r="P1793">
        <v>0.0062588898015000002</v>
      </c>
      <c r="Q1793" t="s">
        <v>138</v>
      </c>
      <c r="R1793">
        <v>0.0087933966329921225</v>
      </c>
      <c r="S1793" t="s">
        <v>139</v>
      </c>
      <c r="T1793">
        <v>0.030104572868984245</v>
      </c>
      <c r="U1793" t="s">
        <v>90</v>
      </c>
      <c r="V1793">
        <v>0</v>
      </c>
      <c r="W1793" t="s">
        <v>90</v>
      </c>
      <c r="X1793">
        <v>0</v>
      </c>
      <c r="Y1793">
        <v>0.29602829987834511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K1793" t="s">
        <v>6355</v>
      </c>
      <c r="AM1793">
        <v>400000</v>
      </c>
      <c r="AN1793" t="s">
        <v>76</v>
      </c>
      <c r="AO1793">
        <v>2</v>
      </c>
      <c r="AP1793">
        <v>0</v>
      </c>
      <c r="AQ1793">
        <v>33333.333333333336</v>
      </c>
      <c r="AR1793" t="s">
        <v>9</v>
      </c>
      <c r="AS1793" t="s">
        <v>78</v>
      </c>
      <c r="AW1793">
        <v>0</v>
      </c>
      <c r="AX1793" t="s">
        <v>79</v>
      </c>
      <c r="AY1793" t="s">
        <v>137</v>
      </c>
      <c r="AZ1793">
        <v>0</v>
      </c>
      <c r="BA1793" t="s">
        <v>137</v>
      </c>
      <c r="BB1793">
        <v>0</v>
      </c>
      <c r="BE1793">
        <v>0</v>
      </c>
    </row>
    <row r="1794" spans="1:58" ht="12.75">
      <c r="A1794" s="2" t="str">
        <f>HYPERLINK("https://ibp.a2mac1.com/costing(costing:projects/details/8191/part/5389755)","Part 04")</f>
        <v>Part 04</v>
      </c>
      <c r="B1794">
        <v>5389755</v>
      </c>
      <c r="C1794">
        <v>5389649</v>
      </c>
      <c r="E1794">
        <v>0.0861933</v>
      </c>
      <c r="F1794">
        <v>0</v>
      </c>
      <c r="G1794">
        <v>0</v>
      </c>
      <c r="H1794">
        <v>1.0086450000000001E-05</v>
      </c>
      <c r="I1794" t="s">
        <v>137</v>
      </c>
      <c r="J1794">
        <v>0.0032093249999999999</v>
      </c>
      <c r="K1794">
        <v>0.089412711450000001</v>
      </c>
      <c r="L1794">
        <v>0.024426101758311454</v>
      </c>
      <c r="M1794">
        <v>0.14655661054986871</v>
      </c>
      <c r="N1794">
        <v>0.23596932199986873</v>
      </c>
      <c r="O1794" t="s">
        <v>138</v>
      </c>
      <c r="P1794">
        <v>0.0053647626869999998</v>
      </c>
      <c r="Q1794" t="s">
        <v>138</v>
      </c>
      <c r="R1794">
        <v>0.0087933966329921225</v>
      </c>
      <c r="S1794" t="s">
        <v>139</v>
      </c>
      <c r="T1794">
        <v>0.028316318639984246</v>
      </c>
      <c r="U1794" t="s">
        <v>90</v>
      </c>
      <c r="V1794">
        <v>0</v>
      </c>
      <c r="W1794" t="s">
        <v>90</v>
      </c>
      <c r="X1794">
        <v>0</v>
      </c>
      <c r="Y1794">
        <v>0.27844379995984508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K1794" t="s">
        <v>6355</v>
      </c>
      <c r="AM1794">
        <v>400000</v>
      </c>
      <c r="AN1794" t="s">
        <v>76</v>
      </c>
      <c r="AO1794">
        <v>2</v>
      </c>
      <c r="AP1794">
        <v>0</v>
      </c>
      <c r="AQ1794">
        <v>33333.333333333336</v>
      </c>
      <c r="AR1794" t="s">
        <v>9</v>
      </c>
      <c r="AS1794" t="s">
        <v>78</v>
      </c>
      <c r="AW1794">
        <v>0</v>
      </c>
      <c r="AX1794" t="s">
        <v>79</v>
      </c>
      <c r="AY1794" t="s">
        <v>137</v>
      </c>
      <c r="AZ1794">
        <v>0</v>
      </c>
      <c r="BA1794" t="s">
        <v>137</v>
      </c>
      <c r="BB1794">
        <v>0</v>
      </c>
      <c r="BE1794">
        <v>0</v>
      </c>
    </row>
    <row r="1795" spans="1:58" ht="12.75">
      <c r="A1795" s="2" t="str">
        <f>HYPERLINK("https://ibp.a2mac1.com/costing(costing:projects/details/8191/part/5389756)","Part 01 single/main")</f>
        <v>Part 01 single/main</v>
      </c>
      <c r="B1795">
        <v>5389756</v>
      </c>
      <c r="C1795">
        <v>5389650</v>
      </c>
      <c r="E1795">
        <v>1.5945760499999999</v>
      </c>
      <c r="F1795">
        <v>0</v>
      </c>
      <c r="G1795">
        <v>0</v>
      </c>
      <c r="H1795">
        <v>0.00023749004999999999</v>
      </c>
      <c r="I1795" t="s">
        <v>137</v>
      </c>
      <c r="J1795">
        <v>0.059372512500000002</v>
      </c>
      <c r="K1795">
        <v>1.6541860525500001</v>
      </c>
      <c r="L1795">
        <v>0.0090624735196952709</v>
      </c>
      <c r="M1795">
        <v>0.054374841118171625</v>
      </c>
      <c r="N1795">
        <v>1.7085608936681715</v>
      </c>
      <c r="O1795" t="s">
        <v>138</v>
      </c>
      <c r="P1795">
        <v>0.099251163153000005</v>
      </c>
      <c r="Q1795" t="s">
        <v>138</v>
      </c>
      <c r="R1795">
        <v>0.0032624904670902977</v>
      </c>
      <c r="S1795" t="s">
        <v>139</v>
      </c>
      <c r="T1795">
        <v>0.20502730724018059</v>
      </c>
      <c r="U1795" t="s">
        <v>90</v>
      </c>
      <c r="V1795">
        <v>0</v>
      </c>
      <c r="W1795" t="s">
        <v>90</v>
      </c>
      <c r="X1795">
        <v>0</v>
      </c>
      <c r="Y1795">
        <v>2.0161018545284426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K1795" t="s">
        <v>6355</v>
      </c>
      <c r="AM1795">
        <v>200000</v>
      </c>
      <c r="AN1795" t="s">
        <v>76</v>
      </c>
      <c r="AO1795">
        <v>1</v>
      </c>
      <c r="AP1795">
        <v>0</v>
      </c>
      <c r="AQ1795">
        <v>16666.666666666668</v>
      </c>
      <c r="AR1795" t="s">
        <v>9</v>
      </c>
      <c r="AS1795" t="s">
        <v>78</v>
      </c>
      <c r="AW1795">
        <v>0</v>
      </c>
      <c r="AX1795" t="s">
        <v>79</v>
      </c>
      <c r="AY1795" t="s">
        <v>137</v>
      </c>
      <c r="AZ1795">
        <v>0</v>
      </c>
      <c r="BA1795" t="s">
        <v>137</v>
      </c>
      <c r="BB1795">
        <v>0</v>
      </c>
      <c r="BE1795">
        <v>0</v>
      </c>
    </row>
    <row r="1796" spans="1:58" ht="12.75">
      <c r="A1796" s="2" t="str">
        <f>HYPERLINK("https://ibp.a2mac1.com/costing(costing:projects/details/8191/part/5389757)","Part 01 single/main")</f>
        <v>Part 01 single/main</v>
      </c>
      <c r="B1796">
        <v>5389757</v>
      </c>
      <c r="C1796">
        <v>5389651</v>
      </c>
      <c r="E1796">
        <v>3.6400877333333335</v>
      </c>
      <c r="F1796">
        <v>0</v>
      </c>
      <c r="G1796">
        <v>0</v>
      </c>
      <c r="H1796">
        <v>0.00045501096666666668</v>
      </c>
      <c r="I1796" t="s">
        <v>137</v>
      </c>
      <c r="J1796">
        <v>0.14477621666666668</v>
      </c>
      <c r="K1796">
        <v>3.7853189609666669</v>
      </c>
      <c r="L1796">
        <v>0.06879874280571327</v>
      </c>
      <c r="M1796">
        <v>0.41279245683427962</v>
      </c>
      <c r="N1796">
        <v>4.1981114178009467</v>
      </c>
      <c r="O1796" t="s">
        <v>138</v>
      </c>
      <c r="P1796">
        <v>0.22711913765799999</v>
      </c>
      <c r="Q1796" t="s">
        <v>138</v>
      </c>
      <c r="R1796">
        <v>0.024767547410056778</v>
      </c>
      <c r="S1796" t="s">
        <v>139</v>
      </c>
      <c r="T1796">
        <v>0.50377337013611356</v>
      </c>
      <c r="U1796" t="s">
        <v>90</v>
      </c>
      <c r="V1796">
        <v>0</v>
      </c>
      <c r="W1796" t="s">
        <v>90</v>
      </c>
      <c r="X1796">
        <v>0</v>
      </c>
      <c r="Y1796">
        <v>4.9537714730051166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K1796" t="s">
        <v>6355</v>
      </c>
      <c r="AM1796">
        <v>400000</v>
      </c>
      <c r="AN1796" t="s">
        <v>76</v>
      </c>
      <c r="AO1796">
        <v>2</v>
      </c>
      <c r="AP1796">
        <v>0</v>
      </c>
      <c r="AQ1796">
        <v>33333.333333333336</v>
      </c>
      <c r="AR1796" t="s">
        <v>9</v>
      </c>
      <c r="AS1796" t="s">
        <v>78</v>
      </c>
      <c r="AW1796">
        <v>0</v>
      </c>
      <c r="AX1796" t="s">
        <v>79</v>
      </c>
      <c r="AY1796" t="s">
        <v>137</v>
      </c>
      <c r="AZ1796">
        <v>0</v>
      </c>
      <c r="BA1796" t="s">
        <v>137</v>
      </c>
      <c r="BB1796">
        <v>0</v>
      </c>
      <c r="BE1796">
        <v>0</v>
      </c>
    </row>
    <row r="1797" spans="1:58" ht="12.75">
      <c r="A1797" s="2" t="str">
        <f>HYPERLINK("https://ibp.a2mac1.com/costing(costing:projects/details/8191/part/5389758)","Part 01 single/main")</f>
        <v>Part 01 single/main</v>
      </c>
      <c r="B1797">
        <v>5389758</v>
      </c>
      <c r="C1797">
        <v>5389652</v>
      </c>
      <c r="E1797">
        <v>0.66346426666666669</v>
      </c>
      <c r="F1797">
        <v>0</v>
      </c>
      <c r="G1797">
        <v>0</v>
      </c>
      <c r="H1797">
        <v>7.8898453333333331E-05</v>
      </c>
      <c r="I1797" t="s">
        <v>137</v>
      </c>
      <c r="J1797">
        <v>0.025104053333333334</v>
      </c>
      <c r="K1797">
        <v>0.68864721845333332</v>
      </c>
      <c r="L1797">
        <v>0.012017019305024818</v>
      </c>
      <c r="M1797">
        <v>0.072102115830148902</v>
      </c>
      <c r="N1797">
        <v>0.76074933428348224</v>
      </c>
      <c r="O1797" t="s">
        <v>138</v>
      </c>
      <c r="P1797">
        <v>0.041318833107199998</v>
      </c>
      <c r="Q1797" t="s">
        <v>138</v>
      </c>
      <c r="R1797">
        <v>0.0043261269498089342</v>
      </c>
      <c r="S1797" t="s">
        <v>139</v>
      </c>
      <c r="T1797">
        <v>0.091289920114017875</v>
      </c>
      <c r="U1797" t="s">
        <v>90</v>
      </c>
      <c r="V1797">
        <v>0</v>
      </c>
      <c r="W1797" t="s">
        <v>90</v>
      </c>
      <c r="X1797">
        <v>0</v>
      </c>
      <c r="Y1797">
        <v>0.89768421445450908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K1797" t="s">
        <v>6355</v>
      </c>
      <c r="AM1797">
        <v>400000</v>
      </c>
      <c r="AN1797" t="s">
        <v>76</v>
      </c>
      <c r="AO1797">
        <v>2</v>
      </c>
      <c r="AP1797">
        <v>0</v>
      </c>
      <c r="AQ1797">
        <v>33333.333333333336</v>
      </c>
      <c r="AR1797" t="s">
        <v>9</v>
      </c>
      <c r="AS1797" t="s">
        <v>78</v>
      </c>
      <c r="AW1797">
        <v>0</v>
      </c>
      <c r="AX1797" t="s">
        <v>79</v>
      </c>
      <c r="AY1797" t="s">
        <v>137</v>
      </c>
      <c r="AZ1797">
        <v>0</v>
      </c>
      <c r="BA1797" t="s">
        <v>137</v>
      </c>
      <c r="BB1797">
        <v>0</v>
      </c>
      <c r="BE1797">
        <v>0</v>
      </c>
    </row>
    <row r="1798" spans="1:58" ht="12.75">
      <c r="A1798" s="2" t="str">
        <f>HYPERLINK("https://ibp.a2mac1.com/costing(costing:projects/details/8191/part/5389759)"," Part 02")</f>
        <v xml:space="preserve"> Part 02</v>
      </c>
      <c r="B1798">
        <v>5389759</v>
      </c>
      <c r="C1798">
        <v>5389652</v>
      </c>
      <c r="E1798">
        <v>0.46703319999999998</v>
      </c>
      <c r="F1798">
        <v>0</v>
      </c>
      <c r="G1798">
        <v>0</v>
      </c>
      <c r="H1798">
        <v>5.3794400000000001E-05</v>
      </c>
      <c r="I1798" t="s">
        <v>137</v>
      </c>
      <c r="J1798">
        <v>0.0171164</v>
      </c>
      <c r="K1798">
        <v>0.48420339439999999</v>
      </c>
      <c r="L1798">
        <v>0.012017019305024818</v>
      </c>
      <c r="M1798">
        <v>0.072102115830148902</v>
      </c>
      <c r="N1798">
        <v>0.55630551023014896</v>
      </c>
      <c r="O1798" t="s">
        <v>138</v>
      </c>
      <c r="P1798">
        <v>0.029052203663999999</v>
      </c>
      <c r="Q1798" t="s">
        <v>138</v>
      </c>
      <c r="R1798">
        <v>0.0043261269498089342</v>
      </c>
      <c r="S1798" t="s">
        <v>139</v>
      </c>
      <c r="T1798">
        <v>0.066756661227617864</v>
      </c>
      <c r="U1798" t="s">
        <v>90</v>
      </c>
      <c r="V1798">
        <v>0</v>
      </c>
      <c r="W1798" t="s">
        <v>90</v>
      </c>
      <c r="X1798">
        <v>0</v>
      </c>
      <c r="Y1798">
        <v>0.65644050207157567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K1798" t="s">
        <v>6355</v>
      </c>
      <c r="AM1798">
        <v>400000</v>
      </c>
      <c r="AN1798" t="s">
        <v>76</v>
      </c>
      <c r="AO1798">
        <v>2</v>
      </c>
      <c r="AP1798">
        <v>0</v>
      </c>
      <c r="AQ1798">
        <v>33333.333333333336</v>
      </c>
      <c r="AR1798" t="s">
        <v>9</v>
      </c>
      <c r="AS1798" t="s">
        <v>78</v>
      </c>
      <c r="AW1798">
        <v>0</v>
      </c>
      <c r="AX1798" t="s">
        <v>79</v>
      </c>
      <c r="AY1798" t="s">
        <v>137</v>
      </c>
      <c r="AZ1798">
        <v>0</v>
      </c>
      <c r="BA1798" t="s">
        <v>137</v>
      </c>
      <c r="BB1798">
        <v>0</v>
      </c>
      <c r="BE1798">
        <v>0</v>
      </c>
    </row>
    <row r="1799" spans="1:58" ht="12.75">
      <c r="A1799" s="2" t="str">
        <f>HYPERLINK("https://ibp.a2mac1.com/costing(costing:projects/details/8191/part/5389760)","Part 01 single/main")</f>
        <v>Part 01 single/main</v>
      </c>
      <c r="B1799">
        <v>5389760</v>
      </c>
      <c r="C1799">
        <v>5389653</v>
      </c>
      <c r="E1799">
        <v>1.5944062444444445</v>
      </c>
      <c r="F1799">
        <v>0</v>
      </c>
      <c r="G1799">
        <v>0</v>
      </c>
      <c r="H1799">
        <v>0.0002301204888888889</v>
      </c>
      <c r="I1799" t="s">
        <v>137</v>
      </c>
      <c r="J1799">
        <v>0.057530122222222223</v>
      </c>
      <c r="K1799">
        <v>1.6521664871555555</v>
      </c>
      <c r="L1799">
        <v>0.0090624735196952709</v>
      </c>
      <c r="M1799">
        <v>0.054374841118171625</v>
      </c>
      <c r="N1799">
        <v>1.7065413282737272</v>
      </c>
      <c r="O1799" t="s">
        <v>138</v>
      </c>
      <c r="P1799">
        <v>0.099129989229333332</v>
      </c>
      <c r="Q1799" t="s">
        <v>138</v>
      </c>
      <c r="R1799">
        <v>0.0032624904670902977</v>
      </c>
      <c r="S1799" t="s">
        <v>139</v>
      </c>
      <c r="T1799">
        <v>0.20478495939284727</v>
      </c>
      <c r="U1799" t="s">
        <v>90</v>
      </c>
      <c r="V1799">
        <v>0</v>
      </c>
      <c r="W1799" t="s">
        <v>90</v>
      </c>
      <c r="X1799">
        <v>0</v>
      </c>
      <c r="Y1799">
        <v>2.0137187673629979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K1799" t="s">
        <v>6355</v>
      </c>
      <c r="AM1799">
        <v>200000</v>
      </c>
      <c r="AN1799" t="s">
        <v>76</v>
      </c>
      <c r="AO1799">
        <v>1</v>
      </c>
      <c r="AP1799">
        <v>0</v>
      </c>
      <c r="AQ1799">
        <v>16666.666666666668</v>
      </c>
      <c r="AR1799" t="s">
        <v>9</v>
      </c>
      <c r="AS1799" t="s">
        <v>78</v>
      </c>
      <c r="AW1799">
        <v>0</v>
      </c>
      <c r="AX1799" t="s">
        <v>79</v>
      </c>
      <c r="AY1799" t="s">
        <v>137</v>
      </c>
      <c r="AZ1799">
        <v>0</v>
      </c>
      <c r="BA1799" t="s">
        <v>137</v>
      </c>
      <c r="BB1799">
        <v>0</v>
      </c>
      <c r="BE1799">
        <v>0</v>
      </c>
    </row>
    <row r="1800" spans="1:58" ht="12.75">
      <c r="A1800" s="2" t="str">
        <f>HYPERLINK("https://ibp.a2mac1.com/costing(costing:projects/details/8191/part/5389761)","Part 01 single/main")</f>
        <v>Part 01 single/main</v>
      </c>
      <c r="B1800">
        <v>5389761</v>
      </c>
      <c r="C1800">
        <v>5389654</v>
      </c>
      <c r="E1800">
        <v>0.28989204444444444</v>
      </c>
      <c r="F1800">
        <v>0</v>
      </c>
      <c r="G1800">
        <v>0</v>
      </c>
      <c r="H1800">
        <v>3.2874355555555556E-05</v>
      </c>
      <c r="I1800" t="s">
        <v>137</v>
      </c>
      <c r="J1800">
        <v>0.010460022222222223</v>
      </c>
      <c r="K1800">
        <v>0.30038494102222224</v>
      </c>
      <c r="L1800">
        <v>0.016357428824467144</v>
      </c>
      <c r="M1800">
        <v>0.098144572946802858</v>
      </c>
      <c r="N1800">
        <v>0.39852951396902508</v>
      </c>
      <c r="O1800" t="s">
        <v>138</v>
      </c>
      <c r="P1800">
        <v>0.018023096461333335</v>
      </c>
      <c r="Q1800" t="s">
        <v>138</v>
      </c>
      <c r="R1800">
        <v>0.0058886743768081715</v>
      </c>
      <c r="S1800" t="s">
        <v>139</v>
      </c>
      <c r="T1800">
        <v>0.047823541676283013</v>
      </c>
      <c r="U1800" t="s">
        <v>90</v>
      </c>
      <c r="V1800">
        <v>0</v>
      </c>
      <c r="W1800" t="s">
        <v>90</v>
      </c>
      <c r="X1800">
        <v>0</v>
      </c>
      <c r="Y1800">
        <v>0.47026482648344958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K1800" t="s">
        <v>6355</v>
      </c>
      <c r="AM1800">
        <v>400000</v>
      </c>
      <c r="AN1800" t="s">
        <v>76</v>
      </c>
      <c r="AO1800">
        <v>2</v>
      </c>
      <c r="AP1800">
        <v>0</v>
      </c>
      <c r="AQ1800">
        <v>33333.333333333336</v>
      </c>
      <c r="AR1800" t="s">
        <v>9</v>
      </c>
      <c r="AS1800" t="s">
        <v>78</v>
      </c>
      <c r="AW1800">
        <v>0</v>
      </c>
      <c r="AX1800" t="s">
        <v>79</v>
      </c>
      <c r="AY1800" t="s">
        <v>137</v>
      </c>
      <c r="AZ1800">
        <v>0</v>
      </c>
      <c r="BA1800" t="s">
        <v>137</v>
      </c>
      <c r="BB1800">
        <v>0</v>
      </c>
      <c r="BE1800">
        <v>0</v>
      </c>
    </row>
    <row r="1801" spans="1:58" ht="12.75">
      <c r="A1801" s="2" t="str">
        <f>HYPERLINK("https://ibp.a2mac1.com/costing(costing:projects/details/8191/part/5389762)"," Part 01 single/main")</f>
        <v xml:space="preserve"> Part 01 single/main</v>
      </c>
      <c r="B1801">
        <v>5389762</v>
      </c>
      <c r="C1801">
        <v>5389655</v>
      </c>
      <c r="E1801">
        <v>1.3668667999999999</v>
      </c>
      <c r="F1801">
        <v>0</v>
      </c>
      <c r="G1801">
        <v>0</v>
      </c>
      <c r="H1801">
        <v>0.00016522565714285713</v>
      </c>
      <c r="I1801" t="s">
        <v>137</v>
      </c>
      <c r="J1801">
        <v>0.052571800000000002</v>
      </c>
      <c r="K1801">
        <v>1.4196038256571428</v>
      </c>
      <c r="L1801">
        <v>0.016357428824467144</v>
      </c>
      <c r="M1801">
        <v>0.098144572946802858</v>
      </c>
      <c r="N1801">
        <v>1.5177483986039457</v>
      </c>
      <c r="O1801" t="s">
        <v>138</v>
      </c>
      <c r="P1801">
        <v>0.085176229539428577</v>
      </c>
      <c r="Q1801" t="s">
        <v>138</v>
      </c>
      <c r="R1801">
        <v>0.0058886743768081715</v>
      </c>
      <c r="S1801" t="s">
        <v>139</v>
      </c>
      <c r="T1801">
        <v>0.18212980783247348</v>
      </c>
      <c r="U1801" t="s">
        <v>90</v>
      </c>
      <c r="V1801">
        <v>0</v>
      </c>
      <c r="W1801" t="s">
        <v>90</v>
      </c>
      <c r="X1801">
        <v>0</v>
      </c>
      <c r="Y1801">
        <v>1.7909431103526559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K1801" t="s">
        <v>6355</v>
      </c>
      <c r="AM1801">
        <v>400000</v>
      </c>
      <c r="AN1801" t="s">
        <v>76</v>
      </c>
      <c r="AO1801">
        <v>2</v>
      </c>
      <c r="AP1801">
        <v>0</v>
      </c>
      <c r="AQ1801">
        <v>33333.333333333336</v>
      </c>
      <c r="AR1801" t="s">
        <v>9</v>
      </c>
      <c r="AS1801" t="s">
        <v>78</v>
      </c>
      <c r="AW1801">
        <v>0</v>
      </c>
      <c r="AX1801" t="s">
        <v>79</v>
      </c>
      <c r="AY1801" t="s">
        <v>137</v>
      </c>
      <c r="AZ1801">
        <v>0</v>
      </c>
      <c r="BA1801" t="s">
        <v>137</v>
      </c>
      <c r="BB1801">
        <v>0</v>
      </c>
      <c r="BE1801">
        <v>0</v>
      </c>
    </row>
    <row r="1802" spans="1:58" ht="12.75">
      <c r="A1802" s="2" t="str">
        <f>HYPERLINK("https://ibp.a2mac1.com/costing(costing:projects/details/8191/part/5389763)"," Part 02")</f>
        <v xml:space="preserve"> Part 02</v>
      </c>
      <c r="B1802">
        <v>5389763</v>
      </c>
      <c r="C1802">
        <v>5389655</v>
      </c>
      <c r="E1802">
        <v>0.39449226666666665</v>
      </c>
      <c r="F1802">
        <v>0</v>
      </c>
      <c r="G1802">
        <v>0</v>
      </c>
      <c r="H1802">
        <v>4.931153333333333E-05</v>
      </c>
      <c r="I1802" t="s">
        <v>137</v>
      </c>
      <c r="J1802">
        <v>0.015690033333333332</v>
      </c>
      <c r="K1802">
        <v>0.41023161153333332</v>
      </c>
      <c r="L1802">
        <v>0.012017019305024818</v>
      </c>
      <c r="M1802">
        <v>0.072102115830148902</v>
      </c>
      <c r="N1802">
        <v>0.48233372736348223</v>
      </c>
      <c r="O1802" t="s">
        <v>138</v>
      </c>
      <c r="P1802">
        <v>0.024613896691999999</v>
      </c>
      <c r="Q1802" t="s">
        <v>138</v>
      </c>
      <c r="R1802">
        <v>0.0043261269498089342</v>
      </c>
      <c r="S1802" t="s">
        <v>139</v>
      </c>
      <c r="T1802">
        <v>0.057880047283617869</v>
      </c>
      <c r="U1802" t="s">
        <v>90</v>
      </c>
      <c r="V1802">
        <v>0</v>
      </c>
      <c r="W1802" t="s">
        <v>90</v>
      </c>
      <c r="X1802">
        <v>0</v>
      </c>
      <c r="Y1802">
        <v>0.569153798288909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K1802" t="s">
        <v>6355</v>
      </c>
      <c r="AM1802">
        <v>400000</v>
      </c>
      <c r="AN1802" t="s">
        <v>76</v>
      </c>
      <c r="AO1802">
        <v>2</v>
      </c>
      <c r="AP1802">
        <v>0</v>
      </c>
      <c r="AQ1802">
        <v>33333.333333333336</v>
      </c>
      <c r="AR1802" t="s">
        <v>9</v>
      </c>
      <c r="AS1802" t="s">
        <v>78</v>
      </c>
      <c r="AW1802">
        <v>0</v>
      </c>
      <c r="AX1802" t="s">
        <v>79</v>
      </c>
      <c r="AY1802" t="s">
        <v>137</v>
      </c>
      <c r="AZ1802">
        <v>0</v>
      </c>
      <c r="BA1802" t="s">
        <v>137</v>
      </c>
      <c r="BB1802">
        <v>0</v>
      </c>
      <c r="BE1802">
        <v>0</v>
      </c>
    </row>
    <row r="1803" spans="1:58" ht="12.75">
      <c r="A1803" s="2" t="str">
        <f>HYPERLINK("https://ibp.a2mac1.com/costing(costing:projects/details/8191/part/5389764)"," Part 03")</f>
        <v xml:space="preserve"> Part 03</v>
      </c>
      <c r="B1803">
        <v>5389764</v>
      </c>
      <c r="C1803">
        <v>5389655</v>
      </c>
      <c r="E1803">
        <v>0.12928994999999999</v>
      </c>
      <c r="F1803">
        <v>0</v>
      </c>
      <c r="G1803">
        <v>0</v>
      </c>
      <c r="H1803">
        <v>1.5129675E-05</v>
      </c>
      <c r="I1803" t="s">
        <v>137</v>
      </c>
      <c r="J1803">
        <v>0.0048139875000000002</v>
      </c>
      <c r="K1803">
        <v>0.134119067175</v>
      </c>
      <c r="L1803">
        <v>0.012017019305024818</v>
      </c>
      <c r="M1803">
        <v>0.072102115830148902</v>
      </c>
      <c r="N1803">
        <v>0.20622118300514891</v>
      </c>
      <c r="O1803" t="s">
        <v>138</v>
      </c>
      <c r="P1803">
        <v>0.0080471440304999992</v>
      </c>
      <c r="Q1803" t="s">
        <v>138</v>
      </c>
      <c r="R1803">
        <v>0.0043261269498089342</v>
      </c>
      <c r="S1803" t="s">
        <v>139</v>
      </c>
      <c r="T1803">
        <v>0.02474654196061787</v>
      </c>
      <c r="U1803" t="s">
        <v>90</v>
      </c>
      <c r="V1803">
        <v>0</v>
      </c>
      <c r="W1803" t="s">
        <v>90</v>
      </c>
      <c r="X1803">
        <v>0</v>
      </c>
      <c r="Y1803">
        <v>0.24334099594607572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K1803" t="s">
        <v>6355</v>
      </c>
      <c r="AM1803">
        <v>400000</v>
      </c>
      <c r="AN1803" t="s">
        <v>76</v>
      </c>
      <c r="AO1803">
        <v>2</v>
      </c>
      <c r="AP1803">
        <v>0</v>
      </c>
      <c r="AQ1803">
        <v>33333.333333333336</v>
      </c>
      <c r="AR1803" t="s">
        <v>9</v>
      </c>
      <c r="AS1803" t="s">
        <v>78</v>
      </c>
      <c r="AW1803">
        <v>0</v>
      </c>
      <c r="AX1803" t="s">
        <v>79</v>
      </c>
      <c r="AY1803" t="s">
        <v>137</v>
      </c>
      <c r="AZ1803">
        <v>0</v>
      </c>
      <c r="BA1803" t="s">
        <v>137</v>
      </c>
      <c r="BB1803">
        <v>0</v>
      </c>
      <c r="BE1803">
        <v>0</v>
      </c>
    </row>
    <row r="1804" spans="1:58" ht="12.75">
      <c r="A1804" s="2" t="str">
        <f>HYPERLINK("https://ibp.a2mac1.com/costing(costing:projects/details/8191/part/5389765)"," Part 04")</f>
        <v xml:space="preserve"> Part 04</v>
      </c>
      <c r="B1804">
        <v>5389765</v>
      </c>
      <c r="C1804">
        <v>5389655</v>
      </c>
      <c r="E1804">
        <v>0.0861933</v>
      </c>
      <c r="F1804">
        <v>0</v>
      </c>
      <c r="G1804">
        <v>0</v>
      </c>
      <c r="H1804">
        <v>1.0086450000000001E-05</v>
      </c>
      <c r="I1804" t="s">
        <v>137</v>
      </c>
      <c r="J1804">
        <v>0.0032093249999999999</v>
      </c>
      <c r="K1804">
        <v>0.089412711450000001</v>
      </c>
      <c r="L1804">
        <v>0.0093102457262997304</v>
      </c>
      <c r="M1804">
        <v>0.055861474357798382</v>
      </c>
      <c r="N1804">
        <v>0.14527418580779838</v>
      </c>
      <c r="O1804" t="s">
        <v>138</v>
      </c>
      <c r="P1804">
        <v>0.0053647626869999998</v>
      </c>
      <c r="Q1804" t="s">
        <v>138</v>
      </c>
      <c r="R1804">
        <v>0.0033516884614679028</v>
      </c>
      <c r="S1804" t="s">
        <v>139</v>
      </c>
      <c r="T1804">
        <v>0.017432902296935806</v>
      </c>
      <c r="U1804" t="s">
        <v>90</v>
      </c>
      <c r="V1804">
        <v>0</v>
      </c>
      <c r="W1804" t="s">
        <v>90</v>
      </c>
      <c r="X1804">
        <v>0</v>
      </c>
      <c r="Y1804">
        <v>0.17142353925320208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K1804" t="s">
        <v>6355</v>
      </c>
      <c r="AM1804">
        <v>400000</v>
      </c>
      <c r="AN1804" t="s">
        <v>76</v>
      </c>
      <c r="AO1804">
        <v>2</v>
      </c>
      <c r="AP1804">
        <v>0</v>
      </c>
      <c r="AQ1804">
        <v>33333.333333333336</v>
      </c>
      <c r="AR1804" t="s">
        <v>9</v>
      </c>
      <c r="AS1804" t="s">
        <v>78</v>
      </c>
      <c r="AW1804">
        <v>0</v>
      </c>
      <c r="AX1804" t="s">
        <v>79</v>
      </c>
      <c r="AY1804" t="s">
        <v>137</v>
      </c>
      <c r="AZ1804">
        <v>0</v>
      </c>
      <c r="BA1804" t="s">
        <v>137</v>
      </c>
      <c r="BB1804">
        <v>0</v>
      </c>
      <c r="BE1804">
        <v>0</v>
      </c>
    </row>
    <row r="1805" spans="1:58" ht="12.75">
      <c r="A1805" s="2" t="str">
        <f>HYPERLINK("https://ibp.a2mac1.com/costing(costing:projects/details/8191/part/5389766)","Part 05")</f>
        <v>Part 05</v>
      </c>
      <c r="B1805">
        <v>5389766</v>
      </c>
      <c r="C1805">
        <v>5389655</v>
      </c>
      <c r="E1805">
        <v>0.39449226666666665</v>
      </c>
      <c r="F1805">
        <v>0</v>
      </c>
      <c r="G1805">
        <v>0</v>
      </c>
      <c r="H1805">
        <v>4.931153333333333E-05</v>
      </c>
      <c r="I1805" t="s">
        <v>137</v>
      </c>
      <c r="J1805">
        <v>0.015690033333333332</v>
      </c>
      <c r="K1805">
        <v>0.41023161153333332</v>
      </c>
      <c r="L1805">
        <v>0.012017019305024818</v>
      </c>
      <c r="M1805">
        <v>0.072102115830148902</v>
      </c>
      <c r="N1805">
        <v>0.48233372736348223</v>
      </c>
      <c r="O1805" t="s">
        <v>138</v>
      </c>
      <c r="P1805">
        <v>0.024613896691999999</v>
      </c>
      <c r="Q1805" t="s">
        <v>138</v>
      </c>
      <c r="R1805">
        <v>0.0043261269498089342</v>
      </c>
      <c r="S1805" t="s">
        <v>139</v>
      </c>
      <c r="T1805">
        <v>0.057880047283617869</v>
      </c>
      <c r="U1805" t="s">
        <v>90</v>
      </c>
      <c r="V1805">
        <v>0</v>
      </c>
      <c r="W1805" t="s">
        <v>90</v>
      </c>
      <c r="X1805">
        <v>0</v>
      </c>
      <c r="Y1805">
        <v>0.569153798288909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K1805" t="s">
        <v>6355</v>
      </c>
      <c r="AM1805">
        <v>400000</v>
      </c>
      <c r="AN1805" t="s">
        <v>76</v>
      </c>
      <c r="AO1805">
        <v>2</v>
      </c>
      <c r="AP1805">
        <v>0</v>
      </c>
      <c r="AQ1805">
        <v>33333.333333333336</v>
      </c>
      <c r="AR1805" t="s">
        <v>9</v>
      </c>
      <c r="AS1805" t="s">
        <v>78</v>
      </c>
      <c r="AW1805">
        <v>0</v>
      </c>
      <c r="AX1805" t="s">
        <v>79</v>
      </c>
      <c r="AY1805" t="s">
        <v>137</v>
      </c>
      <c r="AZ1805">
        <v>0</v>
      </c>
      <c r="BA1805" t="s">
        <v>137</v>
      </c>
      <c r="BB1805">
        <v>0</v>
      </c>
      <c r="BE1805">
        <v>0</v>
      </c>
    </row>
    <row r="1806" spans="1:58" ht="12.75">
      <c r="A1806" s="2" t="str">
        <f>HYPERLINK("https://ibp.a2mac1.com/costing(costing:projects/details/8191/part/5389767)"," Part 01 single/main")</f>
        <v xml:space="preserve"> Part 01 single/main</v>
      </c>
      <c r="B1806">
        <v>5389767</v>
      </c>
      <c r="C1806">
        <v>5389656</v>
      </c>
      <c r="E1806">
        <v>0.72802234117647058</v>
      </c>
      <c r="F1806">
        <v>0</v>
      </c>
      <c r="G1806">
        <v>0</v>
      </c>
      <c r="H1806">
        <v>0.00010672578823529411</v>
      </c>
      <c r="I1806" t="s">
        <v>137</v>
      </c>
      <c r="J1806">
        <v>0.02668144705882353</v>
      </c>
      <c r="K1806">
        <v>0.75481051402352939</v>
      </c>
      <c r="L1806">
        <v>0.0090624735196952709</v>
      </c>
      <c r="M1806">
        <v>0.054374841118171625</v>
      </c>
      <c r="N1806">
        <v>0.80918535514170109</v>
      </c>
      <c r="O1806" t="s">
        <v>138</v>
      </c>
      <c r="P1806">
        <v>0.045288630841411763</v>
      </c>
      <c r="Q1806" t="s">
        <v>138</v>
      </c>
      <c r="R1806">
        <v>0.0032624904670902977</v>
      </c>
      <c r="S1806" t="s">
        <v>139</v>
      </c>
      <c r="T1806">
        <v>0.09710224261700412</v>
      </c>
      <c r="U1806" t="s">
        <v>90</v>
      </c>
      <c r="V1806">
        <v>0</v>
      </c>
      <c r="W1806" t="s">
        <v>90</v>
      </c>
      <c r="X1806">
        <v>0</v>
      </c>
      <c r="Y1806">
        <v>0.95483871906720719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K1806" t="s">
        <v>6355</v>
      </c>
      <c r="AM1806">
        <v>200000</v>
      </c>
      <c r="AN1806" t="s">
        <v>76</v>
      </c>
      <c r="AO1806">
        <v>1</v>
      </c>
      <c r="AP1806">
        <v>0</v>
      </c>
      <c r="AQ1806">
        <v>16666.666666666668</v>
      </c>
      <c r="AR1806" t="s">
        <v>9</v>
      </c>
      <c r="AS1806" t="s">
        <v>78</v>
      </c>
      <c r="AW1806">
        <v>0</v>
      </c>
      <c r="AX1806" t="s">
        <v>79</v>
      </c>
      <c r="AY1806" t="s">
        <v>137</v>
      </c>
      <c r="AZ1806">
        <v>0</v>
      </c>
      <c r="BA1806" t="s">
        <v>137</v>
      </c>
      <c r="BB1806">
        <v>0</v>
      </c>
      <c r="BE1806">
        <v>0</v>
      </c>
    </row>
    <row r="1807" spans="1:58" ht="12.75">
      <c r="A1807" s="2" t="str">
        <f>HYPERLINK("https://ibp.a2mac1.com/costing(costing:projects/details/8191/part/5389768)"," Part 01 single/main")</f>
        <v xml:space="preserve"> Part 01 single/main</v>
      </c>
      <c r="B1807">
        <v>5389768</v>
      </c>
      <c r="C1807">
        <v>5389657</v>
      </c>
      <c r="E1807">
        <v>0.22984879999999999</v>
      </c>
      <c r="F1807">
        <v>0</v>
      </c>
      <c r="G1807">
        <v>0</v>
      </c>
      <c r="H1807">
        <v>2.6897200000000001E-05</v>
      </c>
      <c r="I1807" t="s">
        <v>137</v>
      </c>
      <c r="J1807">
        <v>0.0085582000000000002</v>
      </c>
      <c r="K1807">
        <v>0.23843389719999999</v>
      </c>
      <c r="L1807">
        <v>0.012017019305024818</v>
      </c>
      <c r="M1807">
        <v>0.072102115830148902</v>
      </c>
      <c r="N1807">
        <v>0.31053601303014888</v>
      </c>
      <c r="O1807" t="s">
        <v>138</v>
      </c>
      <c r="P1807">
        <v>0.014306033831999999</v>
      </c>
      <c r="Q1807" t="s">
        <v>138</v>
      </c>
      <c r="R1807">
        <v>0.0043261269498089342</v>
      </c>
      <c r="S1807" t="s">
        <v>139</v>
      </c>
      <c r="T1807">
        <v>0.037264321563617871</v>
      </c>
      <c r="U1807" t="s">
        <v>90</v>
      </c>
      <c r="V1807">
        <v>0</v>
      </c>
      <c r="W1807" t="s">
        <v>90</v>
      </c>
      <c r="X1807">
        <v>0</v>
      </c>
      <c r="Y1807">
        <v>0.36643249537557571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K1807" t="s">
        <v>6355</v>
      </c>
      <c r="AM1807">
        <v>400000</v>
      </c>
      <c r="AN1807" t="s">
        <v>76</v>
      </c>
      <c r="AO1807">
        <v>2</v>
      </c>
      <c r="AP1807">
        <v>0</v>
      </c>
      <c r="AQ1807">
        <v>33333.333333333336</v>
      </c>
      <c r="AR1807" t="s">
        <v>9</v>
      </c>
      <c r="AS1807" t="s">
        <v>78</v>
      </c>
      <c r="AW1807">
        <v>0</v>
      </c>
      <c r="AX1807" t="s">
        <v>79</v>
      </c>
      <c r="AY1807" t="s">
        <v>137</v>
      </c>
      <c r="AZ1807">
        <v>0</v>
      </c>
      <c r="BA1807" t="s">
        <v>137</v>
      </c>
      <c r="BB1807">
        <v>0</v>
      </c>
      <c r="BE1807">
        <v>0</v>
      </c>
    </row>
    <row r="1808" spans="1:58" ht="12.75">
      <c r="A1808" s="2" t="str">
        <f>HYPERLINK("https://ibp.a2mac1.com/costing(costing:projects/details/8191/part/5388140)","Trunk Side Bezels")</f>
        <v>Trunk Side Bezels</v>
      </c>
      <c r="B1808">
        <v>5388140</v>
      </c>
      <c r="C1808">
        <v>5388128</v>
      </c>
      <c r="E1808">
        <v>0.097860963829464132</v>
      </c>
      <c r="F1808">
        <v>0</v>
      </c>
      <c r="G1808">
        <v>0</v>
      </c>
      <c r="H1808">
        <v>0.00010187528090804495</v>
      </c>
      <c r="I1808" t="s">
        <v>137</v>
      </c>
      <c r="J1808">
        <v>0.0034284950305592051</v>
      </c>
      <c r="K1808">
        <v>0.10139133414093138</v>
      </c>
      <c r="L1808">
        <v>0.011666230062426305</v>
      </c>
      <c r="M1808">
        <v>0.069997380374557827</v>
      </c>
      <c r="N1808">
        <v>0.1713887145154892</v>
      </c>
      <c r="O1808" t="s">
        <v>138</v>
      </c>
      <c r="P1808">
        <v>0.006083480048455883</v>
      </c>
      <c r="Q1808" t="s">
        <v>138</v>
      </c>
      <c r="R1808">
        <v>0.00419984282247347</v>
      </c>
      <c r="S1808" t="s">
        <v>139</v>
      </c>
      <c r="T1808">
        <v>0.020566645741858704</v>
      </c>
      <c r="U1808" t="s">
        <v>90</v>
      </c>
      <c r="V1808">
        <v>0</v>
      </c>
      <c r="W1808" t="s">
        <v>90</v>
      </c>
      <c r="X1808">
        <v>0</v>
      </c>
      <c r="Y1808">
        <v>0.20223868312827728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80</v>
      </c>
      <c r="AF1808">
        <v>85</v>
      </c>
      <c r="AG1808">
        <v>168</v>
      </c>
      <c r="AI1808">
        <v>0.037999999999999999</v>
      </c>
      <c r="AJ1808" t="s">
        <v>7194</v>
      </c>
      <c r="AK1808" t="s">
        <v>501</v>
      </c>
      <c r="AL1808" t="s">
        <v>1288</v>
      </c>
      <c r="AM1808">
        <v>200000</v>
      </c>
      <c r="AN1808" t="s">
        <v>76</v>
      </c>
      <c r="AO1808">
        <v>1</v>
      </c>
      <c r="AP1808">
        <v>0</v>
      </c>
      <c r="AQ1808">
        <v>16666.666666666668</v>
      </c>
      <c r="AR1808" t="s">
        <v>7195</v>
      </c>
      <c r="AS1808" t="s">
        <v>78</v>
      </c>
      <c r="AX1808" t="s">
        <v>79</v>
      </c>
      <c r="AY1808" t="s">
        <v>137</v>
      </c>
      <c r="AZ1808">
        <v>0</v>
      </c>
      <c r="BA1808" t="s">
        <v>137</v>
      </c>
      <c r="BB1808">
        <v>0</v>
      </c>
      <c r="BE1808">
        <v>0</v>
      </c>
    </row>
    <row r="1809" spans="1:58" ht="12.75">
      <c r="A1809" s="2" t="str">
        <f>HYPERLINK("https://ibp.a2mac1.com/costing(costing:projects/details/8191/part/5388141)","2nd Trunk Side Bezels")</f>
        <v>2nd Trunk Side Bezels</v>
      </c>
      <c r="B1809">
        <v>5388141</v>
      </c>
      <c r="C1809">
        <v>5388128</v>
      </c>
      <c r="E1809">
        <v>0.097860963829464132</v>
      </c>
      <c r="F1809">
        <v>0</v>
      </c>
      <c r="G1809">
        <v>0</v>
      </c>
      <c r="H1809">
        <v>0.00010187528090804495</v>
      </c>
      <c r="I1809" t="s">
        <v>137</v>
      </c>
      <c r="J1809">
        <v>0.0034284950305592051</v>
      </c>
      <c r="K1809">
        <v>0.10139133414093138</v>
      </c>
      <c r="L1809">
        <v>0.011666230062426305</v>
      </c>
      <c r="M1809">
        <v>0.069997380374557827</v>
      </c>
      <c r="N1809">
        <v>0.1713887145154892</v>
      </c>
      <c r="O1809" t="s">
        <v>138</v>
      </c>
      <c r="P1809">
        <v>0.006083480048455883</v>
      </c>
      <c r="Q1809" t="s">
        <v>138</v>
      </c>
      <c r="R1809">
        <v>0.00419984282247347</v>
      </c>
      <c r="S1809" t="s">
        <v>139</v>
      </c>
      <c r="T1809">
        <v>0.020566645741858704</v>
      </c>
      <c r="U1809" t="s">
        <v>90</v>
      </c>
      <c r="V1809">
        <v>0</v>
      </c>
      <c r="W1809" t="s">
        <v>90</v>
      </c>
      <c r="X1809">
        <v>0</v>
      </c>
      <c r="Y1809">
        <v>0.20223868312827728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80</v>
      </c>
      <c r="AF1809">
        <v>85</v>
      </c>
      <c r="AG1809">
        <v>168</v>
      </c>
      <c r="AI1809">
        <v>0.036999999999999998</v>
      </c>
      <c r="AJ1809" t="s">
        <v>7194</v>
      </c>
      <c r="AK1809" t="s">
        <v>501</v>
      </c>
      <c r="AL1809" t="s">
        <v>1288</v>
      </c>
      <c r="AM1809">
        <v>200000</v>
      </c>
      <c r="AN1809" t="s">
        <v>76</v>
      </c>
      <c r="AO1809">
        <v>1</v>
      </c>
      <c r="AP1809">
        <v>0</v>
      </c>
      <c r="AQ1809">
        <v>16666.666666666668</v>
      </c>
      <c r="AR1809" t="s">
        <v>7198</v>
      </c>
      <c r="AS1809" t="s">
        <v>78</v>
      </c>
      <c r="AX1809" t="s">
        <v>79</v>
      </c>
      <c r="AY1809" t="s">
        <v>137</v>
      </c>
      <c r="AZ1809">
        <v>0</v>
      </c>
      <c r="BA1809" t="s">
        <v>137</v>
      </c>
      <c r="BB1809">
        <v>0</v>
      </c>
      <c r="BE1809">
        <v>0</v>
      </c>
    </row>
    <row r="1810" spans="1:58" ht="12.75">
      <c r="A1810" s="2" t="str">
        <f>HYPERLINK("https://ibp.a2mac1.com/costing(costing:projects/details/8191/part/5388966)","Bolt-on parts&gt;Bolt-on panels&gt;Fender&gt;Panel&gt;Part 01 single/main/front")</f>
        <v>Bolt-on parts&gt;Bolt-on panels&gt;Fender&gt;Panel&gt;Part 01 single/main/front</v>
      </c>
      <c r="B1810">
        <v>5388966</v>
      </c>
      <c r="C1810">
        <v>5388636</v>
      </c>
      <c r="E1810">
        <v>3.5761050000000001</v>
      </c>
      <c r="F1810">
        <v>0</v>
      </c>
      <c r="G1810">
        <v>0</v>
      </c>
      <c r="H1810">
        <v>0.0039690835714285711</v>
      </c>
      <c r="I1810" t="s">
        <v>137</v>
      </c>
      <c r="J1810">
        <v>0.13754250000000001</v>
      </c>
      <c r="K1810">
        <v>3.7176165835714285</v>
      </c>
      <c r="L1810">
        <v>0.03792140404480028</v>
      </c>
      <c r="M1810">
        <v>0.22752842426880168</v>
      </c>
      <c r="N1810">
        <v>3.9451450078402304</v>
      </c>
      <c r="O1810" t="s">
        <v>90</v>
      </c>
      <c r="P1810">
        <v>0</v>
      </c>
      <c r="Q1810" t="s">
        <v>90</v>
      </c>
      <c r="R1810">
        <v>0</v>
      </c>
      <c r="S1810" t="s">
        <v>90</v>
      </c>
      <c r="T1810">
        <v>0</v>
      </c>
      <c r="U1810" t="s">
        <v>90</v>
      </c>
      <c r="V1810">
        <v>0</v>
      </c>
      <c r="W1810" t="s">
        <v>90</v>
      </c>
      <c r="X1810">
        <v>0</v>
      </c>
      <c r="Y1810">
        <v>3.9451450078402304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K1810" t="s">
        <v>6175</v>
      </c>
      <c r="AM1810">
        <v>400000</v>
      </c>
      <c r="AN1810" t="s">
        <v>92</v>
      </c>
      <c r="AO1810">
        <v>2</v>
      </c>
      <c r="AP1810">
        <v>0</v>
      </c>
      <c r="AQ1810">
        <v>33333.333333333336</v>
      </c>
      <c r="AR1810" t="s">
        <v>9</v>
      </c>
      <c r="AS1810" t="s">
        <v>78</v>
      </c>
      <c r="AV1810">
        <v>0</v>
      </c>
      <c r="AW1810">
        <v>0</v>
      </c>
      <c r="AX1810" t="s">
        <v>79</v>
      </c>
      <c r="AY1810" t="s">
        <v>137</v>
      </c>
      <c r="AZ1810">
        <v>0</v>
      </c>
      <c r="BA1810" t="s">
        <v>137</v>
      </c>
      <c r="BB1810">
        <v>0</v>
      </c>
      <c r="BE1810">
        <v>0</v>
      </c>
    </row>
    <row r="1811" spans="1:58" ht="12.75">
      <c r="A1811" s="2" t="str">
        <f>HYPERLINK("https://ibp.a2mac1.com/costing(costing:projects/details/8191/part/5388967)","Bolt-on parts&gt;Bolt-on panels&gt;Fender&gt;Brackets&gt;Part 01 single/main")</f>
        <v>Bolt-on parts&gt;Bolt-on panels&gt;Fender&gt;Brackets&gt;Part 01 single/main</v>
      </c>
      <c r="B1811">
        <v>5388967</v>
      </c>
      <c r="C1811">
        <v>5388637</v>
      </c>
      <c r="E1811">
        <v>0.15109897647058823</v>
      </c>
      <c r="F1811">
        <v>0</v>
      </c>
      <c r="G1811">
        <v>0</v>
      </c>
      <c r="H1811">
        <v>0.00015980101176470588</v>
      </c>
      <c r="I1811" t="s">
        <v>137</v>
      </c>
      <c r="J1811">
        <v>0.0055376588235294122</v>
      </c>
      <c r="K1811">
        <v>0.15679643630588236</v>
      </c>
      <c r="L1811">
        <v>0.019958140664522634</v>
      </c>
      <c r="M1811">
        <v>0.11974884398713581</v>
      </c>
      <c r="N1811">
        <v>0.27654528029301817</v>
      </c>
      <c r="O1811" t="s">
        <v>138</v>
      </c>
      <c r="P1811">
        <v>0.0094077861783529414</v>
      </c>
      <c r="Q1811" t="s">
        <v>138</v>
      </c>
      <c r="R1811">
        <v>0.0071849306392281487</v>
      </c>
      <c r="S1811" t="s">
        <v>139</v>
      </c>
      <c r="T1811">
        <v>0.03318543363516218</v>
      </c>
      <c r="U1811" t="s">
        <v>90</v>
      </c>
      <c r="V1811">
        <v>0</v>
      </c>
      <c r="W1811" t="s">
        <v>90</v>
      </c>
      <c r="X1811">
        <v>0</v>
      </c>
      <c r="Y1811">
        <v>0.32632343074576142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K1811" t="s">
        <v>5825</v>
      </c>
      <c r="AM1811">
        <v>400000</v>
      </c>
      <c r="AN1811" t="s">
        <v>76</v>
      </c>
      <c r="AO1811">
        <v>2</v>
      </c>
      <c r="AP1811">
        <v>0</v>
      </c>
      <c r="AQ1811">
        <v>33333.333333333336</v>
      </c>
      <c r="AR1811" t="s">
        <v>9</v>
      </c>
      <c r="AS1811" t="s">
        <v>78</v>
      </c>
      <c r="AV1811">
        <v>0</v>
      </c>
      <c r="AW1811">
        <v>0</v>
      </c>
      <c r="AX1811" t="s">
        <v>79</v>
      </c>
      <c r="AY1811" t="s">
        <v>137</v>
      </c>
      <c r="AZ1811">
        <v>0</v>
      </c>
      <c r="BA1811" t="s">
        <v>137</v>
      </c>
      <c r="BB1811">
        <v>0</v>
      </c>
      <c r="BE1811">
        <v>0</v>
      </c>
    </row>
    <row r="1812" spans="1:58" ht="12.75">
      <c r="A1812" s="2" t="str">
        <f>HYPERLINK("https://ibp.a2mac1.com/costing(costing:projects/details/8191/part/5388968)","Bolt-on parts&gt;Bolt-on panels&gt;Fender&gt;Brackets&gt;Part 02")</f>
        <v>Bolt-on parts&gt;Bolt-on panels&gt;Fender&gt;Brackets&gt;Part 02</v>
      </c>
      <c r="B1812">
        <v>5388968</v>
      </c>
      <c r="C1812">
        <v>5388637</v>
      </c>
      <c r="E1812">
        <v>0.057462199999999998</v>
      </c>
      <c r="F1812">
        <v>0</v>
      </c>
      <c r="G1812">
        <v>0</v>
      </c>
      <c r="H1812">
        <v>6.1741299999999998E-05</v>
      </c>
      <c r="I1812" t="s">
        <v>137</v>
      </c>
      <c r="J1812">
        <v>0.00213955</v>
      </c>
      <c r="K1812">
        <v>0.059663491300000003</v>
      </c>
      <c r="L1812">
        <v>0.019958140664522634</v>
      </c>
      <c r="M1812">
        <v>0.11974884398713581</v>
      </c>
      <c r="N1812">
        <v>0.17941233528713582</v>
      </c>
      <c r="O1812" t="s">
        <v>138</v>
      </c>
      <c r="P1812">
        <v>0.003579809478</v>
      </c>
      <c r="Q1812" t="s">
        <v>138</v>
      </c>
      <c r="R1812">
        <v>0.0071849306392281487</v>
      </c>
      <c r="S1812" t="s">
        <v>139</v>
      </c>
      <c r="T1812">
        <v>0.021529480234456298</v>
      </c>
      <c r="U1812" t="s">
        <v>90</v>
      </c>
      <c r="V1812">
        <v>0</v>
      </c>
      <c r="W1812" t="s">
        <v>90</v>
      </c>
      <c r="X1812">
        <v>0</v>
      </c>
      <c r="Y1812">
        <v>0.21170655563882027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K1812" t="s">
        <v>5825</v>
      </c>
      <c r="AM1812">
        <v>400000</v>
      </c>
      <c r="AN1812" t="s">
        <v>76</v>
      </c>
      <c r="AO1812">
        <v>2</v>
      </c>
      <c r="AP1812">
        <v>0</v>
      </c>
      <c r="AQ1812">
        <v>33333.333333333336</v>
      </c>
      <c r="AR1812" t="s">
        <v>9</v>
      </c>
      <c r="AS1812" t="s">
        <v>78</v>
      </c>
      <c r="AV1812">
        <v>0</v>
      </c>
      <c r="AW1812">
        <v>0</v>
      </c>
      <c r="AX1812" t="s">
        <v>79</v>
      </c>
      <c r="AY1812" t="s">
        <v>137</v>
      </c>
      <c r="AZ1812">
        <v>0</v>
      </c>
      <c r="BA1812" t="s">
        <v>137</v>
      </c>
      <c r="BB1812">
        <v>0</v>
      </c>
      <c r="BE1812">
        <v>0</v>
      </c>
    </row>
    <row r="1813" spans="1:58" ht="12.75">
      <c r="A1813" s="2" t="str">
        <f>HYPERLINK("https://ibp.a2mac1.com/costing(costing:projects/details/8191/part/5388969)","Bolt-on parts&gt;Bolt-on panels&gt;Fender&gt;Brackets&gt;Part 03")</f>
        <v>Bolt-on parts&gt;Bolt-on panels&gt;Fender&gt;Brackets&gt;Part 03</v>
      </c>
      <c r="B1813">
        <v>5388969</v>
      </c>
      <c r="C1813">
        <v>5388637</v>
      </c>
      <c r="E1813">
        <v>0.30167654999999999</v>
      </c>
      <c r="F1813">
        <v>0</v>
      </c>
      <c r="G1813">
        <v>0</v>
      </c>
      <c r="H1813">
        <v>0.00032414182500000002</v>
      </c>
      <c r="I1813" t="s">
        <v>137</v>
      </c>
      <c r="J1813">
        <v>0.0112326375</v>
      </c>
      <c r="K1813">
        <v>0.31323332932499998</v>
      </c>
      <c r="L1813">
        <v>0.019958140664522634</v>
      </c>
      <c r="M1813">
        <v>0.11974884398713581</v>
      </c>
      <c r="N1813">
        <v>0.43298217331213579</v>
      </c>
      <c r="O1813" t="s">
        <v>138</v>
      </c>
      <c r="P1813">
        <v>0.0187939997595</v>
      </c>
      <c r="Q1813" t="s">
        <v>138</v>
      </c>
      <c r="R1813">
        <v>0.0071849306392281487</v>
      </c>
      <c r="S1813" t="s">
        <v>139</v>
      </c>
      <c r="T1813">
        <v>0.051957860797456297</v>
      </c>
      <c r="U1813" t="s">
        <v>90</v>
      </c>
      <c r="V1813">
        <v>0</v>
      </c>
      <c r="W1813" t="s">
        <v>90</v>
      </c>
      <c r="X1813">
        <v>0</v>
      </c>
      <c r="Y1813">
        <v>0.51091896450832031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K1813" t="s">
        <v>5825</v>
      </c>
      <c r="AM1813">
        <v>400000</v>
      </c>
      <c r="AN1813" t="s">
        <v>76</v>
      </c>
      <c r="AO1813">
        <v>2</v>
      </c>
      <c r="AP1813">
        <v>0</v>
      </c>
      <c r="AQ1813">
        <v>33333.333333333336</v>
      </c>
      <c r="AR1813" t="s">
        <v>9</v>
      </c>
      <c r="AS1813" t="s">
        <v>78</v>
      </c>
      <c r="AV1813">
        <v>0</v>
      </c>
      <c r="AW1813">
        <v>0</v>
      </c>
      <c r="AX1813" t="s">
        <v>79</v>
      </c>
      <c r="AY1813" t="s">
        <v>137</v>
      </c>
      <c r="AZ1813">
        <v>0</v>
      </c>
      <c r="BA1813" t="s">
        <v>137</v>
      </c>
      <c r="BB1813">
        <v>0</v>
      </c>
      <c r="BE1813">
        <v>0</v>
      </c>
    </row>
    <row r="1814" spans="1:58" ht="12.75">
      <c r="A1814" s="2" t="str">
        <f>HYPERLINK("https://ibp.a2mac1.com/costing(costing:projects/details/8191/part/5388970)","Bolt-on parts&gt;Bolt-on panels&gt;Fender&gt;Brackets&gt;Part 04")</f>
        <v>Bolt-on parts&gt;Bolt-on panels&gt;Fender&gt;Brackets&gt;Part 04</v>
      </c>
      <c r="B1814">
        <v>5388970</v>
      </c>
      <c r="C1814">
        <v>5388637</v>
      </c>
      <c r="E1814">
        <v>0.054945082352941176</v>
      </c>
      <c r="F1814">
        <v>0</v>
      </c>
      <c r="G1814">
        <v>0</v>
      </c>
      <c r="H1814">
        <v>5.8109458823529411E-05</v>
      </c>
      <c r="I1814" t="s">
        <v>137</v>
      </c>
      <c r="J1814">
        <v>0.0020136941176470587</v>
      </c>
      <c r="K1814">
        <v>0.057016885929411766</v>
      </c>
      <c r="L1814">
        <v>0.019958140664522634</v>
      </c>
      <c r="M1814">
        <v>0.11974884398713581</v>
      </c>
      <c r="N1814">
        <v>0.17676572991654757</v>
      </c>
      <c r="O1814" t="s">
        <v>138</v>
      </c>
      <c r="P1814">
        <v>0.0034210131557647059</v>
      </c>
      <c r="Q1814" t="s">
        <v>138</v>
      </c>
      <c r="R1814">
        <v>0.0071849306392281487</v>
      </c>
      <c r="S1814" t="s">
        <v>139</v>
      </c>
      <c r="T1814">
        <v>0.021211887589985708</v>
      </c>
      <c r="U1814" t="s">
        <v>90</v>
      </c>
      <c r="V1814">
        <v>0</v>
      </c>
      <c r="W1814" t="s">
        <v>90</v>
      </c>
      <c r="X1814">
        <v>0</v>
      </c>
      <c r="Y1814">
        <v>0.20858356130152614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K1814" t="s">
        <v>5825</v>
      </c>
      <c r="AM1814">
        <v>400000</v>
      </c>
      <c r="AN1814" t="s">
        <v>76</v>
      </c>
      <c r="AO1814">
        <v>2</v>
      </c>
      <c r="AP1814">
        <v>0</v>
      </c>
      <c r="AQ1814">
        <v>33333.333333333336</v>
      </c>
      <c r="AR1814" t="s">
        <v>9</v>
      </c>
      <c r="AS1814" t="s">
        <v>78</v>
      </c>
      <c r="AV1814">
        <v>0</v>
      </c>
      <c r="AW1814">
        <v>0</v>
      </c>
      <c r="AX1814" t="s">
        <v>79</v>
      </c>
      <c r="AY1814" t="s">
        <v>137</v>
      </c>
      <c r="AZ1814">
        <v>0</v>
      </c>
      <c r="BA1814" t="s">
        <v>137</v>
      </c>
      <c r="BB1814">
        <v>0</v>
      </c>
      <c r="BE1814">
        <v>0</v>
      </c>
    </row>
    <row r="1815" spans="1:58" ht="12.75">
      <c r="A1815" s="2" t="str">
        <f>HYPERLINK("https://ibp.a2mac1.com/costing(costing:projects/details/8191/part/5388971)","Bolt-on parts&gt;Bolt-on panels&gt;Fender&gt;Brackets&gt;Part 05")</f>
        <v>Bolt-on parts&gt;Bolt-on panels&gt;Fender&gt;Brackets&gt;Part 05</v>
      </c>
      <c r="B1815">
        <v>5388971</v>
      </c>
      <c r="C1815">
        <v>5388637</v>
      </c>
      <c r="E1815">
        <v>0.04120881176470588</v>
      </c>
      <c r="F1815">
        <v>0</v>
      </c>
      <c r="G1815">
        <v>0</v>
      </c>
      <c r="H1815">
        <v>4.3582094117647057E-05</v>
      </c>
      <c r="I1815" t="s">
        <v>137</v>
      </c>
      <c r="J1815">
        <v>0.0015102705882352942</v>
      </c>
      <c r="K1815">
        <v>0.042762664447058826</v>
      </c>
      <c r="L1815">
        <v>0.019958140664522634</v>
      </c>
      <c r="M1815">
        <v>0.11974884398713581</v>
      </c>
      <c r="N1815">
        <v>0.16251150843419462</v>
      </c>
      <c r="O1815" t="s">
        <v>138</v>
      </c>
      <c r="P1815">
        <v>0.0025657598668235295</v>
      </c>
      <c r="Q1815" t="s">
        <v>138</v>
      </c>
      <c r="R1815">
        <v>0.0071849306392281487</v>
      </c>
      <c r="S1815" t="s">
        <v>139</v>
      </c>
      <c r="T1815">
        <v>0.019501381012103355</v>
      </c>
      <c r="U1815" t="s">
        <v>90</v>
      </c>
      <c r="V1815">
        <v>0</v>
      </c>
      <c r="W1815" t="s">
        <v>90</v>
      </c>
      <c r="X1815">
        <v>0</v>
      </c>
      <c r="Y1815">
        <v>0.19176357995234966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K1815" t="s">
        <v>5825</v>
      </c>
      <c r="AM1815">
        <v>400000</v>
      </c>
      <c r="AN1815" t="s">
        <v>76</v>
      </c>
      <c r="AO1815">
        <v>2</v>
      </c>
      <c r="AP1815">
        <v>0</v>
      </c>
      <c r="AQ1815">
        <v>33333.333333333336</v>
      </c>
      <c r="AR1815" t="s">
        <v>9</v>
      </c>
      <c r="AS1815" t="s">
        <v>78</v>
      </c>
      <c r="AV1815">
        <v>0</v>
      </c>
      <c r="AW1815">
        <v>0</v>
      </c>
      <c r="AX1815" t="s">
        <v>79</v>
      </c>
      <c r="AY1815" t="s">
        <v>137</v>
      </c>
      <c r="AZ1815">
        <v>0</v>
      </c>
      <c r="BA1815" t="s">
        <v>137</v>
      </c>
      <c r="BB1815">
        <v>0</v>
      </c>
      <c r="BE1815">
        <v>0</v>
      </c>
    </row>
    <row r="1816" spans="1:58" ht="12.75">
      <c r="A1816" s="2" t="str">
        <f>HYPERLINK("https://ibp.a2mac1.com/costing(costing:projects/details/8191/part/5388294)","Front Fastener")</f>
        <v>Front Fastener</v>
      </c>
      <c r="B1816">
        <v>5388294</v>
      </c>
      <c r="C1816">
        <v>5388156</v>
      </c>
      <c r="E1816">
        <v>0.32643420000000001</v>
      </c>
      <c r="F1816">
        <v>0</v>
      </c>
      <c r="G1816">
        <v>0</v>
      </c>
      <c r="H1816">
        <v>0.00099562430999999992</v>
      </c>
      <c r="I1816" t="s">
        <v>137</v>
      </c>
      <c r="J1816">
        <v>0.011425197</v>
      </c>
      <c r="K1816">
        <v>0.33885502131</v>
      </c>
      <c r="L1816">
        <v>0.046092759059302997</v>
      </c>
      <c r="M1816">
        <v>0.276556554355818</v>
      </c>
      <c r="N1816">
        <v>0.61541157566581794</v>
      </c>
      <c r="O1816" t="s">
        <v>138</v>
      </c>
      <c r="P1816">
        <v>0.0203313012786</v>
      </c>
      <c r="Q1816" t="s">
        <v>138</v>
      </c>
      <c r="R1816">
        <v>0.016593393261349079</v>
      </c>
      <c r="S1816" t="s">
        <v>139</v>
      </c>
      <c r="T1816">
        <v>0.073849389079898159</v>
      </c>
      <c r="U1816" t="s">
        <v>90</v>
      </c>
      <c r="V1816">
        <v>0</v>
      </c>
      <c r="W1816" t="s">
        <v>90</v>
      </c>
      <c r="X1816">
        <v>0</v>
      </c>
      <c r="Y1816">
        <v>0.72618565928566525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58</v>
      </c>
      <c r="AF1816">
        <v>312</v>
      </c>
      <c r="AG1816">
        <v>105</v>
      </c>
      <c r="AI1816">
        <v>0.26700000000000002</v>
      </c>
      <c r="AJ1816" t="s">
        <v>7229</v>
      </c>
      <c r="AK1816" t="s">
        <v>5825</v>
      </c>
      <c r="AL1816" t="s">
        <v>720</v>
      </c>
      <c r="AM1816">
        <v>400000</v>
      </c>
      <c r="AN1816" t="s">
        <v>76</v>
      </c>
      <c r="AO1816">
        <v>2</v>
      </c>
      <c r="AP1816">
        <v>0</v>
      </c>
      <c r="AQ1816">
        <v>33333.333333333336</v>
      </c>
      <c r="AR1816" t="s">
        <v>7230</v>
      </c>
      <c r="AS1816" t="s">
        <v>78</v>
      </c>
      <c r="AX1816" t="s">
        <v>79</v>
      </c>
      <c r="AY1816" t="s">
        <v>137</v>
      </c>
      <c r="AZ1816">
        <v>0</v>
      </c>
      <c r="BA1816" t="s">
        <v>137</v>
      </c>
      <c r="BB1816">
        <v>0</v>
      </c>
      <c r="BE1816">
        <v>0</v>
      </c>
    </row>
    <row r="1817" spans="1:58" ht="12.75">
      <c r="A1817" s="2" t="str">
        <f>HYPERLINK("https://ibp.a2mac1.com/costing(costing:projects/details/8191/part/5388295)","Padding")</f>
        <v>Padding</v>
      </c>
      <c r="B1817">
        <v>5388295</v>
      </c>
      <c r="C1817">
        <v>5388156</v>
      </c>
      <c r="E1817">
        <v>0.22144</v>
      </c>
      <c r="F1817">
        <v>0</v>
      </c>
      <c r="G1817">
        <v>0</v>
      </c>
      <c r="H1817">
        <v>0</v>
      </c>
      <c r="I1817" t="s">
        <v>74</v>
      </c>
      <c r="J1817">
        <v>0</v>
      </c>
      <c r="K1817">
        <v>0.22144</v>
      </c>
      <c r="L1817">
        <v>0</v>
      </c>
      <c r="M1817">
        <v>0</v>
      </c>
      <c r="N1817">
        <v>0.22144</v>
      </c>
      <c r="O1817" t="s">
        <v>74</v>
      </c>
      <c r="P1817">
        <v>0</v>
      </c>
      <c r="Q1817" t="s">
        <v>74</v>
      </c>
      <c r="R1817">
        <v>0</v>
      </c>
      <c r="S1817" t="s">
        <v>74</v>
      </c>
      <c r="T1817">
        <v>0</v>
      </c>
      <c r="U1817" t="s">
        <v>74</v>
      </c>
      <c r="V1817">
        <v>0</v>
      </c>
      <c r="W1817" t="s">
        <v>74</v>
      </c>
      <c r="X1817">
        <v>0</v>
      </c>
      <c r="Y1817">
        <v>0.22144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40</v>
      </c>
      <c r="AF1817">
        <v>175</v>
      </c>
      <c r="AG1817">
        <v>139</v>
      </c>
      <c r="AI1817">
        <v>0.014749999999999999</v>
      </c>
      <c r="AJ1817" t="s">
        <v>685</v>
      </c>
      <c r="AK1817" t="s">
        <v>223</v>
      </c>
      <c r="AL1817" t="s">
        <v>7231</v>
      </c>
      <c r="AM1817">
        <v>800000</v>
      </c>
      <c r="AN1817" t="s">
        <v>92</v>
      </c>
      <c r="AO1817">
        <v>4</v>
      </c>
      <c r="AP1817">
        <v>0</v>
      </c>
      <c r="AQ1817">
        <v>66666.666666666672</v>
      </c>
      <c r="AR1817" t="s">
        <v>7232</v>
      </c>
      <c r="AS1817" t="s">
        <v>78</v>
      </c>
      <c r="AX1817" t="s">
        <v>79</v>
      </c>
      <c r="AY1817" t="s">
        <v>74</v>
      </c>
      <c r="AZ1817">
        <v>0</v>
      </c>
      <c r="BA1817" t="s">
        <v>74</v>
      </c>
      <c r="BB1817">
        <v>0</v>
      </c>
      <c r="BD1817">
        <v>0.055359999999999999</v>
      </c>
      <c r="BE1817">
        <v>0</v>
      </c>
    </row>
    <row r="1818" spans="1:58" ht="12.75">
      <c r="A1818" s="2" t="str">
        <f>HYPERLINK("https://ibp.a2mac1.com/costing(costing:projects/details/8191/part/5388296)","Fender Extension")</f>
        <v>Fender Extension</v>
      </c>
      <c r="B1818">
        <v>5388296</v>
      </c>
      <c r="C1818">
        <v>5388156</v>
      </c>
      <c r="E1818">
        <v>1.1219747673475262</v>
      </c>
      <c r="F1818">
        <v>0</v>
      </c>
      <c r="G1818">
        <v>0</v>
      </c>
      <c r="H1818">
        <v>0.0022798439367110301</v>
      </c>
      <c r="I1818" t="s">
        <v>137</v>
      </c>
      <c r="J1818">
        <v>0.039307654081224656</v>
      </c>
      <c r="K1818">
        <v>1.163562265365462</v>
      </c>
      <c r="L1818">
        <v>0.12302243659144883</v>
      </c>
      <c r="M1818">
        <v>0.73813461954869297</v>
      </c>
      <c r="N1818">
        <v>1.9016968849141549</v>
      </c>
      <c r="O1818" t="s">
        <v>138</v>
      </c>
      <c r="P1818">
        <v>0.069813735921927716</v>
      </c>
      <c r="Q1818" t="s">
        <v>138</v>
      </c>
      <c r="R1818">
        <v>0.044288077172921575</v>
      </c>
      <c r="S1818" t="s">
        <v>139</v>
      </c>
      <c r="T1818">
        <v>0.22820362618969858</v>
      </c>
      <c r="U1818" t="s">
        <v>90</v>
      </c>
      <c r="V1818">
        <v>0</v>
      </c>
      <c r="W1818" t="s">
        <v>90</v>
      </c>
      <c r="X1818">
        <v>0</v>
      </c>
      <c r="Y1818">
        <v>2.244002324198703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79</v>
      </c>
      <c r="AF1818">
        <v>1000</v>
      </c>
      <c r="AG1818">
        <v>635</v>
      </c>
      <c r="AI1818">
        <v>0.40849999999999997</v>
      </c>
      <c r="AJ1818" t="s">
        <v>685</v>
      </c>
      <c r="AK1818" t="s">
        <v>5825</v>
      </c>
      <c r="AL1818" t="s">
        <v>6105</v>
      </c>
      <c r="AM1818">
        <v>400000</v>
      </c>
      <c r="AN1818" t="s">
        <v>76</v>
      </c>
      <c r="AO1818">
        <v>2</v>
      </c>
      <c r="AP1818">
        <v>0</v>
      </c>
      <c r="AQ1818">
        <v>33333.333333333336</v>
      </c>
      <c r="AR1818" t="s">
        <v>7239</v>
      </c>
      <c r="AS1818" t="s">
        <v>78</v>
      </c>
      <c r="AX1818" t="s">
        <v>79</v>
      </c>
      <c r="AY1818" t="s">
        <v>137</v>
      </c>
      <c r="AZ1818">
        <v>0</v>
      </c>
      <c r="BA1818" t="s">
        <v>137</v>
      </c>
      <c r="BB1818">
        <v>0</v>
      </c>
      <c r="BE1818">
        <v>0</v>
      </c>
    </row>
    <row r="1819" spans="1:58" ht="12.75">
      <c r="A1819" s="2" t="str">
        <f>HYPERLINK("https://ibp.a2mac1.com/costing(costing:projects/details/8191/part/5388297)","Upper Support")</f>
        <v>Upper Support</v>
      </c>
      <c r="B1819">
        <v>5388297</v>
      </c>
      <c r="C1819">
        <v>5388156</v>
      </c>
      <c r="E1819">
        <v>0.58036604786308821</v>
      </c>
      <c r="F1819">
        <v>0</v>
      </c>
      <c r="G1819">
        <v>0</v>
      </c>
      <c r="H1819">
        <v>0.0020349209071177411</v>
      </c>
      <c r="I1819" t="s">
        <v>137</v>
      </c>
      <c r="J1819">
        <v>0.023351551393154407</v>
      </c>
      <c r="K1819">
        <v>0.60575252016336034</v>
      </c>
      <c r="L1819">
        <v>0.046092759059302997</v>
      </c>
      <c r="M1819">
        <v>0.276556554355818</v>
      </c>
      <c r="N1819">
        <v>0.88230907451917828</v>
      </c>
      <c r="O1819" t="s">
        <v>138</v>
      </c>
      <c r="P1819">
        <v>0.03634515120980162</v>
      </c>
      <c r="Q1819" t="s">
        <v>138</v>
      </c>
      <c r="R1819">
        <v>0.016593393261349079</v>
      </c>
      <c r="S1819" t="s">
        <v>139</v>
      </c>
      <c r="T1819">
        <v>0.1058770889423014</v>
      </c>
      <c r="U1819" t="s">
        <v>90</v>
      </c>
      <c r="V1819">
        <v>0</v>
      </c>
      <c r="W1819" t="s">
        <v>90</v>
      </c>
      <c r="X1819">
        <v>0</v>
      </c>
      <c r="Y1819">
        <v>1.0411247079326305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63</v>
      </c>
      <c r="AF1819">
        <v>228</v>
      </c>
      <c r="AG1819">
        <v>90</v>
      </c>
      <c r="AI1819">
        <v>0.309</v>
      </c>
      <c r="AJ1819" t="s">
        <v>685</v>
      </c>
      <c r="AK1819" t="s">
        <v>5825</v>
      </c>
      <c r="AL1819" t="s">
        <v>720</v>
      </c>
      <c r="AM1819">
        <v>400000</v>
      </c>
      <c r="AN1819" t="s">
        <v>76</v>
      </c>
      <c r="AO1819">
        <v>2</v>
      </c>
      <c r="AP1819">
        <v>0</v>
      </c>
      <c r="AQ1819">
        <v>33333.333333333336</v>
      </c>
      <c r="AR1819" t="s">
        <v>7245</v>
      </c>
      <c r="AS1819" t="s">
        <v>78</v>
      </c>
      <c r="AX1819" t="s">
        <v>79</v>
      </c>
      <c r="AY1819" t="s">
        <v>137</v>
      </c>
      <c r="AZ1819">
        <v>0</v>
      </c>
      <c r="BA1819" t="s">
        <v>137</v>
      </c>
      <c r="BB1819">
        <v>0</v>
      </c>
      <c r="BE1819">
        <v>0</v>
      </c>
    </row>
    <row r="1820" spans="1:58" ht="12.75">
      <c r="A1820" s="2" t="str">
        <f>HYPERLINK("https://ibp.a2mac1.com/costing(costing:projects/details/8191/part/5388298)","Rear Fastener")</f>
        <v>Rear Fastener</v>
      </c>
      <c r="B1820">
        <v>5388298</v>
      </c>
      <c r="C1820">
        <v>5388156</v>
      </c>
      <c r="E1820">
        <v>0.084971466876805568</v>
      </c>
      <c r="F1820">
        <v>0</v>
      </c>
      <c r="G1820">
        <v>0</v>
      </c>
      <c r="H1820">
        <v>0.00032149037782036713</v>
      </c>
      <c r="I1820" t="s">
        <v>137</v>
      </c>
      <c r="J1820">
        <v>0.0036892338438402786</v>
      </c>
      <c r="K1820">
        <v>0.088982191098466223</v>
      </c>
      <c r="L1820">
        <v>0.046092759059302997</v>
      </c>
      <c r="M1820">
        <v>0.276556554355818</v>
      </c>
      <c r="N1820">
        <v>0.36553874545428422</v>
      </c>
      <c r="O1820" t="s">
        <v>138</v>
      </c>
      <c r="P1820">
        <v>0.0053389314659079727</v>
      </c>
      <c r="Q1820" t="s">
        <v>138</v>
      </c>
      <c r="R1820">
        <v>0.016593393261349079</v>
      </c>
      <c r="S1820" t="s">
        <v>139</v>
      </c>
      <c r="T1820">
        <v>0.043864649454514106</v>
      </c>
      <c r="U1820" t="s">
        <v>90</v>
      </c>
      <c r="V1820">
        <v>0</v>
      </c>
      <c r="W1820" t="s">
        <v>90</v>
      </c>
      <c r="X1820">
        <v>0</v>
      </c>
      <c r="Y1820">
        <v>0.43133571963605533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35</v>
      </c>
      <c r="AF1820">
        <v>39</v>
      </c>
      <c r="AG1820">
        <v>111</v>
      </c>
      <c r="AI1820">
        <v>0.030499999999999999</v>
      </c>
      <c r="AK1820" t="s">
        <v>5825</v>
      </c>
      <c r="AL1820" t="s">
        <v>720</v>
      </c>
      <c r="AM1820">
        <v>400000</v>
      </c>
      <c r="AN1820" t="s">
        <v>76</v>
      </c>
      <c r="AO1820">
        <v>2</v>
      </c>
      <c r="AP1820">
        <v>0</v>
      </c>
      <c r="AQ1820">
        <v>33333.333333333336</v>
      </c>
      <c r="AR1820" t="s">
        <v>7251</v>
      </c>
      <c r="AS1820" t="s">
        <v>78</v>
      </c>
      <c r="AX1820" t="s">
        <v>79</v>
      </c>
      <c r="AY1820" t="s">
        <v>137</v>
      </c>
      <c r="AZ1820">
        <v>0</v>
      </c>
      <c r="BA1820" t="s">
        <v>137</v>
      </c>
      <c r="BB1820">
        <v>0</v>
      </c>
      <c r="BE1820">
        <v>0</v>
      </c>
    </row>
    <row r="1821" spans="1:58" ht="12.75">
      <c r="A1821" s="2" t="str">
        <f>HYPERLINK("https://ibp.a2mac1.com/costing(costing:projects/details/8191/part/5388299)","Rear Covers")</f>
        <v>Rear Covers</v>
      </c>
      <c r="B1821">
        <v>5388299</v>
      </c>
      <c r="C1821">
        <v>5388156</v>
      </c>
      <c r="E1821">
        <v>0.46802852389015004</v>
      </c>
      <c r="F1821">
        <v>0</v>
      </c>
      <c r="G1821">
        <v>0</v>
      </c>
      <c r="H1821">
        <v>0.00095103029359684698</v>
      </c>
      <c r="I1821" t="s">
        <v>137</v>
      </c>
      <c r="J1821">
        <v>0.016397074027531846</v>
      </c>
      <c r="K1821">
        <v>0.48537662821127875</v>
      </c>
      <c r="L1821">
        <v>0.093492435551509004</v>
      </c>
      <c r="M1821">
        <v>0.56095461330905394</v>
      </c>
      <c r="N1821">
        <v>1.0463312415203327</v>
      </c>
      <c r="O1821" t="s">
        <v>138</v>
      </c>
      <c r="P1821">
        <v>0.029122597692676725</v>
      </c>
      <c r="Q1821" t="s">
        <v>138</v>
      </c>
      <c r="R1821">
        <v>0.033657276798543238</v>
      </c>
      <c r="S1821" t="s">
        <v>139</v>
      </c>
      <c r="T1821">
        <v>0.12555974898243993</v>
      </c>
      <c r="U1821" t="s">
        <v>90</v>
      </c>
      <c r="V1821">
        <v>0</v>
      </c>
      <c r="W1821" t="s">
        <v>90</v>
      </c>
      <c r="X1821">
        <v>0</v>
      </c>
      <c r="Y1821">
        <v>1.2346708649939926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140</v>
      </c>
      <c r="AF1821">
        <v>190</v>
      </c>
      <c r="AG1821">
        <v>855</v>
      </c>
      <c r="AI1821">
        <v>0.20599999999999999</v>
      </c>
      <c r="AJ1821" t="s">
        <v>685</v>
      </c>
      <c r="AK1821" t="s">
        <v>5825</v>
      </c>
      <c r="AL1821" t="s">
        <v>5540</v>
      </c>
      <c r="AM1821">
        <v>400000</v>
      </c>
      <c r="AN1821" t="s">
        <v>76</v>
      </c>
      <c r="AO1821">
        <v>2</v>
      </c>
      <c r="AP1821">
        <v>0</v>
      </c>
      <c r="AQ1821">
        <v>33333.333333333336</v>
      </c>
      <c r="AR1821" t="s">
        <v>7258</v>
      </c>
      <c r="AS1821" t="s">
        <v>78</v>
      </c>
      <c r="AX1821" t="s">
        <v>79</v>
      </c>
      <c r="AY1821" t="s">
        <v>137</v>
      </c>
      <c r="AZ1821">
        <v>0</v>
      </c>
      <c r="BA1821" t="s">
        <v>137</v>
      </c>
      <c r="BB1821">
        <v>0</v>
      </c>
      <c r="BE1821">
        <v>0</v>
      </c>
    </row>
    <row r="1822" spans="1:58" ht="12.75">
      <c r="A1822" s="2" t="str">
        <f>HYPERLINK("https://ibp.a2mac1.com/costing(costing:projects/details/8191/part/5388302)","Fender Extensions")</f>
        <v>Fender Extensions</v>
      </c>
      <c r="B1822">
        <v>5388302</v>
      </c>
      <c r="C1822">
        <v>5388157</v>
      </c>
      <c r="E1822">
        <v>1.3452496552399449</v>
      </c>
      <c r="F1822">
        <v>0</v>
      </c>
      <c r="G1822">
        <v>0</v>
      </c>
      <c r="H1822">
        <v>0.0027308568001370879</v>
      </c>
      <c r="I1822" t="s">
        <v>137</v>
      </c>
      <c r="J1822">
        <v>0.047083737933398068</v>
      </c>
      <c r="K1822">
        <v>1.39506424997348</v>
      </c>
      <c r="L1822">
        <v>0.11069993530317851</v>
      </c>
      <c r="M1822">
        <v>0.66419961181907106</v>
      </c>
      <c r="N1822">
        <v>2.0592638617925512</v>
      </c>
      <c r="O1822" t="s">
        <v>138</v>
      </c>
      <c r="P1822">
        <v>0.083703854998408794</v>
      </c>
      <c r="Q1822" t="s">
        <v>138</v>
      </c>
      <c r="R1822">
        <v>0.039851976709144268</v>
      </c>
      <c r="S1822" t="s">
        <v>139</v>
      </c>
      <c r="T1822">
        <v>0.24711166341510613</v>
      </c>
      <c r="U1822" t="s">
        <v>90</v>
      </c>
      <c r="V1822">
        <v>0</v>
      </c>
      <c r="W1822" t="s">
        <v>90</v>
      </c>
      <c r="X1822">
        <v>0</v>
      </c>
      <c r="Y1822">
        <v>2.4299313569152101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74</v>
      </c>
      <c r="AF1822">
        <v>980</v>
      </c>
      <c r="AG1822">
        <v>612</v>
      </c>
      <c r="AI1822">
        <v>0.46050000000000002</v>
      </c>
      <c r="AJ1822" t="s">
        <v>685</v>
      </c>
      <c r="AK1822" t="s">
        <v>5825</v>
      </c>
      <c r="AL1822" t="s">
        <v>6105</v>
      </c>
      <c r="AM1822">
        <v>400000</v>
      </c>
      <c r="AN1822" t="s">
        <v>76</v>
      </c>
      <c r="AO1822">
        <v>2</v>
      </c>
      <c r="AP1822">
        <v>0</v>
      </c>
      <c r="AQ1822">
        <v>33333.333333333336</v>
      </c>
      <c r="AR1822" t="s">
        <v>7267</v>
      </c>
      <c r="AS1822" t="s">
        <v>78</v>
      </c>
      <c r="AX1822" t="s">
        <v>79</v>
      </c>
      <c r="AY1822" t="s">
        <v>137</v>
      </c>
      <c r="AZ1822">
        <v>0</v>
      </c>
      <c r="BA1822" t="s">
        <v>137</v>
      </c>
      <c r="BB1822">
        <v>0</v>
      </c>
      <c r="BE1822">
        <v>0</v>
      </c>
    </row>
    <row r="1823" spans="1:58" ht="12.75">
      <c r="A1823" s="2" t="str">
        <f>HYPERLINK("https://ibp.a2mac1.com/costing(costing:projects/details/8191/part/5388972)","Lower Central")</f>
        <v>Lower Central</v>
      </c>
      <c r="B1823">
        <v>5388972</v>
      </c>
      <c r="C1823">
        <v>5388644</v>
      </c>
      <c r="E1823">
        <v>1.5845452035000001</v>
      </c>
      <c r="F1823">
        <v>0</v>
      </c>
      <c r="G1823">
        <v>0</v>
      </c>
      <c r="H1823">
        <v>0.0080378934633684208</v>
      </c>
      <c r="I1823" t="s">
        <v>137</v>
      </c>
      <c r="J1823">
        <v>0.055598077315789474</v>
      </c>
      <c r="K1823">
        <v>1.6481811742791579</v>
      </c>
      <c r="L1823">
        <v>0.046954456095611406</v>
      </c>
      <c r="M1823">
        <v>0.28172673657366842</v>
      </c>
      <c r="N1823">
        <v>1.9299079108528263</v>
      </c>
      <c r="O1823" t="s">
        <v>138</v>
      </c>
      <c r="P1823">
        <v>0.098890870456749477</v>
      </c>
      <c r="Q1823" t="s">
        <v>138</v>
      </c>
      <c r="R1823">
        <v>0.016903604194420108</v>
      </c>
      <c r="S1823" t="s">
        <v>139</v>
      </c>
      <c r="T1823">
        <v>0.23158894930233917</v>
      </c>
      <c r="U1823" t="s">
        <v>90</v>
      </c>
      <c r="V1823">
        <v>0</v>
      </c>
      <c r="W1823" t="s">
        <v>90</v>
      </c>
      <c r="X1823">
        <v>0</v>
      </c>
      <c r="Y1823">
        <v>2.2772913348063351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265</v>
      </c>
      <c r="AF1823">
        <v>1708</v>
      </c>
      <c r="AG1823">
        <v>199</v>
      </c>
      <c r="AI1823">
        <v>1.0089999999999999</v>
      </c>
      <c r="AJ1823" t="s">
        <v>1325</v>
      </c>
      <c r="AK1823" t="s">
        <v>501</v>
      </c>
      <c r="AL1823" t="s">
        <v>6105</v>
      </c>
      <c r="AM1823">
        <v>200000</v>
      </c>
      <c r="AN1823" t="s">
        <v>76</v>
      </c>
      <c r="AO1823">
        <v>1</v>
      </c>
      <c r="AP1823">
        <v>0</v>
      </c>
      <c r="AQ1823">
        <v>16666.666666666668</v>
      </c>
      <c r="AR1823" t="s">
        <v>7278</v>
      </c>
      <c r="AS1823" t="s">
        <v>78</v>
      </c>
      <c r="AX1823" t="s">
        <v>79</v>
      </c>
      <c r="AY1823" t="s">
        <v>137</v>
      </c>
      <c r="AZ1823">
        <v>0</v>
      </c>
      <c r="BA1823" t="s">
        <v>137</v>
      </c>
      <c r="BB1823">
        <v>0</v>
      </c>
      <c r="BE1823">
        <v>0</v>
      </c>
    </row>
    <row r="1824" spans="1:58" ht="12.75">
      <c r="A1824" s="2" t="str">
        <f>HYPERLINK("https://ibp.a2mac1.com/costing(costing:projects/details/8191/part/5388973)","Trim Bezel Lower Central")</f>
        <v>Trim Bezel Lower Central</v>
      </c>
      <c r="B1824">
        <v>5388973</v>
      </c>
      <c r="C1824">
        <v>5388645</v>
      </c>
      <c r="E1824">
        <v>0.84645179849999996</v>
      </c>
      <c r="F1824">
        <v>0</v>
      </c>
      <c r="G1824">
        <v>0</v>
      </c>
      <c r="H1824">
        <v>0.004293780551789474</v>
      </c>
      <c r="I1824" t="s">
        <v>137</v>
      </c>
      <c r="J1824">
        <v>0.029700063105263158</v>
      </c>
      <c r="K1824">
        <v>0.88044564215705268</v>
      </c>
      <c r="L1824">
        <v>0.02505300730957891</v>
      </c>
      <c r="M1824">
        <v>0.15031804385747347</v>
      </c>
      <c r="N1824">
        <v>1.0307636860145262</v>
      </c>
      <c r="O1824" t="s">
        <v>90</v>
      </c>
      <c r="P1824">
        <v>0</v>
      </c>
      <c r="Q1824" t="s">
        <v>90</v>
      </c>
      <c r="R1824">
        <v>0</v>
      </c>
      <c r="S1824" t="s">
        <v>90</v>
      </c>
      <c r="T1824">
        <v>0</v>
      </c>
      <c r="U1824" t="s">
        <v>90</v>
      </c>
      <c r="V1824">
        <v>0</v>
      </c>
      <c r="W1824" t="s">
        <v>90</v>
      </c>
      <c r="X1824">
        <v>0</v>
      </c>
      <c r="Y1824">
        <v>1.0307636860145262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126</v>
      </c>
      <c r="AF1824">
        <v>1341</v>
      </c>
      <c r="AG1824">
        <v>186</v>
      </c>
      <c r="AI1824">
        <v>0.53900000000000003</v>
      </c>
      <c r="AJ1824" t="s">
        <v>1325</v>
      </c>
      <c r="AK1824" t="s">
        <v>501</v>
      </c>
      <c r="AL1824" t="s">
        <v>6105</v>
      </c>
      <c r="AM1824">
        <v>200000</v>
      </c>
      <c r="AN1824" t="s">
        <v>92</v>
      </c>
      <c r="AO1824">
        <v>1</v>
      </c>
      <c r="AP1824">
        <v>0</v>
      </c>
      <c r="AQ1824">
        <v>16666.666666666668</v>
      </c>
      <c r="AR1824" t="s">
        <v>7285</v>
      </c>
      <c r="AS1824" t="s">
        <v>78</v>
      </c>
      <c r="AX1824" t="s">
        <v>79</v>
      </c>
      <c r="AY1824" t="s">
        <v>137</v>
      </c>
      <c r="AZ1824">
        <v>0</v>
      </c>
      <c r="BA1824" t="s">
        <v>137</v>
      </c>
      <c r="BB1824">
        <v>0</v>
      </c>
      <c r="BE1824">
        <v>0</v>
      </c>
    </row>
    <row r="1825" spans="1:58" ht="12.75">
      <c r="A1825" s="2" t="str">
        <f>HYPERLINK("https://ibp.a2mac1.com/costing(costing:projects/details/8191/part/5388974)","Trim Bezel Side")</f>
        <v>Trim Bezel Side</v>
      </c>
      <c r="B1825">
        <v>5388974</v>
      </c>
      <c r="C1825">
        <v>5388645</v>
      </c>
      <c r="E1825">
        <v>0.465133662</v>
      </c>
      <c r="F1825">
        <v>0</v>
      </c>
      <c r="G1825">
        <v>0</v>
      </c>
      <c r="H1825">
        <v>0.0023454860349473683</v>
      </c>
      <c r="I1825" t="s">
        <v>137</v>
      </c>
      <c r="J1825">
        <v>0.016320479368421053</v>
      </c>
      <c r="K1825">
        <v>0.4837996274033684</v>
      </c>
      <c r="L1825">
        <v>0.020286049817488608</v>
      </c>
      <c r="M1825">
        <v>0.12171629890493166</v>
      </c>
      <c r="N1825">
        <v>0.60551592630830009</v>
      </c>
      <c r="O1825" t="s">
        <v>90</v>
      </c>
      <c r="P1825">
        <v>0</v>
      </c>
      <c r="Q1825" t="s">
        <v>90</v>
      </c>
      <c r="R1825">
        <v>0</v>
      </c>
      <c r="S1825" t="s">
        <v>90</v>
      </c>
      <c r="T1825">
        <v>0</v>
      </c>
      <c r="U1825" t="s">
        <v>90</v>
      </c>
      <c r="V1825">
        <v>0</v>
      </c>
      <c r="W1825" t="s">
        <v>90</v>
      </c>
      <c r="X1825">
        <v>0</v>
      </c>
      <c r="Y1825">
        <v>0.60551592630830009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112</v>
      </c>
      <c r="AF1825">
        <v>501</v>
      </c>
      <c r="AG1825">
        <v>212</v>
      </c>
      <c r="AI1825">
        <v>0.219</v>
      </c>
      <c r="AJ1825" t="s">
        <v>1325</v>
      </c>
      <c r="AK1825" t="s">
        <v>501</v>
      </c>
      <c r="AL1825" t="s">
        <v>1182</v>
      </c>
      <c r="AM1825">
        <v>400000</v>
      </c>
      <c r="AN1825" t="s">
        <v>92</v>
      </c>
      <c r="AO1825">
        <v>2</v>
      </c>
      <c r="AP1825">
        <v>0</v>
      </c>
      <c r="AQ1825">
        <v>33333.333333333336</v>
      </c>
      <c r="AR1825" t="s">
        <v>7288</v>
      </c>
      <c r="AS1825" t="s">
        <v>78</v>
      </c>
      <c r="AX1825" t="s">
        <v>79</v>
      </c>
      <c r="AY1825" t="s">
        <v>137</v>
      </c>
      <c r="AZ1825">
        <v>0</v>
      </c>
      <c r="BA1825" t="s">
        <v>137</v>
      </c>
      <c r="BB1825">
        <v>0</v>
      </c>
      <c r="BE1825">
        <v>0</v>
      </c>
    </row>
    <row r="1826" spans="1:58" ht="12.75">
      <c r="A1826" s="2" t="str">
        <f>HYPERLINK("https://ibp.a2mac1.com/costing(costing:projects/details/8191/part/5388975)","Trim Logo")</f>
        <v>Trim Logo</v>
      </c>
      <c r="B1826">
        <v>5388975</v>
      </c>
      <c r="C1826">
        <v>5388645</v>
      </c>
      <c r="E1826">
        <v>0.0441</v>
      </c>
      <c r="F1826">
        <v>0</v>
      </c>
      <c r="G1826">
        <v>0</v>
      </c>
      <c r="H1826">
        <v>0.00022370526315789474</v>
      </c>
      <c r="I1826" t="s">
        <v>137</v>
      </c>
      <c r="J1826">
        <v>0.0015473684210526315</v>
      </c>
      <c r="K1826">
        <v>0.045871073684210527</v>
      </c>
      <c r="L1826">
        <v>0.00092839371990018039</v>
      </c>
      <c r="M1826">
        <v>0.0055703623194010825</v>
      </c>
      <c r="N1826">
        <v>0.051441436003611611</v>
      </c>
      <c r="O1826" t="s">
        <v>90</v>
      </c>
      <c r="P1826">
        <v>0</v>
      </c>
      <c r="Q1826" t="s">
        <v>90</v>
      </c>
      <c r="R1826">
        <v>0</v>
      </c>
      <c r="S1826" t="s">
        <v>90</v>
      </c>
      <c r="T1826">
        <v>0</v>
      </c>
      <c r="U1826" t="s">
        <v>90</v>
      </c>
      <c r="V1826">
        <v>0</v>
      </c>
      <c r="W1826" t="s">
        <v>90</v>
      </c>
      <c r="X1826">
        <v>0</v>
      </c>
      <c r="Y1826">
        <v>0.051441436003611611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47</v>
      </c>
      <c r="AF1826">
        <v>150</v>
      </c>
      <c r="AG1826">
        <v>150</v>
      </c>
      <c r="AI1826">
        <v>0.02</v>
      </c>
      <c r="AJ1826" t="s">
        <v>7291</v>
      </c>
      <c r="AK1826" t="s">
        <v>501</v>
      </c>
      <c r="AL1826" t="s">
        <v>1283</v>
      </c>
      <c r="AM1826">
        <v>200000</v>
      </c>
      <c r="AN1826" t="s">
        <v>92</v>
      </c>
      <c r="AO1826">
        <v>1</v>
      </c>
      <c r="AP1826">
        <v>0</v>
      </c>
      <c r="AQ1826">
        <v>16666.666666666668</v>
      </c>
      <c r="AR1826" t="s">
        <v>7292</v>
      </c>
      <c r="AS1826" t="s">
        <v>78</v>
      </c>
      <c r="AX1826" t="s">
        <v>79</v>
      </c>
      <c r="AY1826" t="s">
        <v>137</v>
      </c>
      <c r="AZ1826">
        <v>0</v>
      </c>
      <c r="BA1826" t="s">
        <v>137</v>
      </c>
      <c r="BB1826">
        <v>0</v>
      </c>
      <c r="BE1826">
        <v>0</v>
      </c>
    </row>
    <row r="1827" spans="1:58" ht="12.75">
      <c r="A1827" s="2" t="str">
        <f>HYPERLINK("https://ibp.a2mac1.com/costing(costing:projects/details/8191/part/5388976)","Side Bezels Covers")</f>
        <v>Side Bezels Covers</v>
      </c>
      <c r="B1827">
        <v>5388976</v>
      </c>
      <c r="C1827">
        <v>5388645</v>
      </c>
      <c r="E1827">
        <v>0.49699213199999998</v>
      </c>
      <c r="F1827">
        <v>0</v>
      </c>
      <c r="G1827">
        <v>0</v>
      </c>
      <c r="H1827">
        <v>0.002506135763368421</v>
      </c>
      <c r="I1827" t="s">
        <v>137</v>
      </c>
      <c r="J1827">
        <v>0.01743832042105263</v>
      </c>
      <c r="K1827">
        <v>0.51693658818442101</v>
      </c>
      <c r="L1827">
        <v>0.021675916781086546</v>
      </c>
      <c r="M1827">
        <v>0.13005550068651928</v>
      </c>
      <c r="N1827">
        <v>0.64699208887094029</v>
      </c>
      <c r="O1827" t="s">
        <v>90</v>
      </c>
      <c r="P1827">
        <v>0</v>
      </c>
      <c r="Q1827" t="s">
        <v>90</v>
      </c>
      <c r="R1827">
        <v>0</v>
      </c>
      <c r="S1827" t="s">
        <v>90</v>
      </c>
      <c r="T1827">
        <v>0</v>
      </c>
      <c r="U1827" t="s">
        <v>90</v>
      </c>
      <c r="V1827">
        <v>0</v>
      </c>
      <c r="W1827" t="s">
        <v>90</v>
      </c>
      <c r="X1827">
        <v>0</v>
      </c>
      <c r="Y1827">
        <v>0.64699208887094029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73</v>
      </c>
      <c r="AF1827">
        <v>210</v>
      </c>
      <c r="AG1827">
        <v>309</v>
      </c>
      <c r="AI1827">
        <v>0.23400000000000001</v>
      </c>
      <c r="AJ1827" t="s">
        <v>1325</v>
      </c>
      <c r="AK1827" t="s">
        <v>501</v>
      </c>
      <c r="AL1827" t="s">
        <v>1182</v>
      </c>
      <c r="AM1827">
        <v>400000</v>
      </c>
      <c r="AN1827" t="s">
        <v>92</v>
      </c>
      <c r="AO1827">
        <v>2</v>
      </c>
      <c r="AP1827">
        <v>0</v>
      </c>
      <c r="AQ1827">
        <v>33333.333333333336</v>
      </c>
      <c r="AR1827" t="s">
        <v>7297</v>
      </c>
      <c r="AS1827" t="s">
        <v>78</v>
      </c>
      <c r="AX1827" t="s">
        <v>79</v>
      </c>
      <c r="AY1827" t="s">
        <v>137</v>
      </c>
      <c r="AZ1827">
        <v>0</v>
      </c>
      <c r="BA1827" t="s">
        <v>137</v>
      </c>
      <c r="BB1827">
        <v>0</v>
      </c>
      <c r="BE1827">
        <v>0</v>
      </c>
    </row>
    <row r="1828" spans="1:58" ht="12.75">
      <c r="A1828" s="2" t="str">
        <f>HYPERLINK("https://ibp.a2mac1.com/costing(costing:projects/details/8191/part/5388977)","2nd Lower Trim")</f>
        <v>2nd Lower Trim</v>
      </c>
      <c r="B1828">
        <v>5388977</v>
      </c>
      <c r="C1828">
        <v>5388645</v>
      </c>
      <c r="E1828">
        <v>1.2029352090000001</v>
      </c>
      <c r="F1828">
        <v>0</v>
      </c>
      <c r="G1828">
        <v>0</v>
      </c>
      <c r="H1828">
        <v>0.0061021074261052629</v>
      </c>
      <c r="I1828" t="s">
        <v>137</v>
      </c>
      <c r="J1828">
        <v>0.042208252947368421</v>
      </c>
      <c r="K1828">
        <v>1.2512455693734736</v>
      </c>
      <c r="L1828">
        <v>0.17720059565923829</v>
      </c>
      <c r="M1828">
        <v>1.0632035739554297</v>
      </c>
      <c r="N1828">
        <v>2.3144491433289036</v>
      </c>
      <c r="O1828" t="s">
        <v>90</v>
      </c>
      <c r="P1828">
        <v>0</v>
      </c>
      <c r="Q1828" t="s">
        <v>90</v>
      </c>
      <c r="R1828">
        <v>0</v>
      </c>
      <c r="S1828" t="s">
        <v>90</v>
      </c>
      <c r="T1828">
        <v>0</v>
      </c>
      <c r="U1828" t="s">
        <v>90</v>
      </c>
      <c r="V1828">
        <v>0</v>
      </c>
      <c r="W1828" t="s">
        <v>90</v>
      </c>
      <c r="X1828">
        <v>0</v>
      </c>
      <c r="Y1828">
        <v>2.3144491433289036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240</v>
      </c>
      <c r="AF1828">
        <v>1366</v>
      </c>
      <c r="AG1828">
        <v>45</v>
      </c>
      <c r="AI1828">
        <v>0.76600000000000001</v>
      </c>
      <c r="AJ1828" t="s">
        <v>1325</v>
      </c>
      <c r="AK1828" t="s">
        <v>501</v>
      </c>
      <c r="AL1828" t="s">
        <v>6105</v>
      </c>
      <c r="AM1828">
        <v>200000</v>
      </c>
      <c r="AN1828" t="s">
        <v>92</v>
      </c>
      <c r="AO1828">
        <v>1</v>
      </c>
      <c r="AP1828">
        <v>0</v>
      </c>
      <c r="AQ1828">
        <v>16666.666666666668</v>
      </c>
      <c r="AR1828" t="s">
        <v>7302</v>
      </c>
      <c r="AS1828" t="s">
        <v>78</v>
      </c>
      <c r="AX1828" t="s">
        <v>79</v>
      </c>
      <c r="AY1828" t="s">
        <v>137</v>
      </c>
      <c r="AZ1828">
        <v>0</v>
      </c>
      <c r="BA1828" t="s">
        <v>137</v>
      </c>
      <c r="BB1828">
        <v>0</v>
      </c>
      <c r="BE1828">
        <v>0</v>
      </c>
    </row>
    <row r="1829" spans="1:58" ht="12.75">
      <c r="A1829" s="2" t="str">
        <f>HYPERLINK("https://ibp.a2mac1.com/costing(costing:projects/details/8191/part/5388978)","Lateral")</f>
        <v>Lateral</v>
      </c>
      <c r="B1829">
        <v>5388978</v>
      </c>
      <c r="C1829">
        <v>5388646</v>
      </c>
      <c r="E1829">
        <v>0.095870606999999997</v>
      </c>
      <c r="F1829">
        <v>0</v>
      </c>
      <c r="G1829">
        <v>0</v>
      </c>
      <c r="H1829">
        <v>0.0004834377475789474</v>
      </c>
      <c r="I1829" t="s">
        <v>137</v>
      </c>
      <c r="J1829">
        <v>0.0033638809473684212</v>
      </c>
      <c r="K1829">
        <v>0.099717925694947362</v>
      </c>
      <c r="L1829">
        <v>0.0019910550246712197</v>
      </c>
      <c r="M1829">
        <v>0.011946330148027319</v>
      </c>
      <c r="N1829">
        <v>0.11166425584297469</v>
      </c>
      <c r="O1829" t="s">
        <v>90</v>
      </c>
      <c r="P1829">
        <v>0</v>
      </c>
      <c r="Q1829" t="s">
        <v>90</v>
      </c>
      <c r="R1829">
        <v>0</v>
      </c>
      <c r="S1829" t="s">
        <v>90</v>
      </c>
      <c r="T1829">
        <v>0</v>
      </c>
      <c r="U1829" t="s">
        <v>90</v>
      </c>
      <c r="V1829">
        <v>0</v>
      </c>
      <c r="W1829" t="s">
        <v>90</v>
      </c>
      <c r="X1829">
        <v>0</v>
      </c>
      <c r="Y1829">
        <v>0.11166425584297469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55</v>
      </c>
      <c r="AF1829">
        <v>42</v>
      </c>
      <c r="AG1829">
        <v>97</v>
      </c>
      <c r="AI1829">
        <v>0.021499999999999998</v>
      </c>
      <c r="AJ1829" t="s">
        <v>1325</v>
      </c>
      <c r="AK1829" t="s">
        <v>501</v>
      </c>
      <c r="AL1829" t="s">
        <v>1332</v>
      </c>
      <c r="AM1829">
        <v>400000</v>
      </c>
      <c r="AN1829" t="s">
        <v>92</v>
      </c>
      <c r="AO1829">
        <v>2</v>
      </c>
      <c r="AP1829">
        <v>0</v>
      </c>
      <c r="AQ1829">
        <v>33333.333333333336</v>
      </c>
      <c r="AR1829" t="s">
        <v>7309</v>
      </c>
      <c r="AS1829" t="s">
        <v>78</v>
      </c>
      <c r="AX1829" t="s">
        <v>79</v>
      </c>
      <c r="AY1829" t="s">
        <v>137</v>
      </c>
      <c r="AZ1829">
        <v>0</v>
      </c>
      <c r="BA1829" t="s">
        <v>137</v>
      </c>
      <c r="BB1829">
        <v>0</v>
      </c>
      <c r="BE1829">
        <v>0</v>
      </c>
    </row>
    <row r="1830" spans="1:58" ht="12.75">
      <c r="A1830" s="2" t="str">
        <f>HYPERLINK("https://ibp.a2mac1.com/costing(costing:projects/details/8191/part/5388979)","Left and Right if Similar")</f>
        <v>Left and Right if Similar</v>
      </c>
      <c r="B1830">
        <v>5388979</v>
      </c>
      <c r="C1830">
        <v>5388647</v>
      </c>
      <c r="E1830">
        <v>0.245310219</v>
      </c>
      <c r="F1830">
        <v>0</v>
      </c>
      <c r="G1830">
        <v>0</v>
      </c>
      <c r="H1830">
        <v>0.0012370029088421052</v>
      </c>
      <c r="I1830" t="s">
        <v>137</v>
      </c>
      <c r="J1830">
        <v>0.0086073761052631575</v>
      </c>
      <c r="K1830">
        <v>0.25515459801410528</v>
      </c>
      <c r="L1830">
        <v>0.010697405632907055</v>
      </c>
      <c r="M1830">
        <v>0.064184433797442333</v>
      </c>
      <c r="N1830">
        <v>0.3193390318115476</v>
      </c>
      <c r="O1830" t="s">
        <v>90</v>
      </c>
      <c r="P1830">
        <v>0</v>
      </c>
      <c r="Q1830" t="s">
        <v>90</v>
      </c>
      <c r="R1830">
        <v>0</v>
      </c>
      <c r="S1830" t="s">
        <v>90</v>
      </c>
      <c r="T1830">
        <v>0</v>
      </c>
      <c r="U1830" t="s">
        <v>90</v>
      </c>
      <c r="V1830">
        <v>0</v>
      </c>
      <c r="W1830" t="s">
        <v>90</v>
      </c>
      <c r="X1830">
        <v>0</v>
      </c>
      <c r="Y1830">
        <v>0.3193390318115476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123</v>
      </c>
      <c r="AF1830">
        <v>210</v>
      </c>
      <c r="AG1830">
        <v>190</v>
      </c>
      <c r="AI1830">
        <v>0.11550000000000001</v>
      </c>
      <c r="AJ1830" t="s">
        <v>1325</v>
      </c>
      <c r="AK1830" t="s">
        <v>501</v>
      </c>
      <c r="AL1830" t="s">
        <v>1182</v>
      </c>
      <c r="AM1830">
        <v>400000</v>
      </c>
      <c r="AN1830" t="s">
        <v>92</v>
      </c>
      <c r="AO1830">
        <v>2</v>
      </c>
      <c r="AP1830">
        <v>0</v>
      </c>
      <c r="AQ1830">
        <v>33333.333333333336</v>
      </c>
      <c r="AR1830" t="s">
        <v>7316</v>
      </c>
      <c r="AS1830" t="s">
        <v>78</v>
      </c>
      <c r="AX1830" t="s">
        <v>79</v>
      </c>
      <c r="AY1830" t="s">
        <v>137</v>
      </c>
      <c r="AZ1830">
        <v>0</v>
      </c>
      <c r="BA1830" t="s">
        <v>137</v>
      </c>
      <c r="BB1830">
        <v>0</v>
      </c>
      <c r="BE1830">
        <v>0</v>
      </c>
    </row>
    <row r="1831" spans="1:58" ht="12.75">
      <c r="A1831" s="2" t="str">
        <f>HYPERLINK("https://ibp.a2mac1.com/costing(costing:projects/details/8191/part/5388980)","Central Stiffener")</f>
        <v>Central Stiffener</v>
      </c>
      <c r="B1831">
        <v>5388980</v>
      </c>
      <c r="C1831">
        <v>5388648</v>
      </c>
      <c r="E1831">
        <v>1.800003555</v>
      </c>
      <c r="F1831">
        <v>0</v>
      </c>
      <c r="G1831">
        <v>0</v>
      </c>
      <c r="H1831">
        <v>0.0091308451010526318</v>
      </c>
      <c r="I1831" t="s">
        <v>137</v>
      </c>
      <c r="J1831">
        <v>0.063158019473684213</v>
      </c>
      <c r="K1831">
        <v>1.8722924195747368</v>
      </c>
      <c r="L1831">
        <v>0.079014223969588515</v>
      </c>
      <c r="M1831">
        <v>0.47408534381753109</v>
      </c>
      <c r="N1831">
        <v>2.346377763392268</v>
      </c>
      <c r="O1831" t="s">
        <v>90</v>
      </c>
      <c r="P1831">
        <v>0</v>
      </c>
      <c r="Q1831" t="s">
        <v>90</v>
      </c>
      <c r="R1831">
        <v>0</v>
      </c>
      <c r="S1831" t="s">
        <v>90</v>
      </c>
      <c r="T1831">
        <v>0</v>
      </c>
      <c r="U1831" t="s">
        <v>90</v>
      </c>
      <c r="V1831">
        <v>0</v>
      </c>
      <c r="W1831" t="s">
        <v>90</v>
      </c>
      <c r="X1831">
        <v>0</v>
      </c>
      <c r="Y1831">
        <v>2.346377763392268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305</v>
      </c>
      <c r="AF1831">
        <v>1480</v>
      </c>
      <c r="AG1831">
        <v>480</v>
      </c>
      <c r="AI1831">
        <v>1.695</v>
      </c>
      <c r="AJ1831" t="s">
        <v>1325</v>
      </c>
      <c r="AK1831" t="s">
        <v>501</v>
      </c>
      <c r="AL1831" t="s">
        <v>1182</v>
      </c>
      <c r="AM1831">
        <v>200000</v>
      </c>
      <c r="AN1831" t="s">
        <v>92</v>
      </c>
      <c r="AO1831">
        <v>1</v>
      </c>
      <c r="AP1831">
        <v>0</v>
      </c>
      <c r="AQ1831">
        <v>16666.666666666668</v>
      </c>
      <c r="AR1831" t="s">
        <v>7323</v>
      </c>
      <c r="AS1831" t="s">
        <v>78</v>
      </c>
      <c r="AX1831" t="s">
        <v>79</v>
      </c>
      <c r="AY1831" t="s">
        <v>137</v>
      </c>
      <c r="AZ1831">
        <v>0</v>
      </c>
      <c r="BA1831" t="s">
        <v>137</v>
      </c>
      <c r="BB1831">
        <v>0</v>
      </c>
      <c r="BE1831">
        <v>0</v>
      </c>
    </row>
    <row r="1832" spans="1:58" ht="12.75">
      <c r="A1832" s="2" t="str">
        <f>HYPERLINK("https://ibp.a2mac1.com/costing(costing:projects/details/8191/part/5388638)","Bumper")</f>
        <v>Bumper</v>
      </c>
      <c r="B1832">
        <v>5388638</v>
      </c>
      <c r="C1832">
        <v>5388304</v>
      </c>
      <c r="E1832">
        <v>5.1387038399999998</v>
      </c>
      <c r="F1832">
        <v>0</v>
      </c>
      <c r="G1832">
        <v>0</v>
      </c>
      <c r="H1832">
        <v>0.0053442519936000004</v>
      </c>
      <c r="I1832" t="s">
        <v>137</v>
      </c>
      <c r="J1832">
        <v>0.17985463439999999</v>
      </c>
      <c r="K1832">
        <v>5.3239027263935998</v>
      </c>
      <c r="L1832">
        <v>0.86250956477902818</v>
      </c>
      <c r="M1832">
        <v>5.1750573886741691</v>
      </c>
      <c r="N1832">
        <v>10.498960115067769</v>
      </c>
      <c r="O1832" t="s">
        <v>90</v>
      </c>
      <c r="P1832">
        <v>0</v>
      </c>
      <c r="Q1832" t="s">
        <v>90</v>
      </c>
      <c r="R1832">
        <v>0</v>
      </c>
      <c r="S1832" t="s">
        <v>90</v>
      </c>
      <c r="T1832">
        <v>0</v>
      </c>
      <c r="U1832" t="s">
        <v>90</v>
      </c>
      <c r="V1832">
        <v>0</v>
      </c>
      <c r="W1832" t="s">
        <v>90</v>
      </c>
      <c r="X1832">
        <v>0</v>
      </c>
      <c r="Y1832">
        <v>10.498960115067769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460</v>
      </c>
      <c r="AF1832">
        <v>1876</v>
      </c>
      <c r="AG1832">
        <v>725</v>
      </c>
      <c r="AI1832">
        <v>3.805</v>
      </c>
      <c r="AJ1832" t="s">
        <v>1325</v>
      </c>
      <c r="AK1832" t="s">
        <v>501</v>
      </c>
      <c r="AL1832" t="s">
        <v>7329</v>
      </c>
      <c r="AM1832">
        <v>200000</v>
      </c>
      <c r="AN1832" t="s">
        <v>92</v>
      </c>
      <c r="AO1832">
        <v>1</v>
      </c>
      <c r="AP1832">
        <v>0</v>
      </c>
      <c r="AQ1832">
        <v>16666.666666666668</v>
      </c>
      <c r="AR1832" t="s">
        <v>7330</v>
      </c>
      <c r="AS1832" t="s">
        <v>78</v>
      </c>
      <c r="AX1832" t="s">
        <v>79</v>
      </c>
      <c r="AY1832" t="s">
        <v>137</v>
      </c>
      <c r="AZ1832">
        <v>0</v>
      </c>
      <c r="BA1832" t="s">
        <v>137</v>
      </c>
      <c r="BB1832">
        <v>0</v>
      </c>
      <c r="BE1832">
        <v>0</v>
      </c>
    </row>
    <row r="1833" spans="1:58" ht="12.75">
      <c r="A1833" s="2" t="str">
        <f>HYPERLINK("https://ibp.a2mac1.com/costing(costing:projects/details/8191/part/5388639)","Bumper Reinforcement")</f>
        <v>Bumper Reinforcement</v>
      </c>
      <c r="B1833">
        <v>5388639</v>
      </c>
      <c r="C1833">
        <v>5388304</v>
      </c>
      <c r="E1833">
        <v>0.77840861699999997</v>
      </c>
      <c r="F1833">
        <v>0</v>
      </c>
      <c r="G1833">
        <v>0</v>
      </c>
      <c r="H1833">
        <v>0.0039252083644210527</v>
      </c>
      <c r="I1833" t="s">
        <v>137</v>
      </c>
      <c r="J1833">
        <v>0.027312583052631578</v>
      </c>
      <c r="K1833">
        <v>0.8096464084170526</v>
      </c>
      <c r="L1833">
        <v>0.24607051602361266</v>
      </c>
      <c r="M1833">
        <v>1.476423096141676</v>
      </c>
      <c r="N1833">
        <v>2.2860695045587285</v>
      </c>
      <c r="O1833" t="s">
        <v>90</v>
      </c>
      <c r="P1833">
        <v>0</v>
      </c>
      <c r="Q1833" t="s">
        <v>90</v>
      </c>
      <c r="R1833">
        <v>0</v>
      </c>
      <c r="S1833" t="s">
        <v>90</v>
      </c>
      <c r="T1833">
        <v>0</v>
      </c>
      <c r="U1833" t="s">
        <v>90</v>
      </c>
      <c r="V1833">
        <v>0</v>
      </c>
      <c r="W1833" t="s">
        <v>90</v>
      </c>
      <c r="X1833">
        <v>0</v>
      </c>
      <c r="Y1833">
        <v>2.2860695045587285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355</v>
      </c>
      <c r="AF1833">
        <v>90</v>
      </c>
      <c r="AG1833">
        <v>457</v>
      </c>
      <c r="AI1833">
        <v>0.36649999999999999</v>
      </c>
      <c r="AJ1833" t="s">
        <v>1325</v>
      </c>
      <c r="AK1833" t="s">
        <v>501</v>
      </c>
      <c r="AL1833" t="s">
        <v>1182</v>
      </c>
      <c r="AM1833">
        <v>400000</v>
      </c>
      <c r="AN1833" t="s">
        <v>92</v>
      </c>
      <c r="AO1833">
        <v>2</v>
      </c>
      <c r="AP1833">
        <v>0</v>
      </c>
      <c r="AQ1833">
        <v>33333.333333333336</v>
      </c>
      <c r="AR1833" t="s">
        <v>7335</v>
      </c>
      <c r="AS1833" t="s">
        <v>78</v>
      </c>
      <c r="AX1833" t="s">
        <v>79</v>
      </c>
      <c r="AY1833" t="s">
        <v>137</v>
      </c>
      <c r="AZ1833">
        <v>0</v>
      </c>
      <c r="BA1833" t="s">
        <v>137</v>
      </c>
      <c r="BB1833">
        <v>0</v>
      </c>
      <c r="BE1833">
        <v>0</v>
      </c>
    </row>
    <row r="1834" spans="1:58" ht="12.75">
      <c r="A1834" s="2" t="str">
        <f>HYPERLINK("https://ibp.a2mac1.com/costing(costing:projects/details/8191/part/5388640)","Towing Hook Fastener Cover")</f>
        <v>Towing Hook Fastener Cover</v>
      </c>
      <c r="B1834">
        <v>5388640</v>
      </c>
      <c r="C1834">
        <v>5388304</v>
      </c>
      <c r="E1834">
        <v>0.033005574000000003</v>
      </c>
      <c r="F1834">
        <v>0</v>
      </c>
      <c r="G1834">
        <v>0</v>
      </c>
      <c r="H1834">
        <v>0.00016742677136842105</v>
      </c>
      <c r="I1834" t="s">
        <v>137</v>
      </c>
      <c r="J1834">
        <v>0.0011580903157894736</v>
      </c>
      <c r="K1834">
        <v>0.034331091087157893</v>
      </c>
      <c r="L1834">
        <v>0.023551311007241758</v>
      </c>
      <c r="M1834">
        <v>0.14130786604345055</v>
      </c>
      <c r="N1834">
        <v>0.17563895713060843</v>
      </c>
      <c r="O1834" t="s">
        <v>90</v>
      </c>
      <c r="P1834">
        <v>0</v>
      </c>
      <c r="Q1834" t="s">
        <v>90</v>
      </c>
      <c r="R1834">
        <v>0</v>
      </c>
      <c r="S1834" t="s">
        <v>90</v>
      </c>
      <c r="T1834">
        <v>0</v>
      </c>
      <c r="U1834" t="s">
        <v>90</v>
      </c>
      <c r="V1834">
        <v>0</v>
      </c>
      <c r="W1834" t="s">
        <v>90</v>
      </c>
      <c r="X1834">
        <v>0</v>
      </c>
      <c r="Y1834">
        <v>0.17563895713060843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28</v>
      </c>
      <c r="AF1834">
        <v>90</v>
      </c>
      <c r="AG1834">
        <v>78</v>
      </c>
      <c r="AI1834">
        <v>0.012</v>
      </c>
      <c r="AJ1834" t="s">
        <v>1325</v>
      </c>
      <c r="AK1834" t="s">
        <v>501</v>
      </c>
      <c r="AL1834" t="s">
        <v>5698</v>
      </c>
      <c r="AM1834">
        <v>200000</v>
      </c>
      <c r="AN1834" t="s">
        <v>92</v>
      </c>
      <c r="AO1834">
        <v>1</v>
      </c>
      <c r="AP1834">
        <v>0</v>
      </c>
      <c r="AQ1834">
        <v>16666.666666666668</v>
      </c>
      <c r="AR1834" t="s">
        <v>7338</v>
      </c>
      <c r="AS1834" t="s">
        <v>78</v>
      </c>
      <c r="AX1834" t="s">
        <v>79</v>
      </c>
      <c r="AY1834" t="s">
        <v>137</v>
      </c>
      <c r="AZ1834">
        <v>0</v>
      </c>
      <c r="BA1834" t="s">
        <v>137</v>
      </c>
      <c r="BB1834">
        <v>0</v>
      </c>
      <c r="BE1834">
        <v>0</v>
      </c>
    </row>
    <row r="1835" spans="1:58" ht="12.75">
      <c r="A1835" s="2" t="str">
        <f>HYPERLINK("https://ibp.a2mac1.com/costing(costing:projects/details/8191/part/5388641)","Front Bumper Harness")</f>
        <v>Front Bumper Harness</v>
      </c>
      <c r="B1835">
        <v>5388641</v>
      </c>
      <c r="C1835">
        <v>5388304</v>
      </c>
      <c r="E1835">
        <v>0</v>
      </c>
      <c r="F1835">
        <v>7.3191246692423579</v>
      </c>
      <c r="G1835">
        <v>0</v>
      </c>
      <c r="H1835">
        <v>0</v>
      </c>
      <c r="I1835" t="s">
        <v>137</v>
      </c>
      <c r="J1835">
        <v>0</v>
      </c>
      <c r="K1835">
        <v>7.5752940326658402</v>
      </c>
      <c r="L1835">
        <v>0.4496293819648346</v>
      </c>
      <c r="M1835">
        <v>1.573702836876921</v>
      </c>
      <c r="N1835">
        <v>9.1489968695427617</v>
      </c>
      <c r="O1835" t="s">
        <v>138</v>
      </c>
      <c r="P1835">
        <v>0.45451764195995042</v>
      </c>
      <c r="Q1835" t="s">
        <v>138</v>
      </c>
      <c r="R1835">
        <v>0.094422170212615272</v>
      </c>
      <c r="S1835" t="s">
        <v>1643</v>
      </c>
      <c r="T1835">
        <v>0.91489968695427615</v>
      </c>
      <c r="U1835" t="s">
        <v>90</v>
      </c>
      <c r="V1835">
        <v>0</v>
      </c>
      <c r="W1835" t="s">
        <v>90</v>
      </c>
      <c r="X1835">
        <v>0</v>
      </c>
      <c r="Y1835">
        <v>10.612836368669603</v>
      </c>
      <c r="Z1835">
        <v>0</v>
      </c>
      <c r="AA1835">
        <v>0</v>
      </c>
      <c r="AB1835">
        <v>0</v>
      </c>
      <c r="AC1835">
        <v>0</v>
      </c>
      <c r="AD1835">
        <v>0</v>
      </c>
      <c r="AI1835">
        <v>0.35199999999999998</v>
      </c>
      <c r="AJ1835" t="s">
        <v>1644</v>
      </c>
      <c r="AK1835" t="s">
        <v>1645</v>
      </c>
      <c r="AL1835" t="s">
        <v>1658</v>
      </c>
      <c r="AM1835">
        <v>200000</v>
      </c>
      <c r="AN1835" t="s">
        <v>76</v>
      </c>
      <c r="AO1835">
        <v>1</v>
      </c>
      <c r="AP1835">
        <v>0</v>
      </c>
      <c r="AQ1835">
        <v>16666.666666666668</v>
      </c>
      <c r="AR1835" t="s">
        <v>7341</v>
      </c>
      <c r="AS1835" t="s">
        <v>78</v>
      </c>
      <c r="AX1835" t="s">
        <v>79</v>
      </c>
      <c r="AY1835" t="s">
        <v>137</v>
      </c>
      <c r="AZ1835">
        <v>0.25616936342348251</v>
      </c>
      <c r="BA1835" t="s">
        <v>137</v>
      </c>
      <c r="BB1835">
        <v>0</v>
      </c>
      <c r="BE1835">
        <v>0</v>
      </c>
    </row>
    <row r="1836" spans="1:58" ht="12.75">
      <c r="A1836" s="2" t="str">
        <f>HYPERLINK("https://ibp.a2mac1.com/costing(costing:projects/details/8191/part/5388642)","Emblem")</f>
        <v>Emblem</v>
      </c>
      <c r="B1836">
        <v>5388642</v>
      </c>
      <c r="C1836">
        <v>5388304</v>
      </c>
      <c r="E1836">
        <v>0.58690799999999999</v>
      </c>
      <c r="F1836">
        <v>0</v>
      </c>
      <c r="G1836">
        <v>0</v>
      </c>
      <c r="H1836">
        <v>0.00296975448</v>
      </c>
      <c r="I1836" t="s">
        <v>137</v>
      </c>
      <c r="J1836">
        <v>0.020541779999999999</v>
      </c>
      <c r="K1836">
        <v>0.61041953447999997</v>
      </c>
      <c r="L1836">
        <v>0.20722401909698474</v>
      </c>
      <c r="M1836">
        <v>1.2433441145819084</v>
      </c>
      <c r="N1836">
        <v>1.8537636490619085</v>
      </c>
      <c r="O1836" t="s">
        <v>90</v>
      </c>
      <c r="P1836">
        <v>0</v>
      </c>
      <c r="Q1836" t="s">
        <v>90</v>
      </c>
      <c r="R1836">
        <v>0</v>
      </c>
      <c r="S1836" t="s">
        <v>90</v>
      </c>
      <c r="T1836">
        <v>0</v>
      </c>
      <c r="U1836" t="s">
        <v>90</v>
      </c>
      <c r="V1836">
        <v>0</v>
      </c>
      <c r="W1836" t="s">
        <v>90</v>
      </c>
      <c r="X1836">
        <v>0</v>
      </c>
      <c r="Y1836">
        <v>1.8537636490619085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49</v>
      </c>
      <c r="AF1836">
        <v>150</v>
      </c>
      <c r="AG1836">
        <v>150</v>
      </c>
      <c r="AI1836">
        <v>0.32600000000000001</v>
      </c>
      <c r="AJ1836" t="s">
        <v>7291</v>
      </c>
      <c r="AK1836" t="s">
        <v>501</v>
      </c>
      <c r="AL1836" t="s">
        <v>1676</v>
      </c>
      <c r="AM1836">
        <v>200000</v>
      </c>
      <c r="AN1836" t="s">
        <v>92</v>
      </c>
      <c r="AO1836">
        <v>1</v>
      </c>
      <c r="AP1836">
        <v>0</v>
      </c>
      <c r="AQ1836">
        <v>16666.666666666668</v>
      </c>
      <c r="AR1836" t="s">
        <v>7346</v>
      </c>
      <c r="AS1836" t="s">
        <v>78</v>
      </c>
      <c r="AX1836" t="s">
        <v>79</v>
      </c>
      <c r="AY1836" t="s">
        <v>137</v>
      </c>
      <c r="AZ1836">
        <v>0</v>
      </c>
      <c r="BA1836" t="s">
        <v>137</v>
      </c>
      <c r="BB1836">
        <v>0</v>
      </c>
      <c r="BE1836">
        <v>0</v>
      </c>
    </row>
    <row r="1837" spans="1:58" ht="12.75">
      <c r="A1837" s="2" t="str">
        <f>HYPERLINK("https://ibp.a2mac1.com/costing(costing:projects/details/8191/part/5388643)","Bumper Hood Seal")</f>
        <v>Bumper Hood Seal</v>
      </c>
      <c r="B1837">
        <v>5388643</v>
      </c>
      <c r="C1837">
        <v>5388304</v>
      </c>
      <c r="E1837">
        <v>0.52381852949999996</v>
      </c>
      <c r="F1837">
        <v>0</v>
      </c>
      <c r="G1837">
        <v>0</v>
      </c>
      <c r="H1837">
        <v>0.0026571646709473685</v>
      </c>
      <c r="I1837" t="s">
        <v>137</v>
      </c>
      <c r="J1837">
        <v>0.018379597526315791</v>
      </c>
      <c r="K1837">
        <v>0.54485529169726321</v>
      </c>
      <c r="L1837">
        <v>0.0083124605326081371</v>
      </c>
      <c r="M1837">
        <v>0.049874763195648819</v>
      </c>
      <c r="N1837">
        <v>0.59473005489291197</v>
      </c>
      <c r="O1837" t="s">
        <v>90</v>
      </c>
      <c r="P1837">
        <v>0</v>
      </c>
      <c r="Q1837" t="s">
        <v>90</v>
      </c>
      <c r="R1837">
        <v>0</v>
      </c>
      <c r="S1837" t="s">
        <v>90</v>
      </c>
      <c r="T1837">
        <v>0</v>
      </c>
      <c r="U1837" t="s">
        <v>90</v>
      </c>
      <c r="V1837">
        <v>0</v>
      </c>
      <c r="W1837" t="s">
        <v>90</v>
      </c>
      <c r="X1837">
        <v>0</v>
      </c>
      <c r="Y1837">
        <v>0.59473005489291197</v>
      </c>
      <c r="Z1837">
        <v>0</v>
      </c>
      <c r="AA1837">
        <v>0</v>
      </c>
      <c r="AB1837">
        <v>0</v>
      </c>
      <c r="AC1837">
        <v>0</v>
      </c>
      <c r="AD1837">
        <v>0</v>
      </c>
      <c r="AI1837">
        <v>0.17899999999999999</v>
      </c>
      <c r="AK1837" t="s">
        <v>501</v>
      </c>
      <c r="AL1837" t="s">
        <v>3856</v>
      </c>
      <c r="AM1837">
        <v>200000</v>
      </c>
      <c r="AN1837" t="s">
        <v>92</v>
      </c>
      <c r="AO1837">
        <v>1</v>
      </c>
      <c r="AP1837">
        <v>0</v>
      </c>
      <c r="AQ1837">
        <v>16666.666666666668</v>
      </c>
      <c r="AR1837" t="s">
        <v>7351</v>
      </c>
      <c r="AS1837" t="s">
        <v>78</v>
      </c>
      <c r="AX1837" t="s">
        <v>79</v>
      </c>
      <c r="AY1837" t="s">
        <v>137</v>
      </c>
      <c r="AZ1837">
        <v>0</v>
      </c>
      <c r="BA1837" t="s">
        <v>137</v>
      </c>
      <c r="BB1837">
        <v>0</v>
      </c>
      <c r="BE1837">
        <v>0</v>
      </c>
    </row>
    <row r="1838" spans="1:58" ht="12.75">
      <c r="A1838" s="2" t="str">
        <f>HYPERLINK("https://ibp.a2mac1.com/costing(costing:projects/details/8191/part/5388981)","Wheel Arch Liner")</f>
        <v>Wheel Arch Liner</v>
      </c>
      <c r="B1838">
        <v>5388981</v>
      </c>
      <c r="C1838">
        <v>5388649</v>
      </c>
      <c r="E1838">
        <v>1.1285135399999999</v>
      </c>
      <c r="F1838">
        <v>0</v>
      </c>
      <c r="G1838">
        <v>0</v>
      </c>
      <c r="H1838">
        <v>0.0057245899873684209</v>
      </c>
      <c r="I1838" t="s">
        <v>137</v>
      </c>
      <c r="J1838">
        <v>0.039596966315789475</v>
      </c>
      <c r="K1838">
        <v>1.1738350963031579</v>
      </c>
      <c r="L1838">
        <v>0.037092394362739978</v>
      </c>
      <c r="M1838">
        <v>0.22255436617643987</v>
      </c>
      <c r="N1838">
        <v>1.3963894624795978</v>
      </c>
      <c r="O1838" t="s">
        <v>138</v>
      </c>
      <c r="P1838">
        <v>0.070430105778189478</v>
      </c>
      <c r="Q1838" t="s">
        <v>138</v>
      </c>
      <c r="R1838">
        <v>0.013353261970586391</v>
      </c>
      <c r="S1838" t="s">
        <v>139</v>
      </c>
      <c r="T1838">
        <v>0.16756673549755174</v>
      </c>
      <c r="U1838" t="s">
        <v>90</v>
      </c>
      <c r="V1838">
        <v>0</v>
      </c>
      <c r="W1838" t="s">
        <v>90</v>
      </c>
      <c r="X1838">
        <v>0</v>
      </c>
      <c r="Y1838">
        <v>1.6477395657259253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460</v>
      </c>
      <c r="AF1838">
        <v>880</v>
      </c>
      <c r="AG1838">
        <v>700</v>
      </c>
      <c r="AI1838">
        <v>1.595</v>
      </c>
      <c r="AJ1838" t="s">
        <v>685</v>
      </c>
      <c r="AK1838" t="s">
        <v>501</v>
      </c>
      <c r="AL1838" t="s">
        <v>7359</v>
      </c>
      <c r="AM1838">
        <v>200000</v>
      </c>
      <c r="AN1838" t="s">
        <v>76</v>
      </c>
      <c r="AO1838">
        <v>1</v>
      </c>
      <c r="AP1838">
        <v>0</v>
      </c>
      <c r="AQ1838">
        <v>16666.666666666668</v>
      </c>
      <c r="AR1838" t="s">
        <v>7360</v>
      </c>
      <c r="AS1838" t="s">
        <v>78</v>
      </c>
      <c r="AX1838" t="s">
        <v>79</v>
      </c>
      <c r="AY1838" t="s">
        <v>137</v>
      </c>
      <c r="AZ1838">
        <v>0</v>
      </c>
      <c r="BA1838" t="s">
        <v>137</v>
      </c>
      <c r="BB1838">
        <v>0</v>
      </c>
      <c r="BE1838">
        <v>0</v>
      </c>
    </row>
    <row r="1839" spans="1:58" ht="12.75">
      <c r="A1839" s="2" t="str">
        <f>HYPERLINK("https://ibp.a2mac1.com/costing(costing:projects/details/8191/part/5388982)","Wheel Arch Liner")</f>
        <v>Wheel Arch Liner</v>
      </c>
      <c r="B1839">
        <v>5388982</v>
      </c>
      <c r="C1839">
        <v>5388650</v>
      </c>
      <c r="E1839">
        <v>1.1285135399999999</v>
      </c>
      <c r="F1839">
        <v>0</v>
      </c>
      <c r="G1839">
        <v>0</v>
      </c>
      <c r="H1839">
        <v>0.0057245899873684209</v>
      </c>
      <c r="I1839" t="s">
        <v>137</v>
      </c>
      <c r="J1839">
        <v>0.039596966315789475</v>
      </c>
      <c r="K1839">
        <v>1.1738350963031579</v>
      </c>
      <c r="L1839">
        <v>0.037092394362739978</v>
      </c>
      <c r="M1839">
        <v>0.22255436617643987</v>
      </c>
      <c r="N1839">
        <v>1.3963894624795978</v>
      </c>
      <c r="O1839" t="s">
        <v>138</v>
      </c>
      <c r="P1839">
        <v>0.070430105778189478</v>
      </c>
      <c r="Q1839" t="s">
        <v>138</v>
      </c>
      <c r="R1839">
        <v>0.013353261970586391</v>
      </c>
      <c r="S1839" t="s">
        <v>139</v>
      </c>
      <c r="T1839">
        <v>0.16756673549755174</v>
      </c>
      <c r="U1839" t="s">
        <v>90</v>
      </c>
      <c r="V1839">
        <v>0</v>
      </c>
      <c r="W1839" t="s">
        <v>90</v>
      </c>
      <c r="X1839">
        <v>0</v>
      </c>
      <c r="Y1839">
        <v>1.6477395657259253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460</v>
      </c>
      <c r="AF1839">
        <v>880</v>
      </c>
      <c r="AG1839">
        <v>700</v>
      </c>
      <c r="AI1839">
        <v>1.595</v>
      </c>
      <c r="AJ1839" t="s">
        <v>685</v>
      </c>
      <c r="AK1839" t="s">
        <v>501</v>
      </c>
      <c r="AL1839" t="s">
        <v>7359</v>
      </c>
      <c r="AM1839">
        <v>200000</v>
      </c>
      <c r="AN1839" t="s">
        <v>76</v>
      </c>
      <c r="AO1839">
        <v>1</v>
      </c>
      <c r="AP1839">
        <v>0</v>
      </c>
      <c r="AQ1839">
        <v>16666.666666666668</v>
      </c>
      <c r="AR1839" t="s">
        <v>7365</v>
      </c>
      <c r="AS1839" t="s">
        <v>78</v>
      </c>
      <c r="AX1839" t="s">
        <v>79</v>
      </c>
      <c r="AY1839" t="s">
        <v>137</v>
      </c>
      <c r="AZ1839">
        <v>0</v>
      </c>
      <c r="BA1839" t="s">
        <v>137</v>
      </c>
      <c r="BB1839">
        <v>0</v>
      </c>
      <c r="BE1839">
        <v>0</v>
      </c>
    </row>
    <row r="1840" spans="1:58" ht="12.75">
      <c r="A1840" s="2" t="str">
        <f>HYPERLINK("https://ibp.a2mac1.com/costing(costing:projects/details/8191/part/5388651)","Upper Energy Absorber")</f>
        <v>Upper Energy Absorber</v>
      </c>
      <c r="B1840">
        <v>5388651</v>
      </c>
      <c r="C1840">
        <v>5388306</v>
      </c>
      <c r="E1840">
        <v>0.60693338690721654</v>
      </c>
      <c r="F1840">
        <v>0</v>
      </c>
      <c r="G1840">
        <v>0</v>
      </c>
      <c r="H1840">
        <v>0.012412198057731959</v>
      </c>
      <c r="I1840" t="s">
        <v>137</v>
      </c>
      <c r="J1840">
        <v>0.021274580412371135</v>
      </c>
      <c r="K1840">
        <v>0.64062016537731958</v>
      </c>
      <c r="L1840">
        <v>0.047382539875940065</v>
      </c>
      <c r="M1840">
        <v>0.28429523925564043</v>
      </c>
      <c r="N1840">
        <v>0.92491540463295996</v>
      </c>
      <c r="O1840" t="s">
        <v>138</v>
      </c>
      <c r="P1840">
        <v>0.038437209922639173</v>
      </c>
      <c r="Q1840" t="s">
        <v>138</v>
      </c>
      <c r="R1840">
        <v>0.017057714355338423</v>
      </c>
      <c r="S1840" t="s">
        <v>139</v>
      </c>
      <c r="T1840">
        <v>0.1109898485559552</v>
      </c>
      <c r="U1840" t="s">
        <v>90</v>
      </c>
      <c r="V1840">
        <v>0</v>
      </c>
      <c r="W1840" t="s">
        <v>90</v>
      </c>
      <c r="X1840">
        <v>0</v>
      </c>
      <c r="Y1840">
        <v>1.0914001774668929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180</v>
      </c>
      <c r="AF1840">
        <v>1297</v>
      </c>
      <c r="AG1840">
        <v>150</v>
      </c>
      <c r="AI1840">
        <v>0.22700000000000001</v>
      </c>
      <c r="AJ1840" t="s">
        <v>685</v>
      </c>
      <c r="AK1840" t="s">
        <v>501</v>
      </c>
      <c r="AL1840" t="s">
        <v>7374</v>
      </c>
      <c r="AM1840">
        <v>200000</v>
      </c>
      <c r="AN1840" t="s">
        <v>76</v>
      </c>
      <c r="AO1840">
        <v>1</v>
      </c>
      <c r="AP1840">
        <v>0</v>
      </c>
      <c r="AQ1840">
        <v>16666.666666666668</v>
      </c>
      <c r="AR1840" t="s">
        <v>7375</v>
      </c>
      <c r="AS1840" t="s">
        <v>78</v>
      </c>
      <c r="AX1840" t="s">
        <v>79</v>
      </c>
      <c r="AY1840" t="s">
        <v>137</v>
      </c>
      <c r="AZ1840">
        <v>0</v>
      </c>
      <c r="BA1840" t="s">
        <v>137</v>
      </c>
      <c r="BB1840">
        <v>0</v>
      </c>
      <c r="BE1840">
        <v>0</v>
      </c>
    </row>
    <row r="1841" spans="1:58" ht="12.75">
      <c r="A1841" s="2" t="str">
        <f>HYPERLINK("https://ibp.a2mac1.com/costing(costing:projects/details/8191/part/5388652)","Upper Cross Member")</f>
        <v>Upper Cross Member</v>
      </c>
      <c r="B1841">
        <v>5388652</v>
      </c>
      <c r="C1841">
        <v>5388307</v>
      </c>
      <c r="E1841">
        <v>10.407038180000001</v>
      </c>
      <c r="F1841">
        <v>0</v>
      </c>
      <c r="G1841">
        <v>0</v>
      </c>
      <c r="H1841">
        <v>0.052659613190800002</v>
      </c>
      <c r="I1841" t="s">
        <v>137</v>
      </c>
      <c r="J1841">
        <v>0.36424633629999997</v>
      </c>
      <c r="K1841">
        <v>10.823944129490799</v>
      </c>
      <c r="L1841">
        <v>5.2123053143011404</v>
      </c>
      <c r="M1841">
        <v>31.273831885806846</v>
      </c>
      <c r="N1841">
        <v>42.097776015297647</v>
      </c>
      <c r="O1841" t="s">
        <v>138</v>
      </c>
      <c r="P1841">
        <v>0.64943664776944798</v>
      </c>
      <c r="Q1841" t="s">
        <v>138</v>
      </c>
      <c r="R1841">
        <v>1.8764299131484106</v>
      </c>
      <c r="S1841" t="s">
        <v>139</v>
      </c>
      <c r="T1841">
        <v>5.0517331218357171</v>
      </c>
      <c r="U1841" t="s">
        <v>90</v>
      </c>
      <c r="V1841">
        <v>0</v>
      </c>
      <c r="W1841" t="s">
        <v>90</v>
      </c>
      <c r="X1841">
        <v>0</v>
      </c>
      <c r="Y1841">
        <v>49.675375698051219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394</v>
      </c>
      <c r="AF1841">
        <v>1327</v>
      </c>
      <c r="AG1841">
        <v>415</v>
      </c>
      <c r="AI1841">
        <v>19.236000000000001</v>
      </c>
      <c r="AJ1841" t="s">
        <v>4067</v>
      </c>
      <c r="AK1841" t="s">
        <v>501</v>
      </c>
      <c r="AL1841" t="s">
        <v>720</v>
      </c>
      <c r="AM1841">
        <v>200000</v>
      </c>
      <c r="AN1841" t="s">
        <v>76</v>
      </c>
      <c r="AO1841">
        <v>1</v>
      </c>
      <c r="AP1841">
        <v>0</v>
      </c>
      <c r="AQ1841">
        <v>16666.666666666668</v>
      </c>
      <c r="AR1841" t="s">
        <v>7382</v>
      </c>
      <c r="AS1841" t="s">
        <v>78</v>
      </c>
      <c r="AX1841" t="s">
        <v>79</v>
      </c>
      <c r="AY1841" t="s">
        <v>137</v>
      </c>
      <c r="AZ1841">
        <v>0</v>
      </c>
      <c r="BA1841" t="s">
        <v>137</v>
      </c>
      <c r="BB1841">
        <v>0</v>
      </c>
      <c r="BE1841">
        <v>0</v>
      </c>
    </row>
    <row r="1842" spans="1:58" ht="12.75">
      <c r="A1842" s="2" t="str">
        <f>HYPERLINK("https://ibp.a2mac1.com/costing(costing:projects/details/8191/part/5388653)","Fasteners on Fender")</f>
        <v>Fasteners on Fender</v>
      </c>
      <c r="B1842">
        <v>5388653</v>
      </c>
      <c r="C1842">
        <v>5388308</v>
      </c>
      <c r="E1842">
        <v>0.15383888100000001</v>
      </c>
      <c r="F1842">
        <v>0</v>
      </c>
      <c r="G1842">
        <v>0</v>
      </c>
      <c r="H1842">
        <v>0.00078037567705263155</v>
      </c>
      <c r="I1842" t="s">
        <v>137</v>
      </c>
      <c r="J1842">
        <v>0.0053978554736842108</v>
      </c>
      <c r="K1842">
        <v>0.16001711215073683</v>
      </c>
      <c r="L1842">
        <v>0.0032033547187529359</v>
      </c>
      <c r="M1842">
        <v>0.019220128312517615</v>
      </c>
      <c r="N1842">
        <v>0.17923724046325445</v>
      </c>
      <c r="O1842" t="s">
        <v>138</v>
      </c>
      <c r="P1842">
        <v>0.0096010267290442108</v>
      </c>
      <c r="Q1842" t="s">
        <v>138</v>
      </c>
      <c r="R1842">
        <v>0.0011532076987510571</v>
      </c>
      <c r="S1842" t="s">
        <v>139</v>
      </c>
      <c r="T1842">
        <v>0.021508468855590535</v>
      </c>
      <c r="U1842" t="s">
        <v>90</v>
      </c>
      <c r="V1842">
        <v>0</v>
      </c>
      <c r="W1842" t="s">
        <v>90</v>
      </c>
      <c r="X1842">
        <v>0</v>
      </c>
      <c r="Y1842">
        <v>0.21149994374664027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55</v>
      </c>
      <c r="AF1842">
        <v>138</v>
      </c>
      <c r="AG1842">
        <v>120</v>
      </c>
      <c r="AI1842">
        <v>0.069000000000000006</v>
      </c>
      <c r="AJ1842" t="s">
        <v>1325</v>
      </c>
      <c r="AK1842" t="s">
        <v>501</v>
      </c>
      <c r="AL1842" t="s">
        <v>1332</v>
      </c>
      <c r="AM1842">
        <v>200000</v>
      </c>
      <c r="AN1842" t="s">
        <v>76</v>
      </c>
      <c r="AO1842">
        <v>1</v>
      </c>
      <c r="AP1842">
        <v>0</v>
      </c>
      <c r="AQ1842">
        <v>16666.666666666668</v>
      </c>
      <c r="AR1842" t="s">
        <v>7387</v>
      </c>
      <c r="AS1842" t="s">
        <v>78</v>
      </c>
      <c r="AX1842" t="s">
        <v>79</v>
      </c>
      <c r="AY1842" t="s">
        <v>137</v>
      </c>
      <c r="AZ1842">
        <v>0</v>
      </c>
      <c r="BA1842" t="s">
        <v>137</v>
      </c>
      <c r="BB1842">
        <v>0</v>
      </c>
      <c r="BE1842">
        <v>0</v>
      </c>
    </row>
    <row r="1843" spans="1:58" ht="12.75">
      <c r="A1843" s="2" t="str">
        <f>HYPERLINK("https://ibp.a2mac1.com/costing(costing:projects/details/8191/part/5388654)","2nd Fasteners on Fender")</f>
        <v>2nd Fasteners on Fender</v>
      </c>
      <c r="B1843">
        <v>5388654</v>
      </c>
      <c r="C1843">
        <v>5388308</v>
      </c>
      <c r="E1843">
        <v>0.15383888100000001</v>
      </c>
      <c r="F1843">
        <v>0</v>
      </c>
      <c r="G1843">
        <v>0</v>
      </c>
      <c r="H1843">
        <v>0.00078037567705263155</v>
      </c>
      <c r="I1843" t="s">
        <v>137</v>
      </c>
      <c r="J1843">
        <v>0.0053978554736842108</v>
      </c>
      <c r="K1843">
        <v>0.16001711215073683</v>
      </c>
      <c r="L1843">
        <v>0.0032033547187529359</v>
      </c>
      <c r="M1843">
        <v>0.019220128312517615</v>
      </c>
      <c r="N1843">
        <v>0.17923724046325445</v>
      </c>
      <c r="O1843" t="s">
        <v>90</v>
      </c>
      <c r="P1843">
        <v>0</v>
      </c>
      <c r="Q1843" t="s">
        <v>90</v>
      </c>
      <c r="R1843">
        <v>0</v>
      </c>
      <c r="S1843" t="s">
        <v>90</v>
      </c>
      <c r="T1843">
        <v>0</v>
      </c>
      <c r="U1843" t="s">
        <v>90</v>
      </c>
      <c r="V1843">
        <v>0</v>
      </c>
      <c r="W1843" t="s">
        <v>90</v>
      </c>
      <c r="X1843">
        <v>0</v>
      </c>
      <c r="Y1843">
        <v>0.17923724046325445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55</v>
      </c>
      <c r="AF1843">
        <v>138</v>
      </c>
      <c r="AG1843">
        <v>120</v>
      </c>
      <c r="AI1843">
        <v>0.069000000000000006</v>
      </c>
      <c r="AJ1843" t="s">
        <v>1325</v>
      </c>
      <c r="AK1843" t="s">
        <v>501</v>
      </c>
      <c r="AL1843" t="s">
        <v>1332</v>
      </c>
      <c r="AM1843">
        <v>200000</v>
      </c>
      <c r="AN1843" t="s">
        <v>92</v>
      </c>
      <c r="AO1843">
        <v>1</v>
      </c>
      <c r="AP1843">
        <v>0</v>
      </c>
      <c r="AQ1843">
        <v>16666.666666666668</v>
      </c>
      <c r="AR1843" t="s">
        <v>7390</v>
      </c>
      <c r="AS1843" t="s">
        <v>78</v>
      </c>
      <c r="AX1843" t="s">
        <v>79</v>
      </c>
      <c r="AY1843" t="s">
        <v>137</v>
      </c>
      <c r="AZ1843">
        <v>0</v>
      </c>
      <c r="BA1843" t="s">
        <v>137</v>
      </c>
      <c r="BB1843">
        <v>0</v>
      </c>
      <c r="BE1843">
        <v>0</v>
      </c>
    </row>
    <row r="1844" spans="1:58" ht="12.75">
      <c r="A1844" s="2" t="str">
        <f>HYPERLINK("https://ibp.a2mac1.com/costing(costing:projects/details/8191/part/5388983)","Central Trim Bezel")</f>
        <v>Central Trim Bezel</v>
      </c>
      <c r="B1844">
        <v>5388983</v>
      </c>
      <c r="C1844">
        <v>5388661</v>
      </c>
      <c r="E1844">
        <v>0.71139640950000005</v>
      </c>
      <c r="F1844">
        <v>0</v>
      </c>
      <c r="G1844">
        <v>0</v>
      </c>
      <c r="H1844">
        <v>0.0036086875509473686</v>
      </c>
      <c r="I1844" t="s">
        <v>137</v>
      </c>
      <c r="J1844">
        <v>0.02496127752631579</v>
      </c>
      <c r="K1844">
        <v>0.73996637457726311</v>
      </c>
      <c r="L1844">
        <v>0.021051114070572863</v>
      </c>
      <c r="M1844">
        <v>0.12630668442343718</v>
      </c>
      <c r="N1844">
        <v>0.86627305900070029</v>
      </c>
      <c r="O1844" t="s">
        <v>90</v>
      </c>
      <c r="P1844">
        <v>0</v>
      </c>
      <c r="Q1844" t="s">
        <v>90</v>
      </c>
      <c r="R1844">
        <v>0</v>
      </c>
      <c r="S1844" t="s">
        <v>90</v>
      </c>
      <c r="T1844">
        <v>0</v>
      </c>
      <c r="U1844" t="s">
        <v>90</v>
      </c>
      <c r="V1844">
        <v>0</v>
      </c>
      <c r="W1844" t="s">
        <v>90</v>
      </c>
      <c r="X1844">
        <v>0</v>
      </c>
      <c r="Y1844">
        <v>0.86627305900070029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380</v>
      </c>
      <c r="AF1844">
        <v>1577</v>
      </c>
      <c r="AG1844">
        <v>61</v>
      </c>
      <c r="AI1844">
        <v>0.45300000000000001</v>
      </c>
      <c r="AJ1844" t="s">
        <v>1325</v>
      </c>
      <c r="AK1844" t="s">
        <v>501</v>
      </c>
      <c r="AL1844" t="s">
        <v>6105</v>
      </c>
      <c r="AM1844">
        <v>200000</v>
      </c>
      <c r="AN1844" t="s">
        <v>92</v>
      </c>
      <c r="AO1844">
        <v>1</v>
      </c>
      <c r="AP1844">
        <v>0</v>
      </c>
      <c r="AQ1844">
        <v>16666.666666666668</v>
      </c>
      <c r="AR1844" t="s">
        <v>7400</v>
      </c>
      <c r="AS1844" t="s">
        <v>78</v>
      </c>
      <c r="AX1844" t="s">
        <v>79</v>
      </c>
      <c r="AY1844" t="s">
        <v>137</v>
      </c>
      <c r="AZ1844">
        <v>0</v>
      </c>
      <c r="BA1844" t="s">
        <v>137</v>
      </c>
      <c r="BB1844">
        <v>0</v>
      </c>
      <c r="BE1844">
        <v>0</v>
      </c>
    </row>
    <row r="1845" spans="1:58" ht="12.75">
      <c r="A1845" s="2" t="str">
        <f>HYPERLINK("https://ibp.a2mac1.com/costing(costing:projects/details/8191/part/5388984)","Central Single")</f>
        <v>Central Single</v>
      </c>
      <c r="B1845">
        <v>5388984</v>
      </c>
      <c r="C1845">
        <v>5388662</v>
      </c>
      <c r="E1845">
        <v>2.3760325994999998</v>
      </c>
      <c r="F1845">
        <v>0</v>
      </c>
      <c r="G1845">
        <v>0</v>
      </c>
      <c r="H1845">
        <v>0.012052857096210526</v>
      </c>
      <c r="I1845" t="s">
        <v>137</v>
      </c>
      <c r="J1845">
        <v>0.083369564894736847</v>
      </c>
      <c r="K1845">
        <v>2.4714550214909474</v>
      </c>
      <c r="L1845">
        <v>0.070497817168297811</v>
      </c>
      <c r="M1845">
        <v>0.42298690300978686</v>
      </c>
      <c r="N1845">
        <v>2.8944419245007342</v>
      </c>
      <c r="O1845" t="s">
        <v>90</v>
      </c>
      <c r="P1845">
        <v>0</v>
      </c>
      <c r="Q1845" t="s">
        <v>90</v>
      </c>
      <c r="R1845">
        <v>0</v>
      </c>
      <c r="S1845" t="s">
        <v>90</v>
      </c>
      <c r="T1845">
        <v>0</v>
      </c>
      <c r="U1845" t="s">
        <v>90</v>
      </c>
      <c r="V1845">
        <v>0</v>
      </c>
      <c r="W1845" t="s">
        <v>90</v>
      </c>
      <c r="X1845">
        <v>0</v>
      </c>
      <c r="Y1845">
        <v>2.8944419245007342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358</v>
      </c>
      <c r="AF1845">
        <v>1403</v>
      </c>
      <c r="AG1845">
        <v>192</v>
      </c>
      <c r="AI1845">
        <v>1.5129999999999999</v>
      </c>
      <c r="AJ1845" t="s">
        <v>1325</v>
      </c>
      <c r="AK1845" t="s">
        <v>501</v>
      </c>
      <c r="AL1845" t="s">
        <v>6105</v>
      </c>
      <c r="AM1845">
        <v>200000</v>
      </c>
      <c r="AN1845" t="s">
        <v>92</v>
      </c>
      <c r="AO1845">
        <v>1</v>
      </c>
      <c r="AP1845">
        <v>0</v>
      </c>
      <c r="AQ1845">
        <v>16666.666666666668</v>
      </c>
      <c r="AR1845" t="s">
        <v>7406</v>
      </c>
      <c r="AS1845" t="s">
        <v>78</v>
      </c>
      <c r="AX1845" t="s">
        <v>79</v>
      </c>
      <c r="AY1845" t="s">
        <v>137</v>
      </c>
      <c r="AZ1845">
        <v>0</v>
      </c>
      <c r="BA1845" t="s">
        <v>137</v>
      </c>
      <c r="BB1845">
        <v>0</v>
      </c>
      <c r="BE1845">
        <v>0</v>
      </c>
    </row>
    <row r="1846" spans="1:58" ht="12.75">
      <c r="A1846" s="2" t="str">
        <f>HYPERLINK("https://ibp.a2mac1.com/costing(costing:projects/details/8191/part/5388655)","Bumper")</f>
        <v>Bumper</v>
      </c>
      <c r="B1846">
        <v>5388655</v>
      </c>
      <c r="C1846">
        <v>5388310</v>
      </c>
      <c r="E1846">
        <v>3.0062496311383775</v>
      </c>
      <c r="F1846">
        <v>0</v>
      </c>
      <c r="G1846">
        <v>0</v>
      </c>
      <c r="H1846">
        <v>0.0031295678446988553</v>
      </c>
      <c r="I1846" t="s">
        <v>137</v>
      </c>
      <c r="J1846">
        <v>0.10532199477351917</v>
      </c>
      <c r="K1846">
        <v>3.1147011937565954</v>
      </c>
      <c r="L1846">
        <v>0.25948848788273648</v>
      </c>
      <c r="M1846">
        <v>1.5569309272964189</v>
      </c>
      <c r="N1846">
        <v>4.6716321210530145</v>
      </c>
      <c r="O1846" t="s">
        <v>90</v>
      </c>
      <c r="P1846">
        <v>0</v>
      </c>
      <c r="Q1846" t="s">
        <v>90</v>
      </c>
      <c r="R1846">
        <v>0</v>
      </c>
      <c r="S1846" t="s">
        <v>90</v>
      </c>
      <c r="T1846">
        <v>0</v>
      </c>
      <c r="U1846" t="s">
        <v>90</v>
      </c>
      <c r="V1846">
        <v>0</v>
      </c>
      <c r="W1846" t="s">
        <v>90</v>
      </c>
      <c r="X1846">
        <v>0</v>
      </c>
      <c r="Y1846">
        <v>4.6716321210530145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586</v>
      </c>
      <c r="AF1846">
        <v>1772</v>
      </c>
      <c r="AG1846">
        <v>376</v>
      </c>
      <c r="AI1846">
        <v>2.9169999999999998</v>
      </c>
      <c r="AJ1846" t="s">
        <v>1325</v>
      </c>
      <c r="AK1846" t="s">
        <v>501</v>
      </c>
      <c r="AL1846" t="s">
        <v>1182</v>
      </c>
      <c r="AM1846">
        <v>200000</v>
      </c>
      <c r="AN1846" t="s">
        <v>92</v>
      </c>
      <c r="AO1846">
        <v>1</v>
      </c>
      <c r="AP1846">
        <v>0</v>
      </c>
      <c r="AQ1846">
        <v>16666.666666666668</v>
      </c>
      <c r="AR1846" t="s">
        <v>7413</v>
      </c>
      <c r="AS1846" t="s">
        <v>78</v>
      </c>
      <c r="AX1846" t="s">
        <v>79</v>
      </c>
      <c r="AY1846" t="s">
        <v>137</v>
      </c>
      <c r="AZ1846">
        <v>0</v>
      </c>
      <c r="BA1846" t="s">
        <v>137</v>
      </c>
      <c r="BB1846">
        <v>0</v>
      </c>
      <c r="BE1846">
        <v>0</v>
      </c>
    </row>
    <row r="1847" spans="1:58" ht="12.75">
      <c r="A1847" s="2" t="str">
        <f>HYPERLINK("https://ibp.a2mac1.com/costing(costing:projects/details/8191/part/5388656)","Lateral Left Bumper")</f>
        <v>Lateral Left Bumper</v>
      </c>
      <c r="B1847">
        <v>5388656</v>
      </c>
      <c r="C1847">
        <v>5388310</v>
      </c>
      <c r="E1847">
        <v>1.2893078415000001</v>
      </c>
      <c r="F1847">
        <v>0</v>
      </c>
      <c r="G1847">
        <v>0</v>
      </c>
      <c r="H1847">
        <v>0.0065402482987368419</v>
      </c>
      <c r="I1847" t="s">
        <v>137</v>
      </c>
      <c r="J1847">
        <v>0.045238871631578949</v>
      </c>
      <c r="K1847">
        <v>1.3410869614303158</v>
      </c>
      <c r="L1847">
        <v>0.18956318178066328</v>
      </c>
      <c r="M1847">
        <v>1.1373790906839798</v>
      </c>
      <c r="N1847">
        <v>2.4784660521142956</v>
      </c>
      <c r="O1847" t="s">
        <v>90</v>
      </c>
      <c r="P1847">
        <v>0</v>
      </c>
      <c r="Q1847" t="s">
        <v>90</v>
      </c>
      <c r="R1847">
        <v>0</v>
      </c>
      <c r="S1847" t="s">
        <v>90</v>
      </c>
      <c r="T1847">
        <v>0</v>
      </c>
      <c r="U1847" t="s">
        <v>90</v>
      </c>
      <c r="V1847">
        <v>0</v>
      </c>
      <c r="W1847" t="s">
        <v>90</v>
      </c>
      <c r="X1847">
        <v>0</v>
      </c>
      <c r="Y1847">
        <v>2.4784660521142956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650</v>
      </c>
      <c r="AF1847">
        <v>295</v>
      </c>
      <c r="AG1847">
        <v>475</v>
      </c>
      <c r="AI1847">
        <v>0.82099999999999995</v>
      </c>
      <c r="AJ1847" t="s">
        <v>1325</v>
      </c>
      <c r="AK1847" t="s">
        <v>501</v>
      </c>
      <c r="AL1847" t="s">
        <v>6105</v>
      </c>
      <c r="AM1847">
        <v>200000</v>
      </c>
      <c r="AN1847" t="s">
        <v>92</v>
      </c>
      <c r="AO1847">
        <v>1</v>
      </c>
      <c r="AP1847">
        <v>0</v>
      </c>
      <c r="AQ1847">
        <v>16666.666666666668</v>
      </c>
      <c r="AR1847" t="s">
        <v>7418</v>
      </c>
      <c r="AS1847" t="s">
        <v>78</v>
      </c>
      <c r="AX1847" t="s">
        <v>79</v>
      </c>
      <c r="AY1847" t="s">
        <v>137</v>
      </c>
      <c r="AZ1847">
        <v>0</v>
      </c>
      <c r="BA1847" t="s">
        <v>137</v>
      </c>
      <c r="BB1847">
        <v>0</v>
      </c>
      <c r="BE1847">
        <v>0</v>
      </c>
    </row>
    <row r="1848" spans="1:58" ht="12.75">
      <c r="A1848" s="2" t="str">
        <f>HYPERLINK("https://ibp.a2mac1.com/costing(costing:projects/details/8191/part/5388657)","Lateral Right Bumper")</f>
        <v>Lateral Right Bumper</v>
      </c>
      <c r="B1848">
        <v>5388657</v>
      </c>
      <c r="C1848">
        <v>5388310</v>
      </c>
      <c r="E1848">
        <v>1.2971598989999999</v>
      </c>
      <c r="F1848">
        <v>0</v>
      </c>
      <c r="G1848">
        <v>0</v>
      </c>
      <c r="H1848">
        <v>0.0065800792871578946</v>
      </c>
      <c r="I1848" t="s">
        <v>137</v>
      </c>
      <c r="J1848">
        <v>0.045514382421052629</v>
      </c>
      <c r="K1848">
        <v>1.3492543607082106</v>
      </c>
      <c r="L1848">
        <v>0.18956318178066328</v>
      </c>
      <c r="M1848">
        <v>1.1373790906839798</v>
      </c>
      <c r="N1848">
        <v>2.4866334513921902</v>
      </c>
      <c r="O1848" t="s">
        <v>90</v>
      </c>
      <c r="P1848">
        <v>0</v>
      </c>
      <c r="Q1848" t="s">
        <v>90</v>
      </c>
      <c r="R1848">
        <v>0</v>
      </c>
      <c r="S1848" t="s">
        <v>90</v>
      </c>
      <c r="T1848">
        <v>0</v>
      </c>
      <c r="U1848" t="s">
        <v>90</v>
      </c>
      <c r="V1848">
        <v>0</v>
      </c>
      <c r="W1848" t="s">
        <v>90</v>
      </c>
      <c r="X1848">
        <v>0</v>
      </c>
      <c r="Y1848">
        <v>2.4866334513921902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650</v>
      </c>
      <c r="AF1848">
        <v>295</v>
      </c>
      <c r="AG1848">
        <v>475</v>
      </c>
      <c r="AI1848">
        <v>0.82599999999999996</v>
      </c>
      <c r="AJ1848" t="s">
        <v>1325</v>
      </c>
      <c r="AK1848" t="s">
        <v>501</v>
      </c>
      <c r="AL1848" t="s">
        <v>6105</v>
      </c>
      <c r="AM1848">
        <v>200000</v>
      </c>
      <c r="AN1848" t="s">
        <v>92</v>
      </c>
      <c r="AO1848">
        <v>1</v>
      </c>
      <c r="AP1848">
        <v>0</v>
      </c>
      <c r="AQ1848">
        <v>16666.666666666668</v>
      </c>
      <c r="AR1848" t="s">
        <v>7423</v>
      </c>
      <c r="AS1848" t="s">
        <v>78</v>
      </c>
      <c r="AX1848" t="s">
        <v>79</v>
      </c>
      <c r="AY1848" t="s">
        <v>137</v>
      </c>
      <c r="AZ1848">
        <v>0</v>
      </c>
      <c r="BA1848" t="s">
        <v>137</v>
      </c>
      <c r="BB1848">
        <v>0</v>
      </c>
      <c r="BE1848">
        <v>0</v>
      </c>
    </row>
    <row r="1849" spans="1:58" ht="12.75">
      <c r="A1849" s="2" t="str">
        <f>HYPERLINK("https://ibp.a2mac1.com/costing(costing:projects/details/8191/part/5388658)","Tow Ring Access Trap")</f>
        <v>Tow Ring Access Trap</v>
      </c>
      <c r="B1849">
        <v>5388658</v>
      </c>
      <c r="C1849">
        <v>5388310</v>
      </c>
      <c r="E1849">
        <v>0.0078520575000000006</v>
      </c>
      <c r="F1849">
        <v>0</v>
      </c>
      <c r="G1849">
        <v>0</v>
      </c>
      <c r="H1849">
        <v>3.983098842105263E-05</v>
      </c>
      <c r="I1849" t="s">
        <v>137</v>
      </c>
      <c r="J1849">
        <v>0.0002755107894736842</v>
      </c>
      <c r="K1849">
        <v>0.0081673992778947373</v>
      </c>
      <c r="L1849">
        <v>0.00023208963704919518</v>
      </c>
      <c r="M1849">
        <v>0.0013925378222951711</v>
      </c>
      <c r="N1849">
        <v>0.0095599371001899077</v>
      </c>
      <c r="O1849" t="s">
        <v>90</v>
      </c>
      <c r="P1849">
        <v>0</v>
      </c>
      <c r="Q1849" t="s">
        <v>90</v>
      </c>
      <c r="R1849">
        <v>0</v>
      </c>
      <c r="S1849" t="s">
        <v>90</v>
      </c>
      <c r="T1849">
        <v>0</v>
      </c>
      <c r="U1849" t="s">
        <v>90</v>
      </c>
      <c r="V1849">
        <v>0</v>
      </c>
      <c r="W1849" t="s">
        <v>90</v>
      </c>
      <c r="X1849">
        <v>0</v>
      </c>
      <c r="Y1849">
        <v>0.0095599371001899077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17</v>
      </c>
      <c r="AF1849">
        <v>43</v>
      </c>
      <c r="AG1849">
        <v>41</v>
      </c>
      <c r="AI1849">
        <v>0.005</v>
      </c>
      <c r="AJ1849" t="s">
        <v>685</v>
      </c>
      <c r="AK1849" t="s">
        <v>501</v>
      </c>
      <c r="AL1849" t="s">
        <v>6105</v>
      </c>
      <c r="AM1849">
        <v>200000</v>
      </c>
      <c r="AN1849" t="s">
        <v>92</v>
      </c>
      <c r="AO1849">
        <v>1</v>
      </c>
      <c r="AP1849">
        <v>0</v>
      </c>
      <c r="AQ1849">
        <v>16666.666666666668</v>
      </c>
      <c r="AR1849" t="s">
        <v>7426</v>
      </c>
      <c r="AS1849" t="s">
        <v>78</v>
      </c>
      <c r="AX1849" t="s">
        <v>79</v>
      </c>
      <c r="AY1849" t="s">
        <v>137</v>
      </c>
      <c r="AZ1849">
        <v>0</v>
      </c>
      <c r="BA1849" t="s">
        <v>137</v>
      </c>
      <c r="BB1849">
        <v>0</v>
      </c>
      <c r="BE1849">
        <v>0</v>
      </c>
    </row>
    <row r="1850" spans="1:58" ht="12.75">
      <c r="A1850" s="2" t="str">
        <f>HYPERLINK("https://ibp.a2mac1.com/costing(costing:projects/details/8191/part/5388659)","2nd Tow Ring Access Trap Part")</f>
        <v>2nd Tow Ring Access Trap Part</v>
      </c>
      <c r="B1850">
        <v>5388659</v>
      </c>
      <c r="C1850">
        <v>5388310</v>
      </c>
      <c r="E1850">
        <v>0.0033180842105263158</v>
      </c>
      <c r="F1850">
        <v>0</v>
      </c>
      <c r="G1850">
        <v>0</v>
      </c>
      <c r="H1850">
        <v>1.6789506105263158E-05</v>
      </c>
      <c r="I1850" t="s">
        <v>137</v>
      </c>
      <c r="J1850">
        <v>0.00011613294736842105</v>
      </c>
      <c r="K1850">
        <v>0.0034510066639999999</v>
      </c>
      <c r="L1850">
        <v>9.2835151385610077E-05</v>
      </c>
      <c r="M1850">
        <v>0.00055701090831366043</v>
      </c>
      <c r="N1850">
        <v>0.0040080175723136609</v>
      </c>
      <c r="O1850" t="s">
        <v>90</v>
      </c>
      <c r="P1850">
        <v>0</v>
      </c>
      <c r="Q1850" t="s">
        <v>90</v>
      </c>
      <c r="R1850">
        <v>0</v>
      </c>
      <c r="S1850" t="s">
        <v>90</v>
      </c>
      <c r="T1850">
        <v>0</v>
      </c>
      <c r="U1850" t="s">
        <v>90</v>
      </c>
      <c r="V1850">
        <v>0</v>
      </c>
      <c r="W1850" t="s">
        <v>90</v>
      </c>
      <c r="X1850">
        <v>0</v>
      </c>
      <c r="Y1850">
        <v>0.0040080175723136609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18</v>
      </c>
      <c r="AF1850">
        <v>92</v>
      </c>
      <c r="AG1850">
        <v>34</v>
      </c>
      <c r="AI1850">
        <v>0.002</v>
      </c>
      <c r="AK1850" t="s">
        <v>501</v>
      </c>
      <c r="AL1850" t="s">
        <v>1345</v>
      </c>
      <c r="AM1850">
        <v>200000</v>
      </c>
      <c r="AN1850" t="s">
        <v>92</v>
      </c>
      <c r="AO1850">
        <v>1</v>
      </c>
      <c r="AP1850">
        <v>0</v>
      </c>
      <c r="AQ1850">
        <v>16666.666666666668</v>
      </c>
      <c r="AR1850" t="s">
        <v>7429</v>
      </c>
      <c r="AS1850" t="s">
        <v>78</v>
      </c>
      <c r="AX1850" t="s">
        <v>79</v>
      </c>
      <c r="AY1850" t="s">
        <v>137</v>
      </c>
      <c r="AZ1850">
        <v>0</v>
      </c>
      <c r="BA1850" t="s">
        <v>137</v>
      </c>
      <c r="BB1850">
        <v>0</v>
      </c>
      <c r="BE1850">
        <v>0</v>
      </c>
    </row>
    <row r="1851" spans="1:58" ht="12.75">
      <c r="A1851" s="2" t="str">
        <f>HYPERLINK("https://ibp.a2mac1.com/costing(costing:projects/details/8191/part/5388660)","Rear Bumper Harness")</f>
        <v>Rear Bumper Harness</v>
      </c>
      <c r="B1851">
        <v>5388660</v>
      </c>
      <c r="C1851">
        <v>5388310</v>
      </c>
      <c r="E1851">
        <v>6.2930900000000003</v>
      </c>
      <c r="F1851">
        <v>0</v>
      </c>
      <c r="G1851">
        <v>0</v>
      </c>
      <c r="H1851">
        <v>0</v>
      </c>
      <c r="I1851" t="s">
        <v>74</v>
      </c>
      <c r="J1851">
        <v>0</v>
      </c>
      <c r="K1851">
        <v>6.2930900000000003</v>
      </c>
      <c r="L1851">
        <v>0</v>
      </c>
      <c r="M1851">
        <v>0</v>
      </c>
      <c r="N1851">
        <v>6.2930900000000003</v>
      </c>
      <c r="O1851" t="s">
        <v>74</v>
      </c>
      <c r="P1851">
        <v>0</v>
      </c>
      <c r="Q1851" t="s">
        <v>74</v>
      </c>
      <c r="R1851">
        <v>0</v>
      </c>
      <c r="S1851" t="s">
        <v>74</v>
      </c>
      <c r="T1851">
        <v>0</v>
      </c>
      <c r="U1851" t="s">
        <v>74</v>
      </c>
      <c r="V1851">
        <v>0</v>
      </c>
      <c r="W1851" t="s">
        <v>74</v>
      </c>
      <c r="X1851">
        <v>0</v>
      </c>
      <c r="Y1851">
        <v>6.2930900000000003</v>
      </c>
      <c r="Z1851">
        <v>0</v>
      </c>
      <c r="AA1851">
        <v>0</v>
      </c>
      <c r="AB1851">
        <v>0</v>
      </c>
      <c r="AC1851">
        <v>0</v>
      </c>
      <c r="AD1851">
        <v>0</v>
      </c>
      <c r="AI1851">
        <v>0.16200000000000001</v>
      </c>
      <c r="AJ1851" t="s">
        <v>1644</v>
      </c>
      <c r="AK1851" t="s">
        <v>1645</v>
      </c>
      <c r="AL1851" t="s">
        <v>1658</v>
      </c>
      <c r="AM1851">
        <v>200000</v>
      </c>
      <c r="AN1851" t="s">
        <v>76</v>
      </c>
      <c r="AO1851">
        <v>1</v>
      </c>
      <c r="AP1851">
        <v>0</v>
      </c>
      <c r="AQ1851">
        <v>16666.666666666668</v>
      </c>
      <c r="AR1851" t="s">
        <v>7430</v>
      </c>
      <c r="AS1851" t="s">
        <v>78</v>
      </c>
      <c r="AX1851" t="s">
        <v>79</v>
      </c>
      <c r="AY1851" t="s">
        <v>74</v>
      </c>
      <c r="AZ1851">
        <v>0</v>
      </c>
      <c r="BA1851" t="s">
        <v>74</v>
      </c>
      <c r="BB1851">
        <v>0</v>
      </c>
      <c r="BD1851">
        <v>6.2930900000000003</v>
      </c>
      <c r="BE1851">
        <v>0</v>
      </c>
    </row>
    <row r="1852" spans="1:58" ht="12.75">
      <c r="A1852" s="2" t="str">
        <f>HYPERLINK("https://ibp.a2mac1.com/costing(costing:projects/details/8191/part/5388663)","Left Side Fastener")</f>
        <v>Left Side Fastener</v>
      </c>
      <c r="B1852">
        <v>5388663</v>
      </c>
      <c r="C1852">
        <v>5388311</v>
      </c>
      <c r="E1852">
        <v>0.48158258399999998</v>
      </c>
      <c r="F1852">
        <v>0</v>
      </c>
      <c r="G1852">
        <v>0</v>
      </c>
      <c r="H1852">
        <v>0.0024429151629473686</v>
      </c>
      <c r="I1852" t="s">
        <v>137</v>
      </c>
      <c r="J1852">
        <v>0.016897634526315788</v>
      </c>
      <c r="K1852">
        <v>0.50092313368926311</v>
      </c>
      <c r="L1852">
        <v>0.010031615605705703</v>
      </c>
      <c r="M1852">
        <v>0.060189693634234223</v>
      </c>
      <c r="N1852">
        <v>0.56111282732349743</v>
      </c>
      <c r="O1852" t="s">
        <v>138</v>
      </c>
      <c r="P1852">
        <v>0.030055388021355791</v>
      </c>
      <c r="Q1852" t="s">
        <v>138</v>
      </c>
      <c r="R1852">
        <v>0.0036113816180540531</v>
      </c>
      <c r="S1852" t="s">
        <v>139</v>
      </c>
      <c r="T1852">
        <v>0.067333539278819687</v>
      </c>
      <c r="U1852" t="s">
        <v>90</v>
      </c>
      <c r="V1852">
        <v>0</v>
      </c>
      <c r="W1852" t="s">
        <v>90</v>
      </c>
      <c r="X1852">
        <v>0</v>
      </c>
      <c r="Y1852">
        <v>0.66211313624172685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50</v>
      </c>
      <c r="AF1852">
        <v>330</v>
      </c>
      <c r="AG1852">
        <v>297</v>
      </c>
      <c r="AI1852">
        <v>0.216</v>
      </c>
      <c r="AJ1852" t="s">
        <v>1325</v>
      </c>
      <c r="AK1852" t="s">
        <v>501</v>
      </c>
      <c r="AL1852" t="s">
        <v>1332</v>
      </c>
      <c r="AM1852">
        <v>200000</v>
      </c>
      <c r="AN1852" t="s">
        <v>76</v>
      </c>
      <c r="AO1852">
        <v>1</v>
      </c>
      <c r="AP1852">
        <v>0</v>
      </c>
      <c r="AQ1852">
        <v>16666.666666666668</v>
      </c>
      <c r="AR1852" t="s">
        <v>7436</v>
      </c>
      <c r="AS1852" t="s">
        <v>78</v>
      </c>
      <c r="AX1852" t="s">
        <v>79</v>
      </c>
      <c r="AY1852" t="s">
        <v>137</v>
      </c>
      <c r="AZ1852">
        <v>0</v>
      </c>
      <c r="BA1852" t="s">
        <v>137</v>
      </c>
      <c r="BB1852">
        <v>0</v>
      </c>
      <c r="BE1852">
        <v>0</v>
      </c>
    </row>
    <row r="1853" spans="1:58" ht="12.75">
      <c r="A1853" s="2" t="str">
        <f>HYPERLINK("https://ibp.a2mac1.com/costing(costing:projects/details/8191/part/5388664)","Right Side Fastener")</f>
        <v>Right Side Fastener</v>
      </c>
      <c r="B1853">
        <v>5388664</v>
      </c>
      <c r="C1853">
        <v>5388311</v>
      </c>
      <c r="E1853">
        <v>0.47043483899999999</v>
      </c>
      <c r="F1853">
        <v>0</v>
      </c>
      <c r="G1853">
        <v>0</v>
      </c>
      <c r="H1853">
        <v>0.0023863662008421051</v>
      </c>
      <c r="I1853" t="s">
        <v>137</v>
      </c>
      <c r="J1853">
        <v>0.016506485578947367</v>
      </c>
      <c r="K1853">
        <v>0.48932769077978949</v>
      </c>
      <c r="L1853">
        <v>0.0097992785943425975</v>
      </c>
      <c r="M1853">
        <v>0.058795671566055585</v>
      </c>
      <c r="N1853">
        <v>0.54812336234584502</v>
      </c>
      <c r="O1853" t="s">
        <v>138</v>
      </c>
      <c r="P1853">
        <v>0.02935966144678737</v>
      </c>
      <c r="Q1853" t="s">
        <v>138</v>
      </c>
      <c r="R1853">
        <v>0.0035277402939633351</v>
      </c>
      <c r="S1853" t="s">
        <v>139</v>
      </c>
      <c r="T1853">
        <v>0.065774803481501401</v>
      </c>
      <c r="U1853" t="s">
        <v>90</v>
      </c>
      <c r="V1853">
        <v>0</v>
      </c>
      <c r="W1853" t="s">
        <v>90</v>
      </c>
      <c r="X1853">
        <v>0</v>
      </c>
      <c r="Y1853">
        <v>0.64678556756809713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50</v>
      </c>
      <c r="AF1853">
        <v>330</v>
      </c>
      <c r="AG1853">
        <v>297</v>
      </c>
      <c r="AI1853">
        <v>0.21099999999999999</v>
      </c>
      <c r="AJ1853" t="s">
        <v>1325</v>
      </c>
      <c r="AK1853" t="s">
        <v>501</v>
      </c>
      <c r="AL1853" t="s">
        <v>1332</v>
      </c>
      <c r="AM1853">
        <v>200000</v>
      </c>
      <c r="AN1853" t="s">
        <v>76</v>
      </c>
      <c r="AO1853">
        <v>1</v>
      </c>
      <c r="AP1853">
        <v>0</v>
      </c>
      <c r="AQ1853">
        <v>16666.666666666668</v>
      </c>
      <c r="AR1853" t="s">
        <v>7441</v>
      </c>
      <c r="AS1853" t="s">
        <v>78</v>
      </c>
      <c r="AX1853" t="s">
        <v>79</v>
      </c>
      <c r="AY1853" t="s">
        <v>137</v>
      </c>
      <c r="AZ1853">
        <v>0</v>
      </c>
      <c r="BA1853" t="s">
        <v>137</v>
      </c>
      <c r="BB1853">
        <v>0</v>
      </c>
      <c r="BE1853">
        <v>0</v>
      </c>
    </row>
    <row r="1854" spans="1:58" ht="12.75">
      <c r="A1854" s="2" t="str">
        <f>HYPERLINK("https://ibp.a2mac1.com/costing(costing:projects/details/8191/part/5388665)","Left Mounting Bracket Under Lighting")</f>
        <v>Left Mounting Bracket Under Lighting</v>
      </c>
      <c r="B1854">
        <v>5388665</v>
      </c>
      <c r="C1854">
        <v>5388311</v>
      </c>
      <c r="E1854">
        <v>0.34112099699999998</v>
      </c>
      <c r="F1854">
        <v>0</v>
      </c>
      <c r="G1854">
        <v>0</v>
      </c>
      <c r="H1854">
        <v>0.0017303982404210526</v>
      </c>
      <c r="I1854" t="s">
        <v>137</v>
      </c>
      <c r="J1854">
        <v>0.011969157789473684</v>
      </c>
      <c r="K1854">
        <v>0.35482055302989474</v>
      </c>
      <c r="L1854">
        <v>0.0071045976538779768</v>
      </c>
      <c r="M1854">
        <v>0.042627585923267861</v>
      </c>
      <c r="N1854">
        <v>0.39744813895316261</v>
      </c>
      <c r="O1854" t="s">
        <v>138</v>
      </c>
      <c r="P1854">
        <v>0.021289233181793685</v>
      </c>
      <c r="Q1854" t="s">
        <v>138</v>
      </c>
      <c r="R1854">
        <v>0.0025576551553960717</v>
      </c>
      <c r="S1854" t="s">
        <v>139</v>
      </c>
      <c r="T1854">
        <v>0.047693776674379511</v>
      </c>
      <c r="U1854" t="s">
        <v>90</v>
      </c>
      <c r="V1854">
        <v>0</v>
      </c>
      <c r="W1854" t="s">
        <v>90</v>
      </c>
      <c r="X1854">
        <v>0</v>
      </c>
      <c r="Y1854">
        <v>0.46898880396473186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57</v>
      </c>
      <c r="AF1854">
        <v>261</v>
      </c>
      <c r="AG1854">
        <v>87</v>
      </c>
      <c r="AI1854">
        <v>0.153</v>
      </c>
      <c r="AJ1854" t="s">
        <v>1325</v>
      </c>
      <c r="AK1854" t="s">
        <v>501</v>
      </c>
      <c r="AL1854" t="s">
        <v>1332</v>
      </c>
      <c r="AM1854">
        <v>200000</v>
      </c>
      <c r="AN1854" t="s">
        <v>76</v>
      </c>
      <c r="AO1854">
        <v>1</v>
      </c>
      <c r="AP1854">
        <v>0</v>
      </c>
      <c r="AQ1854">
        <v>16666.666666666668</v>
      </c>
      <c r="AR1854" t="s">
        <v>7446</v>
      </c>
      <c r="AS1854" t="s">
        <v>78</v>
      </c>
      <c r="AX1854" t="s">
        <v>79</v>
      </c>
      <c r="AY1854" t="s">
        <v>137</v>
      </c>
      <c r="AZ1854">
        <v>0</v>
      </c>
      <c r="BA1854" t="s">
        <v>137</v>
      </c>
      <c r="BB1854">
        <v>0</v>
      </c>
      <c r="BE1854">
        <v>0</v>
      </c>
    </row>
    <row r="1855" spans="1:58" ht="12.75">
      <c r="A1855" s="2" t="str">
        <f>HYPERLINK("https://ibp.a2mac1.com/costing(costing:projects/details/8191/part/5388666)","Right Mounting Bracket Under Lighting")</f>
        <v>Right Mounting Bracket Under Lighting</v>
      </c>
      <c r="B1855">
        <v>5388666</v>
      </c>
      <c r="C1855">
        <v>5388311</v>
      </c>
      <c r="E1855">
        <v>0.33889144799999998</v>
      </c>
      <c r="F1855">
        <v>0</v>
      </c>
      <c r="G1855">
        <v>0</v>
      </c>
      <c r="H1855">
        <v>0.0017190884480000001</v>
      </c>
      <c r="I1855" t="s">
        <v>137</v>
      </c>
      <c r="J1855">
        <v>0.011890928</v>
      </c>
      <c r="K1855">
        <v>0.35250146444800001</v>
      </c>
      <c r="L1855">
        <v>0.0070581445547647382</v>
      </c>
      <c r="M1855">
        <v>0.042348867328588426</v>
      </c>
      <c r="N1855">
        <v>0.3948503317765884</v>
      </c>
      <c r="O1855" t="s">
        <v>90</v>
      </c>
      <c r="P1855">
        <v>0</v>
      </c>
      <c r="Q1855" t="s">
        <v>90</v>
      </c>
      <c r="R1855">
        <v>0</v>
      </c>
      <c r="S1855" t="s">
        <v>90</v>
      </c>
      <c r="T1855">
        <v>0</v>
      </c>
      <c r="U1855" t="s">
        <v>90</v>
      </c>
      <c r="V1855">
        <v>0</v>
      </c>
      <c r="W1855" t="s">
        <v>90</v>
      </c>
      <c r="X1855">
        <v>0</v>
      </c>
      <c r="Y1855">
        <v>0.3948503317765884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57</v>
      </c>
      <c r="AF1855">
        <v>261</v>
      </c>
      <c r="AG1855">
        <v>87</v>
      </c>
      <c r="AI1855">
        <v>0.152</v>
      </c>
      <c r="AJ1855" t="s">
        <v>1325</v>
      </c>
      <c r="AK1855" t="s">
        <v>501</v>
      </c>
      <c r="AL1855" t="s">
        <v>1332</v>
      </c>
      <c r="AM1855">
        <v>200000</v>
      </c>
      <c r="AN1855" t="s">
        <v>92</v>
      </c>
      <c r="AO1855">
        <v>1</v>
      </c>
      <c r="AP1855">
        <v>0</v>
      </c>
      <c r="AQ1855">
        <v>16666.666666666668</v>
      </c>
      <c r="AR1855" t="s">
        <v>7450</v>
      </c>
      <c r="AS1855" t="s">
        <v>78</v>
      </c>
      <c r="AX1855" t="s">
        <v>79</v>
      </c>
      <c r="AY1855" t="s">
        <v>137</v>
      </c>
      <c r="AZ1855">
        <v>0</v>
      </c>
      <c r="BA1855" t="s">
        <v>137</v>
      </c>
      <c r="BB1855">
        <v>0</v>
      </c>
      <c r="BE1855">
        <v>0</v>
      </c>
    </row>
    <row r="1856" spans="1:58" ht="12.75">
      <c r="A1856" s="2" t="str">
        <f>HYPERLINK("https://ibp.a2mac1.com/costing(costing:projects/details/8191/part/5388985)","Wheel Arch Liner")</f>
        <v>Wheel Arch Liner</v>
      </c>
      <c r="B1856">
        <v>5388985</v>
      </c>
      <c r="C1856">
        <v>5388668</v>
      </c>
      <c r="E1856">
        <v>1.69</v>
      </c>
      <c r="F1856">
        <v>0</v>
      </c>
      <c r="G1856">
        <v>0</v>
      </c>
      <c r="H1856">
        <v>0.0085514000000000007</v>
      </c>
      <c r="I1856" t="s">
        <v>137</v>
      </c>
      <c r="J1856">
        <v>0.059150000000000001</v>
      </c>
      <c r="K1856">
        <v>1.7577014</v>
      </c>
      <c r="L1856">
        <v>0.23679118301002461</v>
      </c>
      <c r="M1856">
        <v>1.4207470980601475</v>
      </c>
      <c r="N1856">
        <v>3.1784484980601477</v>
      </c>
      <c r="O1856" t="s">
        <v>138</v>
      </c>
      <c r="P1856">
        <v>0.105462084</v>
      </c>
      <c r="Q1856" t="s">
        <v>138</v>
      </c>
      <c r="R1856">
        <v>0.085244825883608849</v>
      </c>
      <c r="S1856" t="s">
        <v>139</v>
      </c>
      <c r="T1856">
        <v>0.38141381976721772</v>
      </c>
      <c r="U1856" t="s">
        <v>90</v>
      </c>
      <c r="V1856">
        <v>0</v>
      </c>
      <c r="W1856" t="s">
        <v>90</v>
      </c>
      <c r="X1856">
        <v>0</v>
      </c>
      <c r="Y1856">
        <v>3.7505692277109741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399</v>
      </c>
      <c r="AF1856">
        <v>970</v>
      </c>
      <c r="AG1856">
        <v>610</v>
      </c>
      <c r="AI1856">
        <v>0.70799999999999996</v>
      </c>
      <c r="AJ1856" t="s">
        <v>685</v>
      </c>
      <c r="AK1856" t="s">
        <v>501</v>
      </c>
      <c r="AL1856" t="s">
        <v>7456</v>
      </c>
      <c r="AM1856">
        <v>200000</v>
      </c>
      <c r="AN1856" t="s">
        <v>76</v>
      </c>
      <c r="AO1856">
        <v>1</v>
      </c>
      <c r="AP1856">
        <v>0</v>
      </c>
      <c r="AQ1856">
        <v>16666.666666666668</v>
      </c>
      <c r="AR1856" t="s">
        <v>7457</v>
      </c>
      <c r="AS1856" t="s">
        <v>78</v>
      </c>
      <c r="AX1856" t="s">
        <v>79</v>
      </c>
      <c r="AY1856" t="s">
        <v>137</v>
      </c>
      <c r="AZ1856">
        <v>0</v>
      </c>
      <c r="BA1856" t="s">
        <v>137</v>
      </c>
      <c r="BB1856">
        <v>0</v>
      </c>
      <c r="BE1856">
        <v>0</v>
      </c>
    </row>
    <row r="1857" spans="1:58" ht="12.75">
      <c r="A1857" s="2" t="str">
        <f>HYPERLINK("https://ibp.a2mac1.com/costing(costing:projects/details/8191/part/5388986)","Wheel Arch Liner")</f>
        <v>Wheel Arch Liner</v>
      </c>
      <c r="B1857">
        <v>5388986</v>
      </c>
      <c r="C1857">
        <v>5388669</v>
      </c>
      <c r="E1857">
        <v>1.69</v>
      </c>
      <c r="F1857">
        <v>0</v>
      </c>
      <c r="G1857">
        <v>0</v>
      </c>
      <c r="H1857">
        <v>0.0085514000000000007</v>
      </c>
      <c r="I1857" t="s">
        <v>137</v>
      </c>
      <c r="J1857">
        <v>0.059150000000000001</v>
      </c>
      <c r="K1857">
        <v>1.7577014</v>
      </c>
      <c r="L1857">
        <v>0.23679118301002461</v>
      </c>
      <c r="M1857">
        <v>1.4207470980601475</v>
      </c>
      <c r="N1857">
        <v>3.1784484980601477</v>
      </c>
      <c r="O1857" t="s">
        <v>138</v>
      </c>
      <c r="P1857">
        <v>0.105462084</v>
      </c>
      <c r="Q1857" t="s">
        <v>138</v>
      </c>
      <c r="R1857">
        <v>0.085244825883608849</v>
      </c>
      <c r="S1857" t="s">
        <v>139</v>
      </c>
      <c r="T1857">
        <v>0.38141381976721772</v>
      </c>
      <c r="U1857" t="s">
        <v>90</v>
      </c>
      <c r="V1857">
        <v>0</v>
      </c>
      <c r="W1857" t="s">
        <v>90</v>
      </c>
      <c r="X1857">
        <v>0</v>
      </c>
      <c r="Y1857">
        <v>3.7505692277109741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439</v>
      </c>
      <c r="AF1857">
        <v>1011</v>
      </c>
      <c r="AG1857">
        <v>625</v>
      </c>
      <c r="AI1857">
        <v>0.86199999999999999</v>
      </c>
      <c r="AJ1857" t="s">
        <v>685</v>
      </c>
      <c r="AK1857" t="s">
        <v>501</v>
      </c>
      <c r="AL1857" t="s">
        <v>7456</v>
      </c>
      <c r="AM1857">
        <v>200000</v>
      </c>
      <c r="AN1857" t="s">
        <v>76</v>
      </c>
      <c r="AO1857">
        <v>1</v>
      </c>
      <c r="AP1857">
        <v>0</v>
      </c>
      <c r="AQ1857">
        <v>16666.666666666668</v>
      </c>
      <c r="AR1857" t="s">
        <v>7462</v>
      </c>
      <c r="AS1857" t="s">
        <v>78</v>
      </c>
      <c r="AX1857" t="s">
        <v>79</v>
      </c>
      <c r="AY1857" t="s">
        <v>137</v>
      </c>
      <c r="AZ1857">
        <v>0</v>
      </c>
      <c r="BA1857" t="s">
        <v>137</v>
      </c>
      <c r="BB1857">
        <v>0</v>
      </c>
      <c r="BE1857">
        <v>0</v>
      </c>
    </row>
    <row r="1858" spans="1:58" ht="12.75">
      <c r="A1858" s="2" t="str">
        <f>HYPERLINK("https://ibp.a2mac1.com/costing(costing:projects/details/8191/part/5388667)","Air Guide")</f>
        <v>Air Guide</v>
      </c>
      <c r="B1858">
        <v>5388667</v>
      </c>
      <c r="C1858">
        <v>5388312</v>
      </c>
      <c r="E1858">
        <v>0.435912456</v>
      </c>
      <c r="F1858">
        <v>0</v>
      </c>
      <c r="G1858">
        <v>0</v>
      </c>
      <c r="H1858">
        <v>0.0021981349911578949</v>
      </c>
      <c r="I1858" t="s">
        <v>137</v>
      </c>
      <c r="J1858">
        <v>0.015295173894736842</v>
      </c>
      <c r="K1858">
        <v>0.45340576488589474</v>
      </c>
      <c r="L1858">
        <v>0.010743721547860713</v>
      </c>
      <c r="M1858">
        <v>0.064462329287164277</v>
      </c>
      <c r="N1858">
        <v>0.51786809417305901</v>
      </c>
      <c r="O1858" t="s">
        <v>138</v>
      </c>
      <c r="P1858">
        <v>0.027204345893153684</v>
      </c>
      <c r="Q1858" t="s">
        <v>138</v>
      </c>
      <c r="R1858">
        <v>0.0038677397572298568</v>
      </c>
      <c r="S1858" t="s">
        <v>139</v>
      </c>
      <c r="T1858">
        <v>0.062144171300767083</v>
      </c>
      <c r="U1858" t="s">
        <v>90</v>
      </c>
      <c r="V1858">
        <v>0</v>
      </c>
      <c r="W1858" t="s">
        <v>90</v>
      </c>
      <c r="X1858">
        <v>0</v>
      </c>
      <c r="Y1858">
        <v>0.61108435112420967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72</v>
      </c>
      <c r="AF1858">
        <v>264</v>
      </c>
      <c r="AG1858">
        <v>132</v>
      </c>
      <c r="AI1858">
        <v>0.11600000000000001</v>
      </c>
      <c r="AK1858" t="s">
        <v>501</v>
      </c>
      <c r="AL1858" t="s">
        <v>6111</v>
      </c>
      <c r="AM1858">
        <v>400000</v>
      </c>
      <c r="AN1858" t="s">
        <v>76</v>
      </c>
      <c r="AO1858">
        <v>2</v>
      </c>
      <c r="AP1858">
        <v>0</v>
      </c>
      <c r="AQ1858">
        <v>33333.333333333336</v>
      </c>
      <c r="AR1858" t="s">
        <v>7468</v>
      </c>
      <c r="AS1858" t="s">
        <v>78</v>
      </c>
      <c r="AX1858" t="s">
        <v>79</v>
      </c>
      <c r="AY1858" t="s">
        <v>137</v>
      </c>
      <c r="AZ1858">
        <v>0</v>
      </c>
      <c r="BA1858" t="s">
        <v>137</v>
      </c>
      <c r="BB1858">
        <v>0</v>
      </c>
      <c r="BE1858">
        <v>0</v>
      </c>
    </row>
    <row r="1859" spans="1:58" ht="12.75">
      <c r="A1859" s="2" t="str">
        <f>HYPERLINK("https://ibp.a2mac1.com/costing(costing:projects/details/8191/part/5388309)","Rear Cross Member")</f>
        <v>Rear Cross Member</v>
      </c>
      <c r="B1859">
        <v>5388309</v>
      </c>
      <c r="C1859">
        <v>5388159</v>
      </c>
      <c r="E1859">
        <v>10.510987200000001</v>
      </c>
      <c r="F1859">
        <v>0</v>
      </c>
      <c r="G1859">
        <v>0</v>
      </c>
      <c r="H1859">
        <v>0.053185595231999998</v>
      </c>
      <c r="I1859" t="s">
        <v>137</v>
      </c>
      <c r="J1859">
        <v>0.36788455199999998</v>
      </c>
      <c r="K1859">
        <v>10.932057347232</v>
      </c>
      <c r="L1859">
        <v>5.3271007568519133</v>
      </c>
      <c r="M1859">
        <v>31.962604541111482</v>
      </c>
      <c r="N1859">
        <v>42.894661888343478</v>
      </c>
      <c r="O1859" t="s">
        <v>138</v>
      </c>
      <c r="P1859">
        <v>0.65592344083391996</v>
      </c>
      <c r="Q1859" t="s">
        <v>138</v>
      </c>
      <c r="R1859">
        <v>1.9177562724666888</v>
      </c>
      <c r="S1859" t="s">
        <v>139</v>
      </c>
      <c r="T1859">
        <v>5.1473594266012181</v>
      </c>
      <c r="U1859" t="s">
        <v>90</v>
      </c>
      <c r="V1859">
        <v>0</v>
      </c>
      <c r="W1859" t="s">
        <v>90</v>
      </c>
      <c r="X1859">
        <v>0</v>
      </c>
      <c r="Y1859">
        <v>50.615701028245311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502</v>
      </c>
      <c r="AF1859">
        <v>1290</v>
      </c>
      <c r="AG1859">
        <v>212</v>
      </c>
      <c r="AI1859">
        <v>19.707000000000001</v>
      </c>
      <c r="AJ1859" t="s">
        <v>7474</v>
      </c>
      <c r="AK1859" t="s">
        <v>501</v>
      </c>
      <c r="AL1859" t="s">
        <v>720</v>
      </c>
      <c r="AM1859">
        <v>200000</v>
      </c>
      <c r="AN1859" t="s">
        <v>76</v>
      </c>
      <c r="AO1859">
        <v>1</v>
      </c>
      <c r="AP1859">
        <v>0</v>
      </c>
      <c r="AQ1859">
        <v>16666.666666666668</v>
      </c>
      <c r="AR1859" t="s">
        <v>7475</v>
      </c>
      <c r="AS1859" t="s">
        <v>78</v>
      </c>
      <c r="AX1859" t="s">
        <v>79</v>
      </c>
      <c r="AY1859" t="s">
        <v>137</v>
      </c>
      <c r="AZ1859">
        <v>0</v>
      </c>
      <c r="BA1859" t="s">
        <v>137</v>
      </c>
      <c r="BB1859">
        <v>0</v>
      </c>
      <c r="BE1859">
        <v>0</v>
      </c>
    </row>
    <row r="1860" spans="1:58" ht="12.75">
      <c r="A1860" s="2" t="str">
        <f>HYPERLINK("https://ibp.a2mac1.com/costing(costing:projects/details/8191/part/5388670)","Left and Right if Similar")</f>
        <v>Left and Right if Similar</v>
      </c>
      <c r="B1860">
        <v>5388670</v>
      </c>
      <c r="C1860">
        <v>5388315</v>
      </c>
      <c r="E1860">
        <v>0.03203802</v>
      </c>
      <c r="F1860">
        <v>0</v>
      </c>
      <c r="G1860">
        <v>0</v>
      </c>
      <c r="H1860">
        <v>0.00016155512842105262</v>
      </c>
      <c r="I1860" t="s">
        <v>137</v>
      </c>
      <c r="J1860">
        <v>0.0011241410526315789</v>
      </c>
      <c r="K1860">
        <v>0.033323716181052634</v>
      </c>
      <c r="L1860">
        <v>0.00069454176864493504</v>
      </c>
      <c r="M1860">
        <v>0.0041672506118696105</v>
      </c>
      <c r="N1860">
        <v>0.037490966792922242</v>
      </c>
      <c r="O1860" t="s">
        <v>138</v>
      </c>
      <c r="P1860">
        <v>0.0019994229708631579</v>
      </c>
      <c r="Q1860" t="s">
        <v>138</v>
      </c>
      <c r="R1860">
        <v>0.00025003503671217661</v>
      </c>
      <c r="S1860" t="s">
        <v>139</v>
      </c>
      <c r="T1860">
        <v>0.0044989160151506693</v>
      </c>
      <c r="U1860" t="s">
        <v>90</v>
      </c>
      <c r="V1860">
        <v>0</v>
      </c>
      <c r="W1860" t="s">
        <v>90</v>
      </c>
      <c r="X1860">
        <v>0</v>
      </c>
      <c r="Y1860">
        <v>0.044239340815648245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49</v>
      </c>
      <c r="AF1860">
        <v>41</v>
      </c>
      <c r="AG1860">
        <v>51</v>
      </c>
      <c r="AI1860">
        <v>0.015</v>
      </c>
      <c r="AJ1860" t="s">
        <v>7482</v>
      </c>
      <c r="AK1860" t="s">
        <v>598</v>
      </c>
      <c r="AL1860" t="s">
        <v>1206</v>
      </c>
      <c r="AM1860">
        <v>400000</v>
      </c>
      <c r="AN1860" t="s">
        <v>76</v>
      </c>
      <c r="AO1860">
        <v>2</v>
      </c>
      <c r="AP1860">
        <v>0</v>
      </c>
      <c r="AQ1860">
        <v>33333.333333333336</v>
      </c>
      <c r="AR1860" t="s">
        <v>7488</v>
      </c>
      <c r="AS1860" t="s">
        <v>78</v>
      </c>
      <c r="AX1860" t="s">
        <v>79</v>
      </c>
      <c r="AY1860" t="s">
        <v>137</v>
      </c>
      <c r="AZ1860">
        <v>0</v>
      </c>
      <c r="BA1860" t="s">
        <v>137</v>
      </c>
      <c r="BB1860">
        <v>0</v>
      </c>
      <c r="BE1860">
        <v>0</v>
      </c>
    </row>
    <row r="1861" spans="1:58" ht="12.75">
      <c r="A1861" s="2" t="str">
        <f>HYPERLINK("https://ibp.a2mac1.com/costing(costing:projects/details/8191/part/5388671)","Headlight ECU")</f>
        <v>Headlight ECU</v>
      </c>
      <c r="B1861">
        <v>5388671</v>
      </c>
      <c r="C1861">
        <v>5388316</v>
      </c>
      <c r="E1861">
        <v>0</v>
      </c>
      <c r="F1861">
        <v>28.658290716470759</v>
      </c>
      <c r="G1861">
        <v>0</v>
      </c>
      <c r="H1861">
        <v>0</v>
      </c>
      <c r="I1861" t="s">
        <v>137</v>
      </c>
      <c r="J1861">
        <v>0</v>
      </c>
      <c r="K1861">
        <v>29.661330891547234</v>
      </c>
      <c r="L1861">
        <v>1.0957073538026338</v>
      </c>
      <c r="M1861">
        <v>3.8349757383092182</v>
      </c>
      <c r="N1861">
        <v>33.496306629856456</v>
      </c>
      <c r="O1861" t="s">
        <v>138</v>
      </c>
      <c r="P1861">
        <v>1.779679853492834</v>
      </c>
      <c r="Q1861" t="s">
        <v>138</v>
      </c>
      <c r="R1861">
        <v>0.23009854429855311</v>
      </c>
      <c r="S1861" t="s">
        <v>139</v>
      </c>
      <c r="T1861">
        <v>4.0195567955827745</v>
      </c>
      <c r="U1861" t="s">
        <v>90</v>
      </c>
      <c r="V1861">
        <v>0</v>
      </c>
      <c r="W1861" t="s">
        <v>90</v>
      </c>
      <c r="X1861">
        <v>0</v>
      </c>
      <c r="Y1861">
        <v>39.525641823230615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35</v>
      </c>
      <c r="AF1861">
        <v>119</v>
      </c>
      <c r="AG1861">
        <v>114</v>
      </c>
      <c r="AI1861">
        <v>0.3165</v>
      </c>
      <c r="AJ1861" t="s">
        <v>7492</v>
      </c>
      <c r="AK1861" t="s">
        <v>576</v>
      </c>
      <c r="AL1861" t="s">
        <v>7493</v>
      </c>
      <c r="AM1861">
        <v>400000</v>
      </c>
      <c r="AN1861" t="s">
        <v>76</v>
      </c>
      <c r="AO1861">
        <v>2</v>
      </c>
      <c r="AP1861">
        <v>0</v>
      </c>
      <c r="AQ1861">
        <v>33333.333333333336</v>
      </c>
      <c r="AR1861" t="s">
        <v>7494</v>
      </c>
      <c r="AS1861" t="s">
        <v>78</v>
      </c>
      <c r="AX1861" t="s">
        <v>79</v>
      </c>
      <c r="AY1861" t="s">
        <v>137</v>
      </c>
      <c r="AZ1861">
        <v>1.0030401750764766</v>
      </c>
      <c r="BA1861" t="s">
        <v>137</v>
      </c>
      <c r="BB1861">
        <v>0</v>
      </c>
      <c r="BE1861">
        <v>0</v>
      </c>
    </row>
    <row r="1862" spans="1:58" ht="12.75">
      <c r="A1862" s="2" t="str">
        <f>HYPERLINK("https://ibp.a2mac1.com/costing(costing:projects/details/8191/part/5388314)","Seals on Headlight")</f>
        <v>Seals on Headlight</v>
      </c>
      <c r="B1862">
        <v>5388314</v>
      </c>
      <c r="C1862">
        <v>5388162</v>
      </c>
      <c r="E1862">
        <v>0.18454000000000001</v>
      </c>
      <c r="F1862">
        <v>0</v>
      </c>
      <c r="G1862">
        <v>0</v>
      </c>
      <c r="H1862">
        <v>0</v>
      </c>
      <c r="I1862" t="s">
        <v>74</v>
      </c>
      <c r="J1862">
        <v>0</v>
      </c>
      <c r="K1862">
        <v>0.18454000000000001</v>
      </c>
      <c r="L1862">
        <v>0</v>
      </c>
      <c r="M1862">
        <v>0</v>
      </c>
      <c r="N1862">
        <v>0.18454000000000001</v>
      </c>
      <c r="O1862" t="s">
        <v>74</v>
      </c>
      <c r="P1862">
        <v>0</v>
      </c>
      <c r="Q1862" t="s">
        <v>74</v>
      </c>
      <c r="R1862">
        <v>0</v>
      </c>
      <c r="S1862" t="s">
        <v>74</v>
      </c>
      <c r="T1862">
        <v>0</v>
      </c>
      <c r="U1862" t="s">
        <v>74</v>
      </c>
      <c r="V1862">
        <v>0</v>
      </c>
      <c r="W1862" t="s">
        <v>74</v>
      </c>
      <c r="X1862">
        <v>0</v>
      </c>
      <c r="Y1862">
        <v>0.18454000000000001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22</v>
      </c>
      <c r="AF1862">
        <v>94</v>
      </c>
      <c r="AG1862">
        <v>105</v>
      </c>
      <c r="AI1862">
        <v>0.0075</v>
      </c>
      <c r="AJ1862" t="s">
        <v>7482</v>
      </c>
      <c r="AK1862" t="s">
        <v>598</v>
      </c>
      <c r="AL1862" t="s">
        <v>4149</v>
      </c>
      <c r="AM1862">
        <v>400000</v>
      </c>
      <c r="AN1862" t="s">
        <v>76</v>
      </c>
      <c r="AO1862">
        <v>2</v>
      </c>
      <c r="AP1862">
        <v>0</v>
      </c>
      <c r="AQ1862">
        <v>33333.333333333336</v>
      </c>
      <c r="AR1862" t="s">
        <v>7496</v>
      </c>
      <c r="AS1862" t="s">
        <v>78</v>
      </c>
      <c r="AX1862" t="s">
        <v>79</v>
      </c>
      <c r="AY1862" t="s">
        <v>74</v>
      </c>
      <c r="AZ1862">
        <v>0</v>
      </c>
      <c r="BA1862" t="s">
        <v>74</v>
      </c>
      <c r="BB1862">
        <v>0</v>
      </c>
      <c r="BD1862">
        <v>0.092270000000000005</v>
      </c>
      <c r="BE1862">
        <v>0</v>
      </c>
    </row>
    <row r="1863" spans="1:58" ht="12.75">
      <c r="A1863" s="2" t="str">
        <f>HYPERLINK("https://ibp.a2mac1.com/costing(costing:projects/details/8191/part/5388317)","Rear Lamp on Body")</f>
        <v>Rear Lamp on Body</v>
      </c>
      <c r="B1863">
        <v>5388317</v>
      </c>
      <c r="C1863">
        <v>5388163</v>
      </c>
      <c r="E1863">
        <v>0</v>
      </c>
      <c r="F1863">
        <v>45.146531394938862</v>
      </c>
      <c r="G1863">
        <v>0</v>
      </c>
      <c r="H1863">
        <v>0</v>
      </c>
      <c r="I1863" t="s">
        <v>137</v>
      </c>
      <c r="J1863">
        <v>0</v>
      </c>
      <c r="K1863">
        <v>46.726659993761729</v>
      </c>
      <c r="L1863">
        <v>2.4577422592174352</v>
      </c>
      <c r="M1863">
        <v>8.6020979072610224</v>
      </c>
      <c r="N1863">
        <v>55.328757901022747</v>
      </c>
      <c r="O1863" t="s">
        <v>138</v>
      </c>
      <c r="P1863">
        <v>2.8035995996257035</v>
      </c>
      <c r="Q1863" t="s">
        <v>138</v>
      </c>
      <c r="R1863">
        <v>0.51612587443566138</v>
      </c>
      <c r="S1863" t="s">
        <v>139</v>
      </c>
      <c r="T1863">
        <v>6.6394509481227297</v>
      </c>
      <c r="U1863" t="s">
        <v>90</v>
      </c>
      <c r="V1863">
        <v>0</v>
      </c>
      <c r="W1863" t="s">
        <v>90</v>
      </c>
      <c r="X1863">
        <v>0</v>
      </c>
      <c r="Y1863">
        <v>65.287934323206841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418</v>
      </c>
      <c r="AF1863">
        <v>259</v>
      </c>
      <c r="AG1863">
        <v>150</v>
      </c>
      <c r="AI1863">
        <v>1.254</v>
      </c>
      <c r="AJ1863" t="s">
        <v>7194</v>
      </c>
      <c r="AK1863" t="s">
        <v>576</v>
      </c>
      <c r="AL1863" t="s">
        <v>7501</v>
      </c>
      <c r="AM1863">
        <v>400000</v>
      </c>
      <c r="AN1863" t="s">
        <v>76</v>
      </c>
      <c r="AO1863">
        <v>2</v>
      </c>
      <c r="AP1863">
        <v>0</v>
      </c>
      <c r="AQ1863">
        <v>33333.333333333336</v>
      </c>
      <c r="AR1863" t="s">
        <v>7502</v>
      </c>
      <c r="AS1863" t="s">
        <v>78</v>
      </c>
      <c r="AX1863" t="s">
        <v>79</v>
      </c>
      <c r="AY1863" t="s">
        <v>137</v>
      </c>
      <c r="AZ1863">
        <v>1.5801285988228602</v>
      </c>
      <c r="BA1863" t="s">
        <v>137</v>
      </c>
      <c r="BB1863">
        <v>0</v>
      </c>
      <c r="BE1863">
        <v>0</v>
      </c>
    </row>
    <row r="1864" spans="1:58" ht="12.75">
      <c r="A1864" s="2" t="str">
        <f>HYPERLINK("https://ibp.a2mac1.com/costing(costing:projects/details/8191/part/5388318)","Rear Lamp on Trunk Lid   Tailgate Left")</f>
        <v>Rear Lamp on Trunk Lid   Tailgate Left</v>
      </c>
      <c r="B1864">
        <v>5388318</v>
      </c>
      <c r="C1864">
        <v>5388163</v>
      </c>
      <c r="E1864">
        <v>0</v>
      </c>
      <c r="F1864">
        <v>20.64882005576451</v>
      </c>
      <c r="G1864">
        <v>0</v>
      </c>
      <c r="H1864">
        <v>0</v>
      </c>
      <c r="I1864" t="s">
        <v>137</v>
      </c>
      <c r="J1864">
        <v>0</v>
      </c>
      <c r="K1864">
        <v>21.371528757716266</v>
      </c>
      <c r="L1864">
        <v>0.82178776718420943</v>
      </c>
      <c r="M1864">
        <v>2.8762571851447332</v>
      </c>
      <c r="N1864">
        <v>24.247785942861</v>
      </c>
      <c r="O1864" t="s">
        <v>138</v>
      </c>
      <c r="P1864">
        <v>1.282291725462976</v>
      </c>
      <c r="Q1864" t="s">
        <v>138</v>
      </c>
      <c r="R1864">
        <v>0.17257543110868398</v>
      </c>
      <c r="S1864" t="s">
        <v>139</v>
      </c>
      <c r="T1864">
        <v>2.90973431314332</v>
      </c>
      <c r="U1864" t="s">
        <v>90</v>
      </c>
      <c r="V1864">
        <v>0</v>
      </c>
      <c r="W1864" t="s">
        <v>90</v>
      </c>
      <c r="X1864">
        <v>0</v>
      </c>
      <c r="Y1864">
        <v>28.612387412575981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170</v>
      </c>
      <c r="AF1864">
        <v>1260</v>
      </c>
      <c r="AG1864">
        <v>150</v>
      </c>
      <c r="AI1864">
        <v>1.9530000000000001</v>
      </c>
      <c r="AJ1864" t="s">
        <v>7194</v>
      </c>
      <c r="AK1864" t="s">
        <v>576</v>
      </c>
      <c r="AL1864" t="s">
        <v>7505</v>
      </c>
      <c r="AM1864">
        <v>200000</v>
      </c>
      <c r="AN1864" t="s">
        <v>76</v>
      </c>
      <c r="AO1864">
        <v>1</v>
      </c>
      <c r="AP1864">
        <v>0</v>
      </c>
      <c r="AQ1864">
        <v>16666.666666666668</v>
      </c>
      <c r="AR1864" t="s">
        <v>7506</v>
      </c>
      <c r="AS1864" t="s">
        <v>78</v>
      </c>
      <c r="AX1864" t="s">
        <v>79</v>
      </c>
      <c r="AY1864" t="s">
        <v>137</v>
      </c>
      <c r="AZ1864">
        <v>0.72270870195175785</v>
      </c>
      <c r="BA1864" t="s">
        <v>137</v>
      </c>
      <c r="BB1864">
        <v>0</v>
      </c>
      <c r="BE1864">
        <v>0</v>
      </c>
    </row>
    <row r="1865" spans="1:58" ht="12.75">
      <c r="A1865" s="2" t="str">
        <f>HYPERLINK("https://ibp.a2mac1.com/costing(costing:projects/details/8191/part/5388319)","Third Stop Lamp")</f>
        <v>Third Stop Lamp</v>
      </c>
      <c r="B1865">
        <v>5388319</v>
      </c>
      <c r="C1865">
        <v>5388164</v>
      </c>
      <c r="E1865">
        <v>0</v>
      </c>
      <c r="F1865">
        <v>13.042379362674362</v>
      </c>
      <c r="G1865">
        <v>0</v>
      </c>
      <c r="H1865">
        <v>0</v>
      </c>
      <c r="I1865" t="s">
        <v>137</v>
      </c>
      <c r="J1865">
        <v>0</v>
      </c>
      <c r="K1865">
        <v>13.498862640367966</v>
      </c>
      <c r="L1865">
        <v>0.25112196172915874</v>
      </c>
      <c r="M1865">
        <v>0.87892686605205561</v>
      </c>
      <c r="N1865">
        <v>14.377789506420021</v>
      </c>
      <c r="O1865" t="s">
        <v>138</v>
      </c>
      <c r="P1865">
        <v>0.80993175842207787</v>
      </c>
      <c r="Q1865" t="s">
        <v>138</v>
      </c>
      <c r="R1865">
        <v>0.052735611963123333</v>
      </c>
      <c r="S1865" t="s">
        <v>139</v>
      </c>
      <c r="T1865">
        <v>1.7253347407704025</v>
      </c>
      <c r="U1865" t="s">
        <v>90</v>
      </c>
      <c r="V1865">
        <v>0</v>
      </c>
      <c r="W1865" t="s">
        <v>90</v>
      </c>
      <c r="X1865">
        <v>0</v>
      </c>
      <c r="Y1865">
        <v>16.965791617575626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75</v>
      </c>
      <c r="AF1865">
        <v>435</v>
      </c>
      <c r="AG1865">
        <v>15</v>
      </c>
      <c r="AI1865">
        <v>0.13200000000000001</v>
      </c>
      <c r="AJ1865" t="s">
        <v>7511</v>
      </c>
      <c r="AK1865" t="s">
        <v>576</v>
      </c>
      <c r="AL1865" t="s">
        <v>7512</v>
      </c>
      <c r="AM1865">
        <v>200000</v>
      </c>
      <c r="AN1865" t="s">
        <v>76</v>
      </c>
      <c r="AO1865">
        <v>1</v>
      </c>
      <c r="AP1865">
        <v>0</v>
      </c>
      <c r="AQ1865">
        <v>16666.666666666668</v>
      </c>
      <c r="AR1865" t="s">
        <v>7513</v>
      </c>
      <c r="AS1865" t="s">
        <v>78</v>
      </c>
      <c r="AX1865" t="s">
        <v>79</v>
      </c>
      <c r="AY1865" t="s">
        <v>137</v>
      </c>
      <c r="AZ1865">
        <v>0.4564832776936027</v>
      </c>
      <c r="BA1865" t="s">
        <v>137</v>
      </c>
      <c r="BB1865">
        <v>0</v>
      </c>
      <c r="BE1865">
        <v>0</v>
      </c>
    </row>
    <row r="1866" spans="1:58" ht="12.75">
      <c r="A1866" s="2" t="str">
        <f>HYPERLINK("https://ibp.a2mac1.com/costing(costing:projects/details/8191/part/5388320)","Wiring Harness")</f>
        <v>Wiring Harness</v>
      </c>
      <c r="B1866">
        <v>5388320</v>
      </c>
      <c r="C1866">
        <v>5388164</v>
      </c>
      <c r="E1866">
        <v>1.43025</v>
      </c>
      <c r="F1866">
        <v>0</v>
      </c>
      <c r="G1866">
        <v>0</v>
      </c>
      <c r="H1866">
        <v>0</v>
      </c>
      <c r="I1866" t="s">
        <v>74</v>
      </c>
      <c r="J1866">
        <v>0</v>
      </c>
      <c r="K1866">
        <v>1.43025</v>
      </c>
      <c r="L1866">
        <v>0</v>
      </c>
      <c r="M1866">
        <v>0</v>
      </c>
      <c r="N1866">
        <v>1.43025</v>
      </c>
      <c r="O1866" t="s">
        <v>74</v>
      </c>
      <c r="P1866">
        <v>0</v>
      </c>
      <c r="Q1866" t="s">
        <v>74</v>
      </c>
      <c r="R1866">
        <v>0</v>
      </c>
      <c r="S1866" t="s">
        <v>74</v>
      </c>
      <c r="T1866">
        <v>0</v>
      </c>
      <c r="U1866" t="s">
        <v>74</v>
      </c>
      <c r="V1866">
        <v>0</v>
      </c>
      <c r="W1866" t="s">
        <v>74</v>
      </c>
      <c r="X1866">
        <v>0</v>
      </c>
      <c r="Y1866">
        <v>1.43025</v>
      </c>
      <c r="Z1866">
        <v>0</v>
      </c>
      <c r="AA1866">
        <v>0</v>
      </c>
      <c r="AB1866">
        <v>0</v>
      </c>
      <c r="AC1866">
        <v>0</v>
      </c>
      <c r="AD1866">
        <v>0</v>
      </c>
      <c r="AI1866">
        <v>0.029000000000000001</v>
      </c>
      <c r="AJ1866" t="s">
        <v>1644</v>
      </c>
      <c r="AK1866" t="s">
        <v>1645</v>
      </c>
      <c r="AL1866" t="s">
        <v>1658</v>
      </c>
      <c r="AM1866">
        <v>200000</v>
      </c>
      <c r="AN1866" t="s">
        <v>76</v>
      </c>
      <c r="AO1866">
        <v>1</v>
      </c>
      <c r="AP1866">
        <v>0</v>
      </c>
      <c r="AQ1866">
        <v>16666.666666666668</v>
      </c>
      <c r="AR1866" t="s">
        <v>7514</v>
      </c>
      <c r="AS1866" t="s">
        <v>78</v>
      </c>
      <c r="AX1866" t="s">
        <v>79</v>
      </c>
      <c r="AY1866" t="s">
        <v>74</v>
      </c>
      <c r="AZ1866">
        <v>0</v>
      </c>
      <c r="BA1866" t="s">
        <v>74</v>
      </c>
      <c r="BB1866">
        <v>0</v>
      </c>
      <c r="BD1866">
        <v>1.43025</v>
      </c>
      <c r="BE1866">
        <v>0</v>
      </c>
    </row>
    <row r="1867" spans="1:58" ht="12.75">
      <c r="A1867" s="2" t="str">
        <f>HYPERLINK("https://ibp.a2mac1.com/costing(costing:projects/details/8191/part/5388321)","License Plate Light")</f>
        <v>License Plate Light</v>
      </c>
      <c r="B1867">
        <v>5388321</v>
      </c>
      <c r="C1867">
        <v>5388165</v>
      </c>
      <c r="E1867">
        <v>2.4175800000000001</v>
      </c>
      <c r="F1867">
        <v>0</v>
      </c>
      <c r="G1867">
        <v>0</v>
      </c>
      <c r="H1867">
        <v>0</v>
      </c>
      <c r="I1867" t="s">
        <v>74</v>
      </c>
      <c r="J1867">
        <v>0</v>
      </c>
      <c r="K1867">
        <v>2.4175800000000001</v>
      </c>
      <c r="L1867">
        <v>0</v>
      </c>
      <c r="M1867">
        <v>0</v>
      </c>
      <c r="N1867">
        <v>2.4175800000000001</v>
      </c>
      <c r="O1867" t="s">
        <v>74</v>
      </c>
      <c r="P1867">
        <v>0</v>
      </c>
      <c r="Q1867" t="s">
        <v>74</v>
      </c>
      <c r="R1867">
        <v>0</v>
      </c>
      <c r="S1867" t="s">
        <v>74</v>
      </c>
      <c r="T1867">
        <v>0</v>
      </c>
      <c r="U1867" t="s">
        <v>74</v>
      </c>
      <c r="V1867">
        <v>0</v>
      </c>
      <c r="W1867" t="s">
        <v>74</v>
      </c>
      <c r="X1867">
        <v>0</v>
      </c>
      <c r="Y1867">
        <v>2.4175800000000001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33</v>
      </c>
      <c r="AF1867">
        <v>76</v>
      </c>
      <c r="AG1867">
        <v>29</v>
      </c>
      <c r="AI1867">
        <v>0.0155</v>
      </c>
      <c r="AJ1867" t="s">
        <v>4681</v>
      </c>
      <c r="AK1867" t="s">
        <v>576</v>
      </c>
      <c r="AL1867" t="s">
        <v>7517</v>
      </c>
      <c r="AM1867">
        <v>400000</v>
      </c>
      <c r="AN1867" t="s">
        <v>76</v>
      </c>
      <c r="AO1867">
        <v>2</v>
      </c>
      <c r="AP1867">
        <v>0</v>
      </c>
      <c r="AQ1867">
        <v>33333.333333333336</v>
      </c>
      <c r="AR1867" t="s">
        <v>7518</v>
      </c>
      <c r="AS1867" t="s">
        <v>78</v>
      </c>
      <c r="AX1867" t="s">
        <v>79</v>
      </c>
      <c r="AY1867" t="s">
        <v>74</v>
      </c>
      <c r="AZ1867">
        <v>0</v>
      </c>
      <c r="BA1867" t="s">
        <v>74</v>
      </c>
      <c r="BB1867">
        <v>0</v>
      </c>
      <c r="BD1867">
        <v>1.20879</v>
      </c>
      <c r="BE1867">
        <v>0</v>
      </c>
    </row>
    <row r="1868" spans="1:58" ht="12.75">
      <c r="A1868" s="2" t="str">
        <f>HYPERLINK("https://ibp.a2mac1.com/costing(costing:projects/details/8191/part/5388322)","Daytime Running Lamp")</f>
        <v>Daytime Running Lamp</v>
      </c>
      <c r="B1868">
        <v>5388322</v>
      </c>
      <c r="C1868">
        <v>5388166</v>
      </c>
      <c r="E1868">
        <v>0</v>
      </c>
      <c r="F1868">
        <v>8.5929698124379286</v>
      </c>
      <c r="G1868">
        <v>0</v>
      </c>
      <c r="H1868">
        <v>0</v>
      </c>
      <c r="I1868" t="s">
        <v>137</v>
      </c>
      <c r="J1868">
        <v>0</v>
      </c>
      <c r="K1868">
        <v>8.8937237558732551</v>
      </c>
      <c r="L1868">
        <v>1.1185339860208359</v>
      </c>
      <c r="M1868">
        <v>3.9148689510729255</v>
      </c>
      <c r="N1868">
        <v>12.808592706946181</v>
      </c>
      <c r="O1868" t="s">
        <v>138</v>
      </c>
      <c r="P1868">
        <v>0.53362342535239538</v>
      </c>
      <c r="Q1868" t="s">
        <v>138</v>
      </c>
      <c r="R1868">
        <v>0.23489213706437553</v>
      </c>
      <c r="S1868" t="s">
        <v>139</v>
      </c>
      <c r="T1868">
        <v>1.5370311248335418</v>
      </c>
      <c r="U1868" t="s">
        <v>90</v>
      </c>
      <c r="V1868">
        <v>0</v>
      </c>
      <c r="W1868" t="s">
        <v>90</v>
      </c>
      <c r="X1868">
        <v>0</v>
      </c>
      <c r="Y1868">
        <v>15.114139394196494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94</v>
      </c>
      <c r="AF1868">
        <v>435</v>
      </c>
      <c r="AG1868">
        <v>66</v>
      </c>
      <c r="AI1868">
        <v>0.405</v>
      </c>
      <c r="AJ1868" t="s">
        <v>7482</v>
      </c>
      <c r="AK1868" t="s">
        <v>576</v>
      </c>
      <c r="AL1868" t="s">
        <v>1690</v>
      </c>
      <c r="AM1868">
        <v>400000</v>
      </c>
      <c r="AN1868" t="s">
        <v>76</v>
      </c>
      <c r="AO1868">
        <v>2</v>
      </c>
      <c r="AP1868">
        <v>0</v>
      </c>
      <c r="AQ1868">
        <v>33333.333333333336</v>
      </c>
      <c r="AR1868" t="s">
        <v>7523</v>
      </c>
      <c r="AS1868" t="s">
        <v>78</v>
      </c>
      <c r="AX1868" t="s">
        <v>79</v>
      </c>
      <c r="AY1868" t="s">
        <v>137</v>
      </c>
      <c r="AZ1868">
        <v>0.30075394343532746</v>
      </c>
      <c r="BA1868" t="s">
        <v>137</v>
      </c>
      <c r="BB1868">
        <v>0</v>
      </c>
      <c r="BE1868">
        <v>0</v>
      </c>
    </row>
    <row r="1869" spans="1:58" ht="12.75">
      <c r="A1869" s="2" t="str">
        <f>HYPERLINK("https://ibp.a2mac1.com/costing(costing:projects/details/8191/part/5388672)","Ride height sensor")</f>
        <v>Ride height sensor</v>
      </c>
      <c r="B1869">
        <v>5388672</v>
      </c>
      <c r="C1869">
        <v>5388323</v>
      </c>
      <c r="E1869">
        <v>4.6136999999999997</v>
      </c>
      <c r="F1869">
        <v>0</v>
      </c>
      <c r="G1869">
        <v>0</v>
      </c>
      <c r="H1869">
        <v>0</v>
      </c>
      <c r="I1869" t="s">
        <v>74</v>
      </c>
      <c r="J1869">
        <v>0</v>
      </c>
      <c r="K1869">
        <v>4.6136999999999997</v>
      </c>
      <c r="L1869">
        <v>0</v>
      </c>
      <c r="M1869">
        <v>0</v>
      </c>
      <c r="N1869">
        <v>4.6136999999999997</v>
      </c>
      <c r="O1869" t="s">
        <v>74</v>
      </c>
      <c r="P1869">
        <v>0</v>
      </c>
      <c r="Q1869" t="s">
        <v>74</v>
      </c>
      <c r="R1869">
        <v>0</v>
      </c>
      <c r="S1869" t="s">
        <v>74</v>
      </c>
      <c r="T1869">
        <v>0</v>
      </c>
      <c r="U1869" t="s">
        <v>74</v>
      </c>
      <c r="V1869">
        <v>0</v>
      </c>
      <c r="W1869" t="s">
        <v>74</v>
      </c>
      <c r="X1869">
        <v>0</v>
      </c>
      <c r="Y1869">
        <v>4.6136999999999997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32</v>
      </c>
      <c r="AF1869">
        <v>53</v>
      </c>
      <c r="AG1869">
        <v>63</v>
      </c>
      <c r="AI1869">
        <v>0.031</v>
      </c>
      <c r="AJ1869" t="s">
        <v>1299</v>
      </c>
      <c r="AK1869" t="s">
        <v>219</v>
      </c>
      <c r="AL1869" t="s">
        <v>681</v>
      </c>
      <c r="AM1869">
        <v>200000</v>
      </c>
      <c r="AN1869" t="s">
        <v>76</v>
      </c>
      <c r="AO1869">
        <v>1</v>
      </c>
      <c r="AP1869">
        <v>0</v>
      </c>
      <c r="AQ1869">
        <v>16666.666666666668</v>
      </c>
      <c r="AR1869" t="s">
        <v>7527</v>
      </c>
      <c r="AS1869" t="s">
        <v>78</v>
      </c>
      <c r="AX1869" t="s">
        <v>79</v>
      </c>
      <c r="AY1869" t="s">
        <v>74</v>
      </c>
      <c r="AZ1869">
        <v>0</v>
      </c>
      <c r="BA1869" t="s">
        <v>74</v>
      </c>
      <c r="BB1869">
        <v>0</v>
      </c>
      <c r="BD1869">
        <v>4.6136999999999997</v>
      </c>
      <c r="BE1869">
        <v>0</v>
      </c>
    </row>
    <row r="1870" spans="1:58" ht="12.75">
      <c r="A1870" s="2" t="str">
        <f>HYPERLINK("https://ibp.a2mac1.com/costing(costing:projects/details/8191/part/5388673)","Front Link Rod")</f>
        <v>Front Link Rod</v>
      </c>
      <c r="B1870">
        <v>5388673</v>
      </c>
      <c r="C1870">
        <v>5388323</v>
      </c>
      <c r="E1870">
        <v>0.04614</v>
      </c>
      <c r="F1870">
        <v>0</v>
      </c>
      <c r="G1870">
        <v>0</v>
      </c>
      <c r="H1870">
        <v>0</v>
      </c>
      <c r="I1870" t="s">
        <v>74</v>
      </c>
      <c r="J1870">
        <v>0</v>
      </c>
      <c r="K1870">
        <v>0.04614</v>
      </c>
      <c r="L1870">
        <v>0</v>
      </c>
      <c r="M1870">
        <v>0</v>
      </c>
      <c r="N1870">
        <v>0.04614</v>
      </c>
      <c r="O1870" t="s">
        <v>74</v>
      </c>
      <c r="P1870">
        <v>0</v>
      </c>
      <c r="Q1870" t="s">
        <v>74</v>
      </c>
      <c r="R1870">
        <v>0</v>
      </c>
      <c r="S1870" t="s">
        <v>74</v>
      </c>
      <c r="T1870">
        <v>0</v>
      </c>
      <c r="U1870" t="s">
        <v>74</v>
      </c>
      <c r="V1870">
        <v>0</v>
      </c>
      <c r="W1870" t="s">
        <v>74</v>
      </c>
      <c r="X1870">
        <v>0</v>
      </c>
      <c r="Y1870">
        <v>0.04614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12</v>
      </c>
      <c r="AF1870">
        <v>44</v>
      </c>
      <c r="AG1870">
        <v>173</v>
      </c>
      <c r="AI1870">
        <v>0.023</v>
      </c>
      <c r="AK1870" t="s">
        <v>727</v>
      </c>
      <c r="AL1870" t="s">
        <v>7528</v>
      </c>
      <c r="AM1870">
        <v>200000</v>
      </c>
      <c r="AN1870" t="s">
        <v>76</v>
      </c>
      <c r="AO1870">
        <v>1</v>
      </c>
      <c r="AP1870">
        <v>0</v>
      </c>
      <c r="AQ1870">
        <v>16666.666666666668</v>
      </c>
      <c r="AR1870" t="s">
        <v>7529</v>
      </c>
      <c r="AS1870" t="s">
        <v>78</v>
      </c>
      <c r="AX1870" t="s">
        <v>79</v>
      </c>
      <c r="AY1870" t="s">
        <v>74</v>
      </c>
      <c r="AZ1870">
        <v>0</v>
      </c>
      <c r="BA1870" t="s">
        <v>74</v>
      </c>
      <c r="BB1870">
        <v>0</v>
      </c>
      <c r="BD1870">
        <v>0.04614</v>
      </c>
      <c r="BE1870">
        <v>0</v>
      </c>
    </row>
    <row r="1871" spans="1:58" ht="12.75">
      <c r="A1871" s="2" t="str">
        <f>HYPERLINK("https://ibp.a2mac1.com/costing(costing:projects/details/8191/part/5388674)","Support on Body K-Frame")</f>
        <v>Support on Body K-Frame</v>
      </c>
      <c r="B1871">
        <v>5388674</v>
      </c>
      <c r="C1871">
        <v>5388323</v>
      </c>
      <c r="E1871">
        <v>0.092270000000000005</v>
      </c>
      <c r="F1871">
        <v>0</v>
      </c>
      <c r="G1871">
        <v>0</v>
      </c>
      <c r="H1871">
        <v>0</v>
      </c>
      <c r="I1871" t="s">
        <v>74</v>
      </c>
      <c r="J1871">
        <v>0</v>
      </c>
      <c r="K1871">
        <v>0.092270000000000005</v>
      </c>
      <c r="L1871">
        <v>0</v>
      </c>
      <c r="M1871">
        <v>0</v>
      </c>
      <c r="N1871">
        <v>0.092270000000000005</v>
      </c>
      <c r="O1871" t="s">
        <v>74</v>
      </c>
      <c r="P1871">
        <v>0</v>
      </c>
      <c r="Q1871" t="s">
        <v>74</v>
      </c>
      <c r="R1871">
        <v>0</v>
      </c>
      <c r="S1871" t="s">
        <v>74</v>
      </c>
      <c r="T1871">
        <v>0</v>
      </c>
      <c r="U1871" t="s">
        <v>74</v>
      </c>
      <c r="V1871">
        <v>0</v>
      </c>
      <c r="W1871" t="s">
        <v>74</v>
      </c>
      <c r="X1871">
        <v>0</v>
      </c>
      <c r="Y1871">
        <v>0.092270000000000005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50</v>
      </c>
      <c r="AF1871">
        <v>138</v>
      </c>
      <c r="AG1871">
        <v>117</v>
      </c>
      <c r="AI1871">
        <v>0.135</v>
      </c>
      <c r="AJ1871" t="s">
        <v>685</v>
      </c>
      <c r="AK1871" t="s">
        <v>727</v>
      </c>
      <c r="AL1871" t="s">
        <v>720</v>
      </c>
      <c r="AM1871">
        <v>200000</v>
      </c>
      <c r="AN1871" t="s">
        <v>76</v>
      </c>
      <c r="AO1871">
        <v>1</v>
      </c>
      <c r="AP1871">
        <v>0</v>
      </c>
      <c r="AQ1871">
        <v>16666.666666666668</v>
      </c>
      <c r="AR1871" t="s">
        <v>7530</v>
      </c>
      <c r="AS1871" t="s">
        <v>78</v>
      </c>
      <c r="AX1871" t="s">
        <v>79</v>
      </c>
      <c r="AY1871" t="s">
        <v>74</v>
      </c>
      <c r="AZ1871">
        <v>0</v>
      </c>
      <c r="BA1871" t="s">
        <v>74</v>
      </c>
      <c r="BB1871">
        <v>0</v>
      </c>
      <c r="BD1871">
        <v>0.092270000000000005</v>
      </c>
      <c r="BE1871">
        <v>0</v>
      </c>
    </row>
    <row r="1872" spans="1:58" ht="12.75">
      <c r="A1872" s="2" t="str">
        <f>HYPERLINK("https://ibp.a2mac1.com/costing(costing:projects/details/8191/part/5388675)","Support on Arm")</f>
        <v>Support on Arm</v>
      </c>
      <c r="B1872">
        <v>5388675</v>
      </c>
      <c r="C1872">
        <v>5388323</v>
      </c>
      <c r="E1872">
        <v>0.092270000000000005</v>
      </c>
      <c r="F1872">
        <v>0</v>
      </c>
      <c r="G1872">
        <v>0</v>
      </c>
      <c r="H1872">
        <v>0</v>
      </c>
      <c r="I1872" t="s">
        <v>74</v>
      </c>
      <c r="J1872">
        <v>0</v>
      </c>
      <c r="K1872">
        <v>0.092270000000000005</v>
      </c>
      <c r="L1872">
        <v>0</v>
      </c>
      <c r="M1872">
        <v>0</v>
      </c>
      <c r="N1872">
        <v>0.092270000000000005</v>
      </c>
      <c r="O1872" t="s">
        <v>74</v>
      </c>
      <c r="P1872">
        <v>0</v>
      </c>
      <c r="Q1872" t="s">
        <v>74</v>
      </c>
      <c r="R1872">
        <v>0</v>
      </c>
      <c r="S1872" t="s">
        <v>74</v>
      </c>
      <c r="T1872">
        <v>0</v>
      </c>
      <c r="U1872" t="s">
        <v>74</v>
      </c>
      <c r="V1872">
        <v>0</v>
      </c>
      <c r="W1872" t="s">
        <v>74</v>
      </c>
      <c r="X1872">
        <v>0</v>
      </c>
      <c r="Y1872">
        <v>0.092270000000000005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39</v>
      </c>
      <c r="AF1872">
        <v>25</v>
      </c>
      <c r="AG1872">
        <v>53</v>
      </c>
      <c r="AI1872">
        <v>0.027</v>
      </c>
      <c r="AK1872" t="s">
        <v>727</v>
      </c>
      <c r="AL1872" t="s">
        <v>720</v>
      </c>
      <c r="AM1872">
        <v>200000</v>
      </c>
      <c r="AN1872" t="s">
        <v>76</v>
      </c>
      <c r="AO1872">
        <v>1</v>
      </c>
      <c r="AP1872">
        <v>0</v>
      </c>
      <c r="AQ1872">
        <v>16666.666666666668</v>
      </c>
      <c r="AR1872" t="s">
        <v>7531</v>
      </c>
      <c r="AS1872" t="s">
        <v>78</v>
      </c>
      <c r="AX1872" t="s">
        <v>79</v>
      </c>
      <c r="AY1872" t="s">
        <v>74</v>
      </c>
      <c r="AZ1872">
        <v>0</v>
      </c>
      <c r="BA1872" t="s">
        <v>74</v>
      </c>
      <c r="BB1872">
        <v>0</v>
      </c>
      <c r="BD1872">
        <v>0.092270000000000005</v>
      </c>
      <c r="BE1872">
        <v>0</v>
      </c>
    </row>
    <row r="1873" spans="1:58" ht="12.75">
      <c r="A1873" s="2" t="str">
        <f>HYPERLINK("https://ibp.a2mac1.com/costing(costing:projects/details/8191/part/5388676)","Ride height sensor")</f>
        <v>Ride height sensor</v>
      </c>
      <c r="B1873">
        <v>5388676</v>
      </c>
      <c r="C1873">
        <v>5388324</v>
      </c>
      <c r="E1873">
        <v>4.6136999999999997</v>
      </c>
      <c r="F1873">
        <v>0</v>
      </c>
      <c r="G1873">
        <v>0</v>
      </c>
      <c r="H1873">
        <v>0</v>
      </c>
      <c r="I1873" t="s">
        <v>74</v>
      </c>
      <c r="J1873">
        <v>0</v>
      </c>
      <c r="K1873">
        <v>4.6136999999999997</v>
      </c>
      <c r="L1873">
        <v>0</v>
      </c>
      <c r="M1873">
        <v>0</v>
      </c>
      <c r="N1873">
        <v>4.6136999999999997</v>
      </c>
      <c r="O1873" t="s">
        <v>74</v>
      </c>
      <c r="P1873">
        <v>0</v>
      </c>
      <c r="Q1873" t="s">
        <v>74</v>
      </c>
      <c r="R1873">
        <v>0</v>
      </c>
      <c r="S1873" t="s">
        <v>74</v>
      </c>
      <c r="T1873">
        <v>0</v>
      </c>
      <c r="U1873" t="s">
        <v>74</v>
      </c>
      <c r="V1873">
        <v>0</v>
      </c>
      <c r="W1873" t="s">
        <v>74</v>
      </c>
      <c r="X1873">
        <v>0</v>
      </c>
      <c r="Y1873">
        <v>4.6136999999999997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32</v>
      </c>
      <c r="AF1873">
        <v>51</v>
      </c>
      <c r="AG1873">
        <v>63</v>
      </c>
      <c r="AI1873">
        <v>0.03</v>
      </c>
      <c r="AJ1873" t="s">
        <v>1299</v>
      </c>
      <c r="AK1873" t="s">
        <v>219</v>
      </c>
      <c r="AL1873" t="s">
        <v>1193</v>
      </c>
      <c r="AM1873">
        <v>200000</v>
      </c>
      <c r="AN1873" t="s">
        <v>76</v>
      </c>
      <c r="AO1873">
        <v>1</v>
      </c>
      <c r="AP1873">
        <v>0</v>
      </c>
      <c r="AQ1873">
        <v>16666.666666666668</v>
      </c>
      <c r="AR1873" t="s">
        <v>7534</v>
      </c>
      <c r="AS1873" t="s">
        <v>78</v>
      </c>
      <c r="AX1873" t="s">
        <v>79</v>
      </c>
      <c r="AY1873" t="s">
        <v>74</v>
      </c>
      <c r="AZ1873">
        <v>0</v>
      </c>
      <c r="BA1873" t="s">
        <v>74</v>
      </c>
      <c r="BB1873">
        <v>0</v>
      </c>
      <c r="BD1873">
        <v>4.6136999999999997</v>
      </c>
      <c r="BE1873">
        <v>0</v>
      </c>
    </row>
    <row r="1874" spans="1:58" ht="12.75">
      <c r="A1874" s="2" t="str">
        <f>HYPERLINK("https://ibp.a2mac1.com/costing(costing:projects/details/8191/part/5388677)","Rear Link Rod")</f>
        <v>Rear Link Rod</v>
      </c>
      <c r="B1874">
        <v>5388677</v>
      </c>
      <c r="C1874">
        <v>5388324</v>
      </c>
      <c r="E1874">
        <v>0.04614</v>
      </c>
      <c r="F1874">
        <v>0</v>
      </c>
      <c r="G1874">
        <v>0</v>
      </c>
      <c r="H1874">
        <v>0</v>
      </c>
      <c r="I1874" t="s">
        <v>74</v>
      </c>
      <c r="J1874">
        <v>0</v>
      </c>
      <c r="K1874">
        <v>0.04614</v>
      </c>
      <c r="L1874">
        <v>0</v>
      </c>
      <c r="M1874">
        <v>0</v>
      </c>
      <c r="N1874">
        <v>0.04614</v>
      </c>
      <c r="O1874" t="s">
        <v>74</v>
      </c>
      <c r="P1874">
        <v>0</v>
      </c>
      <c r="Q1874" t="s">
        <v>74</v>
      </c>
      <c r="R1874">
        <v>0</v>
      </c>
      <c r="S1874" t="s">
        <v>74</v>
      </c>
      <c r="T1874">
        <v>0</v>
      </c>
      <c r="U1874" t="s">
        <v>74</v>
      </c>
      <c r="V1874">
        <v>0</v>
      </c>
      <c r="W1874" t="s">
        <v>74</v>
      </c>
      <c r="X1874">
        <v>0</v>
      </c>
      <c r="Y1874">
        <v>0.04614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13</v>
      </c>
      <c r="AF1874">
        <v>16</v>
      </c>
      <c r="AG1874">
        <v>86</v>
      </c>
      <c r="AI1874">
        <v>0.0089999999999999993</v>
      </c>
      <c r="AK1874" t="s">
        <v>727</v>
      </c>
      <c r="AL1874" t="s">
        <v>7535</v>
      </c>
      <c r="AM1874">
        <v>200000</v>
      </c>
      <c r="AN1874" t="s">
        <v>76</v>
      </c>
      <c r="AO1874">
        <v>1</v>
      </c>
      <c r="AP1874">
        <v>0</v>
      </c>
      <c r="AQ1874">
        <v>16666.666666666668</v>
      </c>
      <c r="AR1874" t="s">
        <v>7536</v>
      </c>
      <c r="AS1874" t="s">
        <v>78</v>
      </c>
      <c r="AX1874" t="s">
        <v>79</v>
      </c>
      <c r="AY1874" t="s">
        <v>74</v>
      </c>
      <c r="AZ1874">
        <v>0</v>
      </c>
      <c r="BA1874" t="s">
        <v>74</v>
      </c>
      <c r="BB1874">
        <v>0</v>
      </c>
      <c r="BD1874">
        <v>0.04614</v>
      </c>
      <c r="BE1874">
        <v>0</v>
      </c>
    </row>
    <row r="1875" spans="1:58" ht="12.75">
      <c r="A1875" s="2" t="str">
        <f>HYPERLINK("https://ibp.a2mac1.com/costing(costing:projects/details/8191/part/5388678)","Support on Body K-Frame")</f>
        <v>Support on Body K-Frame</v>
      </c>
      <c r="B1875">
        <v>5388678</v>
      </c>
      <c r="C1875">
        <v>5388324</v>
      </c>
      <c r="E1875">
        <v>0.092270000000000005</v>
      </c>
      <c r="F1875">
        <v>0</v>
      </c>
      <c r="G1875">
        <v>0</v>
      </c>
      <c r="H1875">
        <v>0</v>
      </c>
      <c r="I1875" t="s">
        <v>74</v>
      </c>
      <c r="J1875">
        <v>0</v>
      </c>
      <c r="K1875">
        <v>0.092270000000000005</v>
      </c>
      <c r="L1875">
        <v>0</v>
      </c>
      <c r="M1875">
        <v>0</v>
      </c>
      <c r="N1875">
        <v>0.092270000000000005</v>
      </c>
      <c r="O1875" t="s">
        <v>74</v>
      </c>
      <c r="P1875">
        <v>0</v>
      </c>
      <c r="Q1875" t="s">
        <v>74</v>
      </c>
      <c r="R1875">
        <v>0</v>
      </c>
      <c r="S1875" t="s">
        <v>74</v>
      </c>
      <c r="T1875">
        <v>0</v>
      </c>
      <c r="U1875" t="s">
        <v>74</v>
      </c>
      <c r="V1875">
        <v>0</v>
      </c>
      <c r="W1875" t="s">
        <v>74</v>
      </c>
      <c r="X1875">
        <v>0</v>
      </c>
      <c r="Y1875">
        <v>0.092270000000000005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48</v>
      </c>
      <c r="AF1875">
        <v>105</v>
      </c>
      <c r="AG1875">
        <v>50</v>
      </c>
      <c r="AI1875">
        <v>0.035</v>
      </c>
      <c r="AJ1875" t="s">
        <v>685</v>
      </c>
      <c r="AK1875" t="s">
        <v>727</v>
      </c>
      <c r="AL1875" t="s">
        <v>720</v>
      </c>
      <c r="AM1875">
        <v>200000</v>
      </c>
      <c r="AN1875" t="s">
        <v>76</v>
      </c>
      <c r="AO1875">
        <v>1</v>
      </c>
      <c r="AP1875">
        <v>0</v>
      </c>
      <c r="AQ1875">
        <v>16666.666666666668</v>
      </c>
      <c r="AR1875" t="s">
        <v>7537</v>
      </c>
      <c r="AS1875" t="s">
        <v>78</v>
      </c>
      <c r="AX1875" t="s">
        <v>79</v>
      </c>
      <c r="AY1875" t="s">
        <v>74</v>
      </c>
      <c r="AZ1875">
        <v>0</v>
      </c>
      <c r="BA1875" t="s">
        <v>74</v>
      </c>
      <c r="BB1875">
        <v>0</v>
      </c>
      <c r="BD1875">
        <v>0.092270000000000005</v>
      </c>
      <c r="BE1875">
        <v>0</v>
      </c>
    </row>
    <row r="1876" spans="1:58" ht="12.75">
      <c r="A1876" s="2" t="str">
        <f>HYPERLINK("https://ibp.a2mac1.com/costing(costing:projects/details/8191/part/5388679)","Support on Arm")</f>
        <v>Support on Arm</v>
      </c>
      <c r="B1876">
        <v>5388679</v>
      </c>
      <c r="C1876">
        <v>5388324</v>
      </c>
      <c r="E1876">
        <v>0.092270000000000005</v>
      </c>
      <c r="F1876">
        <v>0</v>
      </c>
      <c r="G1876">
        <v>0</v>
      </c>
      <c r="H1876">
        <v>0</v>
      </c>
      <c r="I1876" t="s">
        <v>74</v>
      </c>
      <c r="J1876">
        <v>0</v>
      </c>
      <c r="K1876">
        <v>0.092270000000000005</v>
      </c>
      <c r="L1876">
        <v>0</v>
      </c>
      <c r="M1876">
        <v>0</v>
      </c>
      <c r="N1876">
        <v>0.092270000000000005</v>
      </c>
      <c r="O1876" t="s">
        <v>74</v>
      </c>
      <c r="P1876">
        <v>0</v>
      </c>
      <c r="Q1876" t="s">
        <v>74</v>
      </c>
      <c r="R1876">
        <v>0</v>
      </c>
      <c r="S1876" t="s">
        <v>74</v>
      </c>
      <c r="T1876">
        <v>0</v>
      </c>
      <c r="U1876" t="s">
        <v>74</v>
      </c>
      <c r="V1876">
        <v>0</v>
      </c>
      <c r="W1876" t="s">
        <v>74</v>
      </c>
      <c r="X1876">
        <v>0</v>
      </c>
      <c r="Y1876">
        <v>0.092270000000000005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59</v>
      </c>
      <c r="AF1876">
        <v>13</v>
      </c>
      <c r="AG1876">
        <v>11</v>
      </c>
      <c r="AI1876">
        <v>0.027</v>
      </c>
      <c r="AK1876" t="s">
        <v>727</v>
      </c>
      <c r="AL1876" t="s">
        <v>720</v>
      </c>
      <c r="AM1876">
        <v>200000</v>
      </c>
      <c r="AN1876" t="s">
        <v>76</v>
      </c>
      <c r="AO1876">
        <v>1</v>
      </c>
      <c r="AP1876">
        <v>0</v>
      </c>
      <c r="AQ1876">
        <v>16666.666666666668</v>
      </c>
      <c r="AR1876" t="s">
        <v>7538</v>
      </c>
      <c r="AS1876" t="s">
        <v>78</v>
      </c>
      <c r="AX1876" t="s">
        <v>79</v>
      </c>
      <c r="AY1876" t="s">
        <v>74</v>
      </c>
      <c r="AZ1876">
        <v>0</v>
      </c>
      <c r="BA1876" t="s">
        <v>74</v>
      </c>
      <c r="BB1876">
        <v>0</v>
      </c>
      <c r="BD1876">
        <v>0.092270000000000005</v>
      </c>
      <c r="BE1876">
        <v>0</v>
      </c>
    </row>
    <row r="1877" spans="1:58" ht="12.75">
      <c r="A1877" s="2" t="str">
        <f>HYPERLINK("https://ibp.a2mac1.com/costing(costing:projects/details/8191/part/5388160)","Front Reflector")</f>
        <v>Front Reflector</v>
      </c>
      <c r="B1877">
        <v>5388160</v>
      </c>
      <c r="C1877">
        <v>5388131</v>
      </c>
      <c r="E1877">
        <v>0.92274</v>
      </c>
      <c r="F1877">
        <v>0</v>
      </c>
      <c r="G1877">
        <v>0</v>
      </c>
      <c r="H1877">
        <v>0</v>
      </c>
      <c r="I1877" t="s">
        <v>74</v>
      </c>
      <c r="J1877">
        <v>0</v>
      </c>
      <c r="K1877">
        <v>0.92274</v>
      </c>
      <c r="L1877">
        <v>0</v>
      </c>
      <c r="M1877">
        <v>0</v>
      </c>
      <c r="N1877">
        <v>0.92274</v>
      </c>
      <c r="O1877" t="s">
        <v>74</v>
      </c>
      <c r="P1877">
        <v>0</v>
      </c>
      <c r="Q1877" t="s">
        <v>74</v>
      </c>
      <c r="R1877">
        <v>0</v>
      </c>
      <c r="S1877" t="s">
        <v>74</v>
      </c>
      <c r="T1877">
        <v>0</v>
      </c>
      <c r="U1877" t="s">
        <v>74</v>
      </c>
      <c r="V1877">
        <v>0</v>
      </c>
      <c r="W1877" t="s">
        <v>74</v>
      </c>
      <c r="X1877">
        <v>0</v>
      </c>
      <c r="Y1877">
        <v>0.92274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8</v>
      </c>
      <c r="AF1877">
        <v>60</v>
      </c>
      <c r="AG1877">
        <v>160</v>
      </c>
      <c r="AI1877">
        <v>0.036999999999999998</v>
      </c>
      <c r="AJ1877" t="s">
        <v>7482</v>
      </c>
      <c r="AK1877" t="s">
        <v>598</v>
      </c>
      <c r="AL1877" t="s">
        <v>7541</v>
      </c>
      <c r="AM1877">
        <v>400000</v>
      </c>
      <c r="AN1877" t="s">
        <v>76</v>
      </c>
      <c r="AO1877">
        <v>2</v>
      </c>
      <c r="AP1877">
        <v>0</v>
      </c>
      <c r="AQ1877">
        <v>33333.333333333336</v>
      </c>
      <c r="AR1877" t="s">
        <v>7542</v>
      </c>
      <c r="AS1877" t="s">
        <v>78</v>
      </c>
      <c r="AX1877" t="s">
        <v>79</v>
      </c>
      <c r="AY1877" t="s">
        <v>74</v>
      </c>
      <c r="AZ1877">
        <v>0</v>
      </c>
      <c r="BA1877" t="s">
        <v>74</v>
      </c>
      <c r="BB1877">
        <v>0</v>
      </c>
      <c r="BD1877">
        <v>0.46137</v>
      </c>
      <c r="BE1877">
        <v>0</v>
      </c>
    </row>
    <row r="1878" spans="1:58" ht="12.75">
      <c r="A1878" s="2" t="str">
        <f>HYPERLINK("https://ibp.a2mac1.com/costing(costing:projects/details/8191/part/5388161)","Rear Reflector")</f>
        <v>Rear Reflector</v>
      </c>
      <c r="B1878">
        <v>5388161</v>
      </c>
      <c r="C1878">
        <v>5388131</v>
      </c>
      <c r="E1878">
        <v>1.16266</v>
      </c>
      <c r="F1878">
        <v>0</v>
      </c>
      <c r="G1878">
        <v>0</v>
      </c>
      <c r="H1878">
        <v>0</v>
      </c>
      <c r="I1878" t="s">
        <v>74</v>
      </c>
      <c r="J1878">
        <v>0</v>
      </c>
      <c r="K1878">
        <v>1.16266</v>
      </c>
      <c r="L1878">
        <v>0</v>
      </c>
      <c r="M1878">
        <v>0</v>
      </c>
      <c r="N1878">
        <v>1.16266</v>
      </c>
      <c r="O1878" t="s">
        <v>74</v>
      </c>
      <c r="P1878">
        <v>0</v>
      </c>
      <c r="Q1878" t="s">
        <v>74</v>
      </c>
      <c r="R1878">
        <v>0</v>
      </c>
      <c r="S1878" t="s">
        <v>74</v>
      </c>
      <c r="T1878">
        <v>0</v>
      </c>
      <c r="U1878" t="s">
        <v>74</v>
      </c>
      <c r="V1878">
        <v>0</v>
      </c>
      <c r="W1878" t="s">
        <v>74</v>
      </c>
      <c r="X1878">
        <v>0</v>
      </c>
      <c r="Y1878">
        <v>1.16266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29</v>
      </c>
      <c r="AF1878">
        <v>62</v>
      </c>
      <c r="AG1878">
        <v>152</v>
      </c>
      <c r="AI1878">
        <v>0.048500000000000001</v>
      </c>
      <c r="AJ1878" t="s">
        <v>7482</v>
      </c>
      <c r="AK1878" t="s">
        <v>576</v>
      </c>
      <c r="AL1878" t="s">
        <v>7543</v>
      </c>
      <c r="AM1878">
        <v>400000</v>
      </c>
      <c r="AN1878" t="s">
        <v>76</v>
      </c>
      <c r="AO1878">
        <v>2</v>
      </c>
      <c r="AP1878">
        <v>0</v>
      </c>
      <c r="AQ1878">
        <v>33333.333333333336</v>
      </c>
      <c r="AR1878" t="s">
        <v>7544</v>
      </c>
      <c r="AS1878" t="s">
        <v>78</v>
      </c>
      <c r="AX1878" t="s">
        <v>79</v>
      </c>
      <c r="AY1878" t="s">
        <v>74</v>
      </c>
      <c r="AZ1878">
        <v>0</v>
      </c>
      <c r="BA1878" t="s">
        <v>74</v>
      </c>
      <c r="BB1878">
        <v>0</v>
      </c>
      <c r="BD1878">
        <v>0.58133000000000001</v>
      </c>
      <c r="BE1878">
        <v>0</v>
      </c>
    </row>
    <row r="1879" spans="1:58" ht="12.75">
      <c r="A1879" s="2" t="str">
        <f>HYPERLINK("https://ibp.a2mac1.com/costing(costing:projects/details/8191/part/5388680)","Driver Side")</f>
        <v>Driver Side</v>
      </c>
      <c r="B1879">
        <v>5388680</v>
      </c>
      <c r="C1879">
        <v>5388329</v>
      </c>
      <c r="D1879" t="s">
        <v>7549</v>
      </c>
      <c r="E1879">
        <v>0.27682000000000001</v>
      </c>
      <c r="F1879">
        <v>0</v>
      </c>
      <c r="G1879">
        <v>0</v>
      </c>
      <c r="H1879">
        <v>0</v>
      </c>
      <c r="I1879" t="s">
        <v>74</v>
      </c>
      <c r="J1879">
        <v>0</v>
      </c>
      <c r="K1879">
        <v>0.27682000000000001</v>
      </c>
      <c r="L1879">
        <v>0</v>
      </c>
      <c r="M1879">
        <v>0</v>
      </c>
      <c r="N1879">
        <v>0.27682000000000001</v>
      </c>
      <c r="O1879" t="s">
        <v>74</v>
      </c>
      <c r="P1879">
        <v>0</v>
      </c>
      <c r="Q1879" t="s">
        <v>74</v>
      </c>
      <c r="R1879">
        <v>0</v>
      </c>
      <c r="S1879" t="s">
        <v>74</v>
      </c>
      <c r="T1879">
        <v>0</v>
      </c>
      <c r="U1879" t="s">
        <v>74</v>
      </c>
      <c r="V1879">
        <v>0</v>
      </c>
      <c r="W1879" t="s">
        <v>74</v>
      </c>
      <c r="X1879">
        <v>0</v>
      </c>
      <c r="Y1879">
        <v>0.27682000000000001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62</v>
      </c>
      <c r="AF1879">
        <v>707</v>
      </c>
      <c r="AG1879">
        <v>23</v>
      </c>
      <c r="AI1879">
        <v>0.13800000000000001</v>
      </c>
      <c r="AJ1879" t="s">
        <v>685</v>
      </c>
      <c r="AK1879" t="s">
        <v>5825</v>
      </c>
      <c r="AL1879" t="s">
        <v>7550</v>
      </c>
      <c r="AM1879">
        <v>200000</v>
      </c>
      <c r="AN1879" t="s">
        <v>76</v>
      </c>
      <c r="AO1879">
        <v>1</v>
      </c>
      <c r="AP1879">
        <v>0</v>
      </c>
      <c r="AQ1879">
        <v>16666.666666666668</v>
      </c>
      <c r="AR1879" t="s">
        <v>7551</v>
      </c>
      <c r="AS1879" t="s">
        <v>78</v>
      </c>
      <c r="AX1879" t="s">
        <v>79</v>
      </c>
      <c r="AY1879" t="s">
        <v>74</v>
      </c>
      <c r="AZ1879">
        <v>0</v>
      </c>
      <c r="BA1879" t="s">
        <v>74</v>
      </c>
      <c r="BB1879">
        <v>0</v>
      </c>
      <c r="BD1879">
        <v>0.27682000000000001</v>
      </c>
      <c r="BE1879">
        <v>0</v>
      </c>
    </row>
    <row r="1880" spans="1:58" ht="12.75">
      <c r="A1880" s="2" t="str">
        <f>HYPERLINK("https://ibp.a2mac1.com/costing(costing:projects/details/8191/part/5388681)","Passenger Side")</f>
        <v>Passenger Side</v>
      </c>
      <c r="B1880">
        <v>5388681</v>
      </c>
      <c r="C1880">
        <v>5388329</v>
      </c>
      <c r="D1880" t="s">
        <v>7549</v>
      </c>
      <c r="E1880">
        <v>0.27682000000000001</v>
      </c>
      <c r="F1880">
        <v>0</v>
      </c>
      <c r="G1880">
        <v>0</v>
      </c>
      <c r="H1880">
        <v>0</v>
      </c>
      <c r="I1880" t="s">
        <v>74</v>
      </c>
      <c r="J1880">
        <v>0</v>
      </c>
      <c r="K1880">
        <v>0.27682000000000001</v>
      </c>
      <c r="L1880">
        <v>0</v>
      </c>
      <c r="M1880">
        <v>0</v>
      </c>
      <c r="N1880">
        <v>0.27682000000000001</v>
      </c>
      <c r="O1880" t="s">
        <v>74</v>
      </c>
      <c r="P1880">
        <v>0</v>
      </c>
      <c r="Q1880" t="s">
        <v>74</v>
      </c>
      <c r="R1880">
        <v>0</v>
      </c>
      <c r="S1880" t="s">
        <v>74</v>
      </c>
      <c r="T1880">
        <v>0</v>
      </c>
      <c r="U1880" t="s">
        <v>74</v>
      </c>
      <c r="V1880">
        <v>0</v>
      </c>
      <c r="W1880" t="s">
        <v>74</v>
      </c>
      <c r="X1880">
        <v>0</v>
      </c>
      <c r="Y1880">
        <v>0.27682000000000001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52</v>
      </c>
      <c r="AF1880">
        <v>450</v>
      </c>
      <c r="AG1880">
        <v>22</v>
      </c>
      <c r="AI1880">
        <v>0.094</v>
      </c>
      <c r="AJ1880" t="s">
        <v>685</v>
      </c>
      <c r="AK1880" t="s">
        <v>5825</v>
      </c>
      <c r="AL1880" t="s">
        <v>7550</v>
      </c>
      <c r="AM1880">
        <v>200000</v>
      </c>
      <c r="AN1880" t="s">
        <v>76</v>
      </c>
      <c r="AO1880">
        <v>1</v>
      </c>
      <c r="AP1880">
        <v>0</v>
      </c>
      <c r="AQ1880">
        <v>16666.666666666668</v>
      </c>
      <c r="AR1880" t="s">
        <v>7552</v>
      </c>
      <c r="AS1880" t="s">
        <v>78</v>
      </c>
      <c r="AX1880" t="s">
        <v>79</v>
      </c>
      <c r="AY1880" t="s">
        <v>74</v>
      </c>
      <c r="AZ1880">
        <v>0</v>
      </c>
      <c r="BA1880" t="s">
        <v>74</v>
      </c>
      <c r="BB1880">
        <v>0</v>
      </c>
      <c r="BD1880">
        <v>0.27682000000000001</v>
      </c>
      <c r="BE1880">
        <v>0</v>
      </c>
    </row>
    <row r="1881" spans="1:58" ht="12.75">
      <c r="A1881" s="2" t="str">
        <f>HYPERLINK("https://ibp.a2mac1.com/costing(costing:projects/details/8191/part/5388682)","Driver Side")</f>
        <v>Driver Side</v>
      </c>
      <c r="B1881">
        <v>5388682</v>
      </c>
      <c r="C1881">
        <v>5388330</v>
      </c>
      <c r="E1881">
        <v>1.9646623463333333</v>
      </c>
      <c r="F1881">
        <v>0</v>
      </c>
      <c r="G1881">
        <v>0</v>
      </c>
      <c r="H1881">
        <v>0.010747234024266666</v>
      </c>
      <c r="I1881" t="s">
        <v>137</v>
      </c>
      <c r="J1881">
        <v>0.074338575266666665</v>
      </c>
      <c r="K1881">
        <v>2.0497481556242665</v>
      </c>
      <c r="L1881">
        <v>0.0011076856488619849</v>
      </c>
      <c r="M1881">
        <v>0.0066461138931719101</v>
      </c>
      <c r="N1881">
        <v>2.0563942695174386</v>
      </c>
      <c r="O1881" t="s">
        <v>138</v>
      </c>
      <c r="P1881">
        <v>0.12298488933745599</v>
      </c>
      <c r="Q1881" t="s">
        <v>138</v>
      </c>
      <c r="R1881">
        <v>0.00039876683359031456</v>
      </c>
      <c r="S1881" t="s">
        <v>139</v>
      </c>
      <c r="T1881">
        <v>0.24676731234209262</v>
      </c>
      <c r="U1881" t="s">
        <v>90</v>
      </c>
      <c r="V1881">
        <v>0</v>
      </c>
      <c r="W1881" t="s">
        <v>90</v>
      </c>
      <c r="X1881">
        <v>0</v>
      </c>
      <c r="Y1881">
        <v>2.4265452380305774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56</v>
      </c>
      <c r="AF1881">
        <v>640</v>
      </c>
      <c r="AG1881">
        <v>31</v>
      </c>
      <c r="AI1881">
        <v>0.45700000000000002</v>
      </c>
      <c r="AJ1881" t="s">
        <v>685</v>
      </c>
      <c r="AK1881" t="s">
        <v>5825</v>
      </c>
      <c r="AL1881" t="s">
        <v>7560</v>
      </c>
      <c r="AM1881">
        <v>200000</v>
      </c>
      <c r="AN1881" t="s">
        <v>76</v>
      </c>
      <c r="AO1881">
        <v>1</v>
      </c>
      <c r="AP1881">
        <v>0</v>
      </c>
      <c r="AQ1881">
        <v>16666.666666666668</v>
      </c>
      <c r="AR1881" t="s">
        <v>7561</v>
      </c>
      <c r="AS1881" t="s">
        <v>78</v>
      </c>
      <c r="AX1881" t="s">
        <v>79</v>
      </c>
      <c r="AY1881" t="s">
        <v>137</v>
      </c>
      <c r="AZ1881">
        <v>0</v>
      </c>
      <c r="BA1881" t="s">
        <v>137</v>
      </c>
      <c r="BB1881">
        <v>0</v>
      </c>
      <c r="BE1881">
        <v>0</v>
      </c>
    </row>
    <row r="1882" spans="1:58" ht="12.75">
      <c r="A1882" s="2" t="str">
        <f>HYPERLINK("https://ibp.a2mac1.com/costing(costing:projects/details/8191/part/5388683)","Passenger Side")</f>
        <v>Passenger Side</v>
      </c>
      <c r="B1882">
        <v>5388683</v>
      </c>
      <c r="C1882">
        <v>5388330</v>
      </c>
      <c r="E1882">
        <v>2.5493321036666665</v>
      </c>
      <c r="F1882">
        <v>0</v>
      </c>
      <c r="G1882">
        <v>0</v>
      </c>
      <c r="H1882">
        <v>0.013945535615733333</v>
      </c>
      <c r="I1882" t="s">
        <v>137</v>
      </c>
      <c r="J1882">
        <v>0.096461214733333328</v>
      </c>
      <c r="K1882">
        <v>2.6597388540157332</v>
      </c>
      <c r="L1882">
        <v>0.0014394649278222688</v>
      </c>
      <c r="M1882">
        <v>0.0086367895669336135</v>
      </c>
      <c r="N1882">
        <v>2.6683756435826669</v>
      </c>
      <c r="O1882" t="s">
        <v>138</v>
      </c>
      <c r="P1882">
        <v>0.15958433124094401</v>
      </c>
      <c r="Q1882" t="s">
        <v>138</v>
      </c>
      <c r="R1882">
        <v>0.00051820737401601675</v>
      </c>
      <c r="S1882" t="s">
        <v>139</v>
      </c>
      <c r="T1882">
        <v>0.32020507722992003</v>
      </c>
      <c r="U1882" t="s">
        <v>90</v>
      </c>
      <c r="V1882">
        <v>0</v>
      </c>
      <c r="W1882" t="s">
        <v>90</v>
      </c>
      <c r="X1882">
        <v>0</v>
      </c>
      <c r="Y1882">
        <v>3.1486832594275471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96</v>
      </c>
      <c r="AF1882">
        <v>826</v>
      </c>
      <c r="AG1882">
        <v>96</v>
      </c>
      <c r="AI1882">
        <v>0.59299999999999997</v>
      </c>
      <c r="AJ1882" t="s">
        <v>685</v>
      </c>
      <c r="AK1882" t="s">
        <v>5825</v>
      </c>
      <c r="AL1882" t="s">
        <v>7560</v>
      </c>
      <c r="AM1882">
        <v>200000</v>
      </c>
      <c r="AN1882" t="s">
        <v>76</v>
      </c>
      <c r="AO1882">
        <v>1</v>
      </c>
      <c r="AP1882">
        <v>0</v>
      </c>
      <c r="AQ1882">
        <v>16666.666666666668</v>
      </c>
      <c r="AR1882" t="s">
        <v>7566</v>
      </c>
      <c r="AS1882" t="s">
        <v>78</v>
      </c>
      <c r="AX1882" t="s">
        <v>79</v>
      </c>
      <c r="AY1882" t="s">
        <v>137</v>
      </c>
      <c r="AZ1882">
        <v>0</v>
      </c>
      <c r="BA1882" t="s">
        <v>137</v>
      </c>
      <c r="BB1882">
        <v>0</v>
      </c>
      <c r="BE1882">
        <v>0</v>
      </c>
    </row>
    <row r="1883" spans="1:58" ht="12.75">
      <c r="A1883" s="2" t="str">
        <f>HYPERLINK("https://ibp.a2mac1.com/costing(costing:projects/details/8191/part/5388325)","Wiper Motor")</f>
        <v>Wiper Motor</v>
      </c>
      <c r="B1883">
        <v>5388325</v>
      </c>
      <c r="C1883">
        <v>5388168</v>
      </c>
      <c r="E1883">
        <v>0</v>
      </c>
      <c r="F1883">
        <v>12.382665550885642</v>
      </c>
      <c r="G1883">
        <v>0</v>
      </c>
      <c r="H1883">
        <v>0</v>
      </c>
      <c r="I1883" t="s">
        <v>137</v>
      </c>
      <c r="J1883">
        <v>0</v>
      </c>
      <c r="K1883">
        <v>12.816058845166639</v>
      </c>
      <c r="L1883">
        <v>0.3081740386101956</v>
      </c>
      <c r="M1883">
        <v>1.8490442316611737</v>
      </c>
      <c r="N1883">
        <v>14.665103076827812</v>
      </c>
      <c r="O1883" t="s">
        <v>138</v>
      </c>
      <c r="P1883">
        <v>0.76896353070999834</v>
      </c>
      <c r="Q1883" t="s">
        <v>138</v>
      </c>
      <c r="R1883">
        <v>0.11094265389967042</v>
      </c>
      <c r="S1883" t="s">
        <v>139</v>
      </c>
      <c r="T1883">
        <v>1.7598123692193375</v>
      </c>
      <c r="U1883" t="s">
        <v>90</v>
      </c>
      <c r="V1883">
        <v>0</v>
      </c>
      <c r="W1883" t="s">
        <v>90</v>
      </c>
      <c r="X1883">
        <v>0</v>
      </c>
      <c r="Y1883">
        <v>17.304821630656818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85</v>
      </c>
      <c r="AF1883">
        <v>157</v>
      </c>
      <c r="AG1883">
        <v>109</v>
      </c>
      <c r="AI1883">
        <v>0.89400000000000002</v>
      </c>
      <c r="AJ1883" t="s">
        <v>1342</v>
      </c>
      <c r="AK1883" t="s">
        <v>598</v>
      </c>
      <c r="AL1883" t="s">
        <v>7571</v>
      </c>
      <c r="AM1883">
        <v>200000</v>
      </c>
      <c r="AN1883" t="s">
        <v>76</v>
      </c>
      <c r="AO1883">
        <v>1</v>
      </c>
      <c r="AP1883">
        <v>0</v>
      </c>
      <c r="AQ1883">
        <v>16666.666666666668</v>
      </c>
      <c r="AR1883" t="s">
        <v>7572</v>
      </c>
      <c r="AS1883" t="s">
        <v>78</v>
      </c>
      <c r="AX1883" t="s">
        <v>79</v>
      </c>
      <c r="AY1883" t="s">
        <v>137</v>
      </c>
      <c r="AZ1883">
        <v>0.43339329428099743</v>
      </c>
      <c r="BA1883" t="s">
        <v>137</v>
      </c>
      <c r="BB1883">
        <v>0</v>
      </c>
      <c r="BE1883">
        <v>0</v>
      </c>
    </row>
    <row r="1884" spans="1:58" ht="12.75">
      <c r="A1884" s="2" t="str">
        <f>HYPERLINK("https://ibp.a2mac1.com/costing(costing:projects/details/8191/part/5388326)","Wiper Linkage")</f>
        <v>Wiper Linkage</v>
      </c>
      <c r="B1884">
        <v>5388326</v>
      </c>
      <c r="C1884">
        <v>5388168</v>
      </c>
      <c r="D1884" t="s">
        <v>7549</v>
      </c>
      <c r="E1884">
        <v>7.5664699999999998</v>
      </c>
      <c r="F1884">
        <v>0</v>
      </c>
      <c r="G1884">
        <v>0</v>
      </c>
      <c r="H1884">
        <v>0</v>
      </c>
      <c r="I1884" t="s">
        <v>74</v>
      </c>
      <c r="J1884">
        <v>0</v>
      </c>
      <c r="K1884">
        <v>7.5664699999999998</v>
      </c>
      <c r="L1884">
        <v>0</v>
      </c>
      <c r="M1884">
        <v>0</v>
      </c>
      <c r="N1884">
        <v>7.5664699999999998</v>
      </c>
      <c r="O1884" t="s">
        <v>74</v>
      </c>
      <c r="P1884">
        <v>0</v>
      </c>
      <c r="Q1884" t="s">
        <v>74</v>
      </c>
      <c r="R1884">
        <v>0</v>
      </c>
      <c r="S1884" t="s">
        <v>74</v>
      </c>
      <c r="T1884">
        <v>0</v>
      </c>
      <c r="U1884" t="s">
        <v>74</v>
      </c>
      <c r="V1884">
        <v>0</v>
      </c>
      <c r="W1884" t="s">
        <v>74</v>
      </c>
      <c r="X1884">
        <v>0</v>
      </c>
      <c r="Y1884">
        <v>7.5664699999999998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140</v>
      </c>
      <c r="AF1884">
        <v>473</v>
      </c>
      <c r="AG1884">
        <v>160</v>
      </c>
      <c r="AI1884">
        <v>1.0409999999999999</v>
      </c>
      <c r="AJ1884" t="s">
        <v>1342</v>
      </c>
      <c r="AK1884" t="s">
        <v>5825</v>
      </c>
      <c r="AL1884" t="s">
        <v>7560</v>
      </c>
      <c r="AM1884">
        <v>200000</v>
      </c>
      <c r="AN1884" t="s">
        <v>76</v>
      </c>
      <c r="AO1884">
        <v>1</v>
      </c>
      <c r="AP1884">
        <v>0</v>
      </c>
      <c r="AQ1884">
        <v>16666.666666666668</v>
      </c>
      <c r="AR1884" t="s">
        <v>7573</v>
      </c>
      <c r="AS1884" t="s">
        <v>78</v>
      </c>
      <c r="AX1884" t="s">
        <v>79</v>
      </c>
      <c r="AY1884" t="s">
        <v>74</v>
      </c>
      <c r="AZ1884">
        <v>0</v>
      </c>
      <c r="BA1884" t="s">
        <v>74</v>
      </c>
      <c r="BB1884">
        <v>0</v>
      </c>
      <c r="BD1884">
        <v>7.5664699999999998</v>
      </c>
      <c r="BE1884">
        <v>0</v>
      </c>
    </row>
    <row r="1885" spans="1:58" ht="12.75">
      <c r="A1885" s="2" t="str">
        <f>HYPERLINK("https://ibp.a2mac1.com/costing(costing:projects/details/8191/part/5388327)","Wiper Linkage Support")</f>
        <v>Wiper Linkage Support</v>
      </c>
      <c r="B1885">
        <v>5388327</v>
      </c>
      <c r="C1885">
        <v>5388168</v>
      </c>
      <c r="E1885">
        <v>0.109331152</v>
      </c>
      <c r="F1885">
        <v>0</v>
      </c>
      <c r="G1885">
        <v>0</v>
      </c>
      <c r="H1885">
        <v>0.00059807095040000004</v>
      </c>
      <c r="I1885" t="s">
        <v>137</v>
      </c>
      <c r="J1885">
        <v>0.0041368543999999998</v>
      </c>
      <c r="K1885">
        <v>0.1140660773504</v>
      </c>
      <c r="L1885">
        <v>0.0013913688590171407</v>
      </c>
      <c r="M1885">
        <v>0.0083482131541028435</v>
      </c>
      <c r="N1885">
        <v>0.12241429050450284</v>
      </c>
      <c r="O1885" t="s">
        <v>138</v>
      </c>
      <c r="P1885">
        <v>0.0068439646410239996</v>
      </c>
      <c r="Q1885" t="s">
        <v>138</v>
      </c>
      <c r="R1885">
        <v>0.00050089278924617066</v>
      </c>
      <c r="S1885" t="s">
        <v>139</v>
      </c>
      <c r="T1885">
        <v>0.014689714860540342</v>
      </c>
      <c r="U1885" t="s">
        <v>90</v>
      </c>
      <c r="V1885">
        <v>0</v>
      </c>
      <c r="W1885" t="s">
        <v>90</v>
      </c>
      <c r="X1885">
        <v>0</v>
      </c>
      <c r="Y1885">
        <v>0.14444886279531335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137</v>
      </c>
      <c r="AF1885">
        <v>174</v>
      </c>
      <c r="AG1885">
        <v>149</v>
      </c>
      <c r="AI1885">
        <v>0.16800000000000001</v>
      </c>
      <c r="AJ1885" t="s">
        <v>685</v>
      </c>
      <c r="AK1885" t="s">
        <v>5825</v>
      </c>
      <c r="AL1885" t="s">
        <v>720</v>
      </c>
      <c r="AM1885">
        <v>200000</v>
      </c>
      <c r="AN1885" t="s">
        <v>76</v>
      </c>
      <c r="AO1885">
        <v>1</v>
      </c>
      <c r="AP1885">
        <v>0</v>
      </c>
      <c r="AQ1885">
        <v>16666.666666666668</v>
      </c>
      <c r="AR1885" t="s">
        <v>7578</v>
      </c>
      <c r="AS1885" t="s">
        <v>78</v>
      </c>
      <c r="AX1885" t="s">
        <v>79</v>
      </c>
      <c r="AY1885" t="s">
        <v>137</v>
      </c>
      <c r="AZ1885">
        <v>0</v>
      </c>
      <c r="BA1885" t="s">
        <v>137</v>
      </c>
      <c r="BB1885">
        <v>0</v>
      </c>
      <c r="BE1885">
        <v>0</v>
      </c>
    </row>
    <row r="1886" spans="1:58" ht="12.75">
      <c r="A1886" s="2" t="str">
        <f>HYPERLINK("https://ibp.a2mac1.com/costing(costing:projects/details/8191/part/5388328)","Wiper Motor Support")</f>
        <v>Wiper Motor Support</v>
      </c>
      <c r="B1886">
        <v>5388328</v>
      </c>
      <c r="C1886">
        <v>5388168</v>
      </c>
      <c r="E1886">
        <v>0.14765696</v>
      </c>
      <c r="F1886">
        <v>0</v>
      </c>
      <c r="G1886">
        <v>0</v>
      </c>
      <c r="H1886">
        <v>0.00074714421760000002</v>
      </c>
      <c r="I1886" t="s">
        <v>137</v>
      </c>
      <c r="J1886">
        <v>0.0051679936000000003</v>
      </c>
      <c r="K1886">
        <v>0.15357209781760001</v>
      </c>
      <c r="L1886">
        <v>0.0016783666544858114</v>
      </c>
      <c r="M1886">
        <v>0.01007019992691487</v>
      </c>
      <c r="N1886">
        <v>0.16364229774451486</v>
      </c>
      <c r="O1886" t="s">
        <v>138</v>
      </c>
      <c r="P1886">
        <v>0.0092143258690559997</v>
      </c>
      <c r="Q1886" t="s">
        <v>138</v>
      </c>
      <c r="R1886">
        <v>0.00060421199561489218</v>
      </c>
      <c r="S1886" t="s">
        <v>139</v>
      </c>
      <c r="T1886">
        <v>0.019637075729341785</v>
      </c>
      <c r="U1886" t="s">
        <v>90</v>
      </c>
      <c r="V1886">
        <v>0</v>
      </c>
      <c r="W1886" t="s">
        <v>90</v>
      </c>
      <c r="X1886">
        <v>0</v>
      </c>
      <c r="Y1886">
        <v>0.19309791133852755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69</v>
      </c>
      <c r="AF1886">
        <v>152</v>
      </c>
      <c r="AG1886">
        <v>145</v>
      </c>
      <c r="AI1886">
        <v>0.13200000000000001</v>
      </c>
      <c r="AK1886" t="s">
        <v>5825</v>
      </c>
      <c r="AL1886" t="s">
        <v>720</v>
      </c>
      <c r="AM1886">
        <v>200000</v>
      </c>
      <c r="AN1886" t="s">
        <v>76</v>
      </c>
      <c r="AO1886">
        <v>1</v>
      </c>
      <c r="AP1886">
        <v>0</v>
      </c>
      <c r="AQ1886">
        <v>16666.666666666668</v>
      </c>
      <c r="AR1886" t="s">
        <v>7583</v>
      </c>
      <c r="AS1886" t="s">
        <v>78</v>
      </c>
      <c r="AX1886" t="s">
        <v>79</v>
      </c>
      <c r="AY1886" t="s">
        <v>137</v>
      </c>
      <c r="AZ1886">
        <v>0</v>
      </c>
      <c r="BA1886" t="s">
        <v>137</v>
      </c>
      <c r="BB1886">
        <v>0</v>
      </c>
      <c r="BE1886">
        <v>0</v>
      </c>
    </row>
    <row r="1887" spans="1:58" ht="12.75">
      <c r="A1887" s="2" t="str">
        <f>HYPERLINK("https://ibp.a2mac1.com/costing(costing:projects/details/8191/part/5388685)","Wiper Blade")</f>
        <v>Wiper Blade</v>
      </c>
      <c r="B1887">
        <v>5388685</v>
      </c>
      <c r="C1887">
        <v>5388334</v>
      </c>
      <c r="E1887">
        <v>0.067539937342105269</v>
      </c>
      <c r="F1887">
        <v>0</v>
      </c>
      <c r="G1887">
        <v>0</v>
      </c>
      <c r="H1887">
        <v>7.0498107789473678E-05</v>
      </c>
      <c r="I1887" t="s">
        <v>137</v>
      </c>
      <c r="J1887">
        <v>0.0023725324736842105</v>
      </c>
      <c r="K1887">
        <v>0.069982967923578943</v>
      </c>
      <c r="L1887">
        <v>0.01251453650535788</v>
      </c>
      <c r="M1887">
        <v>0.075087219032147282</v>
      </c>
      <c r="N1887">
        <v>0.14507018695572624</v>
      </c>
      <c r="O1887" t="s">
        <v>90</v>
      </c>
      <c r="P1887">
        <v>0</v>
      </c>
      <c r="Q1887" t="s">
        <v>90</v>
      </c>
      <c r="R1887">
        <v>0</v>
      </c>
      <c r="S1887" t="s">
        <v>90</v>
      </c>
      <c r="T1887">
        <v>0</v>
      </c>
      <c r="U1887" t="s">
        <v>90</v>
      </c>
      <c r="V1887">
        <v>0</v>
      </c>
      <c r="W1887" t="s">
        <v>90</v>
      </c>
      <c r="X1887">
        <v>0</v>
      </c>
      <c r="Y1887">
        <v>0.14507018695572624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50</v>
      </c>
      <c r="AF1887">
        <v>285</v>
      </c>
      <c r="AG1887">
        <v>14</v>
      </c>
      <c r="AI1887">
        <v>0.031</v>
      </c>
      <c r="AJ1887" t="s">
        <v>685</v>
      </c>
      <c r="AK1887" t="s">
        <v>6175</v>
      </c>
      <c r="AL1887" t="s">
        <v>7590</v>
      </c>
      <c r="AM1887">
        <v>200000</v>
      </c>
      <c r="AN1887" t="s">
        <v>76</v>
      </c>
      <c r="AO1887">
        <v>1</v>
      </c>
      <c r="AP1887">
        <v>0</v>
      </c>
      <c r="AQ1887">
        <v>16666.666666666668</v>
      </c>
      <c r="AR1887" t="s">
        <v>7591</v>
      </c>
      <c r="AS1887" t="s">
        <v>78</v>
      </c>
      <c r="AX1887" t="s">
        <v>79</v>
      </c>
      <c r="AY1887" t="s">
        <v>137</v>
      </c>
      <c r="AZ1887">
        <v>0</v>
      </c>
      <c r="BA1887" t="s">
        <v>137</v>
      </c>
      <c r="BB1887">
        <v>0</v>
      </c>
      <c r="BE1887">
        <v>0</v>
      </c>
    </row>
    <row r="1888" spans="1:58" ht="12.75">
      <c r="A1888" s="2" t="str">
        <f>HYPERLINK("https://ibp.a2mac1.com/costing(costing:projects/details/8191/part/5388686)","Wiper Arm")</f>
        <v>Wiper Arm</v>
      </c>
      <c r="B1888">
        <v>5388686</v>
      </c>
      <c r="C1888">
        <v>5388334</v>
      </c>
      <c r="E1888">
        <v>0.21784707042525031</v>
      </c>
      <c r="F1888">
        <v>0</v>
      </c>
      <c r="G1888">
        <v>0</v>
      </c>
      <c r="H1888">
        <v>0.00044920536601685858</v>
      </c>
      <c r="I1888" t="s">
        <v>137</v>
      </c>
      <c r="J1888">
        <v>0.007632130005140801</v>
      </c>
      <c r="K1888">
        <v>0.22592840579640797</v>
      </c>
      <c r="L1888">
        <v>0.013304664458773598</v>
      </c>
      <c r="M1888">
        <v>0.079827986752641578</v>
      </c>
      <c r="N1888">
        <v>0.30575639254904957</v>
      </c>
      <c r="O1888" t="s">
        <v>90</v>
      </c>
      <c r="P1888">
        <v>0</v>
      </c>
      <c r="Q1888" t="s">
        <v>90</v>
      </c>
      <c r="R1888">
        <v>0</v>
      </c>
      <c r="S1888" t="s">
        <v>90</v>
      </c>
      <c r="T1888">
        <v>0</v>
      </c>
      <c r="U1888" t="s">
        <v>90</v>
      </c>
      <c r="V1888">
        <v>0</v>
      </c>
      <c r="W1888" t="s">
        <v>90</v>
      </c>
      <c r="X1888">
        <v>0</v>
      </c>
      <c r="Y1888">
        <v>0.30575639254904957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28</v>
      </c>
      <c r="AF1888">
        <v>285</v>
      </c>
      <c r="AG1888">
        <v>35</v>
      </c>
      <c r="AI1888">
        <v>0.088999999999999996</v>
      </c>
      <c r="AJ1888" t="s">
        <v>685</v>
      </c>
      <c r="AK1888" t="s">
        <v>6175</v>
      </c>
      <c r="AL1888" t="s">
        <v>1721</v>
      </c>
      <c r="AM1888">
        <v>200000</v>
      </c>
      <c r="AN1888" t="s">
        <v>76</v>
      </c>
      <c r="AO1888">
        <v>1</v>
      </c>
      <c r="AP1888">
        <v>0</v>
      </c>
      <c r="AQ1888">
        <v>16666.666666666668</v>
      </c>
      <c r="AR1888" t="s">
        <v>7597</v>
      </c>
      <c r="AS1888" t="s">
        <v>78</v>
      </c>
      <c r="AX1888" t="s">
        <v>79</v>
      </c>
      <c r="AY1888" t="s">
        <v>137</v>
      </c>
      <c r="AZ1888">
        <v>0</v>
      </c>
      <c r="BA1888" t="s">
        <v>137</v>
      </c>
      <c r="BB1888">
        <v>0</v>
      </c>
      <c r="BE1888">
        <v>0</v>
      </c>
    </row>
    <row r="1889" spans="1:58" ht="12.75">
      <c r="A1889" s="2" t="str">
        <f>HYPERLINK("https://ibp.a2mac1.com/costing(costing:projects/details/8191/part/5388687)","Wiper Arm Cover")</f>
        <v>Wiper Arm Cover</v>
      </c>
      <c r="B1889">
        <v>5388687</v>
      </c>
      <c r="C1889">
        <v>5388334</v>
      </c>
      <c r="E1889">
        <v>0.029372638709022514</v>
      </c>
      <c r="F1889">
        <v>0</v>
      </c>
      <c r="G1889">
        <v>0</v>
      </c>
      <c r="H1889">
        <v>6.0567015642722501E-05</v>
      </c>
      <c r="I1889" t="s">
        <v>137</v>
      </c>
      <c r="J1889">
        <v>0.0010290512366481978</v>
      </c>
      <c r="K1889">
        <v>0.030462256961313435</v>
      </c>
      <c r="L1889">
        <v>0.012249809719661159</v>
      </c>
      <c r="M1889">
        <v>0.073498858317966959</v>
      </c>
      <c r="N1889">
        <v>0.1039611152792804</v>
      </c>
      <c r="O1889" t="s">
        <v>90</v>
      </c>
      <c r="P1889">
        <v>0</v>
      </c>
      <c r="Q1889" t="s">
        <v>90</v>
      </c>
      <c r="R1889">
        <v>0</v>
      </c>
      <c r="S1889" t="s">
        <v>90</v>
      </c>
      <c r="T1889">
        <v>0</v>
      </c>
      <c r="U1889" t="s">
        <v>90</v>
      </c>
      <c r="V1889">
        <v>0</v>
      </c>
      <c r="W1889" t="s">
        <v>90</v>
      </c>
      <c r="X1889">
        <v>0</v>
      </c>
      <c r="Y1889">
        <v>0.1039611152792804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31</v>
      </c>
      <c r="AF1889">
        <v>70</v>
      </c>
      <c r="AG1889">
        <v>44</v>
      </c>
      <c r="AI1889">
        <v>0.012</v>
      </c>
      <c r="AJ1889" t="s">
        <v>685</v>
      </c>
      <c r="AK1889" t="s">
        <v>6175</v>
      </c>
      <c r="AL1889" t="s">
        <v>1721</v>
      </c>
      <c r="AM1889">
        <v>200000</v>
      </c>
      <c r="AN1889" t="s">
        <v>76</v>
      </c>
      <c r="AO1889">
        <v>1</v>
      </c>
      <c r="AP1889">
        <v>0</v>
      </c>
      <c r="AQ1889">
        <v>16666.666666666668</v>
      </c>
      <c r="AR1889" t="s">
        <v>7603</v>
      </c>
      <c r="AS1889" t="s">
        <v>78</v>
      </c>
      <c r="AX1889" t="s">
        <v>79</v>
      </c>
      <c r="AY1889" t="s">
        <v>137</v>
      </c>
      <c r="AZ1889">
        <v>0</v>
      </c>
      <c r="BA1889" t="s">
        <v>137</v>
      </c>
      <c r="BB1889">
        <v>0</v>
      </c>
      <c r="BE1889">
        <v>0</v>
      </c>
    </row>
    <row r="1890" spans="1:58" ht="12.75">
      <c r="A1890" s="2" t="str">
        <f>HYPERLINK("https://ibp.a2mac1.com/costing(costing:projects/details/8191/part/5388689)","Rear Washer Jet")</f>
        <v>Rear Washer Jet</v>
      </c>
      <c r="B1890">
        <v>5388689</v>
      </c>
      <c r="C1890">
        <v>5388335</v>
      </c>
      <c r="E1890">
        <v>0.011688813500000001</v>
      </c>
      <c r="F1890">
        <v>0</v>
      </c>
      <c r="G1890">
        <v>0</v>
      </c>
      <c r="H1890">
        <v>6.1791050200000005E-05</v>
      </c>
      <c r="I1890" t="s">
        <v>137</v>
      </c>
      <c r="J1890">
        <v>0.00042740844999999999</v>
      </c>
      <c r="K1890">
        <v>0.012178013000199999</v>
      </c>
      <c r="L1890">
        <v>3.4983690928856677E-05</v>
      </c>
      <c r="M1890">
        <v>0.00020990214557314009</v>
      </c>
      <c r="N1890">
        <v>0.012387915145773139</v>
      </c>
      <c r="O1890" t="s">
        <v>138</v>
      </c>
      <c r="P1890">
        <v>0.00073068078001200002</v>
      </c>
      <c r="Q1890" t="s">
        <v>138</v>
      </c>
      <c r="R1890">
        <v>1.2594128734388404E-05</v>
      </c>
      <c r="S1890" t="s">
        <v>139</v>
      </c>
      <c r="T1890">
        <v>0.0014865498174927768</v>
      </c>
      <c r="U1890" t="s">
        <v>90</v>
      </c>
      <c r="V1890">
        <v>0</v>
      </c>
      <c r="W1890" t="s">
        <v>90</v>
      </c>
      <c r="X1890">
        <v>0</v>
      </c>
      <c r="Y1890">
        <v>0.014617739872012305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30</v>
      </c>
      <c r="AF1890">
        <v>10</v>
      </c>
      <c r="AG1890">
        <v>28</v>
      </c>
      <c r="AI1890">
        <v>0.0030000000000000001</v>
      </c>
      <c r="AJ1890" t="s">
        <v>685</v>
      </c>
      <c r="AK1890" t="s">
        <v>5825</v>
      </c>
      <c r="AL1890" t="s">
        <v>7610</v>
      </c>
      <c r="AM1890">
        <v>200000</v>
      </c>
      <c r="AN1890" t="s">
        <v>76</v>
      </c>
      <c r="AO1890">
        <v>1</v>
      </c>
      <c r="AP1890">
        <v>0</v>
      </c>
      <c r="AQ1890">
        <v>16666.666666666668</v>
      </c>
      <c r="AR1890" t="s">
        <v>7611</v>
      </c>
      <c r="AS1890" t="s">
        <v>78</v>
      </c>
      <c r="AX1890" t="s">
        <v>79</v>
      </c>
      <c r="AY1890" t="s">
        <v>137</v>
      </c>
      <c r="AZ1890">
        <v>0</v>
      </c>
      <c r="BA1890" t="s">
        <v>137</v>
      </c>
      <c r="BB1890">
        <v>0</v>
      </c>
      <c r="BE1890">
        <v>0</v>
      </c>
    </row>
    <row r="1891" spans="1:58" ht="12.75">
      <c r="A1891" s="2" t="str">
        <f>HYPERLINK("https://ibp.a2mac1.com/costing(costing:projects/details/8191/part/5388332)","Wiper Motor")</f>
        <v>Wiper Motor</v>
      </c>
      <c r="B1891">
        <v>5388332</v>
      </c>
      <c r="C1891">
        <v>5388169</v>
      </c>
      <c r="E1891">
        <v>0</v>
      </c>
      <c r="F1891">
        <v>5.6283049977611999</v>
      </c>
      <c r="G1891">
        <v>0</v>
      </c>
      <c r="H1891">
        <v>0</v>
      </c>
      <c r="I1891" t="s">
        <v>137</v>
      </c>
      <c r="J1891">
        <v>0</v>
      </c>
      <c r="K1891">
        <v>5.8252956726828415</v>
      </c>
      <c r="L1891">
        <v>0.28536191005646178</v>
      </c>
      <c r="M1891">
        <v>0.99876668519761624</v>
      </c>
      <c r="N1891">
        <v>6.8240623578804573</v>
      </c>
      <c r="O1891" t="s">
        <v>138</v>
      </c>
      <c r="P1891">
        <v>0.3495177403609705</v>
      </c>
      <c r="Q1891" t="s">
        <v>138</v>
      </c>
      <c r="R1891">
        <v>0.059926001111856975</v>
      </c>
      <c r="S1891" t="s">
        <v>139</v>
      </c>
      <c r="T1891">
        <v>0.81888748294565494</v>
      </c>
      <c r="U1891" t="s">
        <v>90</v>
      </c>
      <c r="V1891">
        <v>0</v>
      </c>
      <c r="W1891" t="s">
        <v>90</v>
      </c>
      <c r="X1891">
        <v>0</v>
      </c>
      <c r="Y1891">
        <v>8.0523935822989401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130</v>
      </c>
      <c r="AF1891">
        <v>200</v>
      </c>
      <c r="AG1891">
        <v>185</v>
      </c>
      <c r="AI1891">
        <v>0.76200000000000001</v>
      </c>
      <c r="AJ1891" t="s">
        <v>1203</v>
      </c>
      <c r="AK1891" t="s">
        <v>576</v>
      </c>
      <c r="AL1891" t="s">
        <v>7616</v>
      </c>
      <c r="AM1891">
        <v>200000</v>
      </c>
      <c r="AN1891" t="s">
        <v>76</v>
      </c>
      <c r="AO1891">
        <v>1</v>
      </c>
      <c r="AP1891">
        <v>0</v>
      </c>
      <c r="AQ1891">
        <v>16666.666666666668</v>
      </c>
      <c r="AR1891" t="s">
        <v>7617</v>
      </c>
      <c r="AS1891" t="s">
        <v>78</v>
      </c>
      <c r="AX1891" t="s">
        <v>79</v>
      </c>
      <c r="AY1891" t="s">
        <v>137</v>
      </c>
      <c r="AZ1891">
        <v>0.19699067492164199</v>
      </c>
      <c r="BA1891" t="s">
        <v>137</v>
      </c>
      <c r="BB1891">
        <v>0</v>
      </c>
      <c r="BE1891">
        <v>0</v>
      </c>
    </row>
    <row r="1892" spans="1:58" ht="12.75">
      <c r="A1892" s="2" t="str">
        <f>HYPERLINK("https://ibp.a2mac1.com/costing(costing:projects/details/8191/part/5388333)","Mechanism Cover")</f>
        <v>Mechanism Cover</v>
      </c>
      <c r="B1892">
        <v>5388333</v>
      </c>
      <c r="C1892">
        <v>5388169</v>
      </c>
      <c r="E1892">
        <v>0.026337244499999999</v>
      </c>
      <c r="F1892">
        <v>0</v>
      </c>
      <c r="G1892">
        <v>0</v>
      </c>
      <c r="H1892">
        <v>0.00013360045831578948</v>
      </c>
      <c r="I1892" t="s">
        <v>137</v>
      </c>
      <c r="J1892">
        <v>0.00092411384210526319</v>
      </c>
      <c r="K1892">
        <v>0.027394958800421053</v>
      </c>
      <c r="L1892">
        <v>0.00041776556729295931</v>
      </c>
      <c r="M1892">
        <v>0.0025065934037577556</v>
      </c>
      <c r="N1892">
        <v>0.029901552204178807</v>
      </c>
      <c r="O1892" t="s">
        <v>138</v>
      </c>
      <c r="P1892">
        <v>0.0016436975280252632</v>
      </c>
      <c r="Q1892" t="s">
        <v>138</v>
      </c>
      <c r="R1892">
        <v>0.00015039560422546534</v>
      </c>
      <c r="S1892" t="s">
        <v>139</v>
      </c>
      <c r="T1892">
        <v>0.0035881862645014569</v>
      </c>
      <c r="U1892" t="s">
        <v>90</v>
      </c>
      <c r="V1892">
        <v>0</v>
      </c>
      <c r="W1892" t="s">
        <v>90</v>
      </c>
      <c r="X1892">
        <v>0</v>
      </c>
      <c r="Y1892">
        <v>0.035283831600930994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22</v>
      </c>
      <c r="AF1892">
        <v>38</v>
      </c>
      <c r="AG1892">
        <v>38</v>
      </c>
      <c r="AI1892">
        <v>0.0089999999999999993</v>
      </c>
      <c r="AJ1892" t="s">
        <v>5258</v>
      </c>
      <c r="AK1892" t="s">
        <v>5825</v>
      </c>
      <c r="AL1892" t="s">
        <v>3856</v>
      </c>
      <c r="AM1892">
        <v>200000</v>
      </c>
      <c r="AN1892" t="s">
        <v>76</v>
      </c>
      <c r="AO1892">
        <v>1</v>
      </c>
      <c r="AP1892">
        <v>0</v>
      </c>
      <c r="AQ1892">
        <v>16666.666666666668</v>
      </c>
      <c r="AR1892" t="s">
        <v>7620</v>
      </c>
      <c r="AS1892" t="s">
        <v>78</v>
      </c>
      <c r="AX1892" t="s">
        <v>79</v>
      </c>
      <c r="AY1892" t="s">
        <v>137</v>
      </c>
      <c r="AZ1892">
        <v>0</v>
      </c>
      <c r="BA1892" t="s">
        <v>137</v>
      </c>
      <c r="BB1892">
        <v>0</v>
      </c>
      <c r="BE1892">
        <v>0</v>
      </c>
    </row>
    <row r="1893" spans="1:58" ht="12.75">
      <c r="A1893" s="2" t="str">
        <f>HYPERLINK("https://ibp.a2mac1.com/costing(costing:projects/details/8191/part/5388337)","Tank")</f>
        <v>Tank</v>
      </c>
      <c r="B1893">
        <v>5388337</v>
      </c>
      <c r="C1893">
        <v>5388170</v>
      </c>
      <c r="E1893">
        <v>0.25188139199999998</v>
      </c>
      <c r="F1893">
        <v>0</v>
      </c>
      <c r="G1893">
        <v>0</v>
      </c>
      <c r="H1893">
        <v>0.0012777141288421053</v>
      </c>
      <c r="I1893" t="s">
        <v>137</v>
      </c>
      <c r="J1893">
        <v>0.0088379435789473684</v>
      </c>
      <c r="K1893">
        <v>0.26199704970778948</v>
      </c>
      <c r="L1893">
        <v>0.0082660013370663091</v>
      </c>
      <c r="M1893">
        <v>0.049596008022397851</v>
      </c>
      <c r="N1893">
        <v>0.31159305773018731</v>
      </c>
      <c r="O1893" t="s">
        <v>138</v>
      </c>
      <c r="P1893">
        <v>0.015719822982467369</v>
      </c>
      <c r="Q1893" t="s">
        <v>138</v>
      </c>
      <c r="R1893">
        <v>0.002975760481343871</v>
      </c>
      <c r="S1893" t="s">
        <v>139</v>
      </c>
      <c r="T1893">
        <v>0.037391166927622482</v>
      </c>
      <c r="U1893" t="s">
        <v>90</v>
      </c>
      <c r="V1893">
        <v>0</v>
      </c>
      <c r="W1893" t="s">
        <v>90</v>
      </c>
      <c r="X1893">
        <v>0</v>
      </c>
      <c r="Y1893">
        <v>0.36767980812162104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170</v>
      </c>
      <c r="AF1893">
        <v>173</v>
      </c>
      <c r="AG1893">
        <v>336</v>
      </c>
      <c r="AI1893">
        <v>0.35599999999999998</v>
      </c>
      <c r="AJ1893" t="s">
        <v>685</v>
      </c>
      <c r="AK1893" t="s">
        <v>5825</v>
      </c>
      <c r="AL1893" t="s">
        <v>7627</v>
      </c>
      <c r="AM1893">
        <v>200000</v>
      </c>
      <c r="AN1893" t="s">
        <v>76</v>
      </c>
      <c r="AO1893">
        <v>1</v>
      </c>
      <c r="AP1893">
        <v>0</v>
      </c>
      <c r="AQ1893">
        <v>16666.666666666668</v>
      </c>
      <c r="AR1893" t="s">
        <v>7628</v>
      </c>
      <c r="AS1893" t="s">
        <v>78</v>
      </c>
      <c r="AX1893" t="s">
        <v>79</v>
      </c>
      <c r="AY1893" t="s">
        <v>137</v>
      </c>
      <c r="AZ1893">
        <v>0</v>
      </c>
      <c r="BA1893" t="s">
        <v>137</v>
      </c>
      <c r="BB1893">
        <v>0</v>
      </c>
      <c r="BE1893">
        <v>0</v>
      </c>
    </row>
    <row r="1894" spans="1:58" ht="12.75">
      <c r="A1894" s="2" t="str">
        <f>HYPERLINK("https://ibp.a2mac1.com/costing(costing:projects/details/8191/part/5388338)","Filler Pipe")</f>
        <v>Filler Pipe</v>
      </c>
      <c r="B1894">
        <v>5388338</v>
      </c>
      <c r="C1894">
        <v>5388170</v>
      </c>
      <c r="E1894">
        <v>0.070753200000000002</v>
      </c>
      <c r="F1894">
        <v>0</v>
      </c>
      <c r="G1894">
        <v>0</v>
      </c>
      <c r="H1894">
        <v>0.00035890846315789475</v>
      </c>
      <c r="I1894" t="s">
        <v>137</v>
      </c>
      <c r="J1894">
        <v>0.0024825684210526317</v>
      </c>
      <c r="K1894">
        <v>0.073594676884210522</v>
      </c>
      <c r="L1894">
        <v>0.0023211601582674491</v>
      </c>
      <c r="M1894">
        <v>0.013926960949604694</v>
      </c>
      <c r="N1894">
        <v>0.087521637833815225</v>
      </c>
      <c r="O1894" t="s">
        <v>138</v>
      </c>
      <c r="P1894">
        <v>0.0044156806130526312</v>
      </c>
      <c r="Q1894" t="s">
        <v>138</v>
      </c>
      <c r="R1894">
        <v>0.00083561765697628162</v>
      </c>
      <c r="S1894" t="s">
        <v>139</v>
      </c>
      <c r="T1894">
        <v>0.010502596540057826</v>
      </c>
      <c r="U1894" t="s">
        <v>90</v>
      </c>
      <c r="V1894">
        <v>0</v>
      </c>
      <c r="W1894" t="s">
        <v>90</v>
      </c>
      <c r="X1894">
        <v>0</v>
      </c>
      <c r="Y1894">
        <v>0.10327553264390196</v>
      </c>
      <c r="Z1894">
        <v>0</v>
      </c>
      <c r="AA1894">
        <v>0</v>
      </c>
      <c r="AB1894">
        <v>0</v>
      </c>
      <c r="AC1894">
        <v>0</v>
      </c>
      <c r="AD1894">
        <v>0</v>
      </c>
      <c r="AI1894">
        <v>0.05</v>
      </c>
      <c r="AK1894" t="s">
        <v>5825</v>
      </c>
      <c r="AL1894" t="s">
        <v>728</v>
      </c>
      <c r="AM1894">
        <v>200000</v>
      </c>
      <c r="AN1894" t="s">
        <v>76</v>
      </c>
      <c r="AO1894">
        <v>1</v>
      </c>
      <c r="AP1894">
        <v>0</v>
      </c>
      <c r="AQ1894">
        <v>16666.666666666668</v>
      </c>
      <c r="AR1894" t="s">
        <v>7631</v>
      </c>
      <c r="AS1894" t="s">
        <v>78</v>
      </c>
      <c r="AX1894" t="s">
        <v>79</v>
      </c>
      <c r="AY1894" t="s">
        <v>137</v>
      </c>
      <c r="AZ1894">
        <v>0</v>
      </c>
      <c r="BA1894" t="s">
        <v>137</v>
      </c>
      <c r="BB1894">
        <v>0</v>
      </c>
      <c r="BE1894">
        <v>0</v>
      </c>
    </row>
    <row r="1895" spans="1:58" ht="12.75">
      <c r="A1895" s="2" t="str">
        <f>HYPERLINK("https://ibp.a2mac1.com/costing(costing:projects/details/8191/part/5388339)","Filling Tank")</f>
        <v>Filling Tank</v>
      </c>
      <c r="B1895">
        <v>5388339</v>
      </c>
      <c r="C1895">
        <v>5388170</v>
      </c>
      <c r="E1895">
        <v>0.066508007999999993</v>
      </c>
      <c r="F1895">
        <v>0</v>
      </c>
      <c r="G1895">
        <v>0</v>
      </c>
      <c r="H1895">
        <v>0.00033737395536842106</v>
      </c>
      <c r="I1895" t="s">
        <v>137</v>
      </c>
      <c r="J1895">
        <v>0.0023336143157894735</v>
      </c>
      <c r="K1895">
        <v>0.069178996271157894</v>
      </c>
      <c r="L1895">
        <v>0.0021818740180708043</v>
      </c>
      <c r="M1895">
        <v>0.013091244108424825</v>
      </c>
      <c r="N1895">
        <v>0.082270240379582721</v>
      </c>
      <c r="O1895" t="s">
        <v>138</v>
      </c>
      <c r="P1895">
        <v>0.0041507397762694737</v>
      </c>
      <c r="Q1895" t="s">
        <v>138</v>
      </c>
      <c r="R1895">
        <v>0.00078547464650548953</v>
      </c>
      <c r="S1895" t="s">
        <v>139</v>
      </c>
      <c r="T1895">
        <v>0.009872428845549926</v>
      </c>
      <c r="U1895" t="s">
        <v>90</v>
      </c>
      <c r="V1895">
        <v>0</v>
      </c>
      <c r="W1895" t="s">
        <v>90</v>
      </c>
      <c r="X1895">
        <v>0</v>
      </c>
      <c r="Y1895">
        <v>0.097078883647907607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79</v>
      </c>
      <c r="AF1895">
        <v>87</v>
      </c>
      <c r="AG1895">
        <v>135</v>
      </c>
      <c r="AI1895">
        <v>0.047</v>
      </c>
      <c r="AJ1895" t="s">
        <v>685</v>
      </c>
      <c r="AK1895" t="s">
        <v>5825</v>
      </c>
      <c r="AL1895" t="s">
        <v>728</v>
      </c>
      <c r="AM1895">
        <v>200000</v>
      </c>
      <c r="AN1895" t="s">
        <v>76</v>
      </c>
      <c r="AO1895">
        <v>1</v>
      </c>
      <c r="AP1895">
        <v>0</v>
      </c>
      <c r="AQ1895">
        <v>16666.666666666668</v>
      </c>
      <c r="AR1895" t="s">
        <v>7635</v>
      </c>
      <c r="AS1895" t="s">
        <v>78</v>
      </c>
      <c r="AX1895" t="s">
        <v>79</v>
      </c>
      <c r="AY1895" t="s">
        <v>137</v>
      </c>
      <c r="AZ1895">
        <v>0</v>
      </c>
      <c r="BA1895" t="s">
        <v>137</v>
      </c>
      <c r="BB1895">
        <v>0</v>
      </c>
      <c r="BE1895">
        <v>0</v>
      </c>
    </row>
    <row r="1896" spans="1:58" ht="12.75">
      <c r="A1896" s="2" t="str">
        <f>HYPERLINK("https://ibp.a2mac1.com/costing(costing:projects/details/8191/part/5388340)","Tank Fill Neck Filter")</f>
        <v>Tank Fill Neck Filter</v>
      </c>
      <c r="B1896">
        <v>5388340</v>
      </c>
      <c r="C1896">
        <v>5388170</v>
      </c>
      <c r="E1896">
        <v>0.0084955919999999997</v>
      </c>
      <c r="F1896">
        <v>0</v>
      </c>
      <c r="G1896">
        <v>0</v>
      </c>
      <c r="H1896">
        <v>4.3095434105263156E-05</v>
      </c>
      <c r="I1896" t="s">
        <v>137</v>
      </c>
      <c r="J1896">
        <v>0.00029809094736842106</v>
      </c>
      <c r="K1896">
        <v>0.0088367783814736842</v>
      </c>
      <c r="L1896">
        <v>0.00037134623301498425</v>
      </c>
      <c r="M1896">
        <v>0.0022280773980899054</v>
      </c>
      <c r="N1896">
        <v>0.011064855779563589</v>
      </c>
      <c r="O1896" t="s">
        <v>138</v>
      </c>
      <c r="P1896">
        <v>0.00053020670288842105</v>
      </c>
      <c r="Q1896" t="s">
        <v>138</v>
      </c>
      <c r="R1896">
        <v>0.00013368464388539435</v>
      </c>
      <c r="S1896" t="s">
        <v>139</v>
      </c>
      <c r="T1896">
        <v>0.0013277826935476308</v>
      </c>
      <c r="U1896" t="s">
        <v>90</v>
      </c>
      <c r="V1896">
        <v>0</v>
      </c>
      <c r="W1896" t="s">
        <v>90</v>
      </c>
      <c r="X1896">
        <v>0</v>
      </c>
      <c r="Y1896">
        <v>0.013056529819885036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50</v>
      </c>
      <c r="AF1896">
        <v>50</v>
      </c>
      <c r="AG1896">
        <v>49</v>
      </c>
      <c r="AI1896">
        <v>0.0080000000000000002</v>
      </c>
      <c r="AK1896" t="s">
        <v>5825</v>
      </c>
      <c r="AL1896" t="s">
        <v>1182</v>
      </c>
      <c r="AM1896">
        <v>200000</v>
      </c>
      <c r="AN1896" t="s">
        <v>76</v>
      </c>
      <c r="AO1896">
        <v>1</v>
      </c>
      <c r="AP1896">
        <v>0</v>
      </c>
      <c r="AQ1896">
        <v>16666.666666666668</v>
      </c>
      <c r="AR1896" t="s">
        <v>7639</v>
      </c>
      <c r="AS1896" t="s">
        <v>78</v>
      </c>
      <c r="AX1896" t="s">
        <v>79</v>
      </c>
      <c r="AY1896" t="s">
        <v>137</v>
      </c>
      <c r="AZ1896">
        <v>0</v>
      </c>
      <c r="BA1896" t="s">
        <v>137</v>
      </c>
      <c r="BB1896">
        <v>0</v>
      </c>
      <c r="BE1896">
        <v>0</v>
      </c>
    </row>
    <row r="1897" spans="1:58" ht="12.75">
      <c r="A1897" s="2" t="str">
        <f>HYPERLINK("https://ibp.a2mac1.com/costing(costing:projects/details/8191/part/5388341)","Windshield Washer Pump")</f>
        <v>Windshield Washer Pump</v>
      </c>
      <c r="B1897">
        <v>5388341</v>
      </c>
      <c r="C1897">
        <v>5388170</v>
      </c>
      <c r="E1897">
        <v>0.14261817338999999</v>
      </c>
      <c r="F1897">
        <v>0</v>
      </c>
      <c r="G1897">
        <v>0</v>
      </c>
      <c r="H1897">
        <v>0.00072345659885052628</v>
      </c>
      <c r="I1897" t="s">
        <v>137</v>
      </c>
      <c r="J1897">
        <v>0.0050041464347368421</v>
      </c>
      <c r="K1897">
        <v>0.14834577642358737</v>
      </c>
      <c r="L1897">
        <v>0.005476193345850932</v>
      </c>
      <c r="M1897">
        <v>0.032857160075105592</v>
      </c>
      <c r="N1897">
        <v>0.18120293649869296</v>
      </c>
      <c r="O1897" t="s">
        <v>138</v>
      </c>
      <c r="P1897">
        <v>0.0089007465854152416</v>
      </c>
      <c r="Q1897" t="s">
        <v>138</v>
      </c>
      <c r="R1897">
        <v>0.0019714296045063354</v>
      </c>
      <c r="S1897" t="s">
        <v>139</v>
      </c>
      <c r="T1897">
        <v>0.021744352379843155</v>
      </c>
      <c r="U1897" t="s">
        <v>90</v>
      </c>
      <c r="V1897">
        <v>0</v>
      </c>
      <c r="W1897" t="s">
        <v>90</v>
      </c>
      <c r="X1897">
        <v>0</v>
      </c>
      <c r="Y1897">
        <v>0.2138194650684577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55</v>
      </c>
      <c r="AF1897">
        <v>57</v>
      </c>
      <c r="AG1897">
        <v>113</v>
      </c>
      <c r="AI1897">
        <v>0.098000000000000004</v>
      </c>
      <c r="AJ1897" t="s">
        <v>7644</v>
      </c>
      <c r="AK1897" t="s">
        <v>5825</v>
      </c>
      <c r="AL1897" t="s">
        <v>7645</v>
      </c>
      <c r="AM1897">
        <v>200000</v>
      </c>
      <c r="AN1897" t="s">
        <v>76</v>
      </c>
      <c r="AO1897">
        <v>1</v>
      </c>
      <c r="AP1897">
        <v>0</v>
      </c>
      <c r="AQ1897">
        <v>16666.666666666668</v>
      </c>
      <c r="AR1897" t="s">
        <v>7646</v>
      </c>
      <c r="AS1897" t="s">
        <v>78</v>
      </c>
      <c r="AX1897" t="s">
        <v>79</v>
      </c>
      <c r="AY1897" t="s">
        <v>137</v>
      </c>
      <c r="AZ1897">
        <v>0</v>
      </c>
      <c r="BA1897" t="s">
        <v>137</v>
      </c>
      <c r="BB1897">
        <v>0</v>
      </c>
      <c r="BE1897">
        <v>0</v>
      </c>
    </row>
    <row r="1898" spans="1:58" ht="12.75">
      <c r="A1898" s="2" t="str">
        <f>HYPERLINK("https://ibp.a2mac1.com/costing(costing:projects/details/8191/part/5388342)","Windshield Washer Jets")</f>
        <v>Windshield Washer Jets</v>
      </c>
      <c r="B1898">
        <v>5388342</v>
      </c>
      <c r="C1898">
        <v>5388170</v>
      </c>
      <c r="E1898">
        <v>0.0208881855</v>
      </c>
      <c r="F1898">
        <v>0</v>
      </c>
      <c r="G1898">
        <v>0</v>
      </c>
      <c r="H1898">
        <v>0.00010533090031578947</v>
      </c>
      <c r="I1898" t="s">
        <v>137</v>
      </c>
      <c r="J1898">
        <v>0.00073291878947368417</v>
      </c>
      <c r="K1898">
        <v>0.021726435189789475</v>
      </c>
      <c r="L1898">
        <v>0.0010888209262253502</v>
      </c>
      <c r="M1898">
        <v>0.0065329255573521004</v>
      </c>
      <c r="N1898">
        <v>0.028259360747141575</v>
      </c>
      <c r="O1898" t="s">
        <v>138</v>
      </c>
      <c r="P1898">
        <v>0.0013035861113873683</v>
      </c>
      <c r="Q1898" t="s">
        <v>138</v>
      </c>
      <c r="R1898">
        <v>0.00039197553344112604</v>
      </c>
      <c r="S1898" t="s">
        <v>139</v>
      </c>
      <c r="T1898">
        <v>0.0033911232896569887</v>
      </c>
      <c r="U1898" t="s">
        <v>90</v>
      </c>
      <c r="V1898">
        <v>0</v>
      </c>
      <c r="W1898" t="s">
        <v>90</v>
      </c>
      <c r="X1898">
        <v>0</v>
      </c>
      <c r="Y1898">
        <v>0.033346045681627058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46</v>
      </c>
      <c r="AF1898">
        <v>50</v>
      </c>
      <c r="AG1898">
        <v>16</v>
      </c>
      <c r="AI1898">
        <v>0.0089999999999999993</v>
      </c>
      <c r="AK1898" t="s">
        <v>5825</v>
      </c>
      <c r="AL1898" t="s">
        <v>692</v>
      </c>
      <c r="AM1898">
        <v>400000</v>
      </c>
      <c r="AN1898" t="s">
        <v>76</v>
      </c>
      <c r="AO1898">
        <v>2</v>
      </c>
      <c r="AP1898">
        <v>0</v>
      </c>
      <c r="AQ1898">
        <v>33333.333333333336</v>
      </c>
      <c r="AR1898" t="s">
        <v>7649</v>
      </c>
      <c r="AS1898" t="s">
        <v>78</v>
      </c>
      <c r="AX1898" t="s">
        <v>79</v>
      </c>
      <c r="AY1898" t="s">
        <v>137</v>
      </c>
      <c r="AZ1898">
        <v>0</v>
      </c>
      <c r="BA1898" t="s">
        <v>137</v>
      </c>
      <c r="BB1898">
        <v>0</v>
      </c>
      <c r="BE1898">
        <v>0</v>
      </c>
    </row>
    <row r="1899" spans="1:58" ht="12.75">
      <c r="A1899" s="2" t="str">
        <f>HYPERLINK("https://ibp.a2mac1.com/costing(costing:projects/details/8191/part/5388343)","Tank Cap")</f>
        <v>Tank Cap</v>
      </c>
      <c r="B1899">
        <v>5388343</v>
      </c>
      <c r="C1899">
        <v>5388170</v>
      </c>
      <c r="E1899">
        <v>0.016980768</v>
      </c>
      <c r="F1899">
        <v>0</v>
      </c>
      <c r="G1899">
        <v>0</v>
      </c>
      <c r="H1899">
        <v>8.613803115789474E-05</v>
      </c>
      <c r="I1899" t="s">
        <v>137</v>
      </c>
      <c r="J1899">
        <v>0.00059581642105263155</v>
      </c>
      <c r="K1899">
        <v>0.017662722452210525</v>
      </c>
      <c r="L1899">
        <v>0.0005570249769950203</v>
      </c>
      <c r="M1899">
        <v>0.003342149861970122</v>
      </c>
      <c r="N1899">
        <v>0.021004872314180648</v>
      </c>
      <c r="O1899" t="s">
        <v>138</v>
      </c>
      <c r="P1899">
        <v>0.0010597633471326315</v>
      </c>
      <c r="Q1899" t="s">
        <v>138</v>
      </c>
      <c r="R1899">
        <v>0.00020052899171820731</v>
      </c>
      <c r="S1899" t="s">
        <v>139</v>
      </c>
      <c r="T1899">
        <v>0.002520584677701678</v>
      </c>
      <c r="U1899" t="s">
        <v>90</v>
      </c>
      <c r="V1899">
        <v>0</v>
      </c>
      <c r="W1899" t="s">
        <v>90</v>
      </c>
      <c r="X1899">
        <v>0</v>
      </c>
      <c r="Y1899">
        <v>0.024785749330733166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18</v>
      </c>
      <c r="AF1899">
        <v>58</v>
      </c>
      <c r="AG1899">
        <v>76</v>
      </c>
      <c r="AI1899">
        <v>0.012</v>
      </c>
      <c r="AJ1899" t="s">
        <v>685</v>
      </c>
      <c r="AK1899" t="s">
        <v>5825</v>
      </c>
      <c r="AL1899" t="s">
        <v>728</v>
      </c>
      <c r="AM1899">
        <v>200000</v>
      </c>
      <c r="AN1899" t="s">
        <v>76</v>
      </c>
      <c r="AO1899">
        <v>1</v>
      </c>
      <c r="AP1899">
        <v>0</v>
      </c>
      <c r="AQ1899">
        <v>16666.666666666668</v>
      </c>
      <c r="AR1899" t="s">
        <v>7652</v>
      </c>
      <c r="AS1899" t="s">
        <v>78</v>
      </c>
      <c r="AX1899" t="s">
        <v>79</v>
      </c>
      <c r="AY1899" t="s">
        <v>137</v>
      </c>
      <c r="AZ1899">
        <v>0</v>
      </c>
      <c r="BA1899" t="s">
        <v>137</v>
      </c>
      <c r="BB1899">
        <v>0</v>
      </c>
      <c r="BE1899">
        <v>0</v>
      </c>
    </row>
    <row r="1900" spans="1:58" ht="12.75">
      <c r="A1900" s="2" t="str">
        <f>HYPERLINK("https://ibp.a2mac1.com/costing(costing:projects/details/8191/part/5388344)","Windscreen Washer Jets Trim")</f>
        <v>Windscreen Washer Jets Trim</v>
      </c>
      <c r="B1900">
        <v>5388344</v>
      </c>
      <c r="C1900">
        <v>5388170</v>
      </c>
      <c r="E1900">
        <v>0.062427372000000002</v>
      </c>
      <c r="F1900">
        <v>0</v>
      </c>
      <c r="G1900">
        <v>0</v>
      </c>
      <c r="H1900">
        <v>0.00031479667284210527</v>
      </c>
      <c r="I1900" t="s">
        <v>137</v>
      </c>
      <c r="J1900">
        <v>0.0021904341052631578</v>
      </c>
      <c r="K1900">
        <v>0.064932602778105267</v>
      </c>
      <c r="L1900">
        <v>0.0012964886365687922</v>
      </c>
      <c r="M1900">
        <v>0.0077789318194127531</v>
      </c>
      <c r="N1900">
        <v>0.072711534597518016</v>
      </c>
      <c r="O1900" t="s">
        <v>138</v>
      </c>
      <c r="P1900">
        <v>0.0038959561666863157</v>
      </c>
      <c r="Q1900" t="s">
        <v>138</v>
      </c>
      <c r="R1900">
        <v>0.0004667359091647652</v>
      </c>
      <c r="S1900" t="s">
        <v>139</v>
      </c>
      <c r="T1900">
        <v>0.0087253841517021622</v>
      </c>
      <c r="U1900" t="s">
        <v>90</v>
      </c>
      <c r="V1900">
        <v>0</v>
      </c>
      <c r="W1900" t="s">
        <v>90</v>
      </c>
      <c r="X1900">
        <v>0</v>
      </c>
      <c r="Y1900">
        <v>0.08579961082507126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33</v>
      </c>
      <c r="AF1900">
        <v>90</v>
      </c>
      <c r="AG1900">
        <v>21</v>
      </c>
      <c r="AI1900">
        <v>0.014</v>
      </c>
      <c r="AJ1900" t="s">
        <v>685</v>
      </c>
      <c r="AK1900" t="s">
        <v>5825</v>
      </c>
      <c r="AL1900" t="s">
        <v>1332</v>
      </c>
      <c r="AM1900">
        <v>400000</v>
      </c>
      <c r="AN1900" t="s">
        <v>76</v>
      </c>
      <c r="AO1900">
        <v>2</v>
      </c>
      <c r="AP1900">
        <v>0</v>
      </c>
      <c r="AQ1900">
        <v>33333.333333333336</v>
      </c>
      <c r="AR1900" t="s">
        <v>7655</v>
      </c>
      <c r="AS1900" t="s">
        <v>78</v>
      </c>
      <c r="AX1900" t="s">
        <v>79</v>
      </c>
      <c r="AY1900" t="s">
        <v>137</v>
      </c>
      <c r="AZ1900">
        <v>0</v>
      </c>
      <c r="BA1900" t="s">
        <v>137</v>
      </c>
      <c r="BB1900">
        <v>0</v>
      </c>
      <c r="BE1900">
        <v>0</v>
      </c>
    </row>
  </sheetData>
  <mergeCells count="18">
    <mergeCell ref="A1:D2"/>
    <mergeCell ref="E1:Y1"/>
    <mergeCell ref="I3:J3"/>
    <mergeCell ref="E2:K2"/>
    <mergeCell ref="L2:M2"/>
    <mergeCell ref="O3:P3"/>
    <mergeCell ref="Q3:R3"/>
    <mergeCell ref="S3:T3"/>
    <mergeCell ref="U3:V3"/>
    <mergeCell ref="W3:X3"/>
    <mergeCell ref="O2:X2"/>
    <mergeCell ref="Z1:AD1"/>
    <mergeCell ref="Z2:AB2"/>
    <mergeCell ref="AE1:AI2"/>
    <mergeCell ref="AJ1:AX2"/>
    <mergeCell ref="AY1:BF2"/>
    <mergeCell ref="AY3:AZ3"/>
    <mergeCell ref="BA3:B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04bc08-1cfe-4918-a8b9-261a35e53b9c}">
  <dimension ref="A1:AZ955"/>
  <sheetViews>
    <sheetView workbookViewId="0" topLeftCell="A1"/>
  </sheetViews>
  <sheetFormatPr defaultRowHeight="12.75"/>
  <cols>
    <col min="1" max="1" width="6.57142857142857" customWidth="1"/>
    <col min="2" max="2" width="3.14285714285714" customWidth="1"/>
    <col min="3" max="3" width="16.7142857142857" customWidth="1"/>
    <col min="4" max="4" width="18.8571428571429" customWidth="1"/>
    <col min="5" max="5" width="11.4285714285714" customWidth="1"/>
    <col min="6" max="6" width="12.2857142857143" customWidth="1"/>
    <col min="7" max="7" width="15.7142857142857" customWidth="1"/>
    <col min="8" max="8" width="16.4285714285714" customWidth="1"/>
    <col min="9" max="9" width="16.8571428571429" customWidth="1"/>
    <col min="10" max="11" width="10.4285714285714" customWidth="1"/>
    <col min="12" max="12" width="20.8571428571429" customWidth="1"/>
    <col min="13" max="13" width="21.7142857142857" customWidth="1"/>
    <col min="14" max="14" width="23" customWidth="1"/>
    <col min="15" max="15" width="21.1428571428571" customWidth="1"/>
    <col min="16" max="17" width="9.28571428571429" customWidth="1"/>
    <col min="18" max="19" width="10.5714285714286" customWidth="1"/>
    <col min="20" max="21" width="10.4285714285714" customWidth="1"/>
    <col min="22" max="23" width="9" customWidth="1"/>
    <col min="24" max="25" width="8.57142857142857" customWidth="1"/>
    <col min="26" max="26" width="13" customWidth="1"/>
    <col min="27" max="27" width="21.7142857142857" customWidth="1"/>
    <col min="28" max="28" width="25.5714285714286" customWidth="1"/>
    <col min="29" max="29" width="24.7142857142857" customWidth="1"/>
    <col min="30" max="30" width="34" customWidth="1"/>
    <col min="31" max="31" width="21.8571428571429" customWidth="1"/>
    <col min="32" max="32" width="24" customWidth="1"/>
    <col min="33" max="33" width="27" customWidth="1"/>
    <col min="34" max="34" width="12.7142857142857" customWidth="1"/>
    <col min="35" max="35" width="11.7142857142857" customWidth="1"/>
    <col min="36" max="36" width="12.2857142857143" customWidth="1"/>
    <col min="37" max="37" width="15.2857142857143" customWidth="1"/>
    <col min="38" max="38" width="11.5714285714286" customWidth="1"/>
    <col min="39" max="39" width="13.2857142857143" customWidth="1"/>
    <col min="40" max="40" width="17.5714285714286" customWidth="1"/>
    <col min="41" max="41" width="8.42857142857143" customWidth="1"/>
    <col min="42" max="42" width="31.8571428571429" customWidth="1"/>
    <col min="43" max="43" width="23.2857142857143" customWidth="1"/>
    <col min="44" max="44" width="15" customWidth="1"/>
    <col min="45" max="45" width="20.7142857142857" customWidth="1"/>
    <col min="46" max="46" width="13.4285714285714" customWidth="1"/>
    <col min="47" max="47" width="8.28571428571429" customWidth="1"/>
    <col min="48" max="48" width="12" customWidth="1"/>
    <col min="49" max="49" width="12.5714285714286" customWidth="1"/>
    <col min="50" max="50" width="17" customWidth="1"/>
    <col min="51" max="51" width="31.1428571428571" customWidth="1"/>
    <col min="52" max="52" width="14.2857142857143" customWidth="1"/>
  </cols>
  <sheetData>
    <row r="1" spans="1:52" ht="12.75">
      <c r="A1" s="1" t="s">
        <v>16</v>
      </c>
      <c r="B1" s="1"/>
      <c r="C1" s="1"/>
      <c r="D1" s="1"/>
      <c r="E1" s="1"/>
      <c r="F1" s="1"/>
      <c r="G1" s="1"/>
      <c r="H1" s="1" t="s">
        <v>17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 t="s">
        <v>38</v>
      </c>
      <c r="AB1" s="1"/>
      <c r="AC1" s="1"/>
      <c r="AD1" s="1"/>
      <c r="AE1" s="1"/>
      <c r="AF1" s="1"/>
      <c r="AG1" s="1"/>
      <c r="AH1" s="1" t="s">
        <v>44</v>
      </c>
      <c r="AI1" s="1"/>
      <c r="AJ1" s="1"/>
      <c r="AK1" s="1"/>
      <c r="AL1" s="1"/>
      <c r="AM1" s="1" t="s">
        <v>87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2.75">
      <c r="A2" s="3"/>
      <c r="B2" s="3"/>
      <c r="C2" s="3"/>
      <c r="D2" s="3"/>
      <c r="E2" s="3"/>
      <c r="F2" s="3"/>
      <c r="G2" s="3"/>
      <c r="H2" s="3" t="s">
        <v>24</v>
      </c>
      <c r="I2" s="3"/>
      <c r="J2" s="3"/>
      <c r="K2" s="3"/>
      <c r="L2" s="3"/>
      <c r="M2" s="3" t="s">
        <v>27</v>
      </c>
      <c r="N2" s="3"/>
      <c r="O2" s="3" t="s">
        <v>28</v>
      </c>
      <c r="P2" s="3" t="s">
        <v>35</v>
      </c>
      <c r="Q2" s="3"/>
      <c r="R2" s="3"/>
      <c r="S2" s="3"/>
      <c r="T2" s="3"/>
      <c r="U2" s="3"/>
      <c r="V2" s="3"/>
      <c r="W2" s="3"/>
      <c r="X2" s="3"/>
      <c r="Y2" s="3"/>
      <c r="Z2" s="3" t="s">
        <v>36</v>
      </c>
      <c r="AA2" s="3" t="s">
        <v>24</v>
      </c>
      <c r="AB2" s="3"/>
      <c r="AC2" s="3"/>
      <c r="AD2" s="3"/>
      <c r="AE2" s="3"/>
      <c r="AF2" s="3" t="s">
        <v>27</v>
      </c>
      <c r="AG2" s="3" t="s">
        <v>36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ht="12.75">
      <c r="A3" s="4" t="s">
        <v>4</v>
      </c>
      <c r="B3" s="4" t="s">
        <v>14</v>
      </c>
      <c r="C3" s="4" t="s">
        <v>82</v>
      </c>
      <c r="D3" s="4" t="s">
        <v>15</v>
      </c>
      <c r="E3" s="4" t="s">
        <v>16</v>
      </c>
      <c r="F3" s="4" t="s">
        <v>83</v>
      </c>
      <c r="G3" s="4" t="s">
        <v>84</v>
      </c>
      <c r="H3" s="4" t="s">
        <v>18</v>
      </c>
      <c r="I3" s="4" t="s">
        <v>21</v>
      </c>
      <c r="J3" s="4" t="s">
        <v>22</v>
      </c>
      <c r="K3" s="4"/>
      <c r="L3" s="4" t="s">
        <v>23</v>
      </c>
      <c r="M3" s="4" t="s">
        <v>25</v>
      </c>
      <c r="N3" s="4" t="s">
        <v>26</v>
      </c>
      <c r="O3" s="4" t="s">
        <v>29</v>
      </c>
      <c r="P3" s="4" t="s">
        <v>30</v>
      </c>
      <c r="Q3" s="4"/>
      <c r="R3" s="4" t="s">
        <v>31</v>
      </c>
      <c r="S3" s="4"/>
      <c r="T3" s="4" t="s">
        <v>32</v>
      </c>
      <c r="U3" s="4"/>
      <c r="V3" s="4" t="s">
        <v>33</v>
      </c>
      <c r="W3" s="4"/>
      <c r="X3" s="4" t="s">
        <v>34</v>
      </c>
      <c r="Y3" s="4"/>
      <c r="Z3" s="4" t="s">
        <v>37</v>
      </c>
      <c r="AA3" s="4" t="s">
        <v>39</v>
      </c>
      <c r="AB3" s="4" t="s">
        <v>40</v>
      </c>
      <c r="AC3" s="4" t="s">
        <v>41</v>
      </c>
      <c r="AD3" s="4" t="s">
        <v>85</v>
      </c>
      <c r="AE3" s="4" t="s">
        <v>86</v>
      </c>
      <c r="AF3" s="4" t="s">
        <v>42</v>
      </c>
      <c r="AG3" s="4" t="s">
        <v>43</v>
      </c>
      <c r="AH3" s="4" t="s">
        <v>45</v>
      </c>
      <c r="AI3" s="4" t="s">
        <v>46</v>
      </c>
      <c r="AJ3" s="4" t="s">
        <v>47</v>
      </c>
      <c r="AK3" s="4" t="s">
        <v>48</v>
      </c>
      <c r="AL3" s="4" t="s">
        <v>49</v>
      </c>
      <c r="AM3" s="4" t="s">
        <v>51</v>
      </c>
      <c r="AN3" s="4" t="s">
        <v>52</v>
      </c>
      <c r="AO3" s="4" t="s">
        <v>88</v>
      </c>
      <c r="AP3" s="4" t="s">
        <v>54</v>
      </c>
      <c r="AQ3" s="4" t="s">
        <v>55</v>
      </c>
      <c r="AR3" s="4" t="s">
        <v>64</v>
      </c>
      <c r="AS3" s="4" t="s">
        <v>58</v>
      </c>
      <c r="AT3" s="4" t="s">
        <v>59</v>
      </c>
      <c r="AU3" s="4" t="s">
        <v>60</v>
      </c>
      <c r="AV3" s="4" t="s">
        <v>65</v>
      </c>
      <c r="AW3" s="4" t="s">
        <v>69</v>
      </c>
      <c r="AX3" s="4" t="s">
        <v>70</v>
      </c>
      <c r="AY3" s="4" t="s">
        <v>71</v>
      </c>
      <c r="AZ3" s="4" t="s">
        <v>72</v>
      </c>
    </row>
    <row r="4" spans="1:52" ht="12.75">
      <c r="A4" s="2" t="str">
        <f>HYPERLINK("https://ibp.a2mac1.com/costing(costing:projects/details/8191/assembly/5380825)"," Radiator Support")</f>
        <v xml:space="preserve"> Radiator Support</v>
      </c>
      <c r="B4">
        <v>5380825</v>
      </c>
      <c r="D4">
        <v>5380824</v>
      </c>
      <c r="E4" t="s">
        <v>89</v>
      </c>
      <c r="F4">
        <v>1</v>
      </c>
      <c r="G4">
        <v>0</v>
      </c>
      <c r="H4">
        <v>0.79200000000000004</v>
      </c>
      <c r="I4">
        <v>0</v>
      </c>
      <c r="J4" t="s">
        <v>90</v>
      </c>
      <c r="K4">
        <v>0</v>
      </c>
      <c r="L4">
        <v>0.79200000000000004</v>
      </c>
      <c r="M4">
        <v>0</v>
      </c>
      <c r="N4">
        <v>0</v>
      </c>
      <c r="O4">
        <v>0.79200000000000004</v>
      </c>
      <c r="P4" t="s">
        <v>90</v>
      </c>
      <c r="Q4">
        <v>0</v>
      </c>
      <c r="R4" t="s">
        <v>90</v>
      </c>
      <c r="S4">
        <v>0</v>
      </c>
      <c r="T4" t="s">
        <v>90</v>
      </c>
      <c r="U4">
        <v>0</v>
      </c>
      <c r="V4" t="s">
        <v>90</v>
      </c>
      <c r="W4">
        <v>0</v>
      </c>
      <c r="X4" t="s">
        <v>90</v>
      </c>
      <c r="Y4">
        <v>0</v>
      </c>
      <c r="Z4">
        <v>0.79200000000000004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N4" t="s">
        <v>91</v>
      </c>
      <c r="AO4" t="s">
        <v>92</v>
      </c>
      <c r="AP4">
        <v>200000</v>
      </c>
      <c r="AQ4" t="s">
        <v>92</v>
      </c>
      <c r="AS4">
        <v>10000</v>
      </c>
      <c r="AT4" t="s">
        <v>93</v>
      </c>
      <c r="AU4" t="s">
        <v>78</v>
      </c>
      <c r="AV4" t="s">
        <v>79</v>
      </c>
      <c r="AY4">
        <v>0</v>
      </c>
    </row>
    <row r="5" spans="1:52" ht="12.75">
      <c r="A5" s="2" t="str">
        <f>HYPERLINK("https://ibp.a2mac1.com/costing(costing:projects/details/8191/assembly/5380824)"," Cooling System")</f>
        <v xml:space="preserve"> Cooling System</v>
      </c>
      <c r="B5">
        <v>5380824</v>
      </c>
      <c r="D5">
        <v>5380823</v>
      </c>
      <c r="E5" t="s">
        <v>94</v>
      </c>
      <c r="F5">
        <v>1</v>
      </c>
      <c r="G5">
        <v>0</v>
      </c>
      <c r="H5">
        <v>0.79200000000000004</v>
      </c>
      <c r="I5">
        <v>0</v>
      </c>
      <c r="J5" t="s">
        <v>90</v>
      </c>
      <c r="K5">
        <v>0</v>
      </c>
      <c r="L5">
        <v>0.79200000000000004</v>
      </c>
      <c r="M5">
        <v>0</v>
      </c>
      <c r="N5">
        <v>0</v>
      </c>
      <c r="O5">
        <v>0.79200000000000004</v>
      </c>
      <c r="P5" t="s">
        <v>90</v>
      </c>
      <c r="Q5">
        <v>0</v>
      </c>
      <c r="R5" t="s">
        <v>90</v>
      </c>
      <c r="S5">
        <v>0</v>
      </c>
      <c r="T5" t="s">
        <v>90</v>
      </c>
      <c r="U5">
        <v>0</v>
      </c>
      <c r="V5" t="s">
        <v>90</v>
      </c>
      <c r="W5">
        <v>0</v>
      </c>
      <c r="X5" t="s">
        <v>90</v>
      </c>
      <c r="Y5">
        <v>0</v>
      </c>
      <c r="Z5">
        <v>0.79200000000000004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N5" t="s">
        <v>91</v>
      </c>
      <c r="AO5" t="s">
        <v>92</v>
      </c>
      <c r="AP5">
        <v>200000</v>
      </c>
      <c r="AQ5" t="s">
        <v>92</v>
      </c>
      <c r="AS5">
        <v>10000</v>
      </c>
      <c r="AT5" t="s">
        <v>95</v>
      </c>
      <c r="AU5" t="s">
        <v>78</v>
      </c>
      <c r="AV5" t="s">
        <v>79</v>
      </c>
      <c r="AY5">
        <v>0</v>
      </c>
    </row>
    <row r="6" spans="1:52" ht="12.75">
      <c r="A6" s="2" t="str">
        <f>HYPERLINK("https://ibp.a2mac1.com/costing(costing:projects/details/8191/assembly/5380823)","Cooling System - Water")</f>
        <v>Cooling System - Water</v>
      </c>
      <c r="B6">
        <v>5380823</v>
      </c>
      <c r="C6">
        <v>8191</v>
      </c>
      <c r="F6">
        <v>1</v>
      </c>
      <c r="G6">
        <v>0</v>
      </c>
      <c r="H6">
        <v>0.79200000000000004</v>
      </c>
      <c r="I6">
        <v>0</v>
      </c>
      <c r="J6" t="s">
        <v>90</v>
      </c>
      <c r="K6">
        <v>0</v>
      </c>
      <c r="L6">
        <v>0.79200000000000004</v>
      </c>
      <c r="M6">
        <v>0</v>
      </c>
      <c r="N6">
        <v>0</v>
      </c>
      <c r="O6">
        <v>0.79200000000000004</v>
      </c>
      <c r="P6" t="s">
        <v>90</v>
      </c>
      <c r="Q6">
        <v>0</v>
      </c>
      <c r="R6" t="s">
        <v>90</v>
      </c>
      <c r="S6">
        <v>0</v>
      </c>
      <c r="T6" t="s">
        <v>90</v>
      </c>
      <c r="U6">
        <v>0</v>
      </c>
      <c r="V6" t="s">
        <v>90</v>
      </c>
      <c r="W6">
        <v>0</v>
      </c>
      <c r="X6" t="s">
        <v>90</v>
      </c>
      <c r="Y6">
        <v>0</v>
      </c>
      <c r="Z6">
        <v>0.79200000000000004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L6">
        <v>0.69099999999999995</v>
      </c>
      <c r="AN6" t="s">
        <v>91</v>
      </c>
      <c r="AO6" t="s">
        <v>92</v>
      </c>
      <c r="AP6">
        <v>200000</v>
      </c>
      <c r="AQ6" t="s">
        <v>92</v>
      </c>
      <c r="AS6">
        <v>10000</v>
      </c>
      <c r="AT6" t="s">
        <v>96</v>
      </c>
      <c r="AU6" t="s">
        <v>78</v>
      </c>
      <c r="AV6" t="s">
        <v>79</v>
      </c>
      <c r="AY6">
        <v>0</v>
      </c>
    </row>
    <row r="7" spans="1:52" ht="12.75">
      <c r="A7" s="2" t="str">
        <f>HYPERLINK("https://ibp.a2mac1.com/costing(costing:projects/details/8191/assembly/5380829)"," On Front e-motor ")</f>
        <v xml:space="preserve"> On Front e-motor </v>
      </c>
      <c r="B7">
        <v>5380829</v>
      </c>
      <c r="D7">
        <v>5380826</v>
      </c>
      <c r="E7" t="s">
        <v>201</v>
      </c>
      <c r="F7">
        <v>1</v>
      </c>
      <c r="G7">
        <v>0</v>
      </c>
      <c r="H7">
        <v>2.5158797079845834</v>
      </c>
      <c r="I7">
        <v>0</v>
      </c>
      <c r="J7" t="s">
        <v>90</v>
      </c>
      <c r="K7">
        <v>0</v>
      </c>
      <c r="L7">
        <v>2.5158797079845834</v>
      </c>
      <c r="M7">
        <v>0</v>
      </c>
      <c r="N7">
        <v>0</v>
      </c>
      <c r="O7">
        <v>2.5158797079845834</v>
      </c>
      <c r="P7" t="s">
        <v>90</v>
      </c>
      <c r="Q7">
        <v>0</v>
      </c>
      <c r="R7" t="s">
        <v>90</v>
      </c>
      <c r="S7">
        <v>0</v>
      </c>
      <c r="T7" t="s">
        <v>90</v>
      </c>
      <c r="U7">
        <v>0</v>
      </c>
      <c r="V7" t="s">
        <v>90</v>
      </c>
      <c r="W7">
        <v>0</v>
      </c>
      <c r="X7" t="s">
        <v>90</v>
      </c>
      <c r="Y7">
        <v>0</v>
      </c>
      <c r="Z7">
        <v>2.5158797079845834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 t="s">
        <v>91</v>
      </c>
      <c r="AO7" t="s">
        <v>92</v>
      </c>
      <c r="AP7">
        <v>200000</v>
      </c>
      <c r="AQ7" t="s">
        <v>92</v>
      </c>
      <c r="AS7">
        <v>10000</v>
      </c>
      <c r="AT7" t="s">
        <v>202</v>
      </c>
      <c r="AU7" t="s">
        <v>78</v>
      </c>
      <c r="AV7" t="s">
        <v>79</v>
      </c>
      <c r="AY7">
        <v>0</v>
      </c>
    </row>
    <row r="8" spans="1:52" ht="12.75">
      <c r="A8" s="2" t="str">
        <f>HYPERLINK("https://ibp.a2mac1.com/costing(costing:projects/details/8191/assembly/5380830)","On Rear e-Motor")</f>
        <v>On Rear e-Motor</v>
      </c>
      <c r="B8">
        <v>5380830</v>
      </c>
      <c r="D8">
        <v>5380826</v>
      </c>
      <c r="E8" t="s">
        <v>206</v>
      </c>
      <c r="F8">
        <v>1</v>
      </c>
      <c r="G8">
        <v>0</v>
      </c>
      <c r="H8">
        <v>0.62475000000000003</v>
      </c>
      <c r="I8">
        <v>0</v>
      </c>
      <c r="J8" t="s">
        <v>90</v>
      </c>
      <c r="K8">
        <v>0</v>
      </c>
      <c r="L8">
        <v>0.62475000000000003</v>
      </c>
      <c r="M8">
        <v>0</v>
      </c>
      <c r="N8">
        <v>0</v>
      </c>
      <c r="O8">
        <v>0.62475000000000003</v>
      </c>
      <c r="P8" t="s">
        <v>90</v>
      </c>
      <c r="Q8">
        <v>0</v>
      </c>
      <c r="R8" t="s">
        <v>90</v>
      </c>
      <c r="S8">
        <v>0</v>
      </c>
      <c r="T8" t="s">
        <v>90</v>
      </c>
      <c r="U8">
        <v>0</v>
      </c>
      <c r="V8" t="s">
        <v>90</v>
      </c>
      <c r="W8">
        <v>0</v>
      </c>
      <c r="X8" t="s">
        <v>90</v>
      </c>
      <c r="Y8">
        <v>0</v>
      </c>
      <c r="Z8">
        <v>0.62475000000000003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N8" t="s">
        <v>91</v>
      </c>
      <c r="AO8" t="s">
        <v>92</v>
      </c>
      <c r="AP8">
        <v>200000</v>
      </c>
      <c r="AQ8" t="s">
        <v>92</v>
      </c>
      <c r="AS8">
        <v>10000</v>
      </c>
      <c r="AT8" t="s">
        <v>207</v>
      </c>
      <c r="AU8" t="s">
        <v>78</v>
      </c>
      <c r="AV8" t="s">
        <v>79</v>
      </c>
      <c r="AY8">
        <v>0</v>
      </c>
    </row>
    <row r="9" spans="1:52" ht="12.75">
      <c r="A9" s="2" t="str">
        <f>HYPERLINK("https://ibp.a2mac1.com/costing(costing:projects/details/8191/assembly/5380826)"," Noise Insulation System ")</f>
        <v xml:space="preserve"> Noise Insulation System </v>
      </c>
      <c r="B9">
        <v>5380826</v>
      </c>
      <c r="C9">
        <v>8191</v>
      </c>
      <c r="E9" t="s">
        <v>208</v>
      </c>
      <c r="F9">
        <v>1</v>
      </c>
      <c r="G9">
        <v>0</v>
      </c>
      <c r="H9">
        <v>3.1406297079845831</v>
      </c>
      <c r="I9">
        <v>0</v>
      </c>
      <c r="J9" t="s">
        <v>90</v>
      </c>
      <c r="K9">
        <v>0</v>
      </c>
      <c r="L9">
        <v>3.1406297079845831</v>
      </c>
      <c r="M9">
        <v>0</v>
      </c>
      <c r="N9">
        <v>0</v>
      </c>
      <c r="O9">
        <v>3.1406297079845831</v>
      </c>
      <c r="P9" t="s">
        <v>90</v>
      </c>
      <c r="Q9">
        <v>0</v>
      </c>
      <c r="R9" t="s">
        <v>90</v>
      </c>
      <c r="S9">
        <v>0</v>
      </c>
      <c r="T9" t="s">
        <v>90</v>
      </c>
      <c r="U9">
        <v>0</v>
      </c>
      <c r="V9" t="s">
        <v>90</v>
      </c>
      <c r="W9">
        <v>0</v>
      </c>
      <c r="X9" t="s">
        <v>90</v>
      </c>
      <c r="Y9">
        <v>0</v>
      </c>
      <c r="Z9">
        <v>3.1406297079845831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N9" t="s">
        <v>91</v>
      </c>
      <c r="AO9" t="s">
        <v>92</v>
      </c>
      <c r="AP9">
        <v>200000</v>
      </c>
      <c r="AQ9" t="s">
        <v>92</v>
      </c>
      <c r="AS9">
        <v>10000</v>
      </c>
      <c r="AT9" t="s">
        <v>209</v>
      </c>
      <c r="AU9" t="s">
        <v>78</v>
      </c>
      <c r="AV9" t="s">
        <v>79</v>
      </c>
      <c r="AY9">
        <v>0</v>
      </c>
    </row>
    <row r="10" spans="1:52" ht="12.75">
      <c r="A10" s="2" t="str">
        <f>HYPERLINK("https://ibp.a2mac1.com/costing(costing:projects/details/8191/assembly/5380834)","Brake Pedal Box")</f>
        <v>Brake Pedal Box</v>
      </c>
      <c r="B10">
        <v>5380834</v>
      </c>
      <c r="D10">
        <v>5380833</v>
      </c>
      <c r="F10">
        <v>1</v>
      </c>
      <c r="G10">
        <v>0</v>
      </c>
      <c r="H10">
        <v>5.03</v>
      </c>
      <c r="I10">
        <v>0.02527638190954774</v>
      </c>
      <c r="J10" t="s">
        <v>137</v>
      </c>
      <c r="K10">
        <v>0.17605000000000001</v>
      </c>
      <c r="L10">
        <v>5.2313263819095477</v>
      </c>
      <c r="M10">
        <v>0</v>
      </c>
      <c r="N10">
        <v>1.24</v>
      </c>
      <c r="O10">
        <v>6.4713263819095479</v>
      </c>
      <c r="P10" t="s">
        <v>138</v>
      </c>
      <c r="Q10">
        <v>0.31387958291457285</v>
      </c>
      <c r="R10" t="s">
        <v>138</v>
      </c>
      <c r="S10">
        <v>0.074399999999999994</v>
      </c>
      <c r="T10" t="s">
        <v>139</v>
      </c>
      <c r="U10">
        <v>0.77655916582914575</v>
      </c>
      <c r="V10" t="s">
        <v>90</v>
      </c>
      <c r="W10">
        <v>0</v>
      </c>
      <c r="X10" t="s">
        <v>90</v>
      </c>
      <c r="Y10">
        <v>0</v>
      </c>
      <c r="Z10">
        <v>7.6361651306532661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0.93100000000000005</v>
      </c>
      <c r="AN10" t="s">
        <v>219</v>
      </c>
      <c r="AO10" t="s">
        <v>92</v>
      </c>
      <c r="AP10">
        <v>200000</v>
      </c>
      <c r="AQ10" t="s">
        <v>76</v>
      </c>
      <c r="AS10">
        <v>10000</v>
      </c>
      <c r="AT10" t="s">
        <v>220</v>
      </c>
      <c r="AU10" t="s">
        <v>78</v>
      </c>
      <c r="AV10" t="s">
        <v>79</v>
      </c>
      <c r="AY10">
        <v>0</v>
      </c>
    </row>
    <row r="11" spans="1:52" ht="12.75">
      <c r="A11" s="2" t="str">
        <f>HYPERLINK("https://ibp.a2mac1.com/costing(costing:projects/details/8191/assembly/5380835)","Accelerator Pedal")</f>
        <v>Accelerator Pedal</v>
      </c>
      <c r="B11">
        <v>5380835</v>
      </c>
      <c r="D11">
        <v>5380833</v>
      </c>
      <c r="F11">
        <v>1</v>
      </c>
      <c r="G11">
        <v>0</v>
      </c>
      <c r="H11">
        <v>6.19</v>
      </c>
      <c r="I11">
        <v>0</v>
      </c>
      <c r="J11" t="s">
        <v>90</v>
      </c>
      <c r="K11">
        <v>0</v>
      </c>
      <c r="L11">
        <v>6.19</v>
      </c>
      <c r="M11">
        <v>0</v>
      </c>
      <c r="N11">
        <v>0</v>
      </c>
      <c r="O11">
        <v>6.19</v>
      </c>
      <c r="P11" t="s">
        <v>90</v>
      </c>
      <c r="Q11">
        <v>0</v>
      </c>
      <c r="R11" t="s">
        <v>90</v>
      </c>
      <c r="S11">
        <v>0</v>
      </c>
      <c r="T11" t="s">
        <v>90</v>
      </c>
      <c r="U11">
        <v>0</v>
      </c>
      <c r="V11" t="s">
        <v>90</v>
      </c>
      <c r="W11">
        <v>0</v>
      </c>
      <c r="X11" t="s">
        <v>90</v>
      </c>
      <c r="Y11">
        <v>0</v>
      </c>
      <c r="Z11">
        <v>6.19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0.254</v>
      </c>
      <c r="AN11" t="s">
        <v>223</v>
      </c>
      <c r="AO11" t="s">
        <v>92</v>
      </c>
      <c r="AP11">
        <v>200000</v>
      </c>
      <c r="AQ11" t="s">
        <v>92</v>
      </c>
      <c r="AS11">
        <v>10000</v>
      </c>
      <c r="AT11" t="s">
        <v>224</v>
      </c>
      <c r="AU11" t="s">
        <v>78</v>
      </c>
      <c r="AV11" t="s">
        <v>79</v>
      </c>
      <c r="AY11">
        <v>0</v>
      </c>
    </row>
    <row r="12" spans="1:52" ht="12.75">
      <c r="A12" s="2" t="str">
        <f>HYPERLINK("https://ibp.a2mac1.com/costing(costing:projects/details/8191/assembly/5380833)","Pedals System")</f>
        <v>Pedals System</v>
      </c>
      <c r="B12">
        <v>5380833</v>
      </c>
      <c r="C12">
        <v>8191</v>
      </c>
      <c r="F12">
        <v>1</v>
      </c>
      <c r="G12">
        <v>0</v>
      </c>
      <c r="H12">
        <v>13.826165130653266</v>
      </c>
      <c r="I12">
        <v>0</v>
      </c>
      <c r="J12" t="s">
        <v>90</v>
      </c>
      <c r="K12">
        <v>0</v>
      </c>
      <c r="L12">
        <v>13.826165130653266</v>
      </c>
      <c r="M12">
        <v>0</v>
      </c>
      <c r="N12">
        <v>0</v>
      </c>
      <c r="O12">
        <v>13.826165130653266</v>
      </c>
      <c r="P12" t="s">
        <v>90</v>
      </c>
      <c r="Q12">
        <v>0</v>
      </c>
      <c r="R12" t="s">
        <v>90</v>
      </c>
      <c r="S12">
        <v>0</v>
      </c>
      <c r="T12" t="s">
        <v>90</v>
      </c>
      <c r="U12">
        <v>0</v>
      </c>
      <c r="V12" t="s">
        <v>90</v>
      </c>
      <c r="W12">
        <v>0</v>
      </c>
      <c r="X12" t="s">
        <v>90</v>
      </c>
      <c r="Y12">
        <v>0</v>
      </c>
      <c r="Z12">
        <v>13.826165130653266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1.823</v>
      </c>
      <c r="AN12" t="s">
        <v>223</v>
      </c>
      <c r="AO12" t="s">
        <v>92</v>
      </c>
      <c r="AP12">
        <v>200000</v>
      </c>
      <c r="AQ12" t="s">
        <v>92</v>
      </c>
      <c r="AS12">
        <v>10000</v>
      </c>
      <c r="AT12" t="s">
        <v>225</v>
      </c>
      <c r="AU12" t="s">
        <v>78</v>
      </c>
      <c r="AV12" t="s">
        <v>79</v>
      </c>
      <c r="AY12">
        <v>0</v>
      </c>
    </row>
    <row r="13" spans="1:52" ht="12.75">
      <c r="A13" s="2" t="str">
        <f>HYPERLINK("https://ibp.a2mac1.com/costing(costing:projects/details/8191/assembly/5380851)"," High Pressure AC Lines")</f>
        <v xml:space="preserve"> High Pressure AC Lines</v>
      </c>
      <c r="B13">
        <v>5380851</v>
      </c>
      <c r="D13">
        <v>5380848</v>
      </c>
      <c r="E13" t="s">
        <v>235</v>
      </c>
      <c r="F13">
        <v>1</v>
      </c>
      <c r="G13">
        <v>0</v>
      </c>
      <c r="H13">
        <v>7</v>
      </c>
      <c r="I13">
        <v>0</v>
      </c>
      <c r="J13" t="s">
        <v>90</v>
      </c>
      <c r="K13">
        <v>0</v>
      </c>
      <c r="L13">
        <v>7</v>
      </c>
      <c r="M13">
        <v>0</v>
      </c>
      <c r="N13">
        <v>0</v>
      </c>
      <c r="O13">
        <v>7</v>
      </c>
      <c r="P13" t="s">
        <v>90</v>
      </c>
      <c r="Q13">
        <v>0</v>
      </c>
      <c r="R13" t="s">
        <v>90</v>
      </c>
      <c r="S13">
        <v>0</v>
      </c>
      <c r="T13" t="s">
        <v>90</v>
      </c>
      <c r="U13">
        <v>0</v>
      </c>
      <c r="V13" t="s">
        <v>90</v>
      </c>
      <c r="W13">
        <v>0</v>
      </c>
      <c r="X13" t="s">
        <v>90</v>
      </c>
      <c r="Y13">
        <v>0</v>
      </c>
      <c r="Z13">
        <v>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N13" t="s">
        <v>91</v>
      </c>
      <c r="AO13" t="s">
        <v>92</v>
      </c>
      <c r="AP13">
        <v>200000</v>
      </c>
      <c r="AQ13" t="s">
        <v>92</v>
      </c>
      <c r="AS13">
        <v>10000</v>
      </c>
      <c r="AT13" t="s">
        <v>236</v>
      </c>
      <c r="AU13" t="s">
        <v>78</v>
      </c>
      <c r="AV13" t="s">
        <v>79</v>
      </c>
      <c r="AY13">
        <v>0</v>
      </c>
    </row>
    <row r="14" spans="1:52" ht="12.75">
      <c r="A14" s="2" t="str">
        <f>HYPERLINK("https://ibp.a2mac1.com/costing(costing:projects/details/8191/assembly/5380852)"," Low Pressure AC Lines")</f>
        <v xml:space="preserve"> Low Pressure AC Lines</v>
      </c>
      <c r="B14">
        <v>5380852</v>
      </c>
      <c r="D14">
        <v>5380848</v>
      </c>
      <c r="E14" t="s">
        <v>244</v>
      </c>
      <c r="F14">
        <v>1</v>
      </c>
      <c r="G14">
        <v>0</v>
      </c>
      <c r="H14">
        <v>11.20</v>
      </c>
      <c r="I14">
        <v>0</v>
      </c>
      <c r="J14" t="s">
        <v>90</v>
      </c>
      <c r="K14">
        <v>0</v>
      </c>
      <c r="L14">
        <v>11.20</v>
      </c>
      <c r="M14">
        <v>0</v>
      </c>
      <c r="N14">
        <v>0</v>
      </c>
      <c r="O14">
        <v>11.20</v>
      </c>
      <c r="P14" t="s">
        <v>90</v>
      </c>
      <c r="Q14">
        <v>0</v>
      </c>
      <c r="R14" t="s">
        <v>90</v>
      </c>
      <c r="S14">
        <v>0</v>
      </c>
      <c r="T14" t="s">
        <v>90</v>
      </c>
      <c r="U14">
        <v>0</v>
      </c>
      <c r="V14" t="s">
        <v>90</v>
      </c>
      <c r="W14">
        <v>0</v>
      </c>
      <c r="X14" t="s">
        <v>90</v>
      </c>
      <c r="Y14">
        <v>0</v>
      </c>
      <c r="Z14">
        <v>11.20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 t="s">
        <v>223</v>
      </c>
      <c r="AO14" t="s">
        <v>92</v>
      </c>
      <c r="AP14">
        <v>200000</v>
      </c>
      <c r="AQ14" t="s">
        <v>92</v>
      </c>
      <c r="AS14">
        <v>10000</v>
      </c>
      <c r="AT14" t="s">
        <v>245</v>
      </c>
      <c r="AU14" t="s">
        <v>78</v>
      </c>
      <c r="AV14" t="s">
        <v>79</v>
      </c>
      <c r="AY14">
        <v>0</v>
      </c>
    </row>
    <row r="15" spans="1:52" ht="12.75">
      <c r="A15" s="2" t="str">
        <f>HYPERLINK("https://ibp.a2mac1.com/costing(costing:projects/details/8191/assembly/5380848)"," AC Line")</f>
        <v xml:space="preserve"> AC Line</v>
      </c>
      <c r="B15">
        <v>5380848</v>
      </c>
      <c r="D15">
        <v>5380840</v>
      </c>
      <c r="E15" t="s">
        <v>246</v>
      </c>
      <c r="F15">
        <v>1</v>
      </c>
      <c r="G15">
        <v>0</v>
      </c>
      <c r="H15">
        <v>18.20</v>
      </c>
      <c r="I15">
        <v>0</v>
      </c>
      <c r="J15" t="s">
        <v>90</v>
      </c>
      <c r="K15">
        <v>0</v>
      </c>
      <c r="L15">
        <v>18.20</v>
      </c>
      <c r="M15">
        <v>0</v>
      </c>
      <c r="N15">
        <v>0</v>
      </c>
      <c r="O15">
        <v>18.20</v>
      </c>
      <c r="P15" t="s">
        <v>90</v>
      </c>
      <c r="Q15">
        <v>0</v>
      </c>
      <c r="R15" t="s">
        <v>90</v>
      </c>
      <c r="S15">
        <v>0</v>
      </c>
      <c r="T15" t="s">
        <v>90</v>
      </c>
      <c r="U15">
        <v>0</v>
      </c>
      <c r="V15" t="s">
        <v>90</v>
      </c>
      <c r="W15">
        <v>0</v>
      </c>
      <c r="X15" t="s">
        <v>90</v>
      </c>
      <c r="Y15">
        <v>0</v>
      </c>
      <c r="Z15">
        <v>18.20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N15" t="s">
        <v>91</v>
      </c>
      <c r="AO15" t="s">
        <v>92</v>
      </c>
      <c r="AP15">
        <v>200000</v>
      </c>
      <c r="AQ15" t="s">
        <v>92</v>
      </c>
      <c r="AS15">
        <v>10000</v>
      </c>
      <c r="AT15" t="s">
        <v>247</v>
      </c>
      <c r="AU15" t="s">
        <v>78</v>
      </c>
      <c r="AV15" t="s">
        <v>79</v>
      </c>
      <c r="AY15">
        <v>0</v>
      </c>
    </row>
    <row r="16" spans="1:52" ht="12.75">
      <c r="A16" s="2" t="str">
        <f>HYPERLINK("https://ibp.a2mac1.com/costing(costing:projects/details/8191/assembly/5380849)"," Valve System")</f>
        <v xml:space="preserve"> Valve System</v>
      </c>
      <c r="B16">
        <v>5380849</v>
      </c>
      <c r="D16">
        <v>5380840</v>
      </c>
      <c r="E16" t="s">
        <v>255</v>
      </c>
      <c r="F16">
        <v>1</v>
      </c>
      <c r="G16">
        <v>0</v>
      </c>
      <c r="H16">
        <v>5.78</v>
      </c>
      <c r="I16">
        <v>0</v>
      </c>
      <c r="J16" t="s">
        <v>90</v>
      </c>
      <c r="K16">
        <v>0</v>
      </c>
      <c r="L16">
        <v>5.78</v>
      </c>
      <c r="M16">
        <v>0</v>
      </c>
      <c r="N16">
        <v>0</v>
      </c>
      <c r="O16">
        <v>5.78</v>
      </c>
      <c r="P16" t="s">
        <v>90</v>
      </c>
      <c r="Q16">
        <v>0</v>
      </c>
      <c r="R16" t="s">
        <v>90</v>
      </c>
      <c r="S16">
        <v>0</v>
      </c>
      <c r="T16" t="s">
        <v>90</v>
      </c>
      <c r="U16">
        <v>0</v>
      </c>
      <c r="V16" t="s">
        <v>90</v>
      </c>
      <c r="W16">
        <v>0</v>
      </c>
      <c r="X16" t="s">
        <v>90</v>
      </c>
      <c r="Y16">
        <v>0</v>
      </c>
      <c r="Z16">
        <v>5.78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 t="s">
        <v>91</v>
      </c>
      <c r="AO16" t="s">
        <v>92</v>
      </c>
      <c r="AP16">
        <v>200000</v>
      </c>
      <c r="AQ16" t="s">
        <v>92</v>
      </c>
      <c r="AS16">
        <v>10000</v>
      </c>
      <c r="AT16" t="s">
        <v>256</v>
      </c>
      <c r="AU16" t="s">
        <v>78</v>
      </c>
      <c r="AV16" t="s">
        <v>79</v>
      </c>
      <c r="AY16">
        <v>0</v>
      </c>
    </row>
    <row r="17" spans="1:52" ht="12.75">
      <c r="A17" s="2" t="str">
        <f>HYPERLINK("https://ibp.a2mac1.com/costing(costing:projects/details/8191/assembly/5380850)"," Valve System")</f>
        <v xml:space="preserve"> Valve System</v>
      </c>
      <c r="B17">
        <v>5380850</v>
      </c>
      <c r="D17">
        <v>5380840</v>
      </c>
      <c r="E17" t="s">
        <v>261</v>
      </c>
      <c r="F17">
        <v>1</v>
      </c>
      <c r="G17">
        <v>0</v>
      </c>
      <c r="H17">
        <v>7.60</v>
      </c>
      <c r="I17">
        <v>0</v>
      </c>
      <c r="J17" t="s">
        <v>90</v>
      </c>
      <c r="K17">
        <v>0</v>
      </c>
      <c r="L17">
        <v>7.60</v>
      </c>
      <c r="M17">
        <v>0</v>
      </c>
      <c r="N17">
        <v>0</v>
      </c>
      <c r="O17">
        <v>7.60</v>
      </c>
      <c r="P17" t="s">
        <v>90</v>
      </c>
      <c r="Q17">
        <v>0</v>
      </c>
      <c r="R17" t="s">
        <v>90</v>
      </c>
      <c r="S17">
        <v>0</v>
      </c>
      <c r="T17" t="s">
        <v>90</v>
      </c>
      <c r="U17">
        <v>0</v>
      </c>
      <c r="V17" t="s">
        <v>90</v>
      </c>
      <c r="W17">
        <v>0</v>
      </c>
      <c r="X17" t="s">
        <v>90</v>
      </c>
      <c r="Y17">
        <v>0</v>
      </c>
      <c r="Z17">
        <v>7.60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N17" t="s">
        <v>91</v>
      </c>
      <c r="AO17" t="s">
        <v>92</v>
      </c>
      <c r="AP17">
        <v>200000</v>
      </c>
      <c r="AQ17" t="s">
        <v>92</v>
      </c>
      <c r="AS17">
        <v>10000</v>
      </c>
      <c r="AT17" t="s">
        <v>262</v>
      </c>
      <c r="AU17" t="s">
        <v>78</v>
      </c>
      <c r="AV17" t="s">
        <v>79</v>
      </c>
      <c r="AY17">
        <v>0</v>
      </c>
    </row>
    <row r="18" spans="1:52" ht="12.75">
      <c r="A18" s="2" t="str">
        <f>HYPERLINK("https://ibp.a2mac1.com/costing(costing:projects/details/8191/assembly/5380840)","Air Conditioning System ")</f>
        <v xml:space="preserve">Air Conditioning System </v>
      </c>
      <c r="B18">
        <v>5380840</v>
      </c>
      <c r="C18">
        <v>8191</v>
      </c>
      <c r="E18" t="s">
        <v>285</v>
      </c>
      <c r="F18">
        <v>1</v>
      </c>
      <c r="G18">
        <v>0</v>
      </c>
      <c r="H18">
        <v>205.07948029467559</v>
      </c>
      <c r="I18">
        <v>0</v>
      </c>
      <c r="J18" t="s">
        <v>90</v>
      </c>
      <c r="K18">
        <v>0</v>
      </c>
      <c r="L18">
        <v>205.07948029467559</v>
      </c>
      <c r="M18">
        <v>0</v>
      </c>
      <c r="N18">
        <v>0</v>
      </c>
      <c r="O18">
        <v>205.07948029467559</v>
      </c>
      <c r="P18" t="s">
        <v>90</v>
      </c>
      <c r="Q18">
        <v>0</v>
      </c>
      <c r="R18" t="s">
        <v>90</v>
      </c>
      <c r="S18">
        <v>0</v>
      </c>
      <c r="T18" t="s">
        <v>90</v>
      </c>
      <c r="U18">
        <v>0</v>
      </c>
      <c r="V18" t="s">
        <v>90</v>
      </c>
      <c r="W18">
        <v>0</v>
      </c>
      <c r="X18" t="s">
        <v>90</v>
      </c>
      <c r="Y18">
        <v>0</v>
      </c>
      <c r="Z18">
        <v>205.07948029467559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10.983000000000001</v>
      </c>
      <c r="AN18" t="s">
        <v>91</v>
      </c>
      <c r="AO18" t="s">
        <v>92</v>
      </c>
      <c r="AP18">
        <v>200000</v>
      </c>
      <c r="AQ18" t="s">
        <v>92</v>
      </c>
      <c r="AS18">
        <v>10000</v>
      </c>
      <c r="AT18" t="s">
        <v>286</v>
      </c>
      <c r="AU18" t="s">
        <v>78</v>
      </c>
      <c r="AV18" t="s">
        <v>79</v>
      </c>
      <c r="AY18">
        <v>0</v>
      </c>
    </row>
    <row r="19" spans="1:52" ht="12.75">
      <c r="A19" s="2" t="str">
        <f>HYPERLINK("https://ibp.a2mac1.com/costing(costing:projects/details/8191/assembly/5380892)","Brake Fluid Reservoir System")</f>
        <v>Brake Fluid Reservoir System</v>
      </c>
      <c r="B19">
        <v>5380892</v>
      </c>
      <c r="D19">
        <v>5380885</v>
      </c>
      <c r="F19">
        <v>1</v>
      </c>
      <c r="G19">
        <v>0</v>
      </c>
      <c r="H19">
        <v>1.20</v>
      </c>
      <c r="I19">
        <v>0</v>
      </c>
      <c r="J19" t="s">
        <v>90</v>
      </c>
      <c r="K19">
        <v>0</v>
      </c>
      <c r="L19">
        <v>1.20</v>
      </c>
      <c r="M19">
        <v>0</v>
      </c>
      <c r="N19">
        <v>0</v>
      </c>
      <c r="O19">
        <v>1.20</v>
      </c>
      <c r="P19" t="s">
        <v>90</v>
      </c>
      <c r="Q19">
        <v>0</v>
      </c>
      <c r="R19" t="s">
        <v>90</v>
      </c>
      <c r="S19">
        <v>0</v>
      </c>
      <c r="T19" t="s">
        <v>90</v>
      </c>
      <c r="U19">
        <v>0</v>
      </c>
      <c r="V19" t="s">
        <v>90</v>
      </c>
      <c r="W19">
        <v>0</v>
      </c>
      <c r="X19" t="s">
        <v>90</v>
      </c>
      <c r="Y19">
        <v>0</v>
      </c>
      <c r="Z19">
        <v>1.20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0.17100000000000001</v>
      </c>
      <c r="AN19" t="s">
        <v>91</v>
      </c>
      <c r="AO19" t="s">
        <v>92</v>
      </c>
      <c r="AP19">
        <v>200000</v>
      </c>
      <c r="AQ19" t="s">
        <v>92</v>
      </c>
      <c r="AS19">
        <v>10000</v>
      </c>
      <c r="AT19" t="s">
        <v>293</v>
      </c>
      <c r="AU19" t="s">
        <v>78</v>
      </c>
      <c r="AV19" t="s">
        <v>79</v>
      </c>
      <c r="AY19">
        <v>0</v>
      </c>
    </row>
    <row r="20" spans="1:52" ht="12.75">
      <c r="A20" s="2" t="str">
        <f>HYPERLINK("https://ibp.a2mac1.com/costing(costing:projects/details/8191/assembly/5380893)","Electric Brake Booster System")</f>
        <v>Electric Brake Booster System</v>
      </c>
      <c r="B20">
        <v>5380893</v>
      </c>
      <c r="D20">
        <v>5380885</v>
      </c>
      <c r="F20">
        <v>1</v>
      </c>
      <c r="G20">
        <v>0</v>
      </c>
      <c r="H20">
        <v>90.167195822956842</v>
      </c>
      <c r="I20">
        <v>0</v>
      </c>
      <c r="J20" t="s">
        <v>90</v>
      </c>
      <c r="K20">
        <v>0</v>
      </c>
      <c r="L20">
        <v>90.167195822956842</v>
      </c>
      <c r="M20">
        <v>0</v>
      </c>
      <c r="N20">
        <v>0</v>
      </c>
      <c r="O20">
        <v>90.167195822956842</v>
      </c>
      <c r="P20" t="s">
        <v>90</v>
      </c>
      <c r="Q20">
        <v>0</v>
      </c>
      <c r="R20" t="s">
        <v>90</v>
      </c>
      <c r="S20">
        <v>0</v>
      </c>
      <c r="T20" t="s">
        <v>90</v>
      </c>
      <c r="U20">
        <v>0</v>
      </c>
      <c r="V20" t="s">
        <v>90</v>
      </c>
      <c r="W20">
        <v>0</v>
      </c>
      <c r="X20" t="s">
        <v>90</v>
      </c>
      <c r="Y20">
        <v>0</v>
      </c>
      <c r="Z20">
        <v>90.167195822956842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4.415</v>
      </c>
      <c r="AN20" t="s">
        <v>91</v>
      </c>
      <c r="AO20" t="s">
        <v>92</v>
      </c>
      <c r="AP20">
        <v>200000</v>
      </c>
      <c r="AQ20" t="s">
        <v>92</v>
      </c>
      <c r="AS20">
        <v>10000</v>
      </c>
      <c r="AT20" t="s">
        <v>300</v>
      </c>
      <c r="AU20" t="s">
        <v>78</v>
      </c>
      <c r="AV20" t="s">
        <v>79</v>
      </c>
      <c r="AY20">
        <v>0</v>
      </c>
    </row>
    <row r="21" spans="1:52" ht="12.75">
      <c r="A21" s="2" t="str">
        <f>HYPERLINK("https://ibp.a2mac1.com/costing(costing:projects/details/8191/assembly/5380885)","Master Cylinder")</f>
        <v>Master Cylinder</v>
      </c>
      <c r="B21">
        <v>5380885</v>
      </c>
      <c r="D21">
        <v>5380884</v>
      </c>
      <c r="F21">
        <v>1</v>
      </c>
      <c r="G21">
        <v>0</v>
      </c>
      <c r="H21">
        <v>99.347195822956834</v>
      </c>
      <c r="I21">
        <v>0</v>
      </c>
      <c r="J21" t="s">
        <v>90</v>
      </c>
      <c r="K21">
        <v>0</v>
      </c>
      <c r="L21">
        <v>99.347195822956834</v>
      </c>
      <c r="M21">
        <v>0</v>
      </c>
      <c r="N21">
        <v>0</v>
      </c>
      <c r="O21">
        <v>99.347195822956834</v>
      </c>
      <c r="P21" t="s">
        <v>90</v>
      </c>
      <c r="Q21">
        <v>0</v>
      </c>
      <c r="R21" t="s">
        <v>90</v>
      </c>
      <c r="S21">
        <v>0</v>
      </c>
      <c r="T21" t="s">
        <v>90</v>
      </c>
      <c r="U21">
        <v>0</v>
      </c>
      <c r="V21" t="s">
        <v>90</v>
      </c>
      <c r="W21">
        <v>0</v>
      </c>
      <c r="X21" t="s">
        <v>90</v>
      </c>
      <c r="Y21">
        <v>0</v>
      </c>
      <c r="Z21">
        <v>99.347195822956834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5.005</v>
      </c>
      <c r="AN21" t="s">
        <v>91</v>
      </c>
      <c r="AO21" t="s">
        <v>92</v>
      </c>
      <c r="AP21">
        <v>200000</v>
      </c>
      <c r="AQ21" t="s">
        <v>92</v>
      </c>
      <c r="AS21">
        <v>10000</v>
      </c>
      <c r="AT21" t="s">
        <v>303</v>
      </c>
      <c r="AU21" t="s">
        <v>78</v>
      </c>
      <c r="AV21" t="s">
        <v>79</v>
      </c>
      <c r="AY21">
        <v>0</v>
      </c>
    </row>
    <row r="22" spans="1:52" ht="12.75">
      <c r="A22" s="2" t="str">
        <f>HYPERLINK("https://ibp.a2mac1.com/costing(costing:projects/details/8191/assembly/5380886)","ABS System")</f>
        <v>ABS System</v>
      </c>
      <c r="B22">
        <v>5380886</v>
      </c>
      <c r="D22">
        <v>5380884</v>
      </c>
      <c r="F22">
        <v>1</v>
      </c>
      <c r="G22">
        <v>0</v>
      </c>
      <c r="H22">
        <v>80.993086068064642</v>
      </c>
      <c r="I22">
        <v>0</v>
      </c>
      <c r="J22" t="s">
        <v>90</v>
      </c>
      <c r="K22">
        <v>0</v>
      </c>
      <c r="L22">
        <v>80.993086068064642</v>
      </c>
      <c r="M22">
        <v>0</v>
      </c>
      <c r="N22">
        <v>0</v>
      </c>
      <c r="O22">
        <v>80.993086068064642</v>
      </c>
      <c r="P22" t="s">
        <v>90</v>
      </c>
      <c r="Q22">
        <v>0</v>
      </c>
      <c r="R22" t="s">
        <v>90</v>
      </c>
      <c r="S22">
        <v>0</v>
      </c>
      <c r="T22" t="s">
        <v>90</v>
      </c>
      <c r="U22">
        <v>0</v>
      </c>
      <c r="V22" t="s">
        <v>90</v>
      </c>
      <c r="W22">
        <v>0</v>
      </c>
      <c r="X22" t="s">
        <v>90</v>
      </c>
      <c r="Y22">
        <v>0</v>
      </c>
      <c r="Z22">
        <v>80.993086068064642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2.18</v>
      </c>
      <c r="AN22" t="s">
        <v>91</v>
      </c>
      <c r="AO22" t="s">
        <v>92</v>
      </c>
      <c r="AP22">
        <v>200000</v>
      </c>
      <c r="AQ22" t="s">
        <v>92</v>
      </c>
      <c r="AS22">
        <v>10000</v>
      </c>
      <c r="AT22" t="s">
        <v>310</v>
      </c>
      <c r="AU22" t="s">
        <v>78</v>
      </c>
      <c r="AV22" t="s">
        <v>79</v>
      </c>
      <c r="AY22">
        <v>0</v>
      </c>
    </row>
    <row r="23" spans="1:52" ht="12.75">
      <c r="A23" s="2" t="str">
        <f>HYPERLINK("https://ibp.a2mac1.com/costing(costing:projects/details/8191/assembly/5380887)","Brake Line System")</f>
        <v>Brake Line System</v>
      </c>
      <c r="B23">
        <v>5380887</v>
      </c>
      <c r="D23">
        <v>5380884</v>
      </c>
      <c r="F23">
        <v>1</v>
      </c>
      <c r="G23">
        <v>0</v>
      </c>
      <c r="H23">
        <v>23.86</v>
      </c>
      <c r="I23">
        <v>0</v>
      </c>
      <c r="J23" t="s">
        <v>90</v>
      </c>
      <c r="K23">
        <v>0</v>
      </c>
      <c r="L23">
        <v>23.86</v>
      </c>
      <c r="M23">
        <v>0</v>
      </c>
      <c r="N23">
        <v>0</v>
      </c>
      <c r="O23">
        <v>23.86</v>
      </c>
      <c r="P23" t="s">
        <v>90</v>
      </c>
      <c r="Q23">
        <v>0</v>
      </c>
      <c r="R23" t="s">
        <v>90</v>
      </c>
      <c r="S23">
        <v>0</v>
      </c>
      <c r="T23" t="s">
        <v>90</v>
      </c>
      <c r="U23">
        <v>0</v>
      </c>
      <c r="V23" t="s">
        <v>90</v>
      </c>
      <c r="W23">
        <v>0</v>
      </c>
      <c r="X23" t="s">
        <v>90</v>
      </c>
      <c r="Y23">
        <v>0</v>
      </c>
      <c r="Z23">
        <v>23.86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1.2589999999999999</v>
      </c>
      <c r="AN23" t="s">
        <v>91</v>
      </c>
      <c r="AO23" t="s">
        <v>92</v>
      </c>
      <c r="AP23">
        <v>200000</v>
      </c>
      <c r="AQ23" t="s">
        <v>92</v>
      </c>
      <c r="AS23">
        <v>10000</v>
      </c>
      <c r="AT23" t="s">
        <v>322</v>
      </c>
      <c r="AU23" t="s">
        <v>78</v>
      </c>
      <c r="AV23" t="s">
        <v>79</v>
      </c>
      <c r="AY23">
        <v>0</v>
      </c>
    </row>
    <row r="24" spans="1:52" ht="12.75">
      <c r="A24" s="2" t="str">
        <f>HYPERLINK("https://ibp.a2mac1.com/costing(costing:projects/details/8191/assembly/5380925)","Brake Pads")</f>
        <v>Brake Pads</v>
      </c>
      <c r="B24">
        <v>5380925</v>
      </c>
      <c r="D24">
        <v>5380911</v>
      </c>
      <c r="F24">
        <v>1</v>
      </c>
      <c r="G24">
        <v>0</v>
      </c>
      <c r="H24">
        <v>15.56</v>
      </c>
      <c r="I24">
        <v>0</v>
      </c>
      <c r="J24" t="s">
        <v>90</v>
      </c>
      <c r="K24">
        <v>0</v>
      </c>
      <c r="L24">
        <v>15.56</v>
      </c>
      <c r="M24">
        <v>0</v>
      </c>
      <c r="N24">
        <v>0</v>
      </c>
      <c r="O24">
        <v>15.56</v>
      </c>
      <c r="P24" t="s">
        <v>90</v>
      </c>
      <c r="Q24">
        <v>0</v>
      </c>
      <c r="R24" t="s">
        <v>90</v>
      </c>
      <c r="S24">
        <v>0</v>
      </c>
      <c r="T24" t="s">
        <v>90</v>
      </c>
      <c r="U24">
        <v>0</v>
      </c>
      <c r="V24" t="s">
        <v>90</v>
      </c>
      <c r="W24">
        <v>0</v>
      </c>
      <c r="X24" t="s">
        <v>90</v>
      </c>
      <c r="Y24">
        <v>0</v>
      </c>
      <c r="Z24">
        <v>15.56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3.4809999999999999</v>
      </c>
      <c r="AN24" t="s">
        <v>91</v>
      </c>
      <c r="AO24" t="s">
        <v>92</v>
      </c>
      <c r="AP24">
        <v>200000</v>
      </c>
      <c r="AQ24" t="s">
        <v>92</v>
      </c>
      <c r="AS24">
        <v>10000</v>
      </c>
      <c r="AT24" t="s">
        <v>328</v>
      </c>
      <c r="AU24" t="s">
        <v>78</v>
      </c>
      <c r="AV24" t="s">
        <v>79</v>
      </c>
      <c r="AY24">
        <v>0</v>
      </c>
    </row>
    <row r="25" spans="1:52" ht="12.75">
      <c r="A25" s="2" t="str">
        <f>HYPERLINK("https://ibp.a2mac1.com/costing(costing:projects/details/8191/assembly/5380911)","Brake Caliper L")</f>
        <v>Brake Caliper L</v>
      </c>
      <c r="B25">
        <v>5380911</v>
      </c>
      <c r="D25">
        <v>5380888</v>
      </c>
      <c r="F25">
        <v>1</v>
      </c>
      <c r="G25">
        <v>0</v>
      </c>
      <c r="H25">
        <v>33.41235425258396</v>
      </c>
      <c r="I25">
        <v>0.16790127765117566</v>
      </c>
      <c r="J25" t="s">
        <v>137</v>
      </c>
      <c r="K25">
        <v>1.1694323988404385</v>
      </c>
      <c r="L25">
        <v>34.74968792907557</v>
      </c>
      <c r="M25">
        <v>0</v>
      </c>
      <c r="N25">
        <v>3.93</v>
      </c>
      <c r="O25">
        <v>38.67968792907557</v>
      </c>
      <c r="P25" t="s">
        <v>138</v>
      </c>
      <c r="Q25">
        <v>2.0849812757445343</v>
      </c>
      <c r="R25" t="s">
        <v>138</v>
      </c>
      <c r="S25">
        <v>0.23580000000000001</v>
      </c>
      <c r="T25" t="s">
        <v>139</v>
      </c>
      <c r="U25">
        <v>4.641562551489069</v>
      </c>
      <c r="V25" t="s">
        <v>90</v>
      </c>
      <c r="W25">
        <v>0</v>
      </c>
      <c r="X25" t="s">
        <v>90</v>
      </c>
      <c r="Y25">
        <v>0</v>
      </c>
      <c r="Z25">
        <v>45.642031756309173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17.33</v>
      </c>
      <c r="AN25" t="s">
        <v>213</v>
      </c>
      <c r="AO25" t="s">
        <v>92</v>
      </c>
      <c r="AP25">
        <v>200000</v>
      </c>
      <c r="AQ25" t="s">
        <v>76</v>
      </c>
      <c r="AS25">
        <v>10000</v>
      </c>
      <c r="AT25" t="s">
        <v>335</v>
      </c>
      <c r="AU25" t="s">
        <v>78</v>
      </c>
      <c r="AV25" t="s">
        <v>79</v>
      </c>
      <c r="AY25">
        <v>0</v>
      </c>
    </row>
    <row r="26" spans="1:52" ht="12.75">
      <c r="A26" s="2" t="str">
        <f>HYPERLINK("https://ibp.a2mac1.com/costing(costing:projects/details/8191/assembly/5380912)","Hose Support")</f>
        <v>Hose Support</v>
      </c>
      <c r="B26">
        <v>5380912</v>
      </c>
      <c r="D26">
        <v>5380888</v>
      </c>
      <c r="F26">
        <v>1</v>
      </c>
      <c r="G26">
        <v>0</v>
      </c>
      <c r="H26">
        <v>0.73</v>
      </c>
      <c r="I26">
        <v>0</v>
      </c>
      <c r="J26" t="s">
        <v>90</v>
      </c>
      <c r="K26">
        <v>0</v>
      </c>
      <c r="L26">
        <v>0.73</v>
      </c>
      <c r="M26">
        <v>0</v>
      </c>
      <c r="N26">
        <v>0</v>
      </c>
      <c r="O26">
        <v>0.73</v>
      </c>
      <c r="P26" t="s">
        <v>90</v>
      </c>
      <c r="Q26">
        <v>0</v>
      </c>
      <c r="R26" t="s">
        <v>90</v>
      </c>
      <c r="S26">
        <v>0</v>
      </c>
      <c r="T26" t="s">
        <v>90</v>
      </c>
      <c r="U26">
        <v>0</v>
      </c>
      <c r="V26" t="s">
        <v>90</v>
      </c>
      <c r="W26">
        <v>0</v>
      </c>
      <c r="X26" t="s">
        <v>90</v>
      </c>
      <c r="Y26">
        <v>0</v>
      </c>
      <c r="Z26">
        <v>0.73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0.175</v>
      </c>
      <c r="AN26" t="s">
        <v>91</v>
      </c>
      <c r="AO26" t="s">
        <v>92</v>
      </c>
      <c r="AP26">
        <v>200000</v>
      </c>
      <c r="AQ26" t="s">
        <v>92</v>
      </c>
      <c r="AS26">
        <v>10000</v>
      </c>
      <c r="AT26" t="s">
        <v>339</v>
      </c>
      <c r="AU26" t="s">
        <v>78</v>
      </c>
      <c r="AV26" t="s">
        <v>79</v>
      </c>
      <c r="AY26">
        <v>0</v>
      </c>
    </row>
    <row r="27" spans="1:52" ht="12.75">
      <c r="A27" s="2" t="str">
        <f>HYPERLINK("https://ibp.a2mac1.com/costing(costing:projects/details/8191/assembly/5380930)","Brake Pads")</f>
        <v>Brake Pads</v>
      </c>
      <c r="B27">
        <v>5380930</v>
      </c>
      <c r="D27">
        <v>5380913</v>
      </c>
      <c r="F27">
        <v>1</v>
      </c>
      <c r="G27">
        <v>0</v>
      </c>
      <c r="H27">
        <v>15.56</v>
      </c>
      <c r="I27">
        <v>0</v>
      </c>
      <c r="J27" t="s">
        <v>90</v>
      </c>
      <c r="K27">
        <v>0</v>
      </c>
      <c r="L27">
        <v>15.56</v>
      </c>
      <c r="M27">
        <v>0</v>
      </c>
      <c r="N27">
        <v>0</v>
      </c>
      <c r="O27">
        <v>15.56</v>
      </c>
      <c r="P27" t="s">
        <v>90</v>
      </c>
      <c r="Q27">
        <v>0</v>
      </c>
      <c r="R27" t="s">
        <v>90</v>
      </c>
      <c r="S27">
        <v>0</v>
      </c>
      <c r="T27" t="s">
        <v>90</v>
      </c>
      <c r="U27">
        <v>0</v>
      </c>
      <c r="V27" t="s">
        <v>90</v>
      </c>
      <c r="W27">
        <v>0</v>
      </c>
      <c r="X27" t="s">
        <v>90</v>
      </c>
      <c r="Y27">
        <v>0</v>
      </c>
      <c r="Z27">
        <v>15.56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3.4809999999999999</v>
      </c>
      <c r="AN27" t="s">
        <v>342</v>
      </c>
      <c r="AO27" t="s">
        <v>92</v>
      </c>
      <c r="AP27">
        <v>200000</v>
      </c>
      <c r="AQ27" t="s">
        <v>92</v>
      </c>
      <c r="AS27">
        <v>10000</v>
      </c>
      <c r="AT27" t="s">
        <v>9</v>
      </c>
      <c r="AU27" t="s">
        <v>78</v>
      </c>
      <c r="AV27" t="s">
        <v>79</v>
      </c>
      <c r="AY27">
        <v>0</v>
      </c>
    </row>
    <row r="28" spans="1:52" ht="12.75">
      <c r="A28" s="2" t="str">
        <f>HYPERLINK("https://ibp.a2mac1.com/costing(costing:projects/details/8191/assembly/5380913)","Brake Caliper R]")</f>
        <v>Brake Caliper R]</v>
      </c>
      <c r="B28">
        <v>5380913</v>
      </c>
      <c r="D28">
        <v>5380888</v>
      </c>
      <c r="F28">
        <v>1</v>
      </c>
      <c r="G28">
        <v>0</v>
      </c>
      <c r="H28">
        <v>31.067341617710643</v>
      </c>
      <c r="I28">
        <v>0.15611729456136</v>
      </c>
      <c r="J28" t="s">
        <v>137</v>
      </c>
      <c r="K28">
        <v>1.0873569566198724</v>
      </c>
      <c r="L28">
        <v>32.310815868891872</v>
      </c>
      <c r="M28">
        <v>0</v>
      </c>
      <c r="N28">
        <v>3.93</v>
      </c>
      <c r="O28">
        <v>36.240815868891872</v>
      </c>
      <c r="P28" t="s">
        <v>138</v>
      </c>
      <c r="Q28">
        <v>1.9386489521335124</v>
      </c>
      <c r="R28" t="s">
        <v>138</v>
      </c>
      <c r="S28">
        <v>0.23580000000000001</v>
      </c>
      <c r="T28" t="s">
        <v>139</v>
      </c>
      <c r="U28">
        <v>4.3488979042670248</v>
      </c>
      <c r="V28" t="s">
        <v>216</v>
      </c>
      <c r="W28">
        <v>0.18120407934445937</v>
      </c>
      <c r="X28" t="s">
        <v>217</v>
      </c>
      <c r="Y28">
        <v>0.72481631737783747</v>
      </c>
      <c r="Z28">
        <v>43.670183122014706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17.33</v>
      </c>
      <c r="AN28" t="s">
        <v>347</v>
      </c>
      <c r="AO28" t="s">
        <v>92</v>
      </c>
      <c r="AP28">
        <v>200000</v>
      </c>
      <c r="AQ28" t="s">
        <v>76</v>
      </c>
      <c r="AS28">
        <v>10000</v>
      </c>
      <c r="AT28" t="s">
        <v>9</v>
      </c>
      <c r="AU28" t="s">
        <v>78</v>
      </c>
      <c r="AV28" t="s">
        <v>79</v>
      </c>
      <c r="AY28">
        <v>0</v>
      </c>
    </row>
    <row r="29" spans="1:52" ht="12.75">
      <c r="A29" s="2" t="str">
        <f>HYPERLINK("https://ibp.a2mac1.com/costing(costing:projects/details/8191/assembly/5380888)","Front Brakes")</f>
        <v>Front Brakes</v>
      </c>
      <c r="B29">
        <v>5380888</v>
      </c>
      <c r="D29">
        <v>5380884</v>
      </c>
      <c r="F29">
        <v>1</v>
      </c>
      <c r="G29">
        <v>0</v>
      </c>
      <c r="H29">
        <v>158.48502531958712</v>
      </c>
      <c r="I29">
        <v>0</v>
      </c>
      <c r="J29" t="s">
        <v>90</v>
      </c>
      <c r="K29">
        <v>0</v>
      </c>
      <c r="L29">
        <v>158.48502531958712</v>
      </c>
      <c r="M29">
        <v>0</v>
      </c>
      <c r="N29">
        <v>0</v>
      </c>
      <c r="O29">
        <v>158.48502531958712</v>
      </c>
      <c r="P29" t="s">
        <v>90</v>
      </c>
      <c r="Q29">
        <v>0</v>
      </c>
      <c r="R29" t="s">
        <v>90</v>
      </c>
      <c r="S29">
        <v>0</v>
      </c>
      <c r="T29" t="s">
        <v>90</v>
      </c>
      <c r="U29">
        <v>0</v>
      </c>
      <c r="V29" t="s">
        <v>90</v>
      </c>
      <c r="W29">
        <v>0</v>
      </c>
      <c r="X29" t="s">
        <v>90</v>
      </c>
      <c r="Y29">
        <v>0</v>
      </c>
      <c r="Z29">
        <v>158.48502531958712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45.273000000000003</v>
      </c>
      <c r="AN29" t="s">
        <v>91</v>
      </c>
      <c r="AO29" t="s">
        <v>92</v>
      </c>
      <c r="AP29">
        <v>200000</v>
      </c>
      <c r="AQ29" t="s">
        <v>92</v>
      </c>
      <c r="AS29">
        <v>10000</v>
      </c>
      <c r="AT29" t="s">
        <v>354</v>
      </c>
      <c r="AU29" t="s">
        <v>78</v>
      </c>
      <c r="AV29" t="s">
        <v>79</v>
      </c>
      <c r="AY29">
        <v>0</v>
      </c>
    </row>
    <row r="30" spans="1:52" ht="12.75">
      <c r="A30" s="2" t="str">
        <f>HYPERLINK("https://ibp.a2mac1.com/costing(costing:projects/details/8191/assembly/5380935)","Shoe Assy")</f>
        <v>Shoe Assy</v>
      </c>
      <c r="B30">
        <v>5380935</v>
      </c>
      <c r="D30">
        <v>5380917</v>
      </c>
      <c r="F30">
        <v>2</v>
      </c>
      <c r="G30">
        <v>0</v>
      </c>
      <c r="H30">
        <v>19.107768946929163</v>
      </c>
      <c r="I30">
        <v>0.096018939431804839</v>
      </c>
      <c r="J30" t="s">
        <v>137</v>
      </c>
      <c r="K30">
        <v>0.66877191314252071</v>
      </c>
      <c r="L30">
        <v>19.872559799503488</v>
      </c>
      <c r="M30">
        <v>0</v>
      </c>
      <c r="N30">
        <v>2.80</v>
      </c>
      <c r="O30">
        <v>22.672559799503489</v>
      </c>
      <c r="P30" t="s">
        <v>138</v>
      </c>
      <c r="Q30">
        <v>1.1923535879702094</v>
      </c>
      <c r="R30" t="s">
        <v>138</v>
      </c>
      <c r="S30">
        <v>0.16800000000000001</v>
      </c>
      <c r="T30" t="s">
        <v>139</v>
      </c>
      <c r="U30">
        <v>2.7207071759404187</v>
      </c>
      <c r="V30" t="s">
        <v>216</v>
      </c>
      <c r="W30">
        <v>0.11336279899751744</v>
      </c>
      <c r="X30" t="s">
        <v>217</v>
      </c>
      <c r="Y30">
        <v>0.45345119599006978</v>
      </c>
      <c r="Z30">
        <v>27.320434558401704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N30" t="s">
        <v>347</v>
      </c>
      <c r="AO30" t="s">
        <v>92</v>
      </c>
      <c r="AP30">
        <v>400000</v>
      </c>
      <c r="AQ30" t="s">
        <v>76</v>
      </c>
      <c r="AR30">
        <v>0</v>
      </c>
      <c r="AS30">
        <v>20000</v>
      </c>
      <c r="AT30" t="s">
        <v>9</v>
      </c>
      <c r="AU30" t="s">
        <v>78</v>
      </c>
      <c r="AV30" t="s">
        <v>79</v>
      </c>
      <c r="AY30">
        <v>0</v>
      </c>
    </row>
    <row r="31" spans="1:52" ht="12.75">
      <c r="A31" s="2" t="str">
        <f>HYPERLINK("https://ibp.a2mac1.com/costing(costing:projects/details/8191/assembly/5380917)","Drums system")</f>
        <v>Drums system</v>
      </c>
      <c r="B31">
        <v>5380917</v>
      </c>
      <c r="D31">
        <v>5380889</v>
      </c>
      <c r="F31">
        <v>1</v>
      </c>
      <c r="G31">
        <v>0</v>
      </c>
      <c r="H31">
        <v>80.221115160483862</v>
      </c>
      <c r="I31">
        <v>0</v>
      </c>
      <c r="J31" t="s">
        <v>90</v>
      </c>
      <c r="K31">
        <v>0</v>
      </c>
      <c r="L31">
        <v>80.221115160483862</v>
      </c>
      <c r="M31">
        <v>0</v>
      </c>
      <c r="N31">
        <v>0</v>
      </c>
      <c r="O31">
        <v>80.221115160483862</v>
      </c>
      <c r="P31" t="s">
        <v>90</v>
      </c>
      <c r="Q31">
        <v>0</v>
      </c>
      <c r="R31" t="s">
        <v>90</v>
      </c>
      <c r="S31">
        <v>0</v>
      </c>
      <c r="T31" t="s">
        <v>90</v>
      </c>
      <c r="U31">
        <v>0</v>
      </c>
      <c r="V31" t="s">
        <v>90</v>
      </c>
      <c r="W31">
        <v>0</v>
      </c>
      <c r="X31" t="s">
        <v>90</v>
      </c>
      <c r="Y31">
        <v>0</v>
      </c>
      <c r="Z31">
        <v>80.221115160483862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29.245999999999999</v>
      </c>
      <c r="AN31" t="s">
        <v>91</v>
      </c>
      <c r="AO31" t="s">
        <v>92</v>
      </c>
      <c r="AP31">
        <v>200000</v>
      </c>
      <c r="AQ31" t="s">
        <v>92</v>
      </c>
      <c r="AS31">
        <v>10000</v>
      </c>
      <c r="AT31" t="s">
        <v>368</v>
      </c>
      <c r="AU31" t="s">
        <v>78</v>
      </c>
      <c r="AV31" t="s">
        <v>79</v>
      </c>
      <c r="AY31">
        <v>0</v>
      </c>
    </row>
    <row r="32" spans="1:52" ht="12.75">
      <c r="A32" s="2" t="str">
        <f>HYPERLINK("https://ibp.a2mac1.com/costing(costing:projects/details/8191/assembly/5380918)","ABS Wiring Supports")</f>
        <v>ABS Wiring Supports</v>
      </c>
      <c r="B32">
        <v>5380918</v>
      </c>
      <c r="D32">
        <v>5380889</v>
      </c>
      <c r="F32">
        <v>1</v>
      </c>
      <c r="G32">
        <v>0</v>
      </c>
      <c r="H32">
        <v>0.87172000000000005</v>
      </c>
      <c r="I32">
        <v>0</v>
      </c>
      <c r="J32" t="s">
        <v>90</v>
      </c>
      <c r="K32">
        <v>0</v>
      </c>
      <c r="L32">
        <v>0.87172000000000005</v>
      </c>
      <c r="M32">
        <v>0</v>
      </c>
      <c r="N32">
        <v>0</v>
      </c>
      <c r="O32">
        <v>0.87172000000000005</v>
      </c>
      <c r="P32" t="s">
        <v>90</v>
      </c>
      <c r="Q32">
        <v>0</v>
      </c>
      <c r="R32" t="s">
        <v>90</v>
      </c>
      <c r="S32">
        <v>0</v>
      </c>
      <c r="T32" t="s">
        <v>90</v>
      </c>
      <c r="U32">
        <v>0</v>
      </c>
      <c r="V32" t="s">
        <v>90</v>
      </c>
      <c r="W32">
        <v>0</v>
      </c>
      <c r="X32" t="s">
        <v>90</v>
      </c>
      <c r="Y32">
        <v>0</v>
      </c>
      <c r="Z32">
        <v>0.87172000000000005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0.25700000000000001</v>
      </c>
      <c r="AN32" t="s">
        <v>91</v>
      </c>
      <c r="AO32" t="s">
        <v>92</v>
      </c>
      <c r="AP32">
        <v>200000</v>
      </c>
      <c r="AQ32" t="s">
        <v>92</v>
      </c>
      <c r="AS32">
        <v>10000</v>
      </c>
      <c r="AT32" t="s">
        <v>372</v>
      </c>
      <c r="AU32" t="s">
        <v>78</v>
      </c>
      <c r="AV32" t="s">
        <v>79</v>
      </c>
      <c r="AY32">
        <v>0</v>
      </c>
    </row>
    <row r="33" spans="1:52" ht="12.75">
      <c r="A33" s="2" t="str">
        <f>HYPERLINK("https://ibp.a2mac1.com/costing(costing:projects/details/8191/assembly/5380889)","Rear Brakes")</f>
        <v>Rear Brakes</v>
      </c>
      <c r="B33">
        <v>5380889</v>
      </c>
      <c r="D33">
        <v>5380884</v>
      </c>
      <c r="F33">
        <v>1</v>
      </c>
      <c r="G33">
        <v>0</v>
      </c>
      <c r="H33">
        <v>90.592835160483858</v>
      </c>
      <c r="I33">
        <v>0</v>
      </c>
      <c r="J33" t="s">
        <v>90</v>
      </c>
      <c r="K33">
        <v>0</v>
      </c>
      <c r="L33">
        <v>90.592835160483858</v>
      </c>
      <c r="M33">
        <v>0</v>
      </c>
      <c r="N33">
        <v>0</v>
      </c>
      <c r="O33">
        <v>90.592835160483858</v>
      </c>
      <c r="P33" t="s">
        <v>90</v>
      </c>
      <c r="Q33">
        <v>0</v>
      </c>
      <c r="R33" t="s">
        <v>90</v>
      </c>
      <c r="S33">
        <v>0</v>
      </c>
      <c r="T33" t="s">
        <v>90</v>
      </c>
      <c r="U33">
        <v>0</v>
      </c>
      <c r="V33" t="s">
        <v>90</v>
      </c>
      <c r="W33">
        <v>0</v>
      </c>
      <c r="X33" t="s">
        <v>90</v>
      </c>
      <c r="Y33">
        <v>0</v>
      </c>
      <c r="Z33">
        <v>90.592835160483858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29.792000000000002</v>
      </c>
      <c r="AN33" t="s">
        <v>91</v>
      </c>
      <c r="AO33" t="s">
        <v>92</v>
      </c>
      <c r="AP33">
        <v>200000</v>
      </c>
      <c r="AQ33" t="s">
        <v>92</v>
      </c>
      <c r="AS33">
        <v>10000</v>
      </c>
      <c r="AT33" t="s">
        <v>376</v>
      </c>
      <c r="AU33" t="s">
        <v>78</v>
      </c>
      <c r="AV33" t="s">
        <v>79</v>
      </c>
      <c r="AY33">
        <v>0</v>
      </c>
    </row>
    <row r="34" spans="1:52" ht="12.75">
      <c r="A34" s="2" t="str">
        <f>HYPERLINK("https://ibp.a2mac1.com/costing(costing:projects/details/8191/assembly/5380884)","Brakes Mechanism")</f>
        <v>Brakes Mechanism</v>
      </c>
      <c r="B34">
        <v>5380884</v>
      </c>
      <c r="C34">
        <v>8191</v>
      </c>
      <c r="F34">
        <v>1</v>
      </c>
      <c r="G34">
        <v>0</v>
      </c>
      <c r="H34">
        <v>453.27814237109249</v>
      </c>
      <c r="I34">
        <v>0</v>
      </c>
      <c r="J34" t="s">
        <v>90</v>
      </c>
      <c r="K34">
        <v>0</v>
      </c>
      <c r="L34">
        <v>453.27814237109249</v>
      </c>
      <c r="M34">
        <v>0</v>
      </c>
      <c r="N34">
        <v>0</v>
      </c>
      <c r="O34">
        <v>453.27814237109249</v>
      </c>
      <c r="P34" t="s">
        <v>90</v>
      </c>
      <c r="Q34">
        <v>0</v>
      </c>
      <c r="R34" t="s">
        <v>90</v>
      </c>
      <c r="S34">
        <v>0</v>
      </c>
      <c r="T34" t="s">
        <v>90</v>
      </c>
      <c r="U34">
        <v>0</v>
      </c>
      <c r="V34" t="s">
        <v>90</v>
      </c>
      <c r="W34">
        <v>0</v>
      </c>
      <c r="X34" t="s">
        <v>90</v>
      </c>
      <c r="Y34">
        <v>0</v>
      </c>
      <c r="Z34">
        <v>453.27814237109249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83.509</v>
      </c>
      <c r="AN34" t="s">
        <v>91</v>
      </c>
      <c r="AO34" t="s">
        <v>92</v>
      </c>
      <c r="AP34">
        <v>200000</v>
      </c>
      <c r="AQ34" t="s">
        <v>92</v>
      </c>
      <c r="AS34">
        <v>10000</v>
      </c>
      <c r="AT34" t="s">
        <v>377</v>
      </c>
      <c r="AU34" t="s">
        <v>78</v>
      </c>
      <c r="AV34" t="s">
        <v>79</v>
      </c>
      <c r="AY34">
        <v>0</v>
      </c>
    </row>
    <row r="35" spans="1:52" ht="12.75">
      <c r="A35" s="2" t="str">
        <f>HYPERLINK("https://ibp.a2mac1.com/costing(costing:projects/details/8191/assembly/5381004)","Front")</f>
        <v>Front</v>
      </c>
      <c r="B35">
        <v>5381004</v>
      </c>
      <c r="D35">
        <v>5380998</v>
      </c>
      <c r="F35">
        <v>2</v>
      </c>
      <c r="G35">
        <v>0</v>
      </c>
      <c r="H35">
        <v>93.449963398260607</v>
      </c>
      <c r="I35">
        <v>0.4695978060214101</v>
      </c>
      <c r="J35" t="s">
        <v>137</v>
      </c>
      <c r="K35">
        <v>3.2707487189391213</v>
      </c>
      <c r="L35">
        <v>97.190309923221136</v>
      </c>
      <c r="M35">
        <v>0</v>
      </c>
      <c r="N35">
        <v>7.1530584659200684</v>
      </c>
      <c r="O35">
        <v>104.3433683891412</v>
      </c>
      <c r="P35" t="s">
        <v>138</v>
      </c>
      <c r="Q35">
        <v>5.8314185953932682</v>
      </c>
      <c r="R35" t="s">
        <v>138</v>
      </c>
      <c r="S35">
        <v>0.4291835079552041</v>
      </c>
      <c r="T35" t="s">
        <v>139</v>
      </c>
      <c r="U35">
        <v>12.521204206696945</v>
      </c>
      <c r="V35" t="s">
        <v>90</v>
      </c>
      <c r="W35">
        <v>0</v>
      </c>
      <c r="X35" t="s">
        <v>90</v>
      </c>
      <c r="Y35">
        <v>0</v>
      </c>
      <c r="Z35">
        <v>123.12517469918663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16.242999999999999</v>
      </c>
      <c r="AN35" t="s">
        <v>213</v>
      </c>
      <c r="AO35" t="s">
        <v>92</v>
      </c>
      <c r="AP35">
        <v>400000</v>
      </c>
      <c r="AQ35" t="s">
        <v>76</v>
      </c>
      <c r="AS35">
        <v>20000</v>
      </c>
      <c r="AT35" t="s">
        <v>396</v>
      </c>
      <c r="AU35" t="s">
        <v>78</v>
      </c>
      <c r="AV35" t="s">
        <v>79</v>
      </c>
      <c r="AY35">
        <v>0</v>
      </c>
    </row>
    <row r="36" spans="1:52" ht="12.75">
      <c r="A36" s="2" t="str">
        <f>HYPERLINK("https://ibp.a2mac1.com/costing(costing:projects/details/8191/assembly/5381005)","Rear")</f>
        <v>Rear</v>
      </c>
      <c r="B36">
        <v>5381005</v>
      </c>
      <c r="D36">
        <v>5380998</v>
      </c>
      <c r="F36">
        <v>2</v>
      </c>
      <c r="G36">
        <v>0</v>
      </c>
      <c r="H36">
        <v>54.546206974931941</v>
      </c>
      <c r="I36">
        <v>0.27410154258759767</v>
      </c>
      <c r="J36" t="s">
        <v>137</v>
      </c>
      <c r="K36">
        <v>1.9091172441226179</v>
      </c>
      <c r="L36">
        <v>56.729425761642155</v>
      </c>
      <c r="M36">
        <v>0</v>
      </c>
      <c r="N36">
        <v>4.74</v>
      </c>
      <c r="O36">
        <v>61.469425761642157</v>
      </c>
      <c r="P36" t="s">
        <v>138</v>
      </c>
      <c r="Q36">
        <v>3.4037655456985294</v>
      </c>
      <c r="R36" t="s">
        <v>138</v>
      </c>
      <c r="S36">
        <v>0.28439999999999999</v>
      </c>
      <c r="T36" t="s">
        <v>139</v>
      </c>
      <c r="U36">
        <v>7.3763310913970583</v>
      </c>
      <c r="V36" t="s">
        <v>90</v>
      </c>
      <c r="W36">
        <v>0</v>
      </c>
      <c r="X36" t="s">
        <v>90</v>
      </c>
      <c r="Y36">
        <v>0</v>
      </c>
      <c r="Z36">
        <v>72.533922398737744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13.693</v>
      </c>
      <c r="AN36" t="s">
        <v>213</v>
      </c>
      <c r="AO36" t="s">
        <v>92</v>
      </c>
      <c r="AP36">
        <v>400000</v>
      </c>
      <c r="AQ36" t="s">
        <v>76</v>
      </c>
      <c r="AS36">
        <v>20000</v>
      </c>
      <c r="AT36" t="s">
        <v>408</v>
      </c>
      <c r="AU36" t="s">
        <v>78</v>
      </c>
      <c r="AV36" t="s">
        <v>79</v>
      </c>
      <c r="AY36">
        <v>0</v>
      </c>
    </row>
    <row r="37" spans="1:52" ht="12.75">
      <c r="A37" s="2" t="str">
        <f>HYPERLINK("https://ibp.a2mac1.com/costing(costing:projects/details/8191/assembly/5380998)","Shocks absorbers")</f>
        <v>Shocks absorbers</v>
      </c>
      <c r="B37">
        <v>5380998</v>
      </c>
      <c r="D37">
        <v>5380997</v>
      </c>
      <c r="F37">
        <v>1</v>
      </c>
      <c r="G37">
        <v>0</v>
      </c>
      <c r="H37">
        <v>212.95909709792437</v>
      </c>
      <c r="I37">
        <v>0</v>
      </c>
      <c r="J37" t="s">
        <v>90</v>
      </c>
      <c r="K37">
        <v>0</v>
      </c>
      <c r="L37">
        <v>212.95909709792437</v>
      </c>
      <c r="M37">
        <v>0</v>
      </c>
      <c r="N37">
        <v>0</v>
      </c>
      <c r="O37">
        <v>212.95909709792437</v>
      </c>
      <c r="P37" t="s">
        <v>90</v>
      </c>
      <c r="Q37">
        <v>0</v>
      </c>
      <c r="R37" t="s">
        <v>90</v>
      </c>
      <c r="S37">
        <v>0</v>
      </c>
      <c r="T37" t="s">
        <v>90</v>
      </c>
      <c r="U37">
        <v>0</v>
      </c>
      <c r="V37" t="s">
        <v>90</v>
      </c>
      <c r="W37">
        <v>0</v>
      </c>
      <c r="X37" t="s">
        <v>90</v>
      </c>
      <c r="Y37">
        <v>0</v>
      </c>
      <c r="Z37">
        <v>212.95909709792437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29.936</v>
      </c>
      <c r="AN37" t="s">
        <v>91</v>
      </c>
      <c r="AO37" t="s">
        <v>92</v>
      </c>
      <c r="AP37">
        <v>200000</v>
      </c>
      <c r="AQ37" t="s">
        <v>92</v>
      </c>
      <c r="AS37">
        <v>10000</v>
      </c>
      <c r="AT37" t="s">
        <v>409</v>
      </c>
      <c r="AU37" t="s">
        <v>78</v>
      </c>
      <c r="AV37" t="s">
        <v>79</v>
      </c>
      <c r="AY37">
        <v>0</v>
      </c>
    </row>
    <row r="38" spans="1:52" ht="12.75">
      <c r="A38" s="2" t="str">
        <f>HYPERLINK("https://ibp.a2mac1.com/costing(costing:projects/details/8191/assembly/5381079)","K-Frame Reinforcement System")</f>
        <v>K-Frame Reinforcement System</v>
      </c>
      <c r="B38">
        <v>5381079</v>
      </c>
      <c r="D38">
        <v>5381006</v>
      </c>
      <c r="F38">
        <v>1</v>
      </c>
      <c r="G38">
        <v>0</v>
      </c>
      <c r="H38">
        <v>15.13</v>
      </c>
      <c r="I38">
        <v>0</v>
      </c>
      <c r="J38" t="s">
        <v>90</v>
      </c>
      <c r="K38">
        <v>0</v>
      </c>
      <c r="L38">
        <v>15.13</v>
      </c>
      <c r="M38">
        <v>0</v>
      </c>
      <c r="N38">
        <v>0</v>
      </c>
      <c r="O38">
        <v>15.13</v>
      </c>
      <c r="P38" t="s">
        <v>90</v>
      </c>
      <c r="Q38">
        <v>0</v>
      </c>
      <c r="R38" t="s">
        <v>90</v>
      </c>
      <c r="S38">
        <v>0</v>
      </c>
      <c r="T38" t="s">
        <v>90</v>
      </c>
      <c r="U38">
        <v>0</v>
      </c>
      <c r="V38" t="s">
        <v>90</v>
      </c>
      <c r="W38">
        <v>0</v>
      </c>
      <c r="X38" t="s">
        <v>90</v>
      </c>
      <c r="Y38">
        <v>0</v>
      </c>
      <c r="Z38">
        <v>15.13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4.016</v>
      </c>
      <c r="AN38" t="s">
        <v>91</v>
      </c>
      <c r="AO38" t="s">
        <v>92</v>
      </c>
      <c r="AP38">
        <v>200000</v>
      </c>
      <c r="AQ38" t="s">
        <v>92</v>
      </c>
      <c r="AS38">
        <v>10000</v>
      </c>
      <c r="AT38" t="s">
        <v>415</v>
      </c>
      <c r="AU38" t="s">
        <v>78</v>
      </c>
      <c r="AV38" t="s">
        <v>79</v>
      </c>
      <c r="AY38">
        <v>0</v>
      </c>
    </row>
    <row r="39" spans="1:52" ht="12.75">
      <c r="A39" s="2" t="str">
        <f>HYPERLINK("https://ibp.a2mac1.com/costing(costing:projects/details/8191/assembly/5381080)","Arm Suspension System")</f>
        <v>Arm Suspension System</v>
      </c>
      <c r="B39">
        <v>5381080</v>
      </c>
      <c r="D39">
        <v>5381006</v>
      </c>
      <c r="F39">
        <v>1</v>
      </c>
      <c r="G39">
        <v>0</v>
      </c>
      <c r="H39">
        <v>35.961180453882605</v>
      </c>
      <c r="I39">
        <v>0</v>
      </c>
      <c r="J39" t="s">
        <v>90</v>
      </c>
      <c r="K39">
        <v>0</v>
      </c>
      <c r="L39">
        <v>35.961180453882605</v>
      </c>
      <c r="M39">
        <v>0</v>
      </c>
      <c r="N39">
        <v>0</v>
      </c>
      <c r="O39">
        <v>35.961180453882605</v>
      </c>
      <c r="P39" t="s">
        <v>90</v>
      </c>
      <c r="Q39">
        <v>0</v>
      </c>
      <c r="R39" t="s">
        <v>90</v>
      </c>
      <c r="S39">
        <v>0</v>
      </c>
      <c r="T39" t="s">
        <v>90</v>
      </c>
      <c r="U39">
        <v>0</v>
      </c>
      <c r="V39" t="s">
        <v>90</v>
      </c>
      <c r="W39">
        <v>0</v>
      </c>
      <c r="X39" t="s">
        <v>90</v>
      </c>
      <c r="Y39">
        <v>0</v>
      </c>
      <c r="Z39">
        <v>35.961180453882605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7.01</v>
      </c>
      <c r="AN39" t="s">
        <v>91</v>
      </c>
      <c r="AO39" t="s">
        <v>92</v>
      </c>
      <c r="AP39">
        <v>200000</v>
      </c>
      <c r="AQ39" t="s">
        <v>92</v>
      </c>
      <c r="AS39">
        <v>10000</v>
      </c>
      <c r="AT39" t="s">
        <v>420</v>
      </c>
      <c r="AU39" t="s">
        <v>78</v>
      </c>
      <c r="AV39" t="s">
        <v>79</v>
      </c>
      <c r="AY39">
        <v>0</v>
      </c>
    </row>
    <row r="40" spans="1:52" ht="12.75">
      <c r="A40" s="2" t="str">
        <f>HYPERLINK("https://ibp.a2mac1.com/costing(costing:projects/details/8191/assembly/5381081)","Stabilizer Bar System")</f>
        <v>Stabilizer Bar System</v>
      </c>
      <c r="B40">
        <v>5381081</v>
      </c>
      <c r="D40">
        <v>5381006</v>
      </c>
      <c r="F40">
        <v>1</v>
      </c>
      <c r="G40">
        <v>0</v>
      </c>
      <c r="H40">
        <v>27.389930063580476</v>
      </c>
      <c r="I40">
        <v>0</v>
      </c>
      <c r="J40" t="s">
        <v>90</v>
      </c>
      <c r="K40">
        <v>0</v>
      </c>
      <c r="L40">
        <v>27.389930063580476</v>
      </c>
      <c r="M40">
        <v>0</v>
      </c>
      <c r="N40">
        <v>0</v>
      </c>
      <c r="O40">
        <v>27.389930063580476</v>
      </c>
      <c r="P40" t="s">
        <v>90</v>
      </c>
      <c r="Q40">
        <v>0</v>
      </c>
      <c r="R40" t="s">
        <v>90</v>
      </c>
      <c r="S40">
        <v>0</v>
      </c>
      <c r="T40" t="s">
        <v>90</v>
      </c>
      <c r="U40">
        <v>0</v>
      </c>
      <c r="V40" t="s">
        <v>90</v>
      </c>
      <c r="W40">
        <v>0</v>
      </c>
      <c r="X40" t="s">
        <v>90</v>
      </c>
      <c r="Y40">
        <v>0</v>
      </c>
      <c r="Z40">
        <v>27.389930063580476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4.851</v>
      </c>
      <c r="AN40" t="s">
        <v>91</v>
      </c>
      <c r="AO40" t="s">
        <v>92</v>
      </c>
      <c r="AP40">
        <v>200000</v>
      </c>
      <c r="AQ40" t="s">
        <v>92</v>
      </c>
      <c r="AS40">
        <v>10000</v>
      </c>
      <c r="AT40" t="s">
        <v>426</v>
      </c>
      <c r="AU40" t="s">
        <v>78</v>
      </c>
      <c r="AV40" t="s">
        <v>79</v>
      </c>
      <c r="AY40">
        <v>0</v>
      </c>
    </row>
    <row r="41" spans="1:52" ht="12.75">
      <c r="A41" s="2" t="str">
        <f>HYPERLINK("https://ibp.a2mac1.com/costing(costing:projects/details/8191/assembly/5381082)","Steering Knuckle")</f>
        <v>Steering Knuckle</v>
      </c>
      <c r="B41">
        <v>5381082</v>
      </c>
      <c r="D41">
        <v>5381006</v>
      </c>
      <c r="F41">
        <v>1</v>
      </c>
      <c r="G41">
        <v>0</v>
      </c>
      <c r="H41">
        <v>86.959758710284518</v>
      </c>
      <c r="I41">
        <v>0</v>
      </c>
      <c r="J41" t="s">
        <v>90</v>
      </c>
      <c r="K41">
        <v>0</v>
      </c>
      <c r="L41">
        <v>86.959758710284518</v>
      </c>
      <c r="M41">
        <v>0</v>
      </c>
      <c r="N41">
        <v>0</v>
      </c>
      <c r="O41">
        <v>86.959758710284518</v>
      </c>
      <c r="P41" t="s">
        <v>90</v>
      </c>
      <c r="Q41">
        <v>0</v>
      </c>
      <c r="R41" t="s">
        <v>90</v>
      </c>
      <c r="S41">
        <v>0</v>
      </c>
      <c r="T41" t="s">
        <v>90</v>
      </c>
      <c r="U41">
        <v>0</v>
      </c>
      <c r="V41" t="s">
        <v>90</v>
      </c>
      <c r="W41">
        <v>0</v>
      </c>
      <c r="X41" t="s">
        <v>90</v>
      </c>
      <c r="Y41">
        <v>0</v>
      </c>
      <c r="Z41">
        <v>86.959758710284518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12.922000000000001</v>
      </c>
      <c r="AN41" t="s">
        <v>91</v>
      </c>
      <c r="AO41" t="s">
        <v>92</v>
      </c>
      <c r="AP41">
        <v>200000</v>
      </c>
      <c r="AQ41" t="s">
        <v>92</v>
      </c>
      <c r="AS41">
        <v>10000</v>
      </c>
      <c r="AT41" t="s">
        <v>434</v>
      </c>
      <c r="AU41" t="s">
        <v>78</v>
      </c>
      <c r="AV41" t="s">
        <v>79</v>
      </c>
      <c r="AY41">
        <v>0</v>
      </c>
    </row>
    <row r="42" spans="1:52" ht="12.75">
      <c r="A42" s="2" t="str">
        <f>HYPERLINK("https://ibp.a2mac1.com/costing(costing:projects/details/8191/assembly/5381083)","K-Frame")</f>
        <v>K-Frame</v>
      </c>
      <c r="B42">
        <v>5381083</v>
      </c>
      <c r="D42">
        <v>5381006</v>
      </c>
      <c r="F42">
        <v>1</v>
      </c>
      <c r="G42">
        <v>0</v>
      </c>
      <c r="H42">
        <v>61.439556608600881</v>
      </c>
      <c r="I42">
        <v>0.30874149049548183</v>
      </c>
      <c r="J42" t="s">
        <v>137</v>
      </c>
      <c r="K42">
        <v>2.1503844813010309</v>
      </c>
      <c r="L42">
        <v>63.898682580397399</v>
      </c>
      <c r="M42">
        <v>0</v>
      </c>
      <c r="N42">
        <v>55.764027315413266</v>
      </c>
      <c r="O42">
        <v>119.66270989581066</v>
      </c>
      <c r="P42" t="s">
        <v>138</v>
      </c>
      <c r="Q42">
        <v>3.833920954823844</v>
      </c>
      <c r="R42" t="s">
        <v>138</v>
      </c>
      <c r="S42">
        <v>3.3458416389247958</v>
      </c>
      <c r="T42" t="s">
        <v>139</v>
      </c>
      <c r="U42">
        <v>14.35952518749728</v>
      </c>
      <c r="V42" t="s">
        <v>90</v>
      </c>
      <c r="W42">
        <v>0</v>
      </c>
      <c r="X42" t="s">
        <v>90</v>
      </c>
      <c r="Y42">
        <v>0</v>
      </c>
      <c r="Z42">
        <v>141.20199767705657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758</v>
      </c>
      <c r="AI42">
        <v>986</v>
      </c>
      <c r="AJ42">
        <v>254</v>
      </c>
      <c r="AK42">
        <v>0</v>
      </c>
      <c r="AL42">
        <v>21.052</v>
      </c>
      <c r="AN42" t="s">
        <v>213</v>
      </c>
      <c r="AO42" t="s">
        <v>92</v>
      </c>
      <c r="AP42">
        <v>200000</v>
      </c>
      <c r="AQ42" t="s">
        <v>76</v>
      </c>
      <c r="AS42">
        <v>10000</v>
      </c>
      <c r="AT42" t="s">
        <v>439</v>
      </c>
      <c r="AU42" t="s">
        <v>78</v>
      </c>
      <c r="AV42" t="s">
        <v>79</v>
      </c>
      <c r="AY42">
        <v>0</v>
      </c>
    </row>
    <row r="43" spans="1:52" ht="12.75">
      <c r="A43" s="2" t="str">
        <f>HYPERLINK("https://ibp.a2mac1.com/costing(costing:projects/details/8191/assembly/5381006)","Front Axle")</f>
        <v>Front Axle</v>
      </c>
      <c r="B43">
        <v>5381006</v>
      </c>
      <c r="D43">
        <v>5380999</v>
      </c>
      <c r="F43">
        <v>1</v>
      </c>
      <c r="G43">
        <v>0</v>
      </c>
      <c r="H43">
        <v>318.44286690480419</v>
      </c>
      <c r="I43">
        <v>0</v>
      </c>
      <c r="J43" t="s">
        <v>90</v>
      </c>
      <c r="K43">
        <v>0</v>
      </c>
      <c r="L43">
        <v>318.44286690480419</v>
      </c>
      <c r="M43">
        <v>0</v>
      </c>
      <c r="N43">
        <v>0</v>
      </c>
      <c r="O43">
        <v>318.44286690480419</v>
      </c>
      <c r="P43" t="s">
        <v>90</v>
      </c>
      <c r="Q43">
        <v>0</v>
      </c>
      <c r="R43" t="s">
        <v>90</v>
      </c>
      <c r="S43">
        <v>0</v>
      </c>
      <c r="T43" t="s">
        <v>90</v>
      </c>
      <c r="U43">
        <v>0</v>
      </c>
      <c r="V43" t="s">
        <v>90</v>
      </c>
      <c r="W43">
        <v>0</v>
      </c>
      <c r="X43" t="s">
        <v>90</v>
      </c>
      <c r="Y43">
        <v>0</v>
      </c>
      <c r="Z43">
        <v>318.44286690480419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790</v>
      </c>
      <c r="AI43">
        <v>1770</v>
      </c>
      <c r="AJ43">
        <v>885</v>
      </c>
      <c r="AK43">
        <v>0</v>
      </c>
      <c r="AL43">
        <v>51.189</v>
      </c>
      <c r="AN43" t="s">
        <v>91</v>
      </c>
      <c r="AO43" t="s">
        <v>92</v>
      </c>
      <c r="AP43">
        <v>200000</v>
      </c>
      <c r="AQ43" t="s">
        <v>92</v>
      </c>
      <c r="AS43">
        <v>10000</v>
      </c>
      <c r="AT43" t="s">
        <v>442</v>
      </c>
      <c r="AU43" t="s">
        <v>78</v>
      </c>
      <c r="AV43" t="s">
        <v>79</v>
      </c>
      <c r="AY43">
        <v>0</v>
      </c>
    </row>
    <row r="44" spans="1:52" ht="12.75">
      <c r="A44" s="2" t="str">
        <f>HYPERLINK("https://ibp.a2mac1.com/costing(costing:projects/details/8191/assembly/5381085)","Arm Suspension System")</f>
        <v>Arm Suspension System</v>
      </c>
      <c r="B44">
        <v>5381085</v>
      </c>
      <c r="D44">
        <v>5381007</v>
      </c>
      <c r="F44">
        <v>1</v>
      </c>
      <c r="G44">
        <v>0</v>
      </c>
      <c r="H44">
        <v>88.622275533175142</v>
      </c>
      <c r="I44">
        <v>0</v>
      </c>
      <c r="J44" t="s">
        <v>90</v>
      </c>
      <c r="K44">
        <v>0</v>
      </c>
      <c r="L44">
        <v>88.622275533175142</v>
      </c>
      <c r="M44">
        <v>0</v>
      </c>
      <c r="N44">
        <v>0</v>
      </c>
      <c r="O44">
        <v>88.622275533175142</v>
      </c>
      <c r="P44" t="s">
        <v>90</v>
      </c>
      <c r="Q44">
        <v>0</v>
      </c>
      <c r="R44" t="s">
        <v>90</v>
      </c>
      <c r="S44">
        <v>0</v>
      </c>
      <c r="T44" t="s">
        <v>90</v>
      </c>
      <c r="U44">
        <v>0</v>
      </c>
      <c r="V44" t="s">
        <v>90</v>
      </c>
      <c r="W44">
        <v>0</v>
      </c>
      <c r="X44" t="s">
        <v>90</v>
      </c>
      <c r="Y44">
        <v>0</v>
      </c>
      <c r="Z44">
        <v>88.622275533175142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12.364000000000001</v>
      </c>
      <c r="AN44" t="s">
        <v>91</v>
      </c>
      <c r="AO44" t="s">
        <v>92</v>
      </c>
      <c r="AP44">
        <v>200000</v>
      </c>
      <c r="AQ44" t="s">
        <v>92</v>
      </c>
      <c r="AS44">
        <v>10000</v>
      </c>
      <c r="AT44" t="s">
        <v>454</v>
      </c>
      <c r="AU44" t="s">
        <v>78</v>
      </c>
      <c r="AV44" t="s">
        <v>79</v>
      </c>
      <c r="AY44">
        <v>0</v>
      </c>
    </row>
    <row r="45" spans="1:52" ht="12.75">
      <c r="A45" s="2" t="str">
        <f>HYPERLINK("https://ibp.a2mac1.com/costing(costing:projects/details/8191/assembly/5381086)","Stabilizer Bar System")</f>
        <v>Stabilizer Bar System</v>
      </c>
      <c r="B45">
        <v>5381086</v>
      </c>
      <c r="D45">
        <v>5381007</v>
      </c>
      <c r="F45">
        <v>1</v>
      </c>
      <c r="G45">
        <v>0</v>
      </c>
      <c r="H45">
        <v>20.101332710218305</v>
      </c>
      <c r="I45">
        <v>0</v>
      </c>
      <c r="J45" t="s">
        <v>90</v>
      </c>
      <c r="K45">
        <v>0</v>
      </c>
      <c r="L45">
        <v>20.101332710218305</v>
      </c>
      <c r="M45">
        <v>0</v>
      </c>
      <c r="N45">
        <v>0</v>
      </c>
      <c r="O45">
        <v>20.101332710218305</v>
      </c>
      <c r="P45" t="s">
        <v>90</v>
      </c>
      <c r="Q45">
        <v>0</v>
      </c>
      <c r="R45" t="s">
        <v>90</v>
      </c>
      <c r="S45">
        <v>0</v>
      </c>
      <c r="T45" t="s">
        <v>90</v>
      </c>
      <c r="U45">
        <v>0</v>
      </c>
      <c r="V45" t="s">
        <v>90</v>
      </c>
      <c r="W45">
        <v>0</v>
      </c>
      <c r="X45" t="s">
        <v>90</v>
      </c>
      <c r="Y45">
        <v>0</v>
      </c>
      <c r="Z45">
        <v>20.101332710218305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3.14</v>
      </c>
      <c r="AN45" t="s">
        <v>91</v>
      </c>
      <c r="AO45" t="s">
        <v>92</v>
      </c>
      <c r="AP45">
        <v>200000</v>
      </c>
      <c r="AQ45" t="s">
        <v>92</v>
      </c>
      <c r="AS45">
        <v>10000</v>
      </c>
      <c r="AT45" t="s">
        <v>461</v>
      </c>
      <c r="AU45" t="s">
        <v>78</v>
      </c>
      <c r="AV45" t="s">
        <v>79</v>
      </c>
      <c r="AY45">
        <v>0</v>
      </c>
    </row>
    <row r="46" spans="1:52" ht="12.75">
      <c r="A46" s="2" t="str">
        <f>HYPERLINK("https://ibp.a2mac1.com/costing(costing:projects/details/8191/assembly/5381087)","Axle Cover/Aerodynamics Screen")</f>
        <v>Axle Cover/Aerodynamics Screen</v>
      </c>
      <c r="B46">
        <v>5381087</v>
      </c>
      <c r="D46">
        <v>5381007</v>
      </c>
      <c r="F46">
        <v>1</v>
      </c>
      <c r="G46">
        <v>0</v>
      </c>
      <c r="H46">
        <v>0.50</v>
      </c>
      <c r="I46">
        <v>0</v>
      </c>
      <c r="J46" t="s">
        <v>90</v>
      </c>
      <c r="K46">
        <v>0</v>
      </c>
      <c r="L46">
        <v>0.50</v>
      </c>
      <c r="M46">
        <v>0</v>
      </c>
      <c r="N46">
        <v>0</v>
      </c>
      <c r="O46">
        <v>0.50</v>
      </c>
      <c r="P46" t="s">
        <v>90</v>
      </c>
      <c r="Q46">
        <v>0</v>
      </c>
      <c r="R46" t="s">
        <v>90</v>
      </c>
      <c r="S46">
        <v>0</v>
      </c>
      <c r="T46" t="s">
        <v>90</v>
      </c>
      <c r="U46">
        <v>0</v>
      </c>
      <c r="V46" t="s">
        <v>90</v>
      </c>
      <c r="W46">
        <v>0</v>
      </c>
      <c r="X46" t="s">
        <v>90</v>
      </c>
      <c r="Y46">
        <v>0</v>
      </c>
      <c r="Z46">
        <v>0.50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0.145</v>
      </c>
      <c r="AN46" t="s">
        <v>91</v>
      </c>
      <c r="AO46" t="s">
        <v>92</v>
      </c>
      <c r="AP46">
        <v>200000</v>
      </c>
      <c r="AQ46" t="s">
        <v>92</v>
      </c>
      <c r="AS46">
        <v>10000</v>
      </c>
      <c r="AT46" t="s">
        <v>464</v>
      </c>
      <c r="AU46" t="s">
        <v>78</v>
      </c>
      <c r="AV46" t="s">
        <v>79</v>
      </c>
      <c r="AY46">
        <v>0</v>
      </c>
    </row>
    <row r="47" spans="1:52" ht="12.75">
      <c r="A47" s="2" t="str">
        <f>HYPERLINK("https://ibp.a2mac1.com/costing(costing:projects/details/8191/assembly/5381088)","Rear Axle")</f>
        <v>Rear Axle</v>
      </c>
      <c r="B47">
        <v>5381088</v>
      </c>
      <c r="D47">
        <v>5381007</v>
      </c>
      <c r="F47">
        <v>1</v>
      </c>
      <c r="G47">
        <v>0</v>
      </c>
      <c r="H47">
        <v>172.53831738537852</v>
      </c>
      <c r="I47">
        <v>0.86702672052954033</v>
      </c>
      <c r="J47" t="s">
        <v>137</v>
      </c>
      <c r="K47">
        <v>6.0388411084882483</v>
      </c>
      <c r="L47">
        <v>179.44418521439633</v>
      </c>
      <c r="M47">
        <v>0</v>
      </c>
      <c r="N47">
        <v>84.076937955375556</v>
      </c>
      <c r="O47">
        <v>263.52112316977184</v>
      </c>
      <c r="P47" t="s">
        <v>138</v>
      </c>
      <c r="Q47">
        <v>10.766651112863778</v>
      </c>
      <c r="R47" t="s">
        <v>138</v>
      </c>
      <c r="S47">
        <v>5.0446162773225334</v>
      </c>
      <c r="T47" t="s">
        <v>139</v>
      </c>
      <c r="U47">
        <v>31.622534780372625</v>
      </c>
      <c r="V47" t="s">
        <v>90</v>
      </c>
      <c r="W47">
        <v>0</v>
      </c>
      <c r="X47" t="s">
        <v>90</v>
      </c>
      <c r="Y47">
        <v>0</v>
      </c>
      <c r="Z47">
        <v>310.95492534033082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885</v>
      </c>
      <c r="AI47">
        <v>1113</v>
      </c>
      <c r="AJ47">
        <v>322</v>
      </c>
      <c r="AK47">
        <v>0</v>
      </c>
      <c r="AL47">
        <v>34.332000000000001</v>
      </c>
      <c r="AN47" t="s">
        <v>213</v>
      </c>
      <c r="AO47" t="s">
        <v>92</v>
      </c>
      <c r="AP47">
        <v>200000</v>
      </c>
      <c r="AQ47" t="s">
        <v>76</v>
      </c>
      <c r="AS47">
        <v>10000</v>
      </c>
      <c r="AT47" t="s">
        <v>469</v>
      </c>
      <c r="AU47" t="s">
        <v>78</v>
      </c>
      <c r="AV47" t="s">
        <v>79</v>
      </c>
      <c r="AY47">
        <v>0</v>
      </c>
    </row>
    <row r="48" spans="1:52" ht="12.75">
      <c r="A48" s="2" t="str">
        <f>HYPERLINK("https://ibp.a2mac1.com/costing(costing:projects/details/8191/assembly/5381007)","Rear Axle")</f>
        <v>Rear Axle</v>
      </c>
      <c r="B48">
        <v>5381007</v>
      </c>
      <c r="D48">
        <v>5380999</v>
      </c>
      <c r="F48">
        <v>1</v>
      </c>
      <c r="G48">
        <v>0</v>
      </c>
      <c r="H48">
        <v>521.56494652774859</v>
      </c>
      <c r="I48">
        <v>0</v>
      </c>
      <c r="J48" t="s">
        <v>90</v>
      </c>
      <c r="K48">
        <v>0</v>
      </c>
      <c r="L48">
        <v>521.56494652774859</v>
      </c>
      <c r="M48">
        <v>0</v>
      </c>
      <c r="N48">
        <v>0</v>
      </c>
      <c r="O48">
        <v>521.56494652774859</v>
      </c>
      <c r="P48" t="s">
        <v>90</v>
      </c>
      <c r="Q48">
        <v>0</v>
      </c>
      <c r="R48" t="s">
        <v>90</v>
      </c>
      <c r="S48">
        <v>0</v>
      </c>
      <c r="T48" t="s">
        <v>90</v>
      </c>
      <c r="U48">
        <v>0</v>
      </c>
      <c r="V48" t="s">
        <v>90</v>
      </c>
      <c r="W48">
        <v>0</v>
      </c>
      <c r="X48" t="s">
        <v>90</v>
      </c>
      <c r="Y48">
        <v>0</v>
      </c>
      <c r="Z48">
        <v>521.56494652774859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N48" t="s">
        <v>91</v>
      </c>
      <c r="AO48" t="s">
        <v>92</v>
      </c>
      <c r="AP48">
        <v>200000</v>
      </c>
      <c r="AQ48" t="s">
        <v>92</v>
      </c>
      <c r="AS48">
        <v>10000</v>
      </c>
      <c r="AT48" t="s">
        <v>477</v>
      </c>
      <c r="AU48" t="s">
        <v>78</v>
      </c>
      <c r="AV48" t="s">
        <v>79</v>
      </c>
      <c r="AY48">
        <v>0</v>
      </c>
    </row>
    <row r="49" spans="1:52" ht="12.75">
      <c r="A49" s="2" t="str">
        <f>HYPERLINK("https://ibp.a2mac1.com/costing(costing:projects/details/8191/assembly/5380999)","Axles")</f>
        <v>Axles</v>
      </c>
      <c r="B49">
        <v>5380999</v>
      </c>
      <c r="D49">
        <v>5380997</v>
      </c>
      <c r="F49">
        <v>1</v>
      </c>
      <c r="G49">
        <v>0</v>
      </c>
      <c r="H49">
        <v>840.00781343255278</v>
      </c>
      <c r="I49">
        <v>0</v>
      </c>
      <c r="J49" t="s">
        <v>90</v>
      </c>
      <c r="K49">
        <v>0</v>
      </c>
      <c r="L49">
        <v>840.00781343255278</v>
      </c>
      <c r="M49">
        <v>0</v>
      </c>
      <c r="N49">
        <v>0</v>
      </c>
      <c r="O49">
        <v>840.00781343255278</v>
      </c>
      <c r="P49" t="s">
        <v>90</v>
      </c>
      <c r="Q49">
        <v>0</v>
      </c>
      <c r="R49" t="s">
        <v>90</v>
      </c>
      <c r="S49">
        <v>0</v>
      </c>
      <c r="T49" t="s">
        <v>90</v>
      </c>
      <c r="U49">
        <v>0</v>
      </c>
      <c r="V49" t="s">
        <v>90</v>
      </c>
      <c r="W49">
        <v>0</v>
      </c>
      <c r="X49" t="s">
        <v>90</v>
      </c>
      <c r="Y49">
        <v>0</v>
      </c>
      <c r="Z49">
        <v>840.00781343255278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N49" t="s">
        <v>91</v>
      </c>
      <c r="AO49" t="s">
        <v>92</v>
      </c>
      <c r="AP49">
        <v>200000</v>
      </c>
      <c r="AQ49" t="s">
        <v>92</v>
      </c>
      <c r="AS49">
        <v>10000</v>
      </c>
      <c r="AT49" t="s">
        <v>478</v>
      </c>
      <c r="AU49" t="s">
        <v>78</v>
      </c>
      <c r="AV49" t="s">
        <v>79</v>
      </c>
      <c r="AY49">
        <v>0</v>
      </c>
    </row>
    <row r="50" spans="1:52" ht="12.75">
      <c r="A50" s="2" t="str">
        <f>HYPERLINK("https://ibp.a2mac1.com/costing(costing:projects/details/8191/assembly/5381009)","Wheels")</f>
        <v>Wheels</v>
      </c>
      <c r="B50">
        <v>5381009</v>
      </c>
      <c r="D50">
        <v>5381000</v>
      </c>
      <c r="F50">
        <v>4</v>
      </c>
      <c r="G50">
        <v>0</v>
      </c>
      <c r="H50">
        <v>646.8889735936599</v>
      </c>
      <c r="I50">
        <v>0</v>
      </c>
      <c r="J50" t="s">
        <v>90</v>
      </c>
      <c r="K50">
        <v>0</v>
      </c>
      <c r="L50">
        <v>646.8889735936599</v>
      </c>
      <c r="M50">
        <v>0</v>
      </c>
      <c r="N50">
        <v>0</v>
      </c>
      <c r="O50">
        <v>646.8889735936599</v>
      </c>
      <c r="P50" t="s">
        <v>90</v>
      </c>
      <c r="Q50">
        <v>0</v>
      </c>
      <c r="R50" t="s">
        <v>90</v>
      </c>
      <c r="S50">
        <v>0</v>
      </c>
      <c r="T50" t="s">
        <v>90</v>
      </c>
      <c r="U50">
        <v>0</v>
      </c>
      <c r="V50" t="s">
        <v>90</v>
      </c>
      <c r="W50">
        <v>0</v>
      </c>
      <c r="X50" t="s">
        <v>90</v>
      </c>
      <c r="Y50">
        <v>0</v>
      </c>
      <c r="Z50">
        <v>646.8889735936599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118.45099999999999</v>
      </c>
      <c r="AN50" t="s">
        <v>91</v>
      </c>
      <c r="AO50" t="s">
        <v>92</v>
      </c>
      <c r="AP50">
        <v>800000</v>
      </c>
      <c r="AQ50" t="s">
        <v>92</v>
      </c>
      <c r="AS50">
        <v>40000</v>
      </c>
      <c r="AT50" t="s">
        <v>486</v>
      </c>
      <c r="AU50" t="s">
        <v>78</v>
      </c>
      <c r="AV50" t="s">
        <v>79</v>
      </c>
      <c r="AY50">
        <v>0</v>
      </c>
    </row>
    <row r="51" spans="1:52" ht="12.75">
      <c r="A51" s="2" t="str">
        <f>HYPERLINK("https://ibp.a2mac1.com/costing(costing:projects/details/8191/assembly/5381000)","Wheels")</f>
        <v>Wheels</v>
      </c>
      <c r="B51">
        <v>5381000</v>
      </c>
      <c r="D51">
        <v>5380997</v>
      </c>
      <c r="F51">
        <v>1</v>
      </c>
      <c r="G51">
        <v>0</v>
      </c>
      <c r="H51">
        <v>650.24897359365991</v>
      </c>
      <c r="I51">
        <v>0</v>
      </c>
      <c r="J51" t="s">
        <v>90</v>
      </c>
      <c r="K51">
        <v>0</v>
      </c>
      <c r="L51">
        <v>650.24897359365991</v>
      </c>
      <c r="M51">
        <v>0</v>
      </c>
      <c r="N51">
        <v>0</v>
      </c>
      <c r="O51">
        <v>650.24897359365991</v>
      </c>
      <c r="P51" t="s">
        <v>90</v>
      </c>
      <c r="Q51">
        <v>0</v>
      </c>
      <c r="R51" t="s">
        <v>90</v>
      </c>
      <c r="S51">
        <v>0</v>
      </c>
      <c r="T51" t="s">
        <v>90</v>
      </c>
      <c r="U51">
        <v>0</v>
      </c>
      <c r="V51" t="s">
        <v>90</v>
      </c>
      <c r="W51">
        <v>0</v>
      </c>
      <c r="X51" t="s">
        <v>90</v>
      </c>
      <c r="Y51">
        <v>0</v>
      </c>
      <c r="Z51">
        <v>650.24897359365991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118.51300000000001</v>
      </c>
      <c r="AN51" t="s">
        <v>91</v>
      </c>
      <c r="AO51" t="s">
        <v>92</v>
      </c>
      <c r="AP51">
        <v>200000</v>
      </c>
      <c r="AQ51" t="s">
        <v>92</v>
      </c>
      <c r="AS51">
        <v>10000</v>
      </c>
      <c r="AT51" t="s">
        <v>488</v>
      </c>
      <c r="AU51" t="s">
        <v>78</v>
      </c>
      <c r="AV51" t="s">
        <v>79</v>
      </c>
      <c r="AY51">
        <v>0</v>
      </c>
    </row>
    <row r="52" spans="1:52" ht="12.75">
      <c r="A52" s="2" t="str">
        <f>HYPERLINK("https://ibp.a2mac1.com/costing(costing:projects/details/8191/assembly/5380997)","Suspension")</f>
        <v>Suspension</v>
      </c>
      <c r="B52">
        <v>5380997</v>
      </c>
      <c r="C52">
        <v>8191</v>
      </c>
      <c r="F52">
        <v>1</v>
      </c>
      <c r="G52">
        <v>0</v>
      </c>
      <c r="H52">
        <v>1703.2158841241369</v>
      </c>
      <c r="I52">
        <v>0</v>
      </c>
      <c r="J52" t="s">
        <v>90</v>
      </c>
      <c r="K52">
        <v>0</v>
      </c>
      <c r="L52">
        <v>1703.2158841241369</v>
      </c>
      <c r="M52">
        <v>0</v>
      </c>
      <c r="N52">
        <v>0</v>
      </c>
      <c r="O52">
        <v>1703.2158841241369</v>
      </c>
      <c r="P52" t="s">
        <v>90</v>
      </c>
      <c r="Q52">
        <v>0</v>
      </c>
      <c r="R52" t="s">
        <v>90</v>
      </c>
      <c r="S52">
        <v>0</v>
      </c>
      <c r="T52" t="s">
        <v>90</v>
      </c>
      <c r="U52">
        <v>0</v>
      </c>
      <c r="V52" t="s">
        <v>90</v>
      </c>
      <c r="W52">
        <v>0</v>
      </c>
      <c r="X52" t="s">
        <v>90</v>
      </c>
      <c r="Y52">
        <v>0</v>
      </c>
      <c r="Z52">
        <v>1703.2158841241369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N52" t="s">
        <v>91</v>
      </c>
      <c r="AO52" t="s">
        <v>92</v>
      </c>
      <c r="AP52">
        <v>200000</v>
      </c>
      <c r="AQ52" t="s">
        <v>92</v>
      </c>
      <c r="AS52">
        <v>10000</v>
      </c>
      <c r="AT52" t="s">
        <v>489</v>
      </c>
      <c r="AU52" t="s">
        <v>78</v>
      </c>
      <c r="AV52" t="s">
        <v>79</v>
      </c>
      <c r="AY52">
        <v>0</v>
      </c>
    </row>
    <row r="53" spans="1:52" ht="12.75">
      <c r="A53" s="2" t="str">
        <f>HYPERLINK("https://ibp.a2mac1.com/costing(costing:projects/details/8191/assembly/5381298)","Steering Switch Covers Lower")</f>
        <v>Steering Switch Covers Lower</v>
      </c>
      <c r="B53">
        <v>5381298</v>
      </c>
      <c r="D53">
        <v>5381266</v>
      </c>
      <c r="F53">
        <v>1</v>
      </c>
      <c r="G53">
        <v>0</v>
      </c>
      <c r="H53">
        <v>1.2449379667128502</v>
      </c>
      <c r="I53">
        <v>0</v>
      </c>
      <c r="J53" t="s">
        <v>90</v>
      </c>
      <c r="K53">
        <v>0</v>
      </c>
      <c r="L53">
        <v>1.2449379667128502</v>
      </c>
      <c r="M53">
        <v>0</v>
      </c>
      <c r="N53">
        <v>0</v>
      </c>
      <c r="O53">
        <v>1.2449379667128502</v>
      </c>
      <c r="P53" t="s">
        <v>90</v>
      </c>
      <c r="Q53">
        <v>0</v>
      </c>
      <c r="R53" t="s">
        <v>90</v>
      </c>
      <c r="S53">
        <v>0</v>
      </c>
      <c r="T53" t="s">
        <v>90</v>
      </c>
      <c r="U53">
        <v>0</v>
      </c>
      <c r="V53" t="s">
        <v>90</v>
      </c>
      <c r="W53">
        <v>0</v>
      </c>
      <c r="X53" t="s">
        <v>90</v>
      </c>
      <c r="Y53">
        <v>0</v>
      </c>
      <c r="Z53">
        <v>1.2449379667128502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0.525</v>
      </c>
      <c r="AN53" t="s">
        <v>223</v>
      </c>
      <c r="AO53" t="s">
        <v>92</v>
      </c>
      <c r="AP53">
        <v>200000</v>
      </c>
      <c r="AQ53" t="s">
        <v>92</v>
      </c>
      <c r="AS53">
        <v>10000</v>
      </c>
      <c r="AT53" t="s">
        <v>515</v>
      </c>
      <c r="AU53" t="s">
        <v>78</v>
      </c>
      <c r="AV53" t="s">
        <v>79</v>
      </c>
      <c r="AY53">
        <v>0</v>
      </c>
    </row>
    <row r="54" spans="1:52" ht="12.75">
      <c r="A54" s="2" t="str">
        <f>HYPERLINK("https://ibp.a2mac1.com/costing(costing:projects/details/8191/assembly/5381266)","Steering Switch Cover")</f>
        <v>Steering Switch Cover</v>
      </c>
      <c r="B54">
        <v>5381266</v>
      </c>
      <c r="D54">
        <v>5381250</v>
      </c>
      <c r="F54">
        <v>1</v>
      </c>
      <c r="G54">
        <v>0</v>
      </c>
      <c r="H54">
        <v>1.7548715478081252</v>
      </c>
      <c r="I54">
        <v>0</v>
      </c>
      <c r="J54" t="s">
        <v>90</v>
      </c>
      <c r="K54">
        <v>0</v>
      </c>
      <c r="L54">
        <v>1.7548715478081252</v>
      </c>
      <c r="M54">
        <v>0</v>
      </c>
      <c r="N54">
        <v>0</v>
      </c>
      <c r="O54">
        <v>1.7548715478081252</v>
      </c>
      <c r="P54" t="s">
        <v>90</v>
      </c>
      <c r="Q54">
        <v>0</v>
      </c>
      <c r="R54" t="s">
        <v>90</v>
      </c>
      <c r="S54">
        <v>0</v>
      </c>
      <c r="T54" t="s">
        <v>90</v>
      </c>
      <c r="U54">
        <v>0</v>
      </c>
      <c r="V54" t="s">
        <v>90</v>
      </c>
      <c r="W54">
        <v>0</v>
      </c>
      <c r="X54" t="s">
        <v>90</v>
      </c>
      <c r="Y54">
        <v>0</v>
      </c>
      <c r="Z54">
        <v>1.7548715478081252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0.63800000000000001</v>
      </c>
      <c r="AN54" t="s">
        <v>223</v>
      </c>
      <c r="AO54" t="s">
        <v>92</v>
      </c>
      <c r="AP54">
        <v>200000</v>
      </c>
      <c r="AQ54" t="s">
        <v>92</v>
      </c>
      <c r="AS54">
        <v>10000</v>
      </c>
      <c r="AT54" t="s">
        <v>537</v>
      </c>
      <c r="AU54" t="s">
        <v>78</v>
      </c>
      <c r="AV54" t="s">
        <v>79</v>
      </c>
      <c r="AY54">
        <v>0</v>
      </c>
    </row>
    <row r="55" spans="1:52" ht="12.75">
      <c r="A55" s="2" t="str">
        <f>HYPERLINK("https://ibp.a2mac1.com/costing(costing:projects/details/8191/assembly/5381250)","Column Covers")</f>
        <v>Column Covers</v>
      </c>
      <c r="B55">
        <v>5381250</v>
      </c>
      <c r="D55">
        <v>5381171</v>
      </c>
      <c r="F55">
        <v>1</v>
      </c>
      <c r="G55">
        <v>0</v>
      </c>
      <c r="H55">
        <v>1.8352016154621595</v>
      </c>
      <c r="I55">
        <v>0</v>
      </c>
      <c r="J55" t="s">
        <v>90</v>
      </c>
      <c r="K55">
        <v>0</v>
      </c>
      <c r="L55">
        <v>1.8352016154621595</v>
      </c>
      <c r="M55">
        <v>0</v>
      </c>
      <c r="N55">
        <v>0</v>
      </c>
      <c r="O55">
        <v>1.8352016154621595</v>
      </c>
      <c r="P55" t="s">
        <v>90</v>
      </c>
      <c r="Q55">
        <v>0</v>
      </c>
      <c r="R55" t="s">
        <v>90</v>
      </c>
      <c r="S55">
        <v>0</v>
      </c>
      <c r="T55" t="s">
        <v>90</v>
      </c>
      <c r="U55">
        <v>0</v>
      </c>
      <c r="V55" t="s">
        <v>90</v>
      </c>
      <c r="W55">
        <v>0</v>
      </c>
      <c r="X55" t="s">
        <v>90</v>
      </c>
      <c r="Y55">
        <v>0</v>
      </c>
      <c r="Z55">
        <v>1.8352016154621595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0.64600000000000002</v>
      </c>
      <c r="AN55" t="s">
        <v>223</v>
      </c>
      <c r="AO55" t="s">
        <v>92</v>
      </c>
      <c r="AP55">
        <v>200000</v>
      </c>
      <c r="AQ55" t="s">
        <v>92</v>
      </c>
      <c r="AS55">
        <v>10000</v>
      </c>
      <c r="AT55" t="s">
        <v>544</v>
      </c>
      <c r="AU55" t="s">
        <v>78</v>
      </c>
      <c r="AV55" t="s">
        <v>79</v>
      </c>
      <c r="AY55">
        <v>0</v>
      </c>
    </row>
    <row r="56" spans="1:52" ht="12.75">
      <c r="A56" s="2" t="str">
        <f>HYPERLINK("https://ibp.a2mac1.com/costing(costing:projects/details/8191/assembly/5381251)","Steering Column")</f>
        <v>Steering Column</v>
      </c>
      <c r="B56">
        <v>5381251</v>
      </c>
      <c r="D56">
        <v>5381171</v>
      </c>
      <c r="F56">
        <v>1</v>
      </c>
      <c r="G56">
        <v>0</v>
      </c>
      <c r="H56">
        <v>32.479811736550317</v>
      </c>
      <c r="I56">
        <v>0.1632151343545242</v>
      </c>
      <c r="J56" t="s">
        <v>137</v>
      </c>
      <c r="K56">
        <v>1.136793410779261</v>
      </c>
      <c r="L56">
        <v>33.779820281684103</v>
      </c>
      <c r="M56">
        <v>0</v>
      </c>
      <c r="N56">
        <v>6.0706279854657668</v>
      </c>
      <c r="O56">
        <v>39.850448267149865</v>
      </c>
      <c r="P56" t="s">
        <v>138</v>
      </c>
      <c r="Q56">
        <v>2.026789216901046</v>
      </c>
      <c r="R56" t="s">
        <v>138</v>
      </c>
      <c r="S56">
        <v>0.36423767912794602</v>
      </c>
      <c r="T56" t="s">
        <v>139</v>
      </c>
      <c r="U56">
        <v>4.782053792057984</v>
      </c>
      <c r="V56" t="s">
        <v>90</v>
      </c>
      <c r="W56">
        <v>0</v>
      </c>
      <c r="X56" t="s">
        <v>90</v>
      </c>
      <c r="Y56">
        <v>0</v>
      </c>
      <c r="Z56">
        <v>47.023528955236841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510</v>
      </c>
      <c r="AI56">
        <v>166</v>
      </c>
      <c r="AJ56">
        <v>148</v>
      </c>
      <c r="AK56">
        <v>0</v>
      </c>
      <c r="AL56">
        <v>4.5410000000000004</v>
      </c>
      <c r="AN56" t="s">
        <v>213</v>
      </c>
      <c r="AO56" t="s">
        <v>92</v>
      </c>
      <c r="AP56">
        <v>200000</v>
      </c>
      <c r="AQ56" t="s">
        <v>76</v>
      </c>
      <c r="AS56">
        <v>10000</v>
      </c>
      <c r="AT56" t="s">
        <v>549</v>
      </c>
      <c r="AU56" t="s">
        <v>78</v>
      </c>
      <c r="AV56" t="s">
        <v>79</v>
      </c>
      <c r="AY56">
        <v>0</v>
      </c>
    </row>
    <row r="57" spans="1:52" ht="12.75">
      <c r="A57" s="2" t="str">
        <f>HYPERLINK("https://ibp.a2mac1.com/costing(costing:projects/details/8191/assembly/5381254)","I-Shafts")</f>
        <v>I-Shafts</v>
      </c>
      <c r="B57">
        <v>5381254</v>
      </c>
      <c r="D57">
        <v>5381171</v>
      </c>
      <c r="F57">
        <v>1</v>
      </c>
      <c r="G57">
        <v>0</v>
      </c>
      <c r="H57">
        <v>16.873185162419723</v>
      </c>
      <c r="I57">
        <v>0.084789875188038807</v>
      </c>
      <c r="J57" t="s">
        <v>137</v>
      </c>
      <c r="K57">
        <v>0.59056148068469028</v>
      </c>
      <c r="L57">
        <v>17.548536518292451</v>
      </c>
      <c r="M57">
        <v>0</v>
      </c>
      <c r="N57">
        <v>1.8823018965378151</v>
      </c>
      <c r="O57">
        <v>19.430838414830266</v>
      </c>
      <c r="P57" t="s">
        <v>138</v>
      </c>
      <c r="Q57">
        <v>1.0529121910975472</v>
      </c>
      <c r="R57" t="s">
        <v>138</v>
      </c>
      <c r="S57">
        <v>0.11293811379226891</v>
      </c>
      <c r="T57" t="s">
        <v>139</v>
      </c>
      <c r="U57">
        <v>2.3317006097796322</v>
      </c>
      <c r="V57" t="s">
        <v>216</v>
      </c>
      <c r="W57">
        <v>0.097154192074151338</v>
      </c>
      <c r="X57" t="s">
        <v>217</v>
      </c>
      <c r="Y57">
        <v>0.38861676829660535</v>
      </c>
      <c r="Z57">
        <v>23.414160289870473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N57" t="s">
        <v>347</v>
      </c>
      <c r="AO57" t="s">
        <v>92</v>
      </c>
      <c r="AP57">
        <v>200000</v>
      </c>
      <c r="AQ57" t="s">
        <v>76</v>
      </c>
      <c r="AR57">
        <v>0</v>
      </c>
      <c r="AS57">
        <v>10000</v>
      </c>
      <c r="AT57" t="s">
        <v>9</v>
      </c>
      <c r="AU57" t="s">
        <v>78</v>
      </c>
      <c r="AV57" t="s">
        <v>79</v>
      </c>
      <c r="AY57">
        <v>0</v>
      </c>
    </row>
    <row r="58" spans="1:52" ht="12.75">
      <c r="A58" s="2" t="str">
        <f>HYPERLINK("https://ibp.a2mac1.com/costing(costing:projects/details/8191/assembly/5381171)","Steering Shaft Assembly")</f>
        <v>Steering Shaft Assembly</v>
      </c>
      <c r="B58">
        <v>5381171</v>
      </c>
      <c r="D58">
        <v>5381170</v>
      </c>
      <c r="F58">
        <v>1</v>
      </c>
      <c r="G58">
        <v>0</v>
      </c>
      <c r="H58">
        <v>96.971035143717188</v>
      </c>
      <c r="I58">
        <v>0</v>
      </c>
      <c r="J58" t="s">
        <v>90</v>
      </c>
      <c r="K58">
        <v>0</v>
      </c>
      <c r="L58">
        <v>96.971035143717188</v>
      </c>
      <c r="M58">
        <v>0</v>
      </c>
      <c r="N58">
        <v>0</v>
      </c>
      <c r="O58">
        <v>96.971035143717188</v>
      </c>
      <c r="P58" t="s">
        <v>90</v>
      </c>
      <c r="Q58">
        <v>0</v>
      </c>
      <c r="R58" t="s">
        <v>90</v>
      </c>
      <c r="S58">
        <v>0</v>
      </c>
      <c r="T58" t="s">
        <v>90</v>
      </c>
      <c r="U58">
        <v>0</v>
      </c>
      <c r="V58" t="s">
        <v>90</v>
      </c>
      <c r="W58">
        <v>0</v>
      </c>
      <c r="X58" t="s">
        <v>90</v>
      </c>
      <c r="Y58">
        <v>0</v>
      </c>
      <c r="Z58">
        <v>96.971035143717188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920</v>
      </c>
      <c r="AI58">
        <v>390</v>
      </c>
      <c r="AJ58">
        <v>335</v>
      </c>
      <c r="AK58">
        <v>0</v>
      </c>
      <c r="AL58">
        <v>7.20</v>
      </c>
      <c r="AN58" t="s">
        <v>91</v>
      </c>
      <c r="AO58" t="s">
        <v>92</v>
      </c>
      <c r="AP58">
        <v>200000</v>
      </c>
      <c r="AQ58" t="s">
        <v>92</v>
      </c>
      <c r="AS58">
        <v>10000</v>
      </c>
      <c r="AT58" t="s">
        <v>585</v>
      </c>
      <c r="AU58" t="s">
        <v>78</v>
      </c>
      <c r="AV58" t="s">
        <v>79</v>
      </c>
      <c r="AY58">
        <v>0</v>
      </c>
    </row>
    <row r="59" spans="1:52" ht="12.75">
      <c r="A59" s="2" t="str">
        <f>HYPERLINK("https://ibp.a2mac1.com/costing(costing:projects/details/8191/assembly/5381172)","Steering Bar")</f>
        <v>Steering Bar</v>
      </c>
      <c r="B59">
        <v>5381172</v>
      </c>
      <c r="D59">
        <v>5381170</v>
      </c>
      <c r="F59">
        <v>1</v>
      </c>
      <c r="G59">
        <v>0</v>
      </c>
      <c r="H59">
        <v>162.93620883643717</v>
      </c>
      <c r="I59">
        <v>0.81877491877606623</v>
      </c>
      <c r="J59" t="s">
        <v>137</v>
      </c>
      <c r="K59">
        <v>5.7027673092753011</v>
      </c>
      <c r="L59">
        <v>169.45775106448855</v>
      </c>
      <c r="M59">
        <v>0</v>
      </c>
      <c r="N59">
        <v>5.49</v>
      </c>
      <c r="O59">
        <v>174.94775106448856</v>
      </c>
      <c r="P59" t="s">
        <v>138</v>
      </c>
      <c r="Q59">
        <v>10.167465063869313</v>
      </c>
      <c r="R59" t="s">
        <v>138</v>
      </c>
      <c r="S59">
        <v>0.32940000000000003</v>
      </c>
      <c r="T59" t="s">
        <v>139</v>
      </c>
      <c r="U59">
        <v>20.993730127738626</v>
      </c>
      <c r="V59" t="s">
        <v>90</v>
      </c>
      <c r="W59">
        <v>0</v>
      </c>
      <c r="X59" t="s">
        <v>90</v>
      </c>
      <c r="Y59">
        <v>0</v>
      </c>
      <c r="Z59">
        <v>206.43834625609648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8.907</v>
      </c>
      <c r="AN59" t="s">
        <v>213</v>
      </c>
      <c r="AO59" t="s">
        <v>92</v>
      </c>
      <c r="AP59">
        <v>200000</v>
      </c>
      <c r="AQ59" t="s">
        <v>76</v>
      </c>
      <c r="AS59">
        <v>10000</v>
      </c>
      <c r="AT59" t="s">
        <v>593</v>
      </c>
      <c r="AU59" t="s">
        <v>78</v>
      </c>
      <c r="AV59" t="s">
        <v>79</v>
      </c>
      <c r="AY59">
        <v>0</v>
      </c>
    </row>
    <row r="60" spans="1:52" ht="12.75">
      <c r="A60" s="2" t="str">
        <f>HYPERLINK("https://ibp.a2mac1.com/costing(costing:projects/details/8191/assembly/5381271)","Left")</f>
        <v>Left</v>
      </c>
      <c r="B60">
        <v>5381271</v>
      </c>
      <c r="D60">
        <v>5381258</v>
      </c>
      <c r="F60">
        <v>1</v>
      </c>
      <c r="G60">
        <v>0</v>
      </c>
      <c r="H60">
        <v>7.4329452611967914</v>
      </c>
      <c r="I60">
        <v>0.03735148372460699</v>
      </c>
      <c r="J60" t="s">
        <v>137</v>
      </c>
      <c r="K60">
        <v>0.2601530841418877</v>
      </c>
      <c r="L60">
        <v>7.7304498290632866</v>
      </c>
      <c r="M60">
        <v>0</v>
      </c>
      <c r="N60">
        <v>1.1232793645425212</v>
      </c>
      <c r="O60">
        <v>8.8537291936058082</v>
      </c>
      <c r="P60" t="s">
        <v>138</v>
      </c>
      <c r="Q60">
        <v>0.46382698974379716</v>
      </c>
      <c r="R60" t="s">
        <v>138</v>
      </c>
      <c r="S60">
        <v>0.067396761872551281</v>
      </c>
      <c r="T60" t="s">
        <v>139</v>
      </c>
      <c r="U60">
        <v>1.062447503232697</v>
      </c>
      <c r="V60" t="s">
        <v>90</v>
      </c>
      <c r="W60">
        <v>0</v>
      </c>
      <c r="X60" t="s">
        <v>90</v>
      </c>
      <c r="Y60">
        <v>0</v>
      </c>
      <c r="Z60">
        <v>10.447400448454852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81</v>
      </c>
      <c r="AI60">
        <v>68</v>
      </c>
      <c r="AJ60">
        <v>35</v>
      </c>
      <c r="AL60">
        <v>0.058999999999999997</v>
      </c>
      <c r="AN60" t="s">
        <v>598</v>
      </c>
      <c r="AO60" t="s">
        <v>92</v>
      </c>
      <c r="AP60">
        <v>200000</v>
      </c>
      <c r="AQ60" t="s">
        <v>76</v>
      </c>
      <c r="AS60">
        <v>10000</v>
      </c>
      <c r="AT60" t="s">
        <v>599</v>
      </c>
      <c r="AU60" t="s">
        <v>78</v>
      </c>
      <c r="AV60" t="s">
        <v>79</v>
      </c>
      <c r="AY60">
        <v>0</v>
      </c>
    </row>
    <row r="61" spans="1:52" ht="12.75">
      <c r="A61" s="2" t="str">
        <f>HYPERLINK("https://ibp.a2mac1.com/costing(costing:projects/details/8191/assembly/5381272)","Right")</f>
        <v>Right</v>
      </c>
      <c r="B61">
        <v>5381272</v>
      </c>
      <c r="D61">
        <v>5381258</v>
      </c>
      <c r="F61">
        <v>1</v>
      </c>
      <c r="G61">
        <v>0</v>
      </c>
      <c r="H61">
        <v>7.4329452611967914</v>
      </c>
      <c r="I61">
        <v>0.03735148372460699</v>
      </c>
      <c r="J61" t="s">
        <v>137</v>
      </c>
      <c r="K61">
        <v>0.2601530841418877</v>
      </c>
      <c r="L61">
        <v>7.7304498290632866</v>
      </c>
      <c r="M61">
        <v>0</v>
      </c>
      <c r="N61">
        <v>1.1232793645425212</v>
      </c>
      <c r="O61">
        <v>8.8537291936058082</v>
      </c>
      <c r="P61" t="s">
        <v>138</v>
      </c>
      <c r="Q61">
        <v>0.46382698974379716</v>
      </c>
      <c r="R61" t="s">
        <v>138</v>
      </c>
      <c r="S61">
        <v>0.067396761872551281</v>
      </c>
      <c r="T61" t="s">
        <v>139</v>
      </c>
      <c r="U61">
        <v>1.062447503232697</v>
      </c>
      <c r="V61" t="s">
        <v>90</v>
      </c>
      <c r="W61">
        <v>0</v>
      </c>
      <c r="X61" t="s">
        <v>90</v>
      </c>
      <c r="Y61">
        <v>0</v>
      </c>
      <c r="Z61">
        <v>10.447400448454852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100</v>
      </c>
      <c r="AI61">
        <v>65</v>
      </c>
      <c r="AJ61">
        <v>32</v>
      </c>
      <c r="AL61">
        <v>0.057000000000000002</v>
      </c>
      <c r="AN61" t="s">
        <v>598</v>
      </c>
      <c r="AO61" t="s">
        <v>92</v>
      </c>
      <c r="AP61">
        <v>200000</v>
      </c>
      <c r="AQ61" t="s">
        <v>76</v>
      </c>
      <c r="AS61">
        <v>10000</v>
      </c>
      <c r="AT61" t="s">
        <v>602</v>
      </c>
      <c r="AU61" t="s">
        <v>78</v>
      </c>
      <c r="AV61" t="s">
        <v>79</v>
      </c>
      <c r="AY61">
        <v>0</v>
      </c>
    </row>
    <row r="62" spans="1:52" ht="12.75">
      <c r="A62" s="2" t="str">
        <f>HYPERLINK("https://ibp.a2mac1.com/costing(costing:projects/details/8191/assembly/5381258)","Steering Wheel Controls")</f>
        <v>Steering Wheel Controls</v>
      </c>
      <c r="B62">
        <v>5381258</v>
      </c>
      <c r="D62">
        <v>5381173</v>
      </c>
      <c r="E62" t="s">
        <v>603</v>
      </c>
      <c r="F62">
        <v>1</v>
      </c>
      <c r="G62">
        <v>0</v>
      </c>
      <c r="H62">
        <v>23.034800896909704</v>
      </c>
      <c r="I62">
        <v>0</v>
      </c>
      <c r="J62" t="s">
        <v>90</v>
      </c>
      <c r="K62">
        <v>0</v>
      </c>
      <c r="L62">
        <v>23.034800896909704</v>
      </c>
      <c r="M62">
        <v>0</v>
      </c>
      <c r="N62">
        <v>0</v>
      </c>
      <c r="O62">
        <v>23.034800896909704</v>
      </c>
      <c r="P62" t="s">
        <v>90</v>
      </c>
      <c r="Q62">
        <v>0</v>
      </c>
      <c r="R62" t="s">
        <v>90</v>
      </c>
      <c r="S62">
        <v>0</v>
      </c>
      <c r="T62" t="s">
        <v>90</v>
      </c>
      <c r="U62">
        <v>0</v>
      </c>
      <c r="V62" t="s">
        <v>90</v>
      </c>
      <c r="W62">
        <v>0</v>
      </c>
      <c r="X62" t="s">
        <v>90</v>
      </c>
      <c r="Y62">
        <v>0</v>
      </c>
      <c r="Z62">
        <v>23.034800896909704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N62" t="s">
        <v>223</v>
      </c>
      <c r="AO62" t="s">
        <v>92</v>
      </c>
      <c r="AP62">
        <v>200000</v>
      </c>
      <c r="AQ62" t="s">
        <v>92</v>
      </c>
      <c r="AS62">
        <v>10000</v>
      </c>
      <c r="AT62" t="s">
        <v>605</v>
      </c>
      <c r="AU62" t="s">
        <v>78</v>
      </c>
      <c r="AV62" t="s">
        <v>79</v>
      </c>
      <c r="AY62">
        <v>0</v>
      </c>
    </row>
    <row r="63" spans="1:52" ht="12.75">
      <c r="A63" s="2" t="str">
        <f>HYPERLINK("https://ibp.a2mac1.com/costing(costing:projects/details/8191/assembly/5381260)","Steering Wheel Cover")</f>
        <v>Steering Wheel Cover</v>
      </c>
      <c r="B63">
        <v>5381260</v>
      </c>
      <c r="D63">
        <v>5381173</v>
      </c>
      <c r="F63">
        <v>1</v>
      </c>
      <c r="G63">
        <v>0</v>
      </c>
      <c r="H63">
        <v>3.0684491687634363</v>
      </c>
      <c r="I63">
        <v>0</v>
      </c>
      <c r="J63" t="s">
        <v>90</v>
      </c>
      <c r="K63">
        <v>0</v>
      </c>
      <c r="L63">
        <v>3.0684491687634363</v>
      </c>
      <c r="M63">
        <v>0</v>
      </c>
      <c r="N63">
        <v>0</v>
      </c>
      <c r="O63">
        <v>3.0684491687634363</v>
      </c>
      <c r="P63" t="s">
        <v>90</v>
      </c>
      <c r="Q63">
        <v>0</v>
      </c>
      <c r="R63" t="s">
        <v>90</v>
      </c>
      <c r="S63">
        <v>0</v>
      </c>
      <c r="T63" t="s">
        <v>90</v>
      </c>
      <c r="U63">
        <v>0</v>
      </c>
      <c r="V63" t="s">
        <v>90</v>
      </c>
      <c r="W63">
        <v>0</v>
      </c>
      <c r="X63" t="s">
        <v>90</v>
      </c>
      <c r="Y63">
        <v>0</v>
      </c>
      <c r="Z63">
        <v>3.0684491687634363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L63">
        <v>0.075999999999999998</v>
      </c>
      <c r="AN63" t="s">
        <v>223</v>
      </c>
      <c r="AO63" t="s">
        <v>92</v>
      </c>
      <c r="AP63">
        <v>200000</v>
      </c>
      <c r="AQ63" t="s">
        <v>92</v>
      </c>
      <c r="AS63">
        <v>10000</v>
      </c>
      <c r="AT63" t="s">
        <v>635</v>
      </c>
      <c r="AU63" t="s">
        <v>78</v>
      </c>
      <c r="AV63" t="s">
        <v>79</v>
      </c>
      <c r="AY63">
        <v>0</v>
      </c>
    </row>
    <row r="64" spans="1:52" ht="12.75">
      <c r="A64" s="2" t="str">
        <f>HYPERLINK("https://ibp.a2mac1.com/costing(costing:projects/details/8191/assembly/5381261)","Steering Wheel")</f>
        <v>Steering Wheel</v>
      </c>
      <c r="B64">
        <v>5381261</v>
      </c>
      <c r="D64">
        <v>5381173</v>
      </c>
      <c r="E64" t="s">
        <v>656</v>
      </c>
      <c r="F64">
        <v>1</v>
      </c>
      <c r="G64">
        <v>0</v>
      </c>
      <c r="H64">
        <v>23.575038835030679</v>
      </c>
      <c r="I64">
        <v>0.11846753183432501</v>
      </c>
      <c r="J64" t="s">
        <v>137</v>
      </c>
      <c r="K64">
        <v>0.82512635922607369</v>
      </c>
      <c r="L64">
        <v>24.518632726091077</v>
      </c>
      <c r="M64">
        <v>0</v>
      </c>
      <c r="N64">
        <v>0</v>
      </c>
      <c r="O64">
        <v>24.518632726091077</v>
      </c>
      <c r="P64" t="s">
        <v>90</v>
      </c>
      <c r="Q64">
        <v>0</v>
      </c>
      <c r="R64" t="s">
        <v>90</v>
      </c>
      <c r="S64">
        <v>0</v>
      </c>
      <c r="T64" t="s">
        <v>90</v>
      </c>
      <c r="U64">
        <v>0</v>
      </c>
      <c r="V64" t="s">
        <v>90</v>
      </c>
      <c r="W64">
        <v>0</v>
      </c>
      <c r="X64" t="s">
        <v>90</v>
      </c>
      <c r="Y64">
        <v>0</v>
      </c>
      <c r="Z64">
        <v>24.518632726091077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131</v>
      </c>
      <c r="AI64">
        <v>375</v>
      </c>
      <c r="AJ64">
        <v>365</v>
      </c>
      <c r="AK64">
        <v>0</v>
      </c>
      <c r="AL64">
        <v>1.1539999999999999</v>
      </c>
      <c r="AN64" t="s">
        <v>501</v>
      </c>
      <c r="AO64" t="s">
        <v>92</v>
      </c>
      <c r="AP64">
        <v>200000</v>
      </c>
      <c r="AQ64" t="s">
        <v>92</v>
      </c>
      <c r="AS64">
        <v>10000</v>
      </c>
      <c r="AT64" t="s">
        <v>657</v>
      </c>
      <c r="AU64" t="s">
        <v>78</v>
      </c>
      <c r="AV64" t="s">
        <v>79</v>
      </c>
      <c r="AY64">
        <v>0</v>
      </c>
    </row>
    <row r="65" spans="1:52" ht="12.75">
      <c r="A65" s="2" t="str">
        <f>HYPERLINK("https://ibp.a2mac1.com/costing(costing:projects/details/8191/assembly/5381173)","Steering Wheel System")</f>
        <v>Steering Wheel System</v>
      </c>
      <c r="B65">
        <v>5381173</v>
      </c>
      <c r="D65">
        <v>5381170</v>
      </c>
      <c r="E65" t="s">
        <v>603</v>
      </c>
      <c r="F65">
        <v>1</v>
      </c>
      <c r="G65">
        <v>0</v>
      </c>
      <c r="H65">
        <v>55.235582791764216</v>
      </c>
      <c r="I65">
        <v>0.27756574267218198</v>
      </c>
      <c r="J65" t="s">
        <v>137</v>
      </c>
      <c r="K65">
        <v>1.9332453977117476</v>
      </c>
      <c r="L65">
        <v>57.446393932148148</v>
      </c>
      <c r="M65">
        <v>0</v>
      </c>
      <c r="N65">
        <v>0.91372562659001311</v>
      </c>
      <c r="O65">
        <v>58.360119558738162</v>
      </c>
      <c r="P65" t="s">
        <v>138</v>
      </c>
      <c r="Q65">
        <v>3.446783635928889</v>
      </c>
      <c r="R65" t="s">
        <v>138</v>
      </c>
      <c r="S65">
        <v>0.05482353759540079</v>
      </c>
      <c r="T65" t="s">
        <v>139</v>
      </c>
      <c r="U65">
        <v>7.003214347048579</v>
      </c>
      <c r="V65" t="s">
        <v>90</v>
      </c>
      <c r="W65">
        <v>0</v>
      </c>
      <c r="X65" t="s">
        <v>90</v>
      </c>
      <c r="Y65">
        <v>0</v>
      </c>
      <c r="Z65">
        <v>68.864941079311023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N65" t="s">
        <v>661</v>
      </c>
      <c r="AO65" t="s">
        <v>92</v>
      </c>
      <c r="AP65">
        <v>200000</v>
      </c>
      <c r="AQ65" t="s">
        <v>76</v>
      </c>
      <c r="AS65">
        <v>10000</v>
      </c>
      <c r="AT65" t="s">
        <v>662</v>
      </c>
      <c r="AU65" t="s">
        <v>78</v>
      </c>
      <c r="AV65" t="s">
        <v>79</v>
      </c>
      <c r="AY65">
        <v>0</v>
      </c>
    </row>
    <row r="66" spans="1:52" ht="12.75">
      <c r="A66" s="2" t="str">
        <f>HYPERLINK("https://ibp.a2mac1.com/costing(costing:projects/details/8191/assembly/5381174)","Steering Switch Cover")</f>
        <v>Steering Switch Cover</v>
      </c>
      <c r="B66">
        <v>5381174</v>
      </c>
      <c r="D66">
        <v>5381170</v>
      </c>
      <c r="F66">
        <v>1</v>
      </c>
      <c r="G66">
        <v>0</v>
      </c>
      <c r="H66">
        <v>0.69653220910070068</v>
      </c>
      <c r="I66">
        <v>0.0035001618547773903</v>
      </c>
      <c r="J66" t="s">
        <v>137</v>
      </c>
      <c r="K66">
        <v>0.024378627318524526</v>
      </c>
      <c r="L66">
        <v>0.72441099827400257</v>
      </c>
      <c r="M66">
        <v>0</v>
      </c>
      <c r="N66">
        <v>0</v>
      </c>
      <c r="O66">
        <v>0.72441099827400257</v>
      </c>
      <c r="P66" t="s">
        <v>138</v>
      </c>
      <c r="Q66">
        <v>0.043464659896440154</v>
      </c>
      <c r="R66" t="s">
        <v>138</v>
      </c>
      <c r="S66">
        <v>0</v>
      </c>
      <c r="T66" t="s">
        <v>139</v>
      </c>
      <c r="U66">
        <v>0.086929319792880308</v>
      </c>
      <c r="V66" t="s">
        <v>216</v>
      </c>
      <c r="W66">
        <v>0.003622054991370013</v>
      </c>
      <c r="X66" t="s">
        <v>217</v>
      </c>
      <c r="Y66">
        <v>0.014488219965480052</v>
      </c>
      <c r="Z66">
        <v>0.87291525292017313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N66" t="s">
        <v>347</v>
      </c>
      <c r="AO66" t="s">
        <v>92</v>
      </c>
      <c r="AP66">
        <v>200000</v>
      </c>
      <c r="AQ66" t="s">
        <v>76</v>
      </c>
      <c r="AR66">
        <v>0</v>
      </c>
      <c r="AS66">
        <v>10000</v>
      </c>
      <c r="AT66" t="s">
        <v>9</v>
      </c>
      <c r="AU66" t="s">
        <v>78</v>
      </c>
      <c r="AV66" t="s">
        <v>79</v>
      </c>
      <c r="AY66">
        <v>0</v>
      </c>
    </row>
    <row r="67" spans="1:52" ht="12.75">
      <c r="A67" s="2" t="str">
        <f>HYPERLINK("https://ibp.a2mac1.com/costing(costing:projects/details/8191/assembly/5381170)","Steering System")</f>
        <v>Steering System</v>
      </c>
      <c r="B67">
        <v>5381170</v>
      </c>
      <c r="C67">
        <v>8191</v>
      </c>
      <c r="F67">
        <v>1</v>
      </c>
      <c r="G67">
        <v>0</v>
      </c>
      <c r="H67">
        <v>373.14723773204486</v>
      </c>
      <c r="I67">
        <v>0</v>
      </c>
      <c r="J67" t="s">
        <v>90</v>
      </c>
      <c r="K67">
        <v>0</v>
      </c>
      <c r="L67">
        <v>373.14723773204486</v>
      </c>
      <c r="M67">
        <v>0</v>
      </c>
      <c r="N67">
        <v>0</v>
      </c>
      <c r="O67">
        <v>373.14723773204486</v>
      </c>
      <c r="P67" t="s">
        <v>90</v>
      </c>
      <c r="Q67">
        <v>0</v>
      </c>
      <c r="R67" t="s">
        <v>90</v>
      </c>
      <c r="S67">
        <v>0</v>
      </c>
      <c r="T67" t="s">
        <v>90</v>
      </c>
      <c r="U67">
        <v>0</v>
      </c>
      <c r="V67" t="s">
        <v>90</v>
      </c>
      <c r="W67">
        <v>0</v>
      </c>
      <c r="X67" t="s">
        <v>90</v>
      </c>
      <c r="Y67">
        <v>0</v>
      </c>
      <c r="Z67">
        <v>373.14723773204486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20.212</v>
      </c>
      <c r="AN67" t="s">
        <v>91</v>
      </c>
      <c r="AO67" t="s">
        <v>92</v>
      </c>
      <c r="AP67">
        <v>200000</v>
      </c>
      <c r="AQ67" t="s">
        <v>92</v>
      </c>
      <c r="AS67">
        <v>10000</v>
      </c>
      <c r="AT67" t="s">
        <v>674</v>
      </c>
      <c r="AU67" t="s">
        <v>78</v>
      </c>
      <c r="AV67" t="s">
        <v>79</v>
      </c>
      <c r="AY67">
        <v>0</v>
      </c>
    </row>
    <row r="68" spans="1:52" ht="12.75">
      <c r="A68" s="2" t="str">
        <f>HYPERLINK("https://ibp.a2mac1.com/costing(costing:projects/details/8191/assembly/5381282)","Airbag Control Unit")</f>
        <v>Airbag Control Unit</v>
      </c>
      <c r="B68">
        <v>5381282</v>
      </c>
      <c r="D68">
        <v>5381279</v>
      </c>
      <c r="F68">
        <v>1</v>
      </c>
      <c r="G68">
        <v>0</v>
      </c>
      <c r="H68">
        <v>39.273100874929462</v>
      </c>
      <c r="I68">
        <v>0</v>
      </c>
      <c r="J68" t="s">
        <v>90</v>
      </c>
      <c r="K68">
        <v>0</v>
      </c>
      <c r="L68">
        <v>39.273100874929462</v>
      </c>
      <c r="M68">
        <v>0</v>
      </c>
      <c r="N68">
        <v>0</v>
      </c>
      <c r="O68">
        <v>39.273100874929462</v>
      </c>
      <c r="P68" t="s">
        <v>90</v>
      </c>
      <c r="Q68">
        <v>0</v>
      </c>
      <c r="R68" t="s">
        <v>90</v>
      </c>
      <c r="S68">
        <v>0</v>
      </c>
      <c r="T68" t="s">
        <v>90</v>
      </c>
      <c r="U68">
        <v>0</v>
      </c>
      <c r="V68" t="s">
        <v>90</v>
      </c>
      <c r="W68">
        <v>0</v>
      </c>
      <c r="X68" t="s">
        <v>90</v>
      </c>
      <c r="Y68">
        <v>0</v>
      </c>
      <c r="Z68">
        <v>39.273100874929462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L68">
        <v>0.28310000000000002</v>
      </c>
      <c r="AN68" t="s">
        <v>223</v>
      </c>
      <c r="AO68" t="s">
        <v>92</v>
      </c>
      <c r="AP68">
        <v>200000</v>
      </c>
      <c r="AQ68" t="s">
        <v>92</v>
      </c>
      <c r="AS68">
        <v>10000</v>
      </c>
      <c r="AT68" t="s">
        <v>683</v>
      </c>
      <c r="AU68" t="s">
        <v>78</v>
      </c>
      <c r="AV68" t="s">
        <v>79</v>
      </c>
      <c r="AY68">
        <v>0</v>
      </c>
    </row>
    <row r="69" spans="1:52" ht="12.75">
      <c r="A69" s="2" t="str">
        <f>HYPERLINK("https://ibp.a2mac1.com/costing(costing:projects/details/8191/assembly/5381283)","Airbags Sensors")</f>
        <v>Airbags Sensors</v>
      </c>
      <c r="B69">
        <v>5381283</v>
      </c>
      <c r="D69">
        <v>5381279</v>
      </c>
      <c r="F69">
        <v>1</v>
      </c>
      <c r="G69">
        <v>0</v>
      </c>
      <c r="H69">
        <v>27.236996059959321</v>
      </c>
      <c r="I69">
        <v>0</v>
      </c>
      <c r="J69" t="s">
        <v>90</v>
      </c>
      <c r="K69">
        <v>0</v>
      </c>
      <c r="L69">
        <v>27.236996059959321</v>
      </c>
      <c r="M69">
        <v>0</v>
      </c>
      <c r="N69">
        <v>0</v>
      </c>
      <c r="O69">
        <v>27.236996059959321</v>
      </c>
      <c r="P69" t="s">
        <v>90</v>
      </c>
      <c r="Q69">
        <v>0</v>
      </c>
      <c r="R69" t="s">
        <v>90</v>
      </c>
      <c r="S69">
        <v>0</v>
      </c>
      <c r="T69" t="s">
        <v>90</v>
      </c>
      <c r="U69">
        <v>0</v>
      </c>
      <c r="V69" t="s">
        <v>90</v>
      </c>
      <c r="W69">
        <v>0</v>
      </c>
      <c r="X69" t="s">
        <v>90</v>
      </c>
      <c r="Y69">
        <v>0</v>
      </c>
      <c r="Z69">
        <v>27.236996059959321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L69">
        <v>0.14399999999999999</v>
      </c>
      <c r="AN69" t="s">
        <v>223</v>
      </c>
      <c r="AO69" t="s">
        <v>92</v>
      </c>
      <c r="AP69">
        <v>200000</v>
      </c>
      <c r="AQ69" t="s">
        <v>92</v>
      </c>
      <c r="AS69">
        <v>10000</v>
      </c>
      <c r="AT69" t="s">
        <v>699</v>
      </c>
      <c r="AU69" t="s">
        <v>78</v>
      </c>
      <c r="AV69" t="s">
        <v>79</v>
      </c>
      <c r="AY69">
        <v>0</v>
      </c>
    </row>
    <row r="70" spans="1:52" ht="12.75">
      <c r="A70" s="2" t="str">
        <f>HYPERLINK("https://ibp.a2mac1.com/costing(costing:projects/details/8191/assembly/5381284)","Driver Airbag")</f>
        <v>Driver Airbag</v>
      </c>
      <c r="B70">
        <v>5381284</v>
      </c>
      <c r="D70">
        <v>5381279</v>
      </c>
      <c r="F70">
        <v>1</v>
      </c>
      <c r="G70">
        <v>0</v>
      </c>
      <c r="H70">
        <v>29.274142672669409</v>
      </c>
      <c r="I70">
        <v>0</v>
      </c>
      <c r="J70" t="s">
        <v>90</v>
      </c>
      <c r="K70">
        <v>0</v>
      </c>
      <c r="L70">
        <v>29.274142672669409</v>
      </c>
      <c r="M70">
        <v>0</v>
      </c>
      <c r="N70">
        <v>0</v>
      </c>
      <c r="O70">
        <v>29.274142672669409</v>
      </c>
      <c r="P70" t="s">
        <v>90</v>
      </c>
      <c r="Q70">
        <v>0</v>
      </c>
      <c r="R70" t="s">
        <v>90</v>
      </c>
      <c r="S70">
        <v>0</v>
      </c>
      <c r="T70" t="s">
        <v>90</v>
      </c>
      <c r="U70">
        <v>0</v>
      </c>
      <c r="V70" t="s">
        <v>90</v>
      </c>
      <c r="W70">
        <v>0</v>
      </c>
      <c r="X70" t="s">
        <v>90</v>
      </c>
      <c r="Y70">
        <v>0</v>
      </c>
      <c r="Z70">
        <v>29.274142672669409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L70">
        <v>1.0409999999999999</v>
      </c>
      <c r="AN70" t="s">
        <v>223</v>
      </c>
      <c r="AO70" t="s">
        <v>92</v>
      </c>
      <c r="AP70">
        <v>200000</v>
      </c>
      <c r="AQ70" t="s">
        <v>92</v>
      </c>
      <c r="AS70">
        <v>10000</v>
      </c>
      <c r="AT70" t="s">
        <v>707</v>
      </c>
      <c r="AU70" t="s">
        <v>78</v>
      </c>
      <c r="AV70" t="s">
        <v>79</v>
      </c>
      <c r="AY70">
        <v>0</v>
      </c>
    </row>
    <row r="71" spans="1:52" ht="12.75">
      <c r="A71" s="2" t="str">
        <f>HYPERLINK("https://ibp.a2mac1.com/costing(costing:projects/details/8191/assembly/5381285)","Passenger Airbag")</f>
        <v>Passenger Airbag</v>
      </c>
      <c r="B71">
        <v>5381285</v>
      </c>
      <c r="D71">
        <v>5381279</v>
      </c>
      <c r="F71">
        <v>1</v>
      </c>
      <c r="G71">
        <v>0</v>
      </c>
      <c r="H71">
        <v>37.711171531060131</v>
      </c>
      <c r="I71">
        <v>0</v>
      </c>
      <c r="J71" t="s">
        <v>90</v>
      </c>
      <c r="K71">
        <v>0</v>
      </c>
      <c r="L71">
        <v>37.711171531060131</v>
      </c>
      <c r="M71">
        <v>0</v>
      </c>
      <c r="N71">
        <v>0</v>
      </c>
      <c r="O71">
        <v>37.711171531060131</v>
      </c>
      <c r="P71" t="s">
        <v>90</v>
      </c>
      <c r="Q71">
        <v>0</v>
      </c>
      <c r="R71" t="s">
        <v>90</v>
      </c>
      <c r="S71">
        <v>0</v>
      </c>
      <c r="T71" t="s">
        <v>90</v>
      </c>
      <c r="U71">
        <v>0</v>
      </c>
      <c r="V71" t="s">
        <v>90</v>
      </c>
      <c r="W71">
        <v>0</v>
      </c>
      <c r="X71" t="s">
        <v>90</v>
      </c>
      <c r="Y71">
        <v>0</v>
      </c>
      <c r="Z71">
        <v>37.711171531060131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L71">
        <v>2.1110000000000002</v>
      </c>
      <c r="AN71" t="s">
        <v>223</v>
      </c>
      <c r="AO71" t="s">
        <v>92</v>
      </c>
      <c r="AP71">
        <v>200000</v>
      </c>
      <c r="AQ71" t="s">
        <v>92</v>
      </c>
      <c r="AS71">
        <v>10000</v>
      </c>
      <c r="AT71" t="s">
        <v>713</v>
      </c>
      <c r="AU71" t="s">
        <v>78</v>
      </c>
      <c r="AV71" t="s">
        <v>79</v>
      </c>
      <c r="AY71">
        <v>0</v>
      </c>
    </row>
    <row r="72" spans="1:52" ht="12.75">
      <c r="A72" s="2" t="str">
        <f>HYPERLINK("https://ibp.a2mac1.com/costing(costing:projects/details/8191/assembly/5381366)","Airbag Support")</f>
        <v>Airbag Support</v>
      </c>
      <c r="B72">
        <v>5381366</v>
      </c>
      <c r="D72">
        <v>5381286</v>
      </c>
      <c r="F72">
        <v>1</v>
      </c>
      <c r="G72">
        <v>0</v>
      </c>
      <c r="H72">
        <v>0.76377274769776238</v>
      </c>
      <c r="I72">
        <v>0.0038380540085314694</v>
      </c>
      <c r="J72" t="s">
        <v>137</v>
      </c>
      <c r="K72">
        <v>0.026732046169421684</v>
      </c>
      <c r="L72">
        <v>0.79434284787571552</v>
      </c>
      <c r="M72">
        <v>0</v>
      </c>
      <c r="N72">
        <v>0</v>
      </c>
      <c r="O72">
        <v>0.79434284787571552</v>
      </c>
      <c r="P72" t="s">
        <v>138</v>
      </c>
      <c r="Q72">
        <v>0.047660570872542933</v>
      </c>
      <c r="R72" t="s">
        <v>138</v>
      </c>
      <c r="S72">
        <v>0</v>
      </c>
      <c r="T72" t="s">
        <v>139</v>
      </c>
      <c r="U72">
        <v>0.095321141745085866</v>
      </c>
      <c r="V72" t="s">
        <v>90</v>
      </c>
      <c r="W72">
        <v>0</v>
      </c>
      <c r="X72" t="s">
        <v>90</v>
      </c>
      <c r="Y72">
        <v>0</v>
      </c>
      <c r="Z72">
        <v>0.93732456049334434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L72">
        <v>0.38600000000000001</v>
      </c>
      <c r="AN72" t="s">
        <v>501</v>
      </c>
      <c r="AO72" t="s">
        <v>92</v>
      </c>
      <c r="AP72">
        <v>200000</v>
      </c>
      <c r="AQ72" t="s">
        <v>76</v>
      </c>
      <c r="AS72">
        <v>10000</v>
      </c>
      <c r="AT72" t="s">
        <v>730</v>
      </c>
      <c r="AU72" t="s">
        <v>78</v>
      </c>
      <c r="AV72" t="s">
        <v>79</v>
      </c>
      <c r="AY72">
        <v>0</v>
      </c>
    </row>
    <row r="73" spans="1:52" ht="12.75">
      <c r="A73" s="2" t="str">
        <f>HYPERLINK("https://ibp.a2mac1.com/costing(costing:projects/details/8191/assembly/5381286)","Curtains Airbag")</f>
        <v>Curtains Airbag</v>
      </c>
      <c r="B73">
        <v>5381286</v>
      </c>
      <c r="D73">
        <v>5381279</v>
      </c>
      <c r="F73">
        <v>1</v>
      </c>
      <c r="G73">
        <v>0</v>
      </c>
      <c r="H73">
        <v>58.414172241094441</v>
      </c>
      <c r="I73">
        <v>0</v>
      </c>
      <c r="J73" t="s">
        <v>90</v>
      </c>
      <c r="K73">
        <v>0</v>
      </c>
      <c r="L73">
        <v>58.414172241094441</v>
      </c>
      <c r="M73">
        <v>0</v>
      </c>
      <c r="N73">
        <v>0</v>
      </c>
      <c r="O73">
        <v>58.414172241094441</v>
      </c>
      <c r="P73" t="s">
        <v>90</v>
      </c>
      <c r="Q73">
        <v>0</v>
      </c>
      <c r="R73" t="s">
        <v>90</v>
      </c>
      <c r="S73">
        <v>0</v>
      </c>
      <c r="T73" t="s">
        <v>90</v>
      </c>
      <c r="U73">
        <v>0</v>
      </c>
      <c r="V73" t="s">
        <v>90</v>
      </c>
      <c r="W73">
        <v>0</v>
      </c>
      <c r="X73" t="s">
        <v>90</v>
      </c>
      <c r="Y73">
        <v>0</v>
      </c>
      <c r="Z73">
        <v>58.414172241094441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L73">
        <v>2.597</v>
      </c>
      <c r="AN73" t="s">
        <v>223</v>
      </c>
      <c r="AO73" t="s">
        <v>92</v>
      </c>
      <c r="AP73">
        <v>200000</v>
      </c>
      <c r="AQ73" t="s">
        <v>92</v>
      </c>
      <c r="AS73">
        <v>10000</v>
      </c>
      <c r="AT73" t="s">
        <v>736</v>
      </c>
      <c r="AU73" t="s">
        <v>78</v>
      </c>
      <c r="AV73" t="s">
        <v>79</v>
      </c>
      <c r="AY73">
        <v>0</v>
      </c>
    </row>
    <row r="74" spans="1:52" ht="12.75">
      <c r="A74" s="2" t="str">
        <f>HYPERLINK("https://ibp.a2mac1.com/costing(costing:projects/details/8191/assembly/5381279)","Airbags")</f>
        <v>Airbags</v>
      </c>
      <c r="B74">
        <v>5381279</v>
      </c>
      <c r="D74">
        <v>5381278</v>
      </c>
      <c r="F74">
        <v>1</v>
      </c>
      <c r="G74">
        <v>0</v>
      </c>
      <c r="H74">
        <v>191.90958337971276</v>
      </c>
      <c r="I74">
        <v>0</v>
      </c>
      <c r="J74" t="s">
        <v>90</v>
      </c>
      <c r="K74">
        <v>0</v>
      </c>
      <c r="L74">
        <v>191.90958337971276</v>
      </c>
      <c r="M74">
        <v>0</v>
      </c>
      <c r="N74">
        <v>0</v>
      </c>
      <c r="O74">
        <v>191.90958337971276</v>
      </c>
      <c r="P74" t="s">
        <v>90</v>
      </c>
      <c r="Q74">
        <v>0</v>
      </c>
      <c r="R74" t="s">
        <v>90</v>
      </c>
      <c r="S74">
        <v>0</v>
      </c>
      <c r="T74" t="s">
        <v>90</v>
      </c>
      <c r="U74">
        <v>0</v>
      </c>
      <c r="V74" t="s">
        <v>90</v>
      </c>
      <c r="W74">
        <v>0</v>
      </c>
      <c r="X74" t="s">
        <v>90</v>
      </c>
      <c r="Y74">
        <v>0</v>
      </c>
      <c r="Z74">
        <v>191.90958337971276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L74">
        <v>6.2622999999999998</v>
      </c>
      <c r="AN74" t="s">
        <v>223</v>
      </c>
      <c r="AO74" t="s">
        <v>92</v>
      </c>
      <c r="AP74">
        <v>200000</v>
      </c>
      <c r="AQ74" t="s">
        <v>92</v>
      </c>
      <c r="AS74">
        <v>10000</v>
      </c>
      <c r="AT74" t="s">
        <v>737</v>
      </c>
      <c r="AU74" t="s">
        <v>78</v>
      </c>
      <c r="AV74" t="s">
        <v>79</v>
      </c>
      <c r="AY74">
        <v>0</v>
      </c>
    </row>
    <row r="75" spans="1:52" ht="12.75">
      <c r="A75" s="2" t="str">
        <f>HYPERLINK("https://ibp.a2mac1.com/costing(costing:projects/details/8191/assembly/5381370)","Guide")</f>
        <v>Guide</v>
      </c>
      <c r="B75">
        <v>5381370</v>
      </c>
      <c r="D75">
        <v>5381287</v>
      </c>
      <c r="F75">
        <v>1</v>
      </c>
      <c r="G75">
        <v>0</v>
      </c>
      <c r="H75">
        <v>0.37368516971426968</v>
      </c>
      <c r="I75">
        <v>0</v>
      </c>
      <c r="J75" t="s">
        <v>90</v>
      </c>
      <c r="K75">
        <v>0</v>
      </c>
      <c r="L75">
        <v>0.37368516971426968</v>
      </c>
      <c r="M75">
        <v>0</v>
      </c>
      <c r="N75">
        <v>0</v>
      </c>
      <c r="O75">
        <v>0.37368516971426968</v>
      </c>
      <c r="P75" t="s">
        <v>90</v>
      </c>
      <c r="Q75">
        <v>0</v>
      </c>
      <c r="R75" t="s">
        <v>90</v>
      </c>
      <c r="S75">
        <v>0</v>
      </c>
      <c r="T75" t="s">
        <v>90</v>
      </c>
      <c r="U75">
        <v>0</v>
      </c>
      <c r="V75" t="s">
        <v>90</v>
      </c>
      <c r="W75">
        <v>0</v>
      </c>
      <c r="X75" t="s">
        <v>90</v>
      </c>
      <c r="Y75">
        <v>0</v>
      </c>
      <c r="Z75">
        <v>0.37368516971426968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L75">
        <v>0.13700000000000001</v>
      </c>
      <c r="AN75" t="s">
        <v>223</v>
      </c>
      <c r="AO75" t="s">
        <v>92</v>
      </c>
      <c r="AP75">
        <v>200000</v>
      </c>
      <c r="AQ75" t="s">
        <v>92</v>
      </c>
      <c r="AS75">
        <v>10000</v>
      </c>
      <c r="AT75" t="s">
        <v>751</v>
      </c>
      <c r="AU75" t="s">
        <v>78</v>
      </c>
      <c r="AV75" t="s">
        <v>79</v>
      </c>
      <c r="AY75">
        <v>0</v>
      </c>
    </row>
    <row r="76" spans="1:52" ht="12.75">
      <c r="A76" s="2" t="str">
        <f>HYPERLINK("https://ibp.a2mac1.com/costing(costing:projects/details/8191/assembly/5381287)","Seat Belt Front Driver")</f>
        <v>Seat Belt Front Driver</v>
      </c>
      <c r="B76">
        <v>5381287</v>
      </c>
      <c r="D76">
        <v>5381280</v>
      </c>
      <c r="F76">
        <v>1</v>
      </c>
      <c r="G76">
        <v>0</v>
      </c>
      <c r="H76">
        <v>31.60354516971427</v>
      </c>
      <c r="I76">
        <v>0</v>
      </c>
      <c r="J76" t="s">
        <v>90</v>
      </c>
      <c r="K76">
        <v>0</v>
      </c>
      <c r="L76">
        <v>31.60354516971427</v>
      </c>
      <c r="M76">
        <v>0</v>
      </c>
      <c r="N76">
        <v>0</v>
      </c>
      <c r="O76">
        <v>31.60354516971427</v>
      </c>
      <c r="P76" t="s">
        <v>90</v>
      </c>
      <c r="Q76">
        <v>0</v>
      </c>
      <c r="R76" t="s">
        <v>90</v>
      </c>
      <c r="S76">
        <v>0</v>
      </c>
      <c r="T76" t="s">
        <v>90</v>
      </c>
      <c r="U76">
        <v>0</v>
      </c>
      <c r="V76" t="s">
        <v>90</v>
      </c>
      <c r="W76">
        <v>0</v>
      </c>
      <c r="X76" t="s">
        <v>90</v>
      </c>
      <c r="Y76">
        <v>0</v>
      </c>
      <c r="Z76">
        <v>31.60354516971427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L76">
        <v>2.6629999999999998</v>
      </c>
      <c r="AN76" t="s">
        <v>223</v>
      </c>
      <c r="AO76" t="s">
        <v>92</v>
      </c>
      <c r="AP76">
        <v>200000</v>
      </c>
      <c r="AQ76" t="s">
        <v>92</v>
      </c>
      <c r="AS76">
        <v>10000</v>
      </c>
      <c r="AT76" t="s">
        <v>758</v>
      </c>
      <c r="AU76" t="s">
        <v>78</v>
      </c>
      <c r="AV76" t="s">
        <v>79</v>
      </c>
      <c r="AY76">
        <v>0</v>
      </c>
    </row>
    <row r="77" spans="1:52" ht="12.75">
      <c r="A77" s="2" t="str">
        <f>HYPERLINK("https://ibp.a2mac1.com/costing(costing:projects/details/8191/assembly/5381376)","Guide")</f>
        <v>Guide</v>
      </c>
      <c r="B77">
        <v>5381376</v>
      </c>
      <c r="D77">
        <v>5381288</v>
      </c>
      <c r="F77">
        <v>1</v>
      </c>
      <c r="G77">
        <v>0</v>
      </c>
      <c r="H77">
        <v>0.37368516971426968</v>
      </c>
      <c r="I77">
        <v>0</v>
      </c>
      <c r="J77" t="s">
        <v>90</v>
      </c>
      <c r="K77">
        <v>0</v>
      </c>
      <c r="L77">
        <v>0.37368516971426968</v>
      </c>
      <c r="M77">
        <v>0</v>
      </c>
      <c r="N77">
        <v>0</v>
      </c>
      <c r="O77">
        <v>0.37368516971426968</v>
      </c>
      <c r="P77" t="s">
        <v>90</v>
      </c>
      <c r="Q77">
        <v>0</v>
      </c>
      <c r="R77" t="s">
        <v>90</v>
      </c>
      <c r="S77">
        <v>0</v>
      </c>
      <c r="T77" t="s">
        <v>90</v>
      </c>
      <c r="U77">
        <v>0</v>
      </c>
      <c r="V77" t="s">
        <v>90</v>
      </c>
      <c r="W77">
        <v>0</v>
      </c>
      <c r="X77" t="s">
        <v>90</v>
      </c>
      <c r="Y77">
        <v>0</v>
      </c>
      <c r="Z77">
        <v>0.37368516971426968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L77">
        <v>0.135</v>
      </c>
      <c r="AN77" t="s">
        <v>223</v>
      </c>
      <c r="AO77" t="s">
        <v>92</v>
      </c>
      <c r="AP77">
        <v>200000</v>
      </c>
      <c r="AQ77" t="s">
        <v>92</v>
      </c>
      <c r="AS77">
        <v>10000</v>
      </c>
      <c r="AT77" t="s">
        <v>767</v>
      </c>
      <c r="AU77" t="s">
        <v>78</v>
      </c>
      <c r="AV77" t="s">
        <v>79</v>
      </c>
      <c r="AY77">
        <v>0</v>
      </c>
    </row>
    <row r="78" spans="1:52" ht="12.75">
      <c r="A78" s="2" t="str">
        <f>HYPERLINK("https://ibp.a2mac1.com/costing(costing:projects/details/8191/assembly/5381377)","Anchor")</f>
        <v>Anchor</v>
      </c>
      <c r="B78">
        <v>5381377</v>
      </c>
      <c r="D78">
        <v>5381288</v>
      </c>
      <c r="F78">
        <v>1</v>
      </c>
      <c r="G78">
        <v>0</v>
      </c>
      <c r="H78">
        <v>1.38</v>
      </c>
      <c r="I78">
        <v>0</v>
      </c>
      <c r="J78" t="s">
        <v>90</v>
      </c>
      <c r="K78">
        <v>0</v>
      </c>
      <c r="L78">
        <v>1.38</v>
      </c>
      <c r="M78">
        <v>0</v>
      </c>
      <c r="N78">
        <v>0</v>
      </c>
      <c r="O78">
        <v>1.38</v>
      </c>
      <c r="P78" t="s">
        <v>90</v>
      </c>
      <c r="Q78">
        <v>0</v>
      </c>
      <c r="R78" t="s">
        <v>90</v>
      </c>
      <c r="S78">
        <v>0</v>
      </c>
      <c r="T78" t="s">
        <v>90</v>
      </c>
      <c r="U78">
        <v>0</v>
      </c>
      <c r="V78" t="s">
        <v>90</v>
      </c>
      <c r="W78">
        <v>0</v>
      </c>
      <c r="X78" t="s">
        <v>90</v>
      </c>
      <c r="Y78">
        <v>0</v>
      </c>
      <c r="Z78">
        <v>1.38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L78">
        <v>0.12</v>
      </c>
      <c r="AN78" t="s">
        <v>223</v>
      </c>
      <c r="AO78" t="s">
        <v>92</v>
      </c>
      <c r="AP78">
        <v>200000</v>
      </c>
      <c r="AQ78" t="s">
        <v>92</v>
      </c>
      <c r="AS78">
        <v>10000</v>
      </c>
      <c r="AT78" t="s">
        <v>771</v>
      </c>
      <c r="AU78" t="s">
        <v>78</v>
      </c>
      <c r="AV78" t="s">
        <v>79</v>
      </c>
      <c r="AY78">
        <v>0</v>
      </c>
    </row>
    <row r="79" spans="1:52" ht="12.75">
      <c r="A79" s="2" t="str">
        <f>HYPERLINK("https://ibp.a2mac1.com/costing(costing:projects/details/8191/assembly/5381288)","Seat Belt Front Passenger")</f>
        <v>Seat Belt Front Passenger</v>
      </c>
      <c r="B79">
        <v>5381288</v>
      </c>
      <c r="D79">
        <v>5381280</v>
      </c>
      <c r="F79">
        <v>1</v>
      </c>
      <c r="G79">
        <v>0</v>
      </c>
      <c r="H79">
        <v>31.602765169714271</v>
      </c>
      <c r="I79">
        <v>0</v>
      </c>
      <c r="J79" t="s">
        <v>90</v>
      </c>
      <c r="K79">
        <v>0</v>
      </c>
      <c r="L79">
        <v>31.602765169714271</v>
      </c>
      <c r="M79">
        <v>0</v>
      </c>
      <c r="N79">
        <v>0</v>
      </c>
      <c r="O79">
        <v>31.602765169714271</v>
      </c>
      <c r="P79" t="s">
        <v>90</v>
      </c>
      <c r="Q79">
        <v>0</v>
      </c>
      <c r="R79" t="s">
        <v>90</v>
      </c>
      <c r="S79">
        <v>0</v>
      </c>
      <c r="T79" t="s">
        <v>90</v>
      </c>
      <c r="U79">
        <v>0</v>
      </c>
      <c r="V79" t="s">
        <v>90</v>
      </c>
      <c r="W79">
        <v>0</v>
      </c>
      <c r="X79" t="s">
        <v>90</v>
      </c>
      <c r="Y79">
        <v>0</v>
      </c>
      <c r="Z79">
        <v>31.602765169714271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L79">
        <v>2.7229999999999999</v>
      </c>
      <c r="AN79" t="s">
        <v>223</v>
      </c>
      <c r="AO79" t="s">
        <v>92</v>
      </c>
      <c r="AP79">
        <v>200000</v>
      </c>
      <c r="AQ79" t="s">
        <v>92</v>
      </c>
      <c r="AS79">
        <v>10000</v>
      </c>
      <c r="AT79" t="s">
        <v>781</v>
      </c>
      <c r="AU79" t="s">
        <v>78</v>
      </c>
      <c r="AV79" t="s">
        <v>79</v>
      </c>
      <c r="AY79">
        <v>0</v>
      </c>
    </row>
    <row r="80" spans="1:52" ht="12.75">
      <c r="A80" s="2" t="str">
        <f>HYPERLINK("https://ibp.a2mac1.com/costing(costing:projects/details/8191/assembly/5381289)","Rear Left Seat Belt")</f>
        <v>Rear Left Seat Belt</v>
      </c>
      <c r="B80">
        <v>5381289</v>
      </c>
      <c r="D80">
        <v>5381280</v>
      </c>
      <c r="F80">
        <v>1</v>
      </c>
      <c r="G80">
        <v>0</v>
      </c>
      <c r="H80">
        <v>19.76</v>
      </c>
      <c r="I80">
        <v>0</v>
      </c>
      <c r="J80" t="s">
        <v>90</v>
      </c>
      <c r="K80">
        <v>0</v>
      </c>
      <c r="L80">
        <v>19.76</v>
      </c>
      <c r="M80">
        <v>0</v>
      </c>
      <c r="N80">
        <v>0</v>
      </c>
      <c r="O80">
        <v>19.76</v>
      </c>
      <c r="P80" t="s">
        <v>90</v>
      </c>
      <c r="Q80">
        <v>0</v>
      </c>
      <c r="R80" t="s">
        <v>90</v>
      </c>
      <c r="S80">
        <v>0</v>
      </c>
      <c r="T80" t="s">
        <v>90</v>
      </c>
      <c r="U80">
        <v>0</v>
      </c>
      <c r="V80" t="s">
        <v>90</v>
      </c>
      <c r="W80">
        <v>0</v>
      </c>
      <c r="X80" t="s">
        <v>90</v>
      </c>
      <c r="Y80">
        <v>0</v>
      </c>
      <c r="Z80">
        <v>19.76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L80">
        <v>1.4910000000000001</v>
      </c>
      <c r="AN80" t="s">
        <v>223</v>
      </c>
      <c r="AO80" t="s">
        <v>92</v>
      </c>
      <c r="AP80">
        <v>200000</v>
      </c>
      <c r="AQ80" t="s">
        <v>92</v>
      </c>
      <c r="AS80">
        <v>10000</v>
      </c>
      <c r="AT80" t="s">
        <v>787</v>
      </c>
      <c r="AU80" t="s">
        <v>78</v>
      </c>
      <c r="AV80" t="s">
        <v>79</v>
      </c>
      <c r="AY80">
        <v>0</v>
      </c>
    </row>
    <row r="81" spans="1:52" ht="12.75">
      <c r="A81" s="2" t="str">
        <f>HYPERLINK("https://ibp.a2mac1.com/costing(costing:projects/details/8191/assembly/5381290)","Rear Central Seat Belt")</f>
        <v>Rear Central Seat Belt</v>
      </c>
      <c r="B81">
        <v>5381290</v>
      </c>
      <c r="D81">
        <v>5381280</v>
      </c>
      <c r="F81">
        <v>1</v>
      </c>
      <c r="G81">
        <v>0</v>
      </c>
      <c r="H81">
        <v>15.945822782262068</v>
      </c>
      <c r="I81">
        <v>0</v>
      </c>
      <c r="J81" t="s">
        <v>90</v>
      </c>
      <c r="K81">
        <v>0</v>
      </c>
      <c r="L81">
        <v>15.945822782262068</v>
      </c>
      <c r="M81">
        <v>0</v>
      </c>
      <c r="N81">
        <v>0</v>
      </c>
      <c r="O81">
        <v>15.945822782262068</v>
      </c>
      <c r="P81" t="s">
        <v>90</v>
      </c>
      <c r="Q81">
        <v>0</v>
      </c>
      <c r="R81" t="s">
        <v>90</v>
      </c>
      <c r="S81">
        <v>0</v>
      </c>
      <c r="T81" t="s">
        <v>90</v>
      </c>
      <c r="U81">
        <v>0</v>
      </c>
      <c r="V81" t="s">
        <v>90</v>
      </c>
      <c r="W81">
        <v>0</v>
      </c>
      <c r="X81" t="s">
        <v>90</v>
      </c>
      <c r="Y81">
        <v>0</v>
      </c>
      <c r="Z81">
        <v>15.945822782262068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L81">
        <v>0.94099999999999995</v>
      </c>
      <c r="AN81" t="s">
        <v>223</v>
      </c>
      <c r="AO81" t="s">
        <v>92</v>
      </c>
      <c r="AP81">
        <v>200000</v>
      </c>
      <c r="AQ81" t="s">
        <v>92</v>
      </c>
      <c r="AS81">
        <v>10000</v>
      </c>
      <c r="AT81" t="s">
        <v>799</v>
      </c>
      <c r="AU81" t="s">
        <v>78</v>
      </c>
      <c r="AV81" t="s">
        <v>79</v>
      </c>
      <c r="AY81">
        <v>0</v>
      </c>
    </row>
    <row r="82" spans="1:52" ht="12.75">
      <c r="A82" s="2" t="str">
        <f>HYPERLINK("https://ibp.a2mac1.com/costing(costing:projects/details/8191/assembly/5381387)","Anchor")</f>
        <v>Anchor</v>
      </c>
      <c r="B82">
        <v>5381387</v>
      </c>
      <c r="D82">
        <v>5381291</v>
      </c>
      <c r="F82">
        <v>1</v>
      </c>
      <c r="G82">
        <v>0</v>
      </c>
      <c r="H82">
        <v>0.33</v>
      </c>
      <c r="I82">
        <v>0</v>
      </c>
      <c r="J82" t="s">
        <v>90</v>
      </c>
      <c r="K82">
        <v>0</v>
      </c>
      <c r="L82">
        <v>0.33</v>
      </c>
      <c r="M82">
        <v>0</v>
      </c>
      <c r="N82">
        <v>0</v>
      </c>
      <c r="O82">
        <v>0.33</v>
      </c>
      <c r="P82" t="s">
        <v>90</v>
      </c>
      <c r="Q82">
        <v>0</v>
      </c>
      <c r="R82" t="s">
        <v>90</v>
      </c>
      <c r="S82">
        <v>0</v>
      </c>
      <c r="T82" t="s">
        <v>90</v>
      </c>
      <c r="U82">
        <v>0</v>
      </c>
      <c r="V82" t="s">
        <v>90</v>
      </c>
      <c r="W82">
        <v>0</v>
      </c>
      <c r="X82" t="s">
        <v>90</v>
      </c>
      <c r="Y82">
        <v>0</v>
      </c>
      <c r="Z82">
        <v>0.33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L82">
        <v>0.058999999999999997</v>
      </c>
      <c r="AN82" t="s">
        <v>223</v>
      </c>
      <c r="AO82" t="s">
        <v>92</v>
      </c>
      <c r="AP82">
        <v>200000</v>
      </c>
      <c r="AQ82" t="s">
        <v>92</v>
      </c>
      <c r="AS82">
        <v>10000</v>
      </c>
      <c r="AT82" t="s">
        <v>803</v>
      </c>
      <c r="AU82" t="s">
        <v>78</v>
      </c>
      <c r="AV82" t="s">
        <v>79</v>
      </c>
      <c r="AY82">
        <v>0</v>
      </c>
    </row>
    <row r="83" spans="1:52" ht="12.75">
      <c r="A83" s="2" t="str">
        <f>HYPERLINK("https://ibp.a2mac1.com/costing(costing:projects/details/8191/assembly/5381291)","Rear Right Belt")</f>
        <v>Rear Right Belt</v>
      </c>
      <c r="B83">
        <v>5381291</v>
      </c>
      <c r="D83">
        <v>5381280</v>
      </c>
      <c r="F83">
        <v>1</v>
      </c>
      <c r="G83">
        <v>0</v>
      </c>
      <c r="H83">
        <v>19.76</v>
      </c>
      <c r="I83">
        <v>0</v>
      </c>
      <c r="J83" t="s">
        <v>90</v>
      </c>
      <c r="K83">
        <v>0</v>
      </c>
      <c r="L83">
        <v>19.76</v>
      </c>
      <c r="M83">
        <v>0</v>
      </c>
      <c r="N83">
        <v>0</v>
      </c>
      <c r="O83">
        <v>19.76</v>
      </c>
      <c r="P83" t="s">
        <v>90</v>
      </c>
      <c r="Q83">
        <v>0</v>
      </c>
      <c r="R83" t="s">
        <v>90</v>
      </c>
      <c r="S83">
        <v>0</v>
      </c>
      <c r="T83" t="s">
        <v>90</v>
      </c>
      <c r="U83">
        <v>0</v>
      </c>
      <c r="V83" t="s">
        <v>90</v>
      </c>
      <c r="W83">
        <v>0</v>
      </c>
      <c r="X83" t="s">
        <v>90</v>
      </c>
      <c r="Y83">
        <v>0</v>
      </c>
      <c r="Z83">
        <v>19.76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L83">
        <v>1.516</v>
      </c>
      <c r="AN83" t="s">
        <v>223</v>
      </c>
      <c r="AO83" t="s">
        <v>92</v>
      </c>
      <c r="AP83">
        <v>200000</v>
      </c>
      <c r="AQ83" t="s">
        <v>92</v>
      </c>
      <c r="AS83">
        <v>10000</v>
      </c>
      <c r="AT83" t="s">
        <v>808</v>
      </c>
      <c r="AU83" t="s">
        <v>78</v>
      </c>
      <c r="AV83" t="s">
        <v>79</v>
      </c>
      <c r="AY83">
        <v>0</v>
      </c>
    </row>
    <row r="84" spans="1:52" ht="12.75">
      <c r="A84" s="2" t="str">
        <f>HYPERLINK("https://ibp.a2mac1.com/costing(costing:projects/details/8191/assembly/5381280)","Seat Belt")</f>
        <v>Seat Belt</v>
      </c>
      <c r="B84">
        <v>5381280</v>
      </c>
      <c r="D84">
        <v>5381278</v>
      </c>
      <c r="F84">
        <v>1</v>
      </c>
      <c r="G84">
        <v>0</v>
      </c>
      <c r="H84">
        <v>118.67213312169061</v>
      </c>
      <c r="I84">
        <v>0</v>
      </c>
      <c r="J84" t="s">
        <v>90</v>
      </c>
      <c r="K84">
        <v>0</v>
      </c>
      <c r="L84">
        <v>118.67213312169061</v>
      </c>
      <c r="M84">
        <v>0</v>
      </c>
      <c r="N84">
        <v>0</v>
      </c>
      <c r="O84">
        <v>118.67213312169061</v>
      </c>
      <c r="P84" t="s">
        <v>90</v>
      </c>
      <c r="Q84">
        <v>0</v>
      </c>
      <c r="R84" t="s">
        <v>90</v>
      </c>
      <c r="S84">
        <v>0</v>
      </c>
      <c r="T84" t="s">
        <v>90</v>
      </c>
      <c r="U84">
        <v>0</v>
      </c>
      <c r="V84" t="s">
        <v>90</v>
      </c>
      <c r="W84">
        <v>0</v>
      </c>
      <c r="X84" t="s">
        <v>90</v>
      </c>
      <c r="Y84">
        <v>0</v>
      </c>
      <c r="Z84">
        <v>118.67213312169061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L84">
        <v>9.3339999999999996</v>
      </c>
      <c r="AN84" t="s">
        <v>223</v>
      </c>
      <c r="AO84" t="s">
        <v>92</v>
      </c>
      <c r="AP84">
        <v>200000</v>
      </c>
      <c r="AQ84" t="s">
        <v>92</v>
      </c>
      <c r="AS84">
        <v>10000</v>
      </c>
      <c r="AT84" t="s">
        <v>809</v>
      </c>
      <c r="AU84" t="s">
        <v>78</v>
      </c>
      <c r="AV84" t="s">
        <v>79</v>
      </c>
      <c r="AY84">
        <v>0</v>
      </c>
    </row>
    <row r="85" spans="1:52" ht="12.75">
      <c r="A85" s="2" t="str">
        <f>HYPERLINK("https://ibp.a2mac1.com/costing(costing:projects/details/8191/assembly/5381281)","Horn System")</f>
        <v>Horn System</v>
      </c>
      <c r="B85">
        <v>5381281</v>
      </c>
      <c r="D85">
        <v>5381278</v>
      </c>
      <c r="F85">
        <v>1</v>
      </c>
      <c r="G85">
        <v>0</v>
      </c>
      <c r="H85">
        <v>4.3830200000000001</v>
      </c>
      <c r="I85">
        <v>0</v>
      </c>
      <c r="J85" t="s">
        <v>90</v>
      </c>
      <c r="K85">
        <v>0</v>
      </c>
      <c r="L85">
        <v>4.3830200000000001</v>
      </c>
      <c r="M85">
        <v>0</v>
      </c>
      <c r="N85">
        <v>0</v>
      </c>
      <c r="O85">
        <v>4.3830200000000001</v>
      </c>
      <c r="P85" t="s">
        <v>90</v>
      </c>
      <c r="Q85">
        <v>0</v>
      </c>
      <c r="R85" t="s">
        <v>90</v>
      </c>
      <c r="S85">
        <v>0</v>
      </c>
      <c r="T85" t="s">
        <v>90</v>
      </c>
      <c r="U85">
        <v>0</v>
      </c>
      <c r="V85" t="s">
        <v>90</v>
      </c>
      <c r="W85">
        <v>0</v>
      </c>
      <c r="X85" t="s">
        <v>90</v>
      </c>
      <c r="Y85">
        <v>0</v>
      </c>
      <c r="Z85">
        <v>4.3830200000000001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L85">
        <v>0.25</v>
      </c>
      <c r="AN85" t="s">
        <v>223</v>
      </c>
      <c r="AO85" t="s">
        <v>92</v>
      </c>
      <c r="AP85">
        <v>200000</v>
      </c>
      <c r="AQ85" t="s">
        <v>92</v>
      </c>
      <c r="AS85">
        <v>10000</v>
      </c>
      <c r="AT85" t="s">
        <v>815</v>
      </c>
      <c r="AU85" t="s">
        <v>78</v>
      </c>
      <c r="AV85" t="s">
        <v>79</v>
      </c>
      <c r="AY85">
        <v>0</v>
      </c>
    </row>
    <row r="86" spans="1:52" ht="12.75">
      <c r="A86" s="2" t="str">
        <f>HYPERLINK("https://ibp.a2mac1.com/costing(costing:projects/details/8191/assembly/5381278)","Safety System")</f>
        <v>Safety System</v>
      </c>
      <c r="B86">
        <v>5381278</v>
      </c>
      <c r="C86">
        <v>8191</v>
      </c>
      <c r="F86">
        <v>1</v>
      </c>
      <c r="G86">
        <v>0</v>
      </c>
      <c r="H86">
        <v>314.96473650140337</v>
      </c>
      <c r="I86">
        <v>0</v>
      </c>
      <c r="J86" t="s">
        <v>90</v>
      </c>
      <c r="K86">
        <v>0</v>
      </c>
      <c r="L86">
        <v>314.96473650140337</v>
      </c>
      <c r="M86">
        <v>0</v>
      </c>
      <c r="N86">
        <v>0</v>
      </c>
      <c r="O86">
        <v>314.96473650140337</v>
      </c>
      <c r="P86" t="s">
        <v>90</v>
      </c>
      <c r="Q86">
        <v>0</v>
      </c>
      <c r="R86" t="s">
        <v>90</v>
      </c>
      <c r="S86">
        <v>0</v>
      </c>
      <c r="T86" t="s">
        <v>90</v>
      </c>
      <c r="U86">
        <v>0</v>
      </c>
      <c r="V86" t="s">
        <v>90</v>
      </c>
      <c r="W86">
        <v>0</v>
      </c>
      <c r="X86" t="s">
        <v>90</v>
      </c>
      <c r="Y86">
        <v>0</v>
      </c>
      <c r="Z86">
        <v>314.96473650140337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L86">
        <v>15.846299999999999</v>
      </c>
      <c r="AN86" t="s">
        <v>223</v>
      </c>
      <c r="AO86" t="s">
        <v>92</v>
      </c>
      <c r="AP86">
        <v>200000</v>
      </c>
      <c r="AQ86" t="s">
        <v>92</v>
      </c>
      <c r="AS86">
        <v>10000</v>
      </c>
      <c r="AT86" t="s">
        <v>816</v>
      </c>
      <c r="AU86" t="s">
        <v>78</v>
      </c>
      <c r="AV86" t="s">
        <v>79</v>
      </c>
      <c r="AY86">
        <v>0</v>
      </c>
    </row>
    <row r="87" spans="1:52" ht="12.75">
      <c r="A87" s="2" t="str">
        <f>HYPERLINK("https://ibp.a2mac1.com/costing(costing:projects/details/8191/assembly/5381325)"," Covers")</f>
        <v xml:space="preserve"> Covers</v>
      </c>
      <c r="B87">
        <v>5381325</v>
      </c>
      <c r="D87">
        <v>5381300</v>
      </c>
      <c r="E87" t="s">
        <v>851</v>
      </c>
      <c r="F87">
        <v>1</v>
      </c>
      <c r="G87">
        <v>0</v>
      </c>
      <c r="H87">
        <v>6.4726515297290277</v>
      </c>
      <c r="I87">
        <v>0</v>
      </c>
      <c r="J87" t="s">
        <v>90</v>
      </c>
      <c r="K87">
        <v>0</v>
      </c>
      <c r="L87">
        <v>6.4726515297290277</v>
      </c>
      <c r="M87">
        <v>0</v>
      </c>
      <c r="N87">
        <v>0</v>
      </c>
      <c r="O87">
        <v>6.4726515297290277</v>
      </c>
      <c r="P87" t="s">
        <v>90</v>
      </c>
      <c r="Q87">
        <v>0</v>
      </c>
      <c r="R87" t="s">
        <v>90</v>
      </c>
      <c r="S87">
        <v>0</v>
      </c>
      <c r="T87" t="s">
        <v>90</v>
      </c>
      <c r="U87">
        <v>0</v>
      </c>
      <c r="V87" t="s">
        <v>90</v>
      </c>
      <c r="W87">
        <v>0</v>
      </c>
      <c r="X87" t="s">
        <v>90</v>
      </c>
      <c r="Y87">
        <v>0</v>
      </c>
      <c r="Z87">
        <v>6.4726515297290277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N87" t="s">
        <v>91</v>
      </c>
      <c r="AO87" t="s">
        <v>92</v>
      </c>
      <c r="AP87">
        <v>200000</v>
      </c>
      <c r="AQ87" t="s">
        <v>92</v>
      </c>
      <c r="AS87">
        <v>10000</v>
      </c>
      <c r="AT87" t="s">
        <v>852</v>
      </c>
      <c r="AU87" t="s">
        <v>78</v>
      </c>
      <c r="AV87" t="s">
        <v>79</v>
      </c>
      <c r="AY87">
        <v>0</v>
      </c>
    </row>
    <row r="88" spans="1:52" ht="12.75">
      <c r="A88" s="2" t="str">
        <f>HYPERLINK("https://ibp.a2mac1.com/costing(costing:projects/details/8191/assembly/5381440)"," Intake Air Vent Motor")</f>
        <v xml:space="preserve"> Intake Air Vent Motor</v>
      </c>
      <c r="B88">
        <v>5381440</v>
      </c>
      <c r="D88">
        <v>5381326</v>
      </c>
      <c r="E88" t="s">
        <v>859</v>
      </c>
      <c r="F88">
        <v>1</v>
      </c>
      <c r="G88">
        <v>0</v>
      </c>
      <c r="H88">
        <v>5.02</v>
      </c>
      <c r="I88">
        <v>0</v>
      </c>
      <c r="J88" t="s">
        <v>90</v>
      </c>
      <c r="K88">
        <v>0</v>
      </c>
      <c r="L88">
        <v>5.02</v>
      </c>
      <c r="M88">
        <v>0</v>
      </c>
      <c r="N88">
        <v>0</v>
      </c>
      <c r="O88">
        <v>5.02</v>
      </c>
      <c r="P88" t="s">
        <v>90</v>
      </c>
      <c r="Q88">
        <v>0</v>
      </c>
      <c r="R88" t="s">
        <v>90</v>
      </c>
      <c r="S88">
        <v>0</v>
      </c>
      <c r="T88" t="s">
        <v>90</v>
      </c>
      <c r="U88">
        <v>0</v>
      </c>
      <c r="V88" t="s">
        <v>90</v>
      </c>
      <c r="W88">
        <v>0</v>
      </c>
      <c r="X88" t="s">
        <v>90</v>
      </c>
      <c r="Y88">
        <v>0</v>
      </c>
      <c r="Z88">
        <v>5.02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N88" t="s">
        <v>91</v>
      </c>
      <c r="AO88" t="s">
        <v>92</v>
      </c>
      <c r="AP88">
        <v>200000</v>
      </c>
      <c r="AQ88" t="s">
        <v>92</v>
      </c>
      <c r="AS88">
        <v>10000</v>
      </c>
      <c r="AT88" t="s">
        <v>860</v>
      </c>
      <c r="AU88" t="s">
        <v>78</v>
      </c>
      <c r="AV88" t="s">
        <v>79</v>
      </c>
      <c r="AY88">
        <v>0</v>
      </c>
    </row>
    <row r="89" spans="1:52" ht="12.75">
      <c r="A89" s="2" t="str">
        <f>HYPERLINK("https://ibp.a2mac1.com/costing(costing:projects/details/8191/assembly/5381441)"," Heater Core Motors")</f>
        <v xml:space="preserve"> Heater Core Motors</v>
      </c>
      <c r="B89">
        <v>5381441</v>
      </c>
      <c r="D89">
        <v>5381326</v>
      </c>
      <c r="E89" t="s">
        <v>866</v>
      </c>
      <c r="F89">
        <v>1</v>
      </c>
      <c r="G89">
        <v>0</v>
      </c>
      <c r="H89">
        <v>9.80</v>
      </c>
      <c r="I89">
        <v>0</v>
      </c>
      <c r="J89" t="s">
        <v>90</v>
      </c>
      <c r="K89">
        <v>0</v>
      </c>
      <c r="L89">
        <v>9.80</v>
      </c>
      <c r="M89">
        <v>0</v>
      </c>
      <c r="N89">
        <v>0</v>
      </c>
      <c r="O89">
        <v>9.80</v>
      </c>
      <c r="P89" t="s">
        <v>90</v>
      </c>
      <c r="Q89">
        <v>0</v>
      </c>
      <c r="R89" t="s">
        <v>90</v>
      </c>
      <c r="S89">
        <v>0</v>
      </c>
      <c r="T89" t="s">
        <v>90</v>
      </c>
      <c r="U89">
        <v>0</v>
      </c>
      <c r="V89" t="s">
        <v>90</v>
      </c>
      <c r="W89">
        <v>0</v>
      </c>
      <c r="X89" t="s">
        <v>90</v>
      </c>
      <c r="Y89">
        <v>0</v>
      </c>
      <c r="Z89">
        <v>9.80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N89" t="s">
        <v>91</v>
      </c>
      <c r="AO89" t="s">
        <v>92</v>
      </c>
      <c r="AP89">
        <v>200000</v>
      </c>
      <c r="AQ89" t="s">
        <v>92</v>
      </c>
      <c r="AS89">
        <v>10000</v>
      </c>
      <c r="AT89" t="s">
        <v>867</v>
      </c>
      <c r="AU89" t="s">
        <v>78</v>
      </c>
      <c r="AV89" t="s">
        <v>79</v>
      </c>
      <c r="AY89">
        <v>0</v>
      </c>
    </row>
    <row r="90" spans="1:52" ht="12.75">
      <c r="A90" s="2" t="str">
        <f>HYPERLINK("https://ibp.a2mac1.com/costing(costing:projects/details/8191/assembly/5381442)"," Top/Bottom Flap Motor")</f>
        <v xml:space="preserve"> Top/Bottom Flap Motor</v>
      </c>
      <c r="B90">
        <v>5381442</v>
      </c>
      <c r="D90">
        <v>5381326</v>
      </c>
      <c r="E90" t="s">
        <v>873</v>
      </c>
      <c r="F90">
        <v>1</v>
      </c>
      <c r="G90">
        <v>0</v>
      </c>
      <c r="H90">
        <v>9.80</v>
      </c>
      <c r="I90">
        <v>0</v>
      </c>
      <c r="J90" t="s">
        <v>90</v>
      </c>
      <c r="K90">
        <v>0</v>
      </c>
      <c r="L90">
        <v>9.80</v>
      </c>
      <c r="M90">
        <v>0</v>
      </c>
      <c r="N90">
        <v>0</v>
      </c>
      <c r="O90">
        <v>9.80</v>
      </c>
      <c r="P90" t="s">
        <v>90</v>
      </c>
      <c r="Q90">
        <v>0</v>
      </c>
      <c r="R90" t="s">
        <v>90</v>
      </c>
      <c r="S90">
        <v>0</v>
      </c>
      <c r="T90" t="s">
        <v>90</v>
      </c>
      <c r="U90">
        <v>0</v>
      </c>
      <c r="V90" t="s">
        <v>90</v>
      </c>
      <c r="W90">
        <v>0</v>
      </c>
      <c r="X90" t="s">
        <v>90</v>
      </c>
      <c r="Y90">
        <v>0</v>
      </c>
      <c r="Z90">
        <v>9.80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N90" t="s">
        <v>91</v>
      </c>
      <c r="AO90" t="s">
        <v>92</v>
      </c>
      <c r="AP90">
        <v>200000</v>
      </c>
      <c r="AQ90" t="s">
        <v>92</v>
      </c>
      <c r="AS90">
        <v>10000</v>
      </c>
      <c r="AT90" t="s">
        <v>874</v>
      </c>
      <c r="AU90" t="s">
        <v>78</v>
      </c>
      <c r="AV90" t="s">
        <v>79</v>
      </c>
      <c r="AY90">
        <v>0</v>
      </c>
    </row>
    <row r="91" spans="1:52" ht="12.75">
      <c r="A91" s="2" t="str">
        <f>HYPERLINK("https://ibp.a2mac1.com/costing(costing:projects/details/8191/assembly/5381326)"," Motors")</f>
        <v xml:space="preserve"> Motors</v>
      </c>
      <c r="B91">
        <v>5381326</v>
      </c>
      <c r="D91">
        <v>5381300</v>
      </c>
      <c r="E91" t="s">
        <v>877</v>
      </c>
      <c r="F91">
        <v>1</v>
      </c>
      <c r="G91">
        <v>0</v>
      </c>
      <c r="H91">
        <v>29.52</v>
      </c>
      <c r="I91">
        <v>0</v>
      </c>
      <c r="J91" t="s">
        <v>90</v>
      </c>
      <c r="K91">
        <v>0</v>
      </c>
      <c r="L91">
        <v>29.52</v>
      </c>
      <c r="M91">
        <v>0</v>
      </c>
      <c r="N91">
        <v>0</v>
      </c>
      <c r="O91">
        <v>29.52</v>
      </c>
      <c r="P91" t="s">
        <v>90</v>
      </c>
      <c r="Q91">
        <v>0</v>
      </c>
      <c r="R91" t="s">
        <v>90</v>
      </c>
      <c r="S91">
        <v>0</v>
      </c>
      <c r="T91" t="s">
        <v>90</v>
      </c>
      <c r="U91">
        <v>0</v>
      </c>
      <c r="V91" t="s">
        <v>90</v>
      </c>
      <c r="W91">
        <v>0</v>
      </c>
      <c r="X91" t="s">
        <v>90</v>
      </c>
      <c r="Y91">
        <v>0</v>
      </c>
      <c r="Z91">
        <v>29.52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N91" t="s">
        <v>91</v>
      </c>
      <c r="AO91" t="s">
        <v>92</v>
      </c>
      <c r="AP91">
        <v>200000</v>
      </c>
      <c r="AQ91" t="s">
        <v>92</v>
      </c>
      <c r="AS91">
        <v>10000</v>
      </c>
      <c r="AT91" t="s">
        <v>878</v>
      </c>
      <c r="AU91" t="s">
        <v>78</v>
      </c>
      <c r="AV91" t="s">
        <v>79</v>
      </c>
      <c r="AY91">
        <v>0</v>
      </c>
    </row>
    <row r="92" spans="1:52" ht="12.75">
      <c r="A92" s="2" t="str">
        <f>HYPERLINK("https://ibp.a2mac1.com/costing(costing:projects/details/8191/assembly/5381447)"," Central Vents")</f>
        <v xml:space="preserve"> Central Vents</v>
      </c>
      <c r="B92">
        <v>5381447</v>
      </c>
      <c r="D92">
        <v>5381327</v>
      </c>
      <c r="E92" t="s">
        <v>885</v>
      </c>
      <c r="F92">
        <v>1</v>
      </c>
      <c r="G92">
        <v>0</v>
      </c>
      <c r="H92">
        <v>0.17</v>
      </c>
      <c r="I92">
        <v>0</v>
      </c>
      <c r="J92" t="s">
        <v>90</v>
      </c>
      <c r="K92">
        <v>0</v>
      </c>
      <c r="L92">
        <v>0.17</v>
      </c>
      <c r="M92">
        <v>0</v>
      </c>
      <c r="N92">
        <v>0</v>
      </c>
      <c r="O92">
        <v>0.17</v>
      </c>
      <c r="P92" t="s">
        <v>90</v>
      </c>
      <c r="Q92">
        <v>0</v>
      </c>
      <c r="R92" t="s">
        <v>90</v>
      </c>
      <c r="S92">
        <v>0</v>
      </c>
      <c r="T92" t="s">
        <v>90</v>
      </c>
      <c r="U92">
        <v>0</v>
      </c>
      <c r="V92" t="s">
        <v>90</v>
      </c>
      <c r="W92">
        <v>0</v>
      </c>
      <c r="X92" t="s">
        <v>90</v>
      </c>
      <c r="Y92">
        <v>0</v>
      </c>
      <c r="Z92">
        <v>0.17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N92" t="s">
        <v>91</v>
      </c>
      <c r="AO92" t="s">
        <v>92</v>
      </c>
      <c r="AP92">
        <v>200000</v>
      </c>
      <c r="AQ92" t="s">
        <v>92</v>
      </c>
      <c r="AS92">
        <v>10000</v>
      </c>
      <c r="AT92" t="s">
        <v>886</v>
      </c>
      <c r="AU92" t="s">
        <v>78</v>
      </c>
      <c r="AV92" t="s">
        <v>79</v>
      </c>
      <c r="AY92">
        <v>0</v>
      </c>
    </row>
    <row r="93" spans="1:52" ht="12.75">
      <c r="A93" s="2" t="str">
        <f>HYPERLINK("https://ibp.a2mac1.com/costing(costing:projects/details/8191/assembly/5381448)"," Upper Front Part")</f>
        <v xml:space="preserve"> Upper Front Part</v>
      </c>
      <c r="B93">
        <v>5381448</v>
      </c>
      <c r="D93">
        <v>5381327</v>
      </c>
      <c r="E93" t="s">
        <v>892</v>
      </c>
      <c r="F93">
        <v>1</v>
      </c>
      <c r="G93">
        <v>0</v>
      </c>
      <c r="H93">
        <v>0.16</v>
      </c>
      <c r="I93">
        <v>0</v>
      </c>
      <c r="J93" t="s">
        <v>90</v>
      </c>
      <c r="K93">
        <v>0</v>
      </c>
      <c r="L93">
        <v>0.16</v>
      </c>
      <c r="M93">
        <v>0</v>
      </c>
      <c r="N93">
        <v>0</v>
      </c>
      <c r="O93">
        <v>0.16</v>
      </c>
      <c r="P93" t="s">
        <v>90</v>
      </c>
      <c r="Q93">
        <v>0</v>
      </c>
      <c r="R93" t="s">
        <v>90</v>
      </c>
      <c r="S93">
        <v>0</v>
      </c>
      <c r="T93" t="s">
        <v>90</v>
      </c>
      <c r="U93">
        <v>0</v>
      </c>
      <c r="V93" t="s">
        <v>90</v>
      </c>
      <c r="W93">
        <v>0</v>
      </c>
      <c r="X93" t="s">
        <v>90</v>
      </c>
      <c r="Y93">
        <v>0</v>
      </c>
      <c r="Z93">
        <v>0.16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N93" t="s">
        <v>91</v>
      </c>
      <c r="AO93" t="s">
        <v>92</v>
      </c>
      <c r="AP93">
        <v>200000</v>
      </c>
      <c r="AQ93" t="s">
        <v>92</v>
      </c>
      <c r="AS93">
        <v>10000</v>
      </c>
      <c r="AT93" t="s">
        <v>893</v>
      </c>
      <c r="AU93" t="s">
        <v>78</v>
      </c>
      <c r="AV93" t="s">
        <v>79</v>
      </c>
      <c r="AY93">
        <v>0</v>
      </c>
    </row>
    <row r="94" spans="1:52" ht="12.75">
      <c r="A94" s="2" t="str">
        <f>HYPERLINK("https://ibp.a2mac1.com/costing(costing:projects/details/8191/assembly/5381449)"," Windshield Demisting")</f>
        <v xml:space="preserve"> Windshield Demisting</v>
      </c>
      <c r="B94">
        <v>5381449</v>
      </c>
      <c r="D94">
        <v>5381327</v>
      </c>
      <c r="E94" t="s">
        <v>897</v>
      </c>
      <c r="F94">
        <v>1</v>
      </c>
      <c r="G94">
        <v>0</v>
      </c>
      <c r="H94">
        <v>0.17</v>
      </c>
      <c r="I94">
        <v>0</v>
      </c>
      <c r="J94" t="s">
        <v>90</v>
      </c>
      <c r="K94">
        <v>0</v>
      </c>
      <c r="L94">
        <v>0.17</v>
      </c>
      <c r="M94">
        <v>0</v>
      </c>
      <c r="N94">
        <v>0</v>
      </c>
      <c r="O94">
        <v>0.17</v>
      </c>
      <c r="P94" t="s">
        <v>90</v>
      </c>
      <c r="Q94">
        <v>0</v>
      </c>
      <c r="R94" t="s">
        <v>90</v>
      </c>
      <c r="S94">
        <v>0</v>
      </c>
      <c r="T94" t="s">
        <v>90</v>
      </c>
      <c r="U94">
        <v>0</v>
      </c>
      <c r="V94" t="s">
        <v>90</v>
      </c>
      <c r="W94">
        <v>0</v>
      </c>
      <c r="X94" t="s">
        <v>90</v>
      </c>
      <c r="Y94">
        <v>0</v>
      </c>
      <c r="Z94">
        <v>0.17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N94" t="s">
        <v>91</v>
      </c>
      <c r="AO94" t="s">
        <v>92</v>
      </c>
      <c r="AP94">
        <v>200000</v>
      </c>
      <c r="AQ94" t="s">
        <v>92</v>
      </c>
      <c r="AS94">
        <v>10000</v>
      </c>
      <c r="AT94" t="s">
        <v>898</v>
      </c>
      <c r="AU94" t="s">
        <v>78</v>
      </c>
      <c r="AV94" t="s">
        <v>79</v>
      </c>
      <c r="AY94">
        <v>0</v>
      </c>
    </row>
    <row r="95" spans="1:52" ht="12.75">
      <c r="A95" s="2" t="str">
        <f>HYPERLINK("https://ibp.a2mac1.com/costing(costing:projects/details/8191/assembly/5381450)"," Lower Front Part")</f>
        <v xml:space="preserve"> Lower Front Part</v>
      </c>
      <c r="B95">
        <v>5381450</v>
      </c>
      <c r="D95">
        <v>5381327</v>
      </c>
      <c r="E95" t="s">
        <v>904</v>
      </c>
      <c r="F95">
        <v>1</v>
      </c>
      <c r="G95">
        <v>0</v>
      </c>
      <c r="H95">
        <v>0.16</v>
      </c>
      <c r="I95">
        <v>0</v>
      </c>
      <c r="J95" t="s">
        <v>90</v>
      </c>
      <c r="K95">
        <v>0</v>
      </c>
      <c r="L95">
        <v>0.16</v>
      </c>
      <c r="M95">
        <v>0</v>
      </c>
      <c r="N95">
        <v>0</v>
      </c>
      <c r="O95">
        <v>0.16</v>
      </c>
      <c r="P95" t="s">
        <v>90</v>
      </c>
      <c r="Q95">
        <v>0</v>
      </c>
      <c r="R95" t="s">
        <v>90</v>
      </c>
      <c r="S95">
        <v>0</v>
      </c>
      <c r="T95" t="s">
        <v>90</v>
      </c>
      <c r="U95">
        <v>0</v>
      </c>
      <c r="V95" t="s">
        <v>90</v>
      </c>
      <c r="W95">
        <v>0</v>
      </c>
      <c r="X95" t="s">
        <v>90</v>
      </c>
      <c r="Y95">
        <v>0</v>
      </c>
      <c r="Z95">
        <v>0.16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N95" t="s">
        <v>91</v>
      </c>
      <c r="AO95" t="s">
        <v>92</v>
      </c>
      <c r="AP95">
        <v>200000</v>
      </c>
      <c r="AQ95" t="s">
        <v>92</v>
      </c>
      <c r="AS95">
        <v>10000</v>
      </c>
      <c r="AT95" t="s">
        <v>905</v>
      </c>
      <c r="AU95" t="s">
        <v>78</v>
      </c>
      <c r="AV95" t="s">
        <v>79</v>
      </c>
      <c r="AY95">
        <v>0</v>
      </c>
    </row>
    <row r="96" spans="1:52" ht="12.75">
      <c r="A96" s="2" t="str">
        <f>HYPERLINK("https://ibp.a2mac1.com/costing(costing:projects/details/8191/assembly/5381451)"," Row 2 Center")</f>
        <v xml:space="preserve"> Row 2 Center</v>
      </c>
      <c r="B96">
        <v>5381451</v>
      </c>
      <c r="D96">
        <v>5381327</v>
      </c>
      <c r="E96" t="s">
        <v>909</v>
      </c>
      <c r="F96">
        <v>1</v>
      </c>
      <c r="G96">
        <v>0</v>
      </c>
      <c r="H96">
        <v>0.08</v>
      </c>
      <c r="I96">
        <v>0</v>
      </c>
      <c r="J96" t="s">
        <v>90</v>
      </c>
      <c r="K96">
        <v>0</v>
      </c>
      <c r="L96">
        <v>0.08</v>
      </c>
      <c r="M96">
        <v>0</v>
      </c>
      <c r="N96">
        <v>0</v>
      </c>
      <c r="O96">
        <v>0.08</v>
      </c>
      <c r="P96" t="s">
        <v>90</v>
      </c>
      <c r="Q96">
        <v>0</v>
      </c>
      <c r="R96" t="s">
        <v>90</v>
      </c>
      <c r="S96">
        <v>0</v>
      </c>
      <c r="T96" t="s">
        <v>90</v>
      </c>
      <c r="U96">
        <v>0</v>
      </c>
      <c r="V96" t="s">
        <v>90</v>
      </c>
      <c r="W96">
        <v>0</v>
      </c>
      <c r="X96" t="s">
        <v>90</v>
      </c>
      <c r="Y96">
        <v>0</v>
      </c>
      <c r="Z96">
        <v>0.08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N96" t="s">
        <v>91</v>
      </c>
      <c r="AO96" t="s">
        <v>92</v>
      </c>
      <c r="AP96">
        <v>200000</v>
      </c>
      <c r="AQ96" t="s">
        <v>92</v>
      </c>
      <c r="AS96">
        <v>10000</v>
      </c>
      <c r="AT96" t="s">
        <v>910</v>
      </c>
      <c r="AU96" t="s">
        <v>78</v>
      </c>
      <c r="AV96" t="s">
        <v>79</v>
      </c>
      <c r="AY96">
        <v>0</v>
      </c>
    </row>
    <row r="97" spans="1:52" ht="12.75">
      <c r="A97" s="2" t="str">
        <f>HYPERLINK("https://ibp.a2mac1.com/costing(costing:projects/details/8191/assembly/5381452)"," Feet Row 2")</f>
        <v xml:space="preserve"> Feet Row 2</v>
      </c>
      <c r="B97">
        <v>5381452</v>
      </c>
      <c r="D97">
        <v>5381327</v>
      </c>
      <c r="E97" t="s">
        <v>916</v>
      </c>
      <c r="F97">
        <v>1</v>
      </c>
      <c r="G97">
        <v>0</v>
      </c>
      <c r="H97">
        <v>0.18</v>
      </c>
      <c r="I97">
        <v>0</v>
      </c>
      <c r="J97" t="s">
        <v>90</v>
      </c>
      <c r="K97">
        <v>0</v>
      </c>
      <c r="L97">
        <v>0.18</v>
      </c>
      <c r="M97">
        <v>0</v>
      </c>
      <c r="N97">
        <v>0</v>
      </c>
      <c r="O97">
        <v>0.18</v>
      </c>
      <c r="P97" t="s">
        <v>90</v>
      </c>
      <c r="Q97">
        <v>0</v>
      </c>
      <c r="R97" t="s">
        <v>90</v>
      </c>
      <c r="S97">
        <v>0</v>
      </c>
      <c r="T97" t="s">
        <v>90</v>
      </c>
      <c r="U97">
        <v>0</v>
      </c>
      <c r="V97" t="s">
        <v>90</v>
      </c>
      <c r="W97">
        <v>0</v>
      </c>
      <c r="X97" t="s">
        <v>90</v>
      </c>
      <c r="Y97">
        <v>0</v>
      </c>
      <c r="Z97">
        <v>0.18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N97" t="s">
        <v>91</v>
      </c>
      <c r="AO97" t="s">
        <v>92</v>
      </c>
      <c r="AP97">
        <v>200000</v>
      </c>
      <c r="AQ97" t="s">
        <v>92</v>
      </c>
      <c r="AS97">
        <v>10000</v>
      </c>
      <c r="AT97" t="s">
        <v>917</v>
      </c>
      <c r="AU97" t="s">
        <v>78</v>
      </c>
      <c r="AV97" t="s">
        <v>79</v>
      </c>
      <c r="AY97">
        <v>0</v>
      </c>
    </row>
    <row r="98" spans="1:52" ht="12.75">
      <c r="A98" s="2" t="str">
        <f>HYPERLINK("https://ibp.a2mac1.com/costing(costing:projects/details/8191/assembly/5381327)"," Selection Flaps")</f>
        <v xml:space="preserve"> Selection Flaps</v>
      </c>
      <c r="B98">
        <v>5381327</v>
      </c>
      <c r="D98">
        <v>5381300</v>
      </c>
      <c r="E98" t="s">
        <v>926</v>
      </c>
      <c r="F98">
        <v>1</v>
      </c>
      <c r="G98">
        <v>0</v>
      </c>
      <c r="H98">
        <v>1.56</v>
      </c>
      <c r="I98">
        <v>0</v>
      </c>
      <c r="J98" t="s">
        <v>90</v>
      </c>
      <c r="K98">
        <v>0</v>
      </c>
      <c r="L98">
        <v>1.56</v>
      </c>
      <c r="M98">
        <v>0</v>
      </c>
      <c r="N98">
        <v>0</v>
      </c>
      <c r="O98">
        <v>1.56</v>
      </c>
      <c r="P98" t="s">
        <v>90</v>
      </c>
      <c r="Q98">
        <v>0</v>
      </c>
      <c r="R98" t="s">
        <v>90</v>
      </c>
      <c r="S98">
        <v>0</v>
      </c>
      <c r="T98" t="s">
        <v>90</v>
      </c>
      <c r="U98">
        <v>0</v>
      </c>
      <c r="V98" t="s">
        <v>90</v>
      </c>
      <c r="W98">
        <v>0</v>
      </c>
      <c r="X98" t="s">
        <v>90</v>
      </c>
      <c r="Y98">
        <v>0</v>
      </c>
      <c r="Z98">
        <v>1.56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N98" t="s">
        <v>91</v>
      </c>
      <c r="AO98" t="s">
        <v>92</v>
      </c>
      <c r="AP98">
        <v>200000</v>
      </c>
      <c r="AQ98" t="s">
        <v>92</v>
      </c>
      <c r="AS98">
        <v>10000</v>
      </c>
      <c r="AT98" t="s">
        <v>927</v>
      </c>
      <c r="AU98" t="s">
        <v>78</v>
      </c>
      <c r="AV98" t="s">
        <v>79</v>
      </c>
      <c r="AY98">
        <v>0</v>
      </c>
    </row>
    <row r="99" spans="1:52" ht="12.75">
      <c r="A99" s="2" t="str">
        <f>HYPERLINK("https://ibp.a2mac1.com/costing(costing:projects/details/8191/assembly/5381328)"," Mechanism")</f>
        <v xml:space="preserve"> Mechanism</v>
      </c>
      <c r="B99">
        <v>5381328</v>
      </c>
      <c r="D99">
        <v>5381300</v>
      </c>
      <c r="E99" t="s">
        <v>977</v>
      </c>
      <c r="F99">
        <v>1</v>
      </c>
      <c r="G99">
        <v>0</v>
      </c>
      <c r="H99">
        <v>2.97</v>
      </c>
      <c r="I99">
        <v>0</v>
      </c>
      <c r="J99" t="s">
        <v>90</v>
      </c>
      <c r="K99">
        <v>0</v>
      </c>
      <c r="L99">
        <v>2.97</v>
      </c>
      <c r="M99">
        <v>0</v>
      </c>
      <c r="N99">
        <v>0</v>
      </c>
      <c r="O99">
        <v>2.97</v>
      </c>
      <c r="P99" t="s">
        <v>90</v>
      </c>
      <c r="Q99">
        <v>0</v>
      </c>
      <c r="R99" t="s">
        <v>90</v>
      </c>
      <c r="S99">
        <v>0</v>
      </c>
      <c r="T99" t="s">
        <v>90</v>
      </c>
      <c r="U99">
        <v>0</v>
      </c>
      <c r="V99" t="s">
        <v>90</v>
      </c>
      <c r="W99">
        <v>0</v>
      </c>
      <c r="X99" t="s">
        <v>90</v>
      </c>
      <c r="Y99">
        <v>0</v>
      </c>
      <c r="Z99">
        <v>2.97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N99" t="s">
        <v>91</v>
      </c>
      <c r="AO99" t="s">
        <v>92</v>
      </c>
      <c r="AP99">
        <v>200000</v>
      </c>
      <c r="AQ99" t="s">
        <v>92</v>
      </c>
      <c r="AS99">
        <v>10000</v>
      </c>
      <c r="AT99" t="s">
        <v>978</v>
      </c>
      <c r="AU99" t="s">
        <v>78</v>
      </c>
      <c r="AV99" t="s">
        <v>79</v>
      </c>
      <c r="AY99">
        <v>0</v>
      </c>
    </row>
    <row r="100" spans="1:52" ht="12.75">
      <c r="A100" s="2" t="str">
        <f>HYPERLINK("https://ibp.a2mac1.com/costing(costing:projects/details/8191/assembly/5381563)"," Covers")</f>
        <v xml:space="preserve"> Covers</v>
      </c>
      <c r="B100">
        <v>5381563</v>
      </c>
      <c r="D100">
        <v>5381498</v>
      </c>
      <c r="E100" t="s">
        <v>988</v>
      </c>
      <c r="F100">
        <v>1</v>
      </c>
      <c r="G100">
        <v>0</v>
      </c>
      <c r="H100">
        <v>1.64</v>
      </c>
      <c r="I100">
        <v>0</v>
      </c>
      <c r="J100" t="s">
        <v>90</v>
      </c>
      <c r="K100">
        <v>0</v>
      </c>
      <c r="L100">
        <v>1.64</v>
      </c>
      <c r="M100">
        <v>0</v>
      </c>
      <c r="N100">
        <v>0</v>
      </c>
      <c r="O100">
        <v>1.64</v>
      </c>
      <c r="P100" t="s">
        <v>90</v>
      </c>
      <c r="Q100">
        <v>0</v>
      </c>
      <c r="R100" t="s">
        <v>90</v>
      </c>
      <c r="S100">
        <v>0</v>
      </c>
      <c r="T100" t="s">
        <v>90</v>
      </c>
      <c r="U100">
        <v>0</v>
      </c>
      <c r="V100" t="s">
        <v>90</v>
      </c>
      <c r="W100">
        <v>0</v>
      </c>
      <c r="X100" t="s">
        <v>90</v>
      </c>
      <c r="Y100">
        <v>0</v>
      </c>
      <c r="Z100">
        <v>1.64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N100" t="s">
        <v>91</v>
      </c>
      <c r="AO100" t="s">
        <v>92</v>
      </c>
      <c r="AP100">
        <v>200000</v>
      </c>
      <c r="AQ100" t="s">
        <v>92</v>
      </c>
      <c r="AS100">
        <v>10000</v>
      </c>
      <c r="AT100" t="s">
        <v>989</v>
      </c>
      <c r="AU100" t="s">
        <v>78</v>
      </c>
      <c r="AV100" t="s">
        <v>79</v>
      </c>
      <c r="AY100">
        <v>0</v>
      </c>
    </row>
    <row r="101" spans="1:52" ht="12.75">
      <c r="A101" s="2" t="str">
        <f>HYPERLINK("https://ibp.a2mac1.com/costing(costing:projects/details/8191/assembly/5381498)"," Air Unit")</f>
        <v xml:space="preserve"> Air Unit</v>
      </c>
      <c r="B101">
        <v>5381498</v>
      </c>
      <c r="D101">
        <v>5381329</v>
      </c>
      <c r="E101" t="s">
        <v>994</v>
      </c>
      <c r="F101">
        <v>1</v>
      </c>
      <c r="G101">
        <v>0</v>
      </c>
      <c r="H101">
        <v>25.06</v>
      </c>
      <c r="I101">
        <v>0</v>
      </c>
      <c r="J101" t="s">
        <v>90</v>
      </c>
      <c r="K101">
        <v>0</v>
      </c>
      <c r="L101">
        <v>25.06</v>
      </c>
      <c r="M101">
        <v>0</v>
      </c>
      <c r="N101">
        <v>0</v>
      </c>
      <c r="O101">
        <v>25.06</v>
      </c>
      <c r="P101" t="s">
        <v>90</v>
      </c>
      <c r="Q101">
        <v>0</v>
      </c>
      <c r="R101" t="s">
        <v>90</v>
      </c>
      <c r="S101">
        <v>0</v>
      </c>
      <c r="T101" t="s">
        <v>90</v>
      </c>
      <c r="U101">
        <v>0</v>
      </c>
      <c r="V101" t="s">
        <v>90</v>
      </c>
      <c r="W101">
        <v>0</v>
      </c>
      <c r="X101" t="s">
        <v>90</v>
      </c>
      <c r="Y101">
        <v>0</v>
      </c>
      <c r="Z101">
        <v>25.06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N101" t="s">
        <v>91</v>
      </c>
      <c r="AO101" t="s">
        <v>92</v>
      </c>
      <c r="AP101">
        <v>200000</v>
      </c>
      <c r="AQ101" t="s">
        <v>92</v>
      </c>
      <c r="AS101">
        <v>10000</v>
      </c>
      <c r="AT101" t="s">
        <v>995</v>
      </c>
      <c r="AU101" t="s">
        <v>78</v>
      </c>
      <c r="AV101" t="s">
        <v>79</v>
      </c>
      <c r="AY101">
        <v>0</v>
      </c>
    </row>
    <row r="102" spans="1:52" ht="12.75">
      <c r="A102" s="2" t="str">
        <f>HYPERLINK("https://ibp.a2mac1.com/costing(costing:projects/details/8191/assembly/5381329)"," Blowing Unit System")</f>
        <v xml:space="preserve"> Blowing Unit System</v>
      </c>
      <c r="B102">
        <v>5381329</v>
      </c>
      <c r="D102">
        <v>5381300</v>
      </c>
      <c r="E102" t="s">
        <v>998</v>
      </c>
      <c r="F102">
        <v>1</v>
      </c>
      <c r="G102">
        <v>0</v>
      </c>
      <c r="H102">
        <v>30.06</v>
      </c>
      <c r="I102">
        <v>0</v>
      </c>
      <c r="J102" t="s">
        <v>90</v>
      </c>
      <c r="K102">
        <v>0</v>
      </c>
      <c r="L102">
        <v>30.06</v>
      </c>
      <c r="M102">
        <v>0</v>
      </c>
      <c r="N102">
        <v>0</v>
      </c>
      <c r="O102">
        <v>30.06</v>
      </c>
      <c r="P102" t="s">
        <v>90</v>
      </c>
      <c r="Q102">
        <v>0</v>
      </c>
      <c r="R102" t="s">
        <v>90</v>
      </c>
      <c r="S102">
        <v>0</v>
      </c>
      <c r="T102" t="s">
        <v>90</v>
      </c>
      <c r="U102">
        <v>0</v>
      </c>
      <c r="V102" t="s">
        <v>90</v>
      </c>
      <c r="W102">
        <v>0</v>
      </c>
      <c r="X102" t="s">
        <v>90</v>
      </c>
      <c r="Y102">
        <v>0</v>
      </c>
      <c r="Z102">
        <v>30.06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N102" t="s">
        <v>91</v>
      </c>
      <c r="AO102" t="s">
        <v>92</v>
      </c>
      <c r="AP102">
        <v>200000</v>
      </c>
      <c r="AQ102" t="s">
        <v>92</v>
      </c>
      <c r="AS102">
        <v>10000</v>
      </c>
      <c r="AT102" t="s">
        <v>999</v>
      </c>
      <c r="AU102" t="s">
        <v>78</v>
      </c>
      <c r="AV102" t="s">
        <v>79</v>
      </c>
      <c r="AY102">
        <v>0</v>
      </c>
    </row>
    <row r="103" spans="1:52" ht="12.75">
      <c r="A103" s="2" t="str">
        <f>HYPERLINK("https://ibp.a2mac1.com/costing(costing:projects/details/8191/assembly/5381330)"," Bracket")</f>
        <v xml:space="preserve"> Bracket</v>
      </c>
      <c r="B103">
        <v>5381330</v>
      </c>
      <c r="D103">
        <v>5381300</v>
      </c>
      <c r="E103" t="s">
        <v>1009</v>
      </c>
      <c r="F103">
        <v>1</v>
      </c>
      <c r="G103">
        <v>0</v>
      </c>
      <c r="H103">
        <v>2.4752414168211145</v>
      </c>
      <c r="I103">
        <v>0</v>
      </c>
      <c r="J103" t="s">
        <v>90</v>
      </c>
      <c r="K103">
        <v>0</v>
      </c>
      <c r="L103">
        <v>2.4752414168211145</v>
      </c>
      <c r="M103">
        <v>0</v>
      </c>
      <c r="N103">
        <v>0</v>
      </c>
      <c r="O103">
        <v>2.4752414168211145</v>
      </c>
      <c r="P103" t="s">
        <v>90</v>
      </c>
      <c r="Q103">
        <v>0</v>
      </c>
      <c r="R103" t="s">
        <v>90</v>
      </c>
      <c r="S103">
        <v>0</v>
      </c>
      <c r="T103" t="s">
        <v>90</v>
      </c>
      <c r="U103">
        <v>0</v>
      </c>
      <c r="V103" t="s">
        <v>90</v>
      </c>
      <c r="W103">
        <v>0</v>
      </c>
      <c r="X103" t="s">
        <v>90</v>
      </c>
      <c r="Y103">
        <v>0</v>
      </c>
      <c r="Z103">
        <v>2.4752414168211145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N103" t="s">
        <v>91</v>
      </c>
      <c r="AO103" t="s">
        <v>92</v>
      </c>
      <c r="AP103">
        <v>200000</v>
      </c>
      <c r="AQ103" t="s">
        <v>92</v>
      </c>
      <c r="AS103">
        <v>10000</v>
      </c>
      <c r="AT103" t="s">
        <v>1010</v>
      </c>
      <c r="AU103" t="s">
        <v>78</v>
      </c>
      <c r="AV103" t="s">
        <v>79</v>
      </c>
      <c r="AY103">
        <v>0</v>
      </c>
    </row>
    <row r="104" spans="1:52" ht="12.75">
      <c r="A104" s="2" t="str">
        <f>HYPERLINK("https://ibp.a2mac1.com/costing(costing:projects/details/8191/assembly/5381331)"," Evaporator System")</f>
        <v xml:space="preserve"> Evaporator System</v>
      </c>
      <c r="B104">
        <v>5381331</v>
      </c>
      <c r="D104">
        <v>5381300</v>
      </c>
      <c r="E104" t="s">
        <v>1026</v>
      </c>
      <c r="F104">
        <v>1</v>
      </c>
      <c r="G104">
        <v>0</v>
      </c>
      <c r="H104">
        <v>23.67</v>
      </c>
      <c r="I104">
        <v>0</v>
      </c>
      <c r="J104" t="s">
        <v>90</v>
      </c>
      <c r="K104">
        <v>0</v>
      </c>
      <c r="L104">
        <v>23.67</v>
      </c>
      <c r="M104">
        <v>0</v>
      </c>
      <c r="N104">
        <v>0</v>
      </c>
      <c r="O104">
        <v>23.67</v>
      </c>
      <c r="P104" t="s">
        <v>90</v>
      </c>
      <c r="Q104">
        <v>0</v>
      </c>
      <c r="R104" t="s">
        <v>90</v>
      </c>
      <c r="S104">
        <v>0</v>
      </c>
      <c r="T104" t="s">
        <v>90</v>
      </c>
      <c r="U104">
        <v>0</v>
      </c>
      <c r="V104" t="s">
        <v>90</v>
      </c>
      <c r="W104">
        <v>0</v>
      </c>
      <c r="X104" t="s">
        <v>90</v>
      </c>
      <c r="Y104">
        <v>0</v>
      </c>
      <c r="Z104">
        <v>23.67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N104" t="s">
        <v>91</v>
      </c>
      <c r="AO104" t="s">
        <v>92</v>
      </c>
      <c r="AP104">
        <v>200000</v>
      </c>
      <c r="AQ104" t="s">
        <v>92</v>
      </c>
      <c r="AS104">
        <v>10000</v>
      </c>
      <c r="AT104" t="s">
        <v>1027</v>
      </c>
      <c r="AU104" t="s">
        <v>78</v>
      </c>
      <c r="AV104" t="s">
        <v>79</v>
      </c>
      <c r="AY104">
        <v>0</v>
      </c>
    </row>
    <row r="105" spans="1:52" ht="12.75">
      <c r="A105" s="2" t="str">
        <f>HYPERLINK("https://ibp.a2mac1.com/costing(costing:projects/details/8191/assembly/5381332)"," PTC Heater System")</f>
        <v xml:space="preserve"> PTC Heater System</v>
      </c>
      <c r="B105">
        <v>5381332</v>
      </c>
      <c r="D105">
        <v>5381300</v>
      </c>
      <c r="E105" t="s">
        <v>1033</v>
      </c>
      <c r="F105">
        <v>1</v>
      </c>
      <c r="G105">
        <v>0</v>
      </c>
      <c r="H105">
        <v>52.62</v>
      </c>
      <c r="I105">
        <v>0</v>
      </c>
      <c r="J105" t="s">
        <v>90</v>
      </c>
      <c r="K105">
        <v>0</v>
      </c>
      <c r="L105">
        <v>52.62</v>
      </c>
      <c r="M105">
        <v>0</v>
      </c>
      <c r="N105">
        <v>0</v>
      </c>
      <c r="O105">
        <v>52.62</v>
      </c>
      <c r="P105" t="s">
        <v>90</v>
      </c>
      <c r="Q105">
        <v>0</v>
      </c>
      <c r="R105" t="s">
        <v>90</v>
      </c>
      <c r="S105">
        <v>0</v>
      </c>
      <c r="T105" t="s">
        <v>90</v>
      </c>
      <c r="U105">
        <v>0</v>
      </c>
      <c r="V105" t="s">
        <v>90</v>
      </c>
      <c r="W105">
        <v>0</v>
      </c>
      <c r="X105" t="s">
        <v>90</v>
      </c>
      <c r="Y105">
        <v>0</v>
      </c>
      <c r="Z105">
        <v>52.62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N105" t="s">
        <v>91</v>
      </c>
      <c r="AO105" t="s">
        <v>92</v>
      </c>
      <c r="AP105">
        <v>200000</v>
      </c>
      <c r="AQ105" t="s">
        <v>92</v>
      </c>
      <c r="AS105">
        <v>10000</v>
      </c>
      <c r="AT105" t="s">
        <v>1034</v>
      </c>
      <c r="AU105" t="s">
        <v>78</v>
      </c>
      <c r="AV105" t="s">
        <v>79</v>
      </c>
      <c r="AY105">
        <v>0</v>
      </c>
    </row>
    <row r="106" spans="1:52" ht="12.75">
      <c r="A106" s="2" t="str">
        <f>HYPERLINK("https://ibp.a2mac1.com/costing(costing:projects/details/8191/assembly/5381333)"," Purifier Filter")</f>
        <v xml:space="preserve"> Purifier Filter</v>
      </c>
      <c r="B106">
        <v>5381333</v>
      </c>
      <c r="D106">
        <v>5381300</v>
      </c>
      <c r="E106" t="s">
        <v>1040</v>
      </c>
      <c r="F106">
        <v>1</v>
      </c>
      <c r="G106">
        <v>0</v>
      </c>
      <c r="H106">
        <v>3.58</v>
      </c>
      <c r="I106">
        <v>0</v>
      </c>
      <c r="J106" t="s">
        <v>90</v>
      </c>
      <c r="K106">
        <v>0</v>
      </c>
      <c r="L106">
        <v>3.58</v>
      </c>
      <c r="M106">
        <v>0</v>
      </c>
      <c r="N106">
        <v>0</v>
      </c>
      <c r="O106">
        <v>3.58</v>
      </c>
      <c r="P106" t="s">
        <v>90</v>
      </c>
      <c r="Q106">
        <v>0</v>
      </c>
      <c r="R106" t="s">
        <v>90</v>
      </c>
      <c r="S106">
        <v>0</v>
      </c>
      <c r="T106" t="s">
        <v>90</v>
      </c>
      <c r="U106">
        <v>0</v>
      </c>
      <c r="V106" t="s">
        <v>90</v>
      </c>
      <c r="W106">
        <v>0</v>
      </c>
      <c r="X106" t="s">
        <v>90</v>
      </c>
      <c r="Y106">
        <v>0</v>
      </c>
      <c r="Z106">
        <v>3.58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N106" t="s">
        <v>91</v>
      </c>
      <c r="AO106" t="s">
        <v>92</v>
      </c>
      <c r="AP106">
        <v>200000</v>
      </c>
      <c r="AQ106" t="s">
        <v>92</v>
      </c>
      <c r="AS106">
        <v>10000</v>
      </c>
      <c r="AT106" t="s">
        <v>1041</v>
      </c>
      <c r="AU106" t="s">
        <v>78</v>
      </c>
      <c r="AV106" t="s">
        <v>79</v>
      </c>
      <c r="AY106">
        <v>0</v>
      </c>
    </row>
    <row r="107" spans="1:52" ht="12.75">
      <c r="A107" s="2" t="str">
        <f>HYPERLINK("https://ibp.a2mac1.com/costing(costing:projects/details/8191/assembly/5381334)"," Drain Tube - Air Conditioning System")</f>
        <v xml:space="preserve"> Drain Tube - Air Conditioning System</v>
      </c>
      <c r="B107">
        <v>5381334</v>
      </c>
      <c r="D107">
        <v>5381300</v>
      </c>
      <c r="E107" t="s">
        <v>1045</v>
      </c>
      <c r="F107">
        <v>1</v>
      </c>
      <c r="G107">
        <v>0</v>
      </c>
      <c r="H107">
        <v>0.71</v>
      </c>
      <c r="I107">
        <v>0</v>
      </c>
      <c r="J107" t="s">
        <v>90</v>
      </c>
      <c r="K107">
        <v>0</v>
      </c>
      <c r="L107">
        <v>0.71</v>
      </c>
      <c r="M107">
        <v>0</v>
      </c>
      <c r="N107">
        <v>0</v>
      </c>
      <c r="O107">
        <v>0.71</v>
      </c>
      <c r="P107" t="s">
        <v>90</v>
      </c>
      <c r="Q107">
        <v>0</v>
      </c>
      <c r="R107" t="s">
        <v>90</v>
      </c>
      <c r="S107">
        <v>0</v>
      </c>
      <c r="T107" t="s">
        <v>90</v>
      </c>
      <c r="U107">
        <v>0</v>
      </c>
      <c r="V107" t="s">
        <v>90</v>
      </c>
      <c r="W107">
        <v>0</v>
      </c>
      <c r="X107" t="s">
        <v>90</v>
      </c>
      <c r="Y107">
        <v>0</v>
      </c>
      <c r="Z107">
        <v>0.71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N107" t="s">
        <v>91</v>
      </c>
      <c r="AO107" t="s">
        <v>92</v>
      </c>
      <c r="AP107">
        <v>200000</v>
      </c>
      <c r="AQ107" t="s">
        <v>92</v>
      </c>
      <c r="AS107">
        <v>10000</v>
      </c>
      <c r="AT107" t="s">
        <v>1046</v>
      </c>
      <c r="AU107" t="s">
        <v>78</v>
      </c>
      <c r="AV107" t="s">
        <v>79</v>
      </c>
      <c r="AY107">
        <v>0</v>
      </c>
    </row>
    <row r="108" spans="1:52" ht="12.75">
      <c r="A108" s="2" t="str">
        <f>HYPERLINK("https://ibp.a2mac1.com/costing(costing:projects/details/8191/assembly/5381335)"," Air Intake Duct")</f>
        <v xml:space="preserve"> Air Intake Duct</v>
      </c>
      <c r="B108">
        <v>5381335</v>
      </c>
      <c r="D108">
        <v>5381300</v>
      </c>
      <c r="E108" t="s">
        <v>1062</v>
      </c>
      <c r="F108">
        <v>1</v>
      </c>
      <c r="G108">
        <v>0</v>
      </c>
      <c r="H108">
        <v>1.07</v>
      </c>
      <c r="I108">
        <v>0</v>
      </c>
      <c r="J108" t="s">
        <v>90</v>
      </c>
      <c r="K108">
        <v>0</v>
      </c>
      <c r="L108">
        <v>1.07</v>
      </c>
      <c r="M108">
        <v>0</v>
      </c>
      <c r="N108">
        <v>0</v>
      </c>
      <c r="O108">
        <v>1.07</v>
      </c>
      <c r="P108" t="s">
        <v>90</v>
      </c>
      <c r="Q108">
        <v>0</v>
      </c>
      <c r="R108" t="s">
        <v>90</v>
      </c>
      <c r="S108">
        <v>0</v>
      </c>
      <c r="T108" t="s">
        <v>90</v>
      </c>
      <c r="U108">
        <v>0</v>
      </c>
      <c r="V108" t="s">
        <v>90</v>
      </c>
      <c r="W108">
        <v>0</v>
      </c>
      <c r="X108" t="s">
        <v>90</v>
      </c>
      <c r="Y108">
        <v>0</v>
      </c>
      <c r="Z108">
        <v>1.07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555</v>
      </c>
      <c r="AI108">
        <v>360</v>
      </c>
      <c r="AJ108">
        <v>430</v>
      </c>
      <c r="AK108">
        <v>0</v>
      </c>
      <c r="AL108">
        <v>0</v>
      </c>
      <c r="AN108" t="s">
        <v>91</v>
      </c>
      <c r="AO108" t="s">
        <v>92</v>
      </c>
      <c r="AP108">
        <v>200000</v>
      </c>
      <c r="AQ108" t="s">
        <v>92</v>
      </c>
      <c r="AS108">
        <v>10000</v>
      </c>
      <c r="AT108" t="s">
        <v>1063</v>
      </c>
      <c r="AU108" t="s">
        <v>78</v>
      </c>
      <c r="AV108" t="s">
        <v>79</v>
      </c>
      <c r="AY108">
        <v>0</v>
      </c>
    </row>
    <row r="109" spans="1:52" ht="12.75">
      <c r="A109" s="2" t="str">
        <f>HYPERLINK("https://ibp.a2mac1.com/costing(costing:projects/details/8191/assembly/5381336)"," Sound Insulation System")</f>
        <v xml:space="preserve"> Sound Insulation System</v>
      </c>
      <c r="B109">
        <v>5381336</v>
      </c>
      <c r="D109">
        <v>5381300</v>
      </c>
      <c r="E109" t="s">
        <v>1069</v>
      </c>
      <c r="F109">
        <v>1</v>
      </c>
      <c r="G109">
        <v>0</v>
      </c>
      <c r="H109">
        <v>0.36</v>
      </c>
      <c r="I109">
        <v>0</v>
      </c>
      <c r="J109" t="s">
        <v>90</v>
      </c>
      <c r="K109">
        <v>0</v>
      </c>
      <c r="L109">
        <v>0.36</v>
      </c>
      <c r="M109">
        <v>0</v>
      </c>
      <c r="N109">
        <v>0</v>
      </c>
      <c r="O109">
        <v>0.36</v>
      </c>
      <c r="P109" t="s">
        <v>90</v>
      </c>
      <c r="Q109">
        <v>0</v>
      </c>
      <c r="R109" t="s">
        <v>90</v>
      </c>
      <c r="S109">
        <v>0</v>
      </c>
      <c r="T109" t="s">
        <v>90</v>
      </c>
      <c r="U109">
        <v>0</v>
      </c>
      <c r="V109" t="s">
        <v>90</v>
      </c>
      <c r="W109">
        <v>0</v>
      </c>
      <c r="X109" t="s">
        <v>90</v>
      </c>
      <c r="Y109">
        <v>0</v>
      </c>
      <c r="Z109">
        <v>0.36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N109" t="s">
        <v>91</v>
      </c>
      <c r="AO109" t="s">
        <v>92</v>
      </c>
      <c r="AP109">
        <v>200000</v>
      </c>
      <c r="AQ109" t="s">
        <v>92</v>
      </c>
      <c r="AS109">
        <v>10000</v>
      </c>
      <c r="AT109" t="s">
        <v>1070</v>
      </c>
      <c r="AU109" t="s">
        <v>78</v>
      </c>
      <c r="AV109" t="s">
        <v>79</v>
      </c>
      <c r="AY109">
        <v>0</v>
      </c>
    </row>
    <row r="110" spans="1:52" ht="12.75">
      <c r="A110" s="2" t="str">
        <f>HYPERLINK("https://ibp.a2mac1.com/costing(costing:projects/details/8191/assembly/5381300)"," Heating System")</f>
        <v xml:space="preserve"> Heating System</v>
      </c>
      <c r="B110">
        <v>5381300</v>
      </c>
      <c r="D110">
        <v>5381294</v>
      </c>
      <c r="E110" t="s">
        <v>1078</v>
      </c>
      <c r="F110">
        <v>1</v>
      </c>
      <c r="G110">
        <v>0</v>
      </c>
      <c r="H110">
        <v>171.91789294655015</v>
      </c>
      <c r="I110">
        <v>0.86390900978165897</v>
      </c>
      <c r="J110" t="s">
        <v>137</v>
      </c>
      <c r="K110">
        <v>6.0171262531292546</v>
      </c>
      <c r="L110">
        <v>178.79892820946105</v>
      </c>
      <c r="M110">
        <v>0</v>
      </c>
      <c r="N110">
        <v>7.0086638652844293</v>
      </c>
      <c r="O110">
        <v>185.80759207474549</v>
      </c>
      <c r="P110" t="s">
        <v>138</v>
      </c>
      <c r="Q110">
        <v>10.727935692567664</v>
      </c>
      <c r="R110" t="s">
        <v>138</v>
      </c>
      <c r="S110">
        <v>0.42051983191706577</v>
      </c>
      <c r="T110" t="s">
        <v>139</v>
      </c>
      <c r="U110">
        <v>22.296911048969459</v>
      </c>
      <c r="V110" t="s">
        <v>90</v>
      </c>
      <c r="W110">
        <v>0</v>
      </c>
      <c r="X110" t="s">
        <v>90</v>
      </c>
      <c r="Y110">
        <v>0</v>
      </c>
      <c r="Z110">
        <v>219.25295864819967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420</v>
      </c>
      <c r="AI110">
        <v>500</v>
      </c>
      <c r="AJ110">
        <v>540</v>
      </c>
      <c r="AK110">
        <v>0</v>
      </c>
      <c r="AL110">
        <v>0</v>
      </c>
      <c r="AN110" t="s">
        <v>213</v>
      </c>
      <c r="AO110" t="s">
        <v>92</v>
      </c>
      <c r="AP110">
        <v>200000</v>
      </c>
      <c r="AQ110" t="s">
        <v>76</v>
      </c>
      <c r="AS110">
        <v>10000</v>
      </c>
      <c r="AT110" t="s">
        <v>1079</v>
      </c>
      <c r="AU110" t="s">
        <v>78</v>
      </c>
      <c r="AV110" t="s">
        <v>79</v>
      </c>
      <c r="AY110">
        <v>0</v>
      </c>
    </row>
    <row r="111" spans="1:52" ht="12.75">
      <c r="A111" s="2" t="str">
        <f>HYPERLINK("https://ibp.a2mac1.com/costing(costing:projects/details/8191/assembly/5381301)"," Front Air Duct")</f>
        <v xml:space="preserve"> Front Air Duct</v>
      </c>
      <c r="B111">
        <v>5381301</v>
      </c>
      <c r="D111">
        <v>5381294</v>
      </c>
      <c r="E111" t="s">
        <v>1097</v>
      </c>
      <c r="F111">
        <v>1</v>
      </c>
      <c r="G111">
        <v>0</v>
      </c>
      <c r="H111">
        <v>4.9769272876549033</v>
      </c>
      <c r="I111">
        <v>0</v>
      </c>
      <c r="J111" t="s">
        <v>90</v>
      </c>
      <c r="K111">
        <v>0</v>
      </c>
      <c r="L111">
        <v>4.9769272876549033</v>
      </c>
      <c r="M111">
        <v>0</v>
      </c>
      <c r="N111">
        <v>0</v>
      </c>
      <c r="O111">
        <v>4.9769272876549033</v>
      </c>
      <c r="P111" t="s">
        <v>90</v>
      </c>
      <c r="Q111">
        <v>0</v>
      </c>
      <c r="R111" t="s">
        <v>90</v>
      </c>
      <c r="S111">
        <v>0</v>
      </c>
      <c r="T111" t="s">
        <v>90</v>
      </c>
      <c r="U111">
        <v>0</v>
      </c>
      <c r="V111" t="s">
        <v>90</v>
      </c>
      <c r="W111">
        <v>0</v>
      </c>
      <c r="X111" t="s">
        <v>90</v>
      </c>
      <c r="Y111">
        <v>0</v>
      </c>
      <c r="Z111">
        <v>4.9769272876549033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N111" t="s">
        <v>91</v>
      </c>
      <c r="AO111" t="s">
        <v>92</v>
      </c>
      <c r="AP111">
        <v>200000</v>
      </c>
      <c r="AQ111" t="s">
        <v>92</v>
      </c>
      <c r="AS111">
        <v>10000</v>
      </c>
      <c r="AT111" t="s">
        <v>1098</v>
      </c>
      <c r="AU111" t="s">
        <v>78</v>
      </c>
      <c r="AV111" t="s">
        <v>79</v>
      </c>
      <c r="AY111">
        <v>0</v>
      </c>
    </row>
    <row r="112" spans="1:52" ht="12.75">
      <c r="A112" s="2" t="str">
        <f>HYPERLINK("https://ibp.a2mac1.com/costing(costing:projects/details/8191/assembly/5381345)"," Temperature Sensor")</f>
        <v xml:space="preserve"> Temperature Sensor</v>
      </c>
      <c r="B112">
        <v>5381345</v>
      </c>
      <c r="D112">
        <v>5381302</v>
      </c>
      <c r="E112" t="s">
        <v>1103</v>
      </c>
      <c r="F112">
        <v>1</v>
      </c>
      <c r="G112">
        <v>0</v>
      </c>
      <c r="H112">
        <v>1.80</v>
      </c>
      <c r="I112">
        <v>0</v>
      </c>
      <c r="J112" t="s">
        <v>90</v>
      </c>
      <c r="K112">
        <v>0</v>
      </c>
      <c r="L112">
        <v>1.80</v>
      </c>
      <c r="M112">
        <v>0</v>
      </c>
      <c r="N112">
        <v>0</v>
      </c>
      <c r="O112">
        <v>1.80</v>
      </c>
      <c r="P112" t="s">
        <v>90</v>
      </c>
      <c r="Q112">
        <v>0</v>
      </c>
      <c r="R112" t="s">
        <v>90</v>
      </c>
      <c r="S112">
        <v>0</v>
      </c>
      <c r="T112" t="s">
        <v>90</v>
      </c>
      <c r="U112">
        <v>0</v>
      </c>
      <c r="V112" t="s">
        <v>90</v>
      </c>
      <c r="W112">
        <v>0</v>
      </c>
      <c r="X112" t="s">
        <v>90</v>
      </c>
      <c r="Y112">
        <v>0</v>
      </c>
      <c r="Z112">
        <v>1.80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N112" t="s">
        <v>91</v>
      </c>
      <c r="AO112" t="s">
        <v>92</v>
      </c>
      <c r="AP112">
        <v>200000</v>
      </c>
      <c r="AQ112" t="s">
        <v>92</v>
      </c>
      <c r="AS112">
        <v>10000</v>
      </c>
      <c r="AT112" t="s">
        <v>1104</v>
      </c>
      <c r="AU112" t="s">
        <v>78</v>
      </c>
      <c r="AV112" t="s">
        <v>79</v>
      </c>
      <c r="AY112">
        <v>0</v>
      </c>
    </row>
    <row r="113" spans="1:52" ht="12.75">
      <c r="A113" s="2" t="str">
        <f>HYPERLINK("https://ibp.a2mac1.com/costing(costing:projects/details/8191/assembly/5381302)"," Front Lower Air Pipe")</f>
        <v xml:space="preserve"> Front Lower Air Pipe</v>
      </c>
      <c r="B113">
        <v>5381302</v>
      </c>
      <c r="D113">
        <v>5381294</v>
      </c>
      <c r="E113" t="s">
        <v>1109</v>
      </c>
      <c r="F113">
        <v>1</v>
      </c>
      <c r="G113">
        <v>0</v>
      </c>
      <c r="H113">
        <v>2.63</v>
      </c>
      <c r="I113">
        <v>0</v>
      </c>
      <c r="J113" t="s">
        <v>90</v>
      </c>
      <c r="K113">
        <v>0</v>
      </c>
      <c r="L113">
        <v>2.63</v>
      </c>
      <c r="M113">
        <v>0</v>
      </c>
      <c r="N113">
        <v>0</v>
      </c>
      <c r="O113">
        <v>2.63</v>
      </c>
      <c r="P113" t="s">
        <v>90</v>
      </c>
      <c r="Q113">
        <v>0</v>
      </c>
      <c r="R113" t="s">
        <v>90</v>
      </c>
      <c r="S113">
        <v>0</v>
      </c>
      <c r="T113" t="s">
        <v>90</v>
      </c>
      <c r="U113">
        <v>0</v>
      </c>
      <c r="V113" t="s">
        <v>90</v>
      </c>
      <c r="W113">
        <v>0</v>
      </c>
      <c r="X113" t="s">
        <v>90</v>
      </c>
      <c r="Y113">
        <v>0</v>
      </c>
      <c r="Z113">
        <v>2.63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N113" t="s">
        <v>91</v>
      </c>
      <c r="AO113" t="s">
        <v>92</v>
      </c>
      <c r="AP113">
        <v>200000</v>
      </c>
      <c r="AQ113" t="s">
        <v>92</v>
      </c>
      <c r="AS113">
        <v>10000</v>
      </c>
      <c r="AT113" t="s">
        <v>1110</v>
      </c>
      <c r="AU113" t="s">
        <v>78</v>
      </c>
      <c r="AV113" t="s">
        <v>79</v>
      </c>
      <c r="AY113">
        <v>0</v>
      </c>
    </row>
    <row r="114" spans="1:52" ht="12.75">
      <c r="A114" s="2" t="str">
        <f>HYPERLINK("https://ibp.a2mac1.com/costing(costing:projects/details/8191/assembly/5381346)"," Side Vents")</f>
        <v xml:space="preserve"> Side Vents</v>
      </c>
      <c r="B114">
        <v>5381346</v>
      </c>
      <c r="D114">
        <v>5381303</v>
      </c>
      <c r="E114" t="s">
        <v>1117</v>
      </c>
      <c r="F114">
        <v>1</v>
      </c>
      <c r="G114">
        <v>0</v>
      </c>
      <c r="H114">
        <v>0.21</v>
      </c>
      <c r="I114">
        <v>0</v>
      </c>
      <c r="J114" t="s">
        <v>90</v>
      </c>
      <c r="K114">
        <v>0</v>
      </c>
      <c r="L114">
        <v>0.21</v>
      </c>
      <c r="M114">
        <v>0</v>
      </c>
      <c r="N114">
        <v>0</v>
      </c>
      <c r="O114">
        <v>0.21</v>
      </c>
      <c r="P114" t="s">
        <v>90</v>
      </c>
      <c r="Q114">
        <v>0</v>
      </c>
      <c r="R114" t="s">
        <v>90</v>
      </c>
      <c r="S114">
        <v>0</v>
      </c>
      <c r="T114" t="s">
        <v>90</v>
      </c>
      <c r="U114">
        <v>0</v>
      </c>
      <c r="V114" t="s">
        <v>90</v>
      </c>
      <c r="W114">
        <v>0</v>
      </c>
      <c r="X114" t="s">
        <v>90</v>
      </c>
      <c r="Y114">
        <v>0</v>
      </c>
      <c r="Z114">
        <v>0.21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N114" t="s">
        <v>91</v>
      </c>
      <c r="AO114" t="s">
        <v>92</v>
      </c>
      <c r="AP114">
        <v>200000</v>
      </c>
      <c r="AQ114" t="s">
        <v>92</v>
      </c>
      <c r="AS114">
        <v>10000</v>
      </c>
      <c r="AT114" t="s">
        <v>1118</v>
      </c>
      <c r="AU114" t="s">
        <v>78</v>
      </c>
      <c r="AV114" t="s">
        <v>79</v>
      </c>
      <c r="AY114">
        <v>0</v>
      </c>
    </row>
    <row r="115" spans="1:52" ht="12.75">
      <c r="A115" s="2" t="str">
        <f>HYPERLINK("https://ibp.a2mac1.com/costing(costing:projects/details/8191/assembly/5381303)"," Lateral Defroster System")</f>
        <v xml:space="preserve"> Lateral Defroster System</v>
      </c>
      <c r="B115">
        <v>5381303</v>
      </c>
      <c r="D115">
        <v>5381294</v>
      </c>
      <c r="E115" t="s">
        <v>1119</v>
      </c>
      <c r="F115">
        <v>1</v>
      </c>
      <c r="G115">
        <v>0</v>
      </c>
      <c r="H115">
        <v>0.21</v>
      </c>
      <c r="I115">
        <v>0</v>
      </c>
      <c r="J115" t="s">
        <v>90</v>
      </c>
      <c r="K115">
        <v>0</v>
      </c>
      <c r="L115">
        <v>0.21</v>
      </c>
      <c r="M115">
        <v>0</v>
      </c>
      <c r="N115">
        <v>0</v>
      </c>
      <c r="O115">
        <v>0.21</v>
      </c>
      <c r="P115" t="s">
        <v>90</v>
      </c>
      <c r="Q115">
        <v>0</v>
      </c>
      <c r="R115" t="s">
        <v>90</v>
      </c>
      <c r="S115">
        <v>0</v>
      </c>
      <c r="T115" t="s">
        <v>90</v>
      </c>
      <c r="U115">
        <v>0</v>
      </c>
      <c r="V115" t="s">
        <v>90</v>
      </c>
      <c r="W115">
        <v>0</v>
      </c>
      <c r="X115" t="s">
        <v>90</v>
      </c>
      <c r="Y115">
        <v>0</v>
      </c>
      <c r="Z115">
        <v>0.21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N115" t="s">
        <v>91</v>
      </c>
      <c r="AO115" t="s">
        <v>92</v>
      </c>
      <c r="AP115">
        <v>200000</v>
      </c>
      <c r="AQ115" t="s">
        <v>92</v>
      </c>
      <c r="AS115">
        <v>10000</v>
      </c>
      <c r="AT115" t="s">
        <v>1120</v>
      </c>
      <c r="AU115" t="s">
        <v>78</v>
      </c>
      <c r="AV115" t="s">
        <v>79</v>
      </c>
      <c r="AY115">
        <v>0</v>
      </c>
    </row>
    <row r="116" spans="1:52" ht="12.75">
      <c r="A116" s="2" t="str">
        <f>HYPERLINK("https://ibp.a2mac1.com/costing(costing:projects/details/8191/assembly/5381304)"," Windshield Defroster Vent Ducts")</f>
        <v xml:space="preserve"> Windshield Defroster Vent Ducts</v>
      </c>
      <c r="B116">
        <v>5381304</v>
      </c>
      <c r="D116">
        <v>5381294</v>
      </c>
      <c r="E116" t="s">
        <v>1130</v>
      </c>
      <c r="F116">
        <v>1</v>
      </c>
      <c r="G116">
        <v>0</v>
      </c>
      <c r="H116">
        <v>1.35</v>
      </c>
      <c r="I116">
        <v>0</v>
      </c>
      <c r="J116" t="s">
        <v>90</v>
      </c>
      <c r="K116">
        <v>0</v>
      </c>
      <c r="L116">
        <v>1.35</v>
      </c>
      <c r="M116">
        <v>0</v>
      </c>
      <c r="N116">
        <v>0</v>
      </c>
      <c r="O116">
        <v>1.35</v>
      </c>
      <c r="P116" t="s">
        <v>90</v>
      </c>
      <c r="Q116">
        <v>0</v>
      </c>
      <c r="R116" t="s">
        <v>90</v>
      </c>
      <c r="S116">
        <v>0</v>
      </c>
      <c r="T116" t="s">
        <v>90</v>
      </c>
      <c r="U116">
        <v>0</v>
      </c>
      <c r="V116" t="s">
        <v>90</v>
      </c>
      <c r="W116">
        <v>0</v>
      </c>
      <c r="X116" t="s">
        <v>90</v>
      </c>
      <c r="Y116">
        <v>0</v>
      </c>
      <c r="Z116">
        <v>1.35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N116" t="s">
        <v>91</v>
      </c>
      <c r="AO116" t="s">
        <v>92</v>
      </c>
      <c r="AP116">
        <v>200000</v>
      </c>
      <c r="AQ116" t="s">
        <v>92</v>
      </c>
      <c r="AS116">
        <v>10000</v>
      </c>
      <c r="AT116" t="s">
        <v>1131</v>
      </c>
      <c r="AU116" t="s">
        <v>78</v>
      </c>
      <c r="AV116" t="s">
        <v>79</v>
      </c>
      <c r="AY116">
        <v>0</v>
      </c>
    </row>
    <row r="117" spans="1:52" ht="12.75">
      <c r="A117" s="2" t="str">
        <f>HYPERLINK("https://ibp.a2mac1.com/costing(costing:projects/details/8191/assembly/5381305)"," Windshield Defroster Grill")</f>
        <v xml:space="preserve"> Windshield Defroster Grill</v>
      </c>
      <c r="B117">
        <v>5381305</v>
      </c>
      <c r="D117">
        <v>5381294</v>
      </c>
      <c r="E117" t="s">
        <v>1135</v>
      </c>
      <c r="F117">
        <v>1</v>
      </c>
      <c r="G117">
        <v>0</v>
      </c>
      <c r="H117">
        <v>0.54</v>
      </c>
      <c r="I117">
        <v>0</v>
      </c>
      <c r="J117" t="s">
        <v>90</v>
      </c>
      <c r="K117">
        <v>0</v>
      </c>
      <c r="L117">
        <v>0.54</v>
      </c>
      <c r="M117">
        <v>0</v>
      </c>
      <c r="N117">
        <v>0</v>
      </c>
      <c r="O117">
        <v>0.54</v>
      </c>
      <c r="P117" t="s">
        <v>90</v>
      </c>
      <c r="Q117">
        <v>0</v>
      </c>
      <c r="R117" t="s">
        <v>90</v>
      </c>
      <c r="S117">
        <v>0</v>
      </c>
      <c r="T117" t="s">
        <v>90</v>
      </c>
      <c r="U117">
        <v>0</v>
      </c>
      <c r="V117" t="s">
        <v>90</v>
      </c>
      <c r="W117">
        <v>0</v>
      </c>
      <c r="X117" t="s">
        <v>90</v>
      </c>
      <c r="Y117">
        <v>0</v>
      </c>
      <c r="Z117">
        <v>0.54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N117" t="s">
        <v>91</v>
      </c>
      <c r="AO117" t="s">
        <v>92</v>
      </c>
      <c r="AP117">
        <v>200000</v>
      </c>
      <c r="AQ117" t="s">
        <v>92</v>
      </c>
      <c r="AS117">
        <v>10000</v>
      </c>
      <c r="AT117" t="s">
        <v>1136</v>
      </c>
      <c r="AU117" t="s">
        <v>78</v>
      </c>
      <c r="AV117" t="s">
        <v>79</v>
      </c>
      <c r="AY117">
        <v>0</v>
      </c>
    </row>
    <row r="118" spans="1:52" ht="12.75">
      <c r="A118" s="2" t="str">
        <f>HYPERLINK("https://ibp.a2mac1.com/costing(costing:projects/details/8191/assembly/5381306)"," Auxiliary Heating System")</f>
        <v xml:space="preserve"> Auxiliary Heating System</v>
      </c>
      <c r="B118">
        <v>5381306</v>
      </c>
      <c r="D118">
        <v>5381294</v>
      </c>
      <c r="E118" t="s">
        <v>1144</v>
      </c>
      <c r="F118">
        <v>1</v>
      </c>
      <c r="G118">
        <v>0</v>
      </c>
      <c r="H118">
        <v>65.02</v>
      </c>
      <c r="I118">
        <v>0</v>
      </c>
      <c r="J118" t="s">
        <v>90</v>
      </c>
      <c r="K118">
        <v>0</v>
      </c>
      <c r="L118">
        <v>65.02</v>
      </c>
      <c r="M118">
        <v>0</v>
      </c>
      <c r="N118">
        <v>0</v>
      </c>
      <c r="O118">
        <v>65.02</v>
      </c>
      <c r="P118" t="s">
        <v>90</v>
      </c>
      <c r="Q118">
        <v>0</v>
      </c>
      <c r="R118" t="s">
        <v>90</v>
      </c>
      <c r="S118">
        <v>0</v>
      </c>
      <c r="T118" t="s">
        <v>90</v>
      </c>
      <c r="U118">
        <v>0</v>
      </c>
      <c r="V118" t="s">
        <v>90</v>
      </c>
      <c r="W118">
        <v>0</v>
      </c>
      <c r="X118" t="s">
        <v>90</v>
      </c>
      <c r="Y118">
        <v>0</v>
      </c>
      <c r="Z118">
        <v>65.02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N118" t="s">
        <v>91</v>
      </c>
      <c r="AO118" t="s">
        <v>92</v>
      </c>
      <c r="AP118">
        <v>200000</v>
      </c>
      <c r="AQ118" t="s">
        <v>92</v>
      </c>
      <c r="AS118">
        <v>10000</v>
      </c>
      <c r="AT118" t="s">
        <v>1145</v>
      </c>
      <c r="AU118" t="s">
        <v>78</v>
      </c>
      <c r="AV118" t="s">
        <v>79</v>
      </c>
      <c r="AY118">
        <v>0</v>
      </c>
    </row>
    <row r="119" spans="1:52" ht="12.75">
      <c r="A119" s="2" t="str">
        <f>HYPERLINK("https://ibp.a2mac1.com/costing(costing:projects/details/8191/assembly/5381355)"," 2nd Row: Feet")</f>
        <v xml:space="preserve"> 2nd Row: Feet</v>
      </c>
      <c r="B119">
        <v>5381355</v>
      </c>
      <c r="D119">
        <v>5381307</v>
      </c>
      <c r="E119" t="s">
        <v>1160</v>
      </c>
      <c r="F119">
        <v>1</v>
      </c>
      <c r="G119">
        <v>0</v>
      </c>
      <c r="H119">
        <v>1.4557298468002642</v>
      </c>
      <c r="I119">
        <v>0</v>
      </c>
      <c r="J119" t="s">
        <v>90</v>
      </c>
      <c r="K119">
        <v>0</v>
      </c>
      <c r="L119">
        <v>1.4557298468002642</v>
      </c>
      <c r="M119">
        <v>0</v>
      </c>
      <c r="N119">
        <v>0</v>
      </c>
      <c r="O119">
        <v>1.4557298468002642</v>
      </c>
      <c r="P119" t="s">
        <v>90</v>
      </c>
      <c r="Q119">
        <v>0</v>
      </c>
      <c r="R119" t="s">
        <v>90</v>
      </c>
      <c r="S119">
        <v>0</v>
      </c>
      <c r="T119" t="s">
        <v>90</v>
      </c>
      <c r="U119">
        <v>0</v>
      </c>
      <c r="V119" t="s">
        <v>90</v>
      </c>
      <c r="W119">
        <v>0</v>
      </c>
      <c r="X119" t="s">
        <v>90</v>
      </c>
      <c r="Y119">
        <v>0</v>
      </c>
      <c r="Z119">
        <v>1.4557298468002642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N119" t="s">
        <v>91</v>
      </c>
      <c r="AO119" t="s">
        <v>92</v>
      </c>
      <c r="AP119">
        <v>200000</v>
      </c>
      <c r="AQ119" t="s">
        <v>92</v>
      </c>
      <c r="AS119">
        <v>10000</v>
      </c>
      <c r="AT119" t="s">
        <v>1161</v>
      </c>
      <c r="AU119" t="s">
        <v>78</v>
      </c>
      <c r="AV119" t="s">
        <v>79</v>
      </c>
      <c r="AY119">
        <v>0</v>
      </c>
    </row>
    <row r="120" spans="1:52" ht="12.75">
      <c r="A120" s="2" t="str">
        <f>HYPERLINK("https://ibp.a2mac1.com/costing(costing:projects/details/8191/assembly/5381356)"," Central")</f>
        <v xml:space="preserve"> Central</v>
      </c>
      <c r="B120">
        <v>5381356</v>
      </c>
      <c r="D120">
        <v>5381307</v>
      </c>
      <c r="E120" t="s">
        <v>1169</v>
      </c>
      <c r="F120">
        <v>1</v>
      </c>
      <c r="G120">
        <v>0</v>
      </c>
      <c r="H120">
        <v>1.81</v>
      </c>
      <c r="I120">
        <v>0</v>
      </c>
      <c r="J120" t="s">
        <v>90</v>
      </c>
      <c r="K120">
        <v>0</v>
      </c>
      <c r="L120">
        <v>1.81</v>
      </c>
      <c r="M120">
        <v>0</v>
      </c>
      <c r="N120">
        <v>0</v>
      </c>
      <c r="O120">
        <v>1.81</v>
      </c>
      <c r="P120" t="s">
        <v>90</v>
      </c>
      <c r="Q120">
        <v>0</v>
      </c>
      <c r="R120" t="s">
        <v>90</v>
      </c>
      <c r="S120">
        <v>0</v>
      </c>
      <c r="T120" t="s">
        <v>90</v>
      </c>
      <c r="U120">
        <v>0</v>
      </c>
      <c r="V120" t="s">
        <v>90</v>
      </c>
      <c r="W120">
        <v>0</v>
      </c>
      <c r="X120" t="s">
        <v>90</v>
      </c>
      <c r="Y120">
        <v>0</v>
      </c>
      <c r="Z120">
        <v>1.81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N120" t="s">
        <v>91</v>
      </c>
      <c r="AO120" t="s">
        <v>92</v>
      </c>
      <c r="AP120">
        <v>200000</v>
      </c>
      <c r="AQ120" t="s">
        <v>92</v>
      </c>
      <c r="AS120">
        <v>10000</v>
      </c>
      <c r="AT120" t="s">
        <v>1170</v>
      </c>
      <c r="AU120" t="s">
        <v>78</v>
      </c>
      <c r="AV120" t="s">
        <v>79</v>
      </c>
      <c r="AY120">
        <v>0</v>
      </c>
    </row>
    <row r="121" spans="1:52" ht="12.75">
      <c r="A121" s="2" t="str">
        <f>HYPERLINK("https://ibp.a2mac1.com/costing(costing:projects/details/8191/assembly/5381307)"," 2nd Row Ventilation")</f>
        <v xml:space="preserve"> 2nd Row Ventilation</v>
      </c>
      <c r="B121">
        <v>5381307</v>
      </c>
      <c r="D121">
        <v>5381294</v>
      </c>
      <c r="E121" t="s">
        <v>1171</v>
      </c>
      <c r="F121">
        <v>1</v>
      </c>
      <c r="G121">
        <v>0</v>
      </c>
      <c r="H121">
        <v>3.265729846800264</v>
      </c>
      <c r="I121">
        <v>0</v>
      </c>
      <c r="J121" t="s">
        <v>90</v>
      </c>
      <c r="K121">
        <v>0</v>
      </c>
      <c r="L121">
        <v>3.265729846800264</v>
      </c>
      <c r="M121">
        <v>0</v>
      </c>
      <c r="N121">
        <v>0</v>
      </c>
      <c r="O121">
        <v>3.265729846800264</v>
      </c>
      <c r="P121" t="s">
        <v>90</v>
      </c>
      <c r="Q121">
        <v>0</v>
      </c>
      <c r="R121" t="s">
        <v>90</v>
      </c>
      <c r="S121">
        <v>0</v>
      </c>
      <c r="T121" t="s">
        <v>90</v>
      </c>
      <c r="U121">
        <v>0</v>
      </c>
      <c r="V121" t="s">
        <v>90</v>
      </c>
      <c r="W121">
        <v>0</v>
      </c>
      <c r="X121" t="s">
        <v>90</v>
      </c>
      <c r="Y121">
        <v>0</v>
      </c>
      <c r="Z121">
        <v>3.265729846800264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N121" t="s">
        <v>91</v>
      </c>
      <c r="AO121" t="s">
        <v>92</v>
      </c>
      <c r="AP121">
        <v>200000</v>
      </c>
      <c r="AQ121" t="s">
        <v>92</v>
      </c>
      <c r="AS121">
        <v>10000</v>
      </c>
      <c r="AT121" t="s">
        <v>1172</v>
      </c>
      <c r="AU121" t="s">
        <v>78</v>
      </c>
      <c r="AV121" t="s">
        <v>79</v>
      </c>
      <c r="AY121">
        <v>0</v>
      </c>
    </row>
    <row r="122" spans="1:52" ht="12.75">
      <c r="A122" s="2" t="str">
        <f>HYPERLINK("https://ibp.a2mac1.com/costing(costing:projects/details/8191/assembly/5381294)"," Heating System")</f>
        <v xml:space="preserve"> Heating System</v>
      </c>
      <c r="B122">
        <v>5381294</v>
      </c>
      <c r="C122">
        <v>8191</v>
      </c>
      <c r="E122" t="s">
        <v>1173</v>
      </c>
      <c r="F122">
        <v>1</v>
      </c>
      <c r="G122">
        <v>0</v>
      </c>
      <c r="H122">
        <v>297.24561578265485</v>
      </c>
      <c r="I122">
        <v>0</v>
      </c>
      <c r="J122" t="s">
        <v>90</v>
      </c>
      <c r="K122">
        <v>0</v>
      </c>
      <c r="L122">
        <v>297.24561578265485</v>
      </c>
      <c r="M122">
        <v>0</v>
      </c>
      <c r="N122">
        <v>0</v>
      </c>
      <c r="O122">
        <v>297.24561578265485</v>
      </c>
      <c r="P122" t="s">
        <v>90</v>
      </c>
      <c r="Q122">
        <v>0</v>
      </c>
      <c r="R122" t="s">
        <v>90</v>
      </c>
      <c r="S122">
        <v>0</v>
      </c>
      <c r="T122" t="s">
        <v>90</v>
      </c>
      <c r="U122">
        <v>0</v>
      </c>
      <c r="V122" t="s">
        <v>90</v>
      </c>
      <c r="W122">
        <v>0</v>
      </c>
      <c r="X122" t="s">
        <v>90</v>
      </c>
      <c r="Y122">
        <v>0</v>
      </c>
      <c r="Z122">
        <v>297.24561578265485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N122" t="s">
        <v>91</v>
      </c>
      <c r="AO122" t="s">
        <v>92</v>
      </c>
      <c r="AP122">
        <v>200000</v>
      </c>
      <c r="AQ122" t="s">
        <v>92</v>
      </c>
      <c r="AS122">
        <v>10000</v>
      </c>
      <c r="AT122" t="s">
        <v>1174</v>
      </c>
      <c r="AU122" t="s">
        <v>78</v>
      </c>
      <c r="AV122" t="s">
        <v>79</v>
      </c>
      <c r="AY122">
        <v>0</v>
      </c>
    </row>
    <row r="123" spans="1:52" ht="12.75">
      <c r="A123" s="2" t="str">
        <f>HYPERLINK("https://ibp.a2mac1.com/costing(costing:projects/details/8191/assembly/5381391)","Interior Temperature Sensor")</f>
        <v>Interior Temperature Sensor</v>
      </c>
      <c r="B123">
        <v>5381391</v>
      </c>
      <c r="D123">
        <v>5381308</v>
      </c>
      <c r="F123">
        <v>1</v>
      </c>
      <c r="G123">
        <v>0</v>
      </c>
      <c r="H123">
        <v>9.4964076429634208</v>
      </c>
      <c r="I123">
        <v>0</v>
      </c>
      <c r="J123" t="s">
        <v>90</v>
      </c>
      <c r="K123">
        <v>0</v>
      </c>
      <c r="L123">
        <v>9.4964076429634208</v>
      </c>
      <c r="M123">
        <v>0</v>
      </c>
      <c r="N123">
        <v>0</v>
      </c>
      <c r="O123">
        <v>9.4964076429634208</v>
      </c>
      <c r="P123" t="s">
        <v>90</v>
      </c>
      <c r="Q123">
        <v>0</v>
      </c>
      <c r="R123" t="s">
        <v>90</v>
      </c>
      <c r="S123">
        <v>0</v>
      </c>
      <c r="T123" t="s">
        <v>90</v>
      </c>
      <c r="U123">
        <v>0</v>
      </c>
      <c r="V123" t="s">
        <v>90</v>
      </c>
      <c r="W123">
        <v>0</v>
      </c>
      <c r="X123" t="s">
        <v>90</v>
      </c>
      <c r="Y123">
        <v>0</v>
      </c>
      <c r="Z123">
        <v>9.4964076429634208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L123">
        <v>0.081000000000000003</v>
      </c>
      <c r="AN123" t="s">
        <v>223</v>
      </c>
      <c r="AO123" t="s">
        <v>92</v>
      </c>
      <c r="AP123">
        <v>200000</v>
      </c>
      <c r="AQ123" t="s">
        <v>92</v>
      </c>
      <c r="AS123">
        <v>10000</v>
      </c>
      <c r="AT123" t="s">
        <v>1184</v>
      </c>
      <c r="AU123" t="s">
        <v>78</v>
      </c>
      <c r="AV123" t="s">
        <v>79</v>
      </c>
      <c r="AY123">
        <v>0</v>
      </c>
    </row>
    <row r="124" spans="1:52" ht="12.75">
      <c r="A124" s="2" t="str">
        <f>HYPERLINK("https://ibp.a2mac1.com/costing(costing:projects/details/8191/assembly/5381308)","Sensors")</f>
        <v>Sensors</v>
      </c>
      <c r="B124">
        <v>5381308</v>
      </c>
      <c r="D124">
        <v>5381299</v>
      </c>
      <c r="F124">
        <v>1</v>
      </c>
      <c r="G124">
        <v>0</v>
      </c>
      <c r="H124">
        <v>28.494437098115135</v>
      </c>
      <c r="I124">
        <v>0</v>
      </c>
      <c r="J124" t="s">
        <v>90</v>
      </c>
      <c r="K124">
        <v>0</v>
      </c>
      <c r="L124">
        <v>28.494437098115135</v>
      </c>
      <c r="M124">
        <v>0</v>
      </c>
      <c r="N124">
        <v>0</v>
      </c>
      <c r="O124">
        <v>28.494437098115135</v>
      </c>
      <c r="P124" t="s">
        <v>90</v>
      </c>
      <c r="Q124">
        <v>0</v>
      </c>
      <c r="R124" t="s">
        <v>90</v>
      </c>
      <c r="S124">
        <v>0</v>
      </c>
      <c r="T124" t="s">
        <v>90</v>
      </c>
      <c r="U124">
        <v>0</v>
      </c>
      <c r="V124" t="s">
        <v>90</v>
      </c>
      <c r="W124">
        <v>0</v>
      </c>
      <c r="X124" t="s">
        <v>90</v>
      </c>
      <c r="Y124">
        <v>0</v>
      </c>
      <c r="Z124">
        <v>28.494437098115135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L124">
        <v>0.105</v>
      </c>
      <c r="AN124" t="s">
        <v>223</v>
      </c>
      <c r="AO124" t="s">
        <v>92</v>
      </c>
      <c r="AP124">
        <v>200000</v>
      </c>
      <c r="AQ124" t="s">
        <v>92</v>
      </c>
      <c r="AS124">
        <v>10000</v>
      </c>
      <c r="AT124" t="s">
        <v>1195</v>
      </c>
      <c r="AU124" t="s">
        <v>78</v>
      </c>
      <c r="AV124" t="s">
        <v>79</v>
      </c>
      <c r="AY124">
        <v>0</v>
      </c>
    </row>
    <row r="125" spans="1:52" ht="12.75">
      <c r="A125" s="2" t="str">
        <f>HYPERLINK("https://ibp.a2mac1.com/costing(costing:projects/details/8191/assembly/5381394)","USB Plug")</f>
        <v>USB Plug</v>
      </c>
      <c r="B125">
        <v>5381394</v>
      </c>
      <c r="D125">
        <v>5381309</v>
      </c>
      <c r="F125">
        <v>1</v>
      </c>
      <c r="G125">
        <v>0</v>
      </c>
      <c r="H125">
        <v>4.4677138832446248</v>
      </c>
      <c r="I125">
        <v>0.022450823533892588</v>
      </c>
      <c r="J125" t="s">
        <v>137</v>
      </c>
      <c r="K125">
        <v>0.15636998591356188</v>
      </c>
      <c r="L125">
        <v>4.6465346926920796</v>
      </c>
      <c r="M125">
        <v>0</v>
      </c>
      <c r="N125">
        <v>0.39050270478339094</v>
      </c>
      <c r="O125">
        <v>5.0370373974754701</v>
      </c>
      <c r="P125" t="s">
        <v>138</v>
      </c>
      <c r="Q125">
        <v>0.27879208156152474</v>
      </c>
      <c r="R125" t="s">
        <v>138</v>
      </c>
      <c r="S125">
        <v>0.023430162287003457</v>
      </c>
      <c r="T125" t="s">
        <v>139</v>
      </c>
      <c r="U125">
        <v>0.60444448769705639</v>
      </c>
      <c r="V125" t="s">
        <v>90</v>
      </c>
      <c r="W125">
        <v>0</v>
      </c>
      <c r="X125" t="s">
        <v>90</v>
      </c>
      <c r="Y125">
        <v>0</v>
      </c>
      <c r="Z125">
        <v>5.9437041290210546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50</v>
      </c>
      <c r="AI125">
        <v>55</v>
      </c>
      <c r="AJ125">
        <v>22</v>
      </c>
      <c r="AL125">
        <v>0.032000000000000001</v>
      </c>
      <c r="AM125" t="s">
        <v>685</v>
      </c>
      <c r="AN125" t="s">
        <v>598</v>
      </c>
      <c r="AO125" t="s">
        <v>92</v>
      </c>
      <c r="AP125">
        <v>200000</v>
      </c>
      <c r="AQ125" t="s">
        <v>76</v>
      </c>
      <c r="AS125">
        <v>10000</v>
      </c>
      <c r="AT125" t="s">
        <v>1199</v>
      </c>
      <c r="AU125" t="s">
        <v>78</v>
      </c>
      <c r="AV125" t="s">
        <v>79</v>
      </c>
      <c r="AY125">
        <v>0</v>
      </c>
    </row>
    <row r="126" spans="1:52" ht="12.75">
      <c r="A126" s="2" t="str">
        <f>HYPERLINK("https://ibp.a2mac1.com/costing(costing:projects/details/8191/assembly/5381395)","USB Plug 2")</f>
        <v>USB Plug 2</v>
      </c>
      <c r="B126">
        <v>5381395</v>
      </c>
      <c r="D126">
        <v>5381309</v>
      </c>
      <c r="F126">
        <v>1</v>
      </c>
      <c r="G126">
        <v>0</v>
      </c>
      <c r="H126">
        <v>4.4677138832446248</v>
      </c>
      <c r="I126">
        <v>0.022450823533892588</v>
      </c>
      <c r="J126" t="s">
        <v>137</v>
      </c>
      <c r="K126">
        <v>0.15636998591356188</v>
      </c>
      <c r="L126">
        <v>4.6465346926920796</v>
      </c>
      <c r="M126">
        <v>0</v>
      </c>
      <c r="N126">
        <v>0.45558648891395609</v>
      </c>
      <c r="O126">
        <v>5.1021211816060354</v>
      </c>
      <c r="P126" t="s">
        <v>138</v>
      </c>
      <c r="Q126">
        <v>0.27879208156152474</v>
      </c>
      <c r="R126" t="s">
        <v>138</v>
      </c>
      <c r="S126">
        <v>0.027335189334837365</v>
      </c>
      <c r="T126" t="s">
        <v>139</v>
      </c>
      <c r="U126">
        <v>0.61225454179272421</v>
      </c>
      <c r="V126" t="s">
        <v>90</v>
      </c>
      <c r="W126">
        <v>0</v>
      </c>
      <c r="X126" t="s">
        <v>90</v>
      </c>
      <c r="Y126">
        <v>0</v>
      </c>
      <c r="Z126">
        <v>6.0205029942951214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48</v>
      </c>
      <c r="AI126">
        <v>107</v>
      </c>
      <c r="AJ126">
        <v>26</v>
      </c>
      <c r="AL126">
        <v>0.06</v>
      </c>
      <c r="AM126" t="s">
        <v>685</v>
      </c>
      <c r="AN126" t="s">
        <v>576</v>
      </c>
      <c r="AO126" t="s">
        <v>92</v>
      </c>
      <c r="AP126">
        <v>200000</v>
      </c>
      <c r="AQ126" t="s">
        <v>76</v>
      </c>
      <c r="AS126">
        <v>10000</v>
      </c>
      <c r="AT126" t="s">
        <v>1202</v>
      </c>
      <c r="AU126" t="s">
        <v>78</v>
      </c>
      <c r="AV126" t="s">
        <v>79</v>
      </c>
      <c r="AY126">
        <v>0</v>
      </c>
    </row>
    <row r="127" spans="1:52" ht="12.75">
      <c r="A127" s="2" t="str">
        <f>HYPERLINK("https://ibp.a2mac1.com/costing(costing:projects/details/8191/assembly/5381309)","Plugs")</f>
        <v>Plugs</v>
      </c>
      <c r="B127">
        <v>5381309</v>
      </c>
      <c r="D127">
        <v>5381299</v>
      </c>
      <c r="F127">
        <v>1</v>
      </c>
      <c r="G127">
        <v>0</v>
      </c>
      <c r="H127">
        <v>12.526477123316177</v>
      </c>
      <c r="I127">
        <v>0</v>
      </c>
      <c r="J127" t="s">
        <v>90</v>
      </c>
      <c r="K127">
        <v>0</v>
      </c>
      <c r="L127">
        <v>12.526477123316177</v>
      </c>
      <c r="M127">
        <v>0</v>
      </c>
      <c r="N127">
        <v>0</v>
      </c>
      <c r="O127">
        <v>12.526477123316177</v>
      </c>
      <c r="P127" t="s">
        <v>90</v>
      </c>
      <c r="Q127">
        <v>0</v>
      </c>
      <c r="R127" t="s">
        <v>90</v>
      </c>
      <c r="S127">
        <v>0</v>
      </c>
      <c r="T127" t="s">
        <v>90</v>
      </c>
      <c r="U127">
        <v>0</v>
      </c>
      <c r="V127" t="s">
        <v>90</v>
      </c>
      <c r="W127">
        <v>0</v>
      </c>
      <c r="X127" t="s">
        <v>90</v>
      </c>
      <c r="Y127">
        <v>0</v>
      </c>
      <c r="Z127">
        <v>12.526477123316177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L127">
        <v>0.11700000000000001</v>
      </c>
      <c r="AN127" t="s">
        <v>223</v>
      </c>
      <c r="AO127" t="s">
        <v>92</v>
      </c>
      <c r="AP127">
        <v>200000</v>
      </c>
      <c r="AQ127" t="s">
        <v>92</v>
      </c>
      <c r="AS127">
        <v>10000</v>
      </c>
      <c r="AT127" t="s">
        <v>1208</v>
      </c>
      <c r="AU127" t="s">
        <v>78</v>
      </c>
      <c r="AV127" t="s">
        <v>79</v>
      </c>
      <c r="AY127">
        <v>0</v>
      </c>
    </row>
    <row r="128" spans="1:52" ht="12.75">
      <c r="A128" s="2" t="str">
        <f>HYPERLINK("https://ibp.a2mac1.com/costing(costing:projects/details/8191/assembly/5381310)","Tool Box")</f>
        <v>Tool Box</v>
      </c>
      <c r="B128">
        <v>5381310</v>
      </c>
      <c r="D128">
        <v>5381299</v>
      </c>
      <c r="F128">
        <v>1</v>
      </c>
      <c r="G128">
        <v>0</v>
      </c>
      <c r="H128">
        <v>10.988034171008955</v>
      </c>
      <c r="I128">
        <v>0</v>
      </c>
      <c r="J128" t="s">
        <v>90</v>
      </c>
      <c r="K128">
        <v>0</v>
      </c>
      <c r="L128">
        <v>10.988034171008955</v>
      </c>
      <c r="M128">
        <v>0</v>
      </c>
      <c r="N128">
        <v>0</v>
      </c>
      <c r="O128">
        <v>10.988034171008955</v>
      </c>
      <c r="P128" t="s">
        <v>90</v>
      </c>
      <c r="Q128">
        <v>0</v>
      </c>
      <c r="R128" t="s">
        <v>90</v>
      </c>
      <c r="S128">
        <v>0</v>
      </c>
      <c r="T128" t="s">
        <v>90</v>
      </c>
      <c r="U128">
        <v>0</v>
      </c>
      <c r="V128" t="s">
        <v>90</v>
      </c>
      <c r="W128">
        <v>0</v>
      </c>
      <c r="X128" t="s">
        <v>90</v>
      </c>
      <c r="Y128">
        <v>0</v>
      </c>
      <c r="Z128">
        <v>10.988034171008955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L128">
        <v>3.2090000000000001</v>
      </c>
      <c r="AN128" t="s">
        <v>223</v>
      </c>
      <c r="AO128" t="s">
        <v>92</v>
      </c>
      <c r="AP128">
        <v>200000</v>
      </c>
      <c r="AQ128" t="s">
        <v>92</v>
      </c>
      <c r="AS128">
        <v>10000</v>
      </c>
      <c r="AT128" t="s">
        <v>1243</v>
      </c>
      <c r="AU128" t="s">
        <v>78</v>
      </c>
      <c r="AV128" t="s">
        <v>79</v>
      </c>
      <c r="AY128">
        <v>0</v>
      </c>
    </row>
    <row r="129" spans="1:52" ht="12.75">
      <c r="A129" s="2" t="str">
        <f>HYPERLINK("https://ibp.a2mac1.com/costing(costing:projects/details/8191/assembly/5381406)","Radio Antenna System")</f>
        <v>Radio Antenna System</v>
      </c>
      <c r="B129">
        <v>5381406</v>
      </c>
      <c r="D129">
        <v>5381311</v>
      </c>
      <c r="F129">
        <v>1</v>
      </c>
      <c r="G129">
        <v>0</v>
      </c>
      <c r="H129">
        <v>19.637653267718228</v>
      </c>
      <c r="I129">
        <v>0</v>
      </c>
      <c r="J129" t="s">
        <v>90</v>
      </c>
      <c r="K129">
        <v>0</v>
      </c>
      <c r="L129">
        <v>19.637653267718228</v>
      </c>
      <c r="M129">
        <v>0</v>
      </c>
      <c r="N129">
        <v>0</v>
      </c>
      <c r="O129">
        <v>19.637653267718228</v>
      </c>
      <c r="P129" t="s">
        <v>90</v>
      </c>
      <c r="Q129">
        <v>0</v>
      </c>
      <c r="R129" t="s">
        <v>90</v>
      </c>
      <c r="S129">
        <v>0</v>
      </c>
      <c r="T129" t="s">
        <v>90</v>
      </c>
      <c r="U129">
        <v>0</v>
      </c>
      <c r="V129" t="s">
        <v>90</v>
      </c>
      <c r="W129">
        <v>0</v>
      </c>
      <c r="X129" t="s">
        <v>90</v>
      </c>
      <c r="Y129">
        <v>0</v>
      </c>
      <c r="Z129">
        <v>19.637653267718228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L129">
        <v>0.31</v>
      </c>
      <c r="AN129" t="s">
        <v>223</v>
      </c>
      <c r="AO129" t="s">
        <v>92</v>
      </c>
      <c r="AP129">
        <v>200000</v>
      </c>
      <c r="AQ129" t="s">
        <v>92</v>
      </c>
      <c r="AS129">
        <v>10000</v>
      </c>
      <c r="AT129" t="s">
        <v>1250</v>
      </c>
      <c r="AU129" t="s">
        <v>78</v>
      </c>
      <c r="AV129" t="s">
        <v>79</v>
      </c>
      <c r="AY129">
        <v>0</v>
      </c>
    </row>
    <row r="130" spans="1:52" ht="12.75">
      <c r="A130" s="2" t="str">
        <f>HYPERLINK("https://ibp.a2mac1.com/costing(costing:projects/details/8191/assembly/5381311)","Audio System")</f>
        <v>Audio System</v>
      </c>
      <c r="B130">
        <v>5381311</v>
      </c>
      <c r="D130">
        <v>5381299</v>
      </c>
      <c r="F130">
        <v>1</v>
      </c>
      <c r="G130">
        <v>0</v>
      </c>
      <c r="H130">
        <v>25.174093267718227</v>
      </c>
      <c r="I130">
        <v>0</v>
      </c>
      <c r="J130" t="s">
        <v>90</v>
      </c>
      <c r="K130">
        <v>0</v>
      </c>
      <c r="L130">
        <v>25.174093267718227</v>
      </c>
      <c r="M130">
        <v>0</v>
      </c>
      <c r="N130">
        <v>0</v>
      </c>
      <c r="O130">
        <v>25.174093267718227</v>
      </c>
      <c r="P130" t="s">
        <v>90</v>
      </c>
      <c r="Q130">
        <v>0</v>
      </c>
      <c r="R130" t="s">
        <v>90</v>
      </c>
      <c r="S130">
        <v>0</v>
      </c>
      <c r="T130" t="s">
        <v>90</v>
      </c>
      <c r="U130">
        <v>0</v>
      </c>
      <c r="V130" t="s">
        <v>90</v>
      </c>
      <c r="W130">
        <v>0</v>
      </c>
      <c r="X130" t="s">
        <v>90</v>
      </c>
      <c r="Y130">
        <v>0</v>
      </c>
      <c r="Z130">
        <v>25.174093267718227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L130">
        <v>0.38700000000000001</v>
      </c>
      <c r="AN130" t="s">
        <v>223</v>
      </c>
      <c r="AO130" t="s">
        <v>92</v>
      </c>
      <c r="AP130">
        <v>200000</v>
      </c>
      <c r="AQ130" t="s">
        <v>92</v>
      </c>
      <c r="AS130">
        <v>10000</v>
      </c>
      <c r="AT130" t="s">
        <v>1254</v>
      </c>
      <c r="AU130" t="s">
        <v>78</v>
      </c>
      <c r="AV130" t="s">
        <v>79</v>
      </c>
      <c r="AY130">
        <v>0</v>
      </c>
    </row>
    <row r="131" spans="1:52" ht="12.75">
      <c r="A131" s="2" t="str">
        <f>HYPERLINK("https://ibp.a2mac1.com/costing(costing:projects/details/8191/assembly/5381312)","Phone System")</f>
        <v>Phone System</v>
      </c>
      <c r="B131">
        <v>5381312</v>
      </c>
      <c r="D131">
        <v>5381299</v>
      </c>
      <c r="F131">
        <v>1</v>
      </c>
      <c r="G131">
        <v>0</v>
      </c>
      <c r="H131">
        <v>135.97903576510839</v>
      </c>
      <c r="I131">
        <v>0</v>
      </c>
      <c r="J131" t="s">
        <v>90</v>
      </c>
      <c r="K131">
        <v>0</v>
      </c>
      <c r="L131">
        <v>135.97903576510839</v>
      </c>
      <c r="M131">
        <v>0</v>
      </c>
      <c r="N131">
        <v>0</v>
      </c>
      <c r="O131">
        <v>135.97903576510839</v>
      </c>
      <c r="P131" t="s">
        <v>90</v>
      </c>
      <c r="Q131">
        <v>0</v>
      </c>
      <c r="R131" t="s">
        <v>90</v>
      </c>
      <c r="S131">
        <v>0</v>
      </c>
      <c r="T131" t="s">
        <v>90</v>
      </c>
      <c r="U131">
        <v>0</v>
      </c>
      <c r="V131" t="s">
        <v>90</v>
      </c>
      <c r="W131">
        <v>0</v>
      </c>
      <c r="X131" t="s">
        <v>90</v>
      </c>
      <c r="Y131">
        <v>0</v>
      </c>
      <c r="Z131">
        <v>135.97903576510839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L131">
        <v>0.84199999999999997</v>
      </c>
      <c r="AN131" t="s">
        <v>223</v>
      </c>
      <c r="AO131" t="s">
        <v>92</v>
      </c>
      <c r="AP131">
        <v>200000</v>
      </c>
      <c r="AQ131" t="s">
        <v>92</v>
      </c>
      <c r="AS131">
        <v>10000</v>
      </c>
      <c r="AT131" t="s">
        <v>1277</v>
      </c>
      <c r="AU131" t="s">
        <v>78</v>
      </c>
      <c r="AV131" t="s">
        <v>79</v>
      </c>
      <c r="AY131">
        <v>0</v>
      </c>
    </row>
    <row r="132" spans="1:52" ht="12.75">
      <c r="A132" s="2" t="str">
        <f>HYPERLINK("https://ibp.a2mac1.com/costing(costing:projects/details/8191/assembly/5381313)","Emblems")</f>
        <v>Emblems</v>
      </c>
      <c r="B132">
        <v>5381313</v>
      </c>
      <c r="D132">
        <v>5381299</v>
      </c>
      <c r="F132">
        <v>1</v>
      </c>
      <c r="G132">
        <v>0</v>
      </c>
      <c r="H132">
        <v>0.14822397914463942</v>
      </c>
      <c r="I132">
        <v>0</v>
      </c>
      <c r="J132" t="s">
        <v>90</v>
      </c>
      <c r="K132">
        <v>0</v>
      </c>
      <c r="L132">
        <v>0.14822397914463942</v>
      </c>
      <c r="M132">
        <v>0</v>
      </c>
      <c r="N132">
        <v>0</v>
      </c>
      <c r="O132">
        <v>0.14822397914463942</v>
      </c>
      <c r="P132" t="s">
        <v>90</v>
      </c>
      <c r="Q132">
        <v>0</v>
      </c>
      <c r="R132" t="s">
        <v>90</v>
      </c>
      <c r="S132">
        <v>0</v>
      </c>
      <c r="T132" t="s">
        <v>90</v>
      </c>
      <c r="U132">
        <v>0</v>
      </c>
      <c r="V132" t="s">
        <v>90</v>
      </c>
      <c r="W132">
        <v>0</v>
      </c>
      <c r="X132" t="s">
        <v>90</v>
      </c>
      <c r="Y132">
        <v>0</v>
      </c>
      <c r="Z132">
        <v>0.14822397914463942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L132">
        <v>0.048000000000000001</v>
      </c>
      <c r="AN132" t="s">
        <v>223</v>
      </c>
      <c r="AO132" t="s">
        <v>92</v>
      </c>
      <c r="AP132">
        <v>200000</v>
      </c>
      <c r="AQ132" t="s">
        <v>92</v>
      </c>
      <c r="AS132">
        <v>10000</v>
      </c>
      <c r="AT132" t="s">
        <v>1296</v>
      </c>
      <c r="AU132" t="s">
        <v>78</v>
      </c>
      <c r="AV132" t="s">
        <v>79</v>
      </c>
      <c r="AY132">
        <v>0</v>
      </c>
    </row>
    <row r="133" spans="1:52" ht="12.75">
      <c r="A133" s="2" t="str">
        <f>HYPERLINK("https://ibp.a2mac1.com/costing(costing:projects/details/8191/assembly/5381425)","Passive Entry System")</f>
        <v>Passive Entry System</v>
      </c>
      <c r="B133">
        <v>5381425</v>
      </c>
      <c r="D133">
        <v>5381314</v>
      </c>
      <c r="F133">
        <v>1</v>
      </c>
      <c r="G133">
        <v>0</v>
      </c>
      <c r="H133">
        <v>10.05786</v>
      </c>
      <c r="I133">
        <v>0</v>
      </c>
      <c r="J133" t="s">
        <v>90</v>
      </c>
      <c r="K133">
        <v>0</v>
      </c>
      <c r="L133">
        <v>10.05786</v>
      </c>
      <c r="M133">
        <v>0</v>
      </c>
      <c r="N133">
        <v>0</v>
      </c>
      <c r="O133">
        <v>10.05786</v>
      </c>
      <c r="P133" t="s">
        <v>90</v>
      </c>
      <c r="Q133">
        <v>0</v>
      </c>
      <c r="R133" t="s">
        <v>90</v>
      </c>
      <c r="S133">
        <v>0</v>
      </c>
      <c r="T133" t="s">
        <v>90</v>
      </c>
      <c r="U133">
        <v>0</v>
      </c>
      <c r="V133" t="s">
        <v>90</v>
      </c>
      <c r="W133">
        <v>0</v>
      </c>
      <c r="X133" t="s">
        <v>90</v>
      </c>
      <c r="Y133">
        <v>0</v>
      </c>
      <c r="Z133">
        <v>10.05786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L133">
        <v>0.17299999999999999</v>
      </c>
      <c r="AN133" t="s">
        <v>223</v>
      </c>
      <c r="AO133" t="s">
        <v>92</v>
      </c>
      <c r="AP133">
        <v>200000</v>
      </c>
      <c r="AQ133" t="s">
        <v>92</v>
      </c>
      <c r="AS133">
        <v>10000</v>
      </c>
      <c r="AT133" t="s">
        <v>1303</v>
      </c>
      <c r="AU133" t="s">
        <v>78</v>
      </c>
      <c r="AV133" t="s">
        <v>79</v>
      </c>
      <c r="AY133">
        <v>0</v>
      </c>
    </row>
    <row r="134" spans="1:52" ht="12.75">
      <c r="A134" s="2" t="str">
        <f>HYPERLINK("https://ibp.a2mac1.com/costing(costing:projects/details/8191/assembly/5381314)","Keyless Opening System")</f>
        <v>Keyless Opening System</v>
      </c>
      <c r="B134">
        <v>5381314</v>
      </c>
      <c r="D134">
        <v>5381299</v>
      </c>
      <c r="F134">
        <v>1</v>
      </c>
      <c r="G134">
        <v>0</v>
      </c>
      <c r="H134">
        <v>52.255208424759758</v>
      </c>
      <c r="I134">
        <v>0</v>
      </c>
      <c r="J134" t="s">
        <v>90</v>
      </c>
      <c r="K134">
        <v>0</v>
      </c>
      <c r="L134">
        <v>52.255208424759758</v>
      </c>
      <c r="M134">
        <v>0</v>
      </c>
      <c r="N134">
        <v>0</v>
      </c>
      <c r="O134">
        <v>52.255208424759758</v>
      </c>
      <c r="P134" t="s">
        <v>90</v>
      </c>
      <c r="Q134">
        <v>0</v>
      </c>
      <c r="R134" t="s">
        <v>90</v>
      </c>
      <c r="S134">
        <v>0</v>
      </c>
      <c r="T134" t="s">
        <v>90</v>
      </c>
      <c r="U134">
        <v>0</v>
      </c>
      <c r="V134" t="s">
        <v>90</v>
      </c>
      <c r="W134">
        <v>0</v>
      </c>
      <c r="X134" t="s">
        <v>90</v>
      </c>
      <c r="Y134">
        <v>0</v>
      </c>
      <c r="Z134">
        <v>52.255208424759758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L134">
        <v>0.70299999999999996</v>
      </c>
      <c r="AN134" t="s">
        <v>223</v>
      </c>
      <c r="AO134" t="s">
        <v>92</v>
      </c>
      <c r="AP134">
        <v>200000</v>
      </c>
      <c r="AQ134" t="s">
        <v>92</v>
      </c>
      <c r="AS134">
        <v>10000</v>
      </c>
      <c r="AT134" t="s">
        <v>1321</v>
      </c>
      <c r="AU134" t="s">
        <v>78</v>
      </c>
      <c r="AV134" t="s">
        <v>79</v>
      </c>
      <c r="AY134">
        <v>0</v>
      </c>
    </row>
    <row r="135" spans="1:52" ht="12.75">
      <c r="A135" s="2" t="str">
        <f>HYPERLINK("https://ibp.a2mac1.com/costing(costing:projects/details/8191/assembly/5381426)","Front Park Assist")</f>
        <v>Front Park Assist</v>
      </c>
      <c r="B135">
        <v>5381426</v>
      </c>
      <c r="D135">
        <v>5381315</v>
      </c>
      <c r="F135">
        <v>1</v>
      </c>
      <c r="G135">
        <v>0</v>
      </c>
      <c r="H135">
        <v>12.62308</v>
      </c>
      <c r="I135">
        <v>0</v>
      </c>
      <c r="J135" t="s">
        <v>90</v>
      </c>
      <c r="K135">
        <v>0</v>
      </c>
      <c r="L135">
        <v>12.62308</v>
      </c>
      <c r="M135">
        <v>0</v>
      </c>
      <c r="N135">
        <v>0</v>
      </c>
      <c r="O135">
        <v>12.62308</v>
      </c>
      <c r="P135" t="s">
        <v>90</v>
      </c>
      <c r="Q135">
        <v>0</v>
      </c>
      <c r="R135" t="s">
        <v>90</v>
      </c>
      <c r="S135">
        <v>0</v>
      </c>
      <c r="T135" t="s">
        <v>90</v>
      </c>
      <c r="U135">
        <v>0</v>
      </c>
      <c r="V135" t="s">
        <v>90</v>
      </c>
      <c r="W135">
        <v>0</v>
      </c>
      <c r="X135" t="s">
        <v>90</v>
      </c>
      <c r="Y135">
        <v>0</v>
      </c>
      <c r="Z135">
        <v>12.62308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L135">
        <v>0.075999999999999998</v>
      </c>
      <c r="AN135" t="s">
        <v>223</v>
      </c>
      <c r="AO135" t="s">
        <v>92</v>
      </c>
      <c r="AP135">
        <v>200000</v>
      </c>
      <c r="AQ135" t="s">
        <v>92</v>
      </c>
      <c r="AS135">
        <v>10000</v>
      </c>
      <c r="AT135" t="s">
        <v>1328</v>
      </c>
      <c r="AU135" t="s">
        <v>78</v>
      </c>
      <c r="AV135" t="s">
        <v>79</v>
      </c>
      <c r="AY135">
        <v>0</v>
      </c>
    </row>
    <row r="136" spans="1:52" ht="12.75">
      <c r="A136" s="2" t="str">
        <f>HYPERLINK("https://ibp.a2mac1.com/costing(costing:projects/details/8191/assembly/5381691)","Camera Washer System")</f>
        <v>Camera Washer System</v>
      </c>
      <c r="B136">
        <v>5381691</v>
      </c>
      <c r="D136">
        <v>5381544</v>
      </c>
      <c r="F136">
        <v>1</v>
      </c>
      <c r="G136">
        <v>0</v>
      </c>
      <c r="H136">
        <v>0.055359999999999999</v>
      </c>
      <c r="I136">
        <v>0.00027819095477386933</v>
      </c>
      <c r="J136" t="s">
        <v>137</v>
      </c>
      <c r="K136">
        <v>0.0019376</v>
      </c>
      <c r="L136">
        <v>0.057575790954773873</v>
      </c>
      <c r="M136">
        <v>0</v>
      </c>
      <c r="N136">
        <v>0</v>
      </c>
      <c r="O136">
        <v>0.057575790954773873</v>
      </c>
      <c r="P136" t="s">
        <v>138</v>
      </c>
      <c r="Q136">
        <v>0.0034545474572864323</v>
      </c>
      <c r="R136" t="s">
        <v>138</v>
      </c>
      <c r="S136">
        <v>0</v>
      </c>
      <c r="T136" t="s">
        <v>139</v>
      </c>
      <c r="U136">
        <v>0.0069090949145728647</v>
      </c>
      <c r="V136" t="s">
        <v>90</v>
      </c>
      <c r="W136">
        <v>0</v>
      </c>
      <c r="X136" t="s">
        <v>90</v>
      </c>
      <c r="Y136">
        <v>0</v>
      </c>
      <c r="Z136">
        <v>0.067939433326633172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L136">
        <v>0.002</v>
      </c>
      <c r="AN136" t="s">
        <v>598</v>
      </c>
      <c r="AO136" t="s">
        <v>92</v>
      </c>
      <c r="AP136">
        <v>200000</v>
      </c>
      <c r="AQ136" t="s">
        <v>76</v>
      </c>
      <c r="AS136">
        <v>10000</v>
      </c>
      <c r="AT136" t="s">
        <v>1334</v>
      </c>
      <c r="AU136" t="s">
        <v>78</v>
      </c>
      <c r="AV136" t="s">
        <v>79</v>
      </c>
      <c r="AY136">
        <v>0</v>
      </c>
    </row>
    <row r="137" spans="1:52" ht="12.75">
      <c r="A137" s="2" t="str">
        <f>HYPERLINK("https://ibp.a2mac1.com/costing(costing:projects/details/8191/assembly/5381544)","Camera System")</f>
        <v>Camera System</v>
      </c>
      <c r="B137">
        <v>5381544</v>
      </c>
      <c r="D137">
        <v>5381427</v>
      </c>
      <c r="F137">
        <v>1</v>
      </c>
      <c r="G137">
        <v>0</v>
      </c>
      <c r="H137">
        <v>29.377419735311712</v>
      </c>
      <c r="I137">
        <v>0</v>
      </c>
      <c r="J137" t="s">
        <v>90</v>
      </c>
      <c r="K137">
        <v>0</v>
      </c>
      <c r="L137">
        <v>29.377419735311712</v>
      </c>
      <c r="M137">
        <v>0</v>
      </c>
      <c r="N137">
        <v>0</v>
      </c>
      <c r="O137">
        <v>29.377419735311712</v>
      </c>
      <c r="P137" t="s">
        <v>90</v>
      </c>
      <c r="Q137">
        <v>0</v>
      </c>
      <c r="R137" t="s">
        <v>90</v>
      </c>
      <c r="S137">
        <v>0</v>
      </c>
      <c r="T137" t="s">
        <v>90</v>
      </c>
      <c r="U137">
        <v>0</v>
      </c>
      <c r="V137" t="s">
        <v>90</v>
      </c>
      <c r="W137">
        <v>0</v>
      </c>
      <c r="X137" t="s">
        <v>90</v>
      </c>
      <c r="Y137">
        <v>0</v>
      </c>
      <c r="Z137">
        <v>29.377419735311712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L137">
        <v>0.031</v>
      </c>
      <c r="AN137" t="s">
        <v>223</v>
      </c>
      <c r="AO137" t="s">
        <v>92</v>
      </c>
      <c r="AP137">
        <v>200000</v>
      </c>
      <c r="AQ137" t="s">
        <v>92</v>
      </c>
      <c r="AS137">
        <v>10000</v>
      </c>
      <c r="AT137" t="s">
        <v>1339</v>
      </c>
      <c r="AU137" t="s">
        <v>78</v>
      </c>
      <c r="AV137" t="s">
        <v>79</v>
      </c>
      <c r="AY137">
        <v>0</v>
      </c>
    </row>
    <row r="138" spans="1:52" ht="12.75">
      <c r="A138" s="2" t="str">
        <f>HYPERLINK("https://ibp.a2mac1.com/costing(costing:projects/details/8191/assembly/5381427)","Rear Park Assist")</f>
        <v>Rear Park Assist</v>
      </c>
      <c r="B138">
        <v>5381427</v>
      </c>
      <c r="D138">
        <v>5381315</v>
      </c>
      <c r="F138">
        <v>1</v>
      </c>
      <c r="G138">
        <v>0</v>
      </c>
      <c r="H138">
        <v>55.540641235880464</v>
      </c>
      <c r="I138">
        <v>0</v>
      </c>
      <c r="J138" t="s">
        <v>90</v>
      </c>
      <c r="K138">
        <v>0</v>
      </c>
      <c r="L138">
        <v>55.540641235880464</v>
      </c>
      <c r="M138">
        <v>0</v>
      </c>
      <c r="N138">
        <v>0</v>
      </c>
      <c r="O138">
        <v>55.540641235880464</v>
      </c>
      <c r="P138" t="s">
        <v>90</v>
      </c>
      <c r="Q138">
        <v>0</v>
      </c>
      <c r="R138" t="s">
        <v>90</v>
      </c>
      <c r="S138">
        <v>0</v>
      </c>
      <c r="T138" t="s">
        <v>90</v>
      </c>
      <c r="U138">
        <v>0</v>
      </c>
      <c r="V138" t="s">
        <v>90</v>
      </c>
      <c r="W138">
        <v>0</v>
      </c>
      <c r="X138" t="s">
        <v>90</v>
      </c>
      <c r="Y138">
        <v>0</v>
      </c>
      <c r="Z138">
        <v>55.540641235880464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L138">
        <v>0.18099999999999999</v>
      </c>
      <c r="AN138" t="s">
        <v>223</v>
      </c>
      <c r="AO138" t="s">
        <v>92</v>
      </c>
      <c r="AP138">
        <v>200000</v>
      </c>
      <c r="AQ138" t="s">
        <v>92</v>
      </c>
      <c r="AS138">
        <v>10000</v>
      </c>
      <c r="AT138" t="s">
        <v>1350</v>
      </c>
      <c r="AU138" t="s">
        <v>78</v>
      </c>
      <c r="AV138" t="s">
        <v>79</v>
      </c>
      <c r="AY138">
        <v>0</v>
      </c>
    </row>
    <row r="139" spans="1:52" ht="12.75">
      <c r="A139" s="2" t="str">
        <f>HYPERLINK("https://ibp.a2mac1.com/costing(costing:projects/details/8191/assembly/5381315)","Park Assist System")</f>
        <v>Park Assist System</v>
      </c>
      <c r="B139">
        <v>5381315</v>
      </c>
      <c r="D139">
        <v>5381299</v>
      </c>
      <c r="F139">
        <v>1</v>
      </c>
      <c r="G139">
        <v>0</v>
      </c>
      <c r="H139">
        <v>68.163721235880473</v>
      </c>
      <c r="I139">
        <v>0</v>
      </c>
      <c r="J139" t="s">
        <v>90</v>
      </c>
      <c r="K139">
        <v>0</v>
      </c>
      <c r="L139">
        <v>68.163721235880473</v>
      </c>
      <c r="M139">
        <v>0</v>
      </c>
      <c r="N139">
        <v>0</v>
      </c>
      <c r="O139">
        <v>68.163721235880473</v>
      </c>
      <c r="P139" t="s">
        <v>90</v>
      </c>
      <c r="Q139">
        <v>0</v>
      </c>
      <c r="R139" t="s">
        <v>90</v>
      </c>
      <c r="S139">
        <v>0</v>
      </c>
      <c r="T139" t="s">
        <v>90</v>
      </c>
      <c r="U139">
        <v>0</v>
      </c>
      <c r="V139" t="s">
        <v>90</v>
      </c>
      <c r="W139">
        <v>0</v>
      </c>
      <c r="X139" t="s">
        <v>90</v>
      </c>
      <c r="Y139">
        <v>0</v>
      </c>
      <c r="Z139">
        <v>68.163721235880473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L139">
        <v>0.25700000000000001</v>
      </c>
      <c r="AN139" t="s">
        <v>223</v>
      </c>
      <c r="AO139" t="s">
        <v>92</v>
      </c>
      <c r="AP139">
        <v>200000</v>
      </c>
      <c r="AQ139" t="s">
        <v>92</v>
      </c>
      <c r="AS139">
        <v>10000</v>
      </c>
      <c r="AT139" t="s">
        <v>1351</v>
      </c>
      <c r="AU139" t="s">
        <v>78</v>
      </c>
      <c r="AV139" t="s">
        <v>79</v>
      </c>
      <c r="AY139">
        <v>0</v>
      </c>
    </row>
    <row r="140" spans="1:52" ht="12.75">
      <c r="A140" s="2" t="str">
        <f>HYPERLINK("https://ibp.a2mac1.com/costing(costing:projects/details/8191/assembly/5381316)","Distance Control System")</f>
        <v>Distance Control System</v>
      </c>
      <c r="B140">
        <v>5381316</v>
      </c>
      <c r="D140">
        <v>5381299</v>
      </c>
      <c r="F140">
        <v>1</v>
      </c>
      <c r="G140">
        <v>0</v>
      </c>
      <c r="H140">
        <v>37.652632496339763</v>
      </c>
      <c r="I140">
        <v>0</v>
      </c>
      <c r="J140" t="s">
        <v>90</v>
      </c>
      <c r="K140">
        <v>0</v>
      </c>
      <c r="L140">
        <v>37.652632496339763</v>
      </c>
      <c r="M140">
        <v>0</v>
      </c>
      <c r="N140">
        <v>0</v>
      </c>
      <c r="O140">
        <v>37.652632496339763</v>
      </c>
      <c r="P140" t="s">
        <v>90</v>
      </c>
      <c r="Q140">
        <v>0</v>
      </c>
      <c r="R140" t="s">
        <v>90</v>
      </c>
      <c r="S140">
        <v>0</v>
      </c>
      <c r="T140" t="s">
        <v>90</v>
      </c>
      <c r="U140">
        <v>0</v>
      </c>
      <c r="V140" t="s">
        <v>90</v>
      </c>
      <c r="W140">
        <v>0</v>
      </c>
      <c r="X140" t="s">
        <v>90</v>
      </c>
      <c r="Y140">
        <v>0</v>
      </c>
      <c r="Z140">
        <v>37.652632496339763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L140">
        <v>0.17899999999999999</v>
      </c>
      <c r="AN140" t="s">
        <v>223</v>
      </c>
      <c r="AO140" t="s">
        <v>92</v>
      </c>
      <c r="AP140">
        <v>200000</v>
      </c>
      <c r="AQ140" t="s">
        <v>92</v>
      </c>
      <c r="AS140">
        <v>10000</v>
      </c>
      <c r="AT140" t="s">
        <v>1359</v>
      </c>
      <c r="AU140" t="s">
        <v>78</v>
      </c>
      <c r="AV140" t="s">
        <v>79</v>
      </c>
      <c r="AY140">
        <v>0</v>
      </c>
    </row>
    <row r="141" spans="1:52" ht="12.75">
      <c r="A141" s="2" t="str">
        <f>HYPERLINK("https://ibp.a2mac1.com/costing(costing:projects/details/8191/assembly/5381317)","Lane Assist System")</f>
        <v>Lane Assist System</v>
      </c>
      <c r="B141">
        <v>5381317</v>
      </c>
      <c r="D141">
        <v>5381299</v>
      </c>
      <c r="F141">
        <v>1</v>
      </c>
      <c r="G141">
        <v>0</v>
      </c>
      <c r="H141">
        <v>97.715926248792471</v>
      </c>
      <c r="I141">
        <v>0</v>
      </c>
      <c r="J141" t="s">
        <v>90</v>
      </c>
      <c r="K141">
        <v>0</v>
      </c>
      <c r="L141">
        <v>97.715926248792471</v>
      </c>
      <c r="M141">
        <v>0</v>
      </c>
      <c r="N141">
        <v>0</v>
      </c>
      <c r="O141">
        <v>97.715926248792471</v>
      </c>
      <c r="P141" t="s">
        <v>90</v>
      </c>
      <c r="Q141">
        <v>0</v>
      </c>
      <c r="R141" t="s">
        <v>90</v>
      </c>
      <c r="S141">
        <v>0</v>
      </c>
      <c r="T141" t="s">
        <v>90</v>
      </c>
      <c r="U141">
        <v>0</v>
      </c>
      <c r="V141" t="s">
        <v>90</v>
      </c>
      <c r="W141">
        <v>0</v>
      </c>
      <c r="X141" t="s">
        <v>90</v>
      </c>
      <c r="Y141">
        <v>0</v>
      </c>
      <c r="Z141">
        <v>97.715926248792471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L141">
        <v>0.153</v>
      </c>
      <c r="AN141" t="s">
        <v>223</v>
      </c>
      <c r="AO141" t="s">
        <v>92</v>
      </c>
      <c r="AP141">
        <v>200000</v>
      </c>
      <c r="AQ141" t="s">
        <v>92</v>
      </c>
      <c r="AS141">
        <v>10000</v>
      </c>
      <c r="AT141" t="s">
        <v>1364</v>
      </c>
      <c r="AU141" t="s">
        <v>78</v>
      </c>
      <c r="AV141" t="s">
        <v>79</v>
      </c>
      <c r="AY141">
        <v>0</v>
      </c>
    </row>
    <row r="142" spans="1:52" ht="12.75">
      <c r="A142" s="2" t="str">
        <f>HYPERLINK("https://ibp.a2mac1.com/costing(costing:projects/details/8191/assembly/5381472)","Blind Spot Detection Radar")</f>
        <v>Blind Spot Detection Radar</v>
      </c>
      <c r="B142">
        <v>5381472</v>
      </c>
      <c r="D142">
        <v>5381318</v>
      </c>
      <c r="F142">
        <v>2</v>
      </c>
      <c r="G142">
        <v>0</v>
      </c>
      <c r="H142">
        <v>33.003395064619987</v>
      </c>
      <c r="I142">
        <v>0.16584620635487429</v>
      </c>
      <c r="J142" t="s">
        <v>137</v>
      </c>
      <c r="K142">
        <v>1.1551188272616995</v>
      </c>
      <c r="L142">
        <v>34.324360098236561</v>
      </c>
      <c r="M142">
        <v>0</v>
      </c>
      <c r="N142">
        <v>5.9922170917630115</v>
      </c>
      <c r="O142">
        <v>40.31657718999957</v>
      </c>
      <c r="P142" t="s">
        <v>138</v>
      </c>
      <c r="Q142">
        <v>2.0594616058941937</v>
      </c>
      <c r="R142" t="s">
        <v>138</v>
      </c>
      <c r="S142">
        <v>0.3595330255057807</v>
      </c>
      <c r="T142" t="s">
        <v>139</v>
      </c>
      <c r="U142">
        <v>4.8379892627999483</v>
      </c>
      <c r="V142" t="s">
        <v>90</v>
      </c>
      <c r="W142">
        <v>0</v>
      </c>
      <c r="X142" t="s">
        <v>90</v>
      </c>
      <c r="Y142">
        <v>0</v>
      </c>
      <c r="Z142">
        <v>47.573561084199497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27</v>
      </c>
      <c r="AI142">
        <v>75</v>
      </c>
      <c r="AJ142">
        <v>122</v>
      </c>
      <c r="AL142">
        <v>0.1195</v>
      </c>
      <c r="AM142" t="s">
        <v>1299</v>
      </c>
      <c r="AN142" t="s">
        <v>576</v>
      </c>
      <c r="AO142" t="s">
        <v>92</v>
      </c>
      <c r="AP142">
        <v>400000</v>
      </c>
      <c r="AQ142" t="s">
        <v>76</v>
      </c>
      <c r="AS142">
        <v>20000</v>
      </c>
      <c r="AT142" t="s">
        <v>1368</v>
      </c>
      <c r="AU142" t="s">
        <v>78</v>
      </c>
      <c r="AV142" t="s">
        <v>79</v>
      </c>
      <c r="AY142">
        <v>0</v>
      </c>
    </row>
    <row r="143" spans="1:52" ht="12.75">
      <c r="A143" s="2" t="str">
        <f>HYPERLINK("https://ibp.a2mac1.com/costing(costing:projects/details/8191/assembly/5381318)","Blind Spot Detection System")</f>
        <v>Blind Spot Detection System</v>
      </c>
      <c r="B143">
        <v>5381318</v>
      </c>
      <c r="D143">
        <v>5381299</v>
      </c>
      <c r="F143">
        <v>1</v>
      </c>
      <c r="G143">
        <v>0</v>
      </c>
      <c r="H143">
        <v>48.496301084199494</v>
      </c>
      <c r="I143">
        <v>0</v>
      </c>
      <c r="J143" t="s">
        <v>90</v>
      </c>
      <c r="K143">
        <v>0</v>
      </c>
      <c r="L143">
        <v>48.496301084199494</v>
      </c>
      <c r="M143">
        <v>0</v>
      </c>
      <c r="N143">
        <v>0</v>
      </c>
      <c r="O143">
        <v>48.496301084199494</v>
      </c>
      <c r="P143" t="s">
        <v>90</v>
      </c>
      <c r="Q143">
        <v>0</v>
      </c>
      <c r="R143" t="s">
        <v>90</v>
      </c>
      <c r="S143">
        <v>0</v>
      </c>
      <c r="T143" t="s">
        <v>90</v>
      </c>
      <c r="U143">
        <v>0</v>
      </c>
      <c r="V143" t="s">
        <v>90</v>
      </c>
      <c r="W143">
        <v>0</v>
      </c>
      <c r="X143" t="s">
        <v>90</v>
      </c>
      <c r="Y143">
        <v>0</v>
      </c>
      <c r="Z143">
        <v>48.496301084199494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L143">
        <v>0.51300000000000001</v>
      </c>
      <c r="AN143" t="s">
        <v>223</v>
      </c>
      <c r="AO143" t="s">
        <v>92</v>
      </c>
      <c r="AP143">
        <v>200000</v>
      </c>
      <c r="AQ143" t="s">
        <v>92</v>
      </c>
      <c r="AS143">
        <v>10000</v>
      </c>
      <c r="AT143" t="s">
        <v>1370</v>
      </c>
      <c r="AU143" t="s">
        <v>78</v>
      </c>
      <c r="AV143" t="s">
        <v>79</v>
      </c>
      <c r="AY143">
        <v>0</v>
      </c>
    </row>
    <row r="144" spans="1:52" ht="12.75">
      <c r="A144" s="2" t="str">
        <f>HYPERLINK("https://ibp.a2mac1.com/costing(costing:projects/details/8191/assembly/5381319)","Trailer Hitch System   Bike Carier")</f>
        <v>Trailer Hitch System   Bike Carier</v>
      </c>
      <c r="B144">
        <v>5381319</v>
      </c>
      <c r="D144">
        <v>5381299</v>
      </c>
      <c r="F144">
        <v>1</v>
      </c>
      <c r="G144">
        <v>0</v>
      </c>
      <c r="H144">
        <v>0.068860797948044394</v>
      </c>
      <c r="I144">
        <v>0</v>
      </c>
      <c r="J144" t="s">
        <v>90</v>
      </c>
      <c r="K144">
        <v>0</v>
      </c>
      <c r="L144">
        <v>0.068860797948044394</v>
      </c>
      <c r="M144">
        <v>0</v>
      </c>
      <c r="N144">
        <v>0</v>
      </c>
      <c r="O144">
        <v>0.068860797948044394</v>
      </c>
      <c r="P144" t="s">
        <v>90</v>
      </c>
      <c r="Q144">
        <v>0</v>
      </c>
      <c r="R144" t="s">
        <v>90</v>
      </c>
      <c r="S144">
        <v>0</v>
      </c>
      <c r="T144" t="s">
        <v>90</v>
      </c>
      <c r="U144">
        <v>0</v>
      </c>
      <c r="V144" t="s">
        <v>90</v>
      </c>
      <c r="W144">
        <v>0</v>
      </c>
      <c r="X144" t="s">
        <v>90</v>
      </c>
      <c r="Y144">
        <v>0</v>
      </c>
      <c r="Z144">
        <v>0.068860797948044394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L144">
        <v>2.0617999999999999</v>
      </c>
      <c r="AN144" t="s">
        <v>223</v>
      </c>
      <c r="AO144" t="s">
        <v>92</v>
      </c>
      <c r="AP144">
        <v>200000</v>
      </c>
      <c r="AQ144" t="s">
        <v>92</v>
      </c>
      <c r="AS144">
        <v>10000</v>
      </c>
      <c r="AT144" t="s">
        <v>1379</v>
      </c>
      <c r="AU144" t="s">
        <v>78</v>
      </c>
      <c r="AV144" t="s">
        <v>79</v>
      </c>
      <c r="AY144">
        <v>0</v>
      </c>
    </row>
    <row r="145" spans="1:52" ht="12.75">
      <c r="A145" s="2" t="str">
        <f>HYPERLINK("https://ibp.a2mac1.com/costing(costing:projects/details/8191/assembly/5381320)","Trunk Open Assist By Foot System")</f>
        <v>Trunk Open Assist By Foot System</v>
      </c>
      <c r="B145">
        <v>5381320</v>
      </c>
      <c r="D145">
        <v>5381299</v>
      </c>
      <c r="F145">
        <v>1</v>
      </c>
      <c r="G145">
        <v>0</v>
      </c>
      <c r="H145">
        <v>9.0018165867683528</v>
      </c>
      <c r="I145">
        <v>0</v>
      </c>
      <c r="J145" t="s">
        <v>90</v>
      </c>
      <c r="K145">
        <v>0</v>
      </c>
      <c r="L145">
        <v>9.0018165867683528</v>
      </c>
      <c r="M145">
        <v>0</v>
      </c>
      <c r="N145">
        <v>0</v>
      </c>
      <c r="O145">
        <v>9.0018165867683528</v>
      </c>
      <c r="P145" t="s">
        <v>90</v>
      </c>
      <c r="Q145">
        <v>0</v>
      </c>
      <c r="R145" t="s">
        <v>90</v>
      </c>
      <c r="S145">
        <v>0</v>
      </c>
      <c r="T145" t="s">
        <v>90</v>
      </c>
      <c r="U145">
        <v>0</v>
      </c>
      <c r="V145" t="s">
        <v>90</v>
      </c>
      <c r="W145">
        <v>0</v>
      </c>
      <c r="X145" t="s">
        <v>90</v>
      </c>
      <c r="Y145">
        <v>0</v>
      </c>
      <c r="Z145">
        <v>9.0018165867683528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L145">
        <v>0.16600000000000001</v>
      </c>
      <c r="AN145" t="s">
        <v>223</v>
      </c>
      <c r="AO145" t="s">
        <v>92</v>
      </c>
      <c r="AP145">
        <v>200000</v>
      </c>
      <c r="AQ145" t="s">
        <v>92</v>
      </c>
      <c r="AS145">
        <v>10000</v>
      </c>
      <c r="AT145" t="s">
        <v>1390</v>
      </c>
      <c r="AU145" t="s">
        <v>78</v>
      </c>
      <c r="AV145" t="s">
        <v>79</v>
      </c>
      <c r="AY145">
        <v>0</v>
      </c>
    </row>
    <row r="146" spans="1:52" ht="12.75">
      <c r="A146" s="2" t="str">
        <f>HYPERLINK("https://ibp.a2mac1.com/costing(costing:projects/details/8191/assembly/5381479)","Pedestrian Sound Speaker")</f>
        <v>Pedestrian Sound Speaker</v>
      </c>
      <c r="B146">
        <v>5381479</v>
      </c>
      <c r="D146">
        <v>5381321</v>
      </c>
      <c r="F146">
        <v>1</v>
      </c>
      <c r="G146">
        <v>0</v>
      </c>
      <c r="H146">
        <v>13.333012728340403</v>
      </c>
      <c r="I146">
        <v>0.067000063961509565</v>
      </c>
      <c r="J146" t="s">
        <v>137</v>
      </c>
      <c r="K146">
        <v>0.46665544549191412</v>
      </c>
      <c r="L146">
        <v>13.866668237793828</v>
      </c>
      <c r="M146">
        <v>0</v>
      </c>
      <c r="N146">
        <v>0.70601163562212321</v>
      </c>
      <c r="O146">
        <v>14.57267987341595</v>
      </c>
      <c r="P146" t="s">
        <v>138</v>
      </c>
      <c r="Q146">
        <v>0.83200009426762966</v>
      </c>
      <c r="R146" t="s">
        <v>138</v>
      </c>
      <c r="S146">
        <v>0.042360698137327395</v>
      </c>
      <c r="T146" t="s">
        <v>139</v>
      </c>
      <c r="U146">
        <v>1.748721584809914</v>
      </c>
      <c r="V146" t="s">
        <v>90</v>
      </c>
      <c r="W146">
        <v>0</v>
      </c>
      <c r="X146" t="s">
        <v>90</v>
      </c>
      <c r="Y146">
        <v>0</v>
      </c>
      <c r="Z146">
        <v>17.195762250630821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N146" t="s">
        <v>576</v>
      </c>
      <c r="AO146" t="s">
        <v>92</v>
      </c>
      <c r="AP146">
        <v>200000</v>
      </c>
      <c r="AQ146" t="s">
        <v>76</v>
      </c>
      <c r="AR146">
        <v>0</v>
      </c>
      <c r="AS146">
        <v>10000</v>
      </c>
      <c r="AT146" t="s">
        <v>1399</v>
      </c>
      <c r="AU146" t="s">
        <v>78</v>
      </c>
      <c r="AV146" t="s">
        <v>79</v>
      </c>
      <c r="AY146">
        <v>0</v>
      </c>
    </row>
    <row r="147" spans="1:52" ht="12.75">
      <c r="A147" s="2" t="str">
        <f>HYPERLINK("https://ibp.a2mac1.com/costing(costing:projects/details/8191/assembly/5381321)","Pedestrian Sound System")</f>
        <v>Pedestrian Sound System</v>
      </c>
      <c r="B147">
        <v>5381321</v>
      </c>
      <c r="D147">
        <v>5381299</v>
      </c>
      <c r="F147">
        <v>1</v>
      </c>
      <c r="G147">
        <v>0</v>
      </c>
      <c r="H147">
        <v>26.810712250630822</v>
      </c>
      <c r="I147">
        <v>0</v>
      </c>
      <c r="J147" t="s">
        <v>90</v>
      </c>
      <c r="K147">
        <v>0</v>
      </c>
      <c r="L147">
        <v>26.810712250630822</v>
      </c>
      <c r="M147">
        <v>0</v>
      </c>
      <c r="N147">
        <v>0</v>
      </c>
      <c r="O147">
        <v>26.810712250630822</v>
      </c>
      <c r="P147" t="s">
        <v>90</v>
      </c>
      <c r="Q147">
        <v>0</v>
      </c>
      <c r="R147" t="s">
        <v>90</v>
      </c>
      <c r="S147">
        <v>0</v>
      </c>
      <c r="T147" t="s">
        <v>90</v>
      </c>
      <c r="U147">
        <v>0</v>
      </c>
      <c r="V147" t="s">
        <v>90</v>
      </c>
      <c r="W147">
        <v>0</v>
      </c>
      <c r="X147" t="s">
        <v>90</v>
      </c>
      <c r="Y147">
        <v>0</v>
      </c>
      <c r="Z147">
        <v>26.810712250630822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N147" t="s">
        <v>223</v>
      </c>
      <c r="AO147" t="s">
        <v>92</v>
      </c>
      <c r="AP147">
        <v>200000</v>
      </c>
      <c r="AQ147" t="s">
        <v>92</v>
      </c>
      <c r="AS147">
        <v>10000</v>
      </c>
      <c r="AT147" t="s">
        <v>1403</v>
      </c>
      <c r="AU147" t="s">
        <v>78</v>
      </c>
      <c r="AV147" t="s">
        <v>79</v>
      </c>
      <c r="AY147">
        <v>0</v>
      </c>
    </row>
    <row r="148" spans="1:52" ht="12.75">
      <c r="A148" s="2" t="str">
        <f>HYPERLINK("https://ibp.a2mac1.com/costing(costing:projects/details/8191/assembly/5381299)","Accessories")</f>
        <v>Accessories</v>
      </c>
      <c r="B148">
        <v>5381299</v>
      </c>
      <c r="C148">
        <v>8191</v>
      </c>
      <c r="F148">
        <v>1</v>
      </c>
      <c r="G148">
        <v>0</v>
      </c>
      <c r="H148">
        <v>553.4754805297307</v>
      </c>
      <c r="I148">
        <v>0</v>
      </c>
      <c r="J148" t="s">
        <v>90</v>
      </c>
      <c r="K148">
        <v>0</v>
      </c>
      <c r="L148">
        <v>553.4754805297307</v>
      </c>
      <c r="M148">
        <v>0</v>
      </c>
      <c r="N148">
        <v>0</v>
      </c>
      <c r="O148">
        <v>553.4754805297307</v>
      </c>
      <c r="P148" t="s">
        <v>90</v>
      </c>
      <c r="Q148">
        <v>0</v>
      </c>
      <c r="R148" t="s">
        <v>90</v>
      </c>
      <c r="S148">
        <v>0</v>
      </c>
      <c r="T148" t="s">
        <v>90</v>
      </c>
      <c r="U148">
        <v>0</v>
      </c>
      <c r="V148" t="s">
        <v>90</v>
      </c>
      <c r="W148">
        <v>0</v>
      </c>
      <c r="X148" t="s">
        <v>90</v>
      </c>
      <c r="Y148">
        <v>0</v>
      </c>
      <c r="Z148">
        <v>553.4754805297307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L148">
        <v>10.953799999999999</v>
      </c>
      <c r="AN148" t="s">
        <v>223</v>
      </c>
      <c r="AO148" t="s">
        <v>92</v>
      </c>
      <c r="AP148">
        <v>200000</v>
      </c>
      <c r="AQ148" t="s">
        <v>92</v>
      </c>
      <c r="AS148">
        <v>10000</v>
      </c>
      <c r="AT148" t="s">
        <v>1404</v>
      </c>
      <c r="AU148" t="s">
        <v>78</v>
      </c>
      <c r="AV148" t="s">
        <v>79</v>
      </c>
      <c r="AY148">
        <v>0</v>
      </c>
    </row>
    <row r="149" spans="1:52" ht="12.75">
      <c r="A149" s="2" t="str">
        <f>HYPERLINK("https://ibp.a2mac1.com/costing(costing:projects/details/8191/assembly/5381698)","Differential")</f>
        <v>Differential</v>
      </c>
      <c r="B149">
        <v>5381698</v>
      </c>
      <c r="D149">
        <v>5381610</v>
      </c>
      <c r="E149" t="s">
        <v>1439</v>
      </c>
      <c r="F149">
        <v>1</v>
      </c>
      <c r="G149">
        <v>0</v>
      </c>
      <c r="H149">
        <v>24.729752102716905</v>
      </c>
      <c r="I149">
        <v>0.12427011106892916</v>
      </c>
      <c r="J149" t="s">
        <v>137</v>
      </c>
      <c r="K149">
        <v>0.86554132359509162</v>
      </c>
      <c r="L149">
        <v>25.719563537380925</v>
      </c>
      <c r="M149">
        <v>0</v>
      </c>
      <c r="N149">
        <v>5.9836816621353544</v>
      </c>
      <c r="O149">
        <v>31.703245199516278</v>
      </c>
      <c r="P149" t="s">
        <v>90</v>
      </c>
      <c r="Q149">
        <v>0</v>
      </c>
      <c r="R149" t="s">
        <v>90</v>
      </c>
      <c r="S149">
        <v>0</v>
      </c>
      <c r="T149" t="s">
        <v>90</v>
      </c>
      <c r="U149">
        <v>0</v>
      </c>
      <c r="V149" t="s">
        <v>90</v>
      </c>
      <c r="W149">
        <v>0</v>
      </c>
      <c r="X149" t="s">
        <v>90</v>
      </c>
      <c r="Y149">
        <v>0</v>
      </c>
      <c r="Z149">
        <v>31.703245199516278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N149" t="s">
        <v>1440</v>
      </c>
      <c r="AO149" t="s">
        <v>92</v>
      </c>
      <c r="AP149">
        <v>200000</v>
      </c>
      <c r="AQ149" t="s">
        <v>92</v>
      </c>
      <c r="AS149">
        <v>10000</v>
      </c>
      <c r="AT149" t="s">
        <v>1441</v>
      </c>
      <c r="AU149" t="s">
        <v>78</v>
      </c>
      <c r="AV149" t="s">
        <v>79</v>
      </c>
      <c r="AY149">
        <v>0</v>
      </c>
    </row>
    <row r="150" spans="1:52" ht="12.75">
      <c r="A150" s="2" t="str">
        <f>HYPERLINK("https://ibp.a2mac1.com/costing(costing:projects/details/8191/assembly/5381699)","Input stage")</f>
        <v>Input stage</v>
      </c>
      <c r="B150">
        <v>5381699</v>
      </c>
      <c r="D150">
        <v>5381610</v>
      </c>
      <c r="E150" t="s">
        <v>603</v>
      </c>
      <c r="F150">
        <v>1</v>
      </c>
      <c r="G150">
        <v>0</v>
      </c>
      <c r="H150">
        <v>6.8887046422353722</v>
      </c>
      <c r="I150">
        <v>0</v>
      </c>
      <c r="J150" t="s">
        <v>90</v>
      </c>
      <c r="K150">
        <v>0</v>
      </c>
      <c r="L150">
        <v>6.8887046422353722</v>
      </c>
      <c r="M150">
        <v>0</v>
      </c>
      <c r="N150">
        <v>0</v>
      </c>
      <c r="O150">
        <v>6.8887046422353722</v>
      </c>
      <c r="P150" t="s">
        <v>90</v>
      </c>
      <c r="Q150">
        <v>0</v>
      </c>
      <c r="R150" t="s">
        <v>90</v>
      </c>
      <c r="S150">
        <v>0</v>
      </c>
      <c r="T150" t="s">
        <v>90</v>
      </c>
      <c r="U150">
        <v>0</v>
      </c>
      <c r="V150" t="s">
        <v>90</v>
      </c>
      <c r="W150">
        <v>0</v>
      </c>
      <c r="X150" t="s">
        <v>90</v>
      </c>
      <c r="Y150">
        <v>0</v>
      </c>
      <c r="Z150">
        <v>6.8887046422353722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N150" t="s">
        <v>223</v>
      </c>
      <c r="AO150" t="s">
        <v>92</v>
      </c>
      <c r="AP150">
        <v>200000</v>
      </c>
      <c r="AQ150" t="s">
        <v>76</v>
      </c>
      <c r="AS150">
        <v>10000</v>
      </c>
      <c r="AT150" t="s">
        <v>9</v>
      </c>
      <c r="AU150" t="s">
        <v>78</v>
      </c>
      <c r="AV150" t="s">
        <v>79</v>
      </c>
      <c r="AY150">
        <v>0</v>
      </c>
    </row>
    <row r="151" spans="1:52" ht="12.75">
      <c r="A151" s="2" t="str">
        <f>HYPERLINK("https://ibp.a2mac1.com/costing(costing:projects/details/8191/assembly/5381700)","Intermediate stage")</f>
        <v>Intermediate stage</v>
      </c>
      <c r="B151">
        <v>5381700</v>
      </c>
      <c r="D151">
        <v>5381610</v>
      </c>
      <c r="E151" t="s">
        <v>1463</v>
      </c>
      <c r="F151">
        <v>1</v>
      </c>
      <c r="G151">
        <v>0</v>
      </c>
      <c r="H151">
        <v>20.267663534396906</v>
      </c>
      <c r="I151">
        <v>0</v>
      </c>
      <c r="J151" t="s">
        <v>90</v>
      </c>
      <c r="K151">
        <v>0</v>
      </c>
      <c r="L151">
        <v>20.267663534396906</v>
      </c>
      <c r="M151">
        <v>0</v>
      </c>
      <c r="N151">
        <v>0</v>
      </c>
      <c r="O151">
        <v>20.267663534396906</v>
      </c>
      <c r="P151" t="s">
        <v>90</v>
      </c>
      <c r="Q151">
        <v>0</v>
      </c>
      <c r="R151" t="s">
        <v>90</v>
      </c>
      <c r="S151">
        <v>0</v>
      </c>
      <c r="T151" t="s">
        <v>90</v>
      </c>
      <c r="U151">
        <v>0</v>
      </c>
      <c r="V151" t="s">
        <v>90</v>
      </c>
      <c r="W151">
        <v>0</v>
      </c>
      <c r="X151" t="s">
        <v>90</v>
      </c>
      <c r="Y151">
        <v>0</v>
      </c>
      <c r="Z151">
        <v>20.267663534396906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N151" t="s">
        <v>91</v>
      </c>
      <c r="AO151" t="s">
        <v>92</v>
      </c>
      <c r="AP151">
        <v>200000</v>
      </c>
      <c r="AQ151" t="s">
        <v>92</v>
      </c>
      <c r="AS151">
        <v>10000</v>
      </c>
      <c r="AT151" t="s">
        <v>1464</v>
      </c>
      <c r="AU151" t="s">
        <v>78</v>
      </c>
      <c r="AV151" t="s">
        <v>79</v>
      </c>
      <c r="AY151">
        <v>0</v>
      </c>
    </row>
    <row r="152" spans="1:52" ht="12.75">
      <c r="A152" s="2" t="str">
        <f>HYPERLINK("https://ibp.a2mac1.com/costing(costing:projects/details/8191/assembly/5381701)","Oil management system ")</f>
        <v xml:space="preserve">Oil management system </v>
      </c>
      <c r="B152">
        <v>5381701</v>
      </c>
      <c r="D152">
        <v>5381610</v>
      </c>
      <c r="F152">
        <v>1</v>
      </c>
      <c r="G152">
        <v>0</v>
      </c>
      <c r="H152">
        <v>10.597971512750966</v>
      </c>
      <c r="I152">
        <v>0</v>
      </c>
      <c r="J152" t="s">
        <v>90</v>
      </c>
      <c r="K152">
        <v>0</v>
      </c>
      <c r="L152">
        <v>10.597971512750966</v>
      </c>
      <c r="M152">
        <v>0</v>
      </c>
      <c r="N152">
        <v>0</v>
      </c>
      <c r="O152">
        <v>10.597971512750966</v>
      </c>
      <c r="P152" t="s">
        <v>90</v>
      </c>
      <c r="Q152">
        <v>0</v>
      </c>
      <c r="R152" t="s">
        <v>90</v>
      </c>
      <c r="S152">
        <v>0</v>
      </c>
      <c r="T152" t="s">
        <v>90</v>
      </c>
      <c r="U152">
        <v>0</v>
      </c>
      <c r="V152" t="s">
        <v>90</v>
      </c>
      <c r="W152">
        <v>0</v>
      </c>
      <c r="X152" t="s">
        <v>90</v>
      </c>
      <c r="Y152">
        <v>0</v>
      </c>
      <c r="Z152">
        <v>10.597971512750966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N152" t="s">
        <v>223</v>
      </c>
      <c r="AO152" t="s">
        <v>92</v>
      </c>
      <c r="AP152">
        <v>200000</v>
      </c>
      <c r="AQ152" t="s">
        <v>76</v>
      </c>
      <c r="AR152">
        <v>0</v>
      </c>
      <c r="AS152">
        <v>10000</v>
      </c>
      <c r="AT152" t="s">
        <v>9</v>
      </c>
      <c r="AU152" t="s">
        <v>78</v>
      </c>
      <c r="AV152" t="s">
        <v>79</v>
      </c>
      <c r="AY152">
        <v>0</v>
      </c>
    </row>
    <row r="153" spans="1:52" ht="12.75">
      <c r="A153" s="2" t="str">
        <f>HYPERLINK("https://ibp.a2mac1.com/costing(costing:projects/details/8191/assembly/5381610)","Gearbox")</f>
        <v>Gearbox</v>
      </c>
      <c r="B153">
        <v>5381610</v>
      </c>
      <c r="D153">
        <v>5381596</v>
      </c>
      <c r="E153" t="s">
        <v>1491</v>
      </c>
      <c r="F153">
        <v>1</v>
      </c>
      <c r="G153">
        <v>0</v>
      </c>
      <c r="H153">
        <v>88.289258169707381</v>
      </c>
      <c r="I153">
        <v>0.4436646139181275</v>
      </c>
      <c r="J153" t="s">
        <v>137</v>
      </c>
      <c r="K153">
        <v>3.0901240359397582</v>
      </c>
      <c r="L153">
        <v>91.823046819565263</v>
      </c>
      <c r="M153">
        <v>0</v>
      </c>
      <c r="N153">
        <v>14.482268577699903</v>
      </c>
      <c r="O153">
        <v>106.30531539726516</v>
      </c>
      <c r="P153" t="s">
        <v>138</v>
      </c>
      <c r="Q153">
        <v>5.5093828091739159</v>
      </c>
      <c r="R153" t="s">
        <v>138</v>
      </c>
      <c r="S153">
        <v>0.86893611466199427</v>
      </c>
      <c r="T153" t="s">
        <v>139</v>
      </c>
      <c r="U153">
        <v>12.75663784767182</v>
      </c>
      <c r="V153" t="s">
        <v>90</v>
      </c>
      <c r="W153">
        <v>0</v>
      </c>
      <c r="X153" t="s">
        <v>90</v>
      </c>
      <c r="Y153">
        <v>0</v>
      </c>
      <c r="Z153">
        <v>125.44027216877289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N153" t="s">
        <v>213</v>
      </c>
      <c r="AO153" t="s">
        <v>92</v>
      </c>
      <c r="AP153">
        <v>200000</v>
      </c>
      <c r="AQ153" t="s">
        <v>76</v>
      </c>
      <c r="AS153">
        <v>10000</v>
      </c>
      <c r="AT153" t="s">
        <v>1492</v>
      </c>
      <c r="AU153" t="s">
        <v>78</v>
      </c>
      <c r="AV153" t="s">
        <v>79</v>
      </c>
      <c r="AY153">
        <v>0</v>
      </c>
    </row>
    <row r="154" spans="1:52" ht="12.75">
      <c r="A154" s="2" t="str">
        <f>HYPERLINK("https://ibp.a2mac1.com/costing(costing:projects/details/8191/assembly/5381596)","Front Gearbox &amp; Halfshafts")</f>
        <v>Front Gearbox &amp; Halfshafts</v>
      </c>
      <c r="B154">
        <v>5381596</v>
      </c>
      <c r="D154">
        <v>5381564</v>
      </c>
      <c r="E154" t="s">
        <v>1497</v>
      </c>
      <c r="F154">
        <v>1</v>
      </c>
      <c r="G154">
        <v>0</v>
      </c>
      <c r="H154">
        <v>269.30027216877289</v>
      </c>
      <c r="I154">
        <v>0</v>
      </c>
      <c r="J154" t="s">
        <v>90</v>
      </c>
      <c r="K154">
        <v>0</v>
      </c>
      <c r="L154">
        <v>269.30027216877289</v>
      </c>
      <c r="M154">
        <v>0</v>
      </c>
      <c r="N154">
        <v>0</v>
      </c>
      <c r="O154">
        <v>269.30027216877289</v>
      </c>
      <c r="P154" t="s">
        <v>90</v>
      </c>
      <c r="Q154">
        <v>0</v>
      </c>
      <c r="R154" t="s">
        <v>90</v>
      </c>
      <c r="S154">
        <v>0</v>
      </c>
      <c r="T154" t="s">
        <v>90</v>
      </c>
      <c r="U154">
        <v>0</v>
      </c>
      <c r="V154" t="s">
        <v>90</v>
      </c>
      <c r="W154">
        <v>0</v>
      </c>
      <c r="X154" t="s">
        <v>90</v>
      </c>
      <c r="Y154">
        <v>0</v>
      </c>
      <c r="Z154">
        <v>269.30027216877289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N154" t="s">
        <v>91</v>
      </c>
      <c r="AO154" t="s">
        <v>92</v>
      </c>
      <c r="AP154">
        <v>200000</v>
      </c>
      <c r="AQ154" t="s">
        <v>92</v>
      </c>
      <c r="AS154">
        <v>10000</v>
      </c>
      <c r="AT154" t="s">
        <v>1498</v>
      </c>
      <c r="AU154" t="s">
        <v>78</v>
      </c>
      <c r="AV154" t="s">
        <v>79</v>
      </c>
      <c r="AY154">
        <v>0</v>
      </c>
    </row>
    <row r="155" spans="1:52" ht="12.75">
      <c r="A155" s="2" t="str">
        <f>HYPERLINK("https://ibp.a2mac1.com/costing(costing:projects/details/8191/assembly/5381706)","Differential")</f>
        <v>Differential</v>
      </c>
      <c r="B155">
        <v>5381706</v>
      </c>
      <c r="D155">
        <v>5381620</v>
      </c>
      <c r="E155" t="s">
        <v>1544</v>
      </c>
      <c r="F155">
        <v>1</v>
      </c>
      <c r="G155">
        <v>0</v>
      </c>
      <c r="H155">
        <v>37.924459819018374</v>
      </c>
      <c r="I155">
        <v>0.19057517496994159</v>
      </c>
      <c r="J155" t="s">
        <v>137</v>
      </c>
      <c r="K155">
        <v>1.327356093665643</v>
      </c>
      <c r="L155">
        <v>39.442391087653959</v>
      </c>
      <c r="M155">
        <v>0</v>
      </c>
      <c r="N155">
        <v>5.9836816621353544</v>
      </c>
      <c r="O155">
        <v>45.426072749789313</v>
      </c>
      <c r="P155" t="s">
        <v>90</v>
      </c>
      <c r="Q155">
        <v>0</v>
      </c>
      <c r="R155" t="s">
        <v>90</v>
      </c>
      <c r="S155">
        <v>0</v>
      </c>
      <c r="T155" t="s">
        <v>90</v>
      </c>
      <c r="U155">
        <v>0</v>
      </c>
      <c r="V155" t="s">
        <v>90</v>
      </c>
      <c r="W155">
        <v>0</v>
      </c>
      <c r="X155" t="s">
        <v>90</v>
      </c>
      <c r="Y155">
        <v>0</v>
      </c>
      <c r="Z155">
        <v>45.426072749789313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N155" t="s">
        <v>1440</v>
      </c>
      <c r="AO155" t="s">
        <v>92</v>
      </c>
      <c r="AP155">
        <v>200000</v>
      </c>
      <c r="AQ155" t="s">
        <v>92</v>
      </c>
      <c r="AS155">
        <v>10000</v>
      </c>
      <c r="AT155" t="s">
        <v>1545</v>
      </c>
      <c r="AU155" t="s">
        <v>78</v>
      </c>
      <c r="AV155" t="s">
        <v>79</v>
      </c>
      <c r="AY155">
        <v>0</v>
      </c>
    </row>
    <row r="156" spans="1:52" ht="12.75">
      <c r="A156" s="2" t="str">
        <f>HYPERLINK("https://ibp.a2mac1.com/costing(costing:projects/details/8191/assembly/5381707)","Input stage")</f>
        <v>Input stage</v>
      </c>
      <c r="B156">
        <v>5381707</v>
      </c>
      <c r="D156">
        <v>5381620</v>
      </c>
      <c r="E156" t="s">
        <v>1557</v>
      </c>
      <c r="F156">
        <v>1</v>
      </c>
      <c r="G156">
        <v>0</v>
      </c>
      <c r="H156">
        <v>8.9153959842276507</v>
      </c>
      <c r="I156">
        <v>0</v>
      </c>
      <c r="J156" t="s">
        <v>90</v>
      </c>
      <c r="K156">
        <v>0</v>
      </c>
      <c r="L156">
        <v>8.9153959842276507</v>
      </c>
      <c r="M156">
        <v>0</v>
      </c>
      <c r="N156">
        <v>0</v>
      </c>
      <c r="O156">
        <v>8.9153959842276507</v>
      </c>
      <c r="P156" t="s">
        <v>90</v>
      </c>
      <c r="Q156">
        <v>0</v>
      </c>
      <c r="R156" t="s">
        <v>90</v>
      </c>
      <c r="S156">
        <v>0</v>
      </c>
      <c r="T156" t="s">
        <v>90</v>
      </c>
      <c r="U156">
        <v>0</v>
      </c>
      <c r="V156" t="s">
        <v>90</v>
      </c>
      <c r="W156">
        <v>0</v>
      </c>
      <c r="X156" t="s">
        <v>90</v>
      </c>
      <c r="Y156">
        <v>0</v>
      </c>
      <c r="Z156">
        <v>8.9153959842276507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N156" t="s">
        <v>91</v>
      </c>
      <c r="AO156" t="s">
        <v>92</v>
      </c>
      <c r="AP156">
        <v>200000</v>
      </c>
      <c r="AQ156" t="s">
        <v>92</v>
      </c>
      <c r="AS156">
        <v>10000</v>
      </c>
      <c r="AT156" t="s">
        <v>1558</v>
      </c>
      <c r="AU156" t="s">
        <v>78</v>
      </c>
      <c r="AV156" t="s">
        <v>79</v>
      </c>
      <c r="AY156">
        <v>0</v>
      </c>
    </row>
    <row r="157" spans="1:52" ht="12.75">
      <c r="A157" s="2" t="str">
        <f>HYPERLINK("https://ibp.a2mac1.com/costing(costing:projects/details/8191/assembly/5381708)","Intermediate stage")</f>
        <v>Intermediate stage</v>
      </c>
      <c r="B157">
        <v>5381708</v>
      </c>
      <c r="D157">
        <v>5381620</v>
      </c>
      <c r="E157" t="s">
        <v>1578</v>
      </c>
      <c r="F157">
        <v>1</v>
      </c>
      <c r="G157">
        <v>0</v>
      </c>
      <c r="H157">
        <v>28.849764175233759</v>
      </c>
      <c r="I157">
        <v>0</v>
      </c>
      <c r="J157" t="s">
        <v>90</v>
      </c>
      <c r="K157">
        <v>0</v>
      </c>
      <c r="L157">
        <v>28.849764175233759</v>
      </c>
      <c r="M157">
        <v>0</v>
      </c>
      <c r="N157">
        <v>0</v>
      </c>
      <c r="O157">
        <v>28.849764175233759</v>
      </c>
      <c r="P157" t="s">
        <v>90</v>
      </c>
      <c r="Q157">
        <v>0</v>
      </c>
      <c r="R157" t="s">
        <v>90</v>
      </c>
      <c r="S157">
        <v>0</v>
      </c>
      <c r="T157" t="s">
        <v>90</v>
      </c>
      <c r="U157">
        <v>0</v>
      </c>
      <c r="V157" t="s">
        <v>90</v>
      </c>
      <c r="W157">
        <v>0</v>
      </c>
      <c r="X157" t="s">
        <v>90</v>
      </c>
      <c r="Y157">
        <v>0</v>
      </c>
      <c r="Z157">
        <v>28.849764175233759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N157" t="s">
        <v>91</v>
      </c>
      <c r="AO157" t="s">
        <v>92</v>
      </c>
      <c r="AP157">
        <v>200000</v>
      </c>
      <c r="AQ157" t="s">
        <v>92</v>
      </c>
      <c r="AS157">
        <v>10000</v>
      </c>
      <c r="AT157" t="s">
        <v>1579</v>
      </c>
      <c r="AU157" t="s">
        <v>78</v>
      </c>
      <c r="AV157" t="s">
        <v>79</v>
      </c>
      <c r="AY157">
        <v>0</v>
      </c>
    </row>
    <row r="158" spans="1:52" ht="12.75">
      <c r="A158" s="2" t="str">
        <f>HYPERLINK("https://ibp.a2mac1.com/costing(costing:projects/details/8191/assembly/5381709)","Misc.")</f>
        <v>Misc.</v>
      </c>
      <c r="B158">
        <v>5381709</v>
      </c>
      <c r="D158">
        <v>5381620</v>
      </c>
      <c r="F158">
        <v>1</v>
      </c>
      <c r="G158">
        <v>0</v>
      </c>
      <c r="H158">
        <v>3.89</v>
      </c>
      <c r="I158">
        <v>0</v>
      </c>
      <c r="J158" t="s">
        <v>90</v>
      </c>
      <c r="K158">
        <v>0</v>
      </c>
      <c r="L158">
        <v>3.89</v>
      </c>
      <c r="M158">
        <v>0</v>
      </c>
      <c r="N158">
        <v>0</v>
      </c>
      <c r="O158">
        <v>3.89</v>
      </c>
      <c r="P158" t="s">
        <v>90</v>
      </c>
      <c r="Q158">
        <v>0</v>
      </c>
      <c r="R158" t="s">
        <v>90</v>
      </c>
      <c r="S158">
        <v>0</v>
      </c>
      <c r="T158" t="s">
        <v>90</v>
      </c>
      <c r="U158">
        <v>0</v>
      </c>
      <c r="V158" t="s">
        <v>90</v>
      </c>
      <c r="W158">
        <v>0</v>
      </c>
      <c r="X158" t="s">
        <v>90</v>
      </c>
      <c r="Y158">
        <v>0</v>
      </c>
      <c r="Z158">
        <v>3.89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N158" t="s">
        <v>223</v>
      </c>
      <c r="AO158" t="s">
        <v>92</v>
      </c>
      <c r="AP158">
        <v>200000</v>
      </c>
      <c r="AQ158" t="s">
        <v>76</v>
      </c>
      <c r="AR158">
        <v>0</v>
      </c>
      <c r="AS158">
        <v>10000</v>
      </c>
      <c r="AT158" t="s">
        <v>9</v>
      </c>
      <c r="AU158" t="s">
        <v>78</v>
      </c>
      <c r="AV158" t="s">
        <v>79</v>
      </c>
      <c r="AY158">
        <v>0</v>
      </c>
    </row>
    <row r="159" spans="1:52" ht="12.75">
      <c r="A159" s="2" t="str">
        <f>HYPERLINK("https://ibp.a2mac1.com/costing(costing:projects/details/8191/assembly/5381620)","Gearbox")</f>
        <v>Gearbox</v>
      </c>
      <c r="B159">
        <v>5381620</v>
      </c>
      <c r="D159">
        <v>5381597</v>
      </c>
      <c r="E159" t="s">
        <v>1608</v>
      </c>
      <c r="F159">
        <v>1</v>
      </c>
      <c r="G159">
        <v>0</v>
      </c>
      <c r="H159">
        <v>130.64095999878884</v>
      </c>
      <c r="I159">
        <v>0.65648723617481841</v>
      </c>
      <c r="J159" t="s">
        <v>137</v>
      </c>
      <c r="K159">
        <v>4.57243359995761</v>
      </c>
      <c r="L159">
        <v>135.86988083492128</v>
      </c>
      <c r="M159">
        <v>0</v>
      </c>
      <c r="N159">
        <v>14.482268577699903</v>
      </c>
      <c r="O159">
        <v>150.3521494126212</v>
      </c>
      <c r="P159" t="s">
        <v>138</v>
      </c>
      <c r="Q159">
        <v>8.1521928500952772</v>
      </c>
      <c r="R159" t="s">
        <v>138</v>
      </c>
      <c r="S159">
        <v>0.86893611466199427</v>
      </c>
      <c r="T159" t="s">
        <v>139</v>
      </c>
      <c r="U159">
        <v>18.042257929514541</v>
      </c>
      <c r="V159" t="s">
        <v>90</v>
      </c>
      <c r="W159">
        <v>0</v>
      </c>
      <c r="X159" t="s">
        <v>90</v>
      </c>
      <c r="Y159">
        <v>0</v>
      </c>
      <c r="Z159">
        <v>177.41553630689302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N159" t="s">
        <v>213</v>
      </c>
      <c r="AO159" t="s">
        <v>92</v>
      </c>
      <c r="AP159">
        <v>200000</v>
      </c>
      <c r="AQ159" t="s">
        <v>76</v>
      </c>
      <c r="AS159">
        <v>10000</v>
      </c>
      <c r="AT159" t="s">
        <v>1609</v>
      </c>
      <c r="AU159" t="s">
        <v>78</v>
      </c>
      <c r="AV159" t="s">
        <v>79</v>
      </c>
      <c r="AY159">
        <v>0</v>
      </c>
    </row>
    <row r="160" spans="1:52" ht="12.75">
      <c r="A160" s="2" t="str">
        <f>HYPERLINK("https://ibp.a2mac1.com/costing(costing:projects/details/8191/assembly/5381597)","Rear Gearbox &amp; Halfshafts")</f>
        <v>Rear Gearbox &amp; Halfshafts</v>
      </c>
      <c r="B160">
        <v>5381597</v>
      </c>
      <c r="D160">
        <v>5381564</v>
      </c>
      <c r="E160" t="s">
        <v>1614</v>
      </c>
      <c r="F160">
        <v>1</v>
      </c>
      <c r="G160">
        <v>0</v>
      </c>
      <c r="H160">
        <v>333.43553630689303</v>
      </c>
      <c r="I160">
        <v>0</v>
      </c>
      <c r="J160" t="s">
        <v>90</v>
      </c>
      <c r="K160">
        <v>0</v>
      </c>
      <c r="L160">
        <v>333.43553630689303</v>
      </c>
      <c r="M160">
        <v>0</v>
      </c>
      <c r="N160">
        <v>0</v>
      </c>
      <c r="O160">
        <v>333.43553630689303</v>
      </c>
      <c r="P160" t="s">
        <v>90</v>
      </c>
      <c r="Q160">
        <v>0</v>
      </c>
      <c r="R160" t="s">
        <v>90</v>
      </c>
      <c r="S160">
        <v>0</v>
      </c>
      <c r="T160" t="s">
        <v>90</v>
      </c>
      <c r="U160">
        <v>0</v>
      </c>
      <c r="V160" t="s">
        <v>90</v>
      </c>
      <c r="W160">
        <v>0</v>
      </c>
      <c r="X160" t="s">
        <v>90</v>
      </c>
      <c r="Y160">
        <v>0</v>
      </c>
      <c r="Z160">
        <v>333.43553630689303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N160" t="s">
        <v>91</v>
      </c>
      <c r="AO160" t="s">
        <v>92</v>
      </c>
      <c r="AP160">
        <v>200000</v>
      </c>
      <c r="AQ160" t="s">
        <v>92</v>
      </c>
      <c r="AS160">
        <v>10000</v>
      </c>
      <c r="AT160" t="s">
        <v>1615</v>
      </c>
      <c r="AU160" t="s">
        <v>78</v>
      </c>
      <c r="AV160" t="s">
        <v>79</v>
      </c>
      <c r="AY160">
        <v>0</v>
      </c>
    </row>
    <row r="161" spans="1:52" ht="12.75">
      <c r="A161" s="2" t="str">
        <f>HYPERLINK("https://ibp.a2mac1.com/costing(costing:projects/details/8191/assembly/5381564)","Transmission System")</f>
        <v>Transmission System</v>
      </c>
      <c r="B161">
        <v>5381564</v>
      </c>
      <c r="C161">
        <v>8191</v>
      </c>
      <c r="E161" t="s">
        <v>1497</v>
      </c>
      <c r="F161">
        <v>1</v>
      </c>
      <c r="G161">
        <v>0</v>
      </c>
      <c r="H161">
        <v>602.73580847566586</v>
      </c>
      <c r="I161">
        <v>0</v>
      </c>
      <c r="J161" t="s">
        <v>90</v>
      </c>
      <c r="K161">
        <v>0</v>
      </c>
      <c r="L161">
        <v>602.73580847566586</v>
      </c>
      <c r="M161">
        <v>0</v>
      </c>
      <c r="N161">
        <v>0</v>
      </c>
      <c r="O161">
        <v>602.73580847566586</v>
      </c>
      <c r="P161" t="s">
        <v>90</v>
      </c>
      <c r="Q161">
        <v>0</v>
      </c>
      <c r="R161" t="s">
        <v>90</v>
      </c>
      <c r="S161">
        <v>0</v>
      </c>
      <c r="T161" t="s">
        <v>90</v>
      </c>
      <c r="U161">
        <v>0</v>
      </c>
      <c r="V161" t="s">
        <v>90</v>
      </c>
      <c r="W161">
        <v>0</v>
      </c>
      <c r="X161" t="s">
        <v>90</v>
      </c>
      <c r="Y161">
        <v>0</v>
      </c>
      <c r="Z161">
        <v>602.73580847566586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L161">
        <v>64.101699999999994</v>
      </c>
      <c r="AN161" t="s">
        <v>91</v>
      </c>
      <c r="AO161" t="s">
        <v>92</v>
      </c>
      <c r="AP161">
        <v>200000</v>
      </c>
      <c r="AQ161" t="s">
        <v>92</v>
      </c>
      <c r="AS161">
        <v>10000</v>
      </c>
      <c r="AT161" t="s">
        <v>1616</v>
      </c>
      <c r="AU161" t="s">
        <v>78</v>
      </c>
      <c r="AV161" t="s">
        <v>79</v>
      </c>
      <c r="AY161">
        <v>0</v>
      </c>
    </row>
    <row r="162" spans="1:52" ht="12.75">
      <c r="A162" s="2" t="str">
        <f>HYPERLINK("https://ibp.a2mac1.com/costing(costing:projects/details/8191/assembly/5381769)","Power Distribution Module or Battery Fuse Box")</f>
        <v>Power Distribution Module or Battery Fuse Box</v>
      </c>
      <c r="B162">
        <v>5381769</v>
      </c>
      <c r="D162">
        <v>5381712</v>
      </c>
      <c r="F162">
        <v>1</v>
      </c>
      <c r="G162">
        <v>0</v>
      </c>
      <c r="H162">
        <v>5.3383907782549098</v>
      </c>
      <c r="I162">
        <v>0.026826084312838741</v>
      </c>
      <c r="J162" t="s">
        <v>137</v>
      </c>
      <c r="K162">
        <v>0.18684367723892184</v>
      </c>
      <c r="L162">
        <v>5.5520605398066696</v>
      </c>
      <c r="M162">
        <v>0</v>
      </c>
      <c r="N162">
        <v>0.50352514889819822</v>
      </c>
      <c r="O162">
        <v>6.055585688704868</v>
      </c>
      <c r="P162" t="s">
        <v>138</v>
      </c>
      <c r="Q162">
        <v>0.3331236323884002</v>
      </c>
      <c r="R162" t="s">
        <v>138</v>
      </c>
      <c r="S162">
        <v>0.030211508933891896</v>
      </c>
      <c r="T162" t="s">
        <v>139</v>
      </c>
      <c r="U162">
        <v>0.72667028264458422</v>
      </c>
      <c r="V162" t="s">
        <v>90</v>
      </c>
      <c r="W162">
        <v>0</v>
      </c>
      <c r="X162" t="s">
        <v>90</v>
      </c>
      <c r="Y162">
        <v>0</v>
      </c>
      <c r="Z162">
        <v>7.1455911126717444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29</v>
      </c>
      <c r="AI162">
        <v>146</v>
      </c>
      <c r="AJ162">
        <v>93</v>
      </c>
      <c r="AL162">
        <v>0.17599999999999999</v>
      </c>
      <c r="AM162" t="s">
        <v>1621</v>
      </c>
      <c r="AN162" t="s">
        <v>576</v>
      </c>
      <c r="AO162" t="s">
        <v>92</v>
      </c>
      <c r="AP162">
        <v>200000</v>
      </c>
      <c r="AQ162" t="s">
        <v>76</v>
      </c>
      <c r="AS162">
        <v>10000</v>
      </c>
      <c r="AT162" t="s">
        <v>1622</v>
      </c>
      <c r="AU162" t="s">
        <v>78</v>
      </c>
      <c r="AV162" t="s">
        <v>79</v>
      </c>
      <c r="AY162">
        <v>0</v>
      </c>
    </row>
    <row r="163" spans="1:52" ht="12.75">
      <c r="A163" s="2" t="str">
        <f>HYPERLINK("https://ibp.a2mac1.com/costing(costing:projects/details/8191/assembly/5381712)","Low Voltage Battery")</f>
        <v>Low Voltage Battery</v>
      </c>
      <c r="B163">
        <v>5381712</v>
      </c>
      <c r="D163">
        <v>5381711</v>
      </c>
      <c r="F163">
        <v>1</v>
      </c>
      <c r="G163">
        <v>0</v>
      </c>
      <c r="H163">
        <v>68.314021112671739</v>
      </c>
      <c r="I163">
        <v>0</v>
      </c>
      <c r="J163" t="s">
        <v>90</v>
      </c>
      <c r="K163">
        <v>0</v>
      </c>
      <c r="L163">
        <v>68.314021112671739</v>
      </c>
      <c r="M163">
        <v>0</v>
      </c>
      <c r="N163">
        <v>0</v>
      </c>
      <c r="O163">
        <v>68.314021112671739</v>
      </c>
      <c r="P163" t="s">
        <v>90</v>
      </c>
      <c r="Q163">
        <v>0</v>
      </c>
      <c r="R163" t="s">
        <v>90</v>
      </c>
      <c r="S163">
        <v>0</v>
      </c>
      <c r="T163" t="s">
        <v>90</v>
      </c>
      <c r="U163">
        <v>0</v>
      </c>
      <c r="V163" t="s">
        <v>90</v>
      </c>
      <c r="W163">
        <v>0</v>
      </c>
      <c r="X163" t="s">
        <v>90</v>
      </c>
      <c r="Y163">
        <v>0</v>
      </c>
      <c r="Z163">
        <v>68.314021112671739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L163">
        <v>16.537099999999999</v>
      </c>
      <c r="AN163" t="s">
        <v>223</v>
      </c>
      <c r="AO163" t="s">
        <v>92</v>
      </c>
      <c r="AP163">
        <v>200000</v>
      </c>
      <c r="AQ163" t="s">
        <v>92</v>
      </c>
      <c r="AS163">
        <v>10000</v>
      </c>
      <c r="AT163" t="s">
        <v>1637</v>
      </c>
      <c r="AU163" t="s">
        <v>78</v>
      </c>
      <c r="AV163" t="s">
        <v>79</v>
      </c>
      <c r="AY163">
        <v>0</v>
      </c>
    </row>
    <row r="164" spans="1:52" ht="12.75">
      <c r="A164" s="2" t="str">
        <f>HYPERLINK("https://ibp.a2mac1.com/costing(costing:projects/details/8191/assembly/5381772)","Body Wiring Harness")</f>
        <v>Body Wiring Harness</v>
      </c>
      <c r="B164">
        <v>5381772</v>
      </c>
      <c r="D164">
        <v>5381713</v>
      </c>
      <c r="F164">
        <v>1</v>
      </c>
      <c r="G164">
        <v>0</v>
      </c>
      <c r="H164">
        <v>140.29992216475085</v>
      </c>
      <c r="I164">
        <v>1.4171709309570792</v>
      </c>
      <c r="J164" t="s">
        <v>137</v>
      </c>
      <c r="K164">
        <v>4.9104972757662804</v>
      </c>
      <c r="L164">
        <v>146.62759037147421</v>
      </c>
      <c r="M164">
        <v>0</v>
      </c>
      <c r="N164">
        <v>29.301625514763739</v>
      </c>
      <c r="O164">
        <v>175.92921588623796</v>
      </c>
      <c r="P164" t="s">
        <v>138</v>
      </c>
      <c r="Q164">
        <v>8.7976554222884538</v>
      </c>
      <c r="R164" t="s">
        <v>138</v>
      </c>
      <c r="S164">
        <v>1.7580975308858244</v>
      </c>
      <c r="T164" t="s">
        <v>1643</v>
      </c>
      <c r="U164">
        <v>17.592921588623796</v>
      </c>
      <c r="V164" t="s">
        <v>90</v>
      </c>
      <c r="W164">
        <v>0</v>
      </c>
      <c r="X164" t="s">
        <v>90</v>
      </c>
      <c r="Y164">
        <v>0</v>
      </c>
      <c r="Z164">
        <v>204.07789042803603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L164">
        <v>12.073</v>
      </c>
      <c r="AM164" t="s">
        <v>1644</v>
      </c>
      <c r="AN164" t="s">
        <v>1645</v>
      </c>
      <c r="AO164" t="s">
        <v>92</v>
      </c>
      <c r="AP164">
        <v>200000</v>
      </c>
      <c r="AQ164" t="s">
        <v>76</v>
      </c>
      <c r="AS164">
        <v>10000</v>
      </c>
      <c r="AT164" t="s">
        <v>1646</v>
      </c>
      <c r="AU164" t="s">
        <v>78</v>
      </c>
      <c r="AV164" t="s">
        <v>79</v>
      </c>
      <c r="AY164">
        <v>0</v>
      </c>
    </row>
    <row r="165" spans="1:52" ht="12.75">
      <c r="A165" s="2" t="str">
        <f>HYPERLINK("https://ibp.a2mac1.com/costing(costing:projects/details/8191/assembly/5381773)","2nd Body Wiring Harness / Front e-Machine Harness")</f>
        <v>2nd Body Wiring Harness / Front e-Machine Harness</v>
      </c>
      <c r="B165">
        <v>5381773</v>
      </c>
      <c r="D165">
        <v>5381713</v>
      </c>
      <c r="F165">
        <v>1</v>
      </c>
      <c r="G165">
        <v>0</v>
      </c>
      <c r="H165">
        <v>35.783852569637013</v>
      </c>
      <c r="I165">
        <v>0.36145305625895968</v>
      </c>
      <c r="J165" t="s">
        <v>137</v>
      </c>
      <c r="K165">
        <v>1.2524348399372953</v>
      </c>
      <c r="L165">
        <v>37.397740465833266</v>
      </c>
      <c r="M165">
        <v>0</v>
      </c>
      <c r="N165">
        <v>5.3283898274661574</v>
      </c>
      <c r="O165">
        <v>42.72613029329942</v>
      </c>
      <c r="P165" t="s">
        <v>138</v>
      </c>
      <c r="Q165">
        <v>2.2438644279499957</v>
      </c>
      <c r="R165" t="s">
        <v>138</v>
      </c>
      <c r="S165">
        <v>0.31970338964796946</v>
      </c>
      <c r="T165" t="s">
        <v>1643</v>
      </c>
      <c r="U165">
        <v>4.2726130293299427</v>
      </c>
      <c r="V165" t="s">
        <v>90</v>
      </c>
      <c r="W165">
        <v>0</v>
      </c>
      <c r="X165" t="s">
        <v>90</v>
      </c>
      <c r="Y165">
        <v>0</v>
      </c>
      <c r="Z165">
        <v>49.56231114022733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L165">
        <v>5.8410000000000002</v>
      </c>
      <c r="AM165" t="s">
        <v>1644</v>
      </c>
      <c r="AN165" t="s">
        <v>1645</v>
      </c>
      <c r="AO165" t="s">
        <v>92</v>
      </c>
      <c r="AP165">
        <v>200000</v>
      </c>
      <c r="AQ165" t="s">
        <v>76</v>
      </c>
      <c r="AS165">
        <v>10000</v>
      </c>
      <c r="AT165" t="s">
        <v>1649</v>
      </c>
      <c r="AU165" t="s">
        <v>78</v>
      </c>
      <c r="AV165" t="s">
        <v>79</v>
      </c>
      <c r="AY165">
        <v>0</v>
      </c>
    </row>
    <row r="166" spans="1:52" ht="12.75">
      <c r="A166" s="2" t="str">
        <f>HYPERLINK("https://ibp.a2mac1.com/costing(costing:projects/details/8191/assembly/5381774)","Front compartment wiring")</f>
        <v>Front compartment wiring</v>
      </c>
      <c r="B166">
        <v>5381774</v>
      </c>
      <c r="D166">
        <v>5381713</v>
      </c>
      <c r="F166">
        <v>1</v>
      </c>
      <c r="G166">
        <v>0</v>
      </c>
      <c r="H166">
        <v>50.95161367291643</v>
      </c>
      <c r="I166">
        <v>0.51466276437289316</v>
      </c>
      <c r="J166" t="s">
        <v>137</v>
      </c>
      <c r="K166">
        <v>1.7833064785520749</v>
      </c>
      <c r="L166">
        <v>53.249582915841394</v>
      </c>
      <c r="M166">
        <v>0</v>
      </c>
      <c r="N166">
        <v>8.9072000866828578</v>
      </c>
      <c r="O166">
        <v>62.15678300252425</v>
      </c>
      <c r="P166" t="s">
        <v>138</v>
      </c>
      <c r="Q166">
        <v>3.1949749749504837</v>
      </c>
      <c r="R166" t="s">
        <v>138</v>
      </c>
      <c r="S166">
        <v>0.53443200520097145</v>
      </c>
      <c r="T166" t="s">
        <v>1643</v>
      </c>
      <c r="U166">
        <v>6.2156783002524252</v>
      </c>
      <c r="V166" t="s">
        <v>90</v>
      </c>
      <c r="W166">
        <v>0</v>
      </c>
      <c r="X166" t="s">
        <v>90</v>
      </c>
      <c r="Y166">
        <v>0</v>
      </c>
      <c r="Z166">
        <v>72.101868282928137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L166">
        <v>5.1680000000000001</v>
      </c>
      <c r="AN166" t="s">
        <v>1645</v>
      </c>
      <c r="AO166" t="s">
        <v>92</v>
      </c>
      <c r="AP166">
        <v>200000</v>
      </c>
      <c r="AQ166" t="s">
        <v>76</v>
      </c>
      <c r="AS166">
        <v>10000</v>
      </c>
      <c r="AT166" t="s">
        <v>1652</v>
      </c>
      <c r="AU166" t="s">
        <v>78</v>
      </c>
      <c r="AV166" t="s">
        <v>79</v>
      </c>
      <c r="AY166">
        <v>0</v>
      </c>
    </row>
    <row r="167" spans="1:52" ht="12.75">
      <c r="A167" s="2" t="str">
        <f>HYPERLINK("https://ibp.a2mac1.com/costing(costing:projects/details/8191/assembly/5381775)","Steering Harness")</f>
        <v>Steering Harness</v>
      </c>
      <c r="B167">
        <v>5381775</v>
      </c>
      <c r="D167">
        <v>5381713</v>
      </c>
      <c r="F167">
        <v>1</v>
      </c>
      <c r="G167">
        <v>0</v>
      </c>
      <c r="H167">
        <v>7.8894299999999999</v>
      </c>
      <c r="I167">
        <v>0</v>
      </c>
      <c r="J167" t="s">
        <v>74</v>
      </c>
      <c r="K167">
        <v>0</v>
      </c>
      <c r="L167">
        <v>7.8894299999999999</v>
      </c>
      <c r="M167">
        <v>0</v>
      </c>
      <c r="N167">
        <v>0</v>
      </c>
      <c r="O167">
        <v>7.8894299999999999</v>
      </c>
      <c r="P167" t="s">
        <v>74</v>
      </c>
      <c r="Q167">
        <v>0</v>
      </c>
      <c r="R167" t="s">
        <v>74</v>
      </c>
      <c r="S167">
        <v>0</v>
      </c>
      <c r="T167" t="s">
        <v>74</v>
      </c>
      <c r="U167">
        <v>0</v>
      </c>
      <c r="V167" t="s">
        <v>74</v>
      </c>
      <c r="W167">
        <v>0</v>
      </c>
      <c r="X167" t="s">
        <v>74</v>
      </c>
      <c r="Y167">
        <v>0</v>
      </c>
      <c r="Z167">
        <v>7.8894299999999999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L167">
        <v>0.308</v>
      </c>
      <c r="AM167" t="s">
        <v>685</v>
      </c>
      <c r="AN167" t="s">
        <v>1645</v>
      </c>
      <c r="AO167" t="s">
        <v>92</v>
      </c>
      <c r="AP167">
        <v>200000</v>
      </c>
      <c r="AQ167" t="s">
        <v>76</v>
      </c>
      <c r="AS167">
        <v>10000</v>
      </c>
      <c r="AT167" t="s">
        <v>1653</v>
      </c>
      <c r="AU167" t="s">
        <v>78</v>
      </c>
      <c r="AV167" t="s">
        <v>79</v>
      </c>
      <c r="AX167">
        <v>7.8894299999999999</v>
      </c>
      <c r="AY167">
        <v>0</v>
      </c>
    </row>
    <row r="168" spans="1:52" ht="12.75">
      <c r="A168" s="2" t="str">
        <f>HYPERLINK("https://ibp.a2mac1.com/costing(costing:projects/details/8191/assembly/5381776)","Headliner Harness")</f>
        <v>Headliner Harness</v>
      </c>
      <c r="B168">
        <v>5381776</v>
      </c>
      <c r="D168">
        <v>5381713</v>
      </c>
      <c r="F168">
        <v>1</v>
      </c>
      <c r="G168">
        <v>0</v>
      </c>
      <c r="H168">
        <v>5.6010299999999997</v>
      </c>
      <c r="I168">
        <v>0</v>
      </c>
      <c r="J168" t="s">
        <v>74</v>
      </c>
      <c r="K168">
        <v>0</v>
      </c>
      <c r="L168">
        <v>5.6010299999999997</v>
      </c>
      <c r="M168">
        <v>0</v>
      </c>
      <c r="N168">
        <v>0</v>
      </c>
      <c r="O168">
        <v>5.6010299999999997</v>
      </c>
      <c r="P168" t="s">
        <v>74</v>
      </c>
      <c r="Q168">
        <v>0</v>
      </c>
      <c r="R168" t="s">
        <v>74</v>
      </c>
      <c r="S168">
        <v>0</v>
      </c>
      <c r="T168" t="s">
        <v>74</v>
      </c>
      <c r="U168">
        <v>0</v>
      </c>
      <c r="V168" t="s">
        <v>74</v>
      </c>
      <c r="W168">
        <v>0</v>
      </c>
      <c r="X168" t="s">
        <v>74</v>
      </c>
      <c r="Y168">
        <v>0</v>
      </c>
      <c r="Z168">
        <v>5.6010299999999997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L168">
        <v>0.13900000000000001</v>
      </c>
      <c r="AM168" t="s">
        <v>1644</v>
      </c>
      <c r="AN168" t="s">
        <v>1645</v>
      </c>
      <c r="AO168" t="s">
        <v>92</v>
      </c>
      <c r="AP168">
        <v>200000</v>
      </c>
      <c r="AQ168" t="s">
        <v>76</v>
      </c>
      <c r="AS168">
        <v>10000</v>
      </c>
      <c r="AT168" t="s">
        <v>1654</v>
      </c>
      <c r="AU168" t="s">
        <v>78</v>
      </c>
      <c r="AV168" t="s">
        <v>79</v>
      </c>
      <c r="AX168">
        <v>5.6010299999999997</v>
      </c>
      <c r="AY168">
        <v>0</v>
      </c>
    </row>
    <row r="169" spans="1:52" ht="12.75">
      <c r="A169" s="2" t="str">
        <f>HYPERLINK("https://ibp.a2mac1.com/costing(costing:projects/details/8191/assembly/5381777)","Steering Wheel Harness")</f>
        <v>Steering Wheel Harness</v>
      </c>
      <c r="B169">
        <v>5381777</v>
      </c>
      <c r="D169">
        <v>5381713</v>
      </c>
      <c r="F169">
        <v>1</v>
      </c>
      <c r="G169">
        <v>0</v>
      </c>
      <c r="H169">
        <v>4.96434</v>
      </c>
      <c r="I169">
        <v>0</v>
      </c>
      <c r="J169" t="s">
        <v>74</v>
      </c>
      <c r="K169">
        <v>0</v>
      </c>
      <c r="L169">
        <v>4.96434</v>
      </c>
      <c r="M169">
        <v>0</v>
      </c>
      <c r="N169">
        <v>0</v>
      </c>
      <c r="O169">
        <v>4.96434</v>
      </c>
      <c r="P169" t="s">
        <v>74</v>
      </c>
      <c r="Q169">
        <v>0</v>
      </c>
      <c r="R169" t="s">
        <v>74</v>
      </c>
      <c r="S169">
        <v>0</v>
      </c>
      <c r="T169" t="s">
        <v>74</v>
      </c>
      <c r="U169">
        <v>0</v>
      </c>
      <c r="V169" t="s">
        <v>74</v>
      </c>
      <c r="W169">
        <v>0</v>
      </c>
      <c r="X169" t="s">
        <v>74</v>
      </c>
      <c r="Y169">
        <v>0</v>
      </c>
      <c r="Z169">
        <v>4.96434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L169">
        <v>0.0030000000000000001</v>
      </c>
      <c r="AN169" t="s">
        <v>1645</v>
      </c>
      <c r="AO169" t="s">
        <v>92</v>
      </c>
      <c r="AP169">
        <v>200000</v>
      </c>
      <c r="AQ169" t="s">
        <v>76</v>
      </c>
      <c r="AS169">
        <v>10000</v>
      </c>
      <c r="AT169" t="s">
        <v>1655</v>
      </c>
      <c r="AU169" t="s">
        <v>78</v>
      </c>
      <c r="AV169" t="s">
        <v>79</v>
      </c>
      <c r="AX169">
        <v>4.96434</v>
      </c>
      <c r="AY169">
        <v>0</v>
      </c>
    </row>
    <row r="170" spans="1:52" ht="12.75">
      <c r="A170" s="2" t="str">
        <f>HYPERLINK("https://ibp.a2mac1.com/costing(costing:projects/details/8191/assembly/5381778)","2nd Steering Wheel Harness")</f>
        <v>2nd Steering Wheel Harness</v>
      </c>
      <c r="B170">
        <v>5381778</v>
      </c>
      <c r="D170">
        <v>5381713</v>
      </c>
      <c r="F170">
        <v>1</v>
      </c>
      <c r="G170">
        <v>0</v>
      </c>
      <c r="H170">
        <v>1.95621</v>
      </c>
      <c r="I170">
        <v>0</v>
      </c>
      <c r="J170" t="s">
        <v>74</v>
      </c>
      <c r="K170">
        <v>0</v>
      </c>
      <c r="L170">
        <v>1.95621</v>
      </c>
      <c r="M170">
        <v>0</v>
      </c>
      <c r="N170">
        <v>0</v>
      </c>
      <c r="O170">
        <v>1.95621</v>
      </c>
      <c r="P170" t="s">
        <v>74</v>
      </c>
      <c r="Q170">
        <v>0</v>
      </c>
      <c r="R170" t="s">
        <v>74</v>
      </c>
      <c r="S170">
        <v>0</v>
      </c>
      <c r="T170" t="s">
        <v>74</v>
      </c>
      <c r="U170">
        <v>0</v>
      </c>
      <c r="V170" t="s">
        <v>74</v>
      </c>
      <c r="W170">
        <v>0</v>
      </c>
      <c r="X170" t="s">
        <v>74</v>
      </c>
      <c r="Y170">
        <v>0</v>
      </c>
      <c r="Z170">
        <v>1.95621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L170">
        <v>0.0040000000000000001</v>
      </c>
      <c r="AM170" t="s">
        <v>696</v>
      </c>
      <c r="AN170" t="s">
        <v>1645</v>
      </c>
      <c r="AO170" t="s">
        <v>92</v>
      </c>
      <c r="AP170">
        <v>200000</v>
      </c>
      <c r="AQ170" t="s">
        <v>76</v>
      </c>
      <c r="AS170">
        <v>10000</v>
      </c>
      <c r="AT170" t="s">
        <v>1656</v>
      </c>
      <c r="AU170" t="s">
        <v>78</v>
      </c>
      <c r="AV170" t="s">
        <v>79</v>
      </c>
      <c r="AX170">
        <v>1.95621</v>
      </c>
      <c r="AY170">
        <v>0</v>
      </c>
    </row>
    <row r="171" spans="1:52" ht="12.75">
      <c r="A171" s="2" t="str">
        <f>HYPERLINK("https://ibp.a2mac1.com/costing(costing:projects/details/8191/assembly/5381713)","Wiring")</f>
        <v>Wiring</v>
      </c>
      <c r="B171">
        <v>5381713</v>
      </c>
      <c r="D171">
        <v>5381711</v>
      </c>
      <c r="F171">
        <v>1</v>
      </c>
      <c r="G171">
        <v>0</v>
      </c>
      <c r="H171">
        <v>367.64039985119149</v>
      </c>
      <c r="I171">
        <v>0</v>
      </c>
      <c r="J171" t="s">
        <v>90</v>
      </c>
      <c r="K171">
        <v>0</v>
      </c>
      <c r="L171">
        <v>367.64039985119149</v>
      </c>
      <c r="M171">
        <v>0</v>
      </c>
      <c r="N171">
        <v>0</v>
      </c>
      <c r="O171">
        <v>367.64039985119149</v>
      </c>
      <c r="P171" t="s">
        <v>90</v>
      </c>
      <c r="Q171">
        <v>0</v>
      </c>
      <c r="R171" t="s">
        <v>90</v>
      </c>
      <c r="S171">
        <v>0</v>
      </c>
      <c r="T171" t="s">
        <v>90</v>
      </c>
      <c r="U171">
        <v>0</v>
      </c>
      <c r="V171" t="s">
        <v>90</v>
      </c>
      <c r="W171">
        <v>0</v>
      </c>
      <c r="X171" t="s">
        <v>90</v>
      </c>
      <c r="Y171">
        <v>0</v>
      </c>
      <c r="Z171">
        <v>367.64039985119149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L171">
        <v>24.096</v>
      </c>
      <c r="AN171" t="s">
        <v>223</v>
      </c>
      <c r="AO171" t="s">
        <v>92</v>
      </c>
      <c r="AP171">
        <v>200000</v>
      </c>
      <c r="AQ171" t="s">
        <v>92</v>
      </c>
      <c r="AS171">
        <v>10000</v>
      </c>
      <c r="AT171" t="s">
        <v>1665</v>
      </c>
      <c r="AU171" t="s">
        <v>78</v>
      </c>
      <c r="AV171" t="s">
        <v>79</v>
      </c>
      <c r="AY171">
        <v>0</v>
      </c>
    </row>
    <row r="172" spans="1:52" ht="12.75">
      <c r="A172" s="2" t="str">
        <f>HYPERLINK("https://ibp.a2mac1.com/costing(costing:projects/details/8191/assembly/5381786)","Network ECU BCM")</f>
        <v>Network ECU BCM</v>
      </c>
      <c r="B172">
        <v>5381786</v>
      </c>
      <c r="D172">
        <v>5381714</v>
      </c>
      <c r="F172">
        <v>1</v>
      </c>
      <c r="G172">
        <v>0</v>
      </c>
      <c r="H172">
        <v>55.852162256850164</v>
      </c>
      <c r="I172">
        <v>0</v>
      </c>
      <c r="J172" t="s">
        <v>90</v>
      </c>
      <c r="K172">
        <v>0</v>
      </c>
      <c r="L172">
        <v>55.852162256850164</v>
      </c>
      <c r="M172">
        <v>0</v>
      </c>
      <c r="N172">
        <v>0</v>
      </c>
      <c r="O172">
        <v>55.852162256850164</v>
      </c>
      <c r="P172" t="s">
        <v>90</v>
      </c>
      <c r="Q172">
        <v>0</v>
      </c>
      <c r="R172" t="s">
        <v>90</v>
      </c>
      <c r="S172">
        <v>0</v>
      </c>
      <c r="T172" t="s">
        <v>90</v>
      </c>
      <c r="U172">
        <v>0</v>
      </c>
      <c r="V172" t="s">
        <v>90</v>
      </c>
      <c r="W172">
        <v>0</v>
      </c>
      <c r="X172" t="s">
        <v>90</v>
      </c>
      <c r="Y172">
        <v>0</v>
      </c>
      <c r="Z172">
        <v>55.852162256850164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L172">
        <v>0.55900000000000005</v>
      </c>
      <c r="AN172" t="s">
        <v>223</v>
      </c>
      <c r="AO172" t="s">
        <v>92</v>
      </c>
      <c r="AP172">
        <v>200000</v>
      </c>
      <c r="AQ172" t="s">
        <v>92</v>
      </c>
      <c r="AS172">
        <v>10000</v>
      </c>
      <c r="AT172" t="s">
        <v>1672</v>
      </c>
      <c r="AU172" t="s">
        <v>78</v>
      </c>
      <c r="AV172" t="s">
        <v>79</v>
      </c>
      <c r="AY172">
        <v>0</v>
      </c>
    </row>
    <row r="173" spans="1:52" ht="12.75">
      <c r="A173" s="2" t="str">
        <f>HYPERLINK("https://ibp.a2mac1.com/costing(costing:projects/details/8191/assembly/5381787)","Trailer Hitch ECU")</f>
        <v>Trailer Hitch ECU</v>
      </c>
      <c r="B173">
        <v>5381787</v>
      </c>
      <c r="D173">
        <v>5381714</v>
      </c>
      <c r="F173">
        <v>1</v>
      </c>
      <c r="G173">
        <v>0</v>
      </c>
      <c r="H173">
        <v>8.9093014734573881</v>
      </c>
      <c r="I173">
        <v>0</v>
      </c>
      <c r="J173" t="s">
        <v>90</v>
      </c>
      <c r="K173">
        <v>0</v>
      </c>
      <c r="L173">
        <v>8.9093014734573881</v>
      </c>
      <c r="M173">
        <v>0</v>
      </c>
      <c r="N173">
        <v>0</v>
      </c>
      <c r="O173">
        <v>8.9093014734573881</v>
      </c>
      <c r="P173" t="s">
        <v>90</v>
      </c>
      <c r="Q173">
        <v>0</v>
      </c>
      <c r="R173" t="s">
        <v>90</v>
      </c>
      <c r="S173">
        <v>0</v>
      </c>
      <c r="T173" t="s">
        <v>90</v>
      </c>
      <c r="U173">
        <v>0</v>
      </c>
      <c r="V173" t="s">
        <v>90</v>
      </c>
      <c r="W173">
        <v>0</v>
      </c>
      <c r="X173" t="s">
        <v>90</v>
      </c>
      <c r="Y173">
        <v>0</v>
      </c>
      <c r="Z173">
        <v>8.9093014734573881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L173">
        <v>0.189</v>
      </c>
      <c r="AN173" t="s">
        <v>223</v>
      </c>
      <c r="AO173" t="s">
        <v>92</v>
      </c>
      <c r="AP173">
        <v>200000</v>
      </c>
      <c r="AQ173" t="s">
        <v>92</v>
      </c>
      <c r="AS173">
        <v>10000</v>
      </c>
      <c r="AT173" t="s">
        <v>1678</v>
      </c>
      <c r="AU173" t="s">
        <v>78</v>
      </c>
      <c r="AV173" t="s">
        <v>79</v>
      </c>
      <c r="AY173">
        <v>0</v>
      </c>
    </row>
    <row r="174" spans="1:52" ht="12.75">
      <c r="A174" s="2" t="str">
        <f>HYPERLINK("https://ibp.a2mac1.com/costing(costing:projects/details/8191/assembly/5381788)","Gateway ECU")</f>
        <v>Gateway ECU</v>
      </c>
      <c r="B174">
        <v>5381788</v>
      </c>
      <c r="D174">
        <v>5381714</v>
      </c>
      <c r="F174">
        <v>1</v>
      </c>
      <c r="G174">
        <v>0</v>
      </c>
      <c r="H174">
        <v>140.40866029835129</v>
      </c>
      <c r="I174">
        <v>0</v>
      </c>
      <c r="J174" t="s">
        <v>90</v>
      </c>
      <c r="K174">
        <v>0</v>
      </c>
      <c r="L174">
        <v>140.40866029835129</v>
      </c>
      <c r="M174">
        <v>0</v>
      </c>
      <c r="N174">
        <v>0</v>
      </c>
      <c r="O174">
        <v>140.40866029835129</v>
      </c>
      <c r="P174" t="s">
        <v>90</v>
      </c>
      <c r="Q174">
        <v>0</v>
      </c>
      <c r="R174" t="s">
        <v>90</v>
      </c>
      <c r="S174">
        <v>0</v>
      </c>
      <c r="T174" t="s">
        <v>90</v>
      </c>
      <c r="U174">
        <v>0</v>
      </c>
      <c r="V174" t="s">
        <v>90</v>
      </c>
      <c r="W174">
        <v>0</v>
      </c>
      <c r="X174" t="s">
        <v>90</v>
      </c>
      <c r="Y174">
        <v>0</v>
      </c>
      <c r="Z174">
        <v>140.40866029835129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L174">
        <v>0.77200000000000002</v>
      </c>
      <c r="AN174" t="s">
        <v>223</v>
      </c>
      <c r="AO174" t="s">
        <v>92</v>
      </c>
      <c r="AP174">
        <v>200000</v>
      </c>
      <c r="AQ174" t="s">
        <v>92</v>
      </c>
      <c r="AS174">
        <v>10000</v>
      </c>
      <c r="AT174" t="s">
        <v>1685</v>
      </c>
      <c r="AU174" t="s">
        <v>78</v>
      </c>
      <c r="AV174" t="s">
        <v>79</v>
      </c>
      <c r="AY174">
        <v>0</v>
      </c>
    </row>
    <row r="175" spans="1:52" ht="12.75">
      <c r="A175" s="2" t="str">
        <f>HYPERLINK("https://ibp.a2mac1.com/costing(costing:projects/details/8191/assembly/5381789)","Climate Control ECU")</f>
        <v>Climate Control ECU</v>
      </c>
      <c r="B175">
        <v>5381789</v>
      </c>
      <c r="D175">
        <v>5381714</v>
      </c>
      <c r="F175">
        <v>1</v>
      </c>
      <c r="G175">
        <v>0</v>
      </c>
      <c r="H175">
        <v>13.874954217281759</v>
      </c>
      <c r="I175">
        <v>0</v>
      </c>
      <c r="J175" t="s">
        <v>90</v>
      </c>
      <c r="K175">
        <v>0</v>
      </c>
      <c r="L175">
        <v>13.874954217281759</v>
      </c>
      <c r="M175">
        <v>0</v>
      </c>
      <c r="N175">
        <v>0</v>
      </c>
      <c r="O175">
        <v>13.874954217281759</v>
      </c>
      <c r="P175" t="s">
        <v>90</v>
      </c>
      <c r="Q175">
        <v>0</v>
      </c>
      <c r="R175" t="s">
        <v>90</v>
      </c>
      <c r="S175">
        <v>0</v>
      </c>
      <c r="T175" t="s">
        <v>90</v>
      </c>
      <c r="U175">
        <v>0</v>
      </c>
      <c r="V175" t="s">
        <v>90</v>
      </c>
      <c r="W175">
        <v>0</v>
      </c>
      <c r="X175" t="s">
        <v>90</v>
      </c>
      <c r="Y175">
        <v>0</v>
      </c>
      <c r="Z175">
        <v>13.874954217281759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L175">
        <v>0.18099999999999999</v>
      </c>
      <c r="AN175" t="s">
        <v>223</v>
      </c>
      <c r="AO175" t="s">
        <v>92</v>
      </c>
      <c r="AP175">
        <v>200000</v>
      </c>
      <c r="AQ175" t="s">
        <v>92</v>
      </c>
      <c r="AS175">
        <v>10000</v>
      </c>
      <c r="AT175" t="s">
        <v>1692</v>
      </c>
      <c r="AU175" t="s">
        <v>78</v>
      </c>
      <c r="AV175" t="s">
        <v>79</v>
      </c>
      <c r="AY175">
        <v>0</v>
      </c>
    </row>
    <row r="176" spans="1:52" ht="12.75">
      <c r="A176" s="2" t="str">
        <f>HYPERLINK("https://ibp.a2mac1.com/costing(costing:projects/details/8191/assembly/5381790)","Trunk Lid   Tailgate Lifting ECU")</f>
        <v>Trunk Lid   Tailgate Lifting ECU</v>
      </c>
      <c r="B176">
        <v>5381790</v>
      </c>
      <c r="D176">
        <v>5381714</v>
      </c>
      <c r="F176">
        <v>1</v>
      </c>
      <c r="G176">
        <v>0</v>
      </c>
      <c r="H176">
        <v>19.010416920048495</v>
      </c>
      <c r="I176">
        <v>0</v>
      </c>
      <c r="J176" t="s">
        <v>90</v>
      </c>
      <c r="K176">
        <v>0</v>
      </c>
      <c r="L176">
        <v>19.010416920048495</v>
      </c>
      <c r="M176">
        <v>0</v>
      </c>
      <c r="N176">
        <v>0</v>
      </c>
      <c r="O176">
        <v>19.010416920048495</v>
      </c>
      <c r="P176" t="s">
        <v>90</v>
      </c>
      <c r="Q176">
        <v>0</v>
      </c>
      <c r="R176" t="s">
        <v>90</v>
      </c>
      <c r="S176">
        <v>0</v>
      </c>
      <c r="T176" t="s">
        <v>90</v>
      </c>
      <c r="U176">
        <v>0</v>
      </c>
      <c r="V176" t="s">
        <v>90</v>
      </c>
      <c r="W176">
        <v>0</v>
      </c>
      <c r="X176" t="s">
        <v>90</v>
      </c>
      <c r="Y176">
        <v>0</v>
      </c>
      <c r="Z176">
        <v>19.010416920048495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L176">
        <v>0.135</v>
      </c>
      <c r="AN176" t="s">
        <v>223</v>
      </c>
      <c r="AO176" t="s">
        <v>92</v>
      </c>
      <c r="AP176">
        <v>200000</v>
      </c>
      <c r="AQ176" t="s">
        <v>92</v>
      </c>
      <c r="AS176">
        <v>10000</v>
      </c>
      <c r="AT176" t="s">
        <v>1698</v>
      </c>
      <c r="AU176" t="s">
        <v>78</v>
      </c>
      <c r="AV176" t="s">
        <v>79</v>
      </c>
      <c r="AY176">
        <v>0</v>
      </c>
    </row>
    <row r="177" spans="1:52" ht="12.75">
      <c r="A177" s="2" t="str">
        <f>HYPERLINK("https://ibp.a2mac1.com/costing(costing:projects/details/8191/assembly/5381714)","ECU Electronic Control Unit")</f>
        <v>ECU Electronic Control Unit</v>
      </c>
      <c r="B177">
        <v>5381714</v>
      </c>
      <c r="D177">
        <v>5381711</v>
      </c>
      <c r="F177">
        <v>1</v>
      </c>
      <c r="G177">
        <v>0</v>
      </c>
      <c r="H177">
        <v>241.74645516598912</v>
      </c>
      <c r="I177">
        <v>0</v>
      </c>
      <c r="J177" t="s">
        <v>90</v>
      </c>
      <c r="K177">
        <v>0</v>
      </c>
      <c r="L177">
        <v>241.74645516598912</v>
      </c>
      <c r="M177">
        <v>0</v>
      </c>
      <c r="N177">
        <v>0</v>
      </c>
      <c r="O177">
        <v>241.74645516598912</v>
      </c>
      <c r="P177" t="s">
        <v>90</v>
      </c>
      <c r="Q177">
        <v>0</v>
      </c>
      <c r="R177" t="s">
        <v>90</v>
      </c>
      <c r="S177">
        <v>0</v>
      </c>
      <c r="T177" t="s">
        <v>90</v>
      </c>
      <c r="U177">
        <v>0</v>
      </c>
      <c r="V177" t="s">
        <v>90</v>
      </c>
      <c r="W177">
        <v>0</v>
      </c>
      <c r="X177" t="s">
        <v>90</v>
      </c>
      <c r="Y177">
        <v>0</v>
      </c>
      <c r="Z177">
        <v>241.74645516598912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L177">
        <v>1.855</v>
      </c>
      <c r="AN177" t="s">
        <v>223</v>
      </c>
      <c r="AO177" t="s">
        <v>92</v>
      </c>
      <c r="AP177">
        <v>200000</v>
      </c>
      <c r="AQ177" t="s">
        <v>92</v>
      </c>
      <c r="AS177">
        <v>10000</v>
      </c>
      <c r="AT177" t="s">
        <v>1702</v>
      </c>
      <c r="AU177" t="s">
        <v>78</v>
      </c>
      <c r="AV177" t="s">
        <v>79</v>
      </c>
      <c r="AY177">
        <v>0</v>
      </c>
    </row>
    <row r="178" spans="1:52" ht="12.75">
      <c r="A178" s="2" t="str">
        <f>HYPERLINK("https://ibp.a2mac1.com/costing(costing:projects/details/8191/assembly/5381715)","Ground cable")</f>
        <v>Ground cable</v>
      </c>
      <c r="B178">
        <v>5381715</v>
      </c>
      <c r="D178">
        <v>5381711</v>
      </c>
      <c r="F178">
        <v>1</v>
      </c>
      <c r="G178">
        <v>0</v>
      </c>
      <c r="H178">
        <v>9.6887699999999999</v>
      </c>
      <c r="I178">
        <v>0</v>
      </c>
      <c r="J178" t="s">
        <v>90</v>
      </c>
      <c r="K178">
        <v>0</v>
      </c>
      <c r="L178">
        <v>9.6887699999999999</v>
      </c>
      <c r="M178">
        <v>0</v>
      </c>
      <c r="N178">
        <v>0</v>
      </c>
      <c r="O178">
        <v>9.6887699999999999</v>
      </c>
      <c r="P178" t="s">
        <v>90</v>
      </c>
      <c r="Q178">
        <v>0</v>
      </c>
      <c r="R178" t="s">
        <v>90</v>
      </c>
      <c r="S178">
        <v>0</v>
      </c>
      <c r="T178" t="s">
        <v>90</v>
      </c>
      <c r="U178">
        <v>0</v>
      </c>
      <c r="V178" t="s">
        <v>90</v>
      </c>
      <c r="W178">
        <v>0</v>
      </c>
      <c r="X178" t="s">
        <v>90</v>
      </c>
      <c r="Y178">
        <v>0</v>
      </c>
      <c r="Z178">
        <v>9.6887699999999999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L178">
        <v>0.17699999999999999</v>
      </c>
      <c r="AN178" t="s">
        <v>223</v>
      </c>
      <c r="AO178" t="s">
        <v>92</v>
      </c>
      <c r="AP178">
        <v>200000</v>
      </c>
      <c r="AQ178" t="s">
        <v>92</v>
      </c>
      <c r="AS178">
        <v>10000</v>
      </c>
      <c r="AT178" t="s">
        <v>1706</v>
      </c>
      <c r="AU178" t="s">
        <v>78</v>
      </c>
      <c r="AV178" t="s">
        <v>79</v>
      </c>
      <c r="AY178">
        <v>0</v>
      </c>
    </row>
    <row r="179" spans="1:52" ht="12.75">
      <c r="A179" s="2" t="str">
        <f>HYPERLINK("https://ibp.a2mac1.com/costing(costing:projects/details/8191/assembly/5381792)","Engine compartment fuses relays box system")</f>
        <v>Engine compartment fuses relays box system</v>
      </c>
      <c r="B179">
        <v>5381792</v>
      </c>
      <c r="D179">
        <v>5381716</v>
      </c>
      <c r="F179">
        <v>1</v>
      </c>
      <c r="G179">
        <v>0</v>
      </c>
      <c r="H179">
        <v>8.9278436135020449</v>
      </c>
      <c r="I179">
        <v>0.044863535746241433</v>
      </c>
      <c r="J179" t="s">
        <v>137</v>
      </c>
      <c r="K179">
        <v>0.31247452647257157</v>
      </c>
      <c r="L179">
        <v>9.2851816757208585</v>
      </c>
      <c r="M179">
        <v>0</v>
      </c>
      <c r="N179">
        <v>0.67930023550708618</v>
      </c>
      <c r="O179">
        <v>9.9644819112279439</v>
      </c>
      <c r="P179" t="s">
        <v>138</v>
      </c>
      <c r="Q179">
        <v>0.55711090054325152</v>
      </c>
      <c r="R179" t="s">
        <v>138</v>
      </c>
      <c r="S179">
        <v>0.040758014130425173</v>
      </c>
      <c r="T179" t="s">
        <v>139</v>
      </c>
      <c r="U179">
        <v>1.1957378293473533</v>
      </c>
      <c r="V179" t="s">
        <v>90</v>
      </c>
      <c r="W179">
        <v>0</v>
      </c>
      <c r="X179" t="s">
        <v>90</v>
      </c>
      <c r="Y179">
        <v>0</v>
      </c>
      <c r="Z179">
        <v>11.758088655248974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L179">
        <v>0.335</v>
      </c>
      <c r="AN179" t="s">
        <v>576</v>
      </c>
      <c r="AO179" t="s">
        <v>92</v>
      </c>
      <c r="AP179">
        <v>200000</v>
      </c>
      <c r="AQ179" t="s">
        <v>76</v>
      </c>
      <c r="AS179">
        <v>10000</v>
      </c>
      <c r="AT179" t="s">
        <v>1713</v>
      </c>
      <c r="AU179" t="s">
        <v>78</v>
      </c>
      <c r="AV179" t="s">
        <v>79</v>
      </c>
      <c r="AY179">
        <v>0</v>
      </c>
    </row>
    <row r="180" spans="1:52" ht="12.75">
      <c r="A180" s="2" t="str">
        <f>HYPERLINK("https://ibp.a2mac1.com/costing(costing:projects/details/8191/assembly/5381793)","Fuses relays box passenger compartment left side")</f>
        <v>Fuses relays box passenger compartment left side</v>
      </c>
      <c r="B180">
        <v>5381793</v>
      </c>
      <c r="D180">
        <v>5381716</v>
      </c>
      <c r="F180">
        <v>1</v>
      </c>
      <c r="G180">
        <v>0</v>
      </c>
      <c r="H180">
        <v>5.8405349977611998</v>
      </c>
      <c r="I180">
        <v>0.029349422099302511</v>
      </c>
      <c r="J180" t="s">
        <v>137</v>
      </c>
      <c r="K180">
        <v>0.20441872492164198</v>
      </c>
      <c r="L180">
        <v>6.0743031447821441</v>
      </c>
      <c r="M180">
        <v>0</v>
      </c>
      <c r="N180">
        <v>1.1586868353495079</v>
      </c>
      <c r="O180">
        <v>7.2329899801316522</v>
      </c>
      <c r="P180" t="s">
        <v>138</v>
      </c>
      <c r="Q180">
        <v>0.36445818868692864</v>
      </c>
      <c r="R180" t="s">
        <v>138</v>
      </c>
      <c r="S180">
        <v>0.069521210120970484</v>
      </c>
      <c r="T180" t="s">
        <v>139</v>
      </c>
      <c r="U180">
        <v>0.86795879761579819</v>
      </c>
      <c r="V180" t="s">
        <v>90</v>
      </c>
      <c r="W180">
        <v>0</v>
      </c>
      <c r="X180" t="s">
        <v>90</v>
      </c>
      <c r="Y180">
        <v>0</v>
      </c>
      <c r="Z180">
        <v>8.5349281765553489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L180">
        <v>0.09</v>
      </c>
      <c r="AN180" t="s">
        <v>576</v>
      </c>
      <c r="AO180" t="s">
        <v>92</v>
      </c>
      <c r="AP180">
        <v>200000</v>
      </c>
      <c r="AQ180" t="s">
        <v>76</v>
      </c>
      <c r="AS180">
        <v>10000</v>
      </c>
      <c r="AT180" t="s">
        <v>1717</v>
      </c>
      <c r="AU180" t="s">
        <v>78</v>
      </c>
      <c r="AV180" t="s">
        <v>79</v>
      </c>
      <c r="AY180">
        <v>0</v>
      </c>
    </row>
    <row r="181" spans="1:52" ht="12.75">
      <c r="A181" s="2" t="str">
        <f>HYPERLINK("https://ibp.a2mac1.com/costing(costing:projects/details/8191/assembly/5381716)","Fuses Box Relay System")</f>
        <v>Fuses Box Relay System</v>
      </c>
      <c r="B181">
        <v>5381716</v>
      </c>
      <c r="D181">
        <v>5381711</v>
      </c>
      <c r="F181">
        <v>1</v>
      </c>
      <c r="G181">
        <v>0</v>
      </c>
      <c r="H181">
        <v>20.293016831804323</v>
      </c>
      <c r="I181">
        <v>0</v>
      </c>
      <c r="J181" t="s">
        <v>90</v>
      </c>
      <c r="K181">
        <v>0</v>
      </c>
      <c r="L181">
        <v>20.293016831804323</v>
      </c>
      <c r="M181">
        <v>0</v>
      </c>
      <c r="N181">
        <v>0</v>
      </c>
      <c r="O181">
        <v>20.293016831804323</v>
      </c>
      <c r="P181" t="s">
        <v>90</v>
      </c>
      <c r="Q181">
        <v>0</v>
      </c>
      <c r="R181" t="s">
        <v>90</v>
      </c>
      <c r="S181">
        <v>0</v>
      </c>
      <c r="T181" t="s">
        <v>90</v>
      </c>
      <c r="U181">
        <v>0</v>
      </c>
      <c r="V181" t="s">
        <v>90</v>
      </c>
      <c r="W181">
        <v>0</v>
      </c>
      <c r="X181" t="s">
        <v>90</v>
      </c>
      <c r="Y181">
        <v>0</v>
      </c>
      <c r="Z181">
        <v>20.293016831804323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L181">
        <v>0.425</v>
      </c>
      <c r="AN181" t="s">
        <v>223</v>
      </c>
      <c r="AO181" t="s">
        <v>92</v>
      </c>
      <c r="AP181">
        <v>200000</v>
      </c>
      <c r="AQ181" t="s">
        <v>92</v>
      </c>
      <c r="AS181">
        <v>10000</v>
      </c>
      <c r="AT181" t="s">
        <v>1718</v>
      </c>
      <c r="AU181" t="s">
        <v>78</v>
      </c>
      <c r="AV181" t="s">
        <v>79</v>
      </c>
      <c r="AY181">
        <v>0</v>
      </c>
    </row>
    <row r="182" spans="1:52" ht="12.75">
      <c r="A182" s="2" t="str">
        <f>HYPERLINK("https://ibp.a2mac1.com/costing(costing:projects/details/8191/assembly/5381797)","Engine compartment support")</f>
        <v>Engine compartment support</v>
      </c>
      <c r="B182">
        <v>5381797</v>
      </c>
      <c r="D182">
        <v>5381717</v>
      </c>
      <c r="F182">
        <v>1</v>
      </c>
      <c r="G182">
        <v>0</v>
      </c>
      <c r="H182">
        <v>0.22145999999999999</v>
      </c>
      <c r="I182">
        <v>0</v>
      </c>
      <c r="J182" t="s">
        <v>90</v>
      </c>
      <c r="K182">
        <v>0</v>
      </c>
      <c r="L182">
        <v>0.22145999999999999</v>
      </c>
      <c r="M182">
        <v>0</v>
      </c>
      <c r="N182">
        <v>0</v>
      </c>
      <c r="O182">
        <v>0.22145999999999999</v>
      </c>
      <c r="P182" t="s">
        <v>90</v>
      </c>
      <c r="Q182">
        <v>0</v>
      </c>
      <c r="R182" t="s">
        <v>90</v>
      </c>
      <c r="S182">
        <v>0</v>
      </c>
      <c r="T182" t="s">
        <v>90</v>
      </c>
      <c r="U182">
        <v>0</v>
      </c>
      <c r="V182" t="s">
        <v>90</v>
      </c>
      <c r="W182">
        <v>0</v>
      </c>
      <c r="X182" t="s">
        <v>90</v>
      </c>
      <c r="Y182">
        <v>0</v>
      </c>
      <c r="Z182">
        <v>0.22145999999999999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L182">
        <v>0.0080000000000000002</v>
      </c>
      <c r="AN182" t="s">
        <v>223</v>
      </c>
      <c r="AO182" t="s">
        <v>92</v>
      </c>
      <c r="AP182">
        <v>200000</v>
      </c>
      <c r="AQ182" t="s">
        <v>92</v>
      </c>
      <c r="AS182">
        <v>10000</v>
      </c>
      <c r="AT182" t="s">
        <v>1723</v>
      </c>
      <c r="AU182" t="s">
        <v>78</v>
      </c>
      <c r="AV182" t="s">
        <v>79</v>
      </c>
      <c r="AY182">
        <v>0</v>
      </c>
    </row>
    <row r="183" spans="1:52" ht="12.75">
      <c r="A183" s="2" t="str">
        <f>HYPERLINK("https://ibp.a2mac1.com/costing(costing:projects/details/8191/assembly/5381717)","Wiring support system")</f>
        <v>Wiring support system</v>
      </c>
      <c r="B183">
        <v>5381717</v>
      </c>
      <c r="D183">
        <v>5381711</v>
      </c>
      <c r="F183">
        <v>1</v>
      </c>
      <c r="G183">
        <v>0</v>
      </c>
      <c r="H183">
        <v>0.60902000000000001</v>
      </c>
      <c r="I183">
        <v>0</v>
      </c>
      <c r="J183" t="s">
        <v>90</v>
      </c>
      <c r="K183">
        <v>0</v>
      </c>
      <c r="L183">
        <v>0.60902000000000001</v>
      </c>
      <c r="M183">
        <v>0</v>
      </c>
      <c r="N183">
        <v>0</v>
      </c>
      <c r="O183">
        <v>0.60902000000000001</v>
      </c>
      <c r="P183" t="s">
        <v>90</v>
      </c>
      <c r="Q183">
        <v>0</v>
      </c>
      <c r="R183" t="s">
        <v>90</v>
      </c>
      <c r="S183">
        <v>0</v>
      </c>
      <c r="T183" t="s">
        <v>90</v>
      </c>
      <c r="U183">
        <v>0</v>
      </c>
      <c r="V183" t="s">
        <v>90</v>
      </c>
      <c r="W183">
        <v>0</v>
      </c>
      <c r="X183" t="s">
        <v>90</v>
      </c>
      <c r="Y183">
        <v>0</v>
      </c>
      <c r="Z183">
        <v>0.60902000000000001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L183">
        <v>0.073999999999999996</v>
      </c>
      <c r="AN183" t="s">
        <v>223</v>
      </c>
      <c r="AO183" t="s">
        <v>92</v>
      </c>
      <c r="AP183">
        <v>200000</v>
      </c>
      <c r="AQ183" t="s">
        <v>92</v>
      </c>
      <c r="AS183">
        <v>10000</v>
      </c>
      <c r="AT183" t="s">
        <v>1727</v>
      </c>
      <c r="AU183" t="s">
        <v>78</v>
      </c>
      <c r="AV183" t="s">
        <v>79</v>
      </c>
      <c r="AY183">
        <v>0</v>
      </c>
    </row>
    <row r="184" spans="1:52" ht="12.75">
      <c r="A184" s="2" t="str">
        <f>HYPERLINK("https://ibp.a2mac1.com/costing(costing:projects/details/8191/assembly/5381813)","Under Body")</f>
        <v>Under Body</v>
      </c>
      <c r="B184">
        <v>5381813</v>
      </c>
      <c r="D184">
        <v>5381718</v>
      </c>
      <c r="F184">
        <v>1</v>
      </c>
      <c r="G184">
        <v>0</v>
      </c>
      <c r="H184">
        <v>9.5503599999999995</v>
      </c>
      <c r="I184">
        <v>0.047991758793969851</v>
      </c>
      <c r="J184" t="s">
        <v>137</v>
      </c>
      <c r="K184">
        <v>0.33426260000000002</v>
      </c>
      <c r="L184">
        <v>9.9326143587939697</v>
      </c>
      <c r="M184">
        <v>0</v>
      </c>
      <c r="N184">
        <v>0</v>
      </c>
      <c r="O184">
        <v>9.9326143587939697</v>
      </c>
      <c r="P184" t="s">
        <v>138</v>
      </c>
      <c r="Q184">
        <v>0.59595686152763816</v>
      </c>
      <c r="R184" t="s">
        <v>138</v>
      </c>
      <c r="S184">
        <v>0</v>
      </c>
      <c r="T184" t="s">
        <v>139</v>
      </c>
      <c r="U184">
        <v>1.1919137230552763</v>
      </c>
      <c r="V184" t="s">
        <v>90</v>
      </c>
      <c r="W184">
        <v>0</v>
      </c>
      <c r="X184" t="s">
        <v>90</v>
      </c>
      <c r="Y184">
        <v>0</v>
      </c>
      <c r="Z184">
        <v>11.720484943376885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L184">
        <v>3.016</v>
      </c>
      <c r="AN184" t="s">
        <v>598</v>
      </c>
      <c r="AO184" t="s">
        <v>92</v>
      </c>
      <c r="AP184">
        <v>200000</v>
      </c>
      <c r="AQ184" t="s">
        <v>76</v>
      </c>
      <c r="AS184">
        <v>10000</v>
      </c>
      <c r="AT184" t="s">
        <v>1734</v>
      </c>
      <c r="AU184" t="s">
        <v>78</v>
      </c>
      <c r="AV184" t="s">
        <v>79</v>
      </c>
      <c r="AY184">
        <v>0</v>
      </c>
    </row>
    <row r="185" spans="1:52" ht="12.75">
      <c r="A185" s="2" t="str">
        <f>HYPERLINK("https://ibp.a2mac1.com/costing(costing:projects/details/8191/assembly/5381718)","Wiring Harness Guide")</f>
        <v>Wiring Harness Guide</v>
      </c>
      <c r="B185">
        <v>5381718</v>
      </c>
      <c r="D185">
        <v>5381711</v>
      </c>
      <c r="F185">
        <v>1</v>
      </c>
      <c r="G185">
        <v>0</v>
      </c>
      <c r="H185">
        <v>14.820884943376884</v>
      </c>
      <c r="I185">
        <v>0</v>
      </c>
      <c r="J185" t="s">
        <v>90</v>
      </c>
      <c r="K185">
        <v>0</v>
      </c>
      <c r="L185">
        <v>14.820884943376884</v>
      </c>
      <c r="M185">
        <v>0</v>
      </c>
      <c r="N185">
        <v>0</v>
      </c>
      <c r="O185">
        <v>14.820884943376884</v>
      </c>
      <c r="P185" t="s">
        <v>90</v>
      </c>
      <c r="Q185">
        <v>0</v>
      </c>
      <c r="R185" t="s">
        <v>90</v>
      </c>
      <c r="S185">
        <v>0</v>
      </c>
      <c r="T185" t="s">
        <v>90</v>
      </c>
      <c r="U185">
        <v>0</v>
      </c>
      <c r="V185" t="s">
        <v>90</v>
      </c>
      <c r="W185">
        <v>0</v>
      </c>
      <c r="X185" t="s">
        <v>90</v>
      </c>
      <c r="Y185">
        <v>0</v>
      </c>
      <c r="Z185">
        <v>14.820884943376884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L185">
        <v>3.718</v>
      </c>
      <c r="AN185" t="s">
        <v>223</v>
      </c>
      <c r="AO185" t="s">
        <v>92</v>
      </c>
      <c r="AP185">
        <v>200000</v>
      </c>
      <c r="AQ185" t="s">
        <v>92</v>
      </c>
      <c r="AS185">
        <v>10000</v>
      </c>
      <c r="AT185" t="s">
        <v>1750</v>
      </c>
      <c r="AU185" t="s">
        <v>78</v>
      </c>
      <c r="AV185" t="s">
        <v>79</v>
      </c>
      <c r="AY185">
        <v>0</v>
      </c>
    </row>
    <row r="186" spans="1:52" ht="12.75">
      <c r="A186" s="2" t="str">
        <f>HYPERLINK("https://ibp.a2mac1.com/costing(costing:projects/details/8191/assembly/5381719)","Plugs Support System")</f>
        <v>Plugs Support System</v>
      </c>
      <c r="B186">
        <v>5381719</v>
      </c>
      <c r="D186">
        <v>5381711</v>
      </c>
      <c r="F186">
        <v>1</v>
      </c>
      <c r="G186">
        <v>0</v>
      </c>
      <c r="H186">
        <v>0.073396855501919323</v>
      </c>
      <c r="I186">
        <v>0</v>
      </c>
      <c r="J186" t="s">
        <v>90</v>
      </c>
      <c r="K186">
        <v>0</v>
      </c>
      <c r="L186">
        <v>0.073396855501919323</v>
      </c>
      <c r="M186">
        <v>0</v>
      </c>
      <c r="N186">
        <v>0</v>
      </c>
      <c r="O186">
        <v>0.073396855501919323</v>
      </c>
      <c r="P186" t="s">
        <v>90</v>
      </c>
      <c r="Q186">
        <v>0</v>
      </c>
      <c r="R186" t="s">
        <v>90</v>
      </c>
      <c r="S186">
        <v>0</v>
      </c>
      <c r="T186" t="s">
        <v>90</v>
      </c>
      <c r="U186">
        <v>0</v>
      </c>
      <c r="V186" t="s">
        <v>90</v>
      </c>
      <c r="W186">
        <v>0</v>
      </c>
      <c r="X186" t="s">
        <v>90</v>
      </c>
      <c r="Y186">
        <v>0</v>
      </c>
      <c r="Z186">
        <v>0.073396855501919323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L186">
        <v>0.041000000000000002</v>
      </c>
      <c r="AN186" t="s">
        <v>223</v>
      </c>
      <c r="AO186" t="s">
        <v>92</v>
      </c>
      <c r="AP186">
        <v>200000</v>
      </c>
      <c r="AQ186" t="s">
        <v>92</v>
      </c>
      <c r="AS186">
        <v>10000</v>
      </c>
      <c r="AT186" t="s">
        <v>1757</v>
      </c>
      <c r="AU186" t="s">
        <v>78</v>
      </c>
      <c r="AV186" t="s">
        <v>79</v>
      </c>
      <c r="AY186">
        <v>0</v>
      </c>
    </row>
    <row r="187" spans="1:52" ht="12.75">
      <c r="A187" s="2" t="str">
        <f>HYPERLINK("https://ibp.a2mac1.com/costing(costing:projects/details/8191/assembly/5381720)","Shunt Plug System")</f>
        <v>Shunt Plug System</v>
      </c>
      <c r="B187">
        <v>5381720</v>
      </c>
      <c r="D187">
        <v>5381711</v>
      </c>
      <c r="F187">
        <v>1</v>
      </c>
      <c r="G187">
        <v>0</v>
      </c>
      <c r="H187">
        <v>0.10</v>
      </c>
      <c r="I187">
        <v>0</v>
      </c>
      <c r="J187" t="s">
        <v>90</v>
      </c>
      <c r="K187">
        <v>0</v>
      </c>
      <c r="L187">
        <v>0.10</v>
      </c>
      <c r="M187">
        <v>0</v>
      </c>
      <c r="N187">
        <v>0</v>
      </c>
      <c r="O187">
        <v>0.10</v>
      </c>
      <c r="P187" t="s">
        <v>90</v>
      </c>
      <c r="Q187">
        <v>0</v>
      </c>
      <c r="R187" t="s">
        <v>90</v>
      </c>
      <c r="S187">
        <v>0</v>
      </c>
      <c r="T187" t="s">
        <v>90</v>
      </c>
      <c r="U187">
        <v>0</v>
      </c>
      <c r="V187" t="s">
        <v>90</v>
      </c>
      <c r="W187">
        <v>0</v>
      </c>
      <c r="X187" t="s">
        <v>90</v>
      </c>
      <c r="Y187">
        <v>0</v>
      </c>
      <c r="Z187">
        <v>0.10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L187">
        <v>0.0060000000000000001</v>
      </c>
      <c r="AN187" t="s">
        <v>223</v>
      </c>
      <c r="AO187" t="s">
        <v>92</v>
      </c>
      <c r="AP187">
        <v>200000</v>
      </c>
      <c r="AQ187" t="s">
        <v>92</v>
      </c>
      <c r="AS187">
        <v>10000</v>
      </c>
      <c r="AT187" t="s">
        <v>1762</v>
      </c>
      <c r="AU187" t="s">
        <v>78</v>
      </c>
      <c r="AV187" t="s">
        <v>79</v>
      </c>
      <c r="AY187">
        <v>0</v>
      </c>
    </row>
    <row r="188" spans="1:52" ht="12.75">
      <c r="A188" s="2" t="str">
        <f>HYPERLINK("https://ibp.a2mac1.com/costing(costing:projects/details/8191/assembly/5381711)","Electrical")</f>
        <v>Electrical</v>
      </c>
      <c r="B188">
        <v>5381711</v>
      </c>
      <c r="C188">
        <v>8191</v>
      </c>
      <c r="F188">
        <v>1</v>
      </c>
      <c r="G188">
        <v>0</v>
      </c>
      <c r="H188">
        <v>723.28596476053542</v>
      </c>
      <c r="I188">
        <v>0</v>
      </c>
      <c r="J188" t="s">
        <v>90</v>
      </c>
      <c r="K188">
        <v>0</v>
      </c>
      <c r="L188">
        <v>723.28596476053542</v>
      </c>
      <c r="M188">
        <v>0</v>
      </c>
      <c r="N188">
        <v>0</v>
      </c>
      <c r="O188">
        <v>723.28596476053542</v>
      </c>
      <c r="P188" t="s">
        <v>90</v>
      </c>
      <c r="Q188">
        <v>0</v>
      </c>
      <c r="R188" t="s">
        <v>90</v>
      </c>
      <c r="S188">
        <v>0</v>
      </c>
      <c r="T188" t="s">
        <v>90</v>
      </c>
      <c r="U188">
        <v>0</v>
      </c>
      <c r="V188" t="s">
        <v>90</v>
      </c>
      <c r="W188">
        <v>0</v>
      </c>
      <c r="X188" t="s">
        <v>90</v>
      </c>
      <c r="Y188">
        <v>0</v>
      </c>
      <c r="Z188">
        <v>723.28596476053542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L188">
        <v>46.929099999999998</v>
      </c>
      <c r="AN188" t="s">
        <v>223</v>
      </c>
      <c r="AO188" t="s">
        <v>92</v>
      </c>
      <c r="AP188">
        <v>200000</v>
      </c>
      <c r="AQ188" t="s">
        <v>92</v>
      </c>
      <c r="AS188">
        <v>10000</v>
      </c>
      <c r="AT188" t="s">
        <v>1763</v>
      </c>
      <c r="AU188" t="s">
        <v>78</v>
      </c>
      <c r="AV188" t="s">
        <v>79</v>
      </c>
      <c r="AY188">
        <v>0</v>
      </c>
    </row>
    <row r="189" spans="1:52" ht="12.75">
      <c r="A189" s="2" t="str">
        <f>HYPERLINK("https://ibp.a2mac1.com/costing(costing:projects/details/8191/assembly/5383235)"," Busbars")</f>
        <v xml:space="preserve"> Busbars</v>
      </c>
      <c r="B189">
        <v>5383235</v>
      </c>
      <c r="D189">
        <v>5382992</v>
      </c>
      <c r="E189" t="s">
        <v>1792</v>
      </c>
      <c r="F189">
        <v>1</v>
      </c>
      <c r="G189">
        <v>0</v>
      </c>
      <c r="H189">
        <v>11.394668375072129</v>
      </c>
      <c r="I189">
        <v>0</v>
      </c>
      <c r="J189" t="s">
        <v>90</v>
      </c>
      <c r="K189">
        <v>0</v>
      </c>
      <c r="L189">
        <v>11.394668375072129</v>
      </c>
      <c r="M189">
        <v>0</v>
      </c>
      <c r="N189">
        <v>0</v>
      </c>
      <c r="O189">
        <v>11.394668375072129</v>
      </c>
      <c r="P189" t="s">
        <v>90</v>
      </c>
      <c r="Q189">
        <v>0</v>
      </c>
      <c r="R189" t="s">
        <v>90</v>
      </c>
      <c r="S189">
        <v>0</v>
      </c>
      <c r="T189" t="s">
        <v>90</v>
      </c>
      <c r="U189">
        <v>0</v>
      </c>
      <c r="V189" t="s">
        <v>90</v>
      </c>
      <c r="W189">
        <v>0</v>
      </c>
      <c r="X189" t="s">
        <v>90</v>
      </c>
      <c r="Y189">
        <v>0</v>
      </c>
      <c r="Z189">
        <v>11.394668375072129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N189" t="s">
        <v>342</v>
      </c>
      <c r="AO189" t="s">
        <v>92</v>
      </c>
      <c r="AP189">
        <v>200000</v>
      </c>
      <c r="AQ189" t="s">
        <v>76</v>
      </c>
      <c r="AS189">
        <v>10000</v>
      </c>
      <c r="AT189" t="s">
        <v>9</v>
      </c>
      <c r="AU189" t="s">
        <v>78</v>
      </c>
      <c r="AV189" t="s">
        <v>79</v>
      </c>
      <c r="AY189">
        <v>0</v>
      </c>
    </row>
    <row r="190" spans="1:52" ht="12.75">
      <c r="A190" s="2" t="str">
        <f>HYPERLINK("https://ibp.a2mac1.com/costing(costing:projects/details/8191/assembly/5383696)"," HV Connectors")</f>
        <v xml:space="preserve"> HV Connectors</v>
      </c>
      <c r="B190">
        <v>5383696</v>
      </c>
      <c r="D190">
        <v>5383236</v>
      </c>
      <c r="E190" t="s">
        <v>1796</v>
      </c>
      <c r="F190">
        <v>1</v>
      </c>
      <c r="G190">
        <v>0</v>
      </c>
      <c r="H190">
        <v>3.47</v>
      </c>
      <c r="I190">
        <v>0.017437185929648241</v>
      </c>
      <c r="J190" t="s">
        <v>137</v>
      </c>
      <c r="K190">
        <v>0.12145</v>
      </c>
      <c r="L190">
        <v>3.6088871859296483</v>
      </c>
      <c r="M190">
        <v>0</v>
      </c>
      <c r="N190">
        <v>0</v>
      </c>
      <c r="O190">
        <v>3.6088871859296483</v>
      </c>
      <c r="P190" t="s">
        <v>138</v>
      </c>
      <c r="Q190">
        <v>0.21653323115577888</v>
      </c>
      <c r="R190" t="s">
        <v>138</v>
      </c>
      <c r="S190">
        <v>0</v>
      </c>
      <c r="T190" t="s">
        <v>139</v>
      </c>
      <c r="U190">
        <v>0.43306646231155776</v>
      </c>
      <c r="V190" t="s">
        <v>216</v>
      </c>
      <c r="W190">
        <v>0.018044435929648241</v>
      </c>
      <c r="X190" t="s">
        <v>217</v>
      </c>
      <c r="Y190">
        <v>0.072177743718592965</v>
      </c>
      <c r="Z190">
        <v>4.348709059045226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N190" t="s">
        <v>347</v>
      </c>
      <c r="AO190" t="s">
        <v>92</v>
      </c>
      <c r="AP190">
        <v>200000</v>
      </c>
      <c r="AQ190" t="s">
        <v>76</v>
      </c>
      <c r="AS190">
        <v>10000</v>
      </c>
      <c r="AT190" t="s">
        <v>9</v>
      </c>
      <c r="AU190" t="s">
        <v>78</v>
      </c>
      <c r="AV190" t="s">
        <v>79</v>
      </c>
      <c r="AY190">
        <v>0</v>
      </c>
    </row>
    <row r="191" spans="1:52" ht="12.75">
      <c r="A191" s="2" t="str">
        <f>HYPERLINK("https://ibp.a2mac1.com/costing(costing:projects/details/8191/assembly/5383236)"," Connectors")</f>
        <v xml:space="preserve"> Connectors</v>
      </c>
      <c r="B191">
        <v>5383236</v>
      </c>
      <c r="D191">
        <v>5382992</v>
      </c>
      <c r="E191" t="s">
        <v>1797</v>
      </c>
      <c r="F191">
        <v>1</v>
      </c>
      <c r="G191">
        <v>0</v>
      </c>
      <c r="H191">
        <v>4.348709059045226</v>
      </c>
      <c r="I191">
        <v>0</v>
      </c>
      <c r="J191" t="s">
        <v>90</v>
      </c>
      <c r="K191">
        <v>0</v>
      </c>
      <c r="L191">
        <v>4.348709059045226</v>
      </c>
      <c r="M191">
        <v>0</v>
      </c>
      <c r="N191">
        <v>0</v>
      </c>
      <c r="O191">
        <v>4.348709059045226</v>
      </c>
      <c r="P191" t="s">
        <v>90</v>
      </c>
      <c r="Q191">
        <v>0</v>
      </c>
      <c r="R191" t="s">
        <v>90</v>
      </c>
      <c r="S191">
        <v>0</v>
      </c>
      <c r="T191" t="s">
        <v>90</v>
      </c>
      <c r="U191">
        <v>0</v>
      </c>
      <c r="V191" t="s">
        <v>90</v>
      </c>
      <c r="W191">
        <v>0</v>
      </c>
      <c r="X191" t="s">
        <v>90</v>
      </c>
      <c r="Y191">
        <v>0</v>
      </c>
      <c r="Z191">
        <v>4.348709059045226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N191" t="s">
        <v>342</v>
      </c>
      <c r="AO191" t="s">
        <v>92</v>
      </c>
      <c r="AP191">
        <v>200000</v>
      </c>
      <c r="AQ191" t="s">
        <v>76</v>
      </c>
      <c r="AS191">
        <v>10000</v>
      </c>
      <c r="AT191" t="s">
        <v>9</v>
      </c>
      <c r="AU191" t="s">
        <v>78</v>
      </c>
      <c r="AV191" t="s">
        <v>79</v>
      </c>
      <c r="AY191">
        <v>0</v>
      </c>
    </row>
    <row r="192" spans="1:52" ht="12.75">
      <c r="A192" s="2" t="str">
        <f>HYPERLINK("https://ibp.a2mac1.com/costing(costing:projects/details/8191/assembly/5382992)"," Connectors &amp; Wire Harnesses")</f>
        <v xml:space="preserve"> Connectors &amp; Wire Harnesses</v>
      </c>
      <c r="B192">
        <v>5382992</v>
      </c>
      <c r="D192">
        <v>5382850</v>
      </c>
      <c r="E192" t="s">
        <v>1798</v>
      </c>
      <c r="F192">
        <v>1</v>
      </c>
      <c r="G192">
        <v>0</v>
      </c>
      <c r="H192">
        <v>15.743377434117356</v>
      </c>
      <c r="I192">
        <v>0</v>
      </c>
      <c r="J192" t="s">
        <v>90</v>
      </c>
      <c r="K192">
        <v>0</v>
      </c>
      <c r="L192">
        <v>15.743377434117356</v>
      </c>
      <c r="M192">
        <v>0</v>
      </c>
      <c r="N192">
        <v>0</v>
      </c>
      <c r="O192">
        <v>15.743377434117356</v>
      </c>
      <c r="P192" t="s">
        <v>90</v>
      </c>
      <c r="Q192">
        <v>0</v>
      </c>
      <c r="R192" t="s">
        <v>90</v>
      </c>
      <c r="S192">
        <v>0</v>
      </c>
      <c r="T192" t="s">
        <v>90</v>
      </c>
      <c r="U192">
        <v>0</v>
      </c>
      <c r="V192" t="s">
        <v>90</v>
      </c>
      <c r="W192">
        <v>0</v>
      </c>
      <c r="X192" t="s">
        <v>90</v>
      </c>
      <c r="Y192">
        <v>0</v>
      </c>
      <c r="Z192">
        <v>15.743377434117356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N192" t="s">
        <v>342</v>
      </c>
      <c r="AO192" t="s">
        <v>92</v>
      </c>
      <c r="AP192">
        <v>200000</v>
      </c>
      <c r="AQ192" t="s">
        <v>76</v>
      </c>
      <c r="AS192">
        <v>10000</v>
      </c>
      <c r="AT192" t="s">
        <v>9</v>
      </c>
      <c r="AU192" t="s">
        <v>78</v>
      </c>
      <c r="AV192" t="s">
        <v>79</v>
      </c>
      <c r="AY192">
        <v>0</v>
      </c>
    </row>
    <row r="193" spans="1:52" ht="12.75">
      <c r="A193" s="2" t="str">
        <f>HYPERLINK("https://ibp.a2mac1.com/costing(costing:projects/details/8191/assembly/5383237)"," Capacitors")</f>
        <v xml:space="preserve"> Capacitors</v>
      </c>
      <c r="B193">
        <v>5383237</v>
      </c>
      <c r="D193">
        <v>5382993</v>
      </c>
      <c r="E193" t="s">
        <v>1803</v>
      </c>
      <c r="F193">
        <v>1</v>
      </c>
      <c r="G193">
        <v>0</v>
      </c>
      <c r="H193">
        <v>29.95</v>
      </c>
      <c r="I193">
        <v>0</v>
      </c>
      <c r="J193" t="s">
        <v>90</v>
      </c>
      <c r="K193">
        <v>0</v>
      </c>
      <c r="L193">
        <v>29.95</v>
      </c>
      <c r="M193">
        <v>0</v>
      </c>
      <c r="N193">
        <v>0</v>
      </c>
      <c r="O193">
        <v>29.95</v>
      </c>
      <c r="P193" t="s">
        <v>90</v>
      </c>
      <c r="Q193">
        <v>0</v>
      </c>
      <c r="R193" t="s">
        <v>90</v>
      </c>
      <c r="S193">
        <v>0</v>
      </c>
      <c r="T193" t="s">
        <v>90</v>
      </c>
      <c r="U193">
        <v>0</v>
      </c>
      <c r="V193" t="s">
        <v>90</v>
      </c>
      <c r="W193">
        <v>0</v>
      </c>
      <c r="X193" t="s">
        <v>90</v>
      </c>
      <c r="Y193">
        <v>0</v>
      </c>
      <c r="Z193">
        <v>29.95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N193" t="s">
        <v>342</v>
      </c>
      <c r="AO193" t="s">
        <v>92</v>
      </c>
      <c r="AP193">
        <v>200000</v>
      </c>
      <c r="AQ193" t="s">
        <v>76</v>
      </c>
      <c r="AS193">
        <v>10000</v>
      </c>
      <c r="AT193" t="s">
        <v>9</v>
      </c>
      <c r="AU193" t="s">
        <v>78</v>
      </c>
      <c r="AV193" t="s">
        <v>79</v>
      </c>
      <c r="AY193">
        <v>0</v>
      </c>
    </row>
    <row r="194" spans="1:52" ht="12.75">
      <c r="A194" s="2" t="str">
        <f>HYPERLINK("https://ibp.a2mac1.com/costing(costing:projects/details/8191/assembly/5383238)"," Ferrites &amp; Cores")</f>
        <v xml:space="preserve"> Ferrites &amp; Cores</v>
      </c>
      <c r="B194">
        <v>5383238</v>
      </c>
      <c r="D194">
        <v>5382993</v>
      </c>
      <c r="E194" t="s">
        <v>1807</v>
      </c>
      <c r="F194">
        <v>1</v>
      </c>
      <c r="G194">
        <v>0</v>
      </c>
      <c r="H194">
        <v>6.0110000000000001</v>
      </c>
      <c r="I194">
        <v>0</v>
      </c>
      <c r="J194" t="s">
        <v>90</v>
      </c>
      <c r="K194">
        <v>0</v>
      </c>
      <c r="L194">
        <v>6.0110000000000001</v>
      </c>
      <c r="M194">
        <v>0</v>
      </c>
      <c r="N194">
        <v>0</v>
      </c>
      <c r="O194">
        <v>6.0110000000000001</v>
      </c>
      <c r="P194" t="s">
        <v>90</v>
      </c>
      <c r="Q194">
        <v>0</v>
      </c>
      <c r="R194" t="s">
        <v>90</v>
      </c>
      <c r="S194">
        <v>0</v>
      </c>
      <c r="T194" t="s">
        <v>90</v>
      </c>
      <c r="U194">
        <v>0</v>
      </c>
      <c r="V194" t="s">
        <v>90</v>
      </c>
      <c r="W194">
        <v>0</v>
      </c>
      <c r="X194" t="s">
        <v>90</v>
      </c>
      <c r="Y194">
        <v>0</v>
      </c>
      <c r="Z194">
        <v>6.0110000000000001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N194" t="s">
        <v>342</v>
      </c>
      <c r="AO194" t="s">
        <v>92</v>
      </c>
      <c r="AP194">
        <v>200000</v>
      </c>
      <c r="AQ194" t="s">
        <v>76</v>
      </c>
      <c r="AS194">
        <v>10000</v>
      </c>
      <c r="AT194" t="s">
        <v>9</v>
      </c>
      <c r="AU194" t="s">
        <v>78</v>
      </c>
      <c r="AV194" t="s">
        <v>79</v>
      </c>
      <c r="AY194">
        <v>0</v>
      </c>
    </row>
    <row r="195" spans="1:52" ht="12.75">
      <c r="A195" s="2" t="str">
        <f>HYPERLINK("https://ibp.a2mac1.com/costing(costing:projects/details/8191/assembly/5383239)"," Power Modules")</f>
        <v xml:space="preserve"> Power Modules</v>
      </c>
      <c r="B195">
        <v>5383239</v>
      </c>
      <c r="D195">
        <v>5382993</v>
      </c>
      <c r="E195" t="s">
        <v>1811</v>
      </c>
      <c r="F195">
        <v>1</v>
      </c>
      <c r="G195">
        <v>0</v>
      </c>
      <c r="H195">
        <v>132.43</v>
      </c>
      <c r="I195">
        <v>0</v>
      </c>
      <c r="J195" t="s">
        <v>90</v>
      </c>
      <c r="K195">
        <v>0</v>
      </c>
      <c r="L195">
        <v>132.43</v>
      </c>
      <c r="M195">
        <v>0</v>
      </c>
      <c r="N195">
        <v>0</v>
      </c>
      <c r="O195">
        <v>132.43</v>
      </c>
      <c r="P195" t="s">
        <v>90</v>
      </c>
      <c r="Q195">
        <v>0</v>
      </c>
      <c r="R195" t="s">
        <v>90</v>
      </c>
      <c r="S195">
        <v>0</v>
      </c>
      <c r="T195" t="s">
        <v>90</v>
      </c>
      <c r="U195">
        <v>0</v>
      </c>
      <c r="V195" t="s">
        <v>90</v>
      </c>
      <c r="W195">
        <v>0</v>
      </c>
      <c r="X195" t="s">
        <v>90</v>
      </c>
      <c r="Y195">
        <v>0</v>
      </c>
      <c r="Z195">
        <v>132.43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N195" t="s">
        <v>342</v>
      </c>
      <c r="AO195" t="s">
        <v>92</v>
      </c>
      <c r="AP195">
        <v>200000</v>
      </c>
      <c r="AQ195" t="s">
        <v>76</v>
      </c>
      <c r="AS195">
        <v>10000</v>
      </c>
      <c r="AT195" t="s">
        <v>9</v>
      </c>
      <c r="AU195" t="s">
        <v>78</v>
      </c>
      <c r="AV195" t="s">
        <v>79</v>
      </c>
      <c r="AY195">
        <v>0</v>
      </c>
    </row>
    <row r="196" spans="1:52" ht="12.75">
      <c r="A196" s="2" t="str">
        <f>HYPERLINK("https://ibp.a2mac1.com/costing(costing:projects/details/8191/assembly/5383240)"," Resistors")</f>
        <v xml:space="preserve"> Resistors</v>
      </c>
      <c r="B196">
        <v>5383240</v>
      </c>
      <c r="D196">
        <v>5382993</v>
      </c>
      <c r="E196" t="s">
        <v>1814</v>
      </c>
      <c r="F196">
        <v>1</v>
      </c>
      <c r="G196">
        <v>0</v>
      </c>
      <c r="H196">
        <v>2.6669999999999998</v>
      </c>
      <c r="I196">
        <v>0</v>
      </c>
      <c r="J196" t="s">
        <v>90</v>
      </c>
      <c r="K196">
        <v>0</v>
      </c>
      <c r="L196">
        <v>2.6669999999999998</v>
      </c>
      <c r="M196">
        <v>0</v>
      </c>
      <c r="N196">
        <v>0</v>
      </c>
      <c r="O196">
        <v>2.6669999999999998</v>
      </c>
      <c r="P196" t="s">
        <v>90</v>
      </c>
      <c r="Q196">
        <v>0</v>
      </c>
      <c r="R196" t="s">
        <v>90</v>
      </c>
      <c r="S196">
        <v>0</v>
      </c>
      <c r="T196" t="s">
        <v>90</v>
      </c>
      <c r="U196">
        <v>0</v>
      </c>
      <c r="V196" t="s">
        <v>90</v>
      </c>
      <c r="W196">
        <v>0</v>
      </c>
      <c r="X196" t="s">
        <v>90</v>
      </c>
      <c r="Y196">
        <v>0</v>
      </c>
      <c r="Z196">
        <v>2.6669999999999998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N196" t="s">
        <v>342</v>
      </c>
      <c r="AO196" t="s">
        <v>92</v>
      </c>
      <c r="AP196">
        <v>200000</v>
      </c>
      <c r="AQ196" t="s">
        <v>76</v>
      </c>
      <c r="AS196">
        <v>10000</v>
      </c>
      <c r="AT196" t="s">
        <v>9</v>
      </c>
      <c r="AU196" t="s">
        <v>78</v>
      </c>
      <c r="AV196" t="s">
        <v>79</v>
      </c>
      <c r="AY196">
        <v>0</v>
      </c>
    </row>
    <row r="197" spans="1:52" ht="12.75">
      <c r="A197" s="2" t="str">
        <f>HYPERLINK("https://ibp.a2mac1.com/costing(costing:projects/details/8191/assembly/5382993)"," Electrical Parts")</f>
        <v xml:space="preserve"> Electrical Parts</v>
      </c>
      <c r="B197">
        <v>5382993</v>
      </c>
      <c r="D197">
        <v>5382850</v>
      </c>
      <c r="E197" t="s">
        <v>1815</v>
      </c>
      <c r="F197">
        <v>1</v>
      </c>
      <c r="G197">
        <v>0</v>
      </c>
      <c r="H197">
        <v>171.05799999999999</v>
      </c>
      <c r="I197">
        <v>0</v>
      </c>
      <c r="J197" t="s">
        <v>90</v>
      </c>
      <c r="K197">
        <v>0</v>
      </c>
      <c r="L197">
        <v>171.05799999999999</v>
      </c>
      <c r="M197">
        <v>0</v>
      </c>
      <c r="N197">
        <v>0</v>
      </c>
      <c r="O197">
        <v>171.05799999999999</v>
      </c>
      <c r="P197" t="s">
        <v>90</v>
      </c>
      <c r="Q197">
        <v>0</v>
      </c>
      <c r="R197" t="s">
        <v>90</v>
      </c>
      <c r="S197">
        <v>0</v>
      </c>
      <c r="T197" t="s">
        <v>90</v>
      </c>
      <c r="U197">
        <v>0</v>
      </c>
      <c r="V197" t="s">
        <v>90</v>
      </c>
      <c r="W197">
        <v>0</v>
      </c>
      <c r="X197" t="s">
        <v>90</v>
      </c>
      <c r="Y197">
        <v>0</v>
      </c>
      <c r="Z197">
        <v>171.05799999999999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N197" t="s">
        <v>342</v>
      </c>
      <c r="AO197" t="s">
        <v>92</v>
      </c>
      <c r="AP197">
        <v>200000</v>
      </c>
      <c r="AQ197" t="s">
        <v>76</v>
      </c>
      <c r="AS197">
        <v>10000</v>
      </c>
      <c r="AT197" t="s">
        <v>9</v>
      </c>
      <c r="AU197" t="s">
        <v>78</v>
      </c>
      <c r="AV197" t="s">
        <v>79</v>
      </c>
      <c r="AY197">
        <v>0</v>
      </c>
    </row>
    <row r="198" spans="1:52" ht="12.75">
      <c r="A198" s="2" t="str">
        <f>HYPERLINK("https://ibp.a2mac1.com/costing(costing:projects/details/8191/assembly/5382994)"," Electronic Parts")</f>
        <v xml:space="preserve"> Electronic Parts</v>
      </c>
      <c r="B198">
        <v>5382994</v>
      </c>
      <c r="D198">
        <v>5382850</v>
      </c>
      <c r="E198" t="s">
        <v>1820</v>
      </c>
      <c r="F198">
        <v>1</v>
      </c>
      <c r="G198">
        <v>0</v>
      </c>
      <c r="H198">
        <v>73.39</v>
      </c>
      <c r="I198">
        <v>0</v>
      </c>
      <c r="J198" t="s">
        <v>90</v>
      </c>
      <c r="K198">
        <v>0</v>
      </c>
      <c r="L198">
        <v>73.39</v>
      </c>
      <c r="M198">
        <v>0</v>
      </c>
      <c r="N198">
        <v>0</v>
      </c>
      <c r="O198">
        <v>73.39</v>
      </c>
      <c r="P198" t="s">
        <v>90</v>
      </c>
      <c r="Q198">
        <v>0</v>
      </c>
      <c r="R198" t="s">
        <v>90</v>
      </c>
      <c r="S198">
        <v>0</v>
      </c>
      <c r="T198" t="s">
        <v>90</v>
      </c>
      <c r="U198">
        <v>0</v>
      </c>
      <c r="V198" t="s">
        <v>90</v>
      </c>
      <c r="W198">
        <v>0</v>
      </c>
      <c r="X198" t="s">
        <v>90</v>
      </c>
      <c r="Y198">
        <v>0</v>
      </c>
      <c r="Z198">
        <v>73.39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N198" t="s">
        <v>342</v>
      </c>
      <c r="AO198" t="s">
        <v>92</v>
      </c>
      <c r="AP198">
        <v>200000</v>
      </c>
      <c r="AQ198" t="s">
        <v>76</v>
      </c>
      <c r="AS198">
        <v>10000</v>
      </c>
      <c r="AT198" t="s">
        <v>9</v>
      </c>
      <c r="AU198" t="s">
        <v>78</v>
      </c>
      <c r="AV198" t="s">
        <v>79</v>
      </c>
      <c r="AY198">
        <v>0</v>
      </c>
    </row>
    <row r="199" spans="1:52" ht="12.75">
      <c r="A199" s="2" t="str">
        <f>HYPERLINK("https://ibp.a2mac1.com/costing(costing:projects/details/8191/assembly/5383244)"," Covers")</f>
        <v xml:space="preserve"> Covers</v>
      </c>
      <c r="B199">
        <v>5383244</v>
      </c>
      <c r="D199">
        <v>5382995</v>
      </c>
      <c r="E199" t="s">
        <v>1825</v>
      </c>
      <c r="F199">
        <v>1</v>
      </c>
      <c r="G199">
        <v>0</v>
      </c>
      <c r="H199">
        <v>0.26300000000000001</v>
      </c>
      <c r="I199">
        <v>0</v>
      </c>
      <c r="J199" t="s">
        <v>90</v>
      </c>
      <c r="K199">
        <v>0</v>
      </c>
      <c r="L199">
        <v>0.26300000000000001</v>
      </c>
      <c r="M199">
        <v>0</v>
      </c>
      <c r="N199">
        <v>0</v>
      </c>
      <c r="O199">
        <v>0.26300000000000001</v>
      </c>
      <c r="P199" t="s">
        <v>90</v>
      </c>
      <c r="Q199">
        <v>0</v>
      </c>
      <c r="R199" t="s">
        <v>90</v>
      </c>
      <c r="S199">
        <v>0</v>
      </c>
      <c r="T199" t="s">
        <v>90</v>
      </c>
      <c r="U199">
        <v>0</v>
      </c>
      <c r="V199" t="s">
        <v>90</v>
      </c>
      <c r="W199">
        <v>0</v>
      </c>
      <c r="X199" t="s">
        <v>90</v>
      </c>
      <c r="Y199">
        <v>0</v>
      </c>
      <c r="Z199">
        <v>0.26300000000000001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N199" t="s">
        <v>342</v>
      </c>
      <c r="AO199" t="s">
        <v>92</v>
      </c>
      <c r="AP199">
        <v>200000</v>
      </c>
      <c r="AQ199" t="s">
        <v>76</v>
      </c>
      <c r="AS199">
        <v>10000</v>
      </c>
      <c r="AT199" t="s">
        <v>9</v>
      </c>
      <c r="AU199" t="s">
        <v>78</v>
      </c>
      <c r="AV199" t="s">
        <v>79</v>
      </c>
      <c r="AY199">
        <v>0</v>
      </c>
    </row>
    <row r="200" spans="1:52" ht="12.75">
      <c r="A200" s="2" t="str">
        <f>HYPERLINK("https://ibp.a2mac1.com/costing(costing:projects/details/8191/assembly/5383245)"," Housing Parts")</f>
        <v xml:space="preserve"> Housing Parts</v>
      </c>
      <c r="B200">
        <v>5383245</v>
      </c>
      <c r="D200">
        <v>5382995</v>
      </c>
      <c r="E200" t="s">
        <v>1843</v>
      </c>
      <c r="F200">
        <v>1</v>
      </c>
      <c r="G200">
        <v>0</v>
      </c>
      <c r="H200">
        <v>36.159172407825302</v>
      </c>
      <c r="I200">
        <v>0</v>
      </c>
      <c r="J200" t="s">
        <v>90</v>
      </c>
      <c r="K200">
        <v>0</v>
      </c>
      <c r="L200">
        <v>36.159172407825302</v>
      </c>
      <c r="M200">
        <v>0</v>
      </c>
      <c r="N200">
        <v>0</v>
      </c>
      <c r="O200">
        <v>36.159172407825302</v>
      </c>
      <c r="P200" t="s">
        <v>90</v>
      </c>
      <c r="Q200">
        <v>0</v>
      </c>
      <c r="R200" t="s">
        <v>90</v>
      </c>
      <c r="S200">
        <v>0</v>
      </c>
      <c r="T200" t="s">
        <v>90</v>
      </c>
      <c r="U200">
        <v>0</v>
      </c>
      <c r="V200" t="s">
        <v>90</v>
      </c>
      <c r="W200">
        <v>0</v>
      </c>
      <c r="X200" t="s">
        <v>90</v>
      </c>
      <c r="Y200">
        <v>0</v>
      </c>
      <c r="Z200">
        <v>36.159172407825302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N200" t="s">
        <v>342</v>
      </c>
      <c r="AO200" t="s">
        <v>92</v>
      </c>
      <c r="AP200">
        <v>200000</v>
      </c>
      <c r="AQ200" t="s">
        <v>76</v>
      </c>
      <c r="AS200">
        <v>10000</v>
      </c>
      <c r="AT200" t="s">
        <v>9</v>
      </c>
      <c r="AU200" t="s">
        <v>78</v>
      </c>
      <c r="AV200" t="s">
        <v>79</v>
      </c>
      <c r="AY200">
        <v>0</v>
      </c>
    </row>
    <row r="201" spans="1:52" ht="12.75">
      <c r="A201" s="2" t="str">
        <f>HYPERLINK("https://ibp.a2mac1.com/costing(costing:projects/details/8191/assembly/5383246)"," Pressure Vents")</f>
        <v xml:space="preserve"> Pressure Vents</v>
      </c>
      <c r="B201">
        <v>5383246</v>
      </c>
      <c r="D201">
        <v>5382995</v>
      </c>
      <c r="E201" t="s">
        <v>1846</v>
      </c>
      <c r="F201">
        <v>1</v>
      </c>
      <c r="G201">
        <v>0</v>
      </c>
      <c r="H201">
        <v>0.39100000000000001</v>
      </c>
      <c r="I201">
        <v>0</v>
      </c>
      <c r="J201" t="s">
        <v>90</v>
      </c>
      <c r="K201">
        <v>0</v>
      </c>
      <c r="L201">
        <v>0.39100000000000001</v>
      </c>
      <c r="M201">
        <v>0</v>
      </c>
      <c r="N201">
        <v>0</v>
      </c>
      <c r="O201">
        <v>0.39100000000000001</v>
      </c>
      <c r="P201" t="s">
        <v>90</v>
      </c>
      <c r="Q201">
        <v>0</v>
      </c>
      <c r="R201" t="s">
        <v>90</v>
      </c>
      <c r="S201">
        <v>0</v>
      </c>
      <c r="T201" t="s">
        <v>90</v>
      </c>
      <c r="U201">
        <v>0</v>
      </c>
      <c r="V201" t="s">
        <v>90</v>
      </c>
      <c r="W201">
        <v>0</v>
      </c>
      <c r="X201" t="s">
        <v>90</v>
      </c>
      <c r="Y201">
        <v>0</v>
      </c>
      <c r="Z201">
        <v>0.39100000000000001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N201" t="s">
        <v>342</v>
      </c>
      <c r="AO201" t="s">
        <v>92</v>
      </c>
      <c r="AP201">
        <v>200000</v>
      </c>
      <c r="AQ201" t="s">
        <v>76</v>
      </c>
      <c r="AS201">
        <v>10000</v>
      </c>
      <c r="AT201" t="s">
        <v>9</v>
      </c>
      <c r="AU201" t="s">
        <v>78</v>
      </c>
      <c r="AV201" t="s">
        <v>79</v>
      </c>
      <c r="AY201">
        <v>0</v>
      </c>
    </row>
    <row r="202" spans="1:52" ht="12.75">
      <c r="A202" s="2" t="str">
        <f>HYPERLINK("https://ibp.a2mac1.com/costing(costing:projects/details/8191/assembly/5383247)"," Shields")</f>
        <v xml:space="preserve"> Shields</v>
      </c>
      <c r="B202">
        <v>5383247</v>
      </c>
      <c r="D202">
        <v>5382995</v>
      </c>
      <c r="E202" t="s">
        <v>1849</v>
      </c>
      <c r="F202">
        <v>1</v>
      </c>
      <c r="G202">
        <v>0</v>
      </c>
      <c r="H202">
        <v>0.126</v>
      </c>
      <c r="I202">
        <v>0</v>
      </c>
      <c r="J202" t="s">
        <v>90</v>
      </c>
      <c r="K202">
        <v>0</v>
      </c>
      <c r="L202">
        <v>0.126</v>
      </c>
      <c r="M202">
        <v>0</v>
      </c>
      <c r="N202">
        <v>0</v>
      </c>
      <c r="O202">
        <v>0.126</v>
      </c>
      <c r="P202" t="s">
        <v>90</v>
      </c>
      <c r="Q202">
        <v>0</v>
      </c>
      <c r="R202" t="s">
        <v>90</v>
      </c>
      <c r="S202">
        <v>0</v>
      </c>
      <c r="T202" t="s">
        <v>90</v>
      </c>
      <c r="U202">
        <v>0</v>
      </c>
      <c r="V202" t="s">
        <v>90</v>
      </c>
      <c r="W202">
        <v>0</v>
      </c>
      <c r="X202" t="s">
        <v>90</v>
      </c>
      <c r="Y202">
        <v>0</v>
      </c>
      <c r="Z202">
        <v>0.126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N202" t="s">
        <v>342</v>
      </c>
      <c r="AO202" t="s">
        <v>92</v>
      </c>
      <c r="AP202">
        <v>200000</v>
      </c>
      <c r="AQ202" t="s">
        <v>76</v>
      </c>
      <c r="AS202">
        <v>10000</v>
      </c>
      <c r="AT202" t="s">
        <v>9</v>
      </c>
      <c r="AU202" t="s">
        <v>78</v>
      </c>
      <c r="AV202" t="s">
        <v>79</v>
      </c>
      <c r="AY202">
        <v>0</v>
      </c>
    </row>
    <row r="203" spans="1:52" ht="12.75">
      <c r="A203" s="2" t="str">
        <f>HYPERLINK("https://ibp.a2mac1.com/costing(costing:projects/details/8191/assembly/5383248)"," Thermal Paste/Gap Pad")</f>
        <v xml:space="preserve"> Thermal Paste/Gap Pad</v>
      </c>
      <c r="B203">
        <v>5383248</v>
      </c>
      <c r="D203">
        <v>5382995</v>
      </c>
      <c r="E203" t="s">
        <v>1861</v>
      </c>
      <c r="F203">
        <v>1</v>
      </c>
      <c r="G203">
        <v>0</v>
      </c>
      <c r="H203">
        <v>7.3040000000000003</v>
      </c>
      <c r="I203">
        <v>0</v>
      </c>
      <c r="J203" t="s">
        <v>90</v>
      </c>
      <c r="K203">
        <v>0</v>
      </c>
      <c r="L203">
        <v>7.3040000000000003</v>
      </c>
      <c r="M203">
        <v>0</v>
      </c>
      <c r="N203">
        <v>0</v>
      </c>
      <c r="O203">
        <v>7.3040000000000003</v>
      </c>
      <c r="P203" t="s">
        <v>90</v>
      </c>
      <c r="Q203">
        <v>0</v>
      </c>
      <c r="R203" t="s">
        <v>90</v>
      </c>
      <c r="S203">
        <v>0</v>
      </c>
      <c r="T203" t="s">
        <v>90</v>
      </c>
      <c r="U203">
        <v>0</v>
      </c>
      <c r="V203" t="s">
        <v>90</v>
      </c>
      <c r="W203">
        <v>0</v>
      </c>
      <c r="X203" t="s">
        <v>90</v>
      </c>
      <c r="Y203">
        <v>0</v>
      </c>
      <c r="Z203">
        <v>7.3040000000000003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N203" t="s">
        <v>342</v>
      </c>
      <c r="AO203" t="s">
        <v>92</v>
      </c>
      <c r="AP203">
        <v>200000</v>
      </c>
      <c r="AQ203" t="s">
        <v>76</v>
      </c>
      <c r="AS203">
        <v>10000</v>
      </c>
      <c r="AT203" t="s">
        <v>9</v>
      </c>
      <c r="AU203" t="s">
        <v>78</v>
      </c>
      <c r="AV203" t="s">
        <v>79</v>
      </c>
      <c r="AY203">
        <v>0</v>
      </c>
    </row>
    <row r="204" spans="1:52" ht="12.75">
      <c r="A204" s="2" t="str">
        <f>HYPERLINK("https://ibp.a2mac1.com/costing(costing:projects/details/8191/assembly/5383249)","Seals")</f>
        <v>Seals</v>
      </c>
      <c r="B204">
        <v>5383249</v>
      </c>
      <c r="D204">
        <v>5382995</v>
      </c>
      <c r="F204">
        <v>1</v>
      </c>
      <c r="G204">
        <v>0</v>
      </c>
      <c r="H204">
        <v>0.27200000000000002</v>
      </c>
      <c r="I204">
        <v>0</v>
      </c>
      <c r="J204" t="s">
        <v>90</v>
      </c>
      <c r="K204">
        <v>0</v>
      </c>
      <c r="L204">
        <v>0.27200000000000002</v>
      </c>
      <c r="M204">
        <v>0</v>
      </c>
      <c r="N204">
        <v>0</v>
      </c>
      <c r="O204">
        <v>0.27200000000000002</v>
      </c>
      <c r="P204" t="s">
        <v>90</v>
      </c>
      <c r="Q204">
        <v>0</v>
      </c>
      <c r="R204" t="s">
        <v>90</v>
      </c>
      <c r="S204">
        <v>0</v>
      </c>
      <c r="T204" t="s">
        <v>90</v>
      </c>
      <c r="U204">
        <v>0</v>
      </c>
      <c r="V204" t="s">
        <v>90</v>
      </c>
      <c r="W204">
        <v>0</v>
      </c>
      <c r="X204" t="s">
        <v>90</v>
      </c>
      <c r="Y204">
        <v>0</v>
      </c>
      <c r="Z204">
        <v>0.27200000000000002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N204" t="s">
        <v>342</v>
      </c>
      <c r="AO204" t="s">
        <v>92</v>
      </c>
      <c r="AP204">
        <v>200000</v>
      </c>
      <c r="AQ204" t="s">
        <v>76</v>
      </c>
      <c r="AS204">
        <v>10000</v>
      </c>
      <c r="AT204" t="s">
        <v>9</v>
      </c>
      <c r="AU204" t="s">
        <v>78</v>
      </c>
      <c r="AV204" t="s">
        <v>79</v>
      </c>
      <c r="AY204">
        <v>0</v>
      </c>
    </row>
    <row r="205" spans="1:52" ht="12.75">
      <c r="A205" s="2" t="str">
        <f>HYPERLINK("https://ibp.a2mac1.com/costing(costing:projects/details/8191/assembly/5382995)"," Mechanical Parts")</f>
        <v xml:space="preserve"> Mechanical Parts</v>
      </c>
      <c r="B205">
        <v>5382995</v>
      </c>
      <c r="D205">
        <v>5382850</v>
      </c>
      <c r="E205" t="s">
        <v>1863</v>
      </c>
      <c r="F205">
        <v>1</v>
      </c>
      <c r="G205">
        <v>0</v>
      </c>
      <c r="H205">
        <v>44.515172407825297</v>
      </c>
      <c r="I205">
        <v>0</v>
      </c>
      <c r="J205" t="s">
        <v>90</v>
      </c>
      <c r="K205">
        <v>0</v>
      </c>
      <c r="L205">
        <v>44.515172407825297</v>
      </c>
      <c r="M205">
        <v>0</v>
      </c>
      <c r="N205">
        <v>0</v>
      </c>
      <c r="O205">
        <v>44.515172407825297</v>
      </c>
      <c r="P205" t="s">
        <v>90</v>
      </c>
      <c r="Q205">
        <v>0</v>
      </c>
      <c r="R205" t="s">
        <v>90</v>
      </c>
      <c r="S205">
        <v>0</v>
      </c>
      <c r="T205" t="s">
        <v>90</v>
      </c>
      <c r="U205">
        <v>0</v>
      </c>
      <c r="V205" t="s">
        <v>90</v>
      </c>
      <c r="W205">
        <v>0</v>
      </c>
      <c r="X205" t="s">
        <v>90</v>
      </c>
      <c r="Y205">
        <v>0</v>
      </c>
      <c r="Z205">
        <v>44.515172407825297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N205" t="s">
        <v>342</v>
      </c>
      <c r="AO205" t="s">
        <v>92</v>
      </c>
      <c r="AP205">
        <v>200000</v>
      </c>
      <c r="AQ205" t="s">
        <v>76</v>
      </c>
      <c r="AS205">
        <v>10000</v>
      </c>
      <c r="AT205" t="s">
        <v>9</v>
      </c>
      <c r="AU205" t="s">
        <v>78</v>
      </c>
      <c r="AV205" t="s">
        <v>79</v>
      </c>
      <c r="AY205">
        <v>0</v>
      </c>
    </row>
    <row r="206" spans="1:52" ht="12.75">
      <c r="A206" s="2" t="str">
        <f>HYPERLINK("https://ibp.a2mac1.com/costing(costing:projects/details/8191/assembly/5382850)","Rear AC DC Inverter")</f>
        <v>Rear AC DC Inverter</v>
      </c>
      <c r="B206">
        <v>5382850</v>
      </c>
      <c r="D206">
        <v>5382795</v>
      </c>
      <c r="E206" t="s">
        <v>1865</v>
      </c>
      <c r="F206">
        <v>1</v>
      </c>
      <c r="G206">
        <v>0</v>
      </c>
      <c r="H206">
        <v>304.70654984194266</v>
      </c>
      <c r="I206">
        <v>1.5311886926730787</v>
      </c>
      <c r="J206" t="s">
        <v>137</v>
      </c>
      <c r="K206">
        <v>10.664729244467994</v>
      </c>
      <c r="L206">
        <v>316.90246777908374</v>
      </c>
      <c r="M206">
        <v>0</v>
      </c>
      <c r="N206">
        <v>21.829694807741546</v>
      </c>
      <c r="O206">
        <v>338.73216258682527</v>
      </c>
      <c r="P206" t="s">
        <v>138</v>
      </c>
      <c r="Q206">
        <v>19.014148066745022</v>
      </c>
      <c r="R206" t="s">
        <v>138</v>
      </c>
      <c r="S206">
        <v>1.3097816884644926</v>
      </c>
      <c r="T206" t="s">
        <v>139</v>
      </c>
      <c r="U206">
        <v>40.647859510419032</v>
      </c>
      <c r="V206" t="s">
        <v>90</v>
      </c>
      <c r="W206">
        <v>0</v>
      </c>
      <c r="X206" t="s">
        <v>90</v>
      </c>
      <c r="Y206">
        <v>0</v>
      </c>
      <c r="Z206">
        <v>399.70395185245383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N206" t="s">
        <v>1866</v>
      </c>
      <c r="AO206" t="s">
        <v>92</v>
      </c>
      <c r="AP206">
        <v>200000</v>
      </c>
      <c r="AQ206" t="s">
        <v>76</v>
      </c>
      <c r="AS206">
        <v>10000</v>
      </c>
      <c r="AT206" t="s">
        <v>9</v>
      </c>
      <c r="AU206" t="s">
        <v>78</v>
      </c>
      <c r="AV206" t="s">
        <v>79</v>
      </c>
      <c r="AY206">
        <v>0</v>
      </c>
    </row>
    <row r="207" spans="1:52" ht="12.75">
      <c r="A207" s="2" t="str">
        <f>HYPERLINK("https://ibp.a2mac1.com/costing(costing:projects/details/8191/assembly/5382996)"," Connectors &amp; Wire Harnesses")</f>
        <v xml:space="preserve"> Connectors &amp; Wire Harnesses</v>
      </c>
      <c r="B207">
        <v>5382996</v>
      </c>
      <c r="D207">
        <v>5382851</v>
      </c>
      <c r="E207" t="s">
        <v>1888</v>
      </c>
      <c r="F207">
        <v>1</v>
      </c>
      <c r="G207">
        <v>0</v>
      </c>
      <c r="H207">
        <v>12.62982599394655</v>
      </c>
      <c r="I207">
        <v>0</v>
      </c>
      <c r="J207" t="s">
        <v>90</v>
      </c>
      <c r="K207">
        <v>0</v>
      </c>
      <c r="L207">
        <v>12.62982599394655</v>
      </c>
      <c r="M207">
        <v>0</v>
      </c>
      <c r="N207">
        <v>0</v>
      </c>
      <c r="O207">
        <v>12.62982599394655</v>
      </c>
      <c r="P207" t="s">
        <v>90</v>
      </c>
      <c r="Q207">
        <v>0</v>
      </c>
      <c r="R207" t="s">
        <v>90</v>
      </c>
      <c r="S207">
        <v>0</v>
      </c>
      <c r="T207" t="s">
        <v>90</v>
      </c>
      <c r="U207">
        <v>0</v>
      </c>
      <c r="V207" t="s">
        <v>90</v>
      </c>
      <c r="W207">
        <v>0</v>
      </c>
      <c r="X207" t="s">
        <v>90</v>
      </c>
      <c r="Y207">
        <v>0</v>
      </c>
      <c r="Z207">
        <v>12.62982599394655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N207" t="s">
        <v>342</v>
      </c>
      <c r="AO207" t="s">
        <v>92</v>
      </c>
      <c r="AP207">
        <v>200000</v>
      </c>
      <c r="AQ207" t="s">
        <v>76</v>
      </c>
      <c r="AS207">
        <v>10000</v>
      </c>
      <c r="AT207" t="s">
        <v>9</v>
      </c>
      <c r="AU207" t="s">
        <v>78</v>
      </c>
      <c r="AV207" t="s">
        <v>79</v>
      </c>
      <c r="AY207">
        <v>0</v>
      </c>
    </row>
    <row r="208" spans="1:52" ht="12.75">
      <c r="A208" s="2" t="str">
        <f>HYPERLINK("https://ibp.a2mac1.com/costing(costing:projects/details/8191/assembly/5382997)"," Electrical &amp; Electronics Parts")</f>
        <v xml:space="preserve"> Electrical &amp; Electronics Parts</v>
      </c>
      <c r="B208">
        <v>5382997</v>
      </c>
      <c r="D208">
        <v>5382851</v>
      </c>
      <c r="E208" t="s">
        <v>1898</v>
      </c>
      <c r="F208">
        <v>1</v>
      </c>
      <c r="G208">
        <v>0</v>
      </c>
      <c r="H208">
        <v>226.239</v>
      </c>
      <c r="I208">
        <v>0</v>
      </c>
      <c r="J208" t="s">
        <v>90</v>
      </c>
      <c r="K208">
        <v>0</v>
      </c>
      <c r="L208">
        <v>226.239</v>
      </c>
      <c r="M208">
        <v>0</v>
      </c>
      <c r="N208">
        <v>0</v>
      </c>
      <c r="O208">
        <v>226.239</v>
      </c>
      <c r="P208" t="s">
        <v>90</v>
      </c>
      <c r="Q208">
        <v>0</v>
      </c>
      <c r="R208" t="s">
        <v>90</v>
      </c>
      <c r="S208">
        <v>0</v>
      </c>
      <c r="T208" t="s">
        <v>90</v>
      </c>
      <c r="U208">
        <v>0</v>
      </c>
      <c r="V208" t="s">
        <v>90</v>
      </c>
      <c r="W208">
        <v>0</v>
      </c>
      <c r="X208" t="s">
        <v>90</v>
      </c>
      <c r="Y208">
        <v>0</v>
      </c>
      <c r="Z208">
        <v>226.239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N208" t="s">
        <v>342</v>
      </c>
      <c r="AO208" t="s">
        <v>92</v>
      </c>
      <c r="AP208">
        <v>200000</v>
      </c>
      <c r="AQ208" t="s">
        <v>76</v>
      </c>
      <c r="AS208">
        <v>10000</v>
      </c>
      <c r="AT208" t="s">
        <v>9</v>
      </c>
      <c r="AU208" t="s">
        <v>78</v>
      </c>
      <c r="AV208" t="s">
        <v>79</v>
      </c>
      <c r="AY208">
        <v>0</v>
      </c>
    </row>
    <row r="209" spans="1:52" ht="12.75">
      <c r="A209" s="2" t="str">
        <f>HYPERLINK("https://ibp.a2mac1.com/costing(costing:projects/details/8191/assembly/5382998)"," Mechanical Parts")</f>
        <v xml:space="preserve"> Mechanical Parts</v>
      </c>
      <c r="B209">
        <v>5382998</v>
      </c>
      <c r="D209">
        <v>5382851</v>
      </c>
      <c r="E209" t="s">
        <v>1918</v>
      </c>
      <c r="F209">
        <v>1</v>
      </c>
      <c r="G209">
        <v>0</v>
      </c>
      <c r="H209">
        <v>45.873985429780177</v>
      </c>
      <c r="I209">
        <v>0</v>
      </c>
      <c r="J209" t="s">
        <v>90</v>
      </c>
      <c r="K209">
        <v>0</v>
      </c>
      <c r="L209">
        <v>45.873985429780177</v>
      </c>
      <c r="M209">
        <v>0</v>
      </c>
      <c r="N209">
        <v>0</v>
      </c>
      <c r="O209">
        <v>45.873985429780177</v>
      </c>
      <c r="P209" t="s">
        <v>90</v>
      </c>
      <c r="Q209">
        <v>0</v>
      </c>
      <c r="R209" t="s">
        <v>90</v>
      </c>
      <c r="S209">
        <v>0</v>
      </c>
      <c r="T209" t="s">
        <v>90</v>
      </c>
      <c r="U209">
        <v>0</v>
      </c>
      <c r="V209" t="s">
        <v>90</v>
      </c>
      <c r="W209">
        <v>0</v>
      </c>
      <c r="X209" t="s">
        <v>90</v>
      </c>
      <c r="Y209">
        <v>0</v>
      </c>
      <c r="Z209">
        <v>45.873985429780177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N209" t="s">
        <v>342</v>
      </c>
      <c r="AO209" t="s">
        <v>92</v>
      </c>
      <c r="AP209">
        <v>200000</v>
      </c>
      <c r="AQ209" t="s">
        <v>76</v>
      </c>
      <c r="AS209">
        <v>10000</v>
      </c>
      <c r="AT209" t="s">
        <v>9</v>
      </c>
      <c r="AU209" t="s">
        <v>78</v>
      </c>
      <c r="AV209" t="s">
        <v>79</v>
      </c>
      <c r="AY209">
        <v>0</v>
      </c>
    </row>
    <row r="210" spans="1:52" ht="12.75">
      <c r="A210" s="2" t="str">
        <f>HYPERLINK("https://ibp.a2mac1.com/costing(costing:projects/details/8191/assembly/5382851)"," Front AC DC Inverter")</f>
        <v xml:space="preserve"> Front AC DC Inverter</v>
      </c>
      <c r="B210">
        <v>5382851</v>
      </c>
      <c r="D210">
        <v>5382795</v>
      </c>
      <c r="E210" t="s">
        <v>1920</v>
      </c>
      <c r="F210">
        <v>1</v>
      </c>
      <c r="G210">
        <v>0</v>
      </c>
      <c r="H210">
        <v>284.74281142372672</v>
      </c>
      <c r="I210">
        <v>1.4308683991142046</v>
      </c>
      <c r="J210" t="s">
        <v>137</v>
      </c>
      <c r="K210">
        <v>9.9659983998304362</v>
      </c>
      <c r="L210">
        <v>296.13967822267136</v>
      </c>
      <c r="M210">
        <v>0</v>
      </c>
      <c r="N210">
        <v>11.062706420450477</v>
      </c>
      <c r="O210">
        <v>307.20238464312183</v>
      </c>
      <c r="P210" t="s">
        <v>138</v>
      </c>
      <c r="Q210">
        <v>17.768380693360282</v>
      </c>
      <c r="R210" t="s">
        <v>138</v>
      </c>
      <c r="S210">
        <v>0.66376238522702857</v>
      </c>
      <c r="T210" t="s">
        <v>139</v>
      </c>
      <c r="U210">
        <v>36.864286157174618</v>
      </c>
      <c r="V210" t="s">
        <v>90</v>
      </c>
      <c r="W210">
        <v>0</v>
      </c>
      <c r="X210" t="s">
        <v>90</v>
      </c>
      <c r="Y210">
        <v>0</v>
      </c>
      <c r="Z210">
        <v>362.49881387888377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N210" t="s">
        <v>1866</v>
      </c>
      <c r="AO210" t="s">
        <v>92</v>
      </c>
      <c r="AP210">
        <v>200000</v>
      </c>
      <c r="AQ210" t="s">
        <v>76</v>
      </c>
      <c r="AS210">
        <v>10000</v>
      </c>
      <c r="AT210" t="s">
        <v>9</v>
      </c>
      <c r="AU210" t="s">
        <v>78</v>
      </c>
      <c r="AV210" t="s">
        <v>79</v>
      </c>
      <c r="AY210">
        <v>0</v>
      </c>
    </row>
    <row r="211" spans="1:52" ht="12.75">
      <c r="A211" s="2" t="str">
        <f>HYPERLINK("https://ibp.a2mac1.com/costing(costing:projects/details/8191/assembly/5382795)","Power Inverter Module Converter Module")</f>
        <v>Power Inverter Module Converter Module</v>
      </c>
      <c r="B211">
        <v>5382795</v>
      </c>
      <c r="D211">
        <v>5382793</v>
      </c>
      <c r="F211">
        <v>1</v>
      </c>
      <c r="G211">
        <v>0</v>
      </c>
      <c r="H211">
        <v>762.20276573133754</v>
      </c>
      <c r="I211">
        <v>0</v>
      </c>
      <c r="J211" t="s">
        <v>90</v>
      </c>
      <c r="K211">
        <v>0</v>
      </c>
      <c r="L211">
        <v>762.20276573133754</v>
      </c>
      <c r="M211">
        <v>0</v>
      </c>
      <c r="N211">
        <v>0</v>
      </c>
      <c r="O211">
        <v>762.20276573133754</v>
      </c>
      <c r="P211" t="s">
        <v>90</v>
      </c>
      <c r="Q211">
        <v>0</v>
      </c>
      <c r="R211" t="s">
        <v>90</v>
      </c>
      <c r="S211">
        <v>0</v>
      </c>
      <c r="T211" t="s">
        <v>90</v>
      </c>
      <c r="U211">
        <v>0</v>
      </c>
      <c r="V211" t="s">
        <v>90</v>
      </c>
      <c r="W211">
        <v>0</v>
      </c>
      <c r="X211" t="s">
        <v>90</v>
      </c>
      <c r="Y211">
        <v>0</v>
      </c>
      <c r="Z211">
        <v>762.20276573133754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L211">
        <v>15.2134</v>
      </c>
      <c r="AN211" t="s">
        <v>91</v>
      </c>
      <c r="AO211" t="s">
        <v>92</v>
      </c>
      <c r="AP211">
        <v>200000</v>
      </c>
      <c r="AQ211" t="s">
        <v>92</v>
      </c>
      <c r="AS211">
        <v>10000</v>
      </c>
      <c r="AT211" t="s">
        <v>1921</v>
      </c>
      <c r="AU211" t="s">
        <v>78</v>
      </c>
      <c r="AV211" t="s">
        <v>79</v>
      </c>
      <c r="AY211">
        <v>0</v>
      </c>
    </row>
    <row r="212" spans="1:52" ht="12.75">
      <c r="A212" s="2" t="str">
        <f>HYPERLINK("https://ibp.a2mac1.com/costing(costing:projects/details/8191/assembly/5383015)","Stator")</f>
        <v>Stator</v>
      </c>
      <c r="B212">
        <v>5383015</v>
      </c>
      <c r="D212">
        <v>5382852</v>
      </c>
      <c r="E212" t="s">
        <v>1936</v>
      </c>
      <c r="F212">
        <v>1</v>
      </c>
      <c r="G212">
        <v>0</v>
      </c>
      <c r="H212">
        <v>99.697613379496786</v>
      </c>
      <c r="I212">
        <v>0.50099303205777279</v>
      </c>
      <c r="J212" t="s">
        <v>137</v>
      </c>
      <c r="K212">
        <v>3.4894164682823874</v>
      </c>
      <c r="L212">
        <v>103.68802287983695</v>
      </c>
      <c r="M212">
        <v>0</v>
      </c>
      <c r="N212">
        <v>7.976259670048317</v>
      </c>
      <c r="O212">
        <v>111.66428254988526</v>
      </c>
      <c r="P212" t="s">
        <v>90</v>
      </c>
      <c r="Q212">
        <v>0</v>
      </c>
      <c r="R212" t="s">
        <v>90</v>
      </c>
      <c r="S212">
        <v>0</v>
      </c>
      <c r="T212" t="s">
        <v>90</v>
      </c>
      <c r="U212">
        <v>0</v>
      </c>
      <c r="V212" t="s">
        <v>90</v>
      </c>
      <c r="W212">
        <v>0</v>
      </c>
      <c r="X212" t="s">
        <v>90</v>
      </c>
      <c r="Y212">
        <v>0</v>
      </c>
      <c r="Z212">
        <v>111.66428254988526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N212" t="s">
        <v>1440</v>
      </c>
      <c r="AO212" t="s">
        <v>92</v>
      </c>
      <c r="AP212">
        <v>200000</v>
      </c>
      <c r="AQ212" t="s">
        <v>92</v>
      </c>
      <c r="AS212">
        <v>10000</v>
      </c>
      <c r="AT212" t="s">
        <v>1937</v>
      </c>
      <c r="AU212" t="s">
        <v>78</v>
      </c>
      <c r="AV212" t="s">
        <v>79</v>
      </c>
      <c r="AY212">
        <v>0</v>
      </c>
    </row>
    <row r="213" spans="1:52" ht="12.75">
      <c r="A213" s="2" t="str">
        <f>HYPERLINK("https://ibp.a2mac1.com/costing(costing:projects/details/8191/assembly/5383016)","Rotor")</f>
        <v>Rotor</v>
      </c>
      <c r="B213">
        <v>5383016</v>
      </c>
      <c r="D213">
        <v>5382852</v>
      </c>
      <c r="E213" t="s">
        <v>1954</v>
      </c>
      <c r="F213">
        <v>1</v>
      </c>
      <c r="G213">
        <v>0</v>
      </c>
      <c r="H213">
        <v>41.988884947356681</v>
      </c>
      <c r="I213">
        <v>0.2109994218460135</v>
      </c>
      <c r="J213" t="s">
        <v>137</v>
      </c>
      <c r="K213">
        <v>1.469610973157484</v>
      </c>
      <c r="L213">
        <v>43.669495342360179</v>
      </c>
      <c r="M213">
        <v>0</v>
      </c>
      <c r="N213">
        <v>4.0904842789774776</v>
      </c>
      <c r="O213">
        <v>47.759979621337656</v>
      </c>
      <c r="P213" t="s">
        <v>90</v>
      </c>
      <c r="Q213">
        <v>0</v>
      </c>
      <c r="R213" t="s">
        <v>90</v>
      </c>
      <c r="S213">
        <v>0</v>
      </c>
      <c r="T213" t="s">
        <v>90</v>
      </c>
      <c r="U213">
        <v>0</v>
      </c>
      <c r="V213" t="s">
        <v>90</v>
      </c>
      <c r="W213">
        <v>0</v>
      </c>
      <c r="X213" t="s">
        <v>90</v>
      </c>
      <c r="Y213">
        <v>0</v>
      </c>
      <c r="Z213">
        <v>47.759979621337656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N213" t="s">
        <v>1440</v>
      </c>
      <c r="AO213" t="s">
        <v>92</v>
      </c>
      <c r="AP213">
        <v>200000</v>
      </c>
      <c r="AQ213" t="s">
        <v>92</v>
      </c>
      <c r="AS213">
        <v>10000</v>
      </c>
      <c r="AT213" t="s">
        <v>1955</v>
      </c>
      <c r="AU213" t="s">
        <v>78</v>
      </c>
      <c r="AV213" t="s">
        <v>79</v>
      </c>
      <c r="AY213">
        <v>0</v>
      </c>
    </row>
    <row r="214" spans="1:52" ht="12.75">
      <c r="A214" s="2" t="str">
        <f>HYPERLINK("https://ibp.a2mac1.com/costing(costing:projects/details/8191/assembly/5382852)","Front Motor")</f>
        <v>Front Motor</v>
      </c>
      <c r="B214">
        <v>5382852</v>
      </c>
      <c r="D214">
        <v>5382796</v>
      </c>
      <c r="E214" t="s">
        <v>1936</v>
      </c>
      <c r="F214">
        <v>1</v>
      </c>
      <c r="G214">
        <v>0</v>
      </c>
      <c r="H214">
        <v>216.81937710016661</v>
      </c>
      <c r="I214">
        <v>1.0895446085435507</v>
      </c>
      <c r="J214" t="s">
        <v>137</v>
      </c>
      <c r="K214">
        <v>7.5886781985058311</v>
      </c>
      <c r="L214">
        <v>225.49759990721597</v>
      </c>
      <c r="M214">
        <v>0</v>
      </c>
      <c r="N214">
        <v>16.117843651775452</v>
      </c>
      <c r="O214">
        <v>241.61544355899142</v>
      </c>
      <c r="P214" t="s">
        <v>138</v>
      </c>
      <c r="Q214">
        <v>13.529855994432959</v>
      </c>
      <c r="R214" t="s">
        <v>138</v>
      </c>
      <c r="S214">
        <v>0.96707061910652703</v>
      </c>
      <c r="T214" t="s">
        <v>139</v>
      </c>
      <c r="U214">
        <v>28.993853227078972</v>
      </c>
      <c r="V214" t="s">
        <v>90</v>
      </c>
      <c r="W214">
        <v>0</v>
      </c>
      <c r="X214" t="s">
        <v>90</v>
      </c>
      <c r="Y214">
        <v>0</v>
      </c>
      <c r="Z214">
        <v>285.10622339960986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N214" t="s">
        <v>213</v>
      </c>
      <c r="AO214" t="s">
        <v>92</v>
      </c>
      <c r="AP214">
        <v>200000</v>
      </c>
      <c r="AQ214" t="s">
        <v>76</v>
      </c>
      <c r="AS214">
        <v>10000</v>
      </c>
      <c r="AT214" t="s">
        <v>1988</v>
      </c>
      <c r="AU214" t="s">
        <v>78</v>
      </c>
      <c r="AV214" t="s">
        <v>79</v>
      </c>
      <c r="AY214">
        <v>0</v>
      </c>
    </row>
    <row r="215" spans="1:52" ht="12.75">
      <c r="A215" s="2" t="str">
        <f>HYPERLINK("https://ibp.a2mac1.com/costing(costing:projects/details/8191/assembly/5383070)","Stator")</f>
        <v>Stator</v>
      </c>
      <c r="B215">
        <v>5383070</v>
      </c>
      <c r="D215">
        <v>5382853</v>
      </c>
      <c r="E215" t="s">
        <v>2010</v>
      </c>
      <c r="F215">
        <v>1</v>
      </c>
      <c r="G215">
        <v>0</v>
      </c>
      <c r="H215">
        <v>183.63307486394629</v>
      </c>
      <c r="I215">
        <v>0.92277927067309684</v>
      </c>
      <c r="J215" t="s">
        <v>137</v>
      </c>
      <c r="K215">
        <v>6.4271576202381198</v>
      </c>
      <c r="L215">
        <v>190.9830117548575</v>
      </c>
      <c r="M215">
        <v>0</v>
      </c>
      <c r="N215">
        <v>10.083806280519781</v>
      </c>
      <c r="O215">
        <v>201.06681803537728</v>
      </c>
      <c r="P215" t="s">
        <v>90</v>
      </c>
      <c r="Q215">
        <v>0</v>
      </c>
      <c r="R215" t="s">
        <v>90</v>
      </c>
      <c r="S215">
        <v>0</v>
      </c>
      <c r="T215" t="s">
        <v>90</v>
      </c>
      <c r="U215">
        <v>0</v>
      </c>
      <c r="V215" t="s">
        <v>90</v>
      </c>
      <c r="W215">
        <v>0</v>
      </c>
      <c r="X215" t="s">
        <v>90</v>
      </c>
      <c r="Y215">
        <v>0</v>
      </c>
      <c r="Z215">
        <v>201.06681803537728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N215" t="s">
        <v>1440</v>
      </c>
      <c r="AO215" t="s">
        <v>92</v>
      </c>
      <c r="AP215">
        <v>200000</v>
      </c>
      <c r="AQ215" t="s">
        <v>92</v>
      </c>
      <c r="AS215">
        <v>10000</v>
      </c>
      <c r="AT215" t="s">
        <v>2011</v>
      </c>
      <c r="AU215" t="s">
        <v>78</v>
      </c>
      <c r="AV215" t="s">
        <v>79</v>
      </c>
      <c r="AY215">
        <v>0</v>
      </c>
    </row>
    <row r="216" spans="1:52" ht="12.75">
      <c r="A216" s="2" t="str">
        <f>HYPERLINK("https://ibp.a2mac1.com/costing(costing:projects/details/8191/assembly/5383072)","Rotor")</f>
        <v>Rotor</v>
      </c>
      <c r="B216">
        <v>5383072</v>
      </c>
      <c r="D216">
        <v>5382853</v>
      </c>
      <c r="E216" t="s">
        <v>2043</v>
      </c>
      <c r="F216">
        <v>1</v>
      </c>
      <c r="G216">
        <v>0</v>
      </c>
      <c r="H216">
        <v>189.69149765539768</v>
      </c>
      <c r="I216">
        <v>0.95322360630853098</v>
      </c>
      <c r="J216" t="s">
        <v>137</v>
      </c>
      <c r="K216">
        <v>6.6392024179389182</v>
      </c>
      <c r="L216">
        <v>197.28392367964511</v>
      </c>
      <c r="M216">
        <v>0</v>
      </c>
      <c r="N216">
        <v>6.0229223693696081</v>
      </c>
      <c r="O216">
        <v>203.30684604901472</v>
      </c>
      <c r="P216" t="s">
        <v>90</v>
      </c>
      <c r="Q216">
        <v>0</v>
      </c>
      <c r="R216" t="s">
        <v>90</v>
      </c>
      <c r="S216">
        <v>0</v>
      </c>
      <c r="T216" t="s">
        <v>90</v>
      </c>
      <c r="U216">
        <v>0</v>
      </c>
      <c r="V216" t="s">
        <v>90</v>
      </c>
      <c r="W216">
        <v>0</v>
      </c>
      <c r="X216" t="s">
        <v>90</v>
      </c>
      <c r="Y216">
        <v>0</v>
      </c>
      <c r="Z216">
        <v>203.30684604901472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N216" t="s">
        <v>1440</v>
      </c>
      <c r="AO216" t="s">
        <v>92</v>
      </c>
      <c r="AP216">
        <v>200000</v>
      </c>
      <c r="AQ216" t="s">
        <v>92</v>
      </c>
      <c r="AS216">
        <v>10000</v>
      </c>
      <c r="AT216" t="s">
        <v>2044</v>
      </c>
      <c r="AU216" t="s">
        <v>78</v>
      </c>
      <c r="AV216" t="s">
        <v>79</v>
      </c>
      <c r="AY216">
        <v>0</v>
      </c>
    </row>
    <row r="217" spans="1:52" ht="12.75">
      <c r="A217" s="2" t="str">
        <f>HYPERLINK("https://ibp.a2mac1.com/costing(costing:projects/details/8191/assembly/5382853)","Rear Motor")</f>
        <v>Rear Motor</v>
      </c>
      <c r="B217">
        <v>5382853</v>
      </c>
      <c r="D217">
        <v>5382796</v>
      </c>
      <c r="E217" t="s">
        <v>2076</v>
      </c>
      <c r="F217">
        <v>1</v>
      </c>
      <c r="G217">
        <v>0</v>
      </c>
      <c r="H217">
        <v>456.72071113782528</v>
      </c>
      <c r="I217">
        <v>2.2950789504413329</v>
      </c>
      <c r="J217" t="s">
        <v>137</v>
      </c>
      <c r="K217">
        <v>15.985224889823884</v>
      </c>
      <c r="L217">
        <v>475.0010149780905</v>
      </c>
      <c r="M217">
        <v>0</v>
      </c>
      <c r="N217">
        <v>16.117843651775452</v>
      </c>
      <c r="O217">
        <v>491.11885862986594</v>
      </c>
      <c r="P217" t="s">
        <v>138</v>
      </c>
      <c r="Q217">
        <v>28.50006089868543</v>
      </c>
      <c r="R217" t="s">
        <v>138</v>
      </c>
      <c r="S217">
        <v>0.96707061910652703</v>
      </c>
      <c r="T217" t="s">
        <v>139</v>
      </c>
      <c r="U217">
        <v>58.934263035583911</v>
      </c>
      <c r="V217" t="s">
        <v>90</v>
      </c>
      <c r="W217">
        <v>0</v>
      </c>
      <c r="X217" t="s">
        <v>90</v>
      </c>
      <c r="Y217">
        <v>0</v>
      </c>
      <c r="Z217">
        <v>579.52025318324183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N217" t="s">
        <v>213</v>
      </c>
      <c r="AO217" t="s">
        <v>92</v>
      </c>
      <c r="AP217">
        <v>200000</v>
      </c>
      <c r="AQ217" t="s">
        <v>76</v>
      </c>
      <c r="AS217">
        <v>10000</v>
      </c>
      <c r="AT217" t="s">
        <v>2077</v>
      </c>
      <c r="AU217" t="s">
        <v>78</v>
      </c>
      <c r="AV217" t="s">
        <v>79</v>
      </c>
      <c r="AY217">
        <v>0</v>
      </c>
    </row>
    <row r="218" spans="1:52" ht="12.75">
      <c r="A218" s="2" t="str">
        <f>HYPERLINK("https://ibp.a2mac1.com/costing(costing:projects/details/8191/assembly/5382796)","e-Motor System")</f>
        <v>e-Motor System</v>
      </c>
      <c r="B218">
        <v>5382796</v>
      </c>
      <c r="D218">
        <v>5382793</v>
      </c>
      <c r="F218">
        <v>1</v>
      </c>
      <c r="G218">
        <v>0</v>
      </c>
      <c r="H218">
        <v>864.62647658285175</v>
      </c>
      <c r="I218">
        <v>0</v>
      </c>
      <c r="J218" t="s">
        <v>90</v>
      </c>
      <c r="K218">
        <v>0</v>
      </c>
      <c r="L218">
        <v>864.62647658285175</v>
      </c>
      <c r="M218">
        <v>0</v>
      </c>
      <c r="N218">
        <v>0</v>
      </c>
      <c r="O218">
        <v>864.62647658285175</v>
      </c>
      <c r="P218" t="s">
        <v>90</v>
      </c>
      <c r="Q218">
        <v>0</v>
      </c>
      <c r="R218" t="s">
        <v>90</v>
      </c>
      <c r="S218">
        <v>0</v>
      </c>
      <c r="T218" t="s">
        <v>90</v>
      </c>
      <c r="U218">
        <v>0</v>
      </c>
      <c r="V218" t="s">
        <v>90</v>
      </c>
      <c r="W218">
        <v>0</v>
      </c>
      <c r="X218" t="s">
        <v>90</v>
      </c>
      <c r="Y218">
        <v>0</v>
      </c>
      <c r="Z218">
        <v>864.62647658285175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L218">
        <v>93.631200000000007</v>
      </c>
      <c r="AN218" t="s">
        <v>91</v>
      </c>
      <c r="AO218" t="s">
        <v>92</v>
      </c>
      <c r="AP218">
        <v>200000</v>
      </c>
      <c r="AQ218" t="s">
        <v>92</v>
      </c>
      <c r="AS218">
        <v>10000</v>
      </c>
      <c r="AT218" t="s">
        <v>2078</v>
      </c>
      <c r="AU218" t="s">
        <v>78</v>
      </c>
      <c r="AV218" t="s">
        <v>79</v>
      </c>
      <c r="AY218">
        <v>0</v>
      </c>
    </row>
    <row r="219" spans="1:52" ht="12.75">
      <c r="A219" s="2" t="str">
        <f>HYPERLINK("https://ibp.a2mac1.com/costing(costing:projects/details/8191/assembly/5383074)"," Structural Parts")</f>
        <v xml:space="preserve"> Structural Parts</v>
      </c>
      <c r="B219">
        <v>5383074</v>
      </c>
      <c r="D219">
        <v>5382854</v>
      </c>
      <c r="E219" t="s">
        <v>2083</v>
      </c>
      <c r="F219">
        <v>1</v>
      </c>
      <c r="G219">
        <v>0</v>
      </c>
      <c r="H219">
        <v>0.47799999999999998</v>
      </c>
      <c r="I219">
        <v>0</v>
      </c>
      <c r="J219" t="s">
        <v>90</v>
      </c>
      <c r="K219">
        <v>0</v>
      </c>
      <c r="L219">
        <v>0.47799999999999998</v>
      </c>
      <c r="M219">
        <v>0</v>
      </c>
      <c r="N219">
        <v>0</v>
      </c>
      <c r="O219">
        <v>0.47799999999999998</v>
      </c>
      <c r="P219" t="s">
        <v>90</v>
      </c>
      <c r="Q219">
        <v>0</v>
      </c>
      <c r="R219" t="s">
        <v>90</v>
      </c>
      <c r="S219">
        <v>0</v>
      </c>
      <c r="T219" t="s">
        <v>90</v>
      </c>
      <c r="U219">
        <v>0</v>
      </c>
      <c r="V219" t="s">
        <v>90</v>
      </c>
      <c r="W219">
        <v>0</v>
      </c>
      <c r="X219" t="s">
        <v>90</v>
      </c>
      <c r="Y219">
        <v>0</v>
      </c>
      <c r="Z219">
        <v>0.47799999999999998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N219" t="s">
        <v>342</v>
      </c>
      <c r="AO219" t="s">
        <v>92</v>
      </c>
      <c r="AP219">
        <v>200000</v>
      </c>
      <c r="AQ219" t="s">
        <v>76</v>
      </c>
      <c r="AS219">
        <v>10000</v>
      </c>
      <c r="AT219" t="s">
        <v>9</v>
      </c>
      <c r="AU219" t="s">
        <v>78</v>
      </c>
      <c r="AV219" t="s">
        <v>79</v>
      </c>
      <c r="AY219">
        <v>0</v>
      </c>
    </row>
    <row r="220" spans="1:52" ht="12.75">
      <c r="A220" s="2" t="str">
        <f>HYPERLINK("https://ibp.a2mac1.com/costing(costing:projects/details/8191/assembly/5383076)"," Electrical Components")</f>
        <v xml:space="preserve"> Electrical Components</v>
      </c>
      <c r="B220">
        <v>5383076</v>
      </c>
      <c r="D220">
        <v>5382854</v>
      </c>
      <c r="E220" t="s">
        <v>2086</v>
      </c>
      <c r="F220">
        <v>1</v>
      </c>
      <c r="G220">
        <v>0</v>
      </c>
      <c r="H220">
        <v>19.40</v>
      </c>
      <c r="I220">
        <v>0</v>
      </c>
      <c r="J220" t="s">
        <v>90</v>
      </c>
      <c r="K220">
        <v>0</v>
      </c>
      <c r="L220">
        <v>19.40</v>
      </c>
      <c r="M220">
        <v>0</v>
      </c>
      <c r="N220">
        <v>0</v>
      </c>
      <c r="O220">
        <v>19.40</v>
      </c>
      <c r="P220" t="s">
        <v>90</v>
      </c>
      <c r="Q220">
        <v>0</v>
      </c>
      <c r="R220" t="s">
        <v>90</v>
      </c>
      <c r="S220">
        <v>0</v>
      </c>
      <c r="T220" t="s">
        <v>90</v>
      </c>
      <c r="U220">
        <v>0</v>
      </c>
      <c r="V220" t="s">
        <v>90</v>
      </c>
      <c r="W220">
        <v>0</v>
      </c>
      <c r="X220" t="s">
        <v>90</v>
      </c>
      <c r="Y220">
        <v>0</v>
      </c>
      <c r="Z220">
        <v>19.40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N220" t="s">
        <v>342</v>
      </c>
      <c r="AO220" t="s">
        <v>92</v>
      </c>
      <c r="AP220">
        <v>200000</v>
      </c>
      <c r="AQ220" t="s">
        <v>76</v>
      </c>
      <c r="AS220">
        <v>10000</v>
      </c>
      <c r="AT220" t="s">
        <v>9</v>
      </c>
      <c r="AU220" t="s">
        <v>78</v>
      </c>
      <c r="AV220" t="s">
        <v>79</v>
      </c>
      <c r="AY220">
        <v>0</v>
      </c>
    </row>
    <row r="221" spans="1:52" ht="12.75">
      <c r="A221" s="2" t="str">
        <f>HYPERLINK("https://ibp.a2mac1.com/costing(costing:projects/details/8191/assembly/5382854)"," Hybrid Electric Vehicle ECU")</f>
        <v xml:space="preserve"> Hybrid Electric Vehicle ECU</v>
      </c>
      <c r="B221">
        <v>5382854</v>
      </c>
      <c r="D221">
        <v>5382797</v>
      </c>
      <c r="E221" t="s">
        <v>2088</v>
      </c>
      <c r="F221">
        <v>1</v>
      </c>
      <c r="G221">
        <v>0</v>
      </c>
      <c r="H221">
        <v>19.878</v>
      </c>
      <c r="I221">
        <v>0</v>
      </c>
      <c r="J221" t="s">
        <v>90</v>
      </c>
      <c r="K221">
        <v>0</v>
      </c>
      <c r="L221">
        <v>19.878</v>
      </c>
      <c r="M221">
        <v>0</v>
      </c>
      <c r="N221">
        <v>0.24105199147916936</v>
      </c>
      <c r="O221">
        <v>20.119051991479168</v>
      </c>
      <c r="P221" t="s">
        <v>90</v>
      </c>
      <c r="Q221">
        <v>0</v>
      </c>
      <c r="R221" t="s">
        <v>90</v>
      </c>
      <c r="S221">
        <v>0</v>
      </c>
      <c r="T221" t="s">
        <v>90</v>
      </c>
      <c r="U221">
        <v>0</v>
      </c>
      <c r="V221" t="s">
        <v>90</v>
      </c>
      <c r="W221">
        <v>0</v>
      </c>
      <c r="X221" t="s">
        <v>90</v>
      </c>
      <c r="Y221">
        <v>0</v>
      </c>
      <c r="Z221">
        <v>20.119051991479168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178</v>
      </c>
      <c r="AI221">
        <v>111</v>
      </c>
      <c r="AJ221">
        <v>27</v>
      </c>
      <c r="AK221">
        <v>0</v>
      </c>
      <c r="AL221">
        <v>0</v>
      </c>
      <c r="AN221" t="s">
        <v>342</v>
      </c>
      <c r="AO221" t="s">
        <v>92</v>
      </c>
      <c r="AP221">
        <v>200000</v>
      </c>
      <c r="AQ221" t="s">
        <v>76</v>
      </c>
      <c r="AS221">
        <v>10000</v>
      </c>
      <c r="AT221" t="s">
        <v>9</v>
      </c>
      <c r="AU221" t="s">
        <v>78</v>
      </c>
      <c r="AV221" t="s">
        <v>79</v>
      </c>
      <c r="AY221">
        <v>0</v>
      </c>
    </row>
    <row r="222" spans="1:52" ht="12.75">
      <c r="A222" s="2" t="str">
        <f>HYPERLINK("https://ibp.a2mac1.com/costing(costing:projects/details/8191/assembly/5382855)"," External Components")</f>
        <v xml:space="preserve"> External Components</v>
      </c>
      <c r="B222">
        <v>5382855</v>
      </c>
      <c r="D222">
        <v>5382797</v>
      </c>
      <c r="E222" t="s">
        <v>2091</v>
      </c>
      <c r="F222">
        <v>1</v>
      </c>
      <c r="G222">
        <v>0</v>
      </c>
      <c r="H222">
        <v>0.63</v>
      </c>
      <c r="I222">
        <v>0.0031658291457286433</v>
      </c>
      <c r="J222" t="s">
        <v>137</v>
      </c>
      <c r="K222">
        <v>0.02205</v>
      </c>
      <c r="L222">
        <v>0.65521582914572862</v>
      </c>
      <c r="M222">
        <v>0</v>
      </c>
      <c r="N222">
        <v>0</v>
      </c>
      <c r="O222">
        <v>0.65521582914572862</v>
      </c>
      <c r="P222" t="s">
        <v>138</v>
      </c>
      <c r="Q222">
        <v>0.03931294974874372</v>
      </c>
      <c r="R222" t="s">
        <v>138</v>
      </c>
      <c r="S222">
        <v>0</v>
      </c>
      <c r="T222" t="s">
        <v>139</v>
      </c>
      <c r="U222">
        <v>0.078625899497487439</v>
      </c>
      <c r="V222" t="s">
        <v>90</v>
      </c>
      <c r="W222">
        <v>0</v>
      </c>
      <c r="X222" t="s">
        <v>90</v>
      </c>
      <c r="Y222">
        <v>0</v>
      </c>
      <c r="Z222">
        <v>0.77315467839195984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N222" t="s">
        <v>1866</v>
      </c>
      <c r="AO222" t="s">
        <v>92</v>
      </c>
      <c r="AP222">
        <v>200000</v>
      </c>
      <c r="AQ222" t="s">
        <v>76</v>
      </c>
      <c r="AS222">
        <v>10000</v>
      </c>
      <c r="AT222" t="s">
        <v>9</v>
      </c>
      <c r="AU222" t="s">
        <v>78</v>
      </c>
      <c r="AV222" t="s">
        <v>79</v>
      </c>
      <c r="AY222">
        <v>0</v>
      </c>
    </row>
    <row r="223" spans="1:52" ht="12.75">
      <c r="A223" s="2" t="str">
        <f>HYPERLINK("https://ibp.a2mac1.com/costing(costing:projects/details/8191/assembly/5382797)","Hybrid/Electric Vehicle ECU ")</f>
        <v xml:space="preserve">Hybrid/Electric Vehicle ECU </v>
      </c>
      <c r="B223">
        <v>5382797</v>
      </c>
      <c r="D223">
        <v>5382793</v>
      </c>
      <c r="E223" t="s">
        <v>2092</v>
      </c>
      <c r="F223">
        <v>1</v>
      </c>
      <c r="G223">
        <v>0</v>
      </c>
      <c r="H223">
        <v>20.892206669871129</v>
      </c>
      <c r="I223">
        <v>0.10498596316518155</v>
      </c>
      <c r="J223" t="s">
        <v>137</v>
      </c>
      <c r="K223">
        <v>0.73122723344548957</v>
      </c>
      <c r="L223">
        <v>21.728419866481801</v>
      </c>
      <c r="M223">
        <v>0</v>
      </c>
      <c r="N223">
        <v>0</v>
      </c>
      <c r="O223">
        <v>21.728419866481801</v>
      </c>
      <c r="P223" t="s">
        <v>138</v>
      </c>
      <c r="Q223">
        <v>1.303705191988908</v>
      </c>
      <c r="R223" t="s">
        <v>138</v>
      </c>
      <c r="S223">
        <v>0</v>
      </c>
      <c r="T223" t="s">
        <v>139</v>
      </c>
      <c r="U223">
        <v>2.607410383977816</v>
      </c>
      <c r="V223" t="s">
        <v>90</v>
      </c>
      <c r="W223">
        <v>0</v>
      </c>
      <c r="X223" t="s">
        <v>90</v>
      </c>
      <c r="Y223">
        <v>0</v>
      </c>
      <c r="Z223">
        <v>25.639535442448523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N223" t="s">
        <v>576</v>
      </c>
      <c r="AO223" t="s">
        <v>92</v>
      </c>
      <c r="AP223">
        <v>200000</v>
      </c>
      <c r="AQ223" t="s">
        <v>76</v>
      </c>
      <c r="AS223">
        <v>10000</v>
      </c>
      <c r="AT223" t="s">
        <v>2093</v>
      </c>
      <c r="AU223" t="s">
        <v>78</v>
      </c>
      <c r="AV223" t="s">
        <v>79</v>
      </c>
      <c r="AY223">
        <v>0</v>
      </c>
    </row>
    <row r="224" spans="1:52" ht="12.75">
      <c r="A224" s="2" t="str">
        <f>HYPERLINK("https://ibp.a2mac1.com/costing(costing:projects/details/8191/assembly/5383078)"," Busbars")</f>
        <v xml:space="preserve"> Busbars</v>
      </c>
      <c r="B224">
        <v>5383078</v>
      </c>
      <c r="D224">
        <v>5382856</v>
      </c>
      <c r="E224" t="s">
        <v>2099</v>
      </c>
      <c r="F224">
        <v>1</v>
      </c>
      <c r="G224">
        <v>0</v>
      </c>
      <c r="H224">
        <v>0.53420000000000001</v>
      </c>
      <c r="I224">
        <v>0</v>
      </c>
      <c r="J224" t="s">
        <v>90</v>
      </c>
      <c r="K224">
        <v>0</v>
      </c>
      <c r="L224">
        <v>0.53420000000000001</v>
      </c>
      <c r="M224">
        <v>0</v>
      </c>
      <c r="N224">
        <v>0</v>
      </c>
      <c r="O224">
        <v>0.53420000000000001</v>
      </c>
      <c r="P224" t="s">
        <v>90</v>
      </c>
      <c r="Q224">
        <v>0</v>
      </c>
      <c r="R224" t="s">
        <v>90</v>
      </c>
      <c r="S224">
        <v>0</v>
      </c>
      <c r="T224" t="s">
        <v>90</v>
      </c>
      <c r="U224">
        <v>0</v>
      </c>
      <c r="V224" t="s">
        <v>90</v>
      </c>
      <c r="W224">
        <v>0</v>
      </c>
      <c r="X224" t="s">
        <v>90</v>
      </c>
      <c r="Y224">
        <v>0</v>
      </c>
      <c r="Z224">
        <v>0.53420000000000001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N224" t="s">
        <v>342</v>
      </c>
      <c r="AO224" t="s">
        <v>92</v>
      </c>
      <c r="AP224">
        <v>200000</v>
      </c>
      <c r="AQ224" t="s">
        <v>76</v>
      </c>
      <c r="AS224">
        <v>10000</v>
      </c>
      <c r="AT224" t="s">
        <v>9</v>
      </c>
      <c r="AU224" t="s">
        <v>78</v>
      </c>
      <c r="AV224" t="s">
        <v>79</v>
      </c>
      <c r="AY224">
        <v>0</v>
      </c>
    </row>
    <row r="225" spans="1:52" ht="12.75">
      <c r="A225" s="2" t="str">
        <f>HYPERLINK("https://ibp.a2mac1.com/costing(costing:projects/details/8191/assembly/5383397)"," HV Connectors")</f>
        <v xml:space="preserve"> HV Connectors</v>
      </c>
      <c r="B225">
        <v>5383397</v>
      </c>
      <c r="D225">
        <v>5383079</v>
      </c>
      <c r="E225" t="s">
        <v>2103</v>
      </c>
      <c r="F225">
        <v>1</v>
      </c>
      <c r="G225">
        <v>0</v>
      </c>
      <c r="H225">
        <v>3.2679999999999998</v>
      </c>
      <c r="I225">
        <v>0</v>
      </c>
      <c r="J225" t="s">
        <v>90</v>
      </c>
      <c r="K225">
        <v>0</v>
      </c>
      <c r="L225">
        <v>3.2679999999999998</v>
      </c>
      <c r="M225">
        <v>0</v>
      </c>
      <c r="N225">
        <v>0</v>
      </c>
      <c r="O225">
        <v>3.2679999999999998</v>
      </c>
      <c r="P225" t="s">
        <v>90</v>
      </c>
      <c r="Q225">
        <v>0</v>
      </c>
      <c r="R225" t="s">
        <v>90</v>
      </c>
      <c r="S225">
        <v>0</v>
      </c>
      <c r="T225" t="s">
        <v>90</v>
      </c>
      <c r="U225">
        <v>0</v>
      </c>
      <c r="V225" t="s">
        <v>90</v>
      </c>
      <c r="W225">
        <v>0</v>
      </c>
      <c r="X225" t="s">
        <v>90</v>
      </c>
      <c r="Y225">
        <v>0</v>
      </c>
      <c r="Z225">
        <v>3.2679999999999998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N225" t="s">
        <v>342</v>
      </c>
      <c r="AO225" t="s">
        <v>92</v>
      </c>
      <c r="AP225">
        <v>200000</v>
      </c>
      <c r="AQ225" t="s">
        <v>76</v>
      </c>
      <c r="AS225">
        <v>10000</v>
      </c>
      <c r="AT225" t="s">
        <v>9</v>
      </c>
      <c r="AU225" t="s">
        <v>78</v>
      </c>
      <c r="AV225" t="s">
        <v>79</v>
      </c>
      <c r="AY225">
        <v>0</v>
      </c>
    </row>
    <row r="226" spans="1:52" ht="12.75">
      <c r="A226" s="2" t="str">
        <f>HYPERLINK("https://ibp.a2mac1.com/costing(costing:projects/details/8191/assembly/5383079)"," Connectors")</f>
        <v xml:space="preserve"> Connectors</v>
      </c>
      <c r="B226">
        <v>5383079</v>
      </c>
      <c r="D226">
        <v>5382856</v>
      </c>
      <c r="E226" t="s">
        <v>2104</v>
      </c>
      <c r="F226">
        <v>1</v>
      </c>
      <c r="G226">
        <v>0</v>
      </c>
      <c r="H226">
        <v>3.2679999999999998</v>
      </c>
      <c r="I226">
        <v>0</v>
      </c>
      <c r="J226" t="s">
        <v>90</v>
      </c>
      <c r="K226">
        <v>0</v>
      </c>
      <c r="L226">
        <v>3.2679999999999998</v>
      </c>
      <c r="M226">
        <v>0</v>
      </c>
      <c r="N226">
        <v>0</v>
      </c>
      <c r="O226">
        <v>3.2679999999999998</v>
      </c>
      <c r="P226" t="s">
        <v>90</v>
      </c>
      <c r="Q226">
        <v>0</v>
      </c>
      <c r="R226" t="s">
        <v>90</v>
      </c>
      <c r="S226">
        <v>0</v>
      </c>
      <c r="T226" t="s">
        <v>90</v>
      </c>
      <c r="U226">
        <v>0</v>
      </c>
      <c r="V226" t="s">
        <v>90</v>
      </c>
      <c r="W226">
        <v>0</v>
      </c>
      <c r="X226" t="s">
        <v>90</v>
      </c>
      <c r="Y226">
        <v>0</v>
      </c>
      <c r="Z226">
        <v>3.2679999999999998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N226" t="s">
        <v>342</v>
      </c>
      <c r="AO226" t="s">
        <v>92</v>
      </c>
      <c r="AP226">
        <v>200000</v>
      </c>
      <c r="AQ226" t="s">
        <v>76</v>
      </c>
      <c r="AS226">
        <v>10000</v>
      </c>
      <c r="AT226" t="s">
        <v>9</v>
      </c>
      <c r="AU226" t="s">
        <v>78</v>
      </c>
      <c r="AV226" t="s">
        <v>79</v>
      </c>
      <c r="AY226">
        <v>0</v>
      </c>
    </row>
    <row r="227" spans="1:52" ht="12.75">
      <c r="A227" s="2" t="str">
        <f>HYPERLINK("https://ibp.a2mac1.com/costing(costing:projects/details/8191/assembly/5382856)"," Connectors &amp; Wire Harnesses")</f>
        <v xml:space="preserve"> Connectors &amp; Wire Harnesses</v>
      </c>
      <c r="B227">
        <v>5382856</v>
      </c>
      <c r="D227">
        <v>5382798</v>
      </c>
      <c r="E227" t="s">
        <v>2105</v>
      </c>
      <c r="F227">
        <v>1</v>
      </c>
      <c r="G227">
        <v>0</v>
      </c>
      <c r="H227">
        <v>3.8022</v>
      </c>
      <c r="I227">
        <v>0</v>
      </c>
      <c r="J227" t="s">
        <v>90</v>
      </c>
      <c r="K227">
        <v>0</v>
      </c>
      <c r="L227">
        <v>3.8022</v>
      </c>
      <c r="M227">
        <v>0</v>
      </c>
      <c r="N227">
        <v>0</v>
      </c>
      <c r="O227">
        <v>3.8022</v>
      </c>
      <c r="P227" t="s">
        <v>90</v>
      </c>
      <c r="Q227">
        <v>0</v>
      </c>
      <c r="R227" t="s">
        <v>90</v>
      </c>
      <c r="S227">
        <v>0</v>
      </c>
      <c r="T227" t="s">
        <v>90</v>
      </c>
      <c r="U227">
        <v>0</v>
      </c>
      <c r="V227" t="s">
        <v>90</v>
      </c>
      <c r="W227">
        <v>0</v>
      </c>
      <c r="X227" t="s">
        <v>90</v>
      </c>
      <c r="Y227">
        <v>0</v>
      </c>
      <c r="Z227">
        <v>3.8022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N227" t="s">
        <v>342</v>
      </c>
      <c r="AO227" t="s">
        <v>92</v>
      </c>
      <c r="AP227">
        <v>200000</v>
      </c>
      <c r="AQ227" t="s">
        <v>76</v>
      </c>
      <c r="AS227">
        <v>10000</v>
      </c>
      <c r="AT227" t="s">
        <v>9</v>
      </c>
      <c r="AU227" t="s">
        <v>78</v>
      </c>
      <c r="AV227" t="s">
        <v>79</v>
      </c>
      <c r="AY227">
        <v>0</v>
      </c>
    </row>
    <row r="228" spans="1:52" ht="12.75">
      <c r="A228" s="2" t="str">
        <f>HYPERLINK("https://ibp.a2mac1.com/costing(costing:projects/details/8191/assembly/5383080)"," Ferrites &amp; Cores")</f>
        <v xml:space="preserve"> Ferrites &amp; Cores</v>
      </c>
      <c r="B228">
        <v>5383080</v>
      </c>
      <c r="D228">
        <v>5382857</v>
      </c>
      <c r="E228" t="s">
        <v>2118</v>
      </c>
      <c r="F228">
        <v>1</v>
      </c>
      <c r="G228">
        <v>0</v>
      </c>
      <c r="H228">
        <v>8.8629999999999995</v>
      </c>
      <c r="I228">
        <v>0</v>
      </c>
      <c r="J228" t="s">
        <v>90</v>
      </c>
      <c r="K228">
        <v>0</v>
      </c>
      <c r="L228">
        <v>8.8629999999999995</v>
      </c>
      <c r="M228">
        <v>0</v>
      </c>
      <c r="N228">
        <v>0</v>
      </c>
      <c r="O228">
        <v>8.8629999999999995</v>
      </c>
      <c r="P228" t="s">
        <v>90</v>
      </c>
      <c r="Q228">
        <v>0</v>
      </c>
      <c r="R228" t="s">
        <v>90</v>
      </c>
      <c r="S228">
        <v>0</v>
      </c>
      <c r="T228" t="s">
        <v>90</v>
      </c>
      <c r="U228">
        <v>0</v>
      </c>
      <c r="V228" t="s">
        <v>90</v>
      </c>
      <c r="W228">
        <v>0</v>
      </c>
      <c r="X228" t="s">
        <v>90</v>
      </c>
      <c r="Y228">
        <v>0</v>
      </c>
      <c r="Z228">
        <v>8.8629999999999995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N228" t="s">
        <v>342</v>
      </c>
      <c r="AO228" t="s">
        <v>92</v>
      </c>
      <c r="AP228">
        <v>200000</v>
      </c>
      <c r="AQ228" t="s">
        <v>76</v>
      </c>
      <c r="AS228">
        <v>10000</v>
      </c>
      <c r="AT228" t="s">
        <v>9</v>
      </c>
      <c r="AU228" t="s">
        <v>78</v>
      </c>
      <c r="AV228" t="s">
        <v>79</v>
      </c>
      <c r="AY228">
        <v>0</v>
      </c>
    </row>
    <row r="229" spans="1:52" ht="12.75">
      <c r="A229" s="2" t="str">
        <f>HYPERLINK("https://ibp.a2mac1.com/costing(costing:projects/details/8191/assembly/5382857)"," Electrical Parts")</f>
        <v xml:space="preserve"> Electrical Parts</v>
      </c>
      <c r="B229">
        <v>5382857</v>
      </c>
      <c r="D229">
        <v>5382798</v>
      </c>
      <c r="E229" t="s">
        <v>2119</v>
      </c>
      <c r="F229">
        <v>1</v>
      </c>
      <c r="G229">
        <v>0</v>
      </c>
      <c r="H229">
        <v>8.8629999999999995</v>
      </c>
      <c r="I229">
        <v>0</v>
      </c>
      <c r="J229" t="s">
        <v>90</v>
      </c>
      <c r="K229">
        <v>0</v>
      </c>
      <c r="L229">
        <v>8.8629999999999995</v>
      </c>
      <c r="M229">
        <v>0</v>
      </c>
      <c r="N229">
        <v>0</v>
      </c>
      <c r="O229">
        <v>8.8629999999999995</v>
      </c>
      <c r="P229" t="s">
        <v>90</v>
      </c>
      <c r="Q229">
        <v>0</v>
      </c>
      <c r="R229" t="s">
        <v>90</v>
      </c>
      <c r="S229">
        <v>0</v>
      </c>
      <c r="T229" t="s">
        <v>90</v>
      </c>
      <c r="U229">
        <v>0</v>
      </c>
      <c r="V229" t="s">
        <v>90</v>
      </c>
      <c r="W229">
        <v>0</v>
      </c>
      <c r="X229" t="s">
        <v>90</v>
      </c>
      <c r="Y229">
        <v>0</v>
      </c>
      <c r="Z229">
        <v>8.8629999999999995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N229" t="s">
        <v>342</v>
      </c>
      <c r="AO229" t="s">
        <v>92</v>
      </c>
      <c r="AP229">
        <v>200000</v>
      </c>
      <c r="AQ229" t="s">
        <v>76</v>
      </c>
      <c r="AS229">
        <v>10000</v>
      </c>
      <c r="AT229" t="s">
        <v>9</v>
      </c>
      <c r="AU229" t="s">
        <v>78</v>
      </c>
      <c r="AV229" t="s">
        <v>79</v>
      </c>
      <c r="AY229">
        <v>0</v>
      </c>
    </row>
    <row r="230" spans="1:52" ht="12.75">
      <c r="A230" s="2" t="str">
        <f>HYPERLINK("https://ibp.a2mac1.com/costing(costing:projects/details/8191/assembly/5382858)"," Electronic Parts")</f>
        <v xml:space="preserve"> Electronic Parts</v>
      </c>
      <c r="B230">
        <v>5382858</v>
      </c>
      <c r="D230">
        <v>5382798</v>
      </c>
      <c r="E230" t="s">
        <v>2122</v>
      </c>
      <c r="F230">
        <v>1</v>
      </c>
      <c r="G230">
        <v>0</v>
      </c>
      <c r="H230">
        <v>65.64</v>
      </c>
      <c r="I230">
        <v>0</v>
      </c>
      <c r="J230" t="s">
        <v>90</v>
      </c>
      <c r="K230">
        <v>0</v>
      </c>
      <c r="L230">
        <v>65.64</v>
      </c>
      <c r="M230">
        <v>0</v>
      </c>
      <c r="N230">
        <v>0</v>
      </c>
      <c r="O230">
        <v>65.64</v>
      </c>
      <c r="P230" t="s">
        <v>90</v>
      </c>
      <c r="Q230">
        <v>0</v>
      </c>
      <c r="R230" t="s">
        <v>90</v>
      </c>
      <c r="S230">
        <v>0</v>
      </c>
      <c r="T230" t="s">
        <v>90</v>
      </c>
      <c r="U230">
        <v>0</v>
      </c>
      <c r="V230" t="s">
        <v>90</v>
      </c>
      <c r="W230">
        <v>0</v>
      </c>
      <c r="X230" t="s">
        <v>90</v>
      </c>
      <c r="Y230">
        <v>0</v>
      </c>
      <c r="Z230">
        <v>65.64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N230" t="s">
        <v>342</v>
      </c>
      <c r="AO230" t="s">
        <v>92</v>
      </c>
      <c r="AP230">
        <v>200000</v>
      </c>
      <c r="AQ230" t="s">
        <v>76</v>
      </c>
      <c r="AS230">
        <v>10000</v>
      </c>
      <c r="AT230" t="s">
        <v>9</v>
      </c>
      <c r="AU230" t="s">
        <v>78</v>
      </c>
      <c r="AV230" t="s">
        <v>79</v>
      </c>
      <c r="AY230">
        <v>0</v>
      </c>
    </row>
    <row r="231" spans="1:52" ht="12.75">
      <c r="A231" s="2" t="str">
        <f>HYPERLINK("https://ibp.a2mac1.com/costing(costing:projects/details/8191/assembly/5383082)"," Adhesives / Foam Pads")</f>
        <v xml:space="preserve"> Adhesives / Foam Pads</v>
      </c>
      <c r="B231">
        <v>5383082</v>
      </c>
      <c r="D231">
        <v>5382859</v>
      </c>
      <c r="E231" t="s">
        <v>2130</v>
      </c>
      <c r="F231">
        <v>1</v>
      </c>
      <c r="G231">
        <v>0</v>
      </c>
      <c r="H231">
        <v>7.2329999999999997</v>
      </c>
      <c r="I231">
        <v>0</v>
      </c>
      <c r="J231" t="s">
        <v>90</v>
      </c>
      <c r="K231">
        <v>0</v>
      </c>
      <c r="L231">
        <v>7.2329999999999997</v>
      </c>
      <c r="M231">
        <v>0</v>
      </c>
      <c r="N231">
        <v>0</v>
      </c>
      <c r="O231">
        <v>7.2329999999999997</v>
      </c>
      <c r="P231" t="s">
        <v>90</v>
      </c>
      <c r="Q231">
        <v>0</v>
      </c>
      <c r="R231" t="s">
        <v>90</v>
      </c>
      <c r="S231">
        <v>0</v>
      </c>
      <c r="T231" t="s">
        <v>90</v>
      </c>
      <c r="U231">
        <v>0</v>
      </c>
      <c r="V231" t="s">
        <v>90</v>
      </c>
      <c r="W231">
        <v>0</v>
      </c>
      <c r="X231" t="s">
        <v>90</v>
      </c>
      <c r="Y231">
        <v>0</v>
      </c>
      <c r="Z231">
        <v>7.2329999999999997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N231" t="s">
        <v>342</v>
      </c>
      <c r="AO231" t="s">
        <v>92</v>
      </c>
      <c r="AP231">
        <v>200000</v>
      </c>
      <c r="AQ231" t="s">
        <v>76</v>
      </c>
      <c r="AS231">
        <v>10000</v>
      </c>
      <c r="AT231" t="s">
        <v>9</v>
      </c>
      <c r="AU231" t="s">
        <v>78</v>
      </c>
      <c r="AV231" t="s">
        <v>79</v>
      </c>
      <c r="AY231">
        <v>0</v>
      </c>
    </row>
    <row r="232" spans="1:52" ht="12.75">
      <c r="A232" s="2" t="str">
        <f>HYPERLINK("https://ibp.a2mac1.com/costing(costing:projects/details/8191/assembly/5383083)"," Covers")</f>
        <v xml:space="preserve"> Covers</v>
      </c>
      <c r="B232">
        <v>5383083</v>
      </c>
      <c r="D232">
        <v>5382859</v>
      </c>
      <c r="E232" t="s">
        <v>2134</v>
      </c>
      <c r="F232">
        <v>1</v>
      </c>
      <c r="G232">
        <v>0</v>
      </c>
      <c r="H232">
        <v>0.090999999999999998</v>
      </c>
      <c r="I232">
        <v>0</v>
      </c>
      <c r="J232" t="s">
        <v>90</v>
      </c>
      <c r="K232">
        <v>0</v>
      </c>
      <c r="L232">
        <v>0.090999999999999998</v>
      </c>
      <c r="M232">
        <v>0</v>
      </c>
      <c r="N232">
        <v>0</v>
      </c>
      <c r="O232">
        <v>0.090999999999999998</v>
      </c>
      <c r="P232" t="s">
        <v>90</v>
      </c>
      <c r="Q232">
        <v>0</v>
      </c>
      <c r="R232" t="s">
        <v>90</v>
      </c>
      <c r="S232">
        <v>0</v>
      </c>
      <c r="T232" t="s">
        <v>90</v>
      </c>
      <c r="U232">
        <v>0</v>
      </c>
      <c r="V232" t="s">
        <v>90</v>
      </c>
      <c r="W232">
        <v>0</v>
      </c>
      <c r="X232" t="s">
        <v>90</v>
      </c>
      <c r="Y232">
        <v>0</v>
      </c>
      <c r="Z232">
        <v>0.090999999999999998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N232" t="s">
        <v>342</v>
      </c>
      <c r="AO232" t="s">
        <v>92</v>
      </c>
      <c r="AP232">
        <v>200000</v>
      </c>
      <c r="AQ232" t="s">
        <v>76</v>
      </c>
      <c r="AS232">
        <v>10000</v>
      </c>
      <c r="AT232" t="s">
        <v>9</v>
      </c>
      <c r="AU232" t="s">
        <v>78</v>
      </c>
      <c r="AV232" t="s">
        <v>79</v>
      </c>
      <c r="AY232">
        <v>0</v>
      </c>
    </row>
    <row r="233" spans="1:52" ht="12.75">
      <c r="A233" s="2" t="str">
        <f>HYPERLINK("https://ibp.a2mac1.com/costing(costing:projects/details/8191/assembly/5383084)"," Housing Parts")</f>
        <v xml:space="preserve"> Housing Parts</v>
      </c>
      <c r="B233">
        <v>5383084</v>
      </c>
      <c r="D233">
        <v>5382859</v>
      </c>
      <c r="E233" t="s">
        <v>2147</v>
      </c>
      <c r="F233">
        <v>1</v>
      </c>
      <c r="G233">
        <v>0</v>
      </c>
      <c r="H233">
        <v>21.794980440670482</v>
      </c>
      <c r="I233">
        <v>0</v>
      </c>
      <c r="J233" t="s">
        <v>90</v>
      </c>
      <c r="K233">
        <v>0</v>
      </c>
      <c r="L233">
        <v>21.794980440670482</v>
      </c>
      <c r="M233">
        <v>0</v>
      </c>
      <c r="N233">
        <v>0</v>
      </c>
      <c r="O233">
        <v>21.794980440670482</v>
      </c>
      <c r="P233" t="s">
        <v>90</v>
      </c>
      <c r="Q233">
        <v>0</v>
      </c>
      <c r="R233" t="s">
        <v>90</v>
      </c>
      <c r="S233">
        <v>0</v>
      </c>
      <c r="T233" t="s">
        <v>90</v>
      </c>
      <c r="U233">
        <v>0</v>
      </c>
      <c r="V233" t="s">
        <v>90</v>
      </c>
      <c r="W233">
        <v>0</v>
      </c>
      <c r="X233" t="s">
        <v>90</v>
      </c>
      <c r="Y233">
        <v>0</v>
      </c>
      <c r="Z233">
        <v>21.794980440670482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N233" t="s">
        <v>342</v>
      </c>
      <c r="AO233" t="s">
        <v>92</v>
      </c>
      <c r="AP233">
        <v>200000</v>
      </c>
      <c r="AQ233" t="s">
        <v>76</v>
      </c>
      <c r="AS233">
        <v>10000</v>
      </c>
      <c r="AT233" t="s">
        <v>9</v>
      </c>
      <c r="AU233" t="s">
        <v>78</v>
      </c>
      <c r="AV233" t="s">
        <v>79</v>
      </c>
      <c r="AY233">
        <v>0</v>
      </c>
    </row>
    <row r="234" spans="1:52" ht="12.75">
      <c r="A234" s="2" t="str">
        <f>HYPERLINK("https://ibp.a2mac1.com/costing(costing:projects/details/8191/assembly/5382859)"," Mechanical Parts")</f>
        <v xml:space="preserve"> Mechanical Parts</v>
      </c>
      <c r="B234">
        <v>5382859</v>
      </c>
      <c r="D234">
        <v>5382798</v>
      </c>
      <c r="E234" t="s">
        <v>2148</v>
      </c>
      <c r="F234">
        <v>1</v>
      </c>
      <c r="G234">
        <v>0</v>
      </c>
      <c r="H234">
        <v>29.118980440670484</v>
      </c>
      <c r="I234">
        <v>0</v>
      </c>
      <c r="J234" t="s">
        <v>90</v>
      </c>
      <c r="K234">
        <v>0</v>
      </c>
      <c r="L234">
        <v>29.118980440670484</v>
      </c>
      <c r="M234">
        <v>0</v>
      </c>
      <c r="N234">
        <v>0</v>
      </c>
      <c r="O234">
        <v>29.118980440670484</v>
      </c>
      <c r="P234" t="s">
        <v>90</v>
      </c>
      <c r="Q234">
        <v>0</v>
      </c>
      <c r="R234" t="s">
        <v>90</v>
      </c>
      <c r="S234">
        <v>0</v>
      </c>
      <c r="T234" t="s">
        <v>90</v>
      </c>
      <c r="U234">
        <v>0</v>
      </c>
      <c r="V234" t="s">
        <v>90</v>
      </c>
      <c r="W234">
        <v>0</v>
      </c>
      <c r="X234" t="s">
        <v>90</v>
      </c>
      <c r="Y234">
        <v>0</v>
      </c>
      <c r="Z234">
        <v>29.118980440670484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N234" t="s">
        <v>342</v>
      </c>
      <c r="AO234" t="s">
        <v>92</v>
      </c>
      <c r="AP234">
        <v>200000</v>
      </c>
      <c r="AQ234" t="s">
        <v>76</v>
      </c>
      <c r="AS234">
        <v>10000</v>
      </c>
      <c r="AT234" t="s">
        <v>9</v>
      </c>
      <c r="AU234" t="s">
        <v>78</v>
      </c>
      <c r="AV234" t="s">
        <v>79</v>
      </c>
      <c r="AY234">
        <v>0</v>
      </c>
    </row>
    <row r="235" spans="1:52" ht="12.75">
      <c r="A235" s="2" t="str">
        <f>HYPERLINK("https://ibp.a2mac1.com/costing(costing:projects/details/8191/assembly/5382798)","DC-DC Converter ")</f>
        <v xml:space="preserve">DC-DC Converter </v>
      </c>
      <c r="B235">
        <v>5382798</v>
      </c>
      <c r="D235">
        <v>5382793</v>
      </c>
      <c r="E235" t="s">
        <v>2150</v>
      </c>
      <c r="F235">
        <v>1</v>
      </c>
      <c r="G235">
        <v>0</v>
      </c>
      <c r="H235">
        <v>107.42418044067048</v>
      </c>
      <c r="I235">
        <v>0</v>
      </c>
      <c r="J235" t="s">
        <v>90</v>
      </c>
      <c r="K235">
        <v>0</v>
      </c>
      <c r="L235">
        <v>107.42418044067048</v>
      </c>
      <c r="M235">
        <v>0</v>
      </c>
      <c r="N235">
        <v>3.5471572053543077</v>
      </c>
      <c r="O235">
        <v>110.97133764602479</v>
      </c>
      <c r="P235" t="s">
        <v>90</v>
      </c>
      <c r="Q235">
        <v>0</v>
      </c>
      <c r="R235" t="s">
        <v>90</v>
      </c>
      <c r="S235">
        <v>0</v>
      </c>
      <c r="T235" t="s">
        <v>90</v>
      </c>
      <c r="U235">
        <v>0</v>
      </c>
      <c r="V235" t="s">
        <v>90</v>
      </c>
      <c r="W235">
        <v>0</v>
      </c>
      <c r="X235" t="s">
        <v>90</v>
      </c>
      <c r="Y235">
        <v>0</v>
      </c>
      <c r="Z235">
        <v>110.97133764602479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N235" t="s">
        <v>91</v>
      </c>
      <c r="AO235" t="s">
        <v>92</v>
      </c>
      <c r="AP235">
        <v>200000</v>
      </c>
      <c r="AQ235" t="s">
        <v>92</v>
      </c>
      <c r="AS235">
        <v>10000</v>
      </c>
      <c r="AT235" t="s">
        <v>2151</v>
      </c>
      <c r="AU235" t="s">
        <v>78</v>
      </c>
      <c r="AV235" t="s">
        <v>79</v>
      </c>
      <c r="AY235">
        <v>0</v>
      </c>
    </row>
    <row r="236" spans="1:52" ht="12.75">
      <c r="A236" s="2" t="str">
        <f>HYPERLINK("https://ibp.a2mac1.com/costing(costing:projects/details/8191/assembly/5383422)"," HV Connectors")</f>
        <v xml:space="preserve"> HV Connectors</v>
      </c>
      <c r="B236">
        <v>5383422</v>
      </c>
      <c r="D236">
        <v>5383085</v>
      </c>
      <c r="E236" t="s">
        <v>2158</v>
      </c>
      <c r="F236">
        <v>1</v>
      </c>
      <c r="G236">
        <v>0</v>
      </c>
      <c r="H236">
        <v>8.673</v>
      </c>
      <c r="I236">
        <v>0</v>
      </c>
      <c r="J236" t="s">
        <v>90</v>
      </c>
      <c r="K236">
        <v>0</v>
      </c>
      <c r="L236">
        <v>8.673</v>
      </c>
      <c r="M236">
        <v>0</v>
      </c>
      <c r="N236">
        <v>0</v>
      </c>
      <c r="O236">
        <v>8.673</v>
      </c>
      <c r="P236" t="s">
        <v>90</v>
      </c>
      <c r="Q236">
        <v>0</v>
      </c>
      <c r="R236" t="s">
        <v>90</v>
      </c>
      <c r="S236">
        <v>0</v>
      </c>
      <c r="T236" t="s">
        <v>90</v>
      </c>
      <c r="U236">
        <v>0</v>
      </c>
      <c r="V236" t="s">
        <v>90</v>
      </c>
      <c r="W236">
        <v>0</v>
      </c>
      <c r="X236" t="s">
        <v>90</v>
      </c>
      <c r="Y236">
        <v>0</v>
      </c>
      <c r="Z236">
        <v>8.673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N236" t="s">
        <v>342</v>
      </c>
      <c r="AO236" t="s">
        <v>92</v>
      </c>
      <c r="AP236">
        <v>200000</v>
      </c>
      <c r="AQ236" t="s">
        <v>76</v>
      </c>
      <c r="AS236">
        <v>10000</v>
      </c>
      <c r="AT236" t="s">
        <v>9</v>
      </c>
      <c r="AU236" t="s">
        <v>78</v>
      </c>
      <c r="AV236" t="s">
        <v>79</v>
      </c>
      <c r="AY236">
        <v>0</v>
      </c>
    </row>
    <row r="237" spans="1:52" ht="12.75">
      <c r="A237" s="2" t="str">
        <f>HYPERLINK("https://ibp.a2mac1.com/costing(costing:projects/details/8191/assembly/5383085)"," Connectors")</f>
        <v xml:space="preserve"> Connectors</v>
      </c>
      <c r="B237">
        <v>5383085</v>
      </c>
      <c r="D237">
        <v>5382860</v>
      </c>
      <c r="E237" t="s">
        <v>2160</v>
      </c>
      <c r="F237">
        <v>1</v>
      </c>
      <c r="G237">
        <v>0</v>
      </c>
      <c r="H237">
        <v>9.11</v>
      </c>
      <c r="I237">
        <v>0</v>
      </c>
      <c r="J237" t="s">
        <v>90</v>
      </c>
      <c r="K237">
        <v>0</v>
      </c>
      <c r="L237">
        <v>9.11</v>
      </c>
      <c r="M237">
        <v>0</v>
      </c>
      <c r="N237">
        <v>0</v>
      </c>
      <c r="O237">
        <v>9.11</v>
      </c>
      <c r="P237" t="s">
        <v>90</v>
      </c>
      <c r="Q237">
        <v>0</v>
      </c>
      <c r="R237" t="s">
        <v>90</v>
      </c>
      <c r="S237">
        <v>0</v>
      </c>
      <c r="T237" t="s">
        <v>90</v>
      </c>
      <c r="U237">
        <v>0</v>
      </c>
      <c r="V237" t="s">
        <v>90</v>
      </c>
      <c r="W237">
        <v>0</v>
      </c>
      <c r="X237" t="s">
        <v>90</v>
      </c>
      <c r="Y237">
        <v>0</v>
      </c>
      <c r="Z237">
        <v>9.11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N237" t="s">
        <v>342</v>
      </c>
      <c r="AO237" t="s">
        <v>92</v>
      </c>
      <c r="AP237">
        <v>200000</v>
      </c>
      <c r="AQ237" t="s">
        <v>76</v>
      </c>
      <c r="AS237">
        <v>10000</v>
      </c>
      <c r="AT237" t="s">
        <v>9</v>
      </c>
      <c r="AU237" t="s">
        <v>78</v>
      </c>
      <c r="AV237" t="s">
        <v>79</v>
      </c>
      <c r="AY237">
        <v>0</v>
      </c>
    </row>
    <row r="238" spans="1:52" ht="12.75">
      <c r="A238" s="2" t="str">
        <f>HYPERLINK("https://ibp.a2mac1.com/costing(costing:projects/details/8191/assembly/5382860)"," Connectors &amp; Wire Harnesses")</f>
        <v xml:space="preserve"> Connectors &amp; Wire Harnesses</v>
      </c>
      <c r="B238">
        <v>5382860</v>
      </c>
      <c r="D238">
        <v>5382799</v>
      </c>
      <c r="E238" t="s">
        <v>2161</v>
      </c>
      <c r="F238">
        <v>1</v>
      </c>
      <c r="G238">
        <v>0</v>
      </c>
      <c r="H238">
        <v>9.11</v>
      </c>
      <c r="I238">
        <v>0</v>
      </c>
      <c r="J238" t="s">
        <v>90</v>
      </c>
      <c r="K238">
        <v>0</v>
      </c>
      <c r="L238">
        <v>9.11</v>
      </c>
      <c r="M238">
        <v>0</v>
      </c>
      <c r="N238">
        <v>0</v>
      </c>
      <c r="O238">
        <v>9.11</v>
      </c>
      <c r="P238" t="s">
        <v>90</v>
      </c>
      <c r="Q238">
        <v>0</v>
      </c>
      <c r="R238" t="s">
        <v>90</v>
      </c>
      <c r="S238">
        <v>0</v>
      </c>
      <c r="T238" t="s">
        <v>90</v>
      </c>
      <c r="U238">
        <v>0</v>
      </c>
      <c r="V238" t="s">
        <v>90</v>
      </c>
      <c r="W238">
        <v>0</v>
      </c>
      <c r="X238" t="s">
        <v>90</v>
      </c>
      <c r="Y238">
        <v>0</v>
      </c>
      <c r="Z238">
        <v>9.11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N238" t="s">
        <v>342</v>
      </c>
      <c r="AO238" t="s">
        <v>92</v>
      </c>
      <c r="AP238">
        <v>200000</v>
      </c>
      <c r="AQ238" t="s">
        <v>76</v>
      </c>
      <c r="AS238">
        <v>10000</v>
      </c>
      <c r="AT238" t="s">
        <v>9</v>
      </c>
      <c r="AU238" t="s">
        <v>78</v>
      </c>
      <c r="AV238" t="s">
        <v>79</v>
      </c>
      <c r="AY238">
        <v>0</v>
      </c>
    </row>
    <row r="239" spans="1:52" ht="12.75">
      <c r="A239" s="2" t="str">
        <f>HYPERLINK("https://ibp.a2mac1.com/costing(costing:projects/details/8191/assembly/5383086)"," Inductors")</f>
        <v xml:space="preserve"> Inductors</v>
      </c>
      <c r="B239">
        <v>5383086</v>
      </c>
      <c r="D239">
        <v>5382861</v>
      </c>
      <c r="E239" t="s">
        <v>2166</v>
      </c>
      <c r="F239">
        <v>1</v>
      </c>
      <c r="G239">
        <v>0</v>
      </c>
      <c r="H239">
        <v>46.603999999999999</v>
      </c>
      <c r="I239">
        <v>0</v>
      </c>
      <c r="J239" t="s">
        <v>90</v>
      </c>
      <c r="K239">
        <v>0</v>
      </c>
      <c r="L239">
        <v>46.603999999999999</v>
      </c>
      <c r="M239">
        <v>0</v>
      </c>
      <c r="N239">
        <v>0</v>
      </c>
      <c r="O239">
        <v>46.603999999999999</v>
      </c>
      <c r="P239" t="s">
        <v>90</v>
      </c>
      <c r="Q239">
        <v>0</v>
      </c>
      <c r="R239" t="s">
        <v>90</v>
      </c>
      <c r="S239">
        <v>0</v>
      </c>
      <c r="T239" t="s">
        <v>90</v>
      </c>
      <c r="U239">
        <v>0</v>
      </c>
      <c r="V239" t="s">
        <v>90</v>
      </c>
      <c r="W239">
        <v>0</v>
      </c>
      <c r="X239" t="s">
        <v>90</v>
      </c>
      <c r="Y239">
        <v>0</v>
      </c>
      <c r="Z239">
        <v>46.603999999999999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N239" t="s">
        <v>342</v>
      </c>
      <c r="AO239" t="s">
        <v>92</v>
      </c>
      <c r="AP239">
        <v>200000</v>
      </c>
      <c r="AQ239" t="s">
        <v>76</v>
      </c>
      <c r="AS239">
        <v>10000</v>
      </c>
      <c r="AT239" t="s">
        <v>9</v>
      </c>
      <c r="AU239" t="s">
        <v>78</v>
      </c>
      <c r="AV239" t="s">
        <v>79</v>
      </c>
      <c r="AY239">
        <v>0</v>
      </c>
    </row>
    <row r="240" spans="1:52" ht="12.75">
      <c r="A240" s="2" t="str">
        <f>HYPERLINK("https://ibp.a2mac1.com/costing(costing:projects/details/8191/assembly/5382861)"," Electrical Parts")</f>
        <v xml:space="preserve"> Electrical Parts</v>
      </c>
      <c r="B240">
        <v>5382861</v>
      </c>
      <c r="D240">
        <v>5382799</v>
      </c>
      <c r="E240" t="s">
        <v>2167</v>
      </c>
      <c r="F240">
        <v>1</v>
      </c>
      <c r="G240">
        <v>0</v>
      </c>
      <c r="H240">
        <v>46.603999999999999</v>
      </c>
      <c r="I240">
        <v>0</v>
      </c>
      <c r="J240" t="s">
        <v>90</v>
      </c>
      <c r="K240">
        <v>0</v>
      </c>
      <c r="L240">
        <v>46.603999999999999</v>
      </c>
      <c r="M240">
        <v>0</v>
      </c>
      <c r="N240">
        <v>0</v>
      </c>
      <c r="O240">
        <v>46.603999999999999</v>
      </c>
      <c r="P240" t="s">
        <v>90</v>
      </c>
      <c r="Q240">
        <v>0</v>
      </c>
      <c r="R240" t="s">
        <v>90</v>
      </c>
      <c r="S240">
        <v>0</v>
      </c>
      <c r="T240" t="s">
        <v>90</v>
      </c>
      <c r="U240">
        <v>0</v>
      </c>
      <c r="V240" t="s">
        <v>90</v>
      </c>
      <c r="W240">
        <v>0</v>
      </c>
      <c r="X240" t="s">
        <v>90</v>
      </c>
      <c r="Y240">
        <v>0</v>
      </c>
      <c r="Z240">
        <v>46.603999999999999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N240" t="s">
        <v>342</v>
      </c>
      <c r="AO240" t="s">
        <v>92</v>
      </c>
      <c r="AP240">
        <v>200000</v>
      </c>
      <c r="AQ240" t="s">
        <v>76</v>
      </c>
      <c r="AS240">
        <v>10000</v>
      </c>
      <c r="AT240" t="s">
        <v>9</v>
      </c>
      <c r="AU240" t="s">
        <v>78</v>
      </c>
      <c r="AV240" t="s">
        <v>79</v>
      </c>
      <c r="AY240">
        <v>0</v>
      </c>
    </row>
    <row r="241" spans="1:52" ht="12.75">
      <c r="A241" s="2" t="str">
        <f>HYPERLINK("https://ibp.a2mac1.com/costing(costing:projects/details/8191/assembly/5382862)"," Electronic Parts")</f>
        <v xml:space="preserve"> Electronic Parts</v>
      </c>
      <c r="B241">
        <v>5382862</v>
      </c>
      <c r="D241">
        <v>5382799</v>
      </c>
      <c r="E241" t="s">
        <v>2179</v>
      </c>
      <c r="F241">
        <v>1</v>
      </c>
      <c r="G241">
        <v>0</v>
      </c>
      <c r="H241">
        <v>192.648</v>
      </c>
      <c r="I241">
        <v>0</v>
      </c>
      <c r="J241" t="s">
        <v>90</v>
      </c>
      <c r="K241">
        <v>0</v>
      </c>
      <c r="L241">
        <v>192.648</v>
      </c>
      <c r="M241">
        <v>0</v>
      </c>
      <c r="N241">
        <v>0</v>
      </c>
      <c r="O241">
        <v>192.648</v>
      </c>
      <c r="P241" t="s">
        <v>90</v>
      </c>
      <c r="Q241">
        <v>0</v>
      </c>
      <c r="R241" t="s">
        <v>90</v>
      </c>
      <c r="S241">
        <v>0</v>
      </c>
      <c r="T241" t="s">
        <v>90</v>
      </c>
      <c r="U241">
        <v>0</v>
      </c>
      <c r="V241" t="s">
        <v>90</v>
      </c>
      <c r="W241">
        <v>0</v>
      </c>
      <c r="X241" t="s">
        <v>90</v>
      </c>
      <c r="Y241">
        <v>0</v>
      </c>
      <c r="Z241">
        <v>192.648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N241" t="s">
        <v>342</v>
      </c>
      <c r="AO241" t="s">
        <v>92</v>
      </c>
      <c r="AP241">
        <v>200000</v>
      </c>
      <c r="AQ241" t="s">
        <v>76</v>
      </c>
      <c r="AS241">
        <v>10000</v>
      </c>
      <c r="AT241" t="s">
        <v>9</v>
      </c>
      <c r="AU241" t="s">
        <v>78</v>
      </c>
      <c r="AV241" t="s">
        <v>79</v>
      </c>
      <c r="AY241">
        <v>0</v>
      </c>
    </row>
    <row r="242" spans="1:52" ht="12.75">
      <c r="A242" s="2" t="str">
        <f>HYPERLINK("https://ibp.a2mac1.com/costing(costing:projects/details/8191/assembly/5383097)"," Covers")</f>
        <v xml:space="preserve"> Covers</v>
      </c>
      <c r="B242">
        <v>5383097</v>
      </c>
      <c r="D242">
        <v>5382863</v>
      </c>
      <c r="E242" t="s">
        <v>2184</v>
      </c>
      <c r="F242">
        <v>1</v>
      </c>
      <c r="G242">
        <v>0</v>
      </c>
      <c r="H242">
        <v>1.341</v>
      </c>
      <c r="I242">
        <v>0</v>
      </c>
      <c r="J242" t="s">
        <v>90</v>
      </c>
      <c r="K242">
        <v>0</v>
      </c>
      <c r="L242">
        <v>1.341</v>
      </c>
      <c r="M242">
        <v>0</v>
      </c>
      <c r="N242">
        <v>0</v>
      </c>
      <c r="O242">
        <v>1.341</v>
      </c>
      <c r="P242" t="s">
        <v>90</v>
      </c>
      <c r="Q242">
        <v>0</v>
      </c>
      <c r="R242" t="s">
        <v>90</v>
      </c>
      <c r="S242">
        <v>0</v>
      </c>
      <c r="T242" t="s">
        <v>90</v>
      </c>
      <c r="U242">
        <v>0</v>
      </c>
      <c r="V242" t="s">
        <v>90</v>
      </c>
      <c r="W242">
        <v>0</v>
      </c>
      <c r="X242" t="s">
        <v>90</v>
      </c>
      <c r="Y242">
        <v>0</v>
      </c>
      <c r="Z242">
        <v>1.341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N242" t="s">
        <v>342</v>
      </c>
      <c r="AO242" t="s">
        <v>92</v>
      </c>
      <c r="AP242">
        <v>200000</v>
      </c>
      <c r="AQ242" t="s">
        <v>76</v>
      </c>
      <c r="AS242">
        <v>10000</v>
      </c>
      <c r="AT242" t="s">
        <v>9</v>
      </c>
      <c r="AU242" t="s">
        <v>78</v>
      </c>
      <c r="AV242" t="s">
        <v>79</v>
      </c>
      <c r="AY242">
        <v>0</v>
      </c>
    </row>
    <row r="243" spans="1:52" ht="12.75">
      <c r="A243" s="2" t="str">
        <f>HYPERLINK("https://ibp.a2mac1.com/costing(costing:projects/details/8191/assembly/5383098)"," Housing Parts")</f>
        <v xml:space="preserve"> Housing Parts</v>
      </c>
      <c r="B243">
        <v>5383098</v>
      </c>
      <c r="D243">
        <v>5382863</v>
      </c>
      <c r="E243" t="s">
        <v>2202</v>
      </c>
      <c r="F243">
        <v>1</v>
      </c>
      <c r="G243">
        <v>0</v>
      </c>
      <c r="H243">
        <v>41.677008547649343</v>
      </c>
      <c r="I243">
        <v>0</v>
      </c>
      <c r="J243" t="s">
        <v>90</v>
      </c>
      <c r="K243">
        <v>0</v>
      </c>
      <c r="L243">
        <v>41.677008547649343</v>
      </c>
      <c r="M243">
        <v>0</v>
      </c>
      <c r="N243">
        <v>0</v>
      </c>
      <c r="O243">
        <v>41.677008547649343</v>
      </c>
      <c r="P243" t="s">
        <v>90</v>
      </c>
      <c r="Q243">
        <v>0</v>
      </c>
      <c r="R243" t="s">
        <v>90</v>
      </c>
      <c r="S243">
        <v>0</v>
      </c>
      <c r="T243" t="s">
        <v>90</v>
      </c>
      <c r="U243">
        <v>0</v>
      </c>
      <c r="V243" t="s">
        <v>90</v>
      </c>
      <c r="W243">
        <v>0</v>
      </c>
      <c r="X243" t="s">
        <v>90</v>
      </c>
      <c r="Y243">
        <v>0</v>
      </c>
      <c r="Z243">
        <v>41.677008547649343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N243" t="s">
        <v>342</v>
      </c>
      <c r="AO243" t="s">
        <v>92</v>
      </c>
      <c r="AP243">
        <v>200000</v>
      </c>
      <c r="AQ243" t="s">
        <v>76</v>
      </c>
      <c r="AS243">
        <v>10000</v>
      </c>
      <c r="AT243" t="s">
        <v>9</v>
      </c>
      <c r="AU243" t="s">
        <v>78</v>
      </c>
      <c r="AV243" t="s">
        <v>79</v>
      </c>
      <c r="AY243">
        <v>0</v>
      </c>
    </row>
    <row r="244" spans="1:52" ht="12.75">
      <c r="A244" s="2" t="str">
        <f>HYPERLINK("https://ibp.a2mac1.com/costing(costing:projects/details/8191/assembly/5383099)"," Pressure Vents")</f>
        <v xml:space="preserve"> Pressure Vents</v>
      </c>
      <c r="B244">
        <v>5383099</v>
      </c>
      <c r="D244">
        <v>5382863</v>
      </c>
      <c r="E244" t="s">
        <v>2205</v>
      </c>
      <c r="F244">
        <v>1</v>
      </c>
      <c r="G244">
        <v>0</v>
      </c>
      <c r="H244">
        <v>0.15</v>
      </c>
      <c r="I244">
        <v>0</v>
      </c>
      <c r="J244" t="s">
        <v>90</v>
      </c>
      <c r="K244">
        <v>0</v>
      </c>
      <c r="L244">
        <v>0.15</v>
      </c>
      <c r="M244">
        <v>0</v>
      </c>
      <c r="N244">
        <v>0</v>
      </c>
      <c r="O244">
        <v>0.15</v>
      </c>
      <c r="P244" t="s">
        <v>90</v>
      </c>
      <c r="Q244">
        <v>0</v>
      </c>
      <c r="R244" t="s">
        <v>90</v>
      </c>
      <c r="S244">
        <v>0</v>
      </c>
      <c r="T244" t="s">
        <v>90</v>
      </c>
      <c r="U244">
        <v>0</v>
      </c>
      <c r="V244" t="s">
        <v>90</v>
      </c>
      <c r="W244">
        <v>0</v>
      </c>
      <c r="X244" t="s">
        <v>90</v>
      </c>
      <c r="Y244">
        <v>0</v>
      </c>
      <c r="Z244">
        <v>0.15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N244" t="s">
        <v>342</v>
      </c>
      <c r="AO244" t="s">
        <v>92</v>
      </c>
      <c r="AP244">
        <v>200000</v>
      </c>
      <c r="AQ244" t="s">
        <v>76</v>
      </c>
      <c r="AS244">
        <v>10000</v>
      </c>
      <c r="AT244" t="s">
        <v>9</v>
      </c>
      <c r="AU244" t="s">
        <v>78</v>
      </c>
      <c r="AV244" t="s">
        <v>79</v>
      </c>
      <c r="AY244">
        <v>0</v>
      </c>
    </row>
    <row r="245" spans="1:52" ht="12.75">
      <c r="A245" s="2" t="str">
        <f>HYPERLINK("https://ibp.a2mac1.com/costing(costing:projects/details/8191/assembly/5383100)"," Seals")</f>
        <v xml:space="preserve"> Seals</v>
      </c>
      <c r="B245">
        <v>5383100</v>
      </c>
      <c r="D245">
        <v>5382863</v>
      </c>
      <c r="E245" t="s">
        <v>2208</v>
      </c>
      <c r="F245">
        <v>1</v>
      </c>
      <c r="G245">
        <v>0</v>
      </c>
      <c r="H245">
        <v>0.55</v>
      </c>
      <c r="I245">
        <v>0</v>
      </c>
      <c r="J245" t="s">
        <v>90</v>
      </c>
      <c r="K245">
        <v>0</v>
      </c>
      <c r="L245">
        <v>0.55</v>
      </c>
      <c r="M245">
        <v>0</v>
      </c>
      <c r="N245">
        <v>0</v>
      </c>
      <c r="O245">
        <v>0.55</v>
      </c>
      <c r="P245" t="s">
        <v>90</v>
      </c>
      <c r="Q245">
        <v>0</v>
      </c>
      <c r="R245" t="s">
        <v>90</v>
      </c>
      <c r="S245">
        <v>0</v>
      </c>
      <c r="T245" t="s">
        <v>90</v>
      </c>
      <c r="U245">
        <v>0</v>
      </c>
      <c r="V245" t="s">
        <v>90</v>
      </c>
      <c r="W245">
        <v>0</v>
      </c>
      <c r="X245" t="s">
        <v>90</v>
      </c>
      <c r="Y245">
        <v>0</v>
      </c>
      <c r="Z245">
        <v>0.55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N245" t="s">
        <v>342</v>
      </c>
      <c r="AO245" t="s">
        <v>92</v>
      </c>
      <c r="AP245">
        <v>200000</v>
      </c>
      <c r="AQ245" t="s">
        <v>76</v>
      </c>
      <c r="AS245">
        <v>10000</v>
      </c>
      <c r="AT245" t="s">
        <v>9</v>
      </c>
      <c r="AU245" t="s">
        <v>78</v>
      </c>
      <c r="AV245" t="s">
        <v>79</v>
      </c>
      <c r="AY245">
        <v>0</v>
      </c>
    </row>
    <row r="246" spans="1:52" ht="12.75">
      <c r="A246" s="2" t="str">
        <f>HYPERLINK("https://ibp.a2mac1.com/costing(costing:projects/details/8191/assembly/5383101)"," Thermal Paste / Gap Pad")</f>
        <v xml:space="preserve"> Thermal Paste / Gap Pad</v>
      </c>
      <c r="B246">
        <v>5383101</v>
      </c>
      <c r="D246">
        <v>5382863</v>
      </c>
      <c r="E246" t="s">
        <v>2211</v>
      </c>
      <c r="F246">
        <v>1</v>
      </c>
      <c r="G246">
        <v>0</v>
      </c>
      <c r="H246">
        <v>19.74</v>
      </c>
      <c r="I246">
        <v>0</v>
      </c>
      <c r="J246" t="s">
        <v>90</v>
      </c>
      <c r="K246">
        <v>0</v>
      </c>
      <c r="L246">
        <v>19.74</v>
      </c>
      <c r="M246">
        <v>0</v>
      </c>
      <c r="N246">
        <v>0</v>
      </c>
      <c r="O246">
        <v>19.74</v>
      </c>
      <c r="P246" t="s">
        <v>90</v>
      </c>
      <c r="Q246">
        <v>0</v>
      </c>
      <c r="R246" t="s">
        <v>90</v>
      </c>
      <c r="S246">
        <v>0</v>
      </c>
      <c r="T246" t="s">
        <v>90</v>
      </c>
      <c r="U246">
        <v>0</v>
      </c>
      <c r="V246" t="s">
        <v>90</v>
      </c>
      <c r="W246">
        <v>0</v>
      </c>
      <c r="X246" t="s">
        <v>90</v>
      </c>
      <c r="Y246">
        <v>0</v>
      </c>
      <c r="Z246">
        <v>19.74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N246" t="s">
        <v>342</v>
      </c>
      <c r="AO246" t="s">
        <v>92</v>
      </c>
      <c r="AP246">
        <v>200000</v>
      </c>
      <c r="AQ246" t="s">
        <v>76</v>
      </c>
      <c r="AS246">
        <v>10000</v>
      </c>
      <c r="AT246" t="s">
        <v>9</v>
      </c>
      <c r="AU246" t="s">
        <v>78</v>
      </c>
      <c r="AV246" t="s">
        <v>79</v>
      </c>
      <c r="AY246">
        <v>0</v>
      </c>
    </row>
    <row r="247" spans="1:52" ht="12.75">
      <c r="A247" s="2" t="str">
        <f>HYPERLINK("https://ibp.a2mac1.com/costing(costing:projects/details/8191/assembly/5382863)"," Mechanical Parts")</f>
        <v xml:space="preserve"> Mechanical Parts</v>
      </c>
      <c r="B247">
        <v>5382863</v>
      </c>
      <c r="D247">
        <v>5382799</v>
      </c>
      <c r="E247" t="s">
        <v>2212</v>
      </c>
      <c r="F247">
        <v>1</v>
      </c>
      <c r="G247">
        <v>0</v>
      </c>
      <c r="H247">
        <v>63.458008547649349</v>
      </c>
      <c r="I247">
        <v>0</v>
      </c>
      <c r="J247" t="s">
        <v>90</v>
      </c>
      <c r="K247">
        <v>0</v>
      </c>
      <c r="L247">
        <v>63.458008547649349</v>
      </c>
      <c r="M247">
        <v>0</v>
      </c>
      <c r="N247">
        <v>0</v>
      </c>
      <c r="O247">
        <v>63.458008547649349</v>
      </c>
      <c r="P247" t="s">
        <v>90</v>
      </c>
      <c r="Q247">
        <v>0</v>
      </c>
      <c r="R247" t="s">
        <v>90</v>
      </c>
      <c r="S247">
        <v>0</v>
      </c>
      <c r="T247" t="s">
        <v>90</v>
      </c>
      <c r="U247">
        <v>0</v>
      </c>
      <c r="V247" t="s">
        <v>90</v>
      </c>
      <c r="W247">
        <v>0</v>
      </c>
      <c r="X247" t="s">
        <v>90</v>
      </c>
      <c r="Y247">
        <v>0</v>
      </c>
      <c r="Z247">
        <v>63.458008547649349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N247" t="s">
        <v>342</v>
      </c>
      <c r="AO247" t="s">
        <v>92</v>
      </c>
      <c r="AP247">
        <v>200000</v>
      </c>
      <c r="AQ247" t="s">
        <v>76</v>
      </c>
      <c r="AS247">
        <v>10000</v>
      </c>
      <c r="AT247" t="s">
        <v>9</v>
      </c>
      <c r="AU247" t="s">
        <v>78</v>
      </c>
      <c r="AV247" t="s">
        <v>79</v>
      </c>
      <c r="AY247">
        <v>0</v>
      </c>
    </row>
    <row r="248" spans="1:52" ht="12.75">
      <c r="A248" s="2" t="str">
        <f>HYPERLINK("https://ibp.a2mac1.com/costing(costing:projects/details/8191/assembly/5382799)","Onboard Charger ")</f>
        <v xml:space="preserve">Onboard Charger </v>
      </c>
      <c r="B248">
        <v>5382799</v>
      </c>
      <c r="D248">
        <v>5382793</v>
      </c>
      <c r="E248" t="s">
        <v>2161</v>
      </c>
      <c r="F248">
        <v>1</v>
      </c>
      <c r="G248">
        <v>0</v>
      </c>
      <c r="H248">
        <v>311.82000854764937</v>
      </c>
      <c r="I248">
        <v>1.5669347163198459</v>
      </c>
      <c r="J248" t="s">
        <v>137</v>
      </c>
      <c r="K248">
        <v>10.913700299167727</v>
      </c>
      <c r="L248">
        <v>324.30064356313693</v>
      </c>
      <c r="M248">
        <v>0</v>
      </c>
      <c r="N248">
        <v>10.813886248970343</v>
      </c>
      <c r="O248">
        <v>335.11452981210726</v>
      </c>
      <c r="P248" t="s">
        <v>138</v>
      </c>
      <c r="Q248">
        <v>19.458038613788215</v>
      </c>
      <c r="R248" t="s">
        <v>138</v>
      </c>
      <c r="S248">
        <v>0.64883317493822068</v>
      </c>
      <c r="T248" t="s">
        <v>139</v>
      </c>
      <c r="U248">
        <v>40.213743577452874</v>
      </c>
      <c r="V248" t="s">
        <v>90</v>
      </c>
      <c r="W248">
        <v>0</v>
      </c>
      <c r="X248" t="s">
        <v>90</v>
      </c>
      <c r="Y248">
        <v>0</v>
      </c>
      <c r="Z248">
        <v>395.43514517828658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N248" t="s">
        <v>1866</v>
      </c>
      <c r="AO248" t="s">
        <v>92</v>
      </c>
      <c r="AP248">
        <v>200000</v>
      </c>
      <c r="AQ248" t="s">
        <v>76</v>
      </c>
      <c r="AS248">
        <v>10000</v>
      </c>
      <c r="AT248" t="s">
        <v>9</v>
      </c>
      <c r="AU248" t="s">
        <v>78</v>
      </c>
      <c r="AV248" t="s">
        <v>79</v>
      </c>
      <c r="AY248">
        <v>0</v>
      </c>
    </row>
    <row r="249" spans="1:52" ht="12.75">
      <c r="A249" s="2" t="str">
        <f>HYPERLINK("https://ibp.a2mac1.com/costing(costing:projects/details/8191/assembly/5382800)"," Cable Guide ")</f>
        <v xml:space="preserve"> Cable Guide </v>
      </c>
      <c r="B249">
        <v>5382800</v>
      </c>
      <c r="D249">
        <v>5382793</v>
      </c>
      <c r="E249" t="s">
        <v>2231</v>
      </c>
      <c r="F249">
        <v>1</v>
      </c>
      <c r="G249">
        <v>0</v>
      </c>
      <c r="H249">
        <v>3.3734099999999998</v>
      </c>
      <c r="I249">
        <v>0</v>
      </c>
      <c r="J249" t="s">
        <v>90</v>
      </c>
      <c r="K249">
        <v>0</v>
      </c>
      <c r="L249">
        <v>3.3734099999999998</v>
      </c>
      <c r="M249">
        <v>0</v>
      </c>
      <c r="N249">
        <v>0</v>
      </c>
      <c r="O249">
        <v>3.3734099999999998</v>
      </c>
      <c r="P249" t="s">
        <v>90</v>
      </c>
      <c r="Q249">
        <v>0</v>
      </c>
      <c r="R249" t="s">
        <v>90</v>
      </c>
      <c r="S249">
        <v>0</v>
      </c>
      <c r="T249" t="s">
        <v>90</v>
      </c>
      <c r="U249">
        <v>0</v>
      </c>
      <c r="V249" t="s">
        <v>90</v>
      </c>
      <c r="W249">
        <v>0</v>
      </c>
      <c r="X249" t="s">
        <v>90</v>
      </c>
      <c r="Y249">
        <v>0</v>
      </c>
      <c r="Z249">
        <v>3.3734099999999998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N249" t="s">
        <v>91</v>
      </c>
      <c r="AO249" t="s">
        <v>92</v>
      </c>
      <c r="AP249">
        <v>200000</v>
      </c>
      <c r="AQ249" t="s">
        <v>92</v>
      </c>
      <c r="AS249">
        <v>10000</v>
      </c>
      <c r="AT249" t="s">
        <v>2232</v>
      </c>
      <c r="AU249" t="s">
        <v>78</v>
      </c>
      <c r="AV249" t="s">
        <v>79</v>
      </c>
      <c r="AY249">
        <v>0</v>
      </c>
    </row>
    <row r="250" spans="1:52" ht="12.75">
      <c r="A250" s="2" t="str">
        <f>HYPERLINK("https://ibp.a2mac1.com/costing(costing:projects/details/8191/assembly/5382872)"," Cable Battery/Converter")</f>
        <v xml:space="preserve"> Cable Battery/Converter</v>
      </c>
      <c r="B250">
        <v>5382872</v>
      </c>
      <c r="D250">
        <v>5382801</v>
      </c>
      <c r="E250" t="s">
        <v>2237</v>
      </c>
      <c r="F250">
        <v>1</v>
      </c>
      <c r="G250">
        <v>0</v>
      </c>
      <c r="H250">
        <v>41.099960000000003</v>
      </c>
      <c r="I250">
        <v>0.20653246231155778</v>
      </c>
      <c r="J250" t="s">
        <v>137</v>
      </c>
      <c r="K250">
        <v>1.4384986</v>
      </c>
      <c r="L250">
        <v>42.744991062311556</v>
      </c>
      <c r="M250">
        <v>0</v>
      </c>
      <c r="N250">
        <v>2.1423660361435841</v>
      </c>
      <c r="O250">
        <v>44.887357098455141</v>
      </c>
      <c r="P250" t="s">
        <v>138</v>
      </c>
      <c r="Q250">
        <v>2.5646994637386933</v>
      </c>
      <c r="R250" t="s">
        <v>138</v>
      </c>
      <c r="S250">
        <v>0.12854196216861505</v>
      </c>
      <c r="T250" t="s">
        <v>139</v>
      </c>
      <c r="U250">
        <v>5.3864828518146171</v>
      </c>
      <c r="V250" t="s">
        <v>90</v>
      </c>
      <c r="W250">
        <v>0</v>
      </c>
      <c r="X250" t="s">
        <v>90</v>
      </c>
      <c r="Y250">
        <v>0</v>
      </c>
      <c r="Z250">
        <v>52.96708137617707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4.2969999999999997</v>
      </c>
      <c r="AN250" t="s">
        <v>213</v>
      </c>
      <c r="AO250" t="s">
        <v>92</v>
      </c>
      <c r="AP250">
        <v>200000</v>
      </c>
      <c r="AQ250" t="s">
        <v>76</v>
      </c>
      <c r="AS250">
        <v>10000</v>
      </c>
      <c r="AT250" t="s">
        <v>2238</v>
      </c>
      <c r="AU250" t="s">
        <v>78</v>
      </c>
      <c r="AV250" t="s">
        <v>79</v>
      </c>
      <c r="AY250">
        <v>0</v>
      </c>
    </row>
    <row r="251" spans="1:52" ht="12.75">
      <c r="A251" s="2" t="str">
        <f>HYPERLINK("https://ibp.a2mac1.com/costing(costing:projects/details/8191/assembly/5382873)"," Cable HV Charger/Converter")</f>
        <v xml:space="preserve"> Cable HV Charger/Converter</v>
      </c>
      <c r="B251">
        <v>5382873</v>
      </c>
      <c r="D251">
        <v>5382801</v>
      </c>
      <c r="E251" t="s">
        <v>2241</v>
      </c>
      <c r="F251">
        <v>1</v>
      </c>
      <c r="G251">
        <v>0</v>
      </c>
      <c r="H251">
        <v>45.506520000000002</v>
      </c>
      <c r="I251">
        <v>0.22867597989949748</v>
      </c>
      <c r="J251" t="s">
        <v>137</v>
      </c>
      <c r="K251">
        <v>1.5927282</v>
      </c>
      <c r="L251">
        <v>47.327924179899497</v>
      </c>
      <c r="M251">
        <v>0</v>
      </c>
      <c r="N251">
        <v>3.6203672027294522</v>
      </c>
      <c r="O251">
        <v>50.948291382628952</v>
      </c>
      <c r="P251" t="s">
        <v>138</v>
      </c>
      <c r="Q251">
        <v>2.8396754507939699</v>
      </c>
      <c r="R251" t="s">
        <v>138</v>
      </c>
      <c r="S251">
        <v>0.21722203216376712</v>
      </c>
      <c r="T251" t="s">
        <v>139</v>
      </c>
      <c r="U251">
        <v>6.1137949659154742</v>
      </c>
      <c r="V251" t="s">
        <v>90</v>
      </c>
      <c r="W251">
        <v>0</v>
      </c>
      <c r="X251" t="s">
        <v>90</v>
      </c>
      <c r="Y251">
        <v>0</v>
      </c>
      <c r="Z251">
        <v>60.118983831502163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5148</v>
      </c>
      <c r="AL251">
        <v>1.1140000000000001</v>
      </c>
      <c r="AN251" t="s">
        <v>1866</v>
      </c>
      <c r="AO251" t="s">
        <v>92</v>
      </c>
      <c r="AP251">
        <v>200000</v>
      </c>
      <c r="AQ251" t="s">
        <v>76</v>
      </c>
      <c r="AS251">
        <v>10000</v>
      </c>
      <c r="AT251" t="s">
        <v>9</v>
      </c>
      <c r="AU251" t="s">
        <v>78</v>
      </c>
      <c r="AV251" t="s">
        <v>79</v>
      </c>
      <c r="AY251">
        <v>0</v>
      </c>
    </row>
    <row r="252" spans="1:52" ht="12.75">
      <c r="A252" s="2" t="str">
        <f>HYPERLINK("https://ibp.a2mac1.com/costing(costing:projects/details/8191/assembly/5382801)"," Cables System ")</f>
        <v xml:space="preserve"> Cables System </v>
      </c>
      <c r="B252">
        <v>5382801</v>
      </c>
      <c r="D252">
        <v>5382793</v>
      </c>
      <c r="E252" t="s">
        <v>2242</v>
      </c>
      <c r="F252">
        <v>1</v>
      </c>
      <c r="G252">
        <v>0</v>
      </c>
      <c r="H252">
        <v>113.08606520767923</v>
      </c>
      <c r="I252">
        <v>0</v>
      </c>
      <c r="J252" t="s">
        <v>90</v>
      </c>
      <c r="K252">
        <v>0</v>
      </c>
      <c r="L252">
        <v>113.08606520767923</v>
      </c>
      <c r="M252">
        <v>0</v>
      </c>
      <c r="N252">
        <v>0</v>
      </c>
      <c r="O252">
        <v>113.08606520767923</v>
      </c>
      <c r="P252" t="s">
        <v>90</v>
      </c>
      <c r="Q252">
        <v>0</v>
      </c>
      <c r="R252" t="s">
        <v>90</v>
      </c>
      <c r="S252">
        <v>0</v>
      </c>
      <c r="T252" t="s">
        <v>90</v>
      </c>
      <c r="U252">
        <v>0</v>
      </c>
      <c r="V252" t="s">
        <v>90</v>
      </c>
      <c r="W252">
        <v>0</v>
      </c>
      <c r="X252" t="s">
        <v>90</v>
      </c>
      <c r="Y252">
        <v>0</v>
      </c>
      <c r="Z252">
        <v>113.08606520767923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N252" t="s">
        <v>91</v>
      </c>
      <c r="AO252" t="s">
        <v>92</v>
      </c>
      <c r="AP252">
        <v>200000</v>
      </c>
      <c r="AQ252" t="s">
        <v>92</v>
      </c>
      <c r="AS252">
        <v>10000</v>
      </c>
      <c r="AT252" t="s">
        <v>2243</v>
      </c>
      <c r="AU252" t="s">
        <v>78</v>
      </c>
      <c r="AV252" t="s">
        <v>79</v>
      </c>
      <c r="AY252">
        <v>0</v>
      </c>
    </row>
    <row r="253" spans="1:52" ht="12.75">
      <c r="A253" s="2" t="str">
        <f>HYPERLINK("https://ibp.a2mac1.com/costing(costing:projects/details/8191/assembly/5382802)"," HV cable cover protection system ")</f>
        <v xml:space="preserve"> HV cable cover protection system </v>
      </c>
      <c r="B253">
        <v>5382802</v>
      </c>
      <c r="D253">
        <v>5382793</v>
      </c>
      <c r="E253" t="s">
        <v>2248</v>
      </c>
      <c r="F253">
        <v>1</v>
      </c>
      <c r="G253">
        <v>0</v>
      </c>
      <c r="H253">
        <v>0.81172999999999995</v>
      </c>
      <c r="I253">
        <v>0</v>
      </c>
      <c r="J253" t="s">
        <v>90</v>
      </c>
      <c r="K253">
        <v>0</v>
      </c>
      <c r="L253">
        <v>0.81172999999999995</v>
      </c>
      <c r="M253">
        <v>0</v>
      </c>
      <c r="N253">
        <v>0</v>
      </c>
      <c r="O253">
        <v>0.81172999999999995</v>
      </c>
      <c r="P253" t="s">
        <v>90</v>
      </c>
      <c r="Q253">
        <v>0</v>
      </c>
      <c r="R253" t="s">
        <v>90</v>
      </c>
      <c r="S253">
        <v>0</v>
      </c>
      <c r="T253" t="s">
        <v>90</v>
      </c>
      <c r="U253">
        <v>0</v>
      </c>
      <c r="V253" t="s">
        <v>90</v>
      </c>
      <c r="W253">
        <v>0</v>
      </c>
      <c r="X253" t="s">
        <v>90</v>
      </c>
      <c r="Y253">
        <v>0</v>
      </c>
      <c r="Z253">
        <v>0.81172999999999995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N253" t="s">
        <v>91</v>
      </c>
      <c r="AO253" t="s">
        <v>92</v>
      </c>
      <c r="AP253">
        <v>200000</v>
      </c>
      <c r="AQ253" t="s">
        <v>92</v>
      </c>
      <c r="AS253">
        <v>10000</v>
      </c>
      <c r="AT253" t="s">
        <v>2249</v>
      </c>
      <c r="AU253" t="s">
        <v>78</v>
      </c>
      <c r="AV253" t="s">
        <v>79</v>
      </c>
      <c r="AY253">
        <v>0</v>
      </c>
    </row>
    <row r="254" spans="1:52" ht="12.75">
      <c r="A254" s="2" t="str">
        <f>HYPERLINK("https://ibp.a2mac1.com/costing(costing:projects/details/8191/assembly/5382803)"," HV cable bracket system ")</f>
        <v xml:space="preserve"> HV cable bracket system </v>
      </c>
      <c r="B254">
        <v>5382803</v>
      </c>
      <c r="D254">
        <v>5382793</v>
      </c>
      <c r="E254" t="s">
        <v>2262</v>
      </c>
      <c r="F254">
        <v>1</v>
      </c>
      <c r="G254">
        <v>0</v>
      </c>
      <c r="H254">
        <v>2.4587831070887427</v>
      </c>
      <c r="I254">
        <v>0</v>
      </c>
      <c r="J254" t="s">
        <v>90</v>
      </c>
      <c r="K254">
        <v>0</v>
      </c>
      <c r="L254">
        <v>2.4587831070887427</v>
      </c>
      <c r="M254">
        <v>0</v>
      </c>
      <c r="N254">
        <v>0</v>
      </c>
      <c r="O254">
        <v>2.4587831070887427</v>
      </c>
      <c r="P254" t="s">
        <v>90</v>
      </c>
      <c r="Q254">
        <v>0</v>
      </c>
      <c r="R254" t="s">
        <v>90</v>
      </c>
      <c r="S254">
        <v>0</v>
      </c>
      <c r="T254" t="s">
        <v>90</v>
      </c>
      <c r="U254">
        <v>0</v>
      </c>
      <c r="V254" t="s">
        <v>90</v>
      </c>
      <c r="W254">
        <v>0</v>
      </c>
      <c r="X254" t="s">
        <v>90</v>
      </c>
      <c r="Y254">
        <v>0</v>
      </c>
      <c r="Z254">
        <v>2.4587831070887427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N254" t="s">
        <v>342</v>
      </c>
      <c r="AO254" t="s">
        <v>92</v>
      </c>
      <c r="AP254">
        <v>200000</v>
      </c>
      <c r="AQ254" t="s">
        <v>76</v>
      </c>
      <c r="AS254">
        <v>10000</v>
      </c>
      <c r="AT254" t="s">
        <v>9</v>
      </c>
      <c r="AU254" t="s">
        <v>78</v>
      </c>
      <c r="AV254" t="s">
        <v>79</v>
      </c>
      <c r="AY254">
        <v>0</v>
      </c>
    </row>
    <row r="255" spans="1:52" ht="12.75">
      <c r="A255" s="2" t="str">
        <f>HYPERLINK("https://ibp.a2mac1.com/costing(costing:projects/details/8191/assembly/5382886)"," Charging Inlet")</f>
        <v xml:space="preserve"> Charging Inlet</v>
      </c>
      <c r="B255">
        <v>5382886</v>
      </c>
      <c r="D255">
        <v>5382804</v>
      </c>
      <c r="E255" t="s">
        <v>2266</v>
      </c>
      <c r="F255">
        <v>1</v>
      </c>
      <c r="G255">
        <v>0</v>
      </c>
      <c r="H255">
        <v>64.619280000000003</v>
      </c>
      <c r="I255">
        <v>0.32472000000000001</v>
      </c>
      <c r="J255" t="s">
        <v>137</v>
      </c>
      <c r="K255">
        <v>2.2616748000000002</v>
      </c>
      <c r="L255">
        <v>67.205674799999997</v>
      </c>
      <c r="M255">
        <v>0</v>
      </c>
      <c r="N255">
        <v>3.6305544076957825</v>
      </c>
      <c r="O255">
        <v>70.83622920769578</v>
      </c>
      <c r="P255" t="s">
        <v>138</v>
      </c>
      <c r="Q255">
        <v>4.032340488</v>
      </c>
      <c r="R255" t="s">
        <v>138</v>
      </c>
      <c r="S255">
        <v>0.21783326446174694</v>
      </c>
      <c r="T255" t="s">
        <v>139</v>
      </c>
      <c r="U255">
        <v>8.5003475049234947</v>
      </c>
      <c r="V255" t="s">
        <v>90</v>
      </c>
      <c r="W255">
        <v>0</v>
      </c>
      <c r="X255" t="s">
        <v>90</v>
      </c>
      <c r="Y255">
        <v>0</v>
      </c>
      <c r="Z255">
        <v>83.586750465081025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108</v>
      </c>
      <c r="AI255">
        <v>150</v>
      </c>
      <c r="AJ255">
        <v>105</v>
      </c>
      <c r="AK255">
        <v>0</v>
      </c>
      <c r="AL255">
        <v>4.4610000000000003</v>
      </c>
      <c r="AN255" t="s">
        <v>213</v>
      </c>
      <c r="AO255" t="s">
        <v>92</v>
      </c>
      <c r="AP255">
        <v>200000</v>
      </c>
      <c r="AQ255" t="s">
        <v>76</v>
      </c>
      <c r="AS255">
        <v>10000</v>
      </c>
      <c r="AT255" t="s">
        <v>2267</v>
      </c>
      <c r="AU255" t="s">
        <v>78</v>
      </c>
      <c r="AV255" t="s">
        <v>79</v>
      </c>
      <c r="AY255">
        <v>0</v>
      </c>
    </row>
    <row r="256" spans="1:52" ht="12.75">
      <c r="A256" s="2" t="str">
        <f>HYPERLINK("https://ibp.a2mac1.com/costing(costing:projects/details/8191/assembly/5382887)"," Exterior Charging Cable")</f>
        <v xml:space="preserve"> Exterior Charging Cable</v>
      </c>
      <c r="B256">
        <v>5382887</v>
      </c>
      <c r="D256">
        <v>5382804</v>
      </c>
      <c r="E256" t="s">
        <v>2270</v>
      </c>
      <c r="F256">
        <v>1</v>
      </c>
      <c r="G256">
        <v>0</v>
      </c>
      <c r="H256">
        <v>53.447659999999999</v>
      </c>
      <c r="I256">
        <v>0.26858120603015073</v>
      </c>
      <c r="J256" t="s">
        <v>137</v>
      </c>
      <c r="K256">
        <v>1.8706681000000001</v>
      </c>
      <c r="L256">
        <v>55.586909306030151</v>
      </c>
      <c r="M256">
        <v>0</v>
      </c>
      <c r="N256">
        <v>3.3871433155741304</v>
      </c>
      <c r="O256">
        <v>58.97405262160428</v>
      </c>
      <c r="P256" t="s">
        <v>138</v>
      </c>
      <c r="Q256">
        <v>3.3352145583618089</v>
      </c>
      <c r="R256" t="s">
        <v>138</v>
      </c>
      <c r="S256">
        <v>0.20322859893444783</v>
      </c>
      <c r="T256" t="s">
        <v>139</v>
      </c>
      <c r="U256">
        <v>7.0768863145925138</v>
      </c>
      <c r="V256" t="s">
        <v>90</v>
      </c>
      <c r="W256">
        <v>0</v>
      </c>
      <c r="X256" t="s">
        <v>90</v>
      </c>
      <c r="Y256">
        <v>0</v>
      </c>
      <c r="Z256">
        <v>69.589382093493057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58</v>
      </c>
      <c r="AI256">
        <v>115</v>
      </c>
      <c r="AJ256">
        <v>270</v>
      </c>
      <c r="AK256">
        <v>6160</v>
      </c>
      <c r="AL256">
        <v>1.7410000000000001</v>
      </c>
      <c r="AN256" t="s">
        <v>213</v>
      </c>
      <c r="AO256" t="s">
        <v>92</v>
      </c>
      <c r="AP256">
        <v>200000</v>
      </c>
      <c r="AQ256" t="s">
        <v>76</v>
      </c>
      <c r="AS256">
        <v>10000</v>
      </c>
      <c r="AT256" t="s">
        <v>2271</v>
      </c>
      <c r="AU256" t="s">
        <v>78</v>
      </c>
      <c r="AV256" t="s">
        <v>79</v>
      </c>
      <c r="AY256">
        <v>0</v>
      </c>
    </row>
    <row r="257" spans="1:52" ht="12.75">
      <c r="A257" s="2" t="str">
        <f>HYPERLINK("https://ibp.a2mac1.com/costing(costing:projects/details/8191/assembly/5382804)","Plug In System")</f>
        <v>Plug In System</v>
      </c>
      <c r="B257">
        <v>5382804</v>
      </c>
      <c r="D257">
        <v>5382793</v>
      </c>
      <c r="E257" t="s">
        <v>2242</v>
      </c>
      <c r="F257">
        <v>1</v>
      </c>
      <c r="G257">
        <v>0</v>
      </c>
      <c r="H257">
        <v>167.42340035553309</v>
      </c>
      <c r="I257">
        <v>0</v>
      </c>
      <c r="J257" t="s">
        <v>90</v>
      </c>
      <c r="K257">
        <v>0</v>
      </c>
      <c r="L257">
        <v>167.42340035553309</v>
      </c>
      <c r="M257">
        <v>0</v>
      </c>
      <c r="N257">
        <v>0</v>
      </c>
      <c r="O257">
        <v>167.42340035553309</v>
      </c>
      <c r="P257" t="s">
        <v>90</v>
      </c>
      <c r="Q257">
        <v>0</v>
      </c>
      <c r="R257" t="s">
        <v>90</v>
      </c>
      <c r="S257">
        <v>0</v>
      </c>
      <c r="T257" t="s">
        <v>90</v>
      </c>
      <c r="U257">
        <v>0</v>
      </c>
      <c r="V257" t="s">
        <v>90</v>
      </c>
      <c r="W257">
        <v>0</v>
      </c>
      <c r="X257" t="s">
        <v>90</v>
      </c>
      <c r="Y257">
        <v>0</v>
      </c>
      <c r="Z257">
        <v>167.42340035553309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N257" t="s">
        <v>91</v>
      </c>
      <c r="AO257" t="s">
        <v>92</v>
      </c>
      <c r="AP257">
        <v>200000</v>
      </c>
      <c r="AQ257" t="s">
        <v>92</v>
      </c>
      <c r="AS257">
        <v>10000</v>
      </c>
      <c r="AT257" t="s">
        <v>2284</v>
      </c>
      <c r="AU257" t="s">
        <v>78</v>
      </c>
      <c r="AV257" t="s">
        <v>79</v>
      </c>
      <c r="AY257">
        <v>0</v>
      </c>
    </row>
    <row r="258" spans="1:52" ht="12.75">
      <c r="A258" s="2" t="str">
        <f>HYPERLINK("https://ibp.a2mac1.com/costing(costing:projects/details/8191/assembly/5383442)","Housing")</f>
        <v>Housing</v>
      </c>
      <c r="B258">
        <v>5383442</v>
      </c>
      <c r="D258">
        <v>5383158</v>
      </c>
      <c r="E258" t="s">
        <v>2289</v>
      </c>
      <c r="F258">
        <v>1</v>
      </c>
      <c r="G258">
        <v>0</v>
      </c>
      <c r="H258">
        <v>12.862</v>
      </c>
      <c r="I258">
        <v>0.064633165829145731</v>
      </c>
      <c r="J258" t="s">
        <v>137</v>
      </c>
      <c r="K258">
        <v>0.45017000000000001</v>
      </c>
      <c r="L258">
        <v>13.376803165829145</v>
      </c>
      <c r="M258">
        <v>0</v>
      </c>
      <c r="N258">
        <v>1.712</v>
      </c>
      <c r="O258">
        <v>15.088803165829146</v>
      </c>
      <c r="P258" t="s">
        <v>138</v>
      </c>
      <c r="Q258">
        <v>0.8026081899497487</v>
      </c>
      <c r="R258" t="s">
        <v>138</v>
      </c>
      <c r="S258">
        <v>0.10272000000000001</v>
      </c>
      <c r="T258" t="s">
        <v>1643</v>
      </c>
      <c r="U258">
        <v>1.5088803165829145</v>
      </c>
      <c r="V258" t="s">
        <v>90</v>
      </c>
      <c r="W258">
        <v>0</v>
      </c>
      <c r="X258" t="s">
        <v>90</v>
      </c>
      <c r="Y258">
        <v>0</v>
      </c>
      <c r="Z258">
        <v>17.503011672361808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539</v>
      </c>
      <c r="AI258">
        <v>108</v>
      </c>
      <c r="AJ258">
        <v>222</v>
      </c>
      <c r="AK258">
        <v>0</v>
      </c>
      <c r="AL258">
        <v>3.2330000000000001</v>
      </c>
      <c r="AN258" t="s">
        <v>2290</v>
      </c>
      <c r="AO258" t="s">
        <v>92</v>
      </c>
      <c r="AP258">
        <v>2400000</v>
      </c>
      <c r="AQ258" t="s">
        <v>76</v>
      </c>
      <c r="AS258">
        <v>120000</v>
      </c>
      <c r="AT258" t="s">
        <v>2291</v>
      </c>
      <c r="AU258" t="s">
        <v>78</v>
      </c>
      <c r="AV258" t="s">
        <v>79</v>
      </c>
      <c r="AY258">
        <v>0</v>
      </c>
    </row>
    <row r="259" spans="1:52" ht="12.75">
      <c r="A259" s="2" t="str">
        <f>HYPERLINK("https://ibp.a2mac1.com/costing(costing:projects/details/8191/assembly/5383158)","Cell Module, Large")</f>
        <v>Cell Module, Large</v>
      </c>
      <c r="B259">
        <v>5383158</v>
      </c>
      <c r="D259">
        <v>5382890</v>
      </c>
      <c r="E259" t="s">
        <v>2315</v>
      </c>
      <c r="F259">
        <v>12</v>
      </c>
      <c r="G259">
        <v>0</v>
      </c>
      <c r="H259">
        <v>549.18974006834173</v>
      </c>
      <c r="I259">
        <v>2.7597474375293554</v>
      </c>
      <c r="J259" t="s">
        <v>137</v>
      </c>
      <c r="K259">
        <v>19.221640902391961</v>
      </c>
      <c r="L259">
        <v>571.17112840826303</v>
      </c>
      <c r="M259">
        <v>0</v>
      </c>
      <c r="N259">
        <v>145.92</v>
      </c>
      <c r="O259">
        <v>717.09112840826299</v>
      </c>
      <c r="P259" t="s">
        <v>138</v>
      </c>
      <c r="Q259">
        <v>34.27026770449578</v>
      </c>
      <c r="R259" t="s">
        <v>138</v>
      </c>
      <c r="S259">
        <v>8.7552000000000003</v>
      </c>
      <c r="T259" t="s">
        <v>2316</v>
      </c>
      <c r="U259">
        <v>114.73458054532209</v>
      </c>
      <c r="V259" t="s">
        <v>90</v>
      </c>
      <c r="W259">
        <v>0</v>
      </c>
      <c r="X259" t="s">
        <v>90</v>
      </c>
      <c r="Y259">
        <v>0</v>
      </c>
      <c r="Z259">
        <v>874.85117665808093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590</v>
      </c>
      <c r="AI259">
        <v>223</v>
      </c>
      <c r="AJ259">
        <v>106</v>
      </c>
      <c r="AK259">
        <v>0</v>
      </c>
      <c r="AL259">
        <v>3.0859999999999999</v>
      </c>
      <c r="AN259" t="s">
        <v>2317</v>
      </c>
      <c r="AO259" t="s">
        <v>92</v>
      </c>
      <c r="AP259">
        <v>2400000</v>
      </c>
      <c r="AQ259" t="s">
        <v>76</v>
      </c>
      <c r="AS259">
        <v>120000</v>
      </c>
      <c r="AT259" t="s">
        <v>2318</v>
      </c>
      <c r="AU259" t="s">
        <v>78</v>
      </c>
      <c r="AV259" t="s">
        <v>79</v>
      </c>
      <c r="AY259">
        <v>0</v>
      </c>
    </row>
    <row r="260" spans="1:52" ht="12.75">
      <c r="A260" s="2" t="str">
        <f>HYPERLINK("https://ibp.a2mac1.com/costing(costing:projects/details/8191/assembly/5383728)","BMS Master PCBA")</f>
        <v>BMS Master PCBA</v>
      </c>
      <c r="B260">
        <v>5383728</v>
      </c>
      <c r="D260">
        <v>5383449</v>
      </c>
      <c r="E260" t="s">
        <v>2325</v>
      </c>
      <c r="F260">
        <v>1</v>
      </c>
      <c r="G260">
        <v>0</v>
      </c>
      <c r="H260">
        <v>41.49</v>
      </c>
      <c r="I260">
        <v>0</v>
      </c>
      <c r="J260" t="s">
        <v>90</v>
      </c>
      <c r="K260">
        <v>0</v>
      </c>
      <c r="L260">
        <v>41.49</v>
      </c>
      <c r="M260">
        <v>0</v>
      </c>
      <c r="N260">
        <v>0</v>
      </c>
      <c r="O260">
        <v>41.49</v>
      </c>
      <c r="P260" t="s">
        <v>90</v>
      </c>
      <c r="Q260">
        <v>0</v>
      </c>
      <c r="R260" t="s">
        <v>90</v>
      </c>
      <c r="S260">
        <v>0</v>
      </c>
      <c r="T260" t="s">
        <v>90</v>
      </c>
      <c r="U260">
        <v>0</v>
      </c>
      <c r="V260" t="s">
        <v>90</v>
      </c>
      <c r="W260">
        <v>0</v>
      </c>
      <c r="X260" t="s">
        <v>90</v>
      </c>
      <c r="Y260">
        <v>0</v>
      </c>
      <c r="Z260">
        <v>41.49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302</v>
      </c>
      <c r="AI260">
        <v>91</v>
      </c>
      <c r="AJ260">
        <v>28</v>
      </c>
      <c r="AK260">
        <v>1.72</v>
      </c>
      <c r="AL260">
        <v>0.191</v>
      </c>
      <c r="AN260" t="s">
        <v>342</v>
      </c>
      <c r="AO260" t="s">
        <v>92</v>
      </c>
      <c r="AP260">
        <v>200000</v>
      </c>
      <c r="AQ260" t="s">
        <v>76</v>
      </c>
      <c r="AS260">
        <v>10000</v>
      </c>
      <c r="AT260" t="s">
        <v>9</v>
      </c>
      <c r="AU260" t="s">
        <v>78</v>
      </c>
      <c r="AV260" t="s">
        <v>79</v>
      </c>
      <c r="AY260">
        <v>0</v>
      </c>
    </row>
    <row r="261" spans="1:52" ht="12.75">
      <c r="A261" s="2" t="str">
        <f>HYPERLINK("https://ibp.a2mac1.com/costing(costing:projects/details/8191/assembly/5383729)","BMS Master ECU Mechanical Components")</f>
        <v>BMS Master ECU Mechanical Components</v>
      </c>
      <c r="B261">
        <v>5383729</v>
      </c>
      <c r="D261">
        <v>5383449</v>
      </c>
      <c r="E261" t="s">
        <v>2332</v>
      </c>
      <c r="F261">
        <v>1</v>
      </c>
      <c r="G261">
        <v>0</v>
      </c>
      <c r="H261">
        <v>2.9770400000000001</v>
      </c>
      <c r="I261">
        <v>0</v>
      </c>
      <c r="J261" t="s">
        <v>90</v>
      </c>
      <c r="K261">
        <v>0</v>
      </c>
      <c r="L261">
        <v>2.9770400000000001</v>
      </c>
      <c r="M261">
        <v>0</v>
      </c>
      <c r="N261">
        <v>0</v>
      </c>
      <c r="O261">
        <v>2.9770400000000001</v>
      </c>
      <c r="P261" t="s">
        <v>90</v>
      </c>
      <c r="Q261">
        <v>0</v>
      </c>
      <c r="R261" t="s">
        <v>90</v>
      </c>
      <c r="S261">
        <v>0</v>
      </c>
      <c r="T261" t="s">
        <v>90</v>
      </c>
      <c r="U261">
        <v>0</v>
      </c>
      <c r="V261" t="s">
        <v>90</v>
      </c>
      <c r="W261">
        <v>0</v>
      </c>
      <c r="X261" t="s">
        <v>90</v>
      </c>
      <c r="Y261">
        <v>0</v>
      </c>
      <c r="Z261">
        <v>2.9770400000000001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N261" t="s">
        <v>91</v>
      </c>
      <c r="AO261" t="s">
        <v>92</v>
      </c>
      <c r="AP261">
        <v>200000</v>
      </c>
      <c r="AQ261" t="s">
        <v>92</v>
      </c>
      <c r="AS261">
        <v>10000</v>
      </c>
      <c r="AT261" t="s">
        <v>2333</v>
      </c>
      <c r="AU261" t="s">
        <v>78</v>
      </c>
      <c r="AV261" t="s">
        <v>79</v>
      </c>
      <c r="AY261">
        <v>0</v>
      </c>
    </row>
    <row r="262" spans="1:52" ht="12.75">
      <c r="A262" s="2" t="str">
        <f>HYPERLINK("https://ibp.a2mac1.com/costing(costing:projects/details/8191/assembly/5383449)","BMS Master ECU")</f>
        <v>BMS Master ECU</v>
      </c>
      <c r="B262">
        <v>5383449</v>
      </c>
      <c r="D262">
        <v>5383159</v>
      </c>
      <c r="E262" t="s">
        <v>2334</v>
      </c>
      <c r="F262">
        <v>1</v>
      </c>
      <c r="G262">
        <v>0</v>
      </c>
      <c r="H262">
        <v>44.467039999999997</v>
      </c>
      <c r="I262">
        <v>0.2234524623115578</v>
      </c>
      <c r="J262" t="s">
        <v>137</v>
      </c>
      <c r="K262">
        <v>1.5563464</v>
      </c>
      <c r="L262">
        <v>46.246838862311556</v>
      </c>
      <c r="M262">
        <v>0</v>
      </c>
      <c r="N262">
        <v>0.123</v>
      </c>
      <c r="O262">
        <v>46.36983886231156</v>
      </c>
      <c r="P262" t="s">
        <v>138</v>
      </c>
      <c r="Q262">
        <v>2.7748103317386934</v>
      </c>
      <c r="R262" t="s">
        <v>138</v>
      </c>
      <c r="S262">
        <v>0.0073800000000000003</v>
      </c>
      <c r="T262" t="s">
        <v>139</v>
      </c>
      <c r="U262">
        <v>5.5643806634773867</v>
      </c>
      <c r="V262" t="s">
        <v>90</v>
      </c>
      <c r="W262">
        <v>0</v>
      </c>
      <c r="X262" t="s">
        <v>90</v>
      </c>
      <c r="Y262">
        <v>0</v>
      </c>
      <c r="Z262">
        <v>54.716409857527637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N262" t="s">
        <v>2335</v>
      </c>
      <c r="AO262" t="s">
        <v>92</v>
      </c>
      <c r="AP262">
        <v>200000</v>
      </c>
      <c r="AQ262" t="s">
        <v>76</v>
      </c>
      <c r="AS262">
        <v>10000</v>
      </c>
      <c r="AT262" t="s">
        <v>2336</v>
      </c>
      <c r="AU262" t="s">
        <v>78</v>
      </c>
      <c r="AV262" t="s">
        <v>79</v>
      </c>
      <c r="AY262">
        <v>0</v>
      </c>
    </row>
    <row r="263" spans="1:52" ht="12.75">
      <c r="A263" s="2" t="str">
        <f>HYPERLINK("https://ibp.a2mac1.com/costing(costing:projects/details/8191/assembly/5383730)","Slave BMS PCBA")</f>
        <v>Slave BMS PCBA</v>
      </c>
      <c r="B263">
        <v>5383730</v>
      </c>
      <c r="D263">
        <v>5383450</v>
      </c>
      <c r="E263" t="s">
        <v>2341</v>
      </c>
      <c r="F263">
        <v>1</v>
      </c>
      <c r="G263">
        <v>0</v>
      </c>
      <c r="H263">
        <v>23.71</v>
      </c>
      <c r="I263">
        <v>0</v>
      </c>
      <c r="J263" t="s">
        <v>90</v>
      </c>
      <c r="K263">
        <v>0</v>
      </c>
      <c r="L263">
        <v>23.71</v>
      </c>
      <c r="M263">
        <v>0</v>
      </c>
      <c r="N263">
        <v>0</v>
      </c>
      <c r="O263">
        <v>23.71</v>
      </c>
      <c r="P263" t="s">
        <v>90</v>
      </c>
      <c r="Q263">
        <v>0</v>
      </c>
      <c r="R263" t="s">
        <v>90</v>
      </c>
      <c r="S263">
        <v>0</v>
      </c>
      <c r="T263" t="s">
        <v>90</v>
      </c>
      <c r="U263">
        <v>0</v>
      </c>
      <c r="V263" t="s">
        <v>90</v>
      </c>
      <c r="W263">
        <v>0</v>
      </c>
      <c r="X263" t="s">
        <v>90</v>
      </c>
      <c r="Y263">
        <v>0</v>
      </c>
      <c r="Z263">
        <v>23.71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300</v>
      </c>
      <c r="AI263">
        <v>87</v>
      </c>
      <c r="AJ263">
        <v>15</v>
      </c>
      <c r="AK263">
        <v>1.41</v>
      </c>
      <c r="AL263">
        <v>0.13</v>
      </c>
      <c r="AN263" t="s">
        <v>342</v>
      </c>
      <c r="AO263" t="s">
        <v>92</v>
      </c>
      <c r="AP263">
        <v>600000</v>
      </c>
      <c r="AQ263" t="s">
        <v>76</v>
      </c>
      <c r="AS263">
        <v>30000</v>
      </c>
      <c r="AT263" t="s">
        <v>2342</v>
      </c>
      <c r="AU263" t="s">
        <v>78</v>
      </c>
      <c r="AV263" t="s">
        <v>79</v>
      </c>
      <c r="AY263">
        <v>0</v>
      </c>
    </row>
    <row r="264" spans="1:52" ht="12.75">
      <c r="A264" s="2" t="str">
        <f>HYPERLINK("https://ibp.a2mac1.com/costing(costing:projects/details/8191/assembly/5383731)","Slave BMS ECU Mechanical Components")</f>
        <v>Slave BMS ECU Mechanical Components</v>
      </c>
      <c r="B264">
        <v>5383731</v>
      </c>
      <c r="D264">
        <v>5383450</v>
      </c>
      <c r="E264" t="s">
        <v>2350</v>
      </c>
      <c r="F264">
        <v>1</v>
      </c>
      <c r="G264">
        <v>0</v>
      </c>
      <c r="H264">
        <v>1.8163800000000001</v>
      </c>
      <c r="I264">
        <v>0</v>
      </c>
      <c r="J264" t="s">
        <v>90</v>
      </c>
      <c r="K264">
        <v>0</v>
      </c>
      <c r="L264">
        <v>1.8163800000000001</v>
      </c>
      <c r="M264">
        <v>0</v>
      </c>
      <c r="N264">
        <v>0</v>
      </c>
      <c r="O264">
        <v>1.8163800000000001</v>
      </c>
      <c r="P264" t="s">
        <v>90</v>
      </c>
      <c r="Q264">
        <v>0</v>
      </c>
      <c r="R264" t="s">
        <v>90</v>
      </c>
      <c r="S264">
        <v>0</v>
      </c>
      <c r="T264" t="s">
        <v>90</v>
      </c>
      <c r="U264">
        <v>0</v>
      </c>
      <c r="V264" t="s">
        <v>90</v>
      </c>
      <c r="W264">
        <v>0</v>
      </c>
      <c r="X264" t="s">
        <v>90</v>
      </c>
      <c r="Y264">
        <v>0</v>
      </c>
      <c r="Z264">
        <v>1.8163800000000001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N264" t="s">
        <v>91</v>
      </c>
      <c r="AO264" t="s">
        <v>92</v>
      </c>
      <c r="AP264">
        <v>600000</v>
      </c>
      <c r="AQ264" t="s">
        <v>92</v>
      </c>
      <c r="AS264">
        <v>30000</v>
      </c>
      <c r="AT264" t="s">
        <v>2351</v>
      </c>
      <c r="AU264" t="s">
        <v>78</v>
      </c>
      <c r="AV264" t="s">
        <v>79</v>
      </c>
      <c r="AY264">
        <v>0</v>
      </c>
    </row>
    <row r="265" spans="1:52" ht="12.75">
      <c r="A265" s="2" t="str">
        <f>HYPERLINK("https://ibp.a2mac1.com/costing(costing:projects/details/8191/assembly/5383450)","Slave BMS ECU")</f>
        <v>Slave BMS ECU</v>
      </c>
      <c r="B265">
        <v>5383450</v>
      </c>
      <c r="D265">
        <v>5383159</v>
      </c>
      <c r="E265" t="s">
        <v>2352</v>
      </c>
      <c r="F265">
        <v>3</v>
      </c>
      <c r="G265">
        <v>0</v>
      </c>
      <c r="H265">
        <v>76.579139999999995</v>
      </c>
      <c r="I265">
        <v>0.38481979899497487</v>
      </c>
      <c r="J265" t="s">
        <v>137</v>
      </c>
      <c r="K265">
        <v>2.6802698999999999</v>
      </c>
      <c r="L265">
        <v>79.644229698994977</v>
      </c>
      <c r="M265">
        <v>0</v>
      </c>
      <c r="N265">
        <v>0.36899999999999999</v>
      </c>
      <c r="O265">
        <v>80.013229698994977</v>
      </c>
      <c r="P265" t="s">
        <v>138</v>
      </c>
      <c r="Q265">
        <v>4.7786537819396981</v>
      </c>
      <c r="R265" t="s">
        <v>138</v>
      </c>
      <c r="S265">
        <v>0.02214</v>
      </c>
      <c r="T265" t="s">
        <v>139</v>
      </c>
      <c r="U265">
        <v>9.6015875638793968</v>
      </c>
      <c r="V265" t="s">
        <v>90</v>
      </c>
      <c r="W265">
        <v>0</v>
      </c>
      <c r="X265" t="s">
        <v>90</v>
      </c>
      <c r="Y265">
        <v>0</v>
      </c>
      <c r="Z265">
        <v>94.415611044814071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N265" t="s">
        <v>2335</v>
      </c>
      <c r="AO265" t="s">
        <v>92</v>
      </c>
      <c r="AP265">
        <v>600000</v>
      </c>
      <c r="AQ265" t="s">
        <v>76</v>
      </c>
      <c r="AS265">
        <v>30000</v>
      </c>
      <c r="AT265" t="s">
        <v>2353</v>
      </c>
      <c r="AU265" t="s">
        <v>78</v>
      </c>
      <c r="AV265" t="s">
        <v>79</v>
      </c>
      <c r="AY265">
        <v>0</v>
      </c>
    </row>
    <row r="266" spans="1:52" ht="12.75">
      <c r="A266" s="2" t="str">
        <f>HYPERLINK("https://ibp.a2mac1.com/costing(costing:projects/details/8191/assembly/5383742)","Housing Bottom")</f>
        <v>Housing Bottom</v>
      </c>
      <c r="B266">
        <v>5383742</v>
      </c>
      <c r="D266">
        <v>5383451</v>
      </c>
      <c r="E266" t="s">
        <v>2356</v>
      </c>
      <c r="F266">
        <v>1</v>
      </c>
      <c r="G266">
        <v>0</v>
      </c>
      <c r="H266">
        <v>8.2639999999999993</v>
      </c>
      <c r="I266">
        <v>0.041527638190954771</v>
      </c>
      <c r="J266" t="s">
        <v>137</v>
      </c>
      <c r="K266">
        <v>0.28924</v>
      </c>
      <c r="L266">
        <v>8.5947676381909552</v>
      </c>
      <c r="M266">
        <v>0</v>
      </c>
      <c r="N266">
        <v>1.714</v>
      </c>
      <c r="O266">
        <v>10.308767638190956</v>
      </c>
      <c r="P266" t="s">
        <v>138</v>
      </c>
      <c r="Q266">
        <v>0.51568605829145731</v>
      </c>
      <c r="R266" t="s">
        <v>138</v>
      </c>
      <c r="S266">
        <v>0.10284</v>
      </c>
      <c r="T266" t="s">
        <v>139</v>
      </c>
      <c r="U266">
        <v>1.2370521165829145</v>
      </c>
      <c r="V266" t="s">
        <v>90</v>
      </c>
      <c r="W266">
        <v>0</v>
      </c>
      <c r="X266" t="s">
        <v>90</v>
      </c>
      <c r="Y266">
        <v>0</v>
      </c>
      <c r="Z266">
        <v>12.164345813065326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310</v>
      </c>
      <c r="AI266">
        <v>100</v>
      </c>
      <c r="AJ266">
        <v>87</v>
      </c>
      <c r="AK266">
        <v>2</v>
      </c>
      <c r="AL266">
        <v>0.88300000000000001</v>
      </c>
      <c r="AN266" t="s">
        <v>2293</v>
      </c>
      <c r="AO266" t="s">
        <v>92</v>
      </c>
      <c r="AP266">
        <v>200000</v>
      </c>
      <c r="AQ266" t="s">
        <v>76</v>
      </c>
      <c r="AS266">
        <v>10000</v>
      </c>
      <c r="AT266" t="s">
        <v>2357</v>
      </c>
      <c r="AU266" t="s">
        <v>78</v>
      </c>
      <c r="AV266" t="s">
        <v>79</v>
      </c>
      <c r="AY266">
        <v>0</v>
      </c>
    </row>
    <row r="267" spans="1:52" ht="12.75">
      <c r="A267" s="2" t="str">
        <f>HYPERLINK("https://ibp.a2mac1.com/costing(costing:projects/details/8191/assembly/5383451)","Relay Box #1")</f>
        <v>Relay Box #1</v>
      </c>
      <c r="B267">
        <v>5383451</v>
      </c>
      <c r="D267">
        <v>5383159</v>
      </c>
      <c r="E267" t="s">
        <v>2380</v>
      </c>
      <c r="F267">
        <v>1</v>
      </c>
      <c r="G267">
        <v>0</v>
      </c>
      <c r="H267">
        <v>57.007535813065324</v>
      </c>
      <c r="I267">
        <v>0.28647002921138354</v>
      </c>
      <c r="J267" t="s">
        <v>137</v>
      </c>
      <c r="K267">
        <v>1.9952637534572863</v>
      </c>
      <c r="L267">
        <v>59.289269595733998</v>
      </c>
      <c r="M267">
        <v>0</v>
      </c>
      <c r="N267">
        <v>0</v>
      </c>
      <c r="O267">
        <v>59.289269595733998</v>
      </c>
      <c r="P267" t="s">
        <v>138</v>
      </c>
      <c r="Q267">
        <v>3.5573561757440397</v>
      </c>
      <c r="R267" t="s">
        <v>138</v>
      </c>
      <c r="S267">
        <v>0</v>
      </c>
      <c r="T267" t="s">
        <v>139</v>
      </c>
      <c r="U267">
        <v>7.1147123514880795</v>
      </c>
      <c r="V267" t="s">
        <v>90</v>
      </c>
      <c r="W267">
        <v>0</v>
      </c>
      <c r="X267" t="s">
        <v>90</v>
      </c>
      <c r="Y267">
        <v>0</v>
      </c>
      <c r="Z267">
        <v>69.961338122966112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0.024</v>
      </c>
      <c r="AN267" t="s">
        <v>2381</v>
      </c>
      <c r="AO267" t="s">
        <v>92</v>
      </c>
      <c r="AP267">
        <v>200000</v>
      </c>
      <c r="AQ267" t="s">
        <v>76</v>
      </c>
      <c r="AS267">
        <v>10000</v>
      </c>
      <c r="AT267" t="s">
        <v>2382</v>
      </c>
      <c r="AU267" t="s">
        <v>78</v>
      </c>
      <c r="AV267" t="s">
        <v>79</v>
      </c>
      <c r="AY267">
        <v>0</v>
      </c>
    </row>
    <row r="268" spans="1:52" ht="12.75">
      <c r="A268" s="2" t="str">
        <f>HYPERLINK("https://ibp.a2mac1.com/costing(costing:projects/details/8191/assembly/5383452)","Relay Box #2")</f>
        <v>Relay Box #2</v>
      </c>
      <c r="B268">
        <v>5383452</v>
      </c>
      <c r="D268">
        <v>5383159</v>
      </c>
      <c r="E268" t="s">
        <v>2403</v>
      </c>
      <c r="F268">
        <v>1</v>
      </c>
      <c r="G268">
        <v>0</v>
      </c>
      <c r="H268">
        <v>37.738349999999997</v>
      </c>
      <c r="I268">
        <v>0.18963994974874371</v>
      </c>
      <c r="J268" t="s">
        <v>137</v>
      </c>
      <c r="K268">
        <v>1.3208422500000001</v>
      </c>
      <c r="L268">
        <v>39.24883219974874</v>
      </c>
      <c r="M268">
        <v>0</v>
      </c>
      <c r="N268">
        <v>0</v>
      </c>
      <c r="O268">
        <v>39.24883219974874</v>
      </c>
      <c r="P268" t="s">
        <v>138</v>
      </c>
      <c r="Q268">
        <v>2.3549299319849246</v>
      </c>
      <c r="R268" t="s">
        <v>138</v>
      </c>
      <c r="S268">
        <v>0</v>
      </c>
      <c r="T268" t="s">
        <v>139</v>
      </c>
      <c r="U268">
        <v>4.7098598639698492</v>
      </c>
      <c r="V268" t="s">
        <v>90</v>
      </c>
      <c r="W268">
        <v>0</v>
      </c>
      <c r="X268" t="s">
        <v>90</v>
      </c>
      <c r="Y268">
        <v>0</v>
      </c>
      <c r="Z268">
        <v>46.313621995703521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0.024</v>
      </c>
      <c r="AN268" t="s">
        <v>2381</v>
      </c>
      <c r="AO268" t="s">
        <v>92</v>
      </c>
      <c r="AP268">
        <v>200000</v>
      </c>
      <c r="AQ268" t="s">
        <v>76</v>
      </c>
      <c r="AS268">
        <v>10000</v>
      </c>
      <c r="AT268" t="s">
        <v>2404</v>
      </c>
      <c r="AU268" t="s">
        <v>78</v>
      </c>
      <c r="AV268" t="s">
        <v>79</v>
      </c>
      <c r="AY268">
        <v>0</v>
      </c>
    </row>
    <row r="269" spans="1:52" ht="12.75">
      <c r="A269" s="2" t="str">
        <f>HYPERLINK("https://ibp.a2mac1.com/costing(costing:projects/details/8191/assembly/5383453)","Power Connection")</f>
        <v>Power Connection</v>
      </c>
      <c r="B269">
        <v>5383453</v>
      </c>
      <c r="D269">
        <v>5383159</v>
      </c>
      <c r="E269" t="s">
        <v>2418</v>
      </c>
      <c r="F269">
        <v>1</v>
      </c>
      <c r="G269">
        <v>0</v>
      </c>
      <c r="H269">
        <v>26.386790000000001</v>
      </c>
      <c r="I269">
        <v>0</v>
      </c>
      <c r="J269" t="s">
        <v>90</v>
      </c>
      <c r="K269">
        <v>0</v>
      </c>
      <c r="L269">
        <v>26.386790000000001</v>
      </c>
      <c r="M269">
        <v>0</v>
      </c>
      <c r="N269">
        <v>0</v>
      </c>
      <c r="O269">
        <v>26.386790000000001</v>
      </c>
      <c r="P269" t="s">
        <v>90</v>
      </c>
      <c r="Q269">
        <v>0</v>
      </c>
      <c r="R269" t="s">
        <v>90</v>
      </c>
      <c r="S269">
        <v>0</v>
      </c>
      <c r="T269" t="s">
        <v>90</v>
      </c>
      <c r="U269">
        <v>0</v>
      </c>
      <c r="V269" t="s">
        <v>90</v>
      </c>
      <c r="W269">
        <v>0</v>
      </c>
      <c r="X269" t="s">
        <v>90</v>
      </c>
      <c r="Y269">
        <v>0</v>
      </c>
      <c r="Z269">
        <v>26.386790000000001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0.024</v>
      </c>
      <c r="AN269" t="s">
        <v>91</v>
      </c>
      <c r="AO269" t="s">
        <v>92</v>
      </c>
      <c r="AP269">
        <v>200000</v>
      </c>
      <c r="AQ269" t="s">
        <v>92</v>
      </c>
      <c r="AS269">
        <v>10000</v>
      </c>
      <c r="AT269" t="s">
        <v>2419</v>
      </c>
      <c r="AU269" t="s">
        <v>78</v>
      </c>
      <c r="AV269" t="s">
        <v>79</v>
      </c>
      <c r="AY269">
        <v>0</v>
      </c>
    </row>
    <row r="270" spans="1:52" ht="12.75">
      <c r="A270" s="2" t="str">
        <f>HYPERLINK("https://ibp.a2mac1.com/costing(costing:projects/details/8191/assembly/5383454)","Signal Connection")</f>
        <v>Signal Connection</v>
      </c>
      <c r="B270">
        <v>5383454</v>
      </c>
      <c r="D270">
        <v>5383159</v>
      </c>
      <c r="E270" t="s">
        <v>2429</v>
      </c>
      <c r="F270">
        <v>1</v>
      </c>
      <c r="G270">
        <v>0</v>
      </c>
      <c r="H270">
        <v>24.345</v>
      </c>
      <c r="I270">
        <v>0</v>
      </c>
      <c r="J270" t="s">
        <v>90</v>
      </c>
      <c r="K270">
        <v>0</v>
      </c>
      <c r="L270">
        <v>24.345</v>
      </c>
      <c r="M270">
        <v>0</v>
      </c>
      <c r="N270">
        <v>0</v>
      </c>
      <c r="O270">
        <v>24.345</v>
      </c>
      <c r="P270" t="s">
        <v>90</v>
      </c>
      <c r="Q270">
        <v>0</v>
      </c>
      <c r="R270" t="s">
        <v>90</v>
      </c>
      <c r="S270">
        <v>0</v>
      </c>
      <c r="T270" t="s">
        <v>90</v>
      </c>
      <c r="U270">
        <v>0</v>
      </c>
      <c r="V270" t="s">
        <v>90</v>
      </c>
      <c r="W270">
        <v>0</v>
      </c>
      <c r="X270" t="s">
        <v>90</v>
      </c>
      <c r="Y270">
        <v>0</v>
      </c>
      <c r="Z270">
        <v>24.345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0.024</v>
      </c>
      <c r="AN270" t="s">
        <v>342</v>
      </c>
      <c r="AO270" t="s">
        <v>92</v>
      </c>
      <c r="AP270">
        <v>200000</v>
      </c>
      <c r="AQ270" t="s">
        <v>92</v>
      </c>
      <c r="AS270">
        <v>10000</v>
      </c>
      <c r="AT270" t="s">
        <v>9</v>
      </c>
      <c r="AU270" t="s">
        <v>78</v>
      </c>
      <c r="AV270" t="s">
        <v>79</v>
      </c>
      <c r="AY270">
        <v>0</v>
      </c>
    </row>
    <row r="271" spans="1:52" ht="12.75">
      <c r="A271" s="2" t="str">
        <f>HYPERLINK("https://ibp.a2mac1.com/costing(costing:projects/details/8191/assembly/5383159)","Electrical Components")</f>
        <v>Electrical Components</v>
      </c>
      <c r="B271">
        <v>5383159</v>
      </c>
      <c r="D271">
        <v>5382890</v>
      </c>
      <c r="E271" t="s">
        <v>2430</v>
      </c>
      <c r="F271">
        <v>1</v>
      </c>
      <c r="G271">
        <v>0</v>
      </c>
      <c r="H271">
        <v>316.13877102101134</v>
      </c>
      <c r="I271">
        <v>0</v>
      </c>
      <c r="J271" t="s">
        <v>90</v>
      </c>
      <c r="K271">
        <v>0</v>
      </c>
      <c r="L271">
        <v>316.13877102101134</v>
      </c>
      <c r="M271">
        <v>0</v>
      </c>
      <c r="N271">
        <v>0</v>
      </c>
      <c r="O271">
        <v>316.13877102101134</v>
      </c>
      <c r="P271" t="s">
        <v>90</v>
      </c>
      <c r="Q271">
        <v>0</v>
      </c>
      <c r="R271" t="s">
        <v>90</v>
      </c>
      <c r="S271">
        <v>0</v>
      </c>
      <c r="T271" t="s">
        <v>90</v>
      </c>
      <c r="U271">
        <v>0</v>
      </c>
      <c r="V271" t="s">
        <v>90</v>
      </c>
      <c r="W271">
        <v>0</v>
      </c>
      <c r="X271" t="s">
        <v>90</v>
      </c>
      <c r="Y271">
        <v>0</v>
      </c>
      <c r="Z271">
        <v>316.13877102101134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N271" t="s">
        <v>91</v>
      </c>
      <c r="AO271" t="s">
        <v>92</v>
      </c>
      <c r="AP271">
        <v>200000</v>
      </c>
      <c r="AQ271" t="s">
        <v>92</v>
      </c>
      <c r="AS271">
        <v>10000</v>
      </c>
      <c r="AT271" t="s">
        <v>2431</v>
      </c>
      <c r="AU271" t="s">
        <v>78</v>
      </c>
      <c r="AV271" t="s">
        <v>79</v>
      </c>
      <c r="AY271">
        <v>0</v>
      </c>
    </row>
    <row r="272" spans="1:52" ht="12.75">
      <c r="A272" s="2" t="str">
        <f>HYPERLINK("https://ibp.a2mac1.com/costing(costing:projects/details/8191/assembly/5383455)","Enclosure Bottom")</f>
        <v>Enclosure Bottom</v>
      </c>
      <c r="B272">
        <v>5383455</v>
      </c>
      <c r="D272">
        <v>5383160</v>
      </c>
      <c r="E272" t="s">
        <v>2434</v>
      </c>
      <c r="F272">
        <v>1</v>
      </c>
      <c r="G272">
        <v>0</v>
      </c>
      <c r="H272">
        <v>157.26599999999999</v>
      </c>
      <c r="I272">
        <v>0.79028140703517591</v>
      </c>
      <c r="J272" t="s">
        <v>137</v>
      </c>
      <c r="K272">
        <v>5.5043100000000003</v>
      </c>
      <c r="L272">
        <v>163.56059140703519</v>
      </c>
      <c r="M272">
        <v>0</v>
      </c>
      <c r="N272">
        <v>51.582999999999998</v>
      </c>
      <c r="O272">
        <v>215.14359140703519</v>
      </c>
      <c r="P272" t="s">
        <v>138</v>
      </c>
      <c r="Q272">
        <v>9.813635484422111</v>
      </c>
      <c r="R272" t="s">
        <v>138</v>
      </c>
      <c r="S272">
        <v>3.0949800000000001</v>
      </c>
      <c r="T272" t="s">
        <v>139</v>
      </c>
      <c r="U272">
        <v>25.817230968844221</v>
      </c>
      <c r="V272" t="s">
        <v>90</v>
      </c>
      <c r="W272">
        <v>0</v>
      </c>
      <c r="X272" t="s">
        <v>90</v>
      </c>
      <c r="Y272">
        <v>0</v>
      </c>
      <c r="Z272">
        <v>253.8694378603015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1450</v>
      </c>
      <c r="AI272">
        <v>1810</v>
      </c>
      <c r="AJ272">
        <v>130</v>
      </c>
      <c r="AK272">
        <v>0</v>
      </c>
      <c r="AL272">
        <v>51.360999999999997</v>
      </c>
      <c r="AN272" t="s">
        <v>2435</v>
      </c>
      <c r="AO272" t="s">
        <v>92</v>
      </c>
      <c r="AP272">
        <v>200000</v>
      </c>
      <c r="AQ272" t="s">
        <v>76</v>
      </c>
      <c r="AS272">
        <v>10000</v>
      </c>
      <c r="AT272" t="s">
        <v>2436</v>
      </c>
      <c r="AU272" t="s">
        <v>78</v>
      </c>
      <c r="AV272" t="s">
        <v>79</v>
      </c>
      <c r="AY272">
        <v>0</v>
      </c>
    </row>
    <row r="273" spans="1:52" ht="12.75">
      <c r="A273" s="2" t="str">
        <f>HYPERLINK("https://ibp.a2mac1.com/costing(costing:projects/details/8191/assembly/5383458)","Second Enclosure Bottom")</f>
        <v>Second Enclosure Bottom</v>
      </c>
      <c r="B273">
        <v>5383458</v>
      </c>
      <c r="D273">
        <v>5383160</v>
      </c>
      <c r="E273" t="s">
        <v>2438</v>
      </c>
      <c r="F273">
        <v>1</v>
      </c>
      <c r="G273">
        <v>0</v>
      </c>
      <c r="H273">
        <v>95.078000000000003</v>
      </c>
      <c r="I273">
        <v>0.47777889447236183</v>
      </c>
      <c r="J273" t="s">
        <v>137</v>
      </c>
      <c r="K273">
        <v>3.3277299999999999</v>
      </c>
      <c r="L273">
        <v>98.883508894472357</v>
      </c>
      <c r="M273">
        <v>0</v>
      </c>
      <c r="N273">
        <v>3.1480000000000001</v>
      </c>
      <c r="O273">
        <v>102.03150889447237</v>
      </c>
      <c r="P273" t="s">
        <v>138</v>
      </c>
      <c r="Q273">
        <v>5.9330105336683419</v>
      </c>
      <c r="R273" t="s">
        <v>138</v>
      </c>
      <c r="S273">
        <v>0.18887999999999999</v>
      </c>
      <c r="T273" t="s">
        <v>139</v>
      </c>
      <c r="U273">
        <v>12.243781067336684</v>
      </c>
      <c r="V273" t="s">
        <v>90</v>
      </c>
      <c r="W273">
        <v>0</v>
      </c>
      <c r="X273" t="s">
        <v>90</v>
      </c>
      <c r="Y273">
        <v>0</v>
      </c>
      <c r="Z273">
        <v>120.39718049547739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1333</v>
      </c>
      <c r="AI273">
        <v>1721</v>
      </c>
      <c r="AJ273">
        <v>22</v>
      </c>
      <c r="AK273">
        <v>2.50</v>
      </c>
      <c r="AL273">
        <v>22.782</v>
      </c>
      <c r="AN273" t="s">
        <v>2293</v>
      </c>
      <c r="AO273" t="s">
        <v>92</v>
      </c>
      <c r="AP273">
        <v>200000</v>
      </c>
      <c r="AQ273" t="s">
        <v>76</v>
      </c>
      <c r="AS273">
        <v>10000</v>
      </c>
      <c r="AT273" t="s">
        <v>2439</v>
      </c>
      <c r="AU273" t="s">
        <v>78</v>
      </c>
      <c r="AV273" t="s">
        <v>79</v>
      </c>
      <c r="AY273">
        <v>0</v>
      </c>
    </row>
    <row r="274" spans="1:52" ht="12.75">
      <c r="A274" s="2" t="str">
        <f>HYPERLINK("https://ibp.a2mac1.com/costing(costing:projects/details/8191/assembly/5383461)","Enclosure Top")</f>
        <v>Enclosure Top</v>
      </c>
      <c r="B274">
        <v>5383461</v>
      </c>
      <c r="D274">
        <v>5383160</v>
      </c>
      <c r="E274" t="s">
        <v>2441</v>
      </c>
      <c r="F274">
        <v>1</v>
      </c>
      <c r="G274">
        <v>0</v>
      </c>
      <c r="H274">
        <v>27.286000000000001</v>
      </c>
      <c r="I274">
        <v>0.13711557788944723</v>
      </c>
      <c r="J274" t="s">
        <v>137</v>
      </c>
      <c r="K274">
        <v>0.95501000000000003</v>
      </c>
      <c r="L274">
        <v>28.378125577889449</v>
      </c>
      <c r="M274">
        <v>0</v>
      </c>
      <c r="N274">
        <v>1.0880000000000001</v>
      </c>
      <c r="O274">
        <v>29.466125577889446</v>
      </c>
      <c r="P274" t="s">
        <v>138</v>
      </c>
      <c r="Q274">
        <v>1.7026875346733668</v>
      </c>
      <c r="R274" t="s">
        <v>138</v>
      </c>
      <c r="S274">
        <v>0.065280000000000005</v>
      </c>
      <c r="T274" t="s">
        <v>139</v>
      </c>
      <c r="U274">
        <v>3.5359350693467335</v>
      </c>
      <c r="V274" t="s">
        <v>90</v>
      </c>
      <c r="W274">
        <v>0</v>
      </c>
      <c r="X274" t="s">
        <v>90</v>
      </c>
      <c r="Y274">
        <v>0</v>
      </c>
      <c r="Z274">
        <v>34.770028181909545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1345</v>
      </c>
      <c r="AI274">
        <v>1696</v>
      </c>
      <c r="AJ274">
        <v>12</v>
      </c>
      <c r="AK274">
        <v>1.20</v>
      </c>
      <c r="AL274">
        <v>7.327</v>
      </c>
      <c r="AN274" t="s">
        <v>2293</v>
      </c>
      <c r="AO274" t="s">
        <v>92</v>
      </c>
      <c r="AP274">
        <v>200000</v>
      </c>
      <c r="AQ274" t="s">
        <v>76</v>
      </c>
      <c r="AS274">
        <v>10000</v>
      </c>
      <c r="AT274" t="s">
        <v>2442</v>
      </c>
      <c r="AU274" t="s">
        <v>78</v>
      </c>
      <c r="AV274" t="s">
        <v>79</v>
      </c>
      <c r="AY274">
        <v>0</v>
      </c>
    </row>
    <row r="275" spans="1:52" ht="12.75">
      <c r="A275" s="2" t="str">
        <f>HYPERLINK("https://ibp.a2mac1.com/costing(costing:projects/details/8191/assembly/5383160)","Structural Components")</f>
        <v>Structural Components</v>
      </c>
      <c r="B275">
        <v>5383160</v>
      </c>
      <c r="D275">
        <v>5382890</v>
      </c>
      <c r="E275" t="s">
        <v>2452</v>
      </c>
      <c r="F275">
        <v>1</v>
      </c>
      <c r="G275">
        <v>0</v>
      </c>
      <c r="H275">
        <v>421.59260653768843</v>
      </c>
      <c r="I275">
        <v>0</v>
      </c>
      <c r="J275" t="s">
        <v>90</v>
      </c>
      <c r="K275">
        <v>0</v>
      </c>
      <c r="L275">
        <v>421.59260653768843</v>
      </c>
      <c r="M275">
        <v>0</v>
      </c>
      <c r="N275">
        <v>0</v>
      </c>
      <c r="O275">
        <v>421.59260653768843</v>
      </c>
      <c r="P275" t="s">
        <v>90</v>
      </c>
      <c r="Q275">
        <v>0</v>
      </c>
      <c r="R275" t="s">
        <v>90</v>
      </c>
      <c r="S275">
        <v>0</v>
      </c>
      <c r="T275" t="s">
        <v>90</v>
      </c>
      <c r="U275">
        <v>0</v>
      </c>
      <c r="V275" t="s">
        <v>90</v>
      </c>
      <c r="W275">
        <v>0</v>
      </c>
      <c r="X275" t="s">
        <v>90</v>
      </c>
      <c r="Y275">
        <v>0</v>
      </c>
      <c r="Z275">
        <v>421.59260653768843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N275" t="s">
        <v>91</v>
      </c>
      <c r="AO275" t="s">
        <v>92</v>
      </c>
      <c r="AP275">
        <v>200000</v>
      </c>
      <c r="AQ275" t="s">
        <v>92</v>
      </c>
      <c r="AS275">
        <v>10000</v>
      </c>
      <c r="AT275" t="s">
        <v>2453</v>
      </c>
      <c r="AU275" t="s">
        <v>78</v>
      </c>
      <c r="AV275" t="s">
        <v>79</v>
      </c>
      <c r="AY275">
        <v>0</v>
      </c>
    </row>
    <row r="276" spans="1:52" ht="12.75">
      <c r="A276" s="2" t="str">
        <f>HYPERLINK("https://ibp.a2mac1.com/costing(costing:projects/details/8191/assembly/5383467)","Cooling Plate 1")</f>
        <v>Cooling Plate 1</v>
      </c>
      <c r="B276">
        <v>5383467</v>
      </c>
      <c r="D276">
        <v>5383161</v>
      </c>
      <c r="E276" t="s">
        <v>2456</v>
      </c>
      <c r="F276">
        <v>1</v>
      </c>
      <c r="G276">
        <v>0</v>
      </c>
      <c r="H276">
        <v>68.352000000000004</v>
      </c>
      <c r="I276">
        <v>0.34347738693467339</v>
      </c>
      <c r="J276" t="s">
        <v>137</v>
      </c>
      <c r="K276">
        <v>2.3923199999999998</v>
      </c>
      <c r="L276">
        <v>71.087797386934668</v>
      </c>
      <c r="M276">
        <v>0</v>
      </c>
      <c r="N276">
        <v>2.407</v>
      </c>
      <c r="O276">
        <v>73.494797386934678</v>
      </c>
      <c r="P276" t="s">
        <v>138</v>
      </c>
      <c r="Q276">
        <v>4.2652678432160807</v>
      </c>
      <c r="R276" t="s">
        <v>138</v>
      </c>
      <c r="S276">
        <v>0.14441999999999999</v>
      </c>
      <c r="T276" t="s">
        <v>139</v>
      </c>
      <c r="U276">
        <v>8.81937568643216</v>
      </c>
      <c r="V276" t="s">
        <v>90</v>
      </c>
      <c r="W276">
        <v>0</v>
      </c>
      <c r="X276" t="s">
        <v>90</v>
      </c>
      <c r="Y276">
        <v>0</v>
      </c>
      <c r="Z276">
        <v>86.723860916582908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1440</v>
      </c>
      <c r="AI276">
        <v>1805</v>
      </c>
      <c r="AJ276">
        <v>30</v>
      </c>
      <c r="AK276">
        <v>2</v>
      </c>
      <c r="AL276">
        <v>17.131</v>
      </c>
      <c r="AN276" t="s">
        <v>2293</v>
      </c>
      <c r="AO276" t="s">
        <v>92</v>
      </c>
      <c r="AP276">
        <v>200000</v>
      </c>
      <c r="AQ276" t="s">
        <v>76</v>
      </c>
      <c r="AS276">
        <v>10000</v>
      </c>
      <c r="AT276" t="s">
        <v>2457</v>
      </c>
      <c r="AU276" t="s">
        <v>78</v>
      </c>
      <c r="AV276" t="s">
        <v>79</v>
      </c>
      <c r="AY276">
        <v>0</v>
      </c>
    </row>
    <row r="277" spans="1:52" ht="12.75">
      <c r="A277" s="2" t="str">
        <f>HYPERLINK("https://ibp.a2mac1.com/costing(costing:projects/details/8191/assembly/5383161)","Thermal Control system (air/Liquid)")</f>
        <v>Thermal Control system (air/Liquid)</v>
      </c>
      <c r="B277">
        <v>5383161</v>
      </c>
      <c r="D277">
        <v>5382890</v>
      </c>
      <c r="E277" t="s">
        <v>2467</v>
      </c>
      <c r="F277">
        <v>1</v>
      </c>
      <c r="G277">
        <v>0</v>
      </c>
      <c r="H277">
        <v>169.63340091658293</v>
      </c>
      <c r="I277">
        <v>0</v>
      </c>
      <c r="J277" t="s">
        <v>90</v>
      </c>
      <c r="K277">
        <v>0</v>
      </c>
      <c r="L277">
        <v>169.63340091658293</v>
      </c>
      <c r="M277">
        <v>0</v>
      </c>
      <c r="N277">
        <v>0</v>
      </c>
      <c r="O277">
        <v>169.63340091658293</v>
      </c>
      <c r="P277" t="s">
        <v>90</v>
      </c>
      <c r="Q277">
        <v>0</v>
      </c>
      <c r="R277" t="s">
        <v>90</v>
      </c>
      <c r="S277">
        <v>0</v>
      </c>
      <c r="T277" t="s">
        <v>90</v>
      </c>
      <c r="U277">
        <v>0</v>
      </c>
      <c r="V277" t="s">
        <v>90</v>
      </c>
      <c r="W277">
        <v>0</v>
      </c>
      <c r="X277" t="s">
        <v>90</v>
      </c>
      <c r="Y277">
        <v>0</v>
      </c>
      <c r="Z277">
        <v>169.63340091658293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N277" t="s">
        <v>91</v>
      </c>
      <c r="AO277" t="s">
        <v>92</v>
      </c>
      <c r="AP277">
        <v>200000</v>
      </c>
      <c r="AQ277" t="s">
        <v>92</v>
      </c>
      <c r="AS277">
        <v>10000</v>
      </c>
      <c r="AT277" t="s">
        <v>2468</v>
      </c>
      <c r="AU277" t="s">
        <v>78</v>
      </c>
      <c r="AV277" t="s">
        <v>79</v>
      </c>
      <c r="AY277">
        <v>0</v>
      </c>
    </row>
    <row r="278" spans="1:52" ht="12.75">
      <c r="A278" s="2" t="str">
        <f>HYPERLINK("https://ibp.a2mac1.com/costing(costing:projects/details/8191/assembly/5383162)","Off-Gas Vent System")</f>
        <v>Off-Gas Vent System</v>
      </c>
      <c r="B278">
        <v>5383162</v>
      </c>
      <c r="D278">
        <v>5382890</v>
      </c>
      <c r="E278" t="s">
        <v>2472</v>
      </c>
      <c r="F278">
        <v>1</v>
      </c>
      <c r="G278">
        <v>0</v>
      </c>
      <c r="H278">
        <v>0.32728000000000002</v>
      </c>
      <c r="I278">
        <v>0</v>
      </c>
      <c r="J278" t="s">
        <v>90</v>
      </c>
      <c r="K278">
        <v>0</v>
      </c>
      <c r="L278">
        <v>0.32728000000000002</v>
      </c>
      <c r="M278">
        <v>0</v>
      </c>
      <c r="N278">
        <v>0</v>
      </c>
      <c r="O278">
        <v>0.32728000000000002</v>
      </c>
      <c r="P278" t="s">
        <v>90</v>
      </c>
      <c r="Q278">
        <v>0</v>
      </c>
      <c r="R278" t="s">
        <v>90</v>
      </c>
      <c r="S278">
        <v>0</v>
      </c>
      <c r="T278" t="s">
        <v>90</v>
      </c>
      <c r="U278">
        <v>0</v>
      </c>
      <c r="V278" t="s">
        <v>90</v>
      </c>
      <c r="W278">
        <v>0</v>
      </c>
      <c r="X278" t="s">
        <v>90</v>
      </c>
      <c r="Y278">
        <v>0</v>
      </c>
      <c r="Z278">
        <v>0.32728000000000002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N278" t="s">
        <v>91</v>
      </c>
      <c r="AO278" t="s">
        <v>92</v>
      </c>
      <c r="AP278">
        <v>200000</v>
      </c>
      <c r="AQ278" t="s">
        <v>92</v>
      </c>
      <c r="AS278">
        <v>10000</v>
      </c>
      <c r="AT278" t="s">
        <v>2473</v>
      </c>
      <c r="AU278" t="s">
        <v>78</v>
      </c>
      <c r="AV278" t="s">
        <v>79</v>
      </c>
      <c r="AY278">
        <v>0</v>
      </c>
    </row>
    <row r="279" spans="1:52" ht="12.75">
      <c r="A279" s="2" t="str">
        <f>HYPERLINK("https://ibp.a2mac1.com/costing(costing:projects/details/8191/assembly/5382890)","Battery pack: Excluding cells")</f>
        <v>Battery pack: Excluding cells</v>
      </c>
      <c r="B279">
        <v>5382890</v>
      </c>
      <c r="D279">
        <v>5382805</v>
      </c>
      <c r="E279" t="s">
        <v>2474</v>
      </c>
      <c r="F279">
        <v>1</v>
      </c>
      <c r="G279">
        <v>0</v>
      </c>
      <c r="H279">
        <v>1782.5432351333636</v>
      </c>
      <c r="I279">
        <v>8.9575036941375057</v>
      </c>
      <c r="J279" t="s">
        <v>137</v>
      </c>
      <c r="K279">
        <v>62.389013229667725</v>
      </c>
      <c r="L279">
        <v>1853.8897520571688</v>
      </c>
      <c r="M279">
        <v>0</v>
      </c>
      <c r="N279">
        <v>0</v>
      </c>
      <c r="O279">
        <v>1853.8897520571688</v>
      </c>
      <c r="P279" t="s">
        <v>90</v>
      </c>
      <c r="Q279">
        <v>0</v>
      </c>
      <c r="R279" t="s">
        <v>90</v>
      </c>
      <c r="S279">
        <v>0</v>
      </c>
      <c r="T279" t="s">
        <v>90</v>
      </c>
      <c r="U279">
        <v>0</v>
      </c>
      <c r="V279" t="s">
        <v>90</v>
      </c>
      <c r="W279">
        <v>0</v>
      </c>
      <c r="X279" t="s">
        <v>90</v>
      </c>
      <c r="Y279">
        <v>0</v>
      </c>
      <c r="Z279">
        <v>1853.8897520571688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N279" t="s">
        <v>2475</v>
      </c>
      <c r="AO279" t="s">
        <v>92</v>
      </c>
      <c r="AP279">
        <v>200000</v>
      </c>
      <c r="AQ279" t="s">
        <v>92</v>
      </c>
      <c r="AS279">
        <v>10000</v>
      </c>
      <c r="AT279" t="s">
        <v>9</v>
      </c>
      <c r="AU279" t="s">
        <v>78</v>
      </c>
      <c r="AV279" t="s">
        <v>79</v>
      </c>
      <c r="AY279">
        <v>0</v>
      </c>
    </row>
    <row r="280" spans="1:52" ht="12.75">
      <c r="A280" s="2" t="str">
        <f>HYPERLINK("https://ibp.a2mac1.com/costing(costing:projects/details/8191/assembly/5382891)","External Components")</f>
        <v>External Components</v>
      </c>
      <c r="B280">
        <v>5382891</v>
      </c>
      <c r="D280">
        <v>5382805</v>
      </c>
      <c r="E280" t="s">
        <v>2488</v>
      </c>
      <c r="F280">
        <v>1</v>
      </c>
      <c r="G280">
        <v>0</v>
      </c>
      <c r="H280">
        <v>5.4719995263515768</v>
      </c>
      <c r="I280">
        <v>0</v>
      </c>
      <c r="J280" t="s">
        <v>90</v>
      </c>
      <c r="K280">
        <v>0</v>
      </c>
      <c r="L280">
        <v>5.4719995263515768</v>
      </c>
      <c r="M280">
        <v>0</v>
      </c>
      <c r="N280">
        <v>0</v>
      </c>
      <c r="O280">
        <v>5.4719995263515768</v>
      </c>
      <c r="P280" t="s">
        <v>90</v>
      </c>
      <c r="Q280">
        <v>0</v>
      </c>
      <c r="R280" t="s">
        <v>90</v>
      </c>
      <c r="S280">
        <v>0</v>
      </c>
      <c r="T280" t="s">
        <v>90</v>
      </c>
      <c r="U280">
        <v>0</v>
      </c>
      <c r="V280" t="s">
        <v>90</v>
      </c>
      <c r="W280">
        <v>0</v>
      </c>
      <c r="X280" t="s">
        <v>90</v>
      </c>
      <c r="Y280">
        <v>0</v>
      </c>
      <c r="Z280">
        <v>5.4719995263515768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N280" t="s">
        <v>342</v>
      </c>
      <c r="AO280" t="s">
        <v>92</v>
      </c>
      <c r="AP280">
        <v>200000</v>
      </c>
      <c r="AQ280" t="s">
        <v>92</v>
      </c>
      <c r="AS280">
        <v>10000</v>
      </c>
      <c r="AT280" t="s">
        <v>9</v>
      </c>
      <c r="AU280" t="s">
        <v>78</v>
      </c>
      <c r="AV280" t="s">
        <v>79</v>
      </c>
      <c r="AY280">
        <v>0</v>
      </c>
    </row>
    <row r="281" spans="1:52" ht="12.75">
      <c r="A281" s="2" t="str">
        <f>HYPERLINK("https://ibp.a2mac1.com/costing(costing:projects/details/8191/assembly/5383170)","Cells - per module")</f>
        <v>Cells - per module</v>
      </c>
      <c r="B281">
        <v>5383170</v>
      </c>
      <c r="D281">
        <v>5382892</v>
      </c>
      <c r="F281">
        <v>24</v>
      </c>
      <c r="G281">
        <v>0</v>
      </c>
      <c r="H281">
        <v>594</v>
      </c>
      <c r="I281">
        <v>2.9849246231155777</v>
      </c>
      <c r="J281" t="s">
        <v>216</v>
      </c>
      <c r="K281">
        <v>2.97</v>
      </c>
      <c r="L281">
        <v>599.95492462311563</v>
      </c>
      <c r="M281">
        <v>0</v>
      </c>
      <c r="N281">
        <v>0</v>
      </c>
      <c r="O281">
        <v>599.95492462311563</v>
      </c>
      <c r="P281" t="s">
        <v>216</v>
      </c>
      <c r="Q281">
        <v>2.9997746231155777</v>
      </c>
      <c r="R281" t="s">
        <v>90</v>
      </c>
      <c r="S281">
        <v>0</v>
      </c>
      <c r="T281" t="s">
        <v>2495</v>
      </c>
      <c r="U281">
        <v>17.998647738693467</v>
      </c>
      <c r="V281" t="s">
        <v>90</v>
      </c>
      <c r="W281">
        <v>0</v>
      </c>
      <c r="X281" t="s">
        <v>90</v>
      </c>
      <c r="Y281">
        <v>0</v>
      </c>
      <c r="Z281">
        <v>620.95334698492468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N281" t="s">
        <v>2496</v>
      </c>
      <c r="AO281" t="s">
        <v>92</v>
      </c>
      <c r="AP281">
        <v>57600000</v>
      </c>
      <c r="AQ281" t="s">
        <v>76</v>
      </c>
      <c r="AS281">
        <v>2880000</v>
      </c>
      <c r="AT281" t="s">
        <v>9</v>
      </c>
      <c r="AU281" t="s">
        <v>78</v>
      </c>
      <c r="AV281" t="s">
        <v>79</v>
      </c>
      <c r="AY281">
        <v>0</v>
      </c>
    </row>
    <row r="282" spans="1:52" ht="12.75">
      <c r="A282" s="2" t="str">
        <f>HYPERLINK("https://ibp.a2mac1.com/costing(costing:projects/details/8191/assembly/5382892)","Cells - Pack")</f>
        <v>Cells - Pack</v>
      </c>
      <c r="B282">
        <v>5382892</v>
      </c>
      <c r="D282">
        <v>5382805</v>
      </c>
      <c r="F282">
        <v>12</v>
      </c>
      <c r="G282">
        <v>0</v>
      </c>
      <c r="H282">
        <v>7451.4401638190957</v>
      </c>
      <c r="I282">
        <v>37.444422933764301</v>
      </c>
      <c r="J282" t="s">
        <v>216</v>
      </c>
      <c r="K282">
        <v>37.25720081909548</v>
      </c>
      <c r="L282">
        <v>7526.1417875719553</v>
      </c>
      <c r="M282">
        <v>0</v>
      </c>
      <c r="N282">
        <v>0</v>
      </c>
      <c r="O282">
        <v>7526.1417875719553</v>
      </c>
      <c r="P282" t="s">
        <v>90</v>
      </c>
      <c r="Q282">
        <v>0</v>
      </c>
      <c r="R282" t="s">
        <v>90</v>
      </c>
      <c r="S282">
        <v>0</v>
      </c>
      <c r="T282" t="s">
        <v>90</v>
      </c>
      <c r="U282">
        <v>0</v>
      </c>
      <c r="V282" t="s">
        <v>90</v>
      </c>
      <c r="W282">
        <v>0</v>
      </c>
      <c r="X282" t="s">
        <v>90</v>
      </c>
      <c r="Y282">
        <v>0</v>
      </c>
      <c r="Z282">
        <v>7526.1417875719553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N282" t="s">
        <v>2497</v>
      </c>
      <c r="AO282" t="s">
        <v>92</v>
      </c>
      <c r="AP282">
        <v>2400000</v>
      </c>
      <c r="AQ282" t="s">
        <v>92</v>
      </c>
      <c r="AR282">
        <v>0</v>
      </c>
      <c r="AS282">
        <v>120000</v>
      </c>
      <c r="AT282" t="s">
        <v>9</v>
      </c>
      <c r="AU282" t="s">
        <v>78</v>
      </c>
      <c r="AV282" t="s">
        <v>79</v>
      </c>
      <c r="AY282">
        <v>0</v>
      </c>
    </row>
    <row r="283" spans="1:52" ht="12.75">
      <c r="A283" s="2" t="str">
        <f>HYPERLINK("https://ibp.a2mac1.com/costing(costing:projects/details/8191/assembly/5382805)"," HV Battery Pack")</f>
        <v xml:space="preserve"> HV Battery Pack</v>
      </c>
      <c r="B283">
        <v>5382805</v>
      </c>
      <c r="D283">
        <v>5382793</v>
      </c>
      <c r="F283">
        <v>1</v>
      </c>
      <c r="G283">
        <v>0</v>
      </c>
      <c r="H283">
        <v>9385.5035391554757</v>
      </c>
      <c r="I283">
        <v>0</v>
      </c>
      <c r="J283" t="s">
        <v>90</v>
      </c>
      <c r="K283">
        <v>0</v>
      </c>
      <c r="L283">
        <v>9385.5035391554757</v>
      </c>
      <c r="M283">
        <v>0</v>
      </c>
      <c r="N283">
        <v>87.45</v>
      </c>
      <c r="O283">
        <v>9472.9535391554764</v>
      </c>
      <c r="P283" t="s">
        <v>90</v>
      </c>
      <c r="Q283">
        <v>0</v>
      </c>
      <c r="R283" t="s">
        <v>90</v>
      </c>
      <c r="S283">
        <v>0</v>
      </c>
      <c r="T283" t="s">
        <v>90</v>
      </c>
      <c r="U283">
        <v>0</v>
      </c>
      <c r="V283" t="s">
        <v>90</v>
      </c>
      <c r="W283">
        <v>0</v>
      </c>
      <c r="X283" t="s">
        <v>90</v>
      </c>
      <c r="Y283">
        <v>0</v>
      </c>
      <c r="Z283">
        <v>9472.9535391554764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378.25</v>
      </c>
      <c r="AN283" t="s">
        <v>2323</v>
      </c>
      <c r="AO283" t="s">
        <v>92</v>
      </c>
      <c r="AP283">
        <v>200000</v>
      </c>
      <c r="AQ283" t="s">
        <v>76</v>
      </c>
      <c r="AS283">
        <v>10000</v>
      </c>
      <c r="AT283" t="s">
        <v>2499</v>
      </c>
      <c r="AU283" t="s">
        <v>78</v>
      </c>
      <c r="AV283" t="s">
        <v>79</v>
      </c>
      <c r="AY283">
        <v>0</v>
      </c>
    </row>
    <row r="284" spans="1:52" ht="12.75">
      <c r="A284" s="2" t="str">
        <f>HYPERLINK("https://ibp.a2mac1.com/costing(costing:projects/details/8191/assembly/5382906)"," Expansion Bottle System")</f>
        <v xml:space="preserve"> Expansion Bottle System</v>
      </c>
      <c r="B284">
        <v>5382906</v>
      </c>
      <c r="D284">
        <v>5382806</v>
      </c>
      <c r="E284" t="s">
        <v>2506</v>
      </c>
      <c r="F284">
        <v>1</v>
      </c>
      <c r="G284">
        <v>0</v>
      </c>
      <c r="H284">
        <v>4.25</v>
      </c>
      <c r="I284">
        <v>0</v>
      </c>
      <c r="J284" t="s">
        <v>90</v>
      </c>
      <c r="K284">
        <v>0</v>
      </c>
      <c r="L284">
        <v>4.25</v>
      </c>
      <c r="M284">
        <v>0</v>
      </c>
      <c r="N284">
        <v>0</v>
      </c>
      <c r="O284">
        <v>4.25</v>
      </c>
      <c r="P284" t="s">
        <v>90</v>
      </c>
      <c r="Q284">
        <v>0</v>
      </c>
      <c r="R284" t="s">
        <v>90</v>
      </c>
      <c r="S284">
        <v>0</v>
      </c>
      <c r="T284" t="s">
        <v>90</v>
      </c>
      <c r="U284">
        <v>0</v>
      </c>
      <c r="V284" t="s">
        <v>90</v>
      </c>
      <c r="W284">
        <v>0</v>
      </c>
      <c r="X284" t="s">
        <v>90</v>
      </c>
      <c r="Y284">
        <v>0</v>
      </c>
      <c r="Z284">
        <v>4.25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N284" t="s">
        <v>91</v>
      </c>
      <c r="AO284" t="s">
        <v>92</v>
      </c>
      <c r="AP284">
        <v>200000</v>
      </c>
      <c r="AQ284" t="s">
        <v>92</v>
      </c>
      <c r="AS284">
        <v>10000</v>
      </c>
      <c r="AT284" t="s">
        <v>2507</v>
      </c>
      <c r="AU284" t="s">
        <v>78</v>
      </c>
      <c r="AV284" t="s">
        <v>79</v>
      </c>
      <c r="AY284">
        <v>0</v>
      </c>
    </row>
    <row r="285" spans="1:52" ht="12.75">
      <c r="A285" s="2" t="str">
        <f>HYPERLINK("https://ibp.a2mac1.com/costing(costing:projects/details/8191/assembly/5382907)"," Cooling System for Battery")</f>
        <v xml:space="preserve"> Cooling System for Battery</v>
      </c>
      <c r="B285">
        <v>5382907</v>
      </c>
      <c r="D285">
        <v>5382806</v>
      </c>
      <c r="E285" t="s">
        <v>2529</v>
      </c>
      <c r="F285">
        <v>1</v>
      </c>
      <c r="G285">
        <v>0</v>
      </c>
      <c r="H285">
        <v>19.685312508782534</v>
      </c>
      <c r="I285">
        <v>0</v>
      </c>
      <c r="J285" t="s">
        <v>90</v>
      </c>
      <c r="K285">
        <v>0</v>
      </c>
      <c r="L285">
        <v>19.685312508782534</v>
      </c>
      <c r="M285">
        <v>0</v>
      </c>
      <c r="N285">
        <v>0</v>
      </c>
      <c r="O285">
        <v>19.685312508782534</v>
      </c>
      <c r="P285" t="s">
        <v>90</v>
      </c>
      <c r="Q285">
        <v>0</v>
      </c>
      <c r="R285" t="s">
        <v>90</v>
      </c>
      <c r="S285">
        <v>0</v>
      </c>
      <c r="T285" t="s">
        <v>90</v>
      </c>
      <c r="U285">
        <v>0</v>
      </c>
      <c r="V285" t="s">
        <v>90</v>
      </c>
      <c r="W285">
        <v>0</v>
      </c>
      <c r="X285" t="s">
        <v>90</v>
      </c>
      <c r="Y285">
        <v>0</v>
      </c>
      <c r="Z285">
        <v>19.685312508782534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N285" t="s">
        <v>91</v>
      </c>
      <c r="AO285" t="s">
        <v>92</v>
      </c>
      <c r="AP285">
        <v>200000</v>
      </c>
      <c r="AQ285" t="s">
        <v>92</v>
      </c>
      <c r="AS285">
        <v>10000</v>
      </c>
      <c r="AT285" t="s">
        <v>2530</v>
      </c>
      <c r="AU285" t="s">
        <v>78</v>
      </c>
      <c r="AV285" t="s">
        <v>79</v>
      </c>
      <c r="AY285">
        <v>0</v>
      </c>
    </row>
    <row r="286" spans="1:52" ht="12.75">
      <c r="A286" s="2" t="str">
        <f>HYPERLINK("https://ibp.a2mac1.com/costing(costing:projects/details/8191/assembly/5382908)"," Pipe System/Duct")</f>
        <v xml:space="preserve"> Pipe System/Duct</v>
      </c>
      <c r="B286">
        <v>5382908</v>
      </c>
      <c r="D286">
        <v>5382806</v>
      </c>
      <c r="E286" t="s">
        <v>2558</v>
      </c>
      <c r="F286">
        <v>1</v>
      </c>
      <c r="G286">
        <v>0</v>
      </c>
      <c r="H286">
        <v>33.49</v>
      </c>
      <c r="I286">
        <v>0</v>
      </c>
      <c r="J286" t="s">
        <v>90</v>
      </c>
      <c r="K286">
        <v>0</v>
      </c>
      <c r="L286">
        <v>33.49</v>
      </c>
      <c r="M286">
        <v>0</v>
      </c>
      <c r="N286">
        <v>0</v>
      </c>
      <c r="O286">
        <v>33.49</v>
      </c>
      <c r="P286" t="s">
        <v>90</v>
      </c>
      <c r="Q286">
        <v>0</v>
      </c>
      <c r="R286" t="s">
        <v>90</v>
      </c>
      <c r="S286">
        <v>0</v>
      </c>
      <c r="T286" t="s">
        <v>90</v>
      </c>
      <c r="U286">
        <v>0</v>
      </c>
      <c r="V286" t="s">
        <v>90</v>
      </c>
      <c r="W286">
        <v>0</v>
      </c>
      <c r="X286" t="s">
        <v>90</v>
      </c>
      <c r="Y286">
        <v>0</v>
      </c>
      <c r="Z286">
        <v>33.49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N286" t="s">
        <v>91</v>
      </c>
      <c r="AO286" t="s">
        <v>92</v>
      </c>
      <c r="AP286">
        <v>200000</v>
      </c>
      <c r="AQ286" t="s">
        <v>92</v>
      </c>
      <c r="AS286">
        <v>10000</v>
      </c>
      <c r="AT286" t="s">
        <v>2559</v>
      </c>
      <c r="AU286" t="s">
        <v>78</v>
      </c>
      <c r="AV286" t="s">
        <v>79</v>
      </c>
      <c r="AY286">
        <v>0</v>
      </c>
    </row>
    <row r="287" spans="1:52" ht="12.75">
      <c r="A287" s="2" t="str">
        <f>HYPERLINK("https://ibp.a2mac1.com/costing(costing:projects/details/8191/assembly/5383194)"," Radiator Fan")</f>
        <v xml:space="preserve"> Radiator Fan</v>
      </c>
      <c r="B287">
        <v>5383194</v>
      </c>
      <c r="D287">
        <v>5382909</v>
      </c>
      <c r="E287" t="s">
        <v>2568</v>
      </c>
      <c r="F287">
        <v>1</v>
      </c>
      <c r="G287">
        <v>0</v>
      </c>
      <c r="H287">
        <v>1.7984839356030209</v>
      </c>
      <c r="I287">
        <v>0</v>
      </c>
      <c r="J287" t="s">
        <v>90</v>
      </c>
      <c r="K287">
        <v>0</v>
      </c>
      <c r="L287">
        <v>1.7984839356030209</v>
      </c>
      <c r="M287">
        <v>0</v>
      </c>
      <c r="N287">
        <v>0</v>
      </c>
      <c r="O287">
        <v>1.7984839356030209</v>
      </c>
      <c r="P287" t="s">
        <v>90</v>
      </c>
      <c r="Q287">
        <v>0</v>
      </c>
      <c r="R287" t="s">
        <v>90</v>
      </c>
      <c r="S287">
        <v>0</v>
      </c>
      <c r="T287" t="s">
        <v>90</v>
      </c>
      <c r="U287">
        <v>0</v>
      </c>
      <c r="V287" t="s">
        <v>90</v>
      </c>
      <c r="W287">
        <v>0</v>
      </c>
      <c r="X287" t="s">
        <v>90</v>
      </c>
      <c r="Y287">
        <v>0</v>
      </c>
      <c r="Z287">
        <v>1.7984839356030209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N287" t="s">
        <v>91</v>
      </c>
      <c r="AO287" t="s">
        <v>92</v>
      </c>
      <c r="AP287">
        <v>200000</v>
      </c>
      <c r="AQ287" t="s">
        <v>92</v>
      </c>
      <c r="AS287">
        <v>10000</v>
      </c>
      <c r="AT287" t="s">
        <v>2569</v>
      </c>
      <c r="AU287" t="s">
        <v>78</v>
      </c>
      <c r="AV287" t="s">
        <v>79</v>
      </c>
      <c r="AY287">
        <v>0</v>
      </c>
    </row>
    <row r="288" spans="1:52" ht="12.75">
      <c r="A288" s="2" t="str">
        <f>HYPERLINK("https://ibp.a2mac1.com/costing(costing:projects/details/8191/assembly/5383195)"," Motor System")</f>
        <v xml:space="preserve"> Motor System</v>
      </c>
      <c r="B288">
        <v>5383195</v>
      </c>
      <c r="D288">
        <v>5382909</v>
      </c>
      <c r="E288" t="s">
        <v>2579</v>
      </c>
      <c r="F288">
        <v>1</v>
      </c>
      <c r="G288">
        <v>0</v>
      </c>
      <c r="H288">
        <v>25.933099504236317</v>
      </c>
      <c r="I288">
        <v>0</v>
      </c>
      <c r="J288" t="s">
        <v>90</v>
      </c>
      <c r="K288">
        <v>0</v>
      </c>
      <c r="L288">
        <v>25.933099504236317</v>
      </c>
      <c r="M288">
        <v>0</v>
      </c>
      <c r="N288">
        <v>0</v>
      </c>
      <c r="O288">
        <v>25.933099504236317</v>
      </c>
      <c r="P288" t="s">
        <v>90</v>
      </c>
      <c r="Q288">
        <v>0</v>
      </c>
      <c r="R288" t="s">
        <v>90</v>
      </c>
      <c r="S288">
        <v>0</v>
      </c>
      <c r="T288" t="s">
        <v>90</v>
      </c>
      <c r="U288">
        <v>0</v>
      </c>
      <c r="V288" t="s">
        <v>90</v>
      </c>
      <c r="W288">
        <v>0</v>
      </c>
      <c r="X288" t="s">
        <v>90</v>
      </c>
      <c r="Y288">
        <v>0</v>
      </c>
      <c r="Z288">
        <v>25.933099504236317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N288" t="s">
        <v>91</v>
      </c>
      <c r="AO288" t="s">
        <v>92</v>
      </c>
      <c r="AP288">
        <v>200000</v>
      </c>
      <c r="AQ288" t="s">
        <v>92</v>
      </c>
      <c r="AS288">
        <v>10000</v>
      </c>
      <c r="AT288" t="s">
        <v>2580</v>
      </c>
      <c r="AU288" t="s">
        <v>78</v>
      </c>
      <c r="AV288" t="s">
        <v>79</v>
      </c>
      <c r="AY288">
        <v>0</v>
      </c>
    </row>
    <row r="289" spans="1:52" ht="12.75">
      <c r="A289" s="2" t="str">
        <f>HYPERLINK("https://ibp.a2mac1.com/costing(costing:projects/details/8191/assembly/5382909)"," Fan System")</f>
        <v xml:space="preserve"> Fan System</v>
      </c>
      <c r="B289">
        <v>5382909</v>
      </c>
      <c r="D289">
        <v>5382806</v>
      </c>
      <c r="E289" t="s">
        <v>2581</v>
      </c>
      <c r="F289">
        <v>1</v>
      </c>
      <c r="G289">
        <v>0</v>
      </c>
      <c r="H289">
        <v>27.731583439839337</v>
      </c>
      <c r="I289">
        <v>0</v>
      </c>
      <c r="J289" t="s">
        <v>90</v>
      </c>
      <c r="K289">
        <v>0</v>
      </c>
      <c r="L289">
        <v>27.731583439839337</v>
      </c>
      <c r="M289">
        <v>0</v>
      </c>
      <c r="N289">
        <v>0</v>
      </c>
      <c r="O289">
        <v>27.731583439839337</v>
      </c>
      <c r="P289" t="s">
        <v>90</v>
      </c>
      <c r="Q289">
        <v>0</v>
      </c>
      <c r="R289" t="s">
        <v>90</v>
      </c>
      <c r="S289">
        <v>0</v>
      </c>
      <c r="T289" t="s">
        <v>90</v>
      </c>
      <c r="U289">
        <v>0</v>
      </c>
      <c r="V289" t="s">
        <v>90</v>
      </c>
      <c r="W289">
        <v>0</v>
      </c>
      <c r="X289" t="s">
        <v>90</v>
      </c>
      <c r="Y289">
        <v>0</v>
      </c>
      <c r="Z289">
        <v>27.731583439839337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N289" t="s">
        <v>91</v>
      </c>
      <c r="AO289" t="s">
        <v>92</v>
      </c>
      <c r="AP289">
        <v>200000</v>
      </c>
      <c r="AQ289" t="s">
        <v>92</v>
      </c>
      <c r="AS289">
        <v>10000</v>
      </c>
      <c r="AT289" t="s">
        <v>2582</v>
      </c>
      <c r="AU289" t="s">
        <v>78</v>
      </c>
      <c r="AV289" t="s">
        <v>79</v>
      </c>
      <c r="AY289">
        <v>0</v>
      </c>
    </row>
    <row r="290" spans="1:52" ht="12.75">
      <c r="A290" s="2" t="str">
        <f>HYPERLINK("https://ibp.a2mac1.com/costing(costing:projects/details/8191/assembly/5383196)"," Dynamics Flaps Upper / Single")</f>
        <v xml:space="preserve"> Dynamics Flaps Upper / Single</v>
      </c>
      <c r="B290">
        <v>5383196</v>
      </c>
      <c r="D290">
        <v>5382910</v>
      </c>
      <c r="E290" t="s">
        <v>2595</v>
      </c>
      <c r="F290">
        <v>1</v>
      </c>
      <c r="G290">
        <v>0</v>
      </c>
      <c r="H290">
        <v>24.90</v>
      </c>
      <c r="I290">
        <v>0</v>
      </c>
      <c r="J290" t="s">
        <v>90</v>
      </c>
      <c r="K290">
        <v>0</v>
      </c>
      <c r="L290">
        <v>24.90</v>
      </c>
      <c r="M290">
        <v>0</v>
      </c>
      <c r="N290">
        <v>0</v>
      </c>
      <c r="O290">
        <v>24.90</v>
      </c>
      <c r="P290" t="s">
        <v>90</v>
      </c>
      <c r="Q290">
        <v>0</v>
      </c>
      <c r="R290" t="s">
        <v>90</v>
      </c>
      <c r="S290">
        <v>0</v>
      </c>
      <c r="T290" t="s">
        <v>90</v>
      </c>
      <c r="U290">
        <v>0</v>
      </c>
      <c r="V290" t="s">
        <v>90</v>
      </c>
      <c r="W290">
        <v>0</v>
      </c>
      <c r="X290" t="s">
        <v>90</v>
      </c>
      <c r="Y290">
        <v>0</v>
      </c>
      <c r="Z290">
        <v>24.90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N290" t="s">
        <v>91</v>
      </c>
      <c r="AO290" t="s">
        <v>92</v>
      </c>
      <c r="AP290">
        <v>200000</v>
      </c>
      <c r="AQ290" t="s">
        <v>92</v>
      </c>
      <c r="AS290">
        <v>10000</v>
      </c>
      <c r="AT290" t="s">
        <v>2596</v>
      </c>
      <c r="AU290" t="s">
        <v>78</v>
      </c>
      <c r="AV290" t="s">
        <v>79</v>
      </c>
      <c r="AY290">
        <v>0</v>
      </c>
    </row>
    <row r="291" spans="1:52" ht="12.75">
      <c r="A291" s="2" t="str">
        <f>HYPERLINK("https://ibp.a2mac1.com/costing(costing:projects/details/8191/assembly/5382910)"," Dynamic Flaps System")</f>
        <v xml:space="preserve"> Dynamic Flaps System</v>
      </c>
      <c r="B291">
        <v>5382910</v>
      </c>
      <c r="D291">
        <v>5382806</v>
      </c>
      <c r="E291" t="s">
        <v>2597</v>
      </c>
      <c r="F291">
        <v>1</v>
      </c>
      <c r="G291">
        <v>0</v>
      </c>
      <c r="H291">
        <v>24.90</v>
      </c>
      <c r="I291">
        <v>0</v>
      </c>
      <c r="J291" t="s">
        <v>90</v>
      </c>
      <c r="K291">
        <v>0</v>
      </c>
      <c r="L291">
        <v>24.90</v>
      </c>
      <c r="M291">
        <v>0</v>
      </c>
      <c r="N291">
        <v>0</v>
      </c>
      <c r="O291">
        <v>24.90</v>
      </c>
      <c r="P291" t="s">
        <v>90</v>
      </c>
      <c r="Q291">
        <v>0</v>
      </c>
      <c r="R291" t="s">
        <v>90</v>
      </c>
      <c r="S291">
        <v>0</v>
      </c>
      <c r="T291" t="s">
        <v>90</v>
      </c>
      <c r="U291">
        <v>0</v>
      </c>
      <c r="V291" t="s">
        <v>90</v>
      </c>
      <c r="W291">
        <v>0</v>
      </c>
      <c r="X291" t="s">
        <v>90</v>
      </c>
      <c r="Y291">
        <v>0</v>
      </c>
      <c r="Z291">
        <v>24.90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N291" t="s">
        <v>91</v>
      </c>
      <c r="AO291" t="s">
        <v>92</v>
      </c>
      <c r="AP291">
        <v>200000</v>
      </c>
      <c r="AQ291" t="s">
        <v>92</v>
      </c>
      <c r="AS291">
        <v>10000</v>
      </c>
      <c r="AT291" t="s">
        <v>2598</v>
      </c>
      <c r="AU291" t="s">
        <v>78</v>
      </c>
      <c r="AV291" t="s">
        <v>79</v>
      </c>
      <c r="AY291">
        <v>0</v>
      </c>
    </row>
    <row r="292" spans="1:52" ht="12.75">
      <c r="A292" s="2" t="str">
        <f>HYPERLINK("https://ibp.a2mac1.com/costing(costing:projects/details/8191/assembly/5382911)"," Air Intake radiator")</f>
        <v xml:space="preserve"> Air Intake radiator</v>
      </c>
      <c r="B292">
        <v>5382911</v>
      </c>
      <c r="D292">
        <v>5382806</v>
      </c>
      <c r="E292" t="s">
        <v>2606</v>
      </c>
      <c r="F292">
        <v>1</v>
      </c>
      <c r="G292">
        <v>0</v>
      </c>
      <c r="H292">
        <v>0.84779396142779495</v>
      </c>
      <c r="I292">
        <v>0</v>
      </c>
      <c r="J292" t="s">
        <v>90</v>
      </c>
      <c r="K292">
        <v>0</v>
      </c>
      <c r="L292">
        <v>0.84779396142779495</v>
      </c>
      <c r="M292">
        <v>0</v>
      </c>
      <c r="N292">
        <v>0</v>
      </c>
      <c r="O292">
        <v>0.84779396142779495</v>
      </c>
      <c r="P292" t="s">
        <v>90</v>
      </c>
      <c r="Q292">
        <v>0</v>
      </c>
      <c r="R292" t="s">
        <v>90</v>
      </c>
      <c r="S292">
        <v>0</v>
      </c>
      <c r="T292" t="s">
        <v>90</v>
      </c>
      <c r="U292">
        <v>0</v>
      </c>
      <c r="V292" t="s">
        <v>90</v>
      </c>
      <c r="W292">
        <v>0</v>
      </c>
      <c r="X292" t="s">
        <v>90</v>
      </c>
      <c r="Y292">
        <v>0</v>
      </c>
      <c r="Z292">
        <v>0.84779396142779495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N292" t="s">
        <v>91</v>
      </c>
      <c r="AO292" t="s">
        <v>92</v>
      </c>
      <c r="AP292">
        <v>200000</v>
      </c>
      <c r="AQ292" t="s">
        <v>92</v>
      </c>
      <c r="AS292">
        <v>10000</v>
      </c>
      <c r="AT292" t="s">
        <v>2607</v>
      </c>
      <c r="AU292" t="s">
        <v>78</v>
      </c>
      <c r="AV292" t="s">
        <v>79</v>
      </c>
      <c r="AY292">
        <v>0</v>
      </c>
    </row>
    <row r="293" spans="1:52" ht="12.75">
      <c r="A293" s="2" t="str">
        <f>HYPERLINK("https://ibp.a2mac1.com/costing(costing:projects/details/8191/assembly/5382806)","Cooling System")</f>
        <v>Cooling System</v>
      </c>
      <c r="B293">
        <v>5382806</v>
      </c>
      <c r="D293">
        <v>5382793</v>
      </c>
      <c r="E293" t="s">
        <v>2644</v>
      </c>
      <c r="F293">
        <v>1</v>
      </c>
      <c r="G293">
        <v>0</v>
      </c>
      <c r="H293">
        <v>175.18015935414292</v>
      </c>
      <c r="I293">
        <v>0</v>
      </c>
      <c r="J293" t="s">
        <v>90</v>
      </c>
      <c r="K293">
        <v>0</v>
      </c>
      <c r="L293">
        <v>175.18015935414292</v>
      </c>
      <c r="M293">
        <v>0</v>
      </c>
      <c r="N293">
        <v>0</v>
      </c>
      <c r="O293">
        <v>175.18015935414292</v>
      </c>
      <c r="P293" t="s">
        <v>90</v>
      </c>
      <c r="Q293">
        <v>0</v>
      </c>
      <c r="R293" t="s">
        <v>90</v>
      </c>
      <c r="S293">
        <v>0</v>
      </c>
      <c r="T293" t="s">
        <v>90</v>
      </c>
      <c r="U293">
        <v>0</v>
      </c>
      <c r="V293" t="s">
        <v>90</v>
      </c>
      <c r="W293">
        <v>0</v>
      </c>
      <c r="X293" t="s">
        <v>90</v>
      </c>
      <c r="Y293">
        <v>0</v>
      </c>
      <c r="Z293">
        <v>175.18015935414292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N293" t="s">
        <v>91</v>
      </c>
      <c r="AO293" t="s">
        <v>92</v>
      </c>
      <c r="AP293">
        <v>200000</v>
      </c>
      <c r="AQ293" t="s">
        <v>92</v>
      </c>
      <c r="AS293">
        <v>10000</v>
      </c>
      <c r="AT293" t="s">
        <v>2645</v>
      </c>
      <c r="AU293" t="s">
        <v>78</v>
      </c>
      <c r="AV293" t="s">
        <v>79</v>
      </c>
      <c r="AY293">
        <v>0</v>
      </c>
    </row>
    <row r="294" spans="1:52" ht="12.75">
      <c r="A294" s="2" t="str">
        <f>HYPERLINK("https://ibp.a2mac1.com/costing(costing:projects/details/8191/assembly/5382793)","Hybrid Electric System")</f>
        <v>Hybrid Electric System</v>
      </c>
      <c r="B294">
        <v>5382793</v>
      </c>
      <c r="D294">
        <v>5382792</v>
      </c>
      <c r="F294">
        <v>1</v>
      </c>
      <c r="G294">
        <v>0</v>
      </c>
      <c r="H294">
        <v>12111.526492038787</v>
      </c>
      <c r="I294">
        <v>0</v>
      </c>
      <c r="J294" t="s">
        <v>90</v>
      </c>
      <c r="K294">
        <v>0</v>
      </c>
      <c r="L294">
        <v>12111.526492038787</v>
      </c>
      <c r="M294">
        <v>0</v>
      </c>
      <c r="N294">
        <v>0</v>
      </c>
      <c r="O294">
        <v>12111.526492038787</v>
      </c>
      <c r="P294" t="s">
        <v>90</v>
      </c>
      <c r="Q294">
        <v>0</v>
      </c>
      <c r="R294" t="s">
        <v>90</v>
      </c>
      <c r="S294">
        <v>0</v>
      </c>
      <c r="T294" t="s">
        <v>90</v>
      </c>
      <c r="U294">
        <v>0</v>
      </c>
      <c r="V294" t="s">
        <v>90</v>
      </c>
      <c r="W294">
        <v>0</v>
      </c>
      <c r="X294" t="s">
        <v>90</v>
      </c>
      <c r="Y294">
        <v>0</v>
      </c>
      <c r="Z294">
        <v>12111.526492038787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L294">
        <v>651.274</v>
      </c>
      <c r="AN294" t="s">
        <v>91</v>
      </c>
      <c r="AO294" t="s">
        <v>92</v>
      </c>
      <c r="AP294">
        <v>200000</v>
      </c>
      <c r="AQ294" t="s">
        <v>92</v>
      </c>
      <c r="AS294">
        <v>10000</v>
      </c>
      <c r="AT294" t="s">
        <v>2649</v>
      </c>
      <c r="AU294" t="s">
        <v>78</v>
      </c>
      <c r="AV294" t="s">
        <v>79</v>
      </c>
      <c r="AY294">
        <v>0</v>
      </c>
    </row>
    <row r="295" spans="1:52" ht="12.75">
      <c r="A295" s="2" t="str">
        <f>HYPERLINK("https://ibp.a2mac1.com/costing(costing:projects/details/8191/assembly/5382794)","Engine mounts ")</f>
        <v xml:space="preserve">Engine mounts </v>
      </c>
      <c r="B295">
        <v>5382794</v>
      </c>
      <c r="D295">
        <v>5382792</v>
      </c>
      <c r="E295" t="s">
        <v>2683</v>
      </c>
      <c r="F295">
        <v>1</v>
      </c>
      <c r="G295">
        <v>0</v>
      </c>
      <c r="H295">
        <v>36.276777039763921</v>
      </c>
      <c r="I295">
        <v>0</v>
      </c>
      <c r="J295" t="s">
        <v>90</v>
      </c>
      <c r="K295">
        <v>0</v>
      </c>
      <c r="L295">
        <v>36.276777039763921</v>
      </c>
      <c r="M295">
        <v>0</v>
      </c>
      <c r="N295">
        <v>0</v>
      </c>
      <c r="O295">
        <v>36.276777039763921</v>
      </c>
      <c r="P295" t="s">
        <v>90</v>
      </c>
      <c r="Q295">
        <v>0</v>
      </c>
      <c r="R295" t="s">
        <v>90</v>
      </c>
      <c r="S295">
        <v>0</v>
      </c>
      <c r="T295" t="s">
        <v>90</v>
      </c>
      <c r="U295">
        <v>0</v>
      </c>
      <c r="V295" t="s">
        <v>90</v>
      </c>
      <c r="W295">
        <v>0</v>
      </c>
      <c r="X295" t="s">
        <v>90</v>
      </c>
      <c r="Y295">
        <v>0</v>
      </c>
      <c r="Z295">
        <v>36.276777039763921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N295" t="s">
        <v>91</v>
      </c>
      <c r="AO295" t="s">
        <v>92</v>
      </c>
      <c r="AP295">
        <v>200000</v>
      </c>
      <c r="AQ295" t="s">
        <v>92</v>
      </c>
      <c r="AS295">
        <v>10000</v>
      </c>
      <c r="AT295" t="s">
        <v>2684</v>
      </c>
      <c r="AU295" t="s">
        <v>78</v>
      </c>
      <c r="AV295" t="s">
        <v>79</v>
      </c>
      <c r="AY295">
        <v>0</v>
      </c>
    </row>
    <row r="296" spans="1:52" ht="12.75">
      <c r="A296" s="2" t="str">
        <f>HYPERLINK("https://ibp.a2mac1.com/costing(costing:projects/details/8191/assembly/5382792)","Engine")</f>
        <v>Engine</v>
      </c>
      <c r="B296">
        <v>5382792</v>
      </c>
      <c r="C296">
        <v>8191</v>
      </c>
      <c r="F296">
        <v>1</v>
      </c>
      <c r="G296">
        <v>0</v>
      </c>
      <c r="H296">
        <v>12147.803269078551</v>
      </c>
      <c r="I296">
        <v>0</v>
      </c>
      <c r="J296" t="s">
        <v>90</v>
      </c>
      <c r="K296">
        <v>0</v>
      </c>
      <c r="L296">
        <v>12147.803269078551</v>
      </c>
      <c r="M296">
        <v>0</v>
      </c>
      <c r="N296">
        <v>0</v>
      </c>
      <c r="O296">
        <v>12147.803269078551</v>
      </c>
      <c r="P296" t="s">
        <v>90</v>
      </c>
      <c r="Q296">
        <v>0</v>
      </c>
      <c r="R296" t="s">
        <v>90</v>
      </c>
      <c r="S296">
        <v>0</v>
      </c>
      <c r="T296" t="s">
        <v>90</v>
      </c>
      <c r="U296">
        <v>0</v>
      </c>
      <c r="V296" t="s">
        <v>90</v>
      </c>
      <c r="W296">
        <v>0</v>
      </c>
      <c r="X296" t="s">
        <v>90</v>
      </c>
      <c r="Y296">
        <v>0</v>
      </c>
      <c r="Z296">
        <v>12147.803269078551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L296">
        <v>659.44410000000005</v>
      </c>
      <c r="AN296" t="s">
        <v>91</v>
      </c>
      <c r="AO296" t="s">
        <v>92</v>
      </c>
      <c r="AP296">
        <v>200000</v>
      </c>
      <c r="AQ296" t="s">
        <v>92</v>
      </c>
      <c r="AS296">
        <v>10000</v>
      </c>
      <c r="AT296" t="s">
        <v>2685</v>
      </c>
      <c r="AU296" t="s">
        <v>78</v>
      </c>
      <c r="AV296" t="s">
        <v>79</v>
      </c>
      <c r="AY296">
        <v>0</v>
      </c>
    </row>
    <row r="297" spans="1:52" ht="12.75">
      <c r="A297" s="2" t="str">
        <f>HYPERLINK("https://ibp.a2mac1.com/costing(costing:projects/details/8191/assembly/5383530)","Head Rest")</f>
        <v>Head Rest</v>
      </c>
      <c r="B297">
        <v>5383530</v>
      </c>
      <c r="D297">
        <v>5383399</v>
      </c>
      <c r="F297">
        <v>1</v>
      </c>
      <c r="G297">
        <v>0</v>
      </c>
      <c r="H297">
        <v>6.0649665755806037</v>
      </c>
      <c r="I297">
        <v>0</v>
      </c>
      <c r="J297" t="s">
        <v>90</v>
      </c>
      <c r="K297">
        <v>0</v>
      </c>
      <c r="L297">
        <v>6.0649665755806037</v>
      </c>
      <c r="M297">
        <v>0</v>
      </c>
      <c r="N297">
        <v>0</v>
      </c>
      <c r="O297">
        <v>6.0649665755806037</v>
      </c>
      <c r="P297" t="s">
        <v>90</v>
      </c>
      <c r="Q297">
        <v>0</v>
      </c>
      <c r="R297" t="s">
        <v>90</v>
      </c>
      <c r="S297">
        <v>0</v>
      </c>
      <c r="T297" t="s">
        <v>90</v>
      </c>
      <c r="U297">
        <v>0</v>
      </c>
      <c r="V297" t="s">
        <v>90</v>
      </c>
      <c r="W297">
        <v>0</v>
      </c>
      <c r="X297" t="s">
        <v>90</v>
      </c>
      <c r="Y297">
        <v>0</v>
      </c>
      <c r="Z297">
        <v>6.0649665755806037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L297">
        <v>0.98799999999999999</v>
      </c>
      <c r="AN297" t="s">
        <v>223</v>
      </c>
      <c r="AO297" t="s">
        <v>92</v>
      </c>
      <c r="AP297">
        <v>200000</v>
      </c>
      <c r="AQ297" t="s">
        <v>92</v>
      </c>
      <c r="AS297">
        <v>10000</v>
      </c>
      <c r="AT297" t="s">
        <v>2712</v>
      </c>
      <c r="AU297" t="s">
        <v>78</v>
      </c>
      <c r="AV297" t="s">
        <v>79</v>
      </c>
      <c r="AY297">
        <v>0</v>
      </c>
    </row>
    <row r="298" spans="1:52" ht="12.75">
      <c r="A298" s="2" t="str">
        <f>HYPERLINK("https://ibp.a2mac1.com/costing(costing:projects/details/8191/assembly/5383628)","Armrest System")</f>
        <v>Armrest System</v>
      </c>
      <c r="B298">
        <v>5383628</v>
      </c>
      <c r="D298">
        <v>5383531</v>
      </c>
      <c r="F298">
        <v>1</v>
      </c>
      <c r="G298">
        <v>0</v>
      </c>
      <c r="H298">
        <v>3.4033630311491168</v>
      </c>
      <c r="I298">
        <v>0</v>
      </c>
      <c r="J298" t="s">
        <v>90</v>
      </c>
      <c r="K298">
        <v>0</v>
      </c>
      <c r="L298">
        <v>3.4033630311491168</v>
      </c>
      <c r="M298">
        <v>0</v>
      </c>
      <c r="N298">
        <v>0</v>
      </c>
      <c r="O298">
        <v>3.4033630311491168</v>
      </c>
      <c r="P298" t="s">
        <v>90</v>
      </c>
      <c r="Q298">
        <v>0</v>
      </c>
      <c r="R298" t="s">
        <v>90</v>
      </c>
      <c r="S298">
        <v>0</v>
      </c>
      <c r="T298" t="s">
        <v>90</v>
      </c>
      <c r="U298">
        <v>0</v>
      </c>
      <c r="V298" t="s">
        <v>90</v>
      </c>
      <c r="W298">
        <v>0</v>
      </c>
      <c r="X298" t="s">
        <v>90</v>
      </c>
      <c r="Y298">
        <v>0</v>
      </c>
      <c r="Z298">
        <v>3.4033630311491168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L298">
        <v>0.86899999999999999</v>
      </c>
      <c r="AN298" t="s">
        <v>223</v>
      </c>
      <c r="AO298" t="s">
        <v>92</v>
      </c>
      <c r="AP298">
        <v>200000</v>
      </c>
      <c r="AQ298" t="s">
        <v>92</v>
      </c>
      <c r="AS298">
        <v>10000</v>
      </c>
      <c r="AT298" t="s">
        <v>2747</v>
      </c>
      <c r="AU298" t="s">
        <v>78</v>
      </c>
      <c r="AV298" t="s">
        <v>79</v>
      </c>
      <c r="AY298">
        <v>0</v>
      </c>
    </row>
    <row r="299" spans="1:52" ht="12.75">
      <c r="A299" s="2" t="str">
        <f>HYPERLINK("https://ibp.a2mac1.com/costing(costing:projects/details/8191/assembly/5383629)","Head Rest Support Bracket")</f>
        <v>Head Rest Support Bracket</v>
      </c>
      <c r="B299">
        <v>5383629</v>
      </c>
      <c r="D299">
        <v>5383531</v>
      </c>
      <c r="F299">
        <v>1</v>
      </c>
      <c r="G299">
        <v>0</v>
      </c>
      <c r="H299">
        <v>0.096272959606617359</v>
      </c>
      <c r="I299">
        <v>0.00048378371661616761</v>
      </c>
      <c r="J299" t="s">
        <v>137</v>
      </c>
      <c r="K299">
        <v>0.0033695535862316075</v>
      </c>
      <c r="L299">
        <v>0.10012629690946513</v>
      </c>
      <c r="M299">
        <v>0</v>
      </c>
      <c r="N299">
        <v>0</v>
      </c>
      <c r="O299">
        <v>0.10012629690946513</v>
      </c>
      <c r="P299" t="s">
        <v>90</v>
      </c>
      <c r="Q299">
        <v>0</v>
      </c>
      <c r="R299" t="s">
        <v>90</v>
      </c>
      <c r="S299">
        <v>0</v>
      </c>
      <c r="T299" t="s">
        <v>90</v>
      </c>
      <c r="U299">
        <v>0</v>
      </c>
      <c r="V299" t="s">
        <v>90</v>
      </c>
      <c r="W299">
        <v>0</v>
      </c>
      <c r="X299" t="s">
        <v>90</v>
      </c>
      <c r="Y299">
        <v>0</v>
      </c>
      <c r="Z299">
        <v>0.10012629690946513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L299">
        <v>0.055</v>
      </c>
      <c r="AN299" t="s">
        <v>501</v>
      </c>
      <c r="AO299" t="s">
        <v>92</v>
      </c>
      <c r="AP299">
        <v>200000</v>
      </c>
      <c r="AQ299" t="s">
        <v>92</v>
      </c>
      <c r="AS299">
        <v>10000</v>
      </c>
      <c r="AT299" t="s">
        <v>2759</v>
      </c>
      <c r="AU299" t="s">
        <v>78</v>
      </c>
      <c r="AV299" t="s">
        <v>79</v>
      </c>
      <c r="AY299">
        <v>0</v>
      </c>
    </row>
    <row r="300" spans="1:52" ht="12.75">
      <c r="A300" s="2" t="str">
        <f>HYPERLINK("https://ibp.a2mac1.com/costing(costing:projects/details/8191/assembly/5383531)","Back")</f>
        <v>Back</v>
      </c>
      <c r="B300">
        <v>5383531</v>
      </c>
      <c r="D300">
        <v>5383399</v>
      </c>
      <c r="F300">
        <v>1</v>
      </c>
      <c r="G300">
        <v>0</v>
      </c>
      <c r="H300">
        <v>40.205433097487692</v>
      </c>
      <c r="I300">
        <v>0</v>
      </c>
      <c r="J300" t="s">
        <v>90</v>
      </c>
      <c r="K300">
        <v>0</v>
      </c>
      <c r="L300">
        <v>40.205433097487692</v>
      </c>
      <c r="M300">
        <v>0</v>
      </c>
      <c r="N300">
        <v>0</v>
      </c>
      <c r="O300">
        <v>40.205433097487692</v>
      </c>
      <c r="P300" t="s">
        <v>90</v>
      </c>
      <c r="Q300">
        <v>0</v>
      </c>
      <c r="R300" t="s">
        <v>90</v>
      </c>
      <c r="S300">
        <v>0</v>
      </c>
      <c r="T300" t="s">
        <v>90</v>
      </c>
      <c r="U300">
        <v>0</v>
      </c>
      <c r="V300" t="s">
        <v>90</v>
      </c>
      <c r="W300">
        <v>0</v>
      </c>
      <c r="X300" t="s">
        <v>90</v>
      </c>
      <c r="Y300">
        <v>0</v>
      </c>
      <c r="Z300">
        <v>40.205433097487692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L300">
        <v>7.3514999999999997</v>
      </c>
      <c r="AN300" t="s">
        <v>223</v>
      </c>
      <c r="AO300" t="s">
        <v>92</v>
      </c>
      <c r="AP300">
        <v>200000</v>
      </c>
      <c r="AQ300" t="s">
        <v>92</v>
      </c>
      <c r="AS300">
        <v>10000</v>
      </c>
      <c r="AT300" t="s">
        <v>2790</v>
      </c>
      <c r="AU300" t="s">
        <v>78</v>
      </c>
      <c r="AV300" t="s">
        <v>79</v>
      </c>
      <c r="AY300">
        <v>0</v>
      </c>
    </row>
    <row r="301" spans="1:52" ht="12.75">
      <c r="A301" s="2" t="str">
        <f>HYPERLINK("https://ibp.a2mac1.com/costing(costing:projects/details/8191/assembly/5383635)","Garnish")</f>
        <v>Garnish</v>
      </c>
      <c r="B301">
        <v>5383635</v>
      </c>
      <c r="D301">
        <v>5383532</v>
      </c>
      <c r="F301">
        <v>1</v>
      </c>
      <c r="G301">
        <v>0</v>
      </c>
      <c r="H301">
        <v>0.88936740066934428</v>
      </c>
      <c r="I301">
        <v>0.0044691829179364035</v>
      </c>
      <c r="J301" t="s">
        <v>137</v>
      </c>
      <c r="K301">
        <v>0.031127859023427049</v>
      </c>
      <c r="L301">
        <v>0.92496444261070765</v>
      </c>
      <c r="M301">
        <v>0</v>
      </c>
      <c r="N301">
        <v>0</v>
      </c>
      <c r="O301">
        <v>0.92496444261070765</v>
      </c>
      <c r="P301" t="s">
        <v>90</v>
      </c>
      <c r="Q301">
        <v>0</v>
      </c>
      <c r="R301" t="s">
        <v>90</v>
      </c>
      <c r="S301">
        <v>0</v>
      </c>
      <c r="T301" t="s">
        <v>90</v>
      </c>
      <c r="U301">
        <v>0</v>
      </c>
      <c r="V301" t="s">
        <v>90</v>
      </c>
      <c r="W301">
        <v>0</v>
      </c>
      <c r="X301" t="s">
        <v>90</v>
      </c>
      <c r="Y301">
        <v>0</v>
      </c>
      <c r="Z301">
        <v>0.92496444261070765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L301">
        <v>0.502</v>
      </c>
      <c r="AN301" t="s">
        <v>501</v>
      </c>
      <c r="AO301" t="s">
        <v>92</v>
      </c>
      <c r="AP301">
        <v>200000</v>
      </c>
      <c r="AQ301" t="s">
        <v>92</v>
      </c>
      <c r="AS301">
        <v>10000</v>
      </c>
      <c r="AT301" t="s">
        <v>2809</v>
      </c>
      <c r="AU301" t="s">
        <v>78</v>
      </c>
      <c r="AV301" t="s">
        <v>79</v>
      </c>
      <c r="AY301">
        <v>0</v>
      </c>
    </row>
    <row r="302" spans="1:52" ht="12.75">
      <c r="A302" s="2" t="str">
        <f>HYPERLINK("https://ibp.a2mac1.com/costing(costing:projects/details/8191/assembly/5383636)","Lower Lighting")</f>
        <v>Lower Lighting</v>
      </c>
      <c r="B302">
        <v>5383636</v>
      </c>
      <c r="D302">
        <v>5383532</v>
      </c>
      <c r="F302">
        <v>1</v>
      </c>
      <c r="G302">
        <v>0</v>
      </c>
      <c r="H302">
        <v>1.4487000000000001</v>
      </c>
      <c r="I302">
        <v>0</v>
      </c>
      <c r="J302" t="s">
        <v>90</v>
      </c>
      <c r="K302">
        <v>0</v>
      </c>
      <c r="L302">
        <v>1.4487000000000001</v>
      </c>
      <c r="M302">
        <v>0</v>
      </c>
      <c r="N302">
        <v>0</v>
      </c>
      <c r="O302">
        <v>1.4487000000000001</v>
      </c>
      <c r="P302" t="s">
        <v>90</v>
      </c>
      <c r="Q302">
        <v>0</v>
      </c>
      <c r="R302" t="s">
        <v>90</v>
      </c>
      <c r="S302">
        <v>0</v>
      </c>
      <c r="T302" t="s">
        <v>90</v>
      </c>
      <c r="U302">
        <v>0</v>
      </c>
      <c r="V302" t="s">
        <v>90</v>
      </c>
      <c r="W302">
        <v>0</v>
      </c>
      <c r="X302" t="s">
        <v>90</v>
      </c>
      <c r="Y302">
        <v>0</v>
      </c>
      <c r="Z302">
        <v>1.4487000000000001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L302">
        <v>0.015</v>
      </c>
      <c r="AN302" t="s">
        <v>223</v>
      </c>
      <c r="AO302" t="s">
        <v>92</v>
      </c>
      <c r="AP302">
        <v>200000</v>
      </c>
      <c r="AQ302" t="s">
        <v>92</v>
      </c>
      <c r="AS302">
        <v>10000</v>
      </c>
      <c r="AT302" t="s">
        <v>2814</v>
      </c>
      <c r="AU302" t="s">
        <v>78</v>
      </c>
      <c r="AV302" t="s">
        <v>79</v>
      </c>
      <c r="AY302">
        <v>0</v>
      </c>
    </row>
    <row r="303" spans="1:52" ht="12.75">
      <c r="A303" s="2" t="str">
        <f>HYPERLINK("https://ibp.a2mac1.com/costing(costing:projects/details/8191/assembly/5383532)","Cushion")</f>
        <v>Cushion</v>
      </c>
      <c r="B303">
        <v>5383532</v>
      </c>
      <c r="D303">
        <v>5383399</v>
      </c>
      <c r="F303">
        <v>1</v>
      </c>
      <c r="G303">
        <v>0</v>
      </c>
      <c r="H303">
        <v>29.527430982013382</v>
      </c>
      <c r="I303">
        <v>0</v>
      </c>
      <c r="J303" t="s">
        <v>90</v>
      </c>
      <c r="K303">
        <v>0</v>
      </c>
      <c r="L303">
        <v>29.527430982013382</v>
      </c>
      <c r="M303">
        <v>0</v>
      </c>
      <c r="N303">
        <v>0</v>
      </c>
      <c r="O303">
        <v>29.527430982013382</v>
      </c>
      <c r="P303" t="s">
        <v>90</v>
      </c>
      <c r="Q303">
        <v>0</v>
      </c>
      <c r="R303" t="s">
        <v>90</v>
      </c>
      <c r="S303">
        <v>0</v>
      </c>
      <c r="T303" t="s">
        <v>90</v>
      </c>
      <c r="U303">
        <v>0</v>
      </c>
      <c r="V303" t="s">
        <v>90</v>
      </c>
      <c r="W303">
        <v>0</v>
      </c>
      <c r="X303" t="s">
        <v>90</v>
      </c>
      <c r="Y303">
        <v>0</v>
      </c>
      <c r="Z303">
        <v>29.527430982013382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L303">
        <v>7.4981999999999998</v>
      </c>
      <c r="AN303" t="s">
        <v>223</v>
      </c>
      <c r="AO303" t="s">
        <v>92</v>
      </c>
      <c r="AP303">
        <v>200000</v>
      </c>
      <c r="AQ303" t="s">
        <v>92</v>
      </c>
      <c r="AS303">
        <v>10000</v>
      </c>
      <c r="AT303" t="s">
        <v>2845</v>
      </c>
      <c r="AU303" t="s">
        <v>78</v>
      </c>
      <c r="AV303" t="s">
        <v>79</v>
      </c>
      <c r="AY303">
        <v>0</v>
      </c>
    </row>
    <row r="304" spans="1:52" ht="12.75">
      <c r="A304" s="2" t="str">
        <f>HYPERLINK("https://ibp.a2mac1.com/costing(costing:projects/details/8191/assembly/5383640)","Outer Side Airbag System")</f>
        <v>Outer Side Airbag System</v>
      </c>
      <c r="B304">
        <v>5383640</v>
      </c>
      <c r="D304">
        <v>5383533</v>
      </c>
      <c r="F304">
        <v>1</v>
      </c>
      <c r="G304">
        <v>0</v>
      </c>
      <c r="H304">
        <v>9.7403273477453052</v>
      </c>
      <c r="I304">
        <v>0.048946368581634703</v>
      </c>
      <c r="J304" t="s">
        <v>137</v>
      </c>
      <c r="K304">
        <v>0.34091145717108567</v>
      </c>
      <c r="L304">
        <v>10.130185173498026</v>
      </c>
      <c r="M304">
        <v>0</v>
      </c>
      <c r="N304">
        <v>0.97222670383574683</v>
      </c>
      <c r="O304">
        <v>11.102411877333772</v>
      </c>
      <c r="P304" t="s">
        <v>138</v>
      </c>
      <c r="Q304">
        <v>0.60781111040988156</v>
      </c>
      <c r="R304" t="s">
        <v>138</v>
      </c>
      <c r="S304">
        <v>0.058333602230144811</v>
      </c>
      <c r="T304" t="s">
        <v>139</v>
      </c>
      <c r="U304">
        <v>1.3322894252800528</v>
      </c>
      <c r="V304" t="s">
        <v>90</v>
      </c>
      <c r="W304">
        <v>0</v>
      </c>
      <c r="X304" t="s">
        <v>90</v>
      </c>
      <c r="Y304">
        <v>0</v>
      </c>
      <c r="Z304">
        <v>13.100846015253852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45</v>
      </c>
      <c r="AI304">
        <v>85</v>
      </c>
      <c r="AJ304">
        <v>290</v>
      </c>
      <c r="AL304">
        <v>0.32300000000000001</v>
      </c>
      <c r="AN304" t="s">
        <v>661</v>
      </c>
      <c r="AO304" t="s">
        <v>92</v>
      </c>
      <c r="AP304">
        <v>200000</v>
      </c>
      <c r="AQ304" t="s">
        <v>76</v>
      </c>
      <c r="AS304">
        <v>10000</v>
      </c>
      <c r="AT304" t="s">
        <v>2873</v>
      </c>
      <c r="AU304" t="s">
        <v>78</v>
      </c>
      <c r="AV304" t="s">
        <v>79</v>
      </c>
      <c r="AY304">
        <v>0</v>
      </c>
    </row>
    <row r="305" spans="1:52" ht="12.75">
      <c r="A305" s="2" t="str">
        <f>HYPERLINK("https://ibp.a2mac1.com/costing(costing:projects/details/8191/assembly/5383533)","Safety")</f>
        <v>Safety</v>
      </c>
      <c r="B305">
        <v>5383533</v>
      </c>
      <c r="D305">
        <v>5383399</v>
      </c>
      <c r="F305">
        <v>1</v>
      </c>
      <c r="G305">
        <v>0</v>
      </c>
      <c r="H305">
        <v>15.101623226464348</v>
      </c>
      <c r="I305">
        <v>0</v>
      </c>
      <c r="J305" t="s">
        <v>90</v>
      </c>
      <c r="K305">
        <v>0</v>
      </c>
      <c r="L305">
        <v>15.101623226464348</v>
      </c>
      <c r="M305">
        <v>0</v>
      </c>
      <c r="N305">
        <v>0</v>
      </c>
      <c r="O305">
        <v>15.101623226464348</v>
      </c>
      <c r="P305" t="s">
        <v>90</v>
      </c>
      <c r="Q305">
        <v>0</v>
      </c>
      <c r="R305" t="s">
        <v>90</v>
      </c>
      <c r="S305">
        <v>0</v>
      </c>
      <c r="T305" t="s">
        <v>90</v>
      </c>
      <c r="U305">
        <v>0</v>
      </c>
      <c r="V305" t="s">
        <v>90</v>
      </c>
      <c r="W305">
        <v>0</v>
      </c>
      <c r="X305" t="s">
        <v>90</v>
      </c>
      <c r="Y305">
        <v>0</v>
      </c>
      <c r="Z305">
        <v>15.101623226464348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L305">
        <v>0.36699999999999999</v>
      </c>
      <c r="AN305" t="s">
        <v>223</v>
      </c>
      <c r="AO305" t="s">
        <v>92</v>
      </c>
      <c r="AP305">
        <v>200000</v>
      </c>
      <c r="AQ305" t="s">
        <v>92</v>
      </c>
      <c r="AS305">
        <v>10000</v>
      </c>
      <c r="AT305" t="s">
        <v>2883</v>
      </c>
      <c r="AU305" t="s">
        <v>78</v>
      </c>
      <c r="AV305" t="s">
        <v>79</v>
      </c>
      <c r="AY305">
        <v>0</v>
      </c>
    </row>
    <row r="306" spans="1:52" ht="12.75">
      <c r="A306" s="2" t="str">
        <f>HYPERLINK("https://ibp.a2mac1.com/costing(costing:projects/details/8191/assembly/5383904)","Rails")</f>
        <v>Rails</v>
      </c>
      <c r="B306">
        <v>5383904</v>
      </c>
      <c r="D306">
        <v>5383644</v>
      </c>
      <c r="F306">
        <v>1</v>
      </c>
      <c r="G306">
        <v>0</v>
      </c>
      <c r="H306">
        <v>10.692278760886628</v>
      </c>
      <c r="I306">
        <v>0</v>
      </c>
      <c r="J306" t="s">
        <v>90</v>
      </c>
      <c r="K306">
        <v>0</v>
      </c>
      <c r="L306">
        <v>10.692278760886628</v>
      </c>
      <c r="M306">
        <v>0</v>
      </c>
      <c r="N306">
        <v>0</v>
      </c>
      <c r="O306">
        <v>10.692278760886628</v>
      </c>
      <c r="P306" t="s">
        <v>90</v>
      </c>
      <c r="Q306">
        <v>0</v>
      </c>
      <c r="R306" t="s">
        <v>90</v>
      </c>
      <c r="S306">
        <v>0</v>
      </c>
      <c r="T306" t="s">
        <v>90</v>
      </c>
      <c r="U306">
        <v>0</v>
      </c>
      <c r="V306" t="s">
        <v>90</v>
      </c>
      <c r="W306">
        <v>0</v>
      </c>
      <c r="X306" t="s">
        <v>90</v>
      </c>
      <c r="Y306">
        <v>0</v>
      </c>
      <c r="Z306">
        <v>10.692278760886628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L306">
        <v>3.31</v>
      </c>
      <c r="AN306" t="s">
        <v>223</v>
      </c>
      <c r="AO306" t="s">
        <v>92</v>
      </c>
      <c r="AP306">
        <v>200000</v>
      </c>
      <c r="AQ306" t="s">
        <v>92</v>
      </c>
      <c r="AS306">
        <v>10000</v>
      </c>
      <c r="AT306" t="s">
        <v>2897</v>
      </c>
      <c r="AU306" t="s">
        <v>78</v>
      </c>
      <c r="AV306" t="s">
        <v>79</v>
      </c>
      <c r="AY306">
        <v>0</v>
      </c>
    </row>
    <row r="307" spans="1:52" ht="12.75">
      <c r="A307" s="2" t="str">
        <f>HYPERLINK("https://ibp.a2mac1.com/costing(costing:projects/details/8191/assembly/5383644)","Longitudinal")</f>
        <v>Longitudinal</v>
      </c>
      <c r="B307">
        <v>5383644</v>
      </c>
      <c r="D307">
        <v>5383534</v>
      </c>
      <c r="F307">
        <v>1</v>
      </c>
      <c r="G307">
        <v>0</v>
      </c>
      <c r="H307">
        <v>16.182742686708856</v>
      </c>
      <c r="I307">
        <v>0</v>
      </c>
      <c r="J307" t="s">
        <v>90</v>
      </c>
      <c r="K307">
        <v>0</v>
      </c>
      <c r="L307">
        <v>16.182742686708856</v>
      </c>
      <c r="M307">
        <v>0</v>
      </c>
      <c r="N307">
        <v>0</v>
      </c>
      <c r="O307">
        <v>16.182742686708856</v>
      </c>
      <c r="P307" t="s">
        <v>90</v>
      </c>
      <c r="Q307">
        <v>0</v>
      </c>
      <c r="R307" t="s">
        <v>90</v>
      </c>
      <c r="S307">
        <v>0</v>
      </c>
      <c r="T307" t="s">
        <v>90</v>
      </c>
      <c r="U307">
        <v>0</v>
      </c>
      <c r="V307" t="s">
        <v>90</v>
      </c>
      <c r="W307">
        <v>0</v>
      </c>
      <c r="X307" t="s">
        <v>90</v>
      </c>
      <c r="Y307">
        <v>0</v>
      </c>
      <c r="Z307">
        <v>16.182742686708856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L307">
        <v>4.0321999999999996</v>
      </c>
      <c r="AN307" t="s">
        <v>223</v>
      </c>
      <c r="AO307" t="s">
        <v>92</v>
      </c>
      <c r="AP307">
        <v>200000</v>
      </c>
      <c r="AQ307" t="s">
        <v>92</v>
      </c>
      <c r="AS307">
        <v>10000</v>
      </c>
      <c r="AT307" t="s">
        <v>2915</v>
      </c>
      <c r="AU307" t="s">
        <v>78</v>
      </c>
      <c r="AV307" t="s">
        <v>79</v>
      </c>
      <c r="AY307">
        <v>0</v>
      </c>
    </row>
    <row r="308" spans="1:52" ht="12.75">
      <c r="A308" s="2" t="str">
        <f>HYPERLINK("https://ibp.a2mac1.com/costing(costing:projects/details/8191/assembly/5383906)","Front")</f>
        <v>Front</v>
      </c>
      <c r="B308">
        <v>5383906</v>
      </c>
      <c r="D308">
        <v>5383645</v>
      </c>
      <c r="F308">
        <v>1</v>
      </c>
      <c r="G308">
        <v>0</v>
      </c>
      <c r="H308">
        <v>7.54</v>
      </c>
      <c r="I308">
        <v>0</v>
      </c>
      <c r="J308" t="s">
        <v>90</v>
      </c>
      <c r="K308">
        <v>0</v>
      </c>
      <c r="L308">
        <v>7.54</v>
      </c>
      <c r="M308">
        <v>0</v>
      </c>
      <c r="N308">
        <v>0</v>
      </c>
      <c r="O308">
        <v>7.54</v>
      </c>
      <c r="P308" t="s">
        <v>90</v>
      </c>
      <c r="Q308">
        <v>0</v>
      </c>
      <c r="R308" t="s">
        <v>90</v>
      </c>
      <c r="S308">
        <v>0</v>
      </c>
      <c r="T308" t="s">
        <v>90</v>
      </c>
      <c r="U308">
        <v>0</v>
      </c>
      <c r="V308" t="s">
        <v>90</v>
      </c>
      <c r="W308">
        <v>0</v>
      </c>
      <c r="X308" t="s">
        <v>90</v>
      </c>
      <c r="Y308">
        <v>0</v>
      </c>
      <c r="Z308">
        <v>7.54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L308">
        <v>0.59299999999999997</v>
      </c>
      <c r="AN308" t="s">
        <v>223</v>
      </c>
      <c r="AO308" t="s">
        <v>92</v>
      </c>
      <c r="AP308">
        <v>200000</v>
      </c>
      <c r="AQ308" t="s">
        <v>92</v>
      </c>
      <c r="AS308">
        <v>10000</v>
      </c>
      <c r="AT308" t="s">
        <v>2920</v>
      </c>
      <c r="AU308" t="s">
        <v>78</v>
      </c>
      <c r="AV308" t="s">
        <v>79</v>
      </c>
      <c r="AY308">
        <v>0</v>
      </c>
    </row>
    <row r="309" spans="1:52" ht="12.75">
      <c r="A309" s="2" t="str">
        <f>HYPERLINK("https://ibp.a2mac1.com/costing(costing:projects/details/8191/assembly/5383907)","Rear")</f>
        <v>Rear</v>
      </c>
      <c r="B309">
        <v>5383907</v>
      </c>
      <c r="D309">
        <v>5383645</v>
      </c>
      <c r="F309">
        <v>1</v>
      </c>
      <c r="G309">
        <v>0</v>
      </c>
      <c r="H309">
        <v>8.5256670751877124</v>
      </c>
      <c r="I309">
        <v>0</v>
      </c>
      <c r="J309" t="s">
        <v>90</v>
      </c>
      <c r="K309">
        <v>0</v>
      </c>
      <c r="L309">
        <v>8.5256670751877124</v>
      </c>
      <c r="M309">
        <v>0</v>
      </c>
      <c r="N309">
        <v>0</v>
      </c>
      <c r="O309">
        <v>8.5256670751877124</v>
      </c>
      <c r="P309" t="s">
        <v>90</v>
      </c>
      <c r="Q309">
        <v>0</v>
      </c>
      <c r="R309" t="s">
        <v>90</v>
      </c>
      <c r="S309">
        <v>0</v>
      </c>
      <c r="T309" t="s">
        <v>90</v>
      </c>
      <c r="U309">
        <v>0</v>
      </c>
      <c r="V309" t="s">
        <v>90</v>
      </c>
      <c r="W309">
        <v>0</v>
      </c>
      <c r="X309" t="s">
        <v>90</v>
      </c>
      <c r="Y309">
        <v>0</v>
      </c>
      <c r="Z309">
        <v>8.5256670751877124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L309">
        <v>0.82199999999999995</v>
      </c>
      <c r="AN309" t="s">
        <v>223</v>
      </c>
      <c r="AO309" t="s">
        <v>92</v>
      </c>
      <c r="AP309">
        <v>200000</v>
      </c>
      <c r="AQ309" t="s">
        <v>92</v>
      </c>
      <c r="AS309">
        <v>10000</v>
      </c>
      <c r="AT309" t="s">
        <v>2934</v>
      </c>
      <c r="AU309" t="s">
        <v>78</v>
      </c>
      <c r="AV309" t="s">
        <v>79</v>
      </c>
      <c r="AY309">
        <v>0</v>
      </c>
    </row>
    <row r="310" spans="1:52" ht="12.75">
      <c r="A310" s="2" t="str">
        <f>HYPERLINK("https://ibp.a2mac1.com/costing(costing:projects/details/8191/assembly/5383645)","Height")</f>
        <v>Height</v>
      </c>
      <c r="B310">
        <v>5383645</v>
      </c>
      <c r="D310">
        <v>5383534</v>
      </c>
      <c r="F310">
        <v>1</v>
      </c>
      <c r="G310">
        <v>0</v>
      </c>
      <c r="H310">
        <v>16.585667075187711</v>
      </c>
      <c r="I310">
        <v>0</v>
      </c>
      <c r="J310" t="s">
        <v>90</v>
      </c>
      <c r="K310">
        <v>0</v>
      </c>
      <c r="L310">
        <v>16.585667075187711</v>
      </c>
      <c r="M310">
        <v>0</v>
      </c>
      <c r="N310">
        <v>0</v>
      </c>
      <c r="O310">
        <v>16.585667075187711</v>
      </c>
      <c r="P310" t="s">
        <v>90</v>
      </c>
      <c r="Q310">
        <v>0</v>
      </c>
      <c r="R310" t="s">
        <v>90</v>
      </c>
      <c r="S310">
        <v>0</v>
      </c>
      <c r="T310" t="s">
        <v>90</v>
      </c>
      <c r="U310">
        <v>0</v>
      </c>
      <c r="V310" t="s">
        <v>90</v>
      </c>
      <c r="W310">
        <v>0</v>
      </c>
      <c r="X310" t="s">
        <v>90</v>
      </c>
      <c r="Y310">
        <v>0</v>
      </c>
      <c r="Z310">
        <v>16.585667075187711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L310">
        <v>1.6020000000000001</v>
      </c>
      <c r="AN310" t="s">
        <v>223</v>
      </c>
      <c r="AO310" t="s">
        <v>92</v>
      </c>
      <c r="AP310">
        <v>200000</v>
      </c>
      <c r="AQ310" t="s">
        <v>92</v>
      </c>
      <c r="AS310">
        <v>10000</v>
      </c>
      <c r="AT310" t="s">
        <v>2936</v>
      </c>
      <c r="AU310" t="s">
        <v>78</v>
      </c>
      <c r="AV310" t="s">
        <v>79</v>
      </c>
      <c r="AY310">
        <v>0</v>
      </c>
    </row>
    <row r="311" spans="1:52" ht="12.75">
      <c r="A311" s="2" t="str">
        <f>HYPERLINK("https://ibp.a2mac1.com/costing(costing:projects/details/8191/assembly/5383909)","Mechanism")</f>
        <v>Mechanism</v>
      </c>
      <c r="B311">
        <v>5383909</v>
      </c>
      <c r="D311">
        <v>5383646</v>
      </c>
      <c r="F311">
        <v>1</v>
      </c>
      <c r="G311">
        <v>0</v>
      </c>
      <c r="H311">
        <v>0.50</v>
      </c>
      <c r="I311">
        <v>0</v>
      </c>
      <c r="J311" t="s">
        <v>90</v>
      </c>
      <c r="K311">
        <v>0</v>
      </c>
      <c r="L311">
        <v>0.50</v>
      </c>
      <c r="M311">
        <v>0</v>
      </c>
      <c r="N311">
        <v>0</v>
      </c>
      <c r="O311">
        <v>0.50</v>
      </c>
      <c r="P311" t="s">
        <v>90</v>
      </c>
      <c r="Q311">
        <v>0</v>
      </c>
      <c r="R311" t="s">
        <v>90</v>
      </c>
      <c r="S311">
        <v>0</v>
      </c>
      <c r="T311" t="s">
        <v>90</v>
      </c>
      <c r="U311">
        <v>0</v>
      </c>
      <c r="V311" t="s">
        <v>90</v>
      </c>
      <c r="W311">
        <v>0</v>
      </c>
      <c r="X311" t="s">
        <v>90</v>
      </c>
      <c r="Y311">
        <v>0</v>
      </c>
      <c r="Z311">
        <v>0.50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L311">
        <v>0.107</v>
      </c>
      <c r="AN311" t="s">
        <v>223</v>
      </c>
      <c r="AO311" t="s">
        <v>92</v>
      </c>
      <c r="AP311">
        <v>200000</v>
      </c>
      <c r="AQ311" t="s">
        <v>92</v>
      </c>
      <c r="AS311">
        <v>10000</v>
      </c>
      <c r="AT311" t="s">
        <v>2940</v>
      </c>
      <c r="AU311" t="s">
        <v>78</v>
      </c>
      <c r="AV311" t="s">
        <v>79</v>
      </c>
      <c r="AY311">
        <v>0</v>
      </c>
    </row>
    <row r="312" spans="1:52" ht="12.75">
      <c r="A312" s="2" t="str">
        <f>HYPERLINK("https://ibp.a2mac1.com/costing(costing:projects/details/8191/assembly/5383646)","Recliner")</f>
        <v>Recliner</v>
      </c>
      <c r="B312">
        <v>5383646</v>
      </c>
      <c r="D312">
        <v>5383534</v>
      </c>
      <c r="F312">
        <v>1</v>
      </c>
      <c r="G312">
        <v>0</v>
      </c>
      <c r="H312">
        <v>6.52</v>
      </c>
      <c r="I312">
        <v>0</v>
      </c>
      <c r="J312" t="s">
        <v>90</v>
      </c>
      <c r="K312">
        <v>0</v>
      </c>
      <c r="L312">
        <v>6.52</v>
      </c>
      <c r="M312">
        <v>0</v>
      </c>
      <c r="N312">
        <v>0</v>
      </c>
      <c r="O312">
        <v>6.52</v>
      </c>
      <c r="P312" t="s">
        <v>90</v>
      </c>
      <c r="Q312">
        <v>0</v>
      </c>
      <c r="R312" t="s">
        <v>90</v>
      </c>
      <c r="S312">
        <v>0</v>
      </c>
      <c r="T312" t="s">
        <v>90</v>
      </c>
      <c r="U312">
        <v>0</v>
      </c>
      <c r="V312" t="s">
        <v>90</v>
      </c>
      <c r="W312">
        <v>0</v>
      </c>
      <c r="X312" t="s">
        <v>90</v>
      </c>
      <c r="Y312">
        <v>0</v>
      </c>
      <c r="Z312">
        <v>6.52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L312">
        <v>0.51</v>
      </c>
      <c r="AN312" t="s">
        <v>223</v>
      </c>
      <c r="AO312" t="s">
        <v>92</v>
      </c>
      <c r="AP312">
        <v>200000</v>
      </c>
      <c r="AQ312" t="s">
        <v>92</v>
      </c>
      <c r="AS312">
        <v>10000</v>
      </c>
      <c r="AT312" t="s">
        <v>2942</v>
      </c>
      <c r="AU312" t="s">
        <v>78</v>
      </c>
      <c r="AV312" t="s">
        <v>79</v>
      </c>
      <c r="AY312">
        <v>0</v>
      </c>
    </row>
    <row r="313" spans="1:52" ht="12.75">
      <c r="A313" s="2" t="str">
        <f>HYPERLINK("https://ibp.a2mac1.com/costing(costing:projects/details/8191/assembly/5383913)","Mechanism")</f>
        <v>Mechanism</v>
      </c>
      <c r="B313">
        <v>5383913</v>
      </c>
      <c r="D313">
        <v>5383647</v>
      </c>
      <c r="F313">
        <v>1</v>
      </c>
      <c r="G313">
        <v>0</v>
      </c>
      <c r="H313">
        <v>1.2223181594312535</v>
      </c>
      <c r="I313">
        <v>0.0061423023086997659</v>
      </c>
      <c r="J313" t="s">
        <v>137</v>
      </c>
      <c r="K313">
        <v>0.042781135580093874</v>
      </c>
      <c r="L313">
        <v>1.271241597320047</v>
      </c>
      <c r="M313">
        <v>0</v>
      </c>
      <c r="N313">
        <v>0</v>
      </c>
      <c r="O313">
        <v>1.271241597320047</v>
      </c>
      <c r="P313" t="s">
        <v>138</v>
      </c>
      <c r="Q313">
        <v>0.07627449583920283</v>
      </c>
      <c r="R313" t="s">
        <v>138</v>
      </c>
      <c r="S313">
        <v>0</v>
      </c>
      <c r="T313" t="s">
        <v>139</v>
      </c>
      <c r="U313">
        <v>0.15254899167840566</v>
      </c>
      <c r="V313" t="s">
        <v>90</v>
      </c>
      <c r="W313">
        <v>0</v>
      </c>
      <c r="X313" t="s">
        <v>90</v>
      </c>
      <c r="Y313">
        <v>0</v>
      </c>
      <c r="Z313">
        <v>1.5000650848376555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L313">
        <v>0.55200000000000005</v>
      </c>
      <c r="AN313" t="s">
        <v>501</v>
      </c>
      <c r="AO313" t="s">
        <v>92</v>
      </c>
      <c r="AP313">
        <v>200000</v>
      </c>
      <c r="AQ313" t="s">
        <v>76</v>
      </c>
      <c r="AS313">
        <v>10000</v>
      </c>
      <c r="AT313" t="s">
        <v>2956</v>
      </c>
      <c r="AU313" t="s">
        <v>78</v>
      </c>
      <c r="AV313" t="s">
        <v>79</v>
      </c>
      <c r="AY313">
        <v>0</v>
      </c>
    </row>
    <row r="314" spans="1:52" ht="12.75">
      <c r="A314" s="2" t="str">
        <f>HYPERLINK("https://ibp.a2mac1.com/costing(costing:projects/details/8191/assembly/5383647)","Lumbar")</f>
        <v>Lumbar</v>
      </c>
      <c r="B314">
        <v>5383647</v>
      </c>
      <c r="D314">
        <v>5383534</v>
      </c>
      <c r="F314">
        <v>1</v>
      </c>
      <c r="G314">
        <v>0</v>
      </c>
      <c r="H314">
        <v>14.386011580642108</v>
      </c>
      <c r="I314">
        <v>0</v>
      </c>
      <c r="J314" t="s">
        <v>90</v>
      </c>
      <c r="K314">
        <v>0</v>
      </c>
      <c r="L314">
        <v>14.386011580642108</v>
      </c>
      <c r="M314">
        <v>0</v>
      </c>
      <c r="N314">
        <v>0</v>
      </c>
      <c r="O314">
        <v>14.386011580642108</v>
      </c>
      <c r="P314" t="s">
        <v>90</v>
      </c>
      <c r="Q314">
        <v>0</v>
      </c>
      <c r="R314" t="s">
        <v>90</v>
      </c>
      <c r="S314">
        <v>0</v>
      </c>
      <c r="T314" t="s">
        <v>90</v>
      </c>
      <c r="U314">
        <v>0</v>
      </c>
      <c r="V314" t="s">
        <v>90</v>
      </c>
      <c r="W314">
        <v>0</v>
      </c>
      <c r="X314" t="s">
        <v>90</v>
      </c>
      <c r="Y314">
        <v>0</v>
      </c>
      <c r="Z314">
        <v>14.386011580642108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L314">
        <v>0.88900000000000001</v>
      </c>
      <c r="AN314" t="s">
        <v>223</v>
      </c>
      <c r="AO314" t="s">
        <v>92</v>
      </c>
      <c r="AP314">
        <v>200000</v>
      </c>
      <c r="AQ314" t="s">
        <v>92</v>
      </c>
      <c r="AS314">
        <v>10000</v>
      </c>
      <c r="AT314" t="s">
        <v>2965</v>
      </c>
      <c r="AU314" t="s">
        <v>78</v>
      </c>
      <c r="AV314" t="s">
        <v>79</v>
      </c>
      <c r="AY314">
        <v>0</v>
      </c>
    </row>
    <row r="315" spans="1:52" ht="12.75">
      <c r="A315" s="2" t="str">
        <f>HYPERLINK("https://ibp.a2mac1.com/costing(costing:projects/details/8191/assembly/5383648)","Presetting System")</f>
        <v>Presetting System</v>
      </c>
      <c r="B315">
        <v>5383648</v>
      </c>
      <c r="D315">
        <v>5383534</v>
      </c>
      <c r="F315">
        <v>1</v>
      </c>
      <c r="G315">
        <v>0</v>
      </c>
      <c r="H315">
        <v>2</v>
      </c>
      <c r="I315">
        <v>0</v>
      </c>
      <c r="J315" t="s">
        <v>90</v>
      </c>
      <c r="K315">
        <v>0</v>
      </c>
      <c r="L315">
        <v>2</v>
      </c>
      <c r="M315">
        <v>0</v>
      </c>
      <c r="N315">
        <v>0</v>
      </c>
      <c r="O315">
        <v>2</v>
      </c>
      <c r="P315" t="s">
        <v>90</v>
      </c>
      <c r="Q315">
        <v>0</v>
      </c>
      <c r="R315" t="s">
        <v>90</v>
      </c>
      <c r="S315">
        <v>0</v>
      </c>
      <c r="T315" t="s">
        <v>90</v>
      </c>
      <c r="U315">
        <v>0</v>
      </c>
      <c r="V315" t="s">
        <v>90</v>
      </c>
      <c r="W315">
        <v>0</v>
      </c>
      <c r="X315" t="s">
        <v>90</v>
      </c>
      <c r="Y315">
        <v>0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L315">
        <v>0.025999999999999999</v>
      </c>
      <c r="AN315" t="s">
        <v>223</v>
      </c>
      <c r="AO315" t="s">
        <v>92</v>
      </c>
      <c r="AP315">
        <v>200000</v>
      </c>
      <c r="AQ315" t="s">
        <v>92</v>
      </c>
      <c r="AS315">
        <v>10000</v>
      </c>
      <c r="AT315" t="s">
        <v>2969</v>
      </c>
      <c r="AU315" t="s">
        <v>78</v>
      </c>
      <c r="AV315" t="s">
        <v>79</v>
      </c>
      <c r="AY315">
        <v>0</v>
      </c>
    </row>
    <row r="316" spans="1:52" ht="12.75">
      <c r="A316" s="2" t="str">
        <f>HYPERLINK("https://ibp.a2mac1.com/costing(costing:projects/details/8191/assembly/5383534)","Power Adjusters")</f>
        <v>Power Adjusters</v>
      </c>
      <c r="B316">
        <v>5383534</v>
      </c>
      <c r="D316">
        <v>5383399</v>
      </c>
      <c r="F316">
        <v>1</v>
      </c>
      <c r="G316">
        <v>0</v>
      </c>
      <c r="H316">
        <v>74.331483607306296</v>
      </c>
      <c r="I316">
        <v>0</v>
      </c>
      <c r="J316" t="s">
        <v>90</v>
      </c>
      <c r="K316">
        <v>0</v>
      </c>
      <c r="L316">
        <v>74.331483607306296</v>
      </c>
      <c r="M316">
        <v>0</v>
      </c>
      <c r="N316">
        <v>0</v>
      </c>
      <c r="O316">
        <v>74.331483607306296</v>
      </c>
      <c r="P316" t="s">
        <v>90</v>
      </c>
      <c r="Q316">
        <v>0</v>
      </c>
      <c r="R316" t="s">
        <v>90</v>
      </c>
      <c r="S316">
        <v>0</v>
      </c>
      <c r="T316" t="s">
        <v>90</v>
      </c>
      <c r="U316">
        <v>0</v>
      </c>
      <c r="V316" t="s">
        <v>90</v>
      </c>
      <c r="W316">
        <v>0</v>
      </c>
      <c r="X316" t="s">
        <v>90</v>
      </c>
      <c r="Y316">
        <v>0</v>
      </c>
      <c r="Z316">
        <v>74.331483607306296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L316">
        <v>7.4381000000000004</v>
      </c>
      <c r="AN316" t="s">
        <v>223</v>
      </c>
      <c r="AO316" t="s">
        <v>92</v>
      </c>
      <c r="AP316">
        <v>200000</v>
      </c>
      <c r="AQ316" t="s">
        <v>92</v>
      </c>
      <c r="AS316">
        <v>10000</v>
      </c>
      <c r="AT316" t="s">
        <v>2977</v>
      </c>
      <c r="AU316" t="s">
        <v>78</v>
      </c>
      <c r="AV316" t="s">
        <v>79</v>
      </c>
      <c r="AY316">
        <v>0</v>
      </c>
    </row>
    <row r="317" spans="1:52" ht="12.75">
      <c r="A317" s="2" t="str">
        <f>HYPERLINK("https://ibp.a2mac1.com/costing(costing:projects/details/8191/assembly/5383535)","Support System")</f>
        <v>Support System</v>
      </c>
      <c r="B317">
        <v>5383535</v>
      </c>
      <c r="D317">
        <v>5383399</v>
      </c>
      <c r="F317">
        <v>1</v>
      </c>
      <c r="G317">
        <v>0</v>
      </c>
      <c r="H317">
        <v>0.030387120499327184</v>
      </c>
      <c r="I317">
        <v>0</v>
      </c>
      <c r="J317" t="s">
        <v>90</v>
      </c>
      <c r="K317">
        <v>0</v>
      </c>
      <c r="L317">
        <v>0.030387120499327184</v>
      </c>
      <c r="M317">
        <v>0</v>
      </c>
      <c r="N317">
        <v>0</v>
      </c>
      <c r="O317">
        <v>0.030387120499327184</v>
      </c>
      <c r="P317" t="s">
        <v>90</v>
      </c>
      <c r="Q317">
        <v>0</v>
      </c>
      <c r="R317" t="s">
        <v>90</v>
      </c>
      <c r="S317">
        <v>0</v>
      </c>
      <c r="T317" t="s">
        <v>90</v>
      </c>
      <c r="U317">
        <v>0</v>
      </c>
      <c r="V317" t="s">
        <v>90</v>
      </c>
      <c r="W317">
        <v>0</v>
      </c>
      <c r="X317" t="s">
        <v>90</v>
      </c>
      <c r="Y317">
        <v>0</v>
      </c>
      <c r="Z317">
        <v>0.030387120499327184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L317">
        <v>0.01</v>
      </c>
      <c r="AN317" t="s">
        <v>223</v>
      </c>
      <c r="AO317" t="s">
        <v>92</v>
      </c>
      <c r="AP317">
        <v>200000</v>
      </c>
      <c r="AQ317" t="s">
        <v>92</v>
      </c>
      <c r="AS317">
        <v>10000</v>
      </c>
      <c r="AT317" t="s">
        <v>2988</v>
      </c>
      <c r="AU317" t="s">
        <v>78</v>
      </c>
      <c r="AV317" t="s">
        <v>79</v>
      </c>
      <c r="AY317">
        <v>0</v>
      </c>
    </row>
    <row r="318" spans="1:52" ht="12.75">
      <c r="A318" s="2" t="str">
        <f>HYPERLINK("https://ibp.a2mac1.com/costing(costing:projects/details/8191/assembly/5383536)","Heating System")</f>
        <v>Heating System</v>
      </c>
      <c r="B318">
        <v>5383536</v>
      </c>
      <c r="D318">
        <v>5383399</v>
      </c>
      <c r="F318">
        <v>1</v>
      </c>
      <c r="G318">
        <v>0</v>
      </c>
      <c r="H318">
        <v>10</v>
      </c>
      <c r="I318">
        <v>0</v>
      </c>
      <c r="J318" t="s">
        <v>90</v>
      </c>
      <c r="K318">
        <v>0</v>
      </c>
      <c r="L318">
        <v>10</v>
      </c>
      <c r="M318">
        <v>0</v>
      </c>
      <c r="N318">
        <v>0</v>
      </c>
      <c r="O318">
        <v>10</v>
      </c>
      <c r="P318" t="s">
        <v>90</v>
      </c>
      <c r="Q318">
        <v>0</v>
      </c>
      <c r="R318" t="s">
        <v>90</v>
      </c>
      <c r="S318">
        <v>0</v>
      </c>
      <c r="T318" t="s">
        <v>90</v>
      </c>
      <c r="U318">
        <v>0</v>
      </c>
      <c r="V318" t="s">
        <v>90</v>
      </c>
      <c r="W318">
        <v>0</v>
      </c>
      <c r="X318" t="s">
        <v>90</v>
      </c>
      <c r="Y318">
        <v>0</v>
      </c>
      <c r="Z318">
        <v>10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L318">
        <v>0.098000000000000004</v>
      </c>
      <c r="AN318" t="s">
        <v>223</v>
      </c>
      <c r="AO318" t="s">
        <v>92</v>
      </c>
      <c r="AP318">
        <v>200000</v>
      </c>
      <c r="AQ318" t="s">
        <v>92</v>
      </c>
      <c r="AS318">
        <v>10000</v>
      </c>
      <c r="AT318" t="s">
        <v>2994</v>
      </c>
      <c r="AU318" t="s">
        <v>78</v>
      </c>
      <c r="AV318" t="s">
        <v>79</v>
      </c>
      <c r="AY318">
        <v>0</v>
      </c>
    </row>
    <row r="319" spans="1:52" ht="12.75">
      <c r="A319" s="2" t="str">
        <f>HYPERLINK("https://ibp.a2mac1.com/costing(costing:projects/details/8191/assembly/5383399)","Driver")</f>
        <v>Driver</v>
      </c>
      <c r="B319">
        <v>5383399</v>
      </c>
      <c r="D319">
        <v>5383339</v>
      </c>
      <c r="F319">
        <v>1</v>
      </c>
      <c r="G319">
        <v>0</v>
      </c>
      <c r="H319">
        <v>198.86167368869857</v>
      </c>
      <c r="I319">
        <v>0.99930489290803304</v>
      </c>
      <c r="J319" t="s">
        <v>137</v>
      </c>
      <c r="K319">
        <v>6.9601585791044505</v>
      </c>
      <c r="L319">
        <v>206.82113716071106</v>
      </c>
      <c r="M319">
        <v>0</v>
      </c>
      <c r="N319">
        <v>8.4091979268747181</v>
      </c>
      <c r="O319">
        <v>215.23033508758579</v>
      </c>
      <c r="P319" t="s">
        <v>138</v>
      </c>
      <c r="Q319">
        <v>12.409268229642663</v>
      </c>
      <c r="R319" t="s">
        <v>138</v>
      </c>
      <c r="S319">
        <v>0.50455187561248316</v>
      </c>
      <c r="T319" t="s">
        <v>139</v>
      </c>
      <c r="U319">
        <v>25.827640210510292</v>
      </c>
      <c r="V319" t="s">
        <v>90</v>
      </c>
      <c r="W319">
        <v>0</v>
      </c>
      <c r="X319" t="s">
        <v>90</v>
      </c>
      <c r="Y319">
        <v>0</v>
      </c>
      <c r="Z319">
        <v>253.97179540335122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840</v>
      </c>
      <c r="AI319">
        <v>625</v>
      </c>
      <c r="AJ319">
        <v>935</v>
      </c>
      <c r="AL319">
        <v>24.321000000000002</v>
      </c>
      <c r="AN319" t="s">
        <v>661</v>
      </c>
      <c r="AO319" t="s">
        <v>92</v>
      </c>
      <c r="AP319">
        <v>200000</v>
      </c>
      <c r="AQ319" t="s">
        <v>76</v>
      </c>
      <c r="AS319">
        <v>10000</v>
      </c>
      <c r="AT319" t="s">
        <v>3006</v>
      </c>
      <c r="AU319" t="s">
        <v>78</v>
      </c>
      <c r="AV319" t="s">
        <v>79</v>
      </c>
      <c r="AY319">
        <v>0</v>
      </c>
    </row>
    <row r="320" spans="1:52" ht="12.75">
      <c r="A320" s="2" t="str">
        <f>HYPERLINK("https://ibp.a2mac1.com/costing(costing:projects/details/8191/assembly/5383655)","Head Rest Support Bracket")</f>
        <v>Head Rest Support Bracket</v>
      </c>
      <c r="B320">
        <v>5383655</v>
      </c>
      <c r="D320">
        <v>5383538</v>
      </c>
      <c r="F320">
        <v>1</v>
      </c>
      <c r="G320">
        <v>0</v>
      </c>
      <c r="H320">
        <v>0.096272959606617359</v>
      </c>
      <c r="I320">
        <v>0</v>
      </c>
      <c r="J320" t="s">
        <v>90</v>
      </c>
      <c r="K320">
        <v>0</v>
      </c>
      <c r="L320">
        <v>0.096272959606617359</v>
      </c>
      <c r="M320">
        <v>0</v>
      </c>
      <c r="N320">
        <v>0</v>
      </c>
      <c r="O320">
        <v>0.096272959606617359</v>
      </c>
      <c r="P320" t="s">
        <v>90</v>
      </c>
      <c r="Q320">
        <v>0</v>
      </c>
      <c r="R320" t="s">
        <v>90</v>
      </c>
      <c r="S320">
        <v>0</v>
      </c>
      <c r="T320" t="s">
        <v>90</v>
      </c>
      <c r="U320">
        <v>0</v>
      </c>
      <c r="V320" t="s">
        <v>90</v>
      </c>
      <c r="W320">
        <v>0</v>
      </c>
      <c r="X320" t="s">
        <v>90</v>
      </c>
      <c r="Y320">
        <v>0</v>
      </c>
      <c r="Z320">
        <v>0.096272959606617359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L320">
        <v>0.055</v>
      </c>
      <c r="AN320" t="s">
        <v>223</v>
      </c>
      <c r="AO320" t="s">
        <v>92</v>
      </c>
      <c r="AP320">
        <v>200000</v>
      </c>
      <c r="AQ320" t="s">
        <v>92</v>
      </c>
      <c r="AS320">
        <v>10000</v>
      </c>
      <c r="AT320" t="s">
        <v>3016</v>
      </c>
      <c r="AU320" t="s">
        <v>78</v>
      </c>
      <c r="AV320" t="s">
        <v>79</v>
      </c>
      <c r="AY320">
        <v>0</v>
      </c>
    </row>
    <row r="321" spans="1:52" ht="12.75">
      <c r="A321" s="2" t="str">
        <f>HYPERLINK("https://ibp.a2mac1.com/costing(costing:projects/details/8191/assembly/5383658)","Armrest System")</f>
        <v>Armrest System</v>
      </c>
      <c r="B321">
        <v>5383658</v>
      </c>
      <c r="D321">
        <v>5383538</v>
      </c>
      <c r="F321">
        <v>1</v>
      </c>
      <c r="G321">
        <v>0</v>
      </c>
      <c r="H321">
        <v>3.6709842231334671</v>
      </c>
      <c r="I321">
        <v>0</v>
      </c>
      <c r="J321" t="s">
        <v>90</v>
      </c>
      <c r="K321">
        <v>0</v>
      </c>
      <c r="L321">
        <v>3.6709842231334671</v>
      </c>
      <c r="M321">
        <v>0</v>
      </c>
      <c r="N321">
        <v>0</v>
      </c>
      <c r="O321">
        <v>3.6709842231334671</v>
      </c>
      <c r="P321" t="s">
        <v>90</v>
      </c>
      <c r="Q321">
        <v>0</v>
      </c>
      <c r="R321" t="s">
        <v>90</v>
      </c>
      <c r="S321">
        <v>0</v>
      </c>
      <c r="T321" t="s">
        <v>90</v>
      </c>
      <c r="U321">
        <v>0</v>
      </c>
      <c r="V321" t="s">
        <v>90</v>
      </c>
      <c r="W321">
        <v>0</v>
      </c>
      <c r="X321" t="s">
        <v>90</v>
      </c>
      <c r="Y321">
        <v>0</v>
      </c>
      <c r="Z321">
        <v>3.6709842231334671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L321">
        <v>0.86899999999999999</v>
      </c>
      <c r="AN321" t="s">
        <v>223</v>
      </c>
      <c r="AO321" t="s">
        <v>92</v>
      </c>
      <c r="AP321">
        <v>200000</v>
      </c>
      <c r="AQ321" t="s">
        <v>92</v>
      </c>
      <c r="AS321">
        <v>10000</v>
      </c>
      <c r="AT321" t="s">
        <v>3033</v>
      </c>
      <c r="AU321" t="s">
        <v>78</v>
      </c>
      <c r="AV321" t="s">
        <v>79</v>
      </c>
      <c r="AY321">
        <v>0</v>
      </c>
    </row>
    <row r="322" spans="1:52" ht="12.75">
      <c r="A322" s="2" t="str">
        <f>HYPERLINK("https://ibp.a2mac1.com/costing(costing:projects/details/8191/assembly/5383538)","Back")</f>
        <v>Back</v>
      </c>
      <c r="B322">
        <v>5383538</v>
      </c>
      <c r="D322">
        <v>5383400</v>
      </c>
      <c r="F322">
        <v>1</v>
      </c>
      <c r="G322">
        <v>0</v>
      </c>
      <c r="H322">
        <v>40.480072330833337</v>
      </c>
      <c r="I322">
        <v>0</v>
      </c>
      <c r="J322" t="s">
        <v>90</v>
      </c>
      <c r="K322">
        <v>0</v>
      </c>
      <c r="L322">
        <v>40.480072330833337</v>
      </c>
      <c r="M322">
        <v>0</v>
      </c>
      <c r="N322">
        <v>0</v>
      </c>
      <c r="O322">
        <v>40.480072330833337</v>
      </c>
      <c r="P322" t="s">
        <v>90</v>
      </c>
      <c r="Q322">
        <v>0</v>
      </c>
      <c r="R322" t="s">
        <v>90</v>
      </c>
      <c r="S322">
        <v>0</v>
      </c>
      <c r="T322" t="s">
        <v>90</v>
      </c>
      <c r="U322">
        <v>0</v>
      </c>
      <c r="V322" t="s">
        <v>90</v>
      </c>
      <c r="W322">
        <v>0</v>
      </c>
      <c r="X322" t="s">
        <v>90</v>
      </c>
      <c r="Y322">
        <v>0</v>
      </c>
      <c r="Z322">
        <v>40.480072330833337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L322">
        <v>7.3494999999999999</v>
      </c>
      <c r="AN322" t="s">
        <v>223</v>
      </c>
      <c r="AO322" t="s">
        <v>92</v>
      </c>
      <c r="AP322">
        <v>200000</v>
      </c>
      <c r="AQ322" t="s">
        <v>92</v>
      </c>
      <c r="AS322">
        <v>10000</v>
      </c>
      <c r="AT322" t="s">
        <v>3056</v>
      </c>
      <c r="AU322" t="s">
        <v>78</v>
      </c>
      <c r="AV322" t="s">
        <v>79</v>
      </c>
      <c r="AY322">
        <v>0</v>
      </c>
    </row>
    <row r="323" spans="1:52" ht="12.75">
      <c r="A323" s="2" t="str">
        <f>HYPERLINK("https://ibp.a2mac1.com/costing(costing:projects/details/8191/assembly/5383661)","Garnish")</f>
        <v>Garnish</v>
      </c>
      <c r="B323">
        <v>5383661</v>
      </c>
      <c r="D323">
        <v>5383539</v>
      </c>
      <c r="F323">
        <v>1</v>
      </c>
      <c r="G323">
        <v>0</v>
      </c>
      <c r="H323">
        <v>0.88863266046819001</v>
      </c>
      <c r="I323">
        <v>0</v>
      </c>
      <c r="J323" t="s">
        <v>90</v>
      </c>
      <c r="K323">
        <v>0</v>
      </c>
      <c r="L323">
        <v>0.88863266046819001</v>
      </c>
      <c r="M323">
        <v>0</v>
      </c>
      <c r="N323">
        <v>0</v>
      </c>
      <c r="O323">
        <v>0.88863266046819001</v>
      </c>
      <c r="P323" t="s">
        <v>90</v>
      </c>
      <c r="Q323">
        <v>0</v>
      </c>
      <c r="R323" t="s">
        <v>90</v>
      </c>
      <c r="S323">
        <v>0</v>
      </c>
      <c r="T323" t="s">
        <v>90</v>
      </c>
      <c r="U323">
        <v>0</v>
      </c>
      <c r="V323" t="s">
        <v>90</v>
      </c>
      <c r="W323">
        <v>0</v>
      </c>
      <c r="X323" t="s">
        <v>90</v>
      </c>
      <c r="Y323">
        <v>0</v>
      </c>
      <c r="Z323">
        <v>0.88863266046819001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L323">
        <v>0.502</v>
      </c>
      <c r="AN323" t="s">
        <v>223</v>
      </c>
      <c r="AO323" t="s">
        <v>92</v>
      </c>
      <c r="AP323">
        <v>200000</v>
      </c>
      <c r="AQ323" t="s">
        <v>92</v>
      </c>
      <c r="AS323">
        <v>10000</v>
      </c>
      <c r="AT323" t="s">
        <v>3074</v>
      </c>
      <c r="AU323" t="s">
        <v>78</v>
      </c>
      <c r="AV323" t="s">
        <v>79</v>
      </c>
      <c r="AY323">
        <v>0</v>
      </c>
    </row>
    <row r="324" spans="1:52" ht="12.75">
      <c r="A324" s="2" t="str">
        <f>HYPERLINK("https://ibp.a2mac1.com/costing(costing:projects/details/8191/assembly/5383662)","Lower Lighting")</f>
        <v>Lower Lighting</v>
      </c>
      <c r="B324">
        <v>5383662</v>
      </c>
      <c r="D324">
        <v>5383539</v>
      </c>
      <c r="F324">
        <v>1</v>
      </c>
      <c r="G324">
        <v>0</v>
      </c>
      <c r="H324">
        <v>1.4487000000000001</v>
      </c>
      <c r="I324">
        <v>0</v>
      </c>
      <c r="J324" t="s">
        <v>90</v>
      </c>
      <c r="K324">
        <v>0</v>
      </c>
      <c r="L324">
        <v>1.4487000000000001</v>
      </c>
      <c r="M324">
        <v>0</v>
      </c>
      <c r="N324">
        <v>0</v>
      </c>
      <c r="O324">
        <v>1.4487000000000001</v>
      </c>
      <c r="P324" t="s">
        <v>90</v>
      </c>
      <c r="Q324">
        <v>0</v>
      </c>
      <c r="R324" t="s">
        <v>90</v>
      </c>
      <c r="S324">
        <v>0</v>
      </c>
      <c r="T324" t="s">
        <v>90</v>
      </c>
      <c r="U324">
        <v>0</v>
      </c>
      <c r="V324" t="s">
        <v>90</v>
      </c>
      <c r="W324">
        <v>0</v>
      </c>
      <c r="X324" t="s">
        <v>90</v>
      </c>
      <c r="Y324">
        <v>0</v>
      </c>
      <c r="Z324">
        <v>1.4487000000000001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L324">
        <v>0.014</v>
      </c>
      <c r="AN324" t="s">
        <v>223</v>
      </c>
      <c r="AO324" t="s">
        <v>92</v>
      </c>
      <c r="AP324">
        <v>200000</v>
      </c>
      <c r="AQ324" t="s">
        <v>92</v>
      </c>
      <c r="AS324">
        <v>10000</v>
      </c>
      <c r="AT324" t="s">
        <v>3078</v>
      </c>
      <c r="AU324" t="s">
        <v>78</v>
      </c>
      <c r="AV324" t="s">
        <v>79</v>
      </c>
      <c r="AY324">
        <v>0</v>
      </c>
    </row>
    <row r="325" spans="1:52" ht="12.75">
      <c r="A325" s="2" t="str">
        <f>HYPERLINK("https://ibp.a2mac1.com/costing(costing:projects/details/8191/assembly/5383539)","Cushion")</f>
        <v>Cushion</v>
      </c>
      <c r="B325">
        <v>5383539</v>
      </c>
      <c r="D325">
        <v>5383400</v>
      </c>
      <c r="F325">
        <v>1</v>
      </c>
      <c r="G325">
        <v>0</v>
      </c>
      <c r="H325">
        <v>29.505099199870866</v>
      </c>
      <c r="I325">
        <v>0</v>
      </c>
      <c r="J325" t="s">
        <v>90</v>
      </c>
      <c r="K325">
        <v>0</v>
      </c>
      <c r="L325">
        <v>29.505099199870866</v>
      </c>
      <c r="M325">
        <v>0</v>
      </c>
      <c r="N325">
        <v>0</v>
      </c>
      <c r="O325">
        <v>29.505099199870866</v>
      </c>
      <c r="P325" t="s">
        <v>90</v>
      </c>
      <c r="Q325">
        <v>0</v>
      </c>
      <c r="R325" t="s">
        <v>90</v>
      </c>
      <c r="S325">
        <v>0</v>
      </c>
      <c r="T325" t="s">
        <v>90</v>
      </c>
      <c r="U325">
        <v>0</v>
      </c>
      <c r="V325" t="s">
        <v>90</v>
      </c>
      <c r="W325">
        <v>0</v>
      </c>
      <c r="X325" t="s">
        <v>90</v>
      </c>
      <c r="Y325">
        <v>0</v>
      </c>
      <c r="Z325">
        <v>29.505099199870866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L325">
        <v>7.5179999999999998</v>
      </c>
      <c r="AN325" t="s">
        <v>223</v>
      </c>
      <c r="AO325" t="s">
        <v>92</v>
      </c>
      <c r="AP325">
        <v>200000</v>
      </c>
      <c r="AQ325" t="s">
        <v>92</v>
      </c>
      <c r="AS325">
        <v>10000</v>
      </c>
      <c r="AT325" t="s">
        <v>3093</v>
      </c>
      <c r="AU325" t="s">
        <v>78</v>
      </c>
      <c r="AV325" t="s">
        <v>79</v>
      </c>
      <c r="AY325">
        <v>0</v>
      </c>
    </row>
    <row r="326" spans="1:52" ht="12.75">
      <c r="A326" s="2" t="str">
        <f>HYPERLINK("https://ibp.a2mac1.com/costing(costing:projects/details/8191/assembly/5383668)","Detection of Position System")</f>
        <v>Detection of Position System</v>
      </c>
      <c r="B326">
        <v>5383668</v>
      </c>
      <c r="D326">
        <v>5383540</v>
      </c>
      <c r="F326">
        <v>1</v>
      </c>
      <c r="G326">
        <v>0</v>
      </c>
      <c r="H326">
        <v>3.580403071405736</v>
      </c>
      <c r="I326">
        <v>0</v>
      </c>
      <c r="J326" t="s">
        <v>90</v>
      </c>
      <c r="K326">
        <v>0</v>
      </c>
      <c r="L326">
        <v>3.580403071405736</v>
      </c>
      <c r="M326">
        <v>0</v>
      </c>
      <c r="N326">
        <v>0</v>
      </c>
      <c r="O326">
        <v>3.580403071405736</v>
      </c>
      <c r="P326" t="s">
        <v>90</v>
      </c>
      <c r="Q326">
        <v>0</v>
      </c>
      <c r="R326" t="s">
        <v>90</v>
      </c>
      <c r="S326">
        <v>0</v>
      </c>
      <c r="T326" t="s">
        <v>90</v>
      </c>
      <c r="U326">
        <v>0</v>
      </c>
      <c r="V326" t="s">
        <v>90</v>
      </c>
      <c r="W326">
        <v>0</v>
      </c>
      <c r="X326" t="s">
        <v>90</v>
      </c>
      <c r="Y326">
        <v>0</v>
      </c>
      <c r="Z326">
        <v>3.580403071405736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L326">
        <v>0.156</v>
      </c>
      <c r="AN326" t="s">
        <v>223</v>
      </c>
      <c r="AO326" t="s">
        <v>92</v>
      </c>
      <c r="AP326">
        <v>200000</v>
      </c>
      <c r="AQ326" t="s">
        <v>92</v>
      </c>
      <c r="AS326">
        <v>10000</v>
      </c>
      <c r="AT326" t="s">
        <v>3107</v>
      </c>
      <c r="AU326" t="s">
        <v>78</v>
      </c>
      <c r="AV326" t="s">
        <v>79</v>
      </c>
      <c r="AY326">
        <v>0</v>
      </c>
    </row>
    <row r="327" spans="1:52" ht="12.75">
      <c r="A327" s="2" t="str">
        <f>HYPERLINK("https://ibp.a2mac1.com/costing(costing:projects/details/8191/assembly/5383540)","Safety")</f>
        <v>Safety</v>
      </c>
      <c r="B327">
        <v>5383540</v>
      </c>
      <c r="D327">
        <v>5383400</v>
      </c>
      <c r="F327">
        <v>1</v>
      </c>
      <c r="G327">
        <v>0</v>
      </c>
      <c r="H327">
        <v>15.812140053252788</v>
      </c>
      <c r="I327">
        <v>0</v>
      </c>
      <c r="J327" t="s">
        <v>90</v>
      </c>
      <c r="K327">
        <v>0</v>
      </c>
      <c r="L327">
        <v>15.812140053252788</v>
      </c>
      <c r="M327">
        <v>0</v>
      </c>
      <c r="N327">
        <v>0</v>
      </c>
      <c r="O327">
        <v>15.812140053252788</v>
      </c>
      <c r="P327" t="s">
        <v>90</v>
      </c>
      <c r="Q327">
        <v>0</v>
      </c>
      <c r="R327" t="s">
        <v>90</v>
      </c>
      <c r="S327">
        <v>0</v>
      </c>
      <c r="T327" t="s">
        <v>90</v>
      </c>
      <c r="U327">
        <v>0</v>
      </c>
      <c r="V327" t="s">
        <v>90</v>
      </c>
      <c r="W327">
        <v>0</v>
      </c>
      <c r="X327" t="s">
        <v>90</v>
      </c>
      <c r="Y327">
        <v>0</v>
      </c>
      <c r="Z327">
        <v>15.812140053252788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L327">
        <v>0.497</v>
      </c>
      <c r="AN327" t="s">
        <v>223</v>
      </c>
      <c r="AO327" t="s">
        <v>92</v>
      </c>
      <c r="AP327">
        <v>200000</v>
      </c>
      <c r="AQ327" t="s">
        <v>92</v>
      </c>
      <c r="AS327">
        <v>10000</v>
      </c>
      <c r="AT327" t="s">
        <v>3115</v>
      </c>
      <c r="AU327" t="s">
        <v>78</v>
      </c>
      <c r="AV327" t="s">
        <v>79</v>
      </c>
      <c r="AY327">
        <v>0</v>
      </c>
    </row>
    <row r="328" spans="1:52" ht="12.75">
      <c r="A328" s="2" t="str">
        <f>HYPERLINK("https://ibp.a2mac1.com/costing(costing:projects/details/8191/assembly/5383938)","Rails")</f>
        <v>Rails</v>
      </c>
      <c r="B328">
        <v>5383938</v>
      </c>
      <c r="D328">
        <v>5383674</v>
      </c>
      <c r="F328">
        <v>1</v>
      </c>
      <c r="G328">
        <v>0</v>
      </c>
      <c r="H328">
        <v>10.692278760886628</v>
      </c>
      <c r="I328">
        <v>0.053730044024555924</v>
      </c>
      <c r="J328" t="s">
        <v>137</v>
      </c>
      <c r="K328">
        <v>0.37422975663103203</v>
      </c>
      <c r="L328">
        <v>11.120238561542218</v>
      </c>
      <c r="M328">
        <v>0</v>
      </c>
      <c r="N328">
        <v>0</v>
      </c>
      <c r="O328">
        <v>11.120238561542218</v>
      </c>
      <c r="P328" t="s">
        <v>90</v>
      </c>
      <c r="Q328">
        <v>0</v>
      </c>
      <c r="R328" t="s">
        <v>90</v>
      </c>
      <c r="S328">
        <v>0</v>
      </c>
      <c r="T328" t="s">
        <v>90</v>
      </c>
      <c r="U328">
        <v>0</v>
      </c>
      <c r="V328" t="s">
        <v>90</v>
      </c>
      <c r="W328">
        <v>0</v>
      </c>
      <c r="X328" t="s">
        <v>90</v>
      </c>
      <c r="Y328">
        <v>0</v>
      </c>
      <c r="Z328">
        <v>11.120238561542218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L328">
        <v>3.319</v>
      </c>
      <c r="AN328" t="s">
        <v>501</v>
      </c>
      <c r="AO328" t="s">
        <v>92</v>
      </c>
      <c r="AP328">
        <v>200000</v>
      </c>
      <c r="AQ328" t="s">
        <v>92</v>
      </c>
      <c r="AS328">
        <v>10000</v>
      </c>
      <c r="AT328" t="s">
        <v>3125</v>
      </c>
      <c r="AU328" t="s">
        <v>78</v>
      </c>
      <c r="AV328" t="s">
        <v>79</v>
      </c>
      <c r="AY328">
        <v>0</v>
      </c>
    </row>
    <row r="329" spans="1:52" ht="12.75">
      <c r="A329" s="2" t="str">
        <f>HYPERLINK("https://ibp.a2mac1.com/costing(costing:projects/details/8191/assembly/5383674)","Longitudinal")</f>
        <v>Longitudinal</v>
      </c>
      <c r="B329">
        <v>5383674</v>
      </c>
      <c r="D329">
        <v>5383541</v>
      </c>
      <c r="F329">
        <v>1</v>
      </c>
      <c r="G329">
        <v>0</v>
      </c>
      <c r="H329">
        <v>15.380395363037842</v>
      </c>
      <c r="I329">
        <v>0</v>
      </c>
      <c r="J329" t="s">
        <v>90</v>
      </c>
      <c r="K329">
        <v>0</v>
      </c>
      <c r="L329">
        <v>15.380395363037842</v>
      </c>
      <c r="M329">
        <v>0</v>
      </c>
      <c r="N329">
        <v>0</v>
      </c>
      <c r="O329">
        <v>15.380395363037842</v>
      </c>
      <c r="P329" t="s">
        <v>90</v>
      </c>
      <c r="Q329">
        <v>0</v>
      </c>
      <c r="R329" t="s">
        <v>90</v>
      </c>
      <c r="S329">
        <v>0</v>
      </c>
      <c r="T329" t="s">
        <v>90</v>
      </c>
      <c r="U329">
        <v>0</v>
      </c>
      <c r="V329" t="s">
        <v>90</v>
      </c>
      <c r="W329">
        <v>0</v>
      </c>
      <c r="X329" t="s">
        <v>90</v>
      </c>
      <c r="Y329">
        <v>0</v>
      </c>
      <c r="Z329">
        <v>15.380395363037842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L329">
        <v>4.0442</v>
      </c>
      <c r="AN329" t="s">
        <v>223</v>
      </c>
      <c r="AO329" t="s">
        <v>92</v>
      </c>
      <c r="AP329">
        <v>200000</v>
      </c>
      <c r="AQ329" t="s">
        <v>92</v>
      </c>
      <c r="AS329">
        <v>10000</v>
      </c>
      <c r="AT329" t="s">
        <v>3146</v>
      </c>
      <c r="AU329" t="s">
        <v>78</v>
      </c>
      <c r="AV329" t="s">
        <v>79</v>
      </c>
      <c r="AY329">
        <v>0</v>
      </c>
    </row>
    <row r="330" spans="1:52" ht="12.75">
      <c r="A330" s="2" t="str">
        <f>HYPERLINK("https://ibp.a2mac1.com/costing(costing:projects/details/8191/assembly/5383940)","Front")</f>
        <v>Front</v>
      </c>
      <c r="B330">
        <v>5383940</v>
      </c>
      <c r="D330">
        <v>5383675</v>
      </c>
      <c r="F330">
        <v>1</v>
      </c>
      <c r="G330">
        <v>0</v>
      </c>
      <c r="H330">
        <v>7.54</v>
      </c>
      <c r="I330">
        <v>0.037889447236180908</v>
      </c>
      <c r="J330" t="s">
        <v>137</v>
      </c>
      <c r="K330">
        <v>0.26390000000000002</v>
      </c>
      <c r="L330">
        <v>7.8417894472361809</v>
      </c>
      <c r="M330">
        <v>0</v>
      </c>
      <c r="N330">
        <v>0</v>
      </c>
      <c r="O330">
        <v>7.8417894472361809</v>
      </c>
      <c r="P330" t="s">
        <v>90</v>
      </c>
      <c r="Q330">
        <v>0</v>
      </c>
      <c r="R330" t="s">
        <v>90</v>
      </c>
      <c r="S330">
        <v>0</v>
      </c>
      <c r="T330" t="s">
        <v>90</v>
      </c>
      <c r="U330">
        <v>0</v>
      </c>
      <c r="V330" t="s">
        <v>90</v>
      </c>
      <c r="W330">
        <v>0</v>
      </c>
      <c r="X330" t="s">
        <v>90</v>
      </c>
      <c r="Y330">
        <v>0</v>
      </c>
      <c r="Z330">
        <v>7.8417894472361809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L330">
        <v>0.59299999999999997</v>
      </c>
      <c r="AN330" t="s">
        <v>501</v>
      </c>
      <c r="AO330" t="s">
        <v>92</v>
      </c>
      <c r="AP330">
        <v>200000</v>
      </c>
      <c r="AQ330" t="s">
        <v>92</v>
      </c>
      <c r="AS330">
        <v>10000</v>
      </c>
      <c r="AT330" t="s">
        <v>3151</v>
      </c>
      <c r="AU330" t="s">
        <v>78</v>
      </c>
      <c r="AV330" t="s">
        <v>79</v>
      </c>
      <c r="AY330">
        <v>0</v>
      </c>
    </row>
    <row r="331" spans="1:52" ht="12.75">
      <c r="A331" s="2" t="str">
        <f>HYPERLINK("https://ibp.a2mac1.com/costing(costing:projects/details/8191/assembly/5383941)","Rear")</f>
        <v>Rear</v>
      </c>
      <c r="B331">
        <v>5383941</v>
      </c>
      <c r="D331">
        <v>5383675</v>
      </c>
      <c r="F331">
        <v>1</v>
      </c>
      <c r="G331">
        <v>0</v>
      </c>
      <c r="H331">
        <v>8.5656670751877133</v>
      </c>
      <c r="I331">
        <v>0.043043553141646797</v>
      </c>
      <c r="J331" t="s">
        <v>137</v>
      </c>
      <c r="K331">
        <v>0.29979834763156993</v>
      </c>
      <c r="L331">
        <v>8.9085089759609293</v>
      </c>
      <c r="M331">
        <v>0</v>
      </c>
      <c r="N331">
        <v>0</v>
      </c>
      <c r="O331">
        <v>8.9085089759609293</v>
      </c>
      <c r="P331" t="s">
        <v>90</v>
      </c>
      <c r="Q331">
        <v>0</v>
      </c>
      <c r="R331" t="s">
        <v>90</v>
      </c>
      <c r="S331">
        <v>0</v>
      </c>
      <c r="T331" t="s">
        <v>90</v>
      </c>
      <c r="U331">
        <v>0</v>
      </c>
      <c r="V331" t="s">
        <v>90</v>
      </c>
      <c r="W331">
        <v>0</v>
      </c>
      <c r="X331" t="s">
        <v>90</v>
      </c>
      <c r="Y331">
        <v>0</v>
      </c>
      <c r="Z331">
        <v>8.9085089759609293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L331">
        <v>0.82599999999999996</v>
      </c>
      <c r="AN331" t="s">
        <v>501</v>
      </c>
      <c r="AO331" t="s">
        <v>92</v>
      </c>
      <c r="AP331">
        <v>200000</v>
      </c>
      <c r="AQ331" t="s">
        <v>92</v>
      </c>
      <c r="AS331">
        <v>10000</v>
      </c>
      <c r="AT331" t="s">
        <v>3160</v>
      </c>
      <c r="AU331" t="s">
        <v>78</v>
      </c>
      <c r="AV331" t="s">
        <v>79</v>
      </c>
      <c r="AY331">
        <v>0</v>
      </c>
    </row>
    <row r="332" spans="1:52" ht="12.75">
      <c r="A332" s="2" t="str">
        <f>HYPERLINK("https://ibp.a2mac1.com/costing(costing:projects/details/8191/assembly/5383675)","Height")</f>
        <v>Height</v>
      </c>
      <c r="B332">
        <v>5383675</v>
      </c>
      <c r="D332">
        <v>5383541</v>
      </c>
      <c r="F332">
        <v>1</v>
      </c>
      <c r="G332">
        <v>0</v>
      </c>
      <c r="H332">
        <v>17.270298423197112</v>
      </c>
      <c r="I332">
        <v>0</v>
      </c>
      <c r="J332" t="s">
        <v>90</v>
      </c>
      <c r="K332">
        <v>0</v>
      </c>
      <c r="L332">
        <v>17.270298423197112</v>
      </c>
      <c r="M332">
        <v>0</v>
      </c>
      <c r="N332">
        <v>0</v>
      </c>
      <c r="O332">
        <v>17.270298423197112</v>
      </c>
      <c r="P332" t="s">
        <v>90</v>
      </c>
      <c r="Q332">
        <v>0</v>
      </c>
      <c r="R332" t="s">
        <v>90</v>
      </c>
      <c r="S332">
        <v>0</v>
      </c>
      <c r="T332" t="s">
        <v>90</v>
      </c>
      <c r="U332">
        <v>0</v>
      </c>
      <c r="V332" t="s">
        <v>90</v>
      </c>
      <c r="W332">
        <v>0</v>
      </c>
      <c r="X332" t="s">
        <v>90</v>
      </c>
      <c r="Y332">
        <v>0</v>
      </c>
      <c r="Z332">
        <v>17.270298423197112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L332">
        <v>1.605</v>
      </c>
      <c r="AN332" t="s">
        <v>223</v>
      </c>
      <c r="AO332" t="s">
        <v>92</v>
      </c>
      <c r="AP332">
        <v>200000</v>
      </c>
      <c r="AQ332" t="s">
        <v>92</v>
      </c>
      <c r="AS332">
        <v>10000</v>
      </c>
      <c r="AT332" t="s">
        <v>3162</v>
      </c>
      <c r="AU332" t="s">
        <v>78</v>
      </c>
      <c r="AV332" t="s">
        <v>79</v>
      </c>
      <c r="AY332">
        <v>0</v>
      </c>
    </row>
    <row r="333" spans="1:52" ht="12.75">
      <c r="A333" s="2" t="str">
        <f>HYPERLINK("https://ibp.a2mac1.com/costing(costing:projects/details/8191/assembly/5383943)","Mechanism")</f>
        <v>Mechanism</v>
      </c>
      <c r="B333">
        <v>5383943</v>
      </c>
      <c r="D333">
        <v>5383676</v>
      </c>
      <c r="F333">
        <v>1</v>
      </c>
      <c r="G333">
        <v>0</v>
      </c>
      <c r="H333">
        <v>0.50</v>
      </c>
      <c r="I333">
        <v>0</v>
      </c>
      <c r="J333" t="s">
        <v>90</v>
      </c>
      <c r="K333">
        <v>0</v>
      </c>
      <c r="L333">
        <v>0.50</v>
      </c>
      <c r="M333">
        <v>0</v>
      </c>
      <c r="N333">
        <v>0</v>
      </c>
      <c r="O333">
        <v>0.50</v>
      </c>
      <c r="P333" t="s">
        <v>90</v>
      </c>
      <c r="Q333">
        <v>0</v>
      </c>
      <c r="R333" t="s">
        <v>90</v>
      </c>
      <c r="S333">
        <v>0</v>
      </c>
      <c r="T333" t="s">
        <v>90</v>
      </c>
      <c r="U333">
        <v>0</v>
      </c>
      <c r="V333" t="s">
        <v>90</v>
      </c>
      <c r="W333">
        <v>0</v>
      </c>
      <c r="X333" t="s">
        <v>90</v>
      </c>
      <c r="Y333">
        <v>0</v>
      </c>
      <c r="Z333">
        <v>0.50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L333">
        <v>0.113</v>
      </c>
      <c r="AN333" t="s">
        <v>223</v>
      </c>
      <c r="AO333" t="s">
        <v>92</v>
      </c>
      <c r="AP333">
        <v>200000</v>
      </c>
      <c r="AQ333" t="s">
        <v>92</v>
      </c>
      <c r="AS333">
        <v>10000</v>
      </c>
      <c r="AT333" t="s">
        <v>3166</v>
      </c>
      <c r="AU333" t="s">
        <v>78</v>
      </c>
      <c r="AV333" t="s">
        <v>79</v>
      </c>
      <c r="AY333">
        <v>0</v>
      </c>
    </row>
    <row r="334" spans="1:52" ht="12.75">
      <c r="A334" s="2" t="str">
        <f>HYPERLINK("https://ibp.a2mac1.com/costing(costing:projects/details/8191/assembly/5383676)","Recliner")</f>
        <v>Recliner</v>
      </c>
      <c r="B334">
        <v>5383676</v>
      </c>
      <c r="D334">
        <v>5383541</v>
      </c>
      <c r="F334">
        <v>1</v>
      </c>
      <c r="G334">
        <v>0</v>
      </c>
      <c r="H334">
        <v>6.52</v>
      </c>
      <c r="I334">
        <v>0</v>
      </c>
      <c r="J334" t="s">
        <v>90</v>
      </c>
      <c r="K334">
        <v>0</v>
      </c>
      <c r="L334">
        <v>6.52</v>
      </c>
      <c r="M334">
        <v>0</v>
      </c>
      <c r="N334">
        <v>0</v>
      </c>
      <c r="O334">
        <v>6.52</v>
      </c>
      <c r="P334" t="s">
        <v>90</v>
      </c>
      <c r="Q334">
        <v>0</v>
      </c>
      <c r="R334" t="s">
        <v>90</v>
      </c>
      <c r="S334">
        <v>0</v>
      </c>
      <c r="T334" t="s">
        <v>90</v>
      </c>
      <c r="U334">
        <v>0</v>
      </c>
      <c r="V334" t="s">
        <v>90</v>
      </c>
      <c r="W334">
        <v>0</v>
      </c>
      <c r="X334" t="s">
        <v>90</v>
      </c>
      <c r="Y334">
        <v>0</v>
      </c>
      <c r="Z334">
        <v>6.52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L334">
        <v>0.51800000000000002</v>
      </c>
      <c r="AN334" t="s">
        <v>223</v>
      </c>
      <c r="AO334" t="s">
        <v>92</v>
      </c>
      <c r="AP334">
        <v>200000</v>
      </c>
      <c r="AQ334" t="s">
        <v>92</v>
      </c>
      <c r="AS334">
        <v>10000</v>
      </c>
      <c r="AT334" t="s">
        <v>3169</v>
      </c>
      <c r="AU334" t="s">
        <v>78</v>
      </c>
      <c r="AV334" t="s">
        <v>79</v>
      </c>
      <c r="AY334">
        <v>0</v>
      </c>
    </row>
    <row r="335" spans="1:52" ht="12.75">
      <c r="A335" s="2" t="str">
        <f>HYPERLINK("https://ibp.a2mac1.com/costing(costing:projects/details/8191/assembly/5383947)","Mechanism")</f>
        <v>Mechanism</v>
      </c>
      <c r="B335">
        <v>5383947</v>
      </c>
      <c r="D335">
        <v>5383677</v>
      </c>
      <c r="F335">
        <v>1</v>
      </c>
      <c r="G335">
        <v>0</v>
      </c>
      <c r="H335">
        <v>1.3983671557692741</v>
      </c>
      <c r="I335">
        <v>0</v>
      </c>
      <c r="J335" t="s">
        <v>90</v>
      </c>
      <c r="K335">
        <v>0</v>
      </c>
      <c r="L335">
        <v>1.3983671557692741</v>
      </c>
      <c r="M335">
        <v>0</v>
      </c>
      <c r="N335">
        <v>0</v>
      </c>
      <c r="O335">
        <v>1.3983671557692741</v>
      </c>
      <c r="P335" t="s">
        <v>90</v>
      </c>
      <c r="Q335">
        <v>0</v>
      </c>
      <c r="R335" t="s">
        <v>90</v>
      </c>
      <c r="S335">
        <v>0</v>
      </c>
      <c r="T335" t="s">
        <v>90</v>
      </c>
      <c r="U335">
        <v>0</v>
      </c>
      <c r="V335" t="s">
        <v>90</v>
      </c>
      <c r="W335">
        <v>0</v>
      </c>
      <c r="X335" t="s">
        <v>90</v>
      </c>
      <c r="Y335">
        <v>0</v>
      </c>
      <c r="Z335">
        <v>1.3983671557692741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L335">
        <v>0.55600000000000005</v>
      </c>
      <c r="AN335" t="s">
        <v>223</v>
      </c>
      <c r="AO335" t="s">
        <v>92</v>
      </c>
      <c r="AP335">
        <v>200000</v>
      </c>
      <c r="AQ335" t="s">
        <v>92</v>
      </c>
      <c r="AS335">
        <v>10000</v>
      </c>
      <c r="AT335" t="s">
        <v>3178</v>
      </c>
      <c r="AU335" t="s">
        <v>78</v>
      </c>
      <c r="AV335" t="s">
        <v>79</v>
      </c>
      <c r="AY335">
        <v>0</v>
      </c>
    </row>
    <row r="336" spans="1:52" ht="12.75">
      <c r="A336" s="2" t="str">
        <f>HYPERLINK("https://ibp.a2mac1.com/costing(costing:projects/details/8191/assembly/5383677)","Lumbar")</f>
        <v>Lumbar</v>
      </c>
      <c r="B336">
        <v>5383677</v>
      </c>
      <c r="D336">
        <v>5383541</v>
      </c>
      <c r="F336">
        <v>1</v>
      </c>
      <c r="G336">
        <v>0</v>
      </c>
      <c r="H336">
        <v>14.284313651573727</v>
      </c>
      <c r="I336">
        <v>0</v>
      </c>
      <c r="J336" t="s">
        <v>90</v>
      </c>
      <c r="K336">
        <v>0</v>
      </c>
      <c r="L336">
        <v>14.284313651573727</v>
      </c>
      <c r="M336">
        <v>0</v>
      </c>
      <c r="N336">
        <v>0</v>
      </c>
      <c r="O336">
        <v>14.284313651573727</v>
      </c>
      <c r="P336" t="s">
        <v>90</v>
      </c>
      <c r="Q336">
        <v>0</v>
      </c>
      <c r="R336" t="s">
        <v>90</v>
      </c>
      <c r="S336">
        <v>0</v>
      </c>
      <c r="T336" t="s">
        <v>90</v>
      </c>
      <c r="U336">
        <v>0</v>
      </c>
      <c r="V336" t="s">
        <v>90</v>
      </c>
      <c r="W336">
        <v>0</v>
      </c>
      <c r="X336" t="s">
        <v>90</v>
      </c>
      <c r="Y336">
        <v>0</v>
      </c>
      <c r="Z336">
        <v>14.284313651573727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L336">
        <v>0.89100000000000001</v>
      </c>
      <c r="AN336" t="s">
        <v>223</v>
      </c>
      <c r="AO336" t="s">
        <v>92</v>
      </c>
      <c r="AP336">
        <v>200000</v>
      </c>
      <c r="AQ336" t="s">
        <v>92</v>
      </c>
      <c r="AS336">
        <v>10000</v>
      </c>
      <c r="AT336" t="s">
        <v>3186</v>
      </c>
      <c r="AU336" t="s">
        <v>78</v>
      </c>
      <c r="AV336" t="s">
        <v>79</v>
      </c>
      <c r="AY336">
        <v>0</v>
      </c>
    </row>
    <row r="337" spans="1:52" ht="12.75">
      <c r="A337" s="2" t="str">
        <f>HYPERLINK("https://ibp.a2mac1.com/costing(costing:projects/details/8191/assembly/5383541)","Power Adjusters")</f>
        <v>Power Adjusters</v>
      </c>
      <c r="B337">
        <v>5383541</v>
      </c>
      <c r="D337">
        <v>5383400</v>
      </c>
      <c r="F337">
        <v>1</v>
      </c>
      <c r="G337">
        <v>0</v>
      </c>
      <c r="H337">
        <v>84.107632291373605</v>
      </c>
      <c r="I337">
        <v>0</v>
      </c>
      <c r="J337" t="s">
        <v>90</v>
      </c>
      <c r="K337">
        <v>0</v>
      </c>
      <c r="L337">
        <v>84.107632291373605</v>
      </c>
      <c r="M337">
        <v>0</v>
      </c>
      <c r="N337">
        <v>0</v>
      </c>
      <c r="O337">
        <v>84.107632291373605</v>
      </c>
      <c r="P337" t="s">
        <v>90</v>
      </c>
      <c r="Q337">
        <v>0</v>
      </c>
      <c r="R337" t="s">
        <v>90</v>
      </c>
      <c r="S337">
        <v>0</v>
      </c>
      <c r="T337" t="s">
        <v>90</v>
      </c>
      <c r="U337">
        <v>0</v>
      </c>
      <c r="V337" t="s">
        <v>90</v>
      </c>
      <c r="W337">
        <v>0</v>
      </c>
      <c r="X337" t="s">
        <v>90</v>
      </c>
      <c r="Y337">
        <v>0</v>
      </c>
      <c r="Z337">
        <v>84.107632291373605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L337">
        <v>7.4661</v>
      </c>
      <c r="AN337" t="s">
        <v>223</v>
      </c>
      <c r="AO337" t="s">
        <v>92</v>
      </c>
      <c r="AP337">
        <v>200000</v>
      </c>
      <c r="AQ337" t="s">
        <v>92</v>
      </c>
      <c r="AS337">
        <v>10000</v>
      </c>
      <c r="AT337" t="s">
        <v>3199</v>
      </c>
      <c r="AU337" t="s">
        <v>78</v>
      </c>
      <c r="AV337" t="s">
        <v>79</v>
      </c>
      <c r="AY337">
        <v>0</v>
      </c>
    </row>
    <row r="338" spans="1:52" ht="12.75">
      <c r="A338" s="2" t="str">
        <f>HYPERLINK("https://ibp.a2mac1.com/costing(costing:projects/details/8191/assembly/5383542)","Support System")</f>
        <v>Support System</v>
      </c>
      <c r="B338">
        <v>5383542</v>
      </c>
      <c r="D338">
        <v>5383400</v>
      </c>
      <c r="F338">
        <v>1</v>
      </c>
      <c r="G338">
        <v>0</v>
      </c>
      <c r="H338">
        <v>0.030387120499327184</v>
      </c>
      <c r="I338">
        <v>0</v>
      </c>
      <c r="J338" t="s">
        <v>90</v>
      </c>
      <c r="K338">
        <v>0</v>
      </c>
      <c r="L338">
        <v>0.030387120499327184</v>
      </c>
      <c r="M338">
        <v>0</v>
      </c>
      <c r="N338">
        <v>0</v>
      </c>
      <c r="O338">
        <v>0.030387120499327184</v>
      </c>
      <c r="P338" t="s">
        <v>90</v>
      </c>
      <c r="Q338">
        <v>0</v>
      </c>
      <c r="R338" t="s">
        <v>90</v>
      </c>
      <c r="S338">
        <v>0</v>
      </c>
      <c r="T338" t="s">
        <v>90</v>
      </c>
      <c r="U338">
        <v>0</v>
      </c>
      <c r="V338" t="s">
        <v>90</v>
      </c>
      <c r="W338">
        <v>0</v>
      </c>
      <c r="X338" t="s">
        <v>90</v>
      </c>
      <c r="Y338">
        <v>0</v>
      </c>
      <c r="Z338">
        <v>0.030387120499327184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L338">
        <v>0.01</v>
      </c>
      <c r="AN338" t="s">
        <v>223</v>
      </c>
      <c r="AO338" t="s">
        <v>92</v>
      </c>
      <c r="AP338">
        <v>200000</v>
      </c>
      <c r="AQ338" t="s">
        <v>92</v>
      </c>
      <c r="AS338">
        <v>10000</v>
      </c>
      <c r="AT338" t="s">
        <v>3207</v>
      </c>
      <c r="AU338" t="s">
        <v>78</v>
      </c>
      <c r="AV338" t="s">
        <v>79</v>
      </c>
      <c r="AY338">
        <v>0</v>
      </c>
    </row>
    <row r="339" spans="1:52" ht="12.75">
      <c r="A339" s="2" t="str">
        <f>HYPERLINK("https://ibp.a2mac1.com/costing(costing:projects/details/8191/assembly/5383543)","Head Rest")</f>
        <v>Head Rest</v>
      </c>
      <c r="B339">
        <v>5383543</v>
      </c>
      <c r="D339">
        <v>5383400</v>
      </c>
      <c r="F339">
        <v>1</v>
      </c>
      <c r="G339">
        <v>0</v>
      </c>
      <c r="H339">
        <v>6.9652977905283731</v>
      </c>
      <c r="I339">
        <v>0</v>
      </c>
      <c r="J339" t="s">
        <v>90</v>
      </c>
      <c r="K339">
        <v>0</v>
      </c>
      <c r="L339">
        <v>6.9652977905283731</v>
      </c>
      <c r="M339">
        <v>0</v>
      </c>
      <c r="N339">
        <v>0</v>
      </c>
      <c r="O339">
        <v>6.9652977905283731</v>
      </c>
      <c r="P339" t="s">
        <v>90</v>
      </c>
      <c r="Q339">
        <v>0</v>
      </c>
      <c r="R339" t="s">
        <v>90</v>
      </c>
      <c r="S339">
        <v>0</v>
      </c>
      <c r="T339" t="s">
        <v>90</v>
      </c>
      <c r="U339">
        <v>0</v>
      </c>
      <c r="V339" t="s">
        <v>90</v>
      </c>
      <c r="W339">
        <v>0</v>
      </c>
      <c r="X339" t="s">
        <v>90</v>
      </c>
      <c r="Y339">
        <v>0</v>
      </c>
      <c r="Z339">
        <v>6.9652977905283731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L339">
        <v>0.98799999999999999</v>
      </c>
      <c r="AN339" t="s">
        <v>223</v>
      </c>
      <c r="AO339" t="s">
        <v>92</v>
      </c>
      <c r="AP339">
        <v>200000</v>
      </c>
      <c r="AQ339" t="s">
        <v>92</v>
      </c>
      <c r="AS339">
        <v>10000</v>
      </c>
      <c r="AT339" t="s">
        <v>3217</v>
      </c>
      <c r="AU339" t="s">
        <v>78</v>
      </c>
      <c r="AV339" t="s">
        <v>79</v>
      </c>
      <c r="AY339">
        <v>0</v>
      </c>
    </row>
    <row r="340" spans="1:52" ht="12.75">
      <c r="A340" s="2" t="str">
        <f>HYPERLINK("https://ibp.a2mac1.com/costing(costing:projects/details/8191/assembly/5383544)","Heating System")</f>
        <v>Heating System</v>
      </c>
      <c r="B340">
        <v>5383544</v>
      </c>
      <c r="D340">
        <v>5383400</v>
      </c>
      <c r="F340">
        <v>1</v>
      </c>
      <c r="G340">
        <v>0</v>
      </c>
      <c r="H340">
        <v>10</v>
      </c>
      <c r="I340">
        <v>0</v>
      </c>
      <c r="J340" t="s">
        <v>90</v>
      </c>
      <c r="K340">
        <v>0</v>
      </c>
      <c r="L340">
        <v>10</v>
      </c>
      <c r="M340">
        <v>0</v>
      </c>
      <c r="N340">
        <v>0</v>
      </c>
      <c r="O340">
        <v>10</v>
      </c>
      <c r="P340" t="s">
        <v>90</v>
      </c>
      <c r="Q340">
        <v>0</v>
      </c>
      <c r="R340" t="s">
        <v>90</v>
      </c>
      <c r="S340">
        <v>0</v>
      </c>
      <c r="T340" t="s">
        <v>90</v>
      </c>
      <c r="U340">
        <v>0</v>
      </c>
      <c r="V340" t="s">
        <v>90</v>
      </c>
      <c r="W340">
        <v>0</v>
      </c>
      <c r="X340" t="s">
        <v>90</v>
      </c>
      <c r="Y340">
        <v>0</v>
      </c>
      <c r="Z340">
        <v>10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L340">
        <v>0.098000000000000004</v>
      </c>
      <c r="AN340" t="s">
        <v>223</v>
      </c>
      <c r="AO340" t="s">
        <v>92</v>
      </c>
      <c r="AP340">
        <v>200000</v>
      </c>
      <c r="AQ340" t="s">
        <v>92</v>
      </c>
      <c r="AS340">
        <v>10000</v>
      </c>
      <c r="AT340" t="s">
        <v>3221</v>
      </c>
      <c r="AU340" t="s">
        <v>78</v>
      </c>
      <c r="AV340" t="s">
        <v>79</v>
      </c>
      <c r="AY340">
        <v>0</v>
      </c>
    </row>
    <row r="341" spans="1:52" ht="12.75">
      <c r="A341" s="2" t="str">
        <f>HYPERLINK("https://ibp.a2mac1.com/costing(costing:projects/details/8191/assembly/5383400)","Passenger")</f>
        <v>Passenger</v>
      </c>
      <c r="B341">
        <v>5383400</v>
      </c>
      <c r="D341">
        <v>5383339</v>
      </c>
      <c r="F341">
        <v>1</v>
      </c>
      <c r="G341">
        <v>0</v>
      </c>
      <c r="H341">
        <v>203.61169552951597</v>
      </c>
      <c r="I341">
        <v>1.0231743493945527</v>
      </c>
      <c r="J341" t="s">
        <v>137</v>
      </c>
      <c r="K341">
        <v>7.1264093435330595</v>
      </c>
      <c r="L341">
        <v>211.76127922244359</v>
      </c>
      <c r="M341">
        <v>0</v>
      </c>
      <c r="N341">
        <v>8.2726929510798826</v>
      </c>
      <c r="O341">
        <v>220.03397217352347</v>
      </c>
      <c r="P341" t="s">
        <v>138</v>
      </c>
      <c r="Q341">
        <v>12.705676753346616</v>
      </c>
      <c r="R341" t="s">
        <v>138</v>
      </c>
      <c r="S341">
        <v>0.496361577064793</v>
      </c>
      <c r="T341" t="s">
        <v>139</v>
      </c>
      <c r="U341">
        <v>26.404076660822817</v>
      </c>
      <c r="V341" t="s">
        <v>90</v>
      </c>
      <c r="W341">
        <v>0</v>
      </c>
      <c r="X341" t="s">
        <v>90</v>
      </c>
      <c r="Y341">
        <v>0</v>
      </c>
      <c r="Z341">
        <v>259.64008716475769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840</v>
      </c>
      <c r="AI341">
        <v>625</v>
      </c>
      <c r="AJ341">
        <v>935</v>
      </c>
      <c r="AL341">
        <v>24.616399999999999</v>
      </c>
      <c r="AN341" t="s">
        <v>661</v>
      </c>
      <c r="AO341" t="s">
        <v>92</v>
      </c>
      <c r="AP341">
        <v>200000</v>
      </c>
      <c r="AQ341" t="s">
        <v>76</v>
      </c>
      <c r="AS341">
        <v>10000</v>
      </c>
      <c r="AT341" t="s">
        <v>3227</v>
      </c>
      <c r="AU341" t="s">
        <v>78</v>
      </c>
      <c r="AV341" t="s">
        <v>79</v>
      </c>
      <c r="AY341">
        <v>0</v>
      </c>
    </row>
    <row r="342" spans="1:52" ht="12.75">
      <c r="A342" s="2" t="str">
        <f>HYPERLINK("https://ibp.a2mac1.com/costing(costing:projects/details/8191/assembly/5383686)","Head Rest")</f>
        <v>Head Rest</v>
      </c>
      <c r="B342">
        <v>5383686</v>
      </c>
      <c r="D342">
        <v>5383546</v>
      </c>
      <c r="F342">
        <v>1</v>
      </c>
      <c r="G342">
        <v>0</v>
      </c>
      <c r="H342">
        <v>4.6039376231102453</v>
      </c>
      <c r="I342">
        <v>0</v>
      </c>
      <c r="J342" t="s">
        <v>90</v>
      </c>
      <c r="K342">
        <v>0</v>
      </c>
      <c r="L342">
        <v>4.6039376231102453</v>
      </c>
      <c r="M342">
        <v>0</v>
      </c>
      <c r="N342">
        <v>0</v>
      </c>
      <c r="O342">
        <v>4.6039376231102453</v>
      </c>
      <c r="P342" t="s">
        <v>90</v>
      </c>
      <c r="Q342">
        <v>0</v>
      </c>
      <c r="R342" t="s">
        <v>90</v>
      </c>
      <c r="S342">
        <v>0</v>
      </c>
      <c r="T342" t="s">
        <v>90</v>
      </c>
      <c r="U342">
        <v>0</v>
      </c>
      <c r="V342" t="s">
        <v>90</v>
      </c>
      <c r="W342">
        <v>0</v>
      </c>
      <c r="X342" t="s">
        <v>90</v>
      </c>
      <c r="Y342">
        <v>0</v>
      </c>
      <c r="Z342">
        <v>4.6039376231102453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L342">
        <v>0.60199999999999998</v>
      </c>
      <c r="AN342" t="s">
        <v>223</v>
      </c>
      <c r="AO342" t="s">
        <v>92</v>
      </c>
      <c r="AP342">
        <v>200000</v>
      </c>
      <c r="AQ342" t="s">
        <v>92</v>
      </c>
      <c r="AS342">
        <v>10000</v>
      </c>
      <c r="AT342" t="s">
        <v>3251</v>
      </c>
      <c r="AU342" t="s">
        <v>78</v>
      </c>
      <c r="AV342" t="s">
        <v>79</v>
      </c>
      <c r="AY342">
        <v>0</v>
      </c>
    </row>
    <row r="343" spans="1:52" ht="12.75">
      <c r="A343" s="2" t="str">
        <f>HYPERLINK("https://ibp.a2mac1.com/costing(costing:projects/details/8191/assembly/5383956)","Head Rest Support")</f>
        <v>Head Rest Support</v>
      </c>
      <c r="B343">
        <v>5383956</v>
      </c>
      <c r="D343">
        <v>5383687</v>
      </c>
      <c r="F343">
        <v>1</v>
      </c>
      <c r="G343">
        <v>0</v>
      </c>
      <c r="H343">
        <v>0.25063550079154023</v>
      </c>
      <c r="I343">
        <v>0.0012594748783494485</v>
      </c>
      <c r="J343" t="s">
        <v>137</v>
      </c>
      <c r="K343">
        <v>0.0087722425277039096</v>
      </c>
      <c r="L343">
        <v>0.26066721819759359</v>
      </c>
      <c r="M343">
        <v>0</v>
      </c>
      <c r="N343">
        <v>0</v>
      </c>
      <c r="O343">
        <v>0.26066721819759359</v>
      </c>
      <c r="P343" t="s">
        <v>90</v>
      </c>
      <c r="Q343">
        <v>0</v>
      </c>
      <c r="R343" t="s">
        <v>90</v>
      </c>
      <c r="S343">
        <v>0</v>
      </c>
      <c r="T343" t="s">
        <v>90</v>
      </c>
      <c r="U343">
        <v>0</v>
      </c>
      <c r="V343" t="s">
        <v>90</v>
      </c>
      <c r="W343">
        <v>0</v>
      </c>
      <c r="X343" t="s">
        <v>90</v>
      </c>
      <c r="Y343">
        <v>0</v>
      </c>
      <c r="Z343">
        <v>0.26066721819759359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L343">
        <v>0.056000000000000001</v>
      </c>
      <c r="AN343" t="s">
        <v>501</v>
      </c>
      <c r="AO343" t="s">
        <v>92</v>
      </c>
      <c r="AP343">
        <v>200000</v>
      </c>
      <c r="AQ343" t="s">
        <v>92</v>
      </c>
      <c r="AS343">
        <v>10000</v>
      </c>
      <c r="AT343" t="s">
        <v>3263</v>
      </c>
      <c r="AU343" t="s">
        <v>78</v>
      </c>
      <c r="AV343" t="s">
        <v>79</v>
      </c>
      <c r="AY343">
        <v>0</v>
      </c>
    </row>
    <row r="344" spans="1:52" ht="12.75">
      <c r="A344" s="2" t="str">
        <f>HYPERLINK("https://ibp.a2mac1.com/costing(costing:projects/details/8191/assembly/5383957)","Locking System")</f>
        <v>Locking System</v>
      </c>
      <c r="B344">
        <v>5383957</v>
      </c>
      <c r="D344">
        <v>5383687</v>
      </c>
      <c r="F344">
        <v>1</v>
      </c>
      <c r="G344">
        <v>0</v>
      </c>
      <c r="H344">
        <v>2.3392448530918282</v>
      </c>
      <c r="I344">
        <v>0</v>
      </c>
      <c r="J344" t="s">
        <v>90</v>
      </c>
      <c r="K344">
        <v>0</v>
      </c>
      <c r="L344">
        <v>2.3392448530918282</v>
      </c>
      <c r="M344">
        <v>0</v>
      </c>
      <c r="N344">
        <v>0</v>
      </c>
      <c r="O344">
        <v>2.3392448530918282</v>
      </c>
      <c r="P344" t="s">
        <v>90</v>
      </c>
      <c r="Q344">
        <v>0</v>
      </c>
      <c r="R344" t="s">
        <v>90</v>
      </c>
      <c r="S344">
        <v>0</v>
      </c>
      <c r="T344" t="s">
        <v>90</v>
      </c>
      <c r="U344">
        <v>0</v>
      </c>
      <c r="V344" t="s">
        <v>90</v>
      </c>
      <c r="W344">
        <v>0</v>
      </c>
      <c r="X344" t="s">
        <v>90</v>
      </c>
      <c r="Y344">
        <v>0</v>
      </c>
      <c r="Z344">
        <v>2.3392448530918282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L344">
        <v>0.39200000000000002</v>
      </c>
      <c r="AN344" t="s">
        <v>223</v>
      </c>
      <c r="AO344" t="s">
        <v>92</v>
      </c>
      <c r="AP344">
        <v>200000</v>
      </c>
      <c r="AQ344" t="s">
        <v>92</v>
      </c>
      <c r="AS344">
        <v>10000</v>
      </c>
      <c r="AT344" t="s">
        <v>3272</v>
      </c>
      <c r="AU344" t="s">
        <v>78</v>
      </c>
      <c r="AV344" t="s">
        <v>79</v>
      </c>
      <c r="AY344">
        <v>0</v>
      </c>
    </row>
    <row r="345" spans="1:52" ht="12.75">
      <c r="A345" s="2" t="str">
        <f>HYPERLINK("https://ibp.a2mac1.com/costing(costing:projects/details/8191/assembly/5383687)","Back")</f>
        <v>Back</v>
      </c>
      <c r="B345">
        <v>5383687</v>
      </c>
      <c r="D345">
        <v>5383546</v>
      </c>
      <c r="F345">
        <v>1</v>
      </c>
      <c r="G345">
        <v>0</v>
      </c>
      <c r="H345">
        <v>25.631111503171034</v>
      </c>
      <c r="I345">
        <v>0</v>
      </c>
      <c r="J345" t="s">
        <v>90</v>
      </c>
      <c r="K345">
        <v>0</v>
      </c>
      <c r="L345">
        <v>25.631111503171034</v>
      </c>
      <c r="M345">
        <v>0</v>
      </c>
      <c r="N345">
        <v>0</v>
      </c>
      <c r="O345">
        <v>25.631111503171034</v>
      </c>
      <c r="P345" t="s">
        <v>90</v>
      </c>
      <c r="Q345">
        <v>0</v>
      </c>
      <c r="R345" t="s">
        <v>90</v>
      </c>
      <c r="S345">
        <v>0</v>
      </c>
      <c r="T345" t="s">
        <v>90</v>
      </c>
      <c r="U345">
        <v>0</v>
      </c>
      <c r="V345" t="s">
        <v>90</v>
      </c>
      <c r="W345">
        <v>0</v>
      </c>
      <c r="X345" t="s">
        <v>90</v>
      </c>
      <c r="Y345">
        <v>0</v>
      </c>
      <c r="Z345">
        <v>25.631111503171034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L345">
        <v>5.6239999999999997</v>
      </c>
      <c r="AN345" t="s">
        <v>223</v>
      </c>
      <c r="AO345" t="s">
        <v>92</v>
      </c>
      <c r="AP345">
        <v>200000</v>
      </c>
      <c r="AQ345" t="s">
        <v>92</v>
      </c>
      <c r="AS345">
        <v>10000</v>
      </c>
      <c r="AT345" t="s">
        <v>3298</v>
      </c>
      <c r="AU345" t="s">
        <v>78</v>
      </c>
      <c r="AV345" t="s">
        <v>79</v>
      </c>
      <c r="AY345">
        <v>0</v>
      </c>
    </row>
    <row r="346" spans="1:52" ht="12.75">
      <c r="A346" s="2" t="str">
        <f>HYPERLINK("https://ibp.a2mac1.com/costing(costing:projects/details/8191/assembly/5383546)","Seat 1-3")</f>
        <v>Seat 1-3</v>
      </c>
      <c r="B346">
        <v>5383546</v>
      </c>
      <c r="D346">
        <v>5383401</v>
      </c>
      <c r="F346">
        <v>1</v>
      </c>
      <c r="G346">
        <v>0</v>
      </c>
      <c r="H346">
        <v>30.235049126281279</v>
      </c>
      <c r="I346">
        <v>0</v>
      </c>
      <c r="J346" t="s">
        <v>90</v>
      </c>
      <c r="K346">
        <v>0</v>
      </c>
      <c r="L346">
        <v>30.235049126281279</v>
      </c>
      <c r="M346">
        <v>0</v>
      </c>
      <c r="N346">
        <v>0</v>
      </c>
      <c r="O346">
        <v>30.235049126281279</v>
      </c>
      <c r="P346" t="s">
        <v>90</v>
      </c>
      <c r="Q346">
        <v>0</v>
      </c>
      <c r="R346" t="s">
        <v>90</v>
      </c>
      <c r="S346">
        <v>0</v>
      </c>
      <c r="T346" t="s">
        <v>90</v>
      </c>
      <c r="U346">
        <v>0</v>
      </c>
      <c r="V346" t="s">
        <v>90</v>
      </c>
      <c r="W346">
        <v>0</v>
      </c>
      <c r="X346" t="s">
        <v>90</v>
      </c>
      <c r="Y346">
        <v>0</v>
      </c>
      <c r="Z346">
        <v>30.235049126281279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130</v>
      </c>
      <c r="AI346">
        <v>455</v>
      </c>
      <c r="AJ346">
        <v>720</v>
      </c>
      <c r="AL346">
        <v>6.226</v>
      </c>
      <c r="AN346" t="s">
        <v>223</v>
      </c>
      <c r="AO346" t="s">
        <v>92</v>
      </c>
      <c r="AP346">
        <v>200000</v>
      </c>
      <c r="AQ346" t="s">
        <v>92</v>
      </c>
      <c r="AS346">
        <v>10000</v>
      </c>
      <c r="AT346" t="s">
        <v>3299</v>
      </c>
      <c r="AU346" t="s">
        <v>78</v>
      </c>
      <c r="AV346" t="s">
        <v>79</v>
      </c>
      <c r="AY346">
        <v>0</v>
      </c>
    </row>
    <row r="347" spans="1:52" ht="12.75">
      <c r="A347" s="2" t="str">
        <f>HYPERLINK("https://ibp.a2mac1.com/costing(costing:projects/details/8191/assembly/5383958)","Inner Side")</f>
        <v>Inner Side</v>
      </c>
      <c r="B347">
        <v>5383958</v>
      </c>
      <c r="D347">
        <v>5383688</v>
      </c>
      <c r="F347">
        <v>1</v>
      </c>
      <c r="G347">
        <v>0</v>
      </c>
      <c r="H347">
        <v>4.0927209463083898</v>
      </c>
      <c r="I347">
        <v>0</v>
      </c>
      <c r="J347" t="s">
        <v>90</v>
      </c>
      <c r="K347">
        <v>0</v>
      </c>
      <c r="L347">
        <v>4.0927209463083898</v>
      </c>
      <c r="M347">
        <v>0</v>
      </c>
      <c r="N347">
        <v>0</v>
      </c>
      <c r="O347">
        <v>4.0927209463083898</v>
      </c>
      <c r="P347" t="s">
        <v>90</v>
      </c>
      <c r="Q347">
        <v>0</v>
      </c>
      <c r="R347" t="s">
        <v>90</v>
      </c>
      <c r="S347">
        <v>0</v>
      </c>
      <c r="T347" t="s">
        <v>90</v>
      </c>
      <c r="U347">
        <v>0</v>
      </c>
      <c r="V347" t="s">
        <v>90</v>
      </c>
      <c r="W347">
        <v>0</v>
      </c>
      <c r="X347" t="s">
        <v>90</v>
      </c>
      <c r="Y347">
        <v>0</v>
      </c>
      <c r="Z347">
        <v>4.0927209463083898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L347">
        <v>0.53400000000000003</v>
      </c>
      <c r="AN347" t="s">
        <v>223</v>
      </c>
      <c r="AO347" t="s">
        <v>92</v>
      </c>
      <c r="AP347">
        <v>200000</v>
      </c>
      <c r="AQ347" t="s">
        <v>92</v>
      </c>
      <c r="AS347">
        <v>10000</v>
      </c>
      <c r="AT347" t="s">
        <v>3322</v>
      </c>
      <c r="AU347" t="s">
        <v>78</v>
      </c>
      <c r="AV347" t="s">
        <v>79</v>
      </c>
      <c r="AY347">
        <v>0</v>
      </c>
    </row>
    <row r="348" spans="1:52" ht="12.75">
      <c r="A348" s="2" t="str">
        <f>HYPERLINK("https://ibp.a2mac1.com/costing(costing:projects/details/8191/assembly/5383959)","Outer Side")</f>
        <v>Outer Side</v>
      </c>
      <c r="B348">
        <v>5383959</v>
      </c>
      <c r="D348">
        <v>5383688</v>
      </c>
      <c r="F348">
        <v>1</v>
      </c>
      <c r="G348">
        <v>0</v>
      </c>
      <c r="H348">
        <v>5.5395448358478463</v>
      </c>
      <c r="I348">
        <v>0</v>
      </c>
      <c r="J348" t="s">
        <v>90</v>
      </c>
      <c r="K348">
        <v>0</v>
      </c>
      <c r="L348">
        <v>5.5395448358478463</v>
      </c>
      <c r="M348">
        <v>0</v>
      </c>
      <c r="N348">
        <v>0</v>
      </c>
      <c r="O348">
        <v>5.5395448358478463</v>
      </c>
      <c r="P348" t="s">
        <v>90</v>
      </c>
      <c r="Q348">
        <v>0</v>
      </c>
      <c r="R348" t="s">
        <v>90</v>
      </c>
      <c r="S348">
        <v>0</v>
      </c>
      <c r="T348" t="s">
        <v>90</v>
      </c>
      <c r="U348">
        <v>0</v>
      </c>
      <c r="V348" t="s">
        <v>90</v>
      </c>
      <c r="W348">
        <v>0</v>
      </c>
      <c r="X348" t="s">
        <v>90</v>
      </c>
      <c r="Y348">
        <v>0</v>
      </c>
      <c r="Z348">
        <v>5.5395448358478463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L348">
        <v>0.60199999999999998</v>
      </c>
      <c r="AN348" t="s">
        <v>223</v>
      </c>
      <c r="AO348" t="s">
        <v>92</v>
      </c>
      <c r="AP348">
        <v>200000</v>
      </c>
      <c r="AQ348" t="s">
        <v>92</v>
      </c>
      <c r="AS348">
        <v>10000</v>
      </c>
      <c r="AT348" t="s">
        <v>3333</v>
      </c>
      <c r="AU348" t="s">
        <v>78</v>
      </c>
      <c r="AV348" t="s">
        <v>79</v>
      </c>
      <c r="AY348">
        <v>0</v>
      </c>
    </row>
    <row r="349" spans="1:52" ht="12.75">
      <c r="A349" s="2" t="str">
        <f>HYPERLINK("https://ibp.a2mac1.com/costing(costing:projects/details/8191/assembly/5383688)","Head Rest")</f>
        <v>Head Rest</v>
      </c>
      <c r="B349">
        <v>5383688</v>
      </c>
      <c r="D349">
        <v>5383547</v>
      </c>
      <c r="F349">
        <v>1</v>
      </c>
      <c r="G349">
        <v>0</v>
      </c>
      <c r="H349">
        <v>9.6322657821562352</v>
      </c>
      <c r="I349">
        <v>0</v>
      </c>
      <c r="J349" t="s">
        <v>90</v>
      </c>
      <c r="K349">
        <v>0</v>
      </c>
      <c r="L349">
        <v>9.6322657821562352</v>
      </c>
      <c r="M349">
        <v>0</v>
      </c>
      <c r="N349">
        <v>0</v>
      </c>
      <c r="O349">
        <v>9.6322657821562352</v>
      </c>
      <c r="P349" t="s">
        <v>90</v>
      </c>
      <c r="Q349">
        <v>0</v>
      </c>
      <c r="R349" t="s">
        <v>90</v>
      </c>
      <c r="S349">
        <v>0</v>
      </c>
      <c r="T349" t="s">
        <v>90</v>
      </c>
      <c r="U349">
        <v>0</v>
      </c>
      <c r="V349" t="s">
        <v>90</v>
      </c>
      <c r="W349">
        <v>0</v>
      </c>
      <c r="X349" t="s">
        <v>90</v>
      </c>
      <c r="Y349">
        <v>0</v>
      </c>
      <c r="Z349">
        <v>9.6322657821562352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L349">
        <v>1.133</v>
      </c>
      <c r="AN349" t="s">
        <v>223</v>
      </c>
      <c r="AO349" t="s">
        <v>92</v>
      </c>
      <c r="AP349">
        <v>200000</v>
      </c>
      <c r="AQ349" t="s">
        <v>92</v>
      </c>
      <c r="AS349">
        <v>10000</v>
      </c>
      <c r="AT349" t="s">
        <v>3334</v>
      </c>
      <c r="AU349" t="s">
        <v>78</v>
      </c>
      <c r="AV349" t="s">
        <v>79</v>
      </c>
      <c r="AY349">
        <v>0</v>
      </c>
    </row>
    <row r="350" spans="1:52" ht="12.75">
      <c r="A350" s="2" t="str">
        <f>HYPERLINK("https://ibp.a2mac1.com/costing(costing:projects/details/8191/assembly/5383965)","Head Rest Support")</f>
        <v>Head Rest Support</v>
      </c>
      <c r="B350">
        <v>5383965</v>
      </c>
      <c r="D350">
        <v>5383689</v>
      </c>
      <c r="F350">
        <v>1</v>
      </c>
      <c r="G350">
        <v>0</v>
      </c>
      <c r="H350">
        <v>0.50127100158308047</v>
      </c>
      <c r="I350">
        <v>0</v>
      </c>
      <c r="J350" t="s">
        <v>90</v>
      </c>
      <c r="K350">
        <v>0</v>
      </c>
      <c r="L350">
        <v>0.50127100158308047</v>
      </c>
      <c r="M350">
        <v>0</v>
      </c>
      <c r="N350">
        <v>0</v>
      </c>
      <c r="O350">
        <v>0.50127100158308047</v>
      </c>
      <c r="P350" t="s">
        <v>90</v>
      </c>
      <c r="Q350">
        <v>0</v>
      </c>
      <c r="R350" t="s">
        <v>90</v>
      </c>
      <c r="S350">
        <v>0</v>
      </c>
      <c r="T350" t="s">
        <v>90</v>
      </c>
      <c r="U350">
        <v>0</v>
      </c>
      <c r="V350" t="s">
        <v>90</v>
      </c>
      <c r="W350">
        <v>0</v>
      </c>
      <c r="X350" t="s">
        <v>90</v>
      </c>
      <c r="Y350">
        <v>0</v>
      </c>
      <c r="Z350">
        <v>0.50127100158308047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L350">
        <v>0.112</v>
      </c>
      <c r="AN350" t="s">
        <v>223</v>
      </c>
      <c r="AO350" t="s">
        <v>92</v>
      </c>
      <c r="AP350">
        <v>200000</v>
      </c>
      <c r="AQ350" t="s">
        <v>92</v>
      </c>
      <c r="AS350">
        <v>10000</v>
      </c>
      <c r="AT350" t="s">
        <v>3349</v>
      </c>
      <c r="AU350" t="s">
        <v>78</v>
      </c>
      <c r="AV350" t="s">
        <v>79</v>
      </c>
      <c r="AY350">
        <v>0</v>
      </c>
    </row>
    <row r="351" spans="1:52" ht="12.75">
      <c r="A351" s="2" t="str">
        <f>HYPERLINK("https://ibp.a2mac1.com/costing(costing:projects/details/8191/assembly/5383966)","Unlocking System")</f>
        <v>Unlocking System</v>
      </c>
      <c r="B351">
        <v>5383966</v>
      </c>
      <c r="D351">
        <v>5383689</v>
      </c>
      <c r="F351">
        <v>1</v>
      </c>
      <c r="G351">
        <v>0</v>
      </c>
      <c r="H351">
        <v>2.2510908612549709</v>
      </c>
      <c r="I351">
        <v>0.011312014378165683</v>
      </c>
      <c r="J351" t="s">
        <v>137</v>
      </c>
      <c r="K351">
        <v>0.078788180143923983</v>
      </c>
      <c r="L351">
        <v>2.3411910557770605</v>
      </c>
      <c r="M351">
        <v>0</v>
      </c>
      <c r="N351">
        <v>0</v>
      </c>
      <c r="O351">
        <v>2.3411910557770605</v>
      </c>
      <c r="P351" t="s">
        <v>138</v>
      </c>
      <c r="Q351">
        <v>0.14047146334662364</v>
      </c>
      <c r="R351" t="s">
        <v>138</v>
      </c>
      <c r="S351">
        <v>0</v>
      </c>
      <c r="T351" t="s">
        <v>139</v>
      </c>
      <c r="U351">
        <v>0.28094292669324727</v>
      </c>
      <c r="V351" t="s">
        <v>90</v>
      </c>
      <c r="W351">
        <v>0</v>
      </c>
      <c r="X351" t="s">
        <v>90</v>
      </c>
      <c r="Y351">
        <v>0</v>
      </c>
      <c r="Z351">
        <v>2.7626054458169316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L351">
        <v>0.39</v>
      </c>
      <c r="AN351" t="s">
        <v>661</v>
      </c>
      <c r="AO351" t="s">
        <v>92</v>
      </c>
      <c r="AP351">
        <v>200000</v>
      </c>
      <c r="AQ351" t="s">
        <v>76</v>
      </c>
      <c r="AS351">
        <v>10000</v>
      </c>
      <c r="AT351" t="s">
        <v>3357</v>
      </c>
      <c r="AU351" t="s">
        <v>78</v>
      </c>
      <c r="AV351" t="s">
        <v>79</v>
      </c>
      <c r="AY351">
        <v>0</v>
      </c>
    </row>
    <row r="352" spans="1:52" ht="12.75">
      <c r="A352" s="2" t="str">
        <f>HYPERLINK("https://ibp.a2mac1.com/costing(costing:projects/details/8191/assembly/5383967)","Anchor")</f>
        <v>Anchor</v>
      </c>
      <c r="B352">
        <v>5383967</v>
      </c>
      <c r="D352">
        <v>5383689</v>
      </c>
      <c r="F352">
        <v>1</v>
      </c>
      <c r="G352">
        <v>0</v>
      </c>
      <c r="H352">
        <v>0.12309583836638631</v>
      </c>
      <c r="I352">
        <v>0</v>
      </c>
      <c r="J352" t="s">
        <v>90</v>
      </c>
      <c r="K352">
        <v>0</v>
      </c>
      <c r="L352">
        <v>0.12309583836638631</v>
      </c>
      <c r="M352">
        <v>0</v>
      </c>
      <c r="N352">
        <v>0</v>
      </c>
      <c r="O352">
        <v>0.12309583836638631</v>
      </c>
      <c r="P352" t="s">
        <v>90</v>
      </c>
      <c r="Q352">
        <v>0</v>
      </c>
      <c r="R352" t="s">
        <v>90</v>
      </c>
      <c r="S352">
        <v>0</v>
      </c>
      <c r="T352" t="s">
        <v>90</v>
      </c>
      <c r="U352">
        <v>0</v>
      </c>
      <c r="V352" t="s">
        <v>90</v>
      </c>
      <c r="W352">
        <v>0</v>
      </c>
      <c r="X352" t="s">
        <v>90</v>
      </c>
      <c r="Y352">
        <v>0</v>
      </c>
      <c r="Z352">
        <v>0.12309583836638631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L352">
        <v>0.029000000000000001</v>
      </c>
      <c r="AN352" t="s">
        <v>223</v>
      </c>
      <c r="AO352" t="s">
        <v>92</v>
      </c>
      <c r="AP352">
        <v>200000</v>
      </c>
      <c r="AQ352" t="s">
        <v>92</v>
      </c>
      <c r="AS352">
        <v>10000</v>
      </c>
      <c r="AT352" t="s">
        <v>3364</v>
      </c>
      <c r="AU352" t="s">
        <v>78</v>
      </c>
      <c r="AV352" t="s">
        <v>79</v>
      </c>
      <c r="AY352">
        <v>0</v>
      </c>
    </row>
    <row r="353" spans="1:52" ht="12.75">
      <c r="A353" s="2" t="str">
        <f>HYPERLINK("https://ibp.a2mac1.com/costing(costing:projects/details/8191/assembly/5383968)","Ski Trap")</f>
        <v>Ski Trap</v>
      </c>
      <c r="B353">
        <v>5383968</v>
      </c>
      <c r="D353">
        <v>5383689</v>
      </c>
      <c r="F353">
        <v>1</v>
      </c>
      <c r="G353">
        <v>0</v>
      </c>
      <c r="H353">
        <v>5.7938094945888068</v>
      </c>
      <c r="I353">
        <v>0</v>
      </c>
      <c r="J353" t="s">
        <v>90</v>
      </c>
      <c r="K353">
        <v>0</v>
      </c>
      <c r="L353">
        <v>5.7938094945888068</v>
      </c>
      <c r="M353">
        <v>0</v>
      </c>
      <c r="N353">
        <v>0</v>
      </c>
      <c r="O353">
        <v>5.7938094945888068</v>
      </c>
      <c r="P353" t="s">
        <v>90</v>
      </c>
      <c r="Q353">
        <v>0</v>
      </c>
      <c r="R353" t="s">
        <v>90</v>
      </c>
      <c r="S353">
        <v>0</v>
      </c>
      <c r="T353" t="s">
        <v>90</v>
      </c>
      <c r="U353">
        <v>0</v>
      </c>
      <c r="V353" t="s">
        <v>90</v>
      </c>
      <c r="W353">
        <v>0</v>
      </c>
      <c r="X353" t="s">
        <v>90</v>
      </c>
      <c r="Y353">
        <v>0</v>
      </c>
      <c r="Z353">
        <v>5.7938094945888068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L353">
        <v>2.891</v>
      </c>
      <c r="AN353" t="s">
        <v>223</v>
      </c>
      <c r="AO353" t="s">
        <v>92</v>
      </c>
      <c r="AP353">
        <v>200000</v>
      </c>
      <c r="AQ353" t="s">
        <v>92</v>
      </c>
      <c r="AS353">
        <v>10000</v>
      </c>
      <c r="AT353" t="s">
        <v>3406</v>
      </c>
      <c r="AU353" t="s">
        <v>78</v>
      </c>
      <c r="AV353" t="s">
        <v>79</v>
      </c>
      <c r="AY353">
        <v>0</v>
      </c>
    </row>
    <row r="354" spans="1:52" ht="12.75">
      <c r="A354" s="2" t="str">
        <f>HYPERLINK("https://ibp.a2mac1.com/costing(costing:projects/details/8191/assembly/5384101)","Mounting Bracket Cover")</f>
        <v>Mounting Bracket Cover</v>
      </c>
      <c r="B354">
        <v>5384101</v>
      </c>
      <c r="D354">
        <v>5383969</v>
      </c>
      <c r="F354">
        <v>1</v>
      </c>
      <c r="G354">
        <v>0</v>
      </c>
      <c r="H354">
        <v>0.080525709856473074</v>
      </c>
      <c r="I354">
        <v>0.00040465180832398529</v>
      </c>
      <c r="J354" t="s">
        <v>137</v>
      </c>
      <c r="K354">
        <v>0.0028183998449765576</v>
      </c>
      <c r="L354">
        <v>0.083748761509773617</v>
      </c>
      <c r="M354">
        <v>0</v>
      </c>
      <c r="N354">
        <v>0</v>
      </c>
      <c r="O354">
        <v>0.083748761509773617</v>
      </c>
      <c r="P354" t="s">
        <v>90</v>
      </c>
      <c r="Q354">
        <v>0</v>
      </c>
      <c r="R354" t="s">
        <v>90</v>
      </c>
      <c r="S354">
        <v>0</v>
      </c>
      <c r="T354" t="s">
        <v>90</v>
      </c>
      <c r="U354">
        <v>0</v>
      </c>
      <c r="V354" t="s">
        <v>90</v>
      </c>
      <c r="W354">
        <v>0</v>
      </c>
      <c r="X354" t="s">
        <v>90</v>
      </c>
      <c r="Y354">
        <v>0</v>
      </c>
      <c r="Z354">
        <v>0.083748761509773617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L354">
        <v>0.031</v>
      </c>
      <c r="AN354" t="s">
        <v>501</v>
      </c>
      <c r="AO354" t="s">
        <v>92</v>
      </c>
      <c r="AP354">
        <v>200000</v>
      </c>
      <c r="AQ354" t="s">
        <v>92</v>
      </c>
      <c r="AS354">
        <v>10000</v>
      </c>
      <c r="AT354" t="s">
        <v>3418</v>
      </c>
      <c r="AU354" t="s">
        <v>78</v>
      </c>
      <c r="AV354" t="s">
        <v>79</v>
      </c>
      <c r="AY354">
        <v>0</v>
      </c>
    </row>
    <row r="355" spans="1:52" ht="12.75">
      <c r="A355" s="2" t="str">
        <f>HYPERLINK("https://ibp.a2mac1.com/costing(costing:projects/details/8191/assembly/5384102)","Cup Holder")</f>
        <v>Cup Holder</v>
      </c>
      <c r="B355">
        <v>5384102</v>
      </c>
      <c r="D355">
        <v>5383969</v>
      </c>
      <c r="F355">
        <v>1</v>
      </c>
      <c r="G355">
        <v>0</v>
      </c>
      <c r="H355">
        <v>0.42388938111284419</v>
      </c>
      <c r="I355">
        <v>0</v>
      </c>
      <c r="J355" t="s">
        <v>90</v>
      </c>
      <c r="K355">
        <v>0</v>
      </c>
      <c r="L355">
        <v>0.42388938111284419</v>
      </c>
      <c r="M355">
        <v>0</v>
      </c>
      <c r="N355">
        <v>0</v>
      </c>
      <c r="O355">
        <v>0.42388938111284419</v>
      </c>
      <c r="P355" t="s">
        <v>90</v>
      </c>
      <c r="Q355">
        <v>0</v>
      </c>
      <c r="R355" t="s">
        <v>90</v>
      </c>
      <c r="S355">
        <v>0</v>
      </c>
      <c r="T355" t="s">
        <v>90</v>
      </c>
      <c r="U355">
        <v>0</v>
      </c>
      <c r="V355" t="s">
        <v>90</v>
      </c>
      <c r="W355">
        <v>0</v>
      </c>
      <c r="X355" t="s">
        <v>90</v>
      </c>
      <c r="Y355">
        <v>0</v>
      </c>
      <c r="Z355">
        <v>0.42388938111284419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L355">
        <v>0.14399999999999999</v>
      </c>
      <c r="AN355" t="s">
        <v>223</v>
      </c>
      <c r="AO355" t="s">
        <v>92</v>
      </c>
      <c r="AP355">
        <v>200000</v>
      </c>
      <c r="AQ355" t="s">
        <v>92</v>
      </c>
      <c r="AS355">
        <v>10000</v>
      </c>
      <c r="AT355" t="s">
        <v>3426</v>
      </c>
      <c r="AU355" t="s">
        <v>78</v>
      </c>
      <c r="AV355" t="s">
        <v>79</v>
      </c>
      <c r="AY355">
        <v>0</v>
      </c>
    </row>
    <row r="356" spans="1:52" ht="12.75">
      <c r="A356" s="2" t="str">
        <f>HYPERLINK("https://ibp.a2mac1.com/costing(costing:projects/details/8191/assembly/5384103)","Plastic Trim")</f>
        <v>Plastic Trim</v>
      </c>
      <c r="B356">
        <v>5384103</v>
      </c>
      <c r="D356">
        <v>5383969</v>
      </c>
      <c r="F356">
        <v>1</v>
      </c>
      <c r="G356">
        <v>0</v>
      </c>
      <c r="H356">
        <v>1.1061831081257785</v>
      </c>
      <c r="I356">
        <v>0.0055587090860591886</v>
      </c>
      <c r="J356" t="s">
        <v>137</v>
      </c>
      <c r="K356">
        <v>0.038716408784402245</v>
      </c>
      <c r="L356">
        <v>1.1504582259962399</v>
      </c>
      <c r="M356">
        <v>0</v>
      </c>
      <c r="N356">
        <v>0</v>
      </c>
      <c r="O356">
        <v>1.1504582259962399</v>
      </c>
      <c r="P356" t="s">
        <v>90</v>
      </c>
      <c r="Q356">
        <v>0</v>
      </c>
      <c r="R356" t="s">
        <v>90</v>
      </c>
      <c r="S356">
        <v>0</v>
      </c>
      <c r="T356" t="s">
        <v>90</v>
      </c>
      <c r="U356">
        <v>0</v>
      </c>
      <c r="V356" t="s">
        <v>90</v>
      </c>
      <c r="W356">
        <v>0</v>
      </c>
      <c r="X356" t="s">
        <v>90</v>
      </c>
      <c r="Y356">
        <v>0</v>
      </c>
      <c r="Z356">
        <v>1.1504582259962399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L356">
        <v>0.36399999999999999</v>
      </c>
      <c r="AN356" t="s">
        <v>501</v>
      </c>
      <c r="AO356" t="s">
        <v>92</v>
      </c>
      <c r="AP356">
        <v>200000</v>
      </c>
      <c r="AQ356" t="s">
        <v>92</v>
      </c>
      <c r="AS356">
        <v>10000</v>
      </c>
      <c r="AT356" t="s">
        <v>3433</v>
      </c>
      <c r="AU356" t="s">
        <v>78</v>
      </c>
      <c r="AV356" t="s">
        <v>79</v>
      </c>
      <c r="AY356">
        <v>0</v>
      </c>
    </row>
    <row r="357" spans="1:52" ht="12.75">
      <c r="A357" s="2" t="str">
        <f>HYPERLINK("https://ibp.a2mac1.com/costing(costing:projects/details/8191/assembly/5383969)","Armrest")</f>
        <v>Armrest</v>
      </c>
      <c r="B357">
        <v>5383969</v>
      </c>
      <c r="D357">
        <v>5383689</v>
      </c>
      <c r="F357">
        <v>1</v>
      </c>
      <c r="G357">
        <v>0</v>
      </c>
      <c r="H357">
        <v>10.510440598383704</v>
      </c>
      <c r="I357">
        <v>0</v>
      </c>
      <c r="J357" t="s">
        <v>90</v>
      </c>
      <c r="K357">
        <v>0</v>
      </c>
      <c r="L357">
        <v>10.510440598383704</v>
      </c>
      <c r="M357">
        <v>0</v>
      </c>
      <c r="N357">
        <v>0</v>
      </c>
      <c r="O357">
        <v>10.510440598383704</v>
      </c>
      <c r="P357" t="s">
        <v>90</v>
      </c>
      <c r="Q357">
        <v>0</v>
      </c>
      <c r="R357" t="s">
        <v>90</v>
      </c>
      <c r="S357">
        <v>0</v>
      </c>
      <c r="T357" t="s">
        <v>90</v>
      </c>
      <c r="U357">
        <v>0</v>
      </c>
      <c r="V357" t="s">
        <v>90</v>
      </c>
      <c r="W357">
        <v>0</v>
      </c>
      <c r="X357" t="s">
        <v>90</v>
      </c>
      <c r="Y357">
        <v>0</v>
      </c>
      <c r="Z357">
        <v>10.510440598383704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L357">
        <v>2.0451999999999999</v>
      </c>
      <c r="AN357" t="s">
        <v>223</v>
      </c>
      <c r="AO357" t="s">
        <v>92</v>
      </c>
      <c r="AP357">
        <v>200000</v>
      </c>
      <c r="AQ357" t="s">
        <v>92</v>
      </c>
      <c r="AS357">
        <v>10000</v>
      </c>
      <c r="AT357" t="s">
        <v>3450</v>
      </c>
      <c r="AU357" t="s">
        <v>78</v>
      </c>
      <c r="AV357" t="s">
        <v>79</v>
      </c>
      <c r="AY357">
        <v>0</v>
      </c>
    </row>
    <row r="358" spans="1:52" ht="12.75">
      <c r="A358" s="2" t="str">
        <f>HYPERLINK("https://ibp.a2mac1.com/costing(costing:projects/details/8191/assembly/5383970)","Inferior Stuffing")</f>
        <v>Inferior Stuffing</v>
      </c>
      <c r="B358">
        <v>5383970</v>
      </c>
      <c r="D358">
        <v>5383689</v>
      </c>
      <c r="F358">
        <v>1</v>
      </c>
      <c r="G358">
        <v>0</v>
      </c>
      <c r="H358">
        <v>2.6700725145728659</v>
      </c>
      <c r="I358">
        <v>0</v>
      </c>
      <c r="J358" t="s">
        <v>90</v>
      </c>
      <c r="K358">
        <v>0</v>
      </c>
      <c r="L358">
        <v>2.6700725145728659</v>
      </c>
      <c r="M358">
        <v>0</v>
      </c>
      <c r="N358">
        <v>0</v>
      </c>
      <c r="O358">
        <v>2.6700725145728659</v>
      </c>
      <c r="P358" t="s">
        <v>90</v>
      </c>
      <c r="Q358">
        <v>0</v>
      </c>
      <c r="R358" t="s">
        <v>90</v>
      </c>
      <c r="S358">
        <v>0</v>
      </c>
      <c r="T358" t="s">
        <v>90</v>
      </c>
      <c r="U358">
        <v>0</v>
      </c>
      <c r="V358" t="s">
        <v>90</v>
      </c>
      <c r="W358">
        <v>0</v>
      </c>
      <c r="X358" t="s">
        <v>90</v>
      </c>
      <c r="Y358">
        <v>0</v>
      </c>
      <c r="Z358">
        <v>2.6700725145728659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L358">
        <v>0.20619999999999999</v>
      </c>
      <c r="AN358" t="s">
        <v>223</v>
      </c>
      <c r="AO358" t="s">
        <v>92</v>
      </c>
      <c r="AP358">
        <v>200000</v>
      </c>
      <c r="AQ358" t="s">
        <v>92</v>
      </c>
      <c r="AS358">
        <v>10000</v>
      </c>
      <c r="AT358" t="s">
        <v>3467</v>
      </c>
      <c r="AU358" t="s">
        <v>78</v>
      </c>
      <c r="AV358" t="s">
        <v>79</v>
      </c>
      <c r="AY358">
        <v>0</v>
      </c>
    </row>
    <row r="359" spans="1:52" ht="12.75">
      <c r="A359" s="2" t="str">
        <f>HYPERLINK("https://ibp.a2mac1.com/costing(costing:projects/details/8191/assembly/5383689)","Back")</f>
        <v>Back</v>
      </c>
      <c r="B359">
        <v>5383689</v>
      </c>
      <c r="D359">
        <v>5383547</v>
      </c>
      <c r="F359">
        <v>1</v>
      </c>
      <c r="G359">
        <v>0</v>
      </c>
      <c r="H359">
        <v>54.748091717950039</v>
      </c>
      <c r="I359">
        <v>0</v>
      </c>
      <c r="J359" t="s">
        <v>90</v>
      </c>
      <c r="K359">
        <v>0</v>
      </c>
      <c r="L359">
        <v>54.748091717950039</v>
      </c>
      <c r="M359">
        <v>0</v>
      </c>
      <c r="N359">
        <v>0</v>
      </c>
      <c r="O359">
        <v>54.748091717950039</v>
      </c>
      <c r="P359" t="s">
        <v>90</v>
      </c>
      <c r="Q359">
        <v>0</v>
      </c>
      <c r="R359" t="s">
        <v>90</v>
      </c>
      <c r="S359">
        <v>0</v>
      </c>
      <c r="T359" t="s">
        <v>90</v>
      </c>
      <c r="U359">
        <v>0</v>
      </c>
      <c r="V359" t="s">
        <v>90</v>
      </c>
      <c r="W359">
        <v>0</v>
      </c>
      <c r="X359" t="s">
        <v>90</v>
      </c>
      <c r="Y359">
        <v>0</v>
      </c>
      <c r="Z359">
        <v>54.748091717950039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L359">
        <v>14.033099999999999</v>
      </c>
      <c r="AN359" t="s">
        <v>223</v>
      </c>
      <c r="AO359" t="s">
        <v>92</v>
      </c>
      <c r="AP359">
        <v>200000</v>
      </c>
      <c r="AQ359" t="s">
        <v>92</v>
      </c>
      <c r="AS359">
        <v>10000</v>
      </c>
      <c r="AT359" t="s">
        <v>3495</v>
      </c>
      <c r="AU359" t="s">
        <v>78</v>
      </c>
      <c r="AV359" t="s">
        <v>79</v>
      </c>
      <c r="AY359">
        <v>0</v>
      </c>
    </row>
    <row r="360" spans="1:52" ht="12.75">
      <c r="A360" s="2" t="str">
        <f>HYPERLINK("https://ibp.a2mac1.com/costing(costing:projects/details/8191/assembly/5383547)","Seat 2-3")</f>
        <v>Seat 2-3</v>
      </c>
      <c r="B360">
        <v>5383547</v>
      </c>
      <c r="D360">
        <v>5383401</v>
      </c>
      <c r="F360">
        <v>1</v>
      </c>
      <c r="G360">
        <v>0</v>
      </c>
      <c r="H360">
        <v>64.380357500106271</v>
      </c>
      <c r="I360">
        <v>0</v>
      </c>
      <c r="J360" t="s">
        <v>90</v>
      </c>
      <c r="K360">
        <v>0</v>
      </c>
      <c r="L360">
        <v>64.380357500106271</v>
      </c>
      <c r="M360">
        <v>0</v>
      </c>
      <c r="N360">
        <v>0</v>
      </c>
      <c r="O360">
        <v>64.380357500106271</v>
      </c>
      <c r="P360" t="s">
        <v>90</v>
      </c>
      <c r="Q360">
        <v>0</v>
      </c>
      <c r="R360" t="s">
        <v>90</v>
      </c>
      <c r="S360">
        <v>0</v>
      </c>
      <c r="T360" t="s">
        <v>90</v>
      </c>
      <c r="U360">
        <v>0</v>
      </c>
      <c r="V360" t="s">
        <v>90</v>
      </c>
      <c r="W360">
        <v>0</v>
      </c>
      <c r="X360" t="s">
        <v>90</v>
      </c>
      <c r="Y360">
        <v>0</v>
      </c>
      <c r="Z360">
        <v>64.380357500106271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155</v>
      </c>
      <c r="AI360">
        <v>710</v>
      </c>
      <c r="AJ360">
        <v>720</v>
      </c>
      <c r="AL360">
        <v>15.1661</v>
      </c>
      <c r="AN360" t="s">
        <v>223</v>
      </c>
      <c r="AO360" t="s">
        <v>92</v>
      </c>
      <c r="AP360">
        <v>200000</v>
      </c>
      <c r="AQ360" t="s">
        <v>92</v>
      </c>
      <c r="AS360">
        <v>10000</v>
      </c>
      <c r="AT360" t="s">
        <v>3496</v>
      </c>
      <c r="AU360" t="s">
        <v>78</v>
      </c>
      <c r="AV360" t="s">
        <v>79</v>
      </c>
      <c r="AY360">
        <v>0</v>
      </c>
    </row>
    <row r="361" spans="1:52" ht="12.75">
      <c r="A361" s="2" t="str">
        <f>HYPERLINK("https://ibp.a2mac1.com/costing(costing:projects/details/8191/assembly/5383548)","Cushion")</f>
        <v>Cushion</v>
      </c>
      <c r="B361">
        <v>5383548</v>
      </c>
      <c r="D361">
        <v>5383401</v>
      </c>
      <c r="F361">
        <v>1</v>
      </c>
      <c r="G361">
        <v>0</v>
      </c>
      <c r="H361">
        <v>63.72237593701027</v>
      </c>
      <c r="I361">
        <v>0</v>
      </c>
      <c r="J361" t="s">
        <v>90</v>
      </c>
      <c r="K361">
        <v>0</v>
      </c>
      <c r="L361">
        <v>63.72237593701027</v>
      </c>
      <c r="M361">
        <v>0</v>
      </c>
      <c r="N361">
        <v>0</v>
      </c>
      <c r="O361">
        <v>63.72237593701027</v>
      </c>
      <c r="P361" t="s">
        <v>90</v>
      </c>
      <c r="Q361">
        <v>0</v>
      </c>
      <c r="R361" t="s">
        <v>90</v>
      </c>
      <c r="S361">
        <v>0</v>
      </c>
      <c r="T361" t="s">
        <v>90</v>
      </c>
      <c r="U361">
        <v>0</v>
      </c>
      <c r="V361" t="s">
        <v>90</v>
      </c>
      <c r="W361">
        <v>0</v>
      </c>
      <c r="X361" t="s">
        <v>90</v>
      </c>
      <c r="Y361">
        <v>0</v>
      </c>
      <c r="Z361">
        <v>63.72237593701027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570</v>
      </c>
      <c r="AI361">
        <v>1255</v>
      </c>
      <c r="AJ361">
        <v>155</v>
      </c>
      <c r="AL361">
        <v>11.018800000000001</v>
      </c>
      <c r="AN361" t="s">
        <v>223</v>
      </c>
      <c r="AO361" t="s">
        <v>92</v>
      </c>
      <c r="AP361">
        <v>200000</v>
      </c>
      <c r="AQ361" t="s">
        <v>92</v>
      </c>
      <c r="AS361">
        <v>10000</v>
      </c>
      <c r="AT361" t="s">
        <v>3521</v>
      </c>
      <c r="AU361" t="s">
        <v>78</v>
      </c>
      <c r="AV361" t="s">
        <v>79</v>
      </c>
      <c r="AY361">
        <v>0</v>
      </c>
    </row>
    <row r="362" spans="1:52" ht="12.75">
      <c r="A362" s="2" t="str">
        <f>HYPERLINK("https://ibp.a2mac1.com/costing(costing:projects/details/8191/assembly/5383549)","Isofix Cover")</f>
        <v>Isofix Cover</v>
      </c>
      <c r="B362">
        <v>5383549</v>
      </c>
      <c r="D362">
        <v>5383401</v>
      </c>
      <c r="F362">
        <v>1</v>
      </c>
      <c r="G362">
        <v>0</v>
      </c>
      <c r="H362">
        <v>0.35928313994132549</v>
      </c>
      <c r="I362">
        <v>0.0018054429142780176</v>
      </c>
      <c r="J362" t="s">
        <v>137</v>
      </c>
      <c r="K362">
        <v>0.012574909897946393</v>
      </c>
      <c r="L362">
        <v>0.37366349275354988</v>
      </c>
      <c r="M362">
        <v>0</v>
      </c>
      <c r="N362">
        <v>0</v>
      </c>
      <c r="O362">
        <v>0.37366349275354988</v>
      </c>
      <c r="P362" t="s">
        <v>90</v>
      </c>
      <c r="Q362">
        <v>0</v>
      </c>
      <c r="R362" t="s">
        <v>90</v>
      </c>
      <c r="S362">
        <v>0</v>
      </c>
      <c r="T362" t="s">
        <v>90</v>
      </c>
      <c r="U362">
        <v>0</v>
      </c>
      <c r="V362" t="s">
        <v>90</v>
      </c>
      <c r="W362">
        <v>0</v>
      </c>
      <c r="X362" t="s">
        <v>90</v>
      </c>
      <c r="Y362">
        <v>0</v>
      </c>
      <c r="Z362">
        <v>0.37366349275354988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9</v>
      </c>
      <c r="AI362">
        <v>44</v>
      </c>
      <c r="AJ362">
        <v>55</v>
      </c>
      <c r="AL362">
        <v>0.034000000000000002</v>
      </c>
      <c r="AN362" t="s">
        <v>501</v>
      </c>
      <c r="AO362" t="s">
        <v>92</v>
      </c>
      <c r="AP362">
        <v>200000</v>
      </c>
      <c r="AQ362" t="s">
        <v>92</v>
      </c>
      <c r="AS362">
        <v>10000</v>
      </c>
      <c r="AT362" t="s">
        <v>3526</v>
      </c>
      <c r="AU362" t="s">
        <v>78</v>
      </c>
      <c r="AV362" t="s">
        <v>79</v>
      </c>
      <c r="AY362">
        <v>0</v>
      </c>
    </row>
    <row r="363" spans="1:52" ht="12.75">
      <c r="A363" s="2" t="str">
        <f>HYPERLINK("https://ibp.a2mac1.com/costing(costing:projects/details/8191/assembly/5383401)","Rear Seat")</f>
        <v>Rear Seat</v>
      </c>
      <c r="B363">
        <v>5383401</v>
      </c>
      <c r="D363">
        <v>5383339</v>
      </c>
      <c r="F363">
        <v>1</v>
      </c>
      <c r="G363">
        <v>0</v>
      </c>
      <c r="H363">
        <v>158.81731550877973</v>
      </c>
      <c r="I363">
        <v>0.79807696235567704</v>
      </c>
      <c r="J363" t="s">
        <v>137</v>
      </c>
      <c r="K363">
        <v>5.5586060428072903</v>
      </c>
      <c r="L363">
        <v>165.17399851394271</v>
      </c>
      <c r="M363">
        <v>0</v>
      </c>
      <c r="N363">
        <v>7.5355660817877723</v>
      </c>
      <c r="O363">
        <v>172.70956459573046</v>
      </c>
      <c r="P363" t="s">
        <v>138</v>
      </c>
      <c r="Q363">
        <v>9.9104399108365619</v>
      </c>
      <c r="R363" t="s">
        <v>138</v>
      </c>
      <c r="S363">
        <v>0.45213396490726632</v>
      </c>
      <c r="T363" t="s">
        <v>139</v>
      </c>
      <c r="U363">
        <v>20.725147751487654</v>
      </c>
      <c r="V363" t="s">
        <v>90</v>
      </c>
      <c r="W363">
        <v>0</v>
      </c>
      <c r="X363" t="s">
        <v>90</v>
      </c>
      <c r="Y363">
        <v>0</v>
      </c>
      <c r="Z363">
        <v>203.79728622296196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L363">
        <v>32.493899999999996</v>
      </c>
      <c r="AN363" t="s">
        <v>661</v>
      </c>
      <c r="AO363" t="s">
        <v>92</v>
      </c>
      <c r="AP363">
        <v>200000</v>
      </c>
      <c r="AQ363" t="s">
        <v>76</v>
      </c>
      <c r="AS363">
        <v>10000</v>
      </c>
      <c r="AT363" t="s">
        <v>3533</v>
      </c>
      <c r="AU363" t="s">
        <v>78</v>
      </c>
      <c r="AV363" t="s">
        <v>79</v>
      </c>
      <c r="AY363">
        <v>0</v>
      </c>
    </row>
    <row r="364" spans="1:52" ht="12.75">
      <c r="A364" s="2" t="str">
        <f>HYPERLINK("https://ibp.a2mac1.com/costing(costing:projects/details/8191/assembly/5383339)","Seats")</f>
        <v>Seats</v>
      </c>
      <c r="B364">
        <v>5383339</v>
      </c>
      <c r="C364">
        <v>8191</v>
      </c>
      <c r="F364">
        <v>1</v>
      </c>
      <c r="G364">
        <v>0</v>
      </c>
      <c r="H364">
        <v>717.4091687910709</v>
      </c>
      <c r="I364">
        <v>0</v>
      </c>
      <c r="J364" t="s">
        <v>90</v>
      </c>
      <c r="K364">
        <v>0</v>
      </c>
      <c r="L364">
        <v>717.4091687910709</v>
      </c>
      <c r="M364">
        <v>0</v>
      </c>
      <c r="N364">
        <v>0</v>
      </c>
      <c r="O364">
        <v>717.4091687910709</v>
      </c>
      <c r="P364" t="s">
        <v>90</v>
      </c>
      <c r="Q364">
        <v>0</v>
      </c>
      <c r="R364" t="s">
        <v>90</v>
      </c>
      <c r="S364">
        <v>0</v>
      </c>
      <c r="T364" t="s">
        <v>90</v>
      </c>
      <c r="U364">
        <v>0</v>
      </c>
      <c r="V364" t="s">
        <v>90</v>
      </c>
      <c r="W364">
        <v>0</v>
      </c>
      <c r="X364" t="s">
        <v>90</v>
      </c>
      <c r="Y364">
        <v>0</v>
      </c>
      <c r="Z364">
        <v>717.4091687910709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L364">
        <v>81.431299999999993</v>
      </c>
      <c r="AN364" t="s">
        <v>223</v>
      </c>
      <c r="AO364" t="s">
        <v>92</v>
      </c>
      <c r="AP364">
        <v>200000</v>
      </c>
      <c r="AQ364" t="s">
        <v>92</v>
      </c>
      <c r="AS364">
        <v>10000</v>
      </c>
      <c r="AT364" t="s">
        <v>3534</v>
      </c>
      <c r="AU364" t="s">
        <v>78</v>
      </c>
      <c r="AV364" t="s">
        <v>79</v>
      </c>
      <c r="AY364">
        <v>0</v>
      </c>
    </row>
    <row r="365" spans="1:52" ht="12.75">
      <c r="A365" s="2" t="str">
        <f>HYPERLINK("https://ibp.a2mac1.com/costing(costing:projects/details/8191/assembly/5384802)","Cross Car Beam")</f>
        <v>Cross Car Beam</v>
      </c>
      <c r="B365">
        <v>5384802</v>
      </c>
      <c r="D365">
        <v>5384795</v>
      </c>
      <c r="F365">
        <v>1</v>
      </c>
      <c r="G365">
        <v>0</v>
      </c>
      <c r="H365">
        <v>21.758722318924811</v>
      </c>
      <c r="I365">
        <v>0</v>
      </c>
      <c r="J365" t="s">
        <v>90</v>
      </c>
      <c r="K365">
        <v>0</v>
      </c>
      <c r="L365">
        <v>21.758722318924811</v>
      </c>
      <c r="M365">
        <v>0</v>
      </c>
      <c r="N365">
        <v>0</v>
      </c>
      <c r="O365">
        <v>21.758722318924811</v>
      </c>
      <c r="P365" t="s">
        <v>90</v>
      </c>
      <c r="Q365">
        <v>0</v>
      </c>
      <c r="R365" t="s">
        <v>90</v>
      </c>
      <c r="S365">
        <v>0</v>
      </c>
      <c r="T365" t="s">
        <v>90</v>
      </c>
      <c r="U365">
        <v>0</v>
      </c>
      <c r="V365" t="s">
        <v>90</v>
      </c>
      <c r="W365">
        <v>0</v>
      </c>
      <c r="X365" t="s">
        <v>90</v>
      </c>
      <c r="Y365">
        <v>0</v>
      </c>
      <c r="Z365">
        <v>21.758722318924811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L365">
        <v>8.843</v>
      </c>
      <c r="AN365" t="s">
        <v>223</v>
      </c>
      <c r="AO365" t="s">
        <v>92</v>
      </c>
      <c r="AP365">
        <v>200000</v>
      </c>
      <c r="AQ365" t="s">
        <v>92</v>
      </c>
      <c r="AS365">
        <v>10000</v>
      </c>
      <c r="AT365" t="s">
        <v>3562</v>
      </c>
      <c r="AU365" t="s">
        <v>78</v>
      </c>
      <c r="AV365" t="s">
        <v>79</v>
      </c>
      <c r="AY365">
        <v>0</v>
      </c>
    </row>
    <row r="366" spans="1:52" ht="12.75">
      <c r="A366" s="2" t="str">
        <f>HYPERLINK("https://ibp.a2mac1.com/costing(costing:projects/details/8191/assembly/5384860)","Driver Side Trim")</f>
        <v>Driver Side Trim</v>
      </c>
      <c r="B366">
        <v>5384860</v>
      </c>
      <c r="D366">
        <v>5384803</v>
      </c>
      <c r="F366">
        <v>1</v>
      </c>
      <c r="G366">
        <v>0</v>
      </c>
      <c r="H366">
        <v>2.544555451934654</v>
      </c>
      <c r="I366">
        <v>0</v>
      </c>
      <c r="J366" t="s">
        <v>90</v>
      </c>
      <c r="K366">
        <v>0</v>
      </c>
      <c r="L366">
        <v>2.544555451934654</v>
      </c>
      <c r="M366">
        <v>0</v>
      </c>
      <c r="N366">
        <v>0</v>
      </c>
      <c r="O366">
        <v>2.544555451934654</v>
      </c>
      <c r="P366" t="s">
        <v>90</v>
      </c>
      <c r="Q366">
        <v>0</v>
      </c>
      <c r="R366" t="s">
        <v>90</v>
      </c>
      <c r="S366">
        <v>0</v>
      </c>
      <c r="T366" t="s">
        <v>90</v>
      </c>
      <c r="U366">
        <v>0</v>
      </c>
      <c r="V366" t="s">
        <v>90</v>
      </c>
      <c r="W366">
        <v>0</v>
      </c>
      <c r="X366" t="s">
        <v>90</v>
      </c>
      <c r="Y366">
        <v>0</v>
      </c>
      <c r="Z366">
        <v>2.544555451934654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L366">
        <v>1.5014000000000001</v>
      </c>
      <c r="AN366" t="s">
        <v>223</v>
      </c>
      <c r="AO366" t="s">
        <v>92</v>
      </c>
      <c r="AP366">
        <v>200000</v>
      </c>
      <c r="AQ366" t="s">
        <v>92</v>
      </c>
      <c r="AS366">
        <v>10000</v>
      </c>
      <c r="AT366" t="s">
        <v>3583</v>
      </c>
      <c r="AU366" t="s">
        <v>78</v>
      </c>
      <c r="AV366" t="s">
        <v>79</v>
      </c>
      <c r="AY366">
        <v>0</v>
      </c>
    </row>
    <row r="367" spans="1:52" ht="12.75">
      <c r="A367" s="2" t="str">
        <f>HYPERLINK("https://ibp.a2mac1.com/costing(costing:projects/details/8191/assembly/5384861)","Passenger Side Trim")</f>
        <v>Passenger Side Trim</v>
      </c>
      <c r="B367">
        <v>5384861</v>
      </c>
      <c r="D367">
        <v>5384803</v>
      </c>
      <c r="F367">
        <v>1</v>
      </c>
      <c r="G367">
        <v>0</v>
      </c>
      <c r="H367">
        <v>1.9490639043918161</v>
      </c>
      <c r="I367">
        <v>0</v>
      </c>
      <c r="J367" t="s">
        <v>90</v>
      </c>
      <c r="K367">
        <v>0</v>
      </c>
      <c r="L367">
        <v>1.9490639043918161</v>
      </c>
      <c r="M367">
        <v>0</v>
      </c>
      <c r="N367">
        <v>0</v>
      </c>
      <c r="O367">
        <v>1.9490639043918161</v>
      </c>
      <c r="P367" t="s">
        <v>90</v>
      </c>
      <c r="Q367">
        <v>0</v>
      </c>
      <c r="R367" t="s">
        <v>90</v>
      </c>
      <c r="S367">
        <v>0</v>
      </c>
      <c r="T367" t="s">
        <v>90</v>
      </c>
      <c r="U367">
        <v>0</v>
      </c>
      <c r="V367" t="s">
        <v>90</v>
      </c>
      <c r="W367">
        <v>0</v>
      </c>
      <c r="X367" t="s">
        <v>90</v>
      </c>
      <c r="Y367">
        <v>0</v>
      </c>
      <c r="Z367">
        <v>1.9490639043918161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L367">
        <v>1.1160000000000001</v>
      </c>
      <c r="AN367" t="s">
        <v>223</v>
      </c>
      <c r="AO367" t="s">
        <v>92</v>
      </c>
      <c r="AP367">
        <v>200000</v>
      </c>
      <c r="AQ367" t="s">
        <v>92</v>
      </c>
      <c r="AS367">
        <v>10000</v>
      </c>
      <c r="AT367" t="s">
        <v>3589</v>
      </c>
      <c r="AU367" t="s">
        <v>78</v>
      </c>
      <c r="AV367" t="s">
        <v>79</v>
      </c>
      <c r="AY367">
        <v>0</v>
      </c>
    </row>
    <row r="368" spans="1:52" ht="12.75">
      <c r="A368" s="2" t="str">
        <f>HYPERLINK("https://ibp.a2mac1.com/costing(costing:projects/details/8191/assembly/5384862)","Central Trim")</f>
        <v>Central Trim</v>
      </c>
      <c r="B368">
        <v>5384862</v>
      </c>
      <c r="D368">
        <v>5384803</v>
      </c>
      <c r="F368">
        <v>1</v>
      </c>
      <c r="G368">
        <v>0</v>
      </c>
      <c r="H368">
        <v>1.0242233199330681</v>
      </c>
      <c r="I368">
        <v>0</v>
      </c>
      <c r="J368" t="s">
        <v>90</v>
      </c>
      <c r="K368">
        <v>0</v>
      </c>
      <c r="L368">
        <v>1.0242233199330681</v>
      </c>
      <c r="M368">
        <v>0</v>
      </c>
      <c r="N368">
        <v>0</v>
      </c>
      <c r="O368">
        <v>1.0242233199330681</v>
      </c>
      <c r="P368" t="s">
        <v>90</v>
      </c>
      <c r="Q368">
        <v>0</v>
      </c>
      <c r="R368" t="s">
        <v>90</v>
      </c>
      <c r="S368">
        <v>0</v>
      </c>
      <c r="T368" t="s">
        <v>90</v>
      </c>
      <c r="U368">
        <v>0</v>
      </c>
      <c r="V368" t="s">
        <v>90</v>
      </c>
      <c r="W368">
        <v>0</v>
      </c>
      <c r="X368" t="s">
        <v>90</v>
      </c>
      <c r="Y368">
        <v>0</v>
      </c>
      <c r="Z368">
        <v>1.0242233199330681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L368">
        <v>0.59</v>
      </c>
      <c r="AN368" t="s">
        <v>223</v>
      </c>
      <c r="AO368" t="s">
        <v>92</v>
      </c>
      <c r="AP368">
        <v>200000</v>
      </c>
      <c r="AQ368" t="s">
        <v>92</v>
      </c>
      <c r="AS368">
        <v>10000</v>
      </c>
      <c r="AT368" t="s">
        <v>3596</v>
      </c>
      <c r="AU368" t="s">
        <v>78</v>
      </c>
      <c r="AV368" t="s">
        <v>79</v>
      </c>
      <c r="AY368">
        <v>0</v>
      </c>
    </row>
    <row r="369" spans="1:52" ht="12.75">
      <c r="A369" s="2" t="str">
        <f>HYPERLINK("https://ibp.a2mac1.com/costing(costing:projects/details/8191/assembly/5384803)","Dashboard Covers")</f>
        <v>Dashboard Covers</v>
      </c>
      <c r="B369">
        <v>5384803</v>
      </c>
      <c r="D369">
        <v>5384795</v>
      </c>
      <c r="F369">
        <v>1</v>
      </c>
      <c r="G369">
        <v>0</v>
      </c>
      <c r="H369">
        <v>6.3857055804641529</v>
      </c>
      <c r="I369">
        <v>0</v>
      </c>
      <c r="J369" t="s">
        <v>90</v>
      </c>
      <c r="K369">
        <v>0</v>
      </c>
      <c r="L369">
        <v>6.3857055804641529</v>
      </c>
      <c r="M369">
        <v>0</v>
      </c>
      <c r="N369">
        <v>0</v>
      </c>
      <c r="O369">
        <v>6.3857055804641529</v>
      </c>
      <c r="P369" t="s">
        <v>90</v>
      </c>
      <c r="Q369">
        <v>0</v>
      </c>
      <c r="R369" t="s">
        <v>90</v>
      </c>
      <c r="S369">
        <v>0</v>
      </c>
      <c r="T369" t="s">
        <v>90</v>
      </c>
      <c r="U369">
        <v>0</v>
      </c>
      <c r="V369" t="s">
        <v>90</v>
      </c>
      <c r="W369">
        <v>0</v>
      </c>
      <c r="X369" t="s">
        <v>90</v>
      </c>
      <c r="Y369">
        <v>0</v>
      </c>
      <c r="Z369">
        <v>6.3857055804641529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L369">
        <v>3.7867999999999999</v>
      </c>
      <c r="AN369" t="s">
        <v>223</v>
      </c>
      <c r="AO369" t="s">
        <v>92</v>
      </c>
      <c r="AP369">
        <v>200000</v>
      </c>
      <c r="AQ369" t="s">
        <v>92</v>
      </c>
      <c r="AS369">
        <v>10000</v>
      </c>
      <c r="AT369" t="s">
        <v>3611</v>
      </c>
      <c r="AU369" t="s">
        <v>78</v>
      </c>
      <c r="AV369" t="s">
        <v>79</v>
      </c>
      <c r="AY369">
        <v>0</v>
      </c>
    </row>
    <row r="370" spans="1:52" ht="12.75">
      <c r="A370" s="2" t="str">
        <f>HYPERLINK("https://ibp.a2mac1.com/costing(costing:projects/details/8191/assembly/5384863)","Bezels Driver Side")</f>
        <v>Bezels Driver Side</v>
      </c>
      <c r="B370">
        <v>5384863</v>
      </c>
      <c r="D370">
        <v>5384804</v>
      </c>
      <c r="F370">
        <v>1</v>
      </c>
      <c r="G370">
        <v>0</v>
      </c>
      <c r="H370">
        <v>0.57286488770316246</v>
      </c>
      <c r="I370">
        <v>0</v>
      </c>
      <c r="J370" t="s">
        <v>90</v>
      </c>
      <c r="K370">
        <v>0</v>
      </c>
      <c r="L370">
        <v>0.57286488770316246</v>
      </c>
      <c r="M370">
        <v>0</v>
      </c>
      <c r="N370">
        <v>0</v>
      </c>
      <c r="O370">
        <v>0.57286488770316246</v>
      </c>
      <c r="P370" t="s">
        <v>90</v>
      </c>
      <c r="Q370">
        <v>0</v>
      </c>
      <c r="R370" t="s">
        <v>90</v>
      </c>
      <c r="S370">
        <v>0</v>
      </c>
      <c r="T370" t="s">
        <v>90</v>
      </c>
      <c r="U370">
        <v>0</v>
      </c>
      <c r="V370" t="s">
        <v>90</v>
      </c>
      <c r="W370">
        <v>0</v>
      </c>
      <c r="X370" t="s">
        <v>90</v>
      </c>
      <c r="Y370">
        <v>0</v>
      </c>
      <c r="Z370">
        <v>0.57286488770316246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L370">
        <v>0.012200000000000001</v>
      </c>
      <c r="AN370" t="s">
        <v>223</v>
      </c>
      <c r="AO370" t="s">
        <v>92</v>
      </c>
      <c r="AP370">
        <v>200000</v>
      </c>
      <c r="AQ370" t="s">
        <v>92</v>
      </c>
      <c r="AS370">
        <v>10000</v>
      </c>
      <c r="AT370" t="s">
        <v>3621</v>
      </c>
      <c r="AU370" t="s">
        <v>78</v>
      </c>
      <c r="AV370" t="s">
        <v>79</v>
      </c>
      <c r="AY370">
        <v>0</v>
      </c>
    </row>
    <row r="371" spans="1:52" ht="12.75">
      <c r="A371" s="2" t="str">
        <f>HYPERLINK("https://ibp.a2mac1.com/costing(costing:projects/details/8191/assembly/5384864)","Bezels Passenger Side")</f>
        <v>Bezels Passenger Side</v>
      </c>
      <c r="B371">
        <v>5384864</v>
      </c>
      <c r="D371">
        <v>5384804</v>
      </c>
      <c r="F371">
        <v>1</v>
      </c>
      <c r="G371">
        <v>0</v>
      </c>
      <c r="H371">
        <v>5.7676602537355235</v>
      </c>
      <c r="I371">
        <v>0</v>
      </c>
      <c r="J371" t="s">
        <v>90</v>
      </c>
      <c r="K371">
        <v>0</v>
      </c>
      <c r="L371">
        <v>5.7676602537355235</v>
      </c>
      <c r="M371">
        <v>0</v>
      </c>
      <c r="N371">
        <v>0</v>
      </c>
      <c r="O371">
        <v>5.7676602537355235</v>
      </c>
      <c r="P371" t="s">
        <v>90</v>
      </c>
      <c r="Q371">
        <v>0</v>
      </c>
      <c r="R371" t="s">
        <v>90</v>
      </c>
      <c r="S371">
        <v>0</v>
      </c>
      <c r="T371" t="s">
        <v>90</v>
      </c>
      <c r="U371">
        <v>0</v>
      </c>
      <c r="V371" t="s">
        <v>90</v>
      </c>
      <c r="W371">
        <v>0</v>
      </c>
      <c r="X371" t="s">
        <v>90</v>
      </c>
      <c r="Y371">
        <v>0</v>
      </c>
      <c r="Z371">
        <v>5.7676602537355235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L371">
        <v>0.20300000000000001</v>
      </c>
      <c r="AN371" t="s">
        <v>223</v>
      </c>
      <c r="AO371" t="s">
        <v>92</v>
      </c>
      <c r="AP371">
        <v>200000</v>
      </c>
      <c r="AQ371" t="s">
        <v>92</v>
      </c>
      <c r="AS371">
        <v>10000</v>
      </c>
      <c r="AT371" t="s">
        <v>3635</v>
      </c>
      <c r="AU371" t="s">
        <v>78</v>
      </c>
      <c r="AV371" t="s">
        <v>79</v>
      </c>
      <c r="AY371">
        <v>0</v>
      </c>
    </row>
    <row r="372" spans="1:52" ht="12.75">
      <c r="A372" s="2" t="str">
        <f>HYPERLINK("https://ibp.a2mac1.com/costing(costing:projects/details/8191/assembly/5384804)","Bezels System")</f>
        <v>Bezels System</v>
      </c>
      <c r="B372">
        <v>5384804</v>
      </c>
      <c r="D372">
        <v>5384795</v>
      </c>
      <c r="F372">
        <v>1</v>
      </c>
      <c r="G372">
        <v>0</v>
      </c>
      <c r="H372">
        <v>6.3405251414386861</v>
      </c>
      <c r="I372">
        <v>0</v>
      </c>
      <c r="J372" t="s">
        <v>90</v>
      </c>
      <c r="K372">
        <v>0</v>
      </c>
      <c r="L372">
        <v>6.3405251414386861</v>
      </c>
      <c r="M372">
        <v>0</v>
      </c>
      <c r="N372">
        <v>0</v>
      </c>
      <c r="O372">
        <v>6.3405251414386861</v>
      </c>
      <c r="P372" t="s">
        <v>90</v>
      </c>
      <c r="Q372">
        <v>0</v>
      </c>
      <c r="R372" t="s">
        <v>90</v>
      </c>
      <c r="S372">
        <v>0</v>
      </c>
      <c r="T372" t="s">
        <v>90</v>
      </c>
      <c r="U372">
        <v>0</v>
      </c>
      <c r="V372" t="s">
        <v>90</v>
      </c>
      <c r="W372">
        <v>0</v>
      </c>
      <c r="X372" t="s">
        <v>90</v>
      </c>
      <c r="Y372">
        <v>0</v>
      </c>
      <c r="Z372">
        <v>6.3405251414386861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L372">
        <v>0.2152</v>
      </c>
      <c r="AN372" t="s">
        <v>223</v>
      </c>
      <c r="AO372" t="s">
        <v>92</v>
      </c>
      <c r="AP372">
        <v>200000</v>
      </c>
      <c r="AQ372" t="s">
        <v>92</v>
      </c>
      <c r="AS372">
        <v>10000</v>
      </c>
      <c r="AT372" t="s">
        <v>3636</v>
      </c>
      <c r="AU372" t="s">
        <v>78</v>
      </c>
      <c r="AV372" t="s">
        <v>79</v>
      </c>
      <c r="AY372">
        <v>0</v>
      </c>
    </row>
    <row r="373" spans="1:52" ht="12.75">
      <c r="A373" s="2" t="str">
        <f>HYPERLINK("https://ibp.a2mac1.com/costing(costing:projects/details/8191/assembly/5384974)","Bezels System")</f>
        <v>Bezels System</v>
      </c>
      <c r="B373">
        <v>5384974</v>
      </c>
      <c r="D373">
        <v>5384866</v>
      </c>
      <c r="F373">
        <v>1</v>
      </c>
      <c r="G373">
        <v>0</v>
      </c>
      <c r="H373">
        <v>0.25836999999999999</v>
      </c>
      <c r="I373">
        <v>0</v>
      </c>
      <c r="J373" t="s">
        <v>90</v>
      </c>
      <c r="K373">
        <v>0</v>
      </c>
      <c r="L373">
        <v>0.25836999999999999</v>
      </c>
      <c r="M373">
        <v>0</v>
      </c>
      <c r="N373">
        <v>0</v>
      </c>
      <c r="O373">
        <v>0.25836999999999999</v>
      </c>
      <c r="P373" t="s">
        <v>90</v>
      </c>
      <c r="Q373">
        <v>0</v>
      </c>
      <c r="R373" t="s">
        <v>90</v>
      </c>
      <c r="S373">
        <v>0</v>
      </c>
      <c r="T373" t="s">
        <v>90</v>
      </c>
      <c r="U373">
        <v>0</v>
      </c>
      <c r="V373" t="s">
        <v>90</v>
      </c>
      <c r="W373">
        <v>0</v>
      </c>
      <c r="X373" t="s">
        <v>90</v>
      </c>
      <c r="Y373">
        <v>0</v>
      </c>
      <c r="Z373">
        <v>0.25836999999999999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L373">
        <v>0.048000000000000001</v>
      </c>
      <c r="AN373" t="s">
        <v>223</v>
      </c>
      <c r="AO373" t="s">
        <v>92</v>
      </c>
      <c r="AP373">
        <v>200000</v>
      </c>
      <c r="AQ373" t="s">
        <v>92</v>
      </c>
      <c r="AS373">
        <v>10000</v>
      </c>
      <c r="AT373" t="s">
        <v>3641</v>
      </c>
      <c r="AU373" t="s">
        <v>78</v>
      </c>
      <c r="AV373" t="s">
        <v>79</v>
      </c>
      <c r="AY373">
        <v>0</v>
      </c>
    </row>
    <row r="374" spans="1:52" ht="12.75">
      <c r="A374" s="2" t="str">
        <f>HYPERLINK("https://ibp.a2mac1.com/costing(costing:projects/details/8191/assembly/5384866)","Cluster system")</f>
        <v>Cluster system</v>
      </c>
      <c r="B374">
        <v>5384866</v>
      </c>
      <c r="D374">
        <v>5384805</v>
      </c>
      <c r="F374">
        <v>1</v>
      </c>
      <c r="G374">
        <v>0</v>
      </c>
      <c r="H374">
        <v>63.654299043350008</v>
      </c>
      <c r="I374">
        <v>0</v>
      </c>
      <c r="J374" t="s">
        <v>90</v>
      </c>
      <c r="K374">
        <v>0</v>
      </c>
      <c r="L374">
        <v>63.654299043350008</v>
      </c>
      <c r="M374">
        <v>0</v>
      </c>
      <c r="N374">
        <v>0</v>
      </c>
      <c r="O374">
        <v>63.654299043350008</v>
      </c>
      <c r="P374" t="s">
        <v>90</v>
      </c>
      <c r="Q374">
        <v>0</v>
      </c>
      <c r="R374" t="s">
        <v>90</v>
      </c>
      <c r="S374">
        <v>0</v>
      </c>
      <c r="T374" t="s">
        <v>90</v>
      </c>
      <c r="U374">
        <v>0</v>
      </c>
      <c r="V374" t="s">
        <v>90</v>
      </c>
      <c r="W374">
        <v>0</v>
      </c>
      <c r="X374" t="s">
        <v>90</v>
      </c>
      <c r="Y374">
        <v>0</v>
      </c>
      <c r="Z374">
        <v>63.654299043350008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L374">
        <v>0.715</v>
      </c>
      <c r="AN374" t="s">
        <v>223</v>
      </c>
      <c r="AO374" t="s">
        <v>92</v>
      </c>
      <c r="AP374">
        <v>200000</v>
      </c>
      <c r="AQ374" t="s">
        <v>92</v>
      </c>
      <c r="AS374">
        <v>10000</v>
      </c>
      <c r="AT374" t="s">
        <v>3646</v>
      </c>
      <c r="AU374" t="s">
        <v>78</v>
      </c>
      <c r="AV374" t="s">
        <v>79</v>
      </c>
      <c r="AY374">
        <v>0</v>
      </c>
    </row>
    <row r="375" spans="1:52" ht="12.75">
      <c r="A375" s="2" t="str">
        <f>HYPERLINK("https://ibp.a2mac1.com/costing(costing:projects/details/8191/assembly/5384867)","Audio System")</f>
        <v>Audio System</v>
      </c>
      <c r="B375">
        <v>5384867</v>
      </c>
      <c r="D375">
        <v>5384805</v>
      </c>
      <c r="F375">
        <v>1</v>
      </c>
      <c r="G375">
        <v>0</v>
      </c>
      <c r="H375">
        <v>207.3470362132384</v>
      </c>
      <c r="I375">
        <v>0</v>
      </c>
      <c r="J375" t="s">
        <v>90</v>
      </c>
      <c r="K375">
        <v>0</v>
      </c>
      <c r="L375">
        <v>207.3470362132384</v>
      </c>
      <c r="M375">
        <v>0</v>
      </c>
      <c r="N375">
        <v>0</v>
      </c>
      <c r="O375">
        <v>207.3470362132384</v>
      </c>
      <c r="P375" t="s">
        <v>90</v>
      </c>
      <c r="Q375">
        <v>0</v>
      </c>
      <c r="R375" t="s">
        <v>90</v>
      </c>
      <c r="S375">
        <v>0</v>
      </c>
      <c r="T375" t="s">
        <v>90</v>
      </c>
      <c r="U375">
        <v>0</v>
      </c>
      <c r="V375" t="s">
        <v>90</v>
      </c>
      <c r="W375">
        <v>0</v>
      </c>
      <c r="X375" t="s">
        <v>90</v>
      </c>
      <c r="Y375">
        <v>0</v>
      </c>
      <c r="Z375">
        <v>207.3470362132384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L375">
        <v>1.5569999999999999</v>
      </c>
      <c r="AN375" t="s">
        <v>223</v>
      </c>
      <c r="AO375" t="s">
        <v>92</v>
      </c>
      <c r="AP375">
        <v>200000</v>
      </c>
      <c r="AQ375" t="s">
        <v>92</v>
      </c>
      <c r="AS375">
        <v>10000</v>
      </c>
      <c r="AT375" t="s">
        <v>3653</v>
      </c>
      <c r="AU375" t="s">
        <v>78</v>
      </c>
      <c r="AV375" t="s">
        <v>79</v>
      </c>
      <c r="AY375">
        <v>0</v>
      </c>
    </row>
    <row r="376" spans="1:52" ht="12.75">
      <c r="A376" s="2" t="str">
        <f>HYPERLINK("https://ibp.a2mac1.com/costing(costing:projects/details/8191/assembly/5384868)","LCD Screen System")</f>
        <v>LCD Screen System</v>
      </c>
      <c r="B376">
        <v>5384868</v>
      </c>
      <c r="D376">
        <v>5384805</v>
      </c>
      <c r="F376">
        <v>1</v>
      </c>
      <c r="G376">
        <v>0</v>
      </c>
      <c r="H376">
        <v>125.99115760623452</v>
      </c>
      <c r="I376">
        <v>0</v>
      </c>
      <c r="J376" t="s">
        <v>90</v>
      </c>
      <c r="K376">
        <v>0</v>
      </c>
      <c r="L376">
        <v>125.99115760623452</v>
      </c>
      <c r="M376">
        <v>0</v>
      </c>
      <c r="N376">
        <v>0</v>
      </c>
      <c r="O376">
        <v>125.99115760623452</v>
      </c>
      <c r="P376" t="s">
        <v>90</v>
      </c>
      <c r="Q376">
        <v>0</v>
      </c>
      <c r="R376" t="s">
        <v>90</v>
      </c>
      <c r="S376">
        <v>0</v>
      </c>
      <c r="T376" t="s">
        <v>90</v>
      </c>
      <c r="U376">
        <v>0</v>
      </c>
      <c r="V376" t="s">
        <v>90</v>
      </c>
      <c r="W376">
        <v>0</v>
      </c>
      <c r="X376" t="s">
        <v>90</v>
      </c>
      <c r="Y376">
        <v>0</v>
      </c>
      <c r="Z376">
        <v>125.99115760623452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L376">
        <v>1.7271000000000001</v>
      </c>
      <c r="AN376" t="s">
        <v>223</v>
      </c>
      <c r="AO376" t="s">
        <v>92</v>
      </c>
      <c r="AP376">
        <v>200000</v>
      </c>
      <c r="AQ376" t="s">
        <v>92</v>
      </c>
      <c r="AS376">
        <v>10000</v>
      </c>
      <c r="AT376" t="s">
        <v>3671</v>
      </c>
      <c r="AU376" t="s">
        <v>78</v>
      </c>
      <c r="AV376" t="s">
        <v>79</v>
      </c>
      <c r="AY376">
        <v>0</v>
      </c>
    </row>
    <row r="377" spans="1:52" ht="12.75">
      <c r="A377" s="2" t="str">
        <f>HYPERLINK("https://ibp.a2mac1.com/costing(costing:projects/details/8191/assembly/5384869)","Lighting System")</f>
        <v>Lighting System</v>
      </c>
      <c r="B377">
        <v>5384869</v>
      </c>
      <c r="D377">
        <v>5384805</v>
      </c>
      <c r="F377">
        <v>1</v>
      </c>
      <c r="G377">
        <v>0</v>
      </c>
      <c r="H377">
        <v>4.6136999999999997</v>
      </c>
      <c r="I377">
        <v>0</v>
      </c>
      <c r="J377" t="s">
        <v>90</v>
      </c>
      <c r="K377">
        <v>0</v>
      </c>
      <c r="L377">
        <v>4.6136999999999997</v>
      </c>
      <c r="M377">
        <v>0</v>
      </c>
      <c r="N377">
        <v>0</v>
      </c>
      <c r="O377">
        <v>4.6136999999999997</v>
      </c>
      <c r="P377" t="s">
        <v>90</v>
      </c>
      <c r="Q377">
        <v>0</v>
      </c>
      <c r="R377" t="s">
        <v>90</v>
      </c>
      <c r="S377">
        <v>0</v>
      </c>
      <c r="T377" t="s">
        <v>90</v>
      </c>
      <c r="U377">
        <v>0</v>
      </c>
      <c r="V377" t="s">
        <v>90</v>
      </c>
      <c r="W377">
        <v>0</v>
      </c>
      <c r="X377" t="s">
        <v>90</v>
      </c>
      <c r="Y377">
        <v>0</v>
      </c>
      <c r="Z377">
        <v>4.6136999999999997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L377">
        <v>0.049000000000000002</v>
      </c>
      <c r="AN377" t="s">
        <v>223</v>
      </c>
      <c r="AO377" t="s">
        <v>92</v>
      </c>
      <c r="AP377">
        <v>200000</v>
      </c>
      <c r="AQ377" t="s">
        <v>92</v>
      </c>
      <c r="AS377">
        <v>10000</v>
      </c>
      <c r="AT377" t="s">
        <v>3675</v>
      </c>
      <c r="AU377" t="s">
        <v>78</v>
      </c>
      <c r="AV377" t="s">
        <v>79</v>
      </c>
      <c r="AY377">
        <v>0</v>
      </c>
    </row>
    <row r="378" spans="1:52" ht="12.75">
      <c r="A378" s="2" t="str">
        <f>HYPERLINK("https://ibp.a2mac1.com/costing(costing:projects/details/8191/assembly/5384870)","Electronics Ignition System")</f>
        <v>Electronics Ignition System</v>
      </c>
      <c r="B378">
        <v>5384870</v>
      </c>
      <c r="D378">
        <v>5384805</v>
      </c>
      <c r="F378">
        <v>1</v>
      </c>
      <c r="G378">
        <v>0</v>
      </c>
      <c r="H378">
        <v>2.4452600000000002</v>
      </c>
      <c r="I378">
        <v>0</v>
      </c>
      <c r="J378" t="s">
        <v>90</v>
      </c>
      <c r="K378">
        <v>0</v>
      </c>
      <c r="L378">
        <v>2.4452600000000002</v>
      </c>
      <c r="M378">
        <v>0</v>
      </c>
      <c r="N378">
        <v>0</v>
      </c>
      <c r="O378">
        <v>2.4452600000000002</v>
      </c>
      <c r="P378" t="s">
        <v>90</v>
      </c>
      <c r="Q378">
        <v>0</v>
      </c>
      <c r="R378" t="s">
        <v>90</v>
      </c>
      <c r="S378">
        <v>0</v>
      </c>
      <c r="T378" t="s">
        <v>90</v>
      </c>
      <c r="U378">
        <v>0</v>
      </c>
      <c r="V378" t="s">
        <v>90</v>
      </c>
      <c r="W378">
        <v>0</v>
      </c>
      <c r="X378" t="s">
        <v>90</v>
      </c>
      <c r="Y378">
        <v>0</v>
      </c>
      <c r="Z378">
        <v>2.4452600000000002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L378">
        <v>0.023</v>
      </c>
      <c r="AN378" t="s">
        <v>223</v>
      </c>
      <c r="AO378" t="s">
        <v>92</v>
      </c>
      <c r="AP378">
        <v>200000</v>
      </c>
      <c r="AQ378" t="s">
        <v>92</v>
      </c>
      <c r="AS378">
        <v>10000</v>
      </c>
      <c r="AT378" t="s">
        <v>3681</v>
      </c>
      <c r="AU378" t="s">
        <v>78</v>
      </c>
      <c r="AV378" t="s">
        <v>79</v>
      </c>
      <c r="AY378">
        <v>0</v>
      </c>
    </row>
    <row r="379" spans="1:52" ht="12.75">
      <c r="A379" s="2" t="str">
        <f>HYPERLINK("https://ibp.a2mac1.com/costing(costing:projects/details/8191/assembly/5384871)","Ambiance Light System")</f>
        <v>Ambiance Light System</v>
      </c>
      <c r="B379">
        <v>5384871</v>
      </c>
      <c r="D379">
        <v>5384805</v>
      </c>
      <c r="F379">
        <v>1</v>
      </c>
      <c r="G379">
        <v>0</v>
      </c>
      <c r="H379">
        <v>6.4130500000000001</v>
      </c>
      <c r="I379">
        <v>0</v>
      </c>
      <c r="J379" t="s">
        <v>90</v>
      </c>
      <c r="K379">
        <v>0</v>
      </c>
      <c r="L379">
        <v>6.4130500000000001</v>
      </c>
      <c r="M379">
        <v>0</v>
      </c>
      <c r="N379">
        <v>0</v>
      </c>
      <c r="O379">
        <v>6.4130500000000001</v>
      </c>
      <c r="P379" t="s">
        <v>90</v>
      </c>
      <c r="Q379">
        <v>0</v>
      </c>
      <c r="R379" t="s">
        <v>90</v>
      </c>
      <c r="S379">
        <v>0</v>
      </c>
      <c r="T379" t="s">
        <v>90</v>
      </c>
      <c r="U379">
        <v>0</v>
      </c>
      <c r="V379" t="s">
        <v>90</v>
      </c>
      <c r="W379">
        <v>0</v>
      </c>
      <c r="X379" t="s">
        <v>90</v>
      </c>
      <c r="Y379">
        <v>0</v>
      </c>
      <c r="Z379">
        <v>6.4130500000000001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L379">
        <v>0.1031</v>
      </c>
      <c r="AN379" t="s">
        <v>223</v>
      </c>
      <c r="AO379" t="s">
        <v>92</v>
      </c>
      <c r="AP379">
        <v>200000</v>
      </c>
      <c r="AQ379" t="s">
        <v>92</v>
      </c>
      <c r="AS379">
        <v>10000</v>
      </c>
      <c r="AT379" t="s">
        <v>3694</v>
      </c>
      <c r="AU379" t="s">
        <v>78</v>
      </c>
      <c r="AV379" t="s">
        <v>79</v>
      </c>
      <c r="AY379">
        <v>0</v>
      </c>
    </row>
    <row r="380" spans="1:52" ht="12.75">
      <c r="A380" s="2" t="str">
        <f>HYPERLINK("https://ibp.a2mac1.com/costing(costing:projects/details/8191/assembly/5384872)","Driver Communication Light Bar System")</f>
        <v>Driver Communication Light Bar System</v>
      </c>
      <c r="B380">
        <v>5384872</v>
      </c>
      <c r="D380">
        <v>5384805</v>
      </c>
      <c r="F380">
        <v>1</v>
      </c>
      <c r="G380">
        <v>0</v>
      </c>
      <c r="H380">
        <v>18.886737577586636</v>
      </c>
      <c r="I380">
        <v>0</v>
      </c>
      <c r="J380" t="s">
        <v>90</v>
      </c>
      <c r="K380">
        <v>0</v>
      </c>
      <c r="L380">
        <v>18.886737577586636</v>
      </c>
      <c r="M380">
        <v>0</v>
      </c>
      <c r="N380">
        <v>0</v>
      </c>
      <c r="O380">
        <v>18.886737577586636</v>
      </c>
      <c r="P380" t="s">
        <v>90</v>
      </c>
      <c r="Q380">
        <v>0</v>
      </c>
      <c r="R380" t="s">
        <v>90</v>
      </c>
      <c r="S380">
        <v>0</v>
      </c>
      <c r="T380" t="s">
        <v>90</v>
      </c>
      <c r="U380">
        <v>0</v>
      </c>
      <c r="V380" t="s">
        <v>90</v>
      </c>
      <c r="W380">
        <v>0</v>
      </c>
      <c r="X380" t="s">
        <v>90</v>
      </c>
      <c r="Y380">
        <v>0</v>
      </c>
      <c r="Z380">
        <v>18.886737577586636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L380">
        <v>1.1733</v>
      </c>
      <c r="AN380" t="s">
        <v>223</v>
      </c>
      <c r="AO380" t="s">
        <v>92</v>
      </c>
      <c r="AP380">
        <v>200000</v>
      </c>
      <c r="AQ380" t="s">
        <v>92</v>
      </c>
      <c r="AS380">
        <v>10000</v>
      </c>
      <c r="AT380" t="s">
        <v>3713</v>
      </c>
      <c r="AU380" t="s">
        <v>78</v>
      </c>
      <c r="AV380" t="s">
        <v>79</v>
      </c>
      <c r="AY380">
        <v>0</v>
      </c>
    </row>
    <row r="381" spans="1:52" ht="12.75">
      <c r="A381" s="2" t="str">
        <f>HYPERLINK("https://ibp.a2mac1.com/costing(costing:projects/details/8191/assembly/5384805)","Instrumentation")</f>
        <v>Instrumentation</v>
      </c>
      <c r="B381">
        <v>5384805</v>
      </c>
      <c r="D381">
        <v>5384795</v>
      </c>
      <c r="F381">
        <v>1</v>
      </c>
      <c r="G381">
        <v>0</v>
      </c>
      <c r="H381">
        <v>432.94993044040956</v>
      </c>
      <c r="I381">
        <v>0</v>
      </c>
      <c r="J381" t="s">
        <v>90</v>
      </c>
      <c r="K381">
        <v>0</v>
      </c>
      <c r="L381">
        <v>432.94993044040956</v>
      </c>
      <c r="M381">
        <v>0</v>
      </c>
      <c r="N381">
        <v>0</v>
      </c>
      <c r="O381">
        <v>432.94993044040956</v>
      </c>
      <c r="P381" t="s">
        <v>90</v>
      </c>
      <c r="Q381">
        <v>0</v>
      </c>
      <c r="R381" t="s">
        <v>90</v>
      </c>
      <c r="S381">
        <v>0</v>
      </c>
      <c r="T381" t="s">
        <v>90</v>
      </c>
      <c r="U381">
        <v>0</v>
      </c>
      <c r="V381" t="s">
        <v>90</v>
      </c>
      <c r="W381">
        <v>0</v>
      </c>
      <c r="X381" t="s">
        <v>90</v>
      </c>
      <c r="Y381">
        <v>0</v>
      </c>
      <c r="Z381">
        <v>432.94993044040956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L381">
        <v>5.4154999999999998</v>
      </c>
      <c r="AN381" t="s">
        <v>223</v>
      </c>
      <c r="AO381" t="s">
        <v>92</v>
      </c>
      <c r="AP381">
        <v>200000</v>
      </c>
      <c r="AQ381" t="s">
        <v>92</v>
      </c>
      <c r="AS381">
        <v>10000</v>
      </c>
      <c r="AT381" t="s">
        <v>3717</v>
      </c>
      <c r="AU381" t="s">
        <v>78</v>
      </c>
      <c r="AV381" t="s">
        <v>79</v>
      </c>
      <c r="AY381">
        <v>0</v>
      </c>
    </row>
    <row r="382" spans="1:52" ht="12.75">
      <c r="A382" s="2" t="str">
        <f>HYPERLINK("https://ibp.a2mac1.com/costing(costing:projects/details/8191/assembly/5385005)","Opening System")</f>
        <v>Opening System</v>
      </c>
      <c r="B382">
        <v>5385005</v>
      </c>
      <c r="D382">
        <v>5384873</v>
      </c>
      <c r="F382">
        <v>1</v>
      </c>
      <c r="G382">
        <v>0</v>
      </c>
      <c r="H382">
        <v>0.24157860795501701</v>
      </c>
      <c r="I382">
        <v>0</v>
      </c>
      <c r="J382" t="s">
        <v>90</v>
      </c>
      <c r="K382">
        <v>0</v>
      </c>
      <c r="L382">
        <v>0.24157860795501701</v>
      </c>
      <c r="M382">
        <v>0</v>
      </c>
      <c r="N382">
        <v>0</v>
      </c>
      <c r="O382">
        <v>0.24157860795501701</v>
      </c>
      <c r="P382" t="s">
        <v>90</v>
      </c>
      <c r="Q382">
        <v>0</v>
      </c>
      <c r="R382" t="s">
        <v>90</v>
      </c>
      <c r="S382">
        <v>0</v>
      </c>
      <c r="T382" t="s">
        <v>90</v>
      </c>
      <c r="U382">
        <v>0</v>
      </c>
      <c r="V382" t="s">
        <v>90</v>
      </c>
      <c r="W382">
        <v>0</v>
      </c>
      <c r="X382" t="s">
        <v>90</v>
      </c>
      <c r="Y382">
        <v>0</v>
      </c>
      <c r="Z382">
        <v>0.24157860795501701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L382">
        <v>0.094</v>
      </c>
      <c r="AN382" t="s">
        <v>223</v>
      </c>
      <c r="AO382" t="s">
        <v>92</v>
      </c>
      <c r="AP382">
        <v>200000</v>
      </c>
      <c r="AQ382" t="s">
        <v>92</v>
      </c>
      <c r="AS382">
        <v>10000</v>
      </c>
      <c r="AT382" t="s">
        <v>3760</v>
      </c>
      <c r="AU382" t="s">
        <v>78</v>
      </c>
      <c r="AV382" t="s">
        <v>79</v>
      </c>
      <c r="AY382">
        <v>0</v>
      </c>
    </row>
    <row r="383" spans="1:52" ht="12.75">
      <c r="A383" s="2" t="str">
        <f>HYPERLINK("https://ibp.a2mac1.com/costing(costing:projects/details/8191/assembly/5384873)","Glove Box System")</f>
        <v>Glove Box System</v>
      </c>
      <c r="B383">
        <v>5384873</v>
      </c>
      <c r="D383">
        <v>5384806</v>
      </c>
      <c r="F383">
        <v>1</v>
      </c>
      <c r="G383">
        <v>0</v>
      </c>
      <c r="H383">
        <v>5.2404175673698532</v>
      </c>
      <c r="I383">
        <v>0</v>
      </c>
      <c r="J383" t="s">
        <v>90</v>
      </c>
      <c r="K383">
        <v>0</v>
      </c>
      <c r="L383">
        <v>5.2404175673698532</v>
      </c>
      <c r="M383">
        <v>0</v>
      </c>
      <c r="N383">
        <v>0</v>
      </c>
      <c r="O383">
        <v>5.2404175673698532</v>
      </c>
      <c r="P383" t="s">
        <v>90</v>
      </c>
      <c r="Q383">
        <v>0</v>
      </c>
      <c r="R383" t="s">
        <v>90</v>
      </c>
      <c r="S383">
        <v>0</v>
      </c>
      <c r="T383" t="s">
        <v>90</v>
      </c>
      <c r="U383">
        <v>0</v>
      </c>
      <c r="V383" t="s">
        <v>90</v>
      </c>
      <c r="W383">
        <v>0</v>
      </c>
      <c r="X383" t="s">
        <v>90</v>
      </c>
      <c r="Y383">
        <v>0</v>
      </c>
      <c r="Z383">
        <v>5.2404175673698532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250</v>
      </c>
      <c r="AI383">
        <v>560</v>
      </c>
      <c r="AJ383">
        <v>370</v>
      </c>
      <c r="AL383">
        <v>2.9687000000000001</v>
      </c>
      <c r="AN383" t="s">
        <v>223</v>
      </c>
      <c r="AO383" t="s">
        <v>92</v>
      </c>
      <c r="AP383">
        <v>200000</v>
      </c>
      <c r="AQ383" t="s">
        <v>92</v>
      </c>
      <c r="AS383">
        <v>10000</v>
      </c>
      <c r="AT383" t="s">
        <v>3790</v>
      </c>
      <c r="AU383" t="s">
        <v>78</v>
      </c>
      <c r="AV383" t="s">
        <v>79</v>
      </c>
      <c r="AY383">
        <v>0</v>
      </c>
    </row>
    <row r="384" spans="1:52" ht="12.75">
      <c r="A384" s="2" t="str">
        <f>HYPERLINK("https://ibp.a2mac1.com/costing(costing:projects/details/8191/assembly/5384806)","Storage Compartments")</f>
        <v>Storage Compartments</v>
      </c>
      <c r="B384">
        <v>5384806</v>
      </c>
      <c r="D384">
        <v>5384795</v>
      </c>
      <c r="F384">
        <v>1</v>
      </c>
      <c r="G384">
        <v>0</v>
      </c>
      <c r="H384">
        <v>5.2404175673698532</v>
      </c>
      <c r="I384">
        <v>0</v>
      </c>
      <c r="J384" t="s">
        <v>90</v>
      </c>
      <c r="K384">
        <v>0</v>
      </c>
      <c r="L384">
        <v>5.2404175673698532</v>
      </c>
      <c r="M384">
        <v>0</v>
      </c>
      <c r="N384">
        <v>0</v>
      </c>
      <c r="O384">
        <v>5.2404175673698532</v>
      </c>
      <c r="P384" t="s">
        <v>90</v>
      </c>
      <c r="Q384">
        <v>0</v>
      </c>
      <c r="R384" t="s">
        <v>90</v>
      </c>
      <c r="S384">
        <v>0</v>
      </c>
      <c r="T384" t="s">
        <v>90</v>
      </c>
      <c r="U384">
        <v>0</v>
      </c>
      <c r="V384" t="s">
        <v>90</v>
      </c>
      <c r="W384">
        <v>0</v>
      </c>
      <c r="X384" t="s">
        <v>90</v>
      </c>
      <c r="Y384">
        <v>0</v>
      </c>
      <c r="Z384">
        <v>5.2404175673698532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L384">
        <v>2.9687000000000001</v>
      </c>
      <c r="AN384" t="s">
        <v>223</v>
      </c>
      <c r="AO384" t="s">
        <v>92</v>
      </c>
      <c r="AP384">
        <v>200000</v>
      </c>
      <c r="AQ384" t="s">
        <v>92</v>
      </c>
      <c r="AS384">
        <v>10000</v>
      </c>
      <c r="AT384" t="s">
        <v>3791</v>
      </c>
      <c r="AU384" t="s">
        <v>78</v>
      </c>
      <c r="AV384" t="s">
        <v>79</v>
      </c>
      <c r="AY384">
        <v>0</v>
      </c>
    </row>
    <row r="385" spans="1:52" ht="12.75">
      <c r="A385" s="2" t="str">
        <f>HYPERLINK("https://ibp.a2mac1.com/costing(costing:projects/details/8191/assembly/5384874)","Center Air Vent")</f>
        <v>Center Air Vent</v>
      </c>
      <c r="B385">
        <v>5384874</v>
      </c>
      <c r="D385">
        <v>5384807</v>
      </c>
      <c r="F385">
        <v>1</v>
      </c>
      <c r="G385">
        <v>0</v>
      </c>
      <c r="H385">
        <v>6.8565098712206334</v>
      </c>
      <c r="I385">
        <v>0</v>
      </c>
      <c r="J385" t="s">
        <v>90</v>
      </c>
      <c r="K385">
        <v>0</v>
      </c>
      <c r="L385">
        <v>6.8565098712206334</v>
      </c>
      <c r="M385">
        <v>0</v>
      </c>
      <c r="N385">
        <v>0</v>
      </c>
      <c r="O385">
        <v>6.8565098712206334</v>
      </c>
      <c r="P385" t="s">
        <v>90</v>
      </c>
      <c r="Q385">
        <v>0</v>
      </c>
      <c r="R385" t="s">
        <v>90</v>
      </c>
      <c r="S385">
        <v>0</v>
      </c>
      <c r="T385" t="s">
        <v>90</v>
      </c>
      <c r="U385">
        <v>0</v>
      </c>
      <c r="V385" t="s">
        <v>90</v>
      </c>
      <c r="W385">
        <v>0</v>
      </c>
      <c r="X385" t="s">
        <v>90</v>
      </c>
      <c r="Y385">
        <v>0</v>
      </c>
      <c r="Z385">
        <v>6.8565098712206334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L385">
        <v>0.2702</v>
      </c>
      <c r="AN385" t="s">
        <v>223</v>
      </c>
      <c r="AO385" t="s">
        <v>92</v>
      </c>
      <c r="AP385">
        <v>200000</v>
      </c>
      <c r="AQ385" t="s">
        <v>92</v>
      </c>
      <c r="AS385">
        <v>10000</v>
      </c>
      <c r="AT385" t="s">
        <v>3800</v>
      </c>
      <c r="AU385" t="s">
        <v>78</v>
      </c>
      <c r="AV385" t="s">
        <v>79</v>
      </c>
      <c r="AY385">
        <v>0</v>
      </c>
    </row>
    <row r="386" spans="1:52" ht="12.75">
      <c r="A386" s="2" t="str">
        <f>HYPERLINK("https://ibp.a2mac1.com/costing(costing:projects/details/8191/assembly/5384875)","Right Air Vent")</f>
        <v>Right Air Vent</v>
      </c>
      <c r="B386">
        <v>5384875</v>
      </c>
      <c r="D386">
        <v>5384807</v>
      </c>
      <c r="F386">
        <v>1</v>
      </c>
      <c r="G386">
        <v>0</v>
      </c>
      <c r="H386">
        <v>11.48147514067646</v>
      </c>
      <c r="I386">
        <v>0</v>
      </c>
      <c r="J386" t="s">
        <v>90</v>
      </c>
      <c r="K386">
        <v>0</v>
      </c>
      <c r="L386">
        <v>11.48147514067646</v>
      </c>
      <c r="M386">
        <v>0</v>
      </c>
      <c r="N386">
        <v>0</v>
      </c>
      <c r="O386">
        <v>11.48147514067646</v>
      </c>
      <c r="P386" t="s">
        <v>90</v>
      </c>
      <c r="Q386">
        <v>0</v>
      </c>
      <c r="R386" t="s">
        <v>90</v>
      </c>
      <c r="S386">
        <v>0</v>
      </c>
      <c r="T386" t="s">
        <v>90</v>
      </c>
      <c r="U386">
        <v>0</v>
      </c>
      <c r="V386" t="s">
        <v>90</v>
      </c>
      <c r="W386">
        <v>0</v>
      </c>
      <c r="X386" t="s">
        <v>90</v>
      </c>
      <c r="Y386">
        <v>0</v>
      </c>
      <c r="Z386">
        <v>11.48147514067646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L386">
        <v>0.43869999999999998</v>
      </c>
      <c r="AN386" t="s">
        <v>223</v>
      </c>
      <c r="AO386" t="s">
        <v>92</v>
      </c>
      <c r="AP386">
        <v>200000</v>
      </c>
      <c r="AQ386" t="s">
        <v>92</v>
      </c>
      <c r="AS386">
        <v>10000</v>
      </c>
      <c r="AT386" t="s">
        <v>3809</v>
      </c>
      <c r="AU386" t="s">
        <v>78</v>
      </c>
      <c r="AV386" t="s">
        <v>79</v>
      </c>
      <c r="AY386">
        <v>0</v>
      </c>
    </row>
    <row r="387" spans="1:52" ht="12.75">
      <c r="A387" s="2" t="str">
        <f>HYPERLINK("https://ibp.a2mac1.com/costing(costing:projects/details/8191/assembly/5384876)","Left Air Vent")</f>
        <v>Left Air Vent</v>
      </c>
      <c r="B387">
        <v>5384876</v>
      </c>
      <c r="D387">
        <v>5384807</v>
      </c>
      <c r="F387">
        <v>1</v>
      </c>
      <c r="G387">
        <v>0</v>
      </c>
      <c r="H387">
        <v>5.0639779991261467</v>
      </c>
      <c r="I387">
        <v>0</v>
      </c>
      <c r="J387" t="s">
        <v>90</v>
      </c>
      <c r="K387">
        <v>0</v>
      </c>
      <c r="L387">
        <v>5.0639779991261467</v>
      </c>
      <c r="M387">
        <v>0</v>
      </c>
      <c r="N387">
        <v>0</v>
      </c>
      <c r="O387">
        <v>5.0639779991261467</v>
      </c>
      <c r="P387" t="s">
        <v>90</v>
      </c>
      <c r="Q387">
        <v>0</v>
      </c>
      <c r="R387" t="s">
        <v>90</v>
      </c>
      <c r="S387">
        <v>0</v>
      </c>
      <c r="T387" t="s">
        <v>90</v>
      </c>
      <c r="U387">
        <v>0</v>
      </c>
      <c r="V387" t="s">
        <v>90</v>
      </c>
      <c r="W387">
        <v>0</v>
      </c>
      <c r="X387" t="s">
        <v>90</v>
      </c>
      <c r="Y387">
        <v>0</v>
      </c>
      <c r="Z387">
        <v>5.0639779991261467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L387">
        <v>0.43869999999999998</v>
      </c>
      <c r="AN387" t="s">
        <v>223</v>
      </c>
      <c r="AO387" t="s">
        <v>92</v>
      </c>
      <c r="AP387">
        <v>200000</v>
      </c>
      <c r="AQ387" t="s">
        <v>92</v>
      </c>
      <c r="AS387">
        <v>10000</v>
      </c>
      <c r="AT387" t="s">
        <v>3821</v>
      </c>
      <c r="AU387" t="s">
        <v>78</v>
      </c>
      <c r="AV387" t="s">
        <v>79</v>
      </c>
      <c r="AY387">
        <v>0</v>
      </c>
    </row>
    <row r="388" spans="1:52" ht="12.75">
      <c r="A388" s="2" t="str">
        <f>HYPERLINK("https://ibp.a2mac1.com/costing(costing:projects/details/8191/assembly/5384807)","Air Vent")</f>
        <v>Air Vent</v>
      </c>
      <c r="B388">
        <v>5384807</v>
      </c>
      <c r="D388">
        <v>5384795</v>
      </c>
      <c r="F388">
        <v>1</v>
      </c>
      <c r="G388">
        <v>0</v>
      </c>
      <c r="H388">
        <v>23.401963011023241</v>
      </c>
      <c r="I388">
        <v>0</v>
      </c>
      <c r="J388" t="s">
        <v>90</v>
      </c>
      <c r="K388">
        <v>0</v>
      </c>
      <c r="L388">
        <v>23.401963011023241</v>
      </c>
      <c r="M388">
        <v>0</v>
      </c>
      <c r="N388">
        <v>0</v>
      </c>
      <c r="O388">
        <v>23.401963011023241</v>
      </c>
      <c r="P388" t="s">
        <v>90</v>
      </c>
      <c r="Q388">
        <v>0</v>
      </c>
      <c r="R388" t="s">
        <v>90</v>
      </c>
      <c r="S388">
        <v>0</v>
      </c>
      <c r="T388" t="s">
        <v>90</v>
      </c>
      <c r="U388">
        <v>0</v>
      </c>
      <c r="V388" t="s">
        <v>90</v>
      </c>
      <c r="W388">
        <v>0</v>
      </c>
      <c r="X388" t="s">
        <v>90</v>
      </c>
      <c r="Y388">
        <v>0</v>
      </c>
      <c r="Z388">
        <v>23.401963011023241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L388">
        <v>0.89259999999999995</v>
      </c>
      <c r="AN388" t="s">
        <v>223</v>
      </c>
      <c r="AO388" t="s">
        <v>92</v>
      </c>
      <c r="AP388">
        <v>200000</v>
      </c>
      <c r="AQ388" t="s">
        <v>92</v>
      </c>
      <c r="AS388">
        <v>10000</v>
      </c>
      <c r="AT388" t="s">
        <v>3822</v>
      </c>
      <c r="AU388" t="s">
        <v>78</v>
      </c>
      <c r="AV388" t="s">
        <v>79</v>
      </c>
      <c r="AY388">
        <v>0</v>
      </c>
    </row>
    <row r="389" spans="1:52" ht="12.75">
      <c r="A389" s="2" t="str">
        <f>HYPERLINK("https://ibp.a2mac1.com/costing(costing:projects/details/8191/assembly/5384878)","Speaker Grille")</f>
        <v>Speaker Grille</v>
      </c>
      <c r="B389">
        <v>5384878</v>
      </c>
      <c r="D389">
        <v>5384808</v>
      </c>
      <c r="F389">
        <v>1</v>
      </c>
      <c r="G389">
        <v>0</v>
      </c>
      <c r="H389">
        <v>0.29527999999999999</v>
      </c>
      <c r="I389">
        <v>0</v>
      </c>
      <c r="J389" t="s">
        <v>90</v>
      </c>
      <c r="K389">
        <v>0</v>
      </c>
      <c r="L389">
        <v>0.29527999999999999</v>
      </c>
      <c r="M389">
        <v>0</v>
      </c>
      <c r="N389">
        <v>0</v>
      </c>
      <c r="O389">
        <v>0.29527999999999999</v>
      </c>
      <c r="P389" t="s">
        <v>90</v>
      </c>
      <c r="Q389">
        <v>0</v>
      </c>
      <c r="R389" t="s">
        <v>90</v>
      </c>
      <c r="S389">
        <v>0</v>
      </c>
      <c r="T389" t="s">
        <v>90</v>
      </c>
      <c r="U389">
        <v>0</v>
      </c>
      <c r="V389" t="s">
        <v>90</v>
      </c>
      <c r="W389">
        <v>0</v>
      </c>
      <c r="X389" t="s">
        <v>90</v>
      </c>
      <c r="Y389">
        <v>0</v>
      </c>
      <c r="Z389">
        <v>0.29527999999999999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L389">
        <v>0.073899999999999993</v>
      </c>
      <c r="AN389" t="s">
        <v>223</v>
      </c>
      <c r="AO389" t="s">
        <v>92</v>
      </c>
      <c r="AP389">
        <v>200000</v>
      </c>
      <c r="AQ389" t="s">
        <v>92</v>
      </c>
      <c r="AS389">
        <v>10000</v>
      </c>
      <c r="AT389" t="s">
        <v>3826</v>
      </c>
      <c r="AU389" t="s">
        <v>78</v>
      </c>
      <c r="AV389" t="s">
        <v>79</v>
      </c>
      <c r="AY389">
        <v>0</v>
      </c>
    </row>
    <row r="390" spans="1:52" ht="12.75">
      <c r="A390" s="2" t="str">
        <f>HYPERLINK("https://ibp.a2mac1.com/costing(costing:projects/details/8191/assembly/5384808)","Speakers System")</f>
        <v>Speakers System</v>
      </c>
      <c r="B390">
        <v>5384808</v>
      </c>
      <c r="D390">
        <v>5384795</v>
      </c>
      <c r="F390">
        <v>1</v>
      </c>
      <c r="G390">
        <v>0</v>
      </c>
      <c r="H390">
        <v>1.83626</v>
      </c>
      <c r="I390">
        <v>0</v>
      </c>
      <c r="J390" t="s">
        <v>90</v>
      </c>
      <c r="K390">
        <v>0</v>
      </c>
      <c r="L390">
        <v>1.83626</v>
      </c>
      <c r="M390">
        <v>0</v>
      </c>
      <c r="N390">
        <v>0</v>
      </c>
      <c r="O390">
        <v>1.83626</v>
      </c>
      <c r="P390" t="s">
        <v>90</v>
      </c>
      <c r="Q390">
        <v>0</v>
      </c>
      <c r="R390" t="s">
        <v>90</v>
      </c>
      <c r="S390">
        <v>0</v>
      </c>
      <c r="T390" t="s">
        <v>90</v>
      </c>
      <c r="U390">
        <v>0</v>
      </c>
      <c r="V390" t="s">
        <v>90</v>
      </c>
      <c r="W390">
        <v>0</v>
      </c>
      <c r="X390" t="s">
        <v>90</v>
      </c>
      <c r="Y390">
        <v>0</v>
      </c>
      <c r="Z390">
        <v>1.83626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L390">
        <v>0.30880000000000002</v>
      </c>
      <c r="AN390" t="s">
        <v>223</v>
      </c>
      <c r="AO390" t="s">
        <v>92</v>
      </c>
      <c r="AP390">
        <v>200000</v>
      </c>
      <c r="AQ390" t="s">
        <v>92</v>
      </c>
      <c r="AS390">
        <v>10000</v>
      </c>
      <c r="AT390" t="s">
        <v>3830</v>
      </c>
      <c r="AU390" t="s">
        <v>78</v>
      </c>
      <c r="AV390" t="s">
        <v>79</v>
      </c>
      <c r="AY390">
        <v>0</v>
      </c>
    </row>
    <row r="391" spans="1:52" ht="12.75">
      <c r="A391" s="2" t="str">
        <f>HYPERLINK("https://ibp.a2mac1.com/costing(costing:projects/details/8191/assembly/5384809)","Fuse Box Trap")</f>
        <v>Fuse Box Trap</v>
      </c>
      <c r="B391">
        <v>5384809</v>
      </c>
      <c r="D391">
        <v>5384795</v>
      </c>
      <c r="F391">
        <v>1</v>
      </c>
      <c r="G391">
        <v>0</v>
      </c>
      <c r="H391">
        <v>0.24506260619732589</v>
      </c>
      <c r="I391">
        <v>0</v>
      </c>
      <c r="J391" t="s">
        <v>90</v>
      </c>
      <c r="K391">
        <v>0</v>
      </c>
      <c r="L391">
        <v>0.24506260619732589</v>
      </c>
      <c r="M391">
        <v>0</v>
      </c>
      <c r="N391">
        <v>0</v>
      </c>
      <c r="O391">
        <v>0.24506260619732589</v>
      </c>
      <c r="P391" t="s">
        <v>90</v>
      </c>
      <c r="Q391">
        <v>0</v>
      </c>
      <c r="R391" t="s">
        <v>90</v>
      </c>
      <c r="S391">
        <v>0</v>
      </c>
      <c r="T391" t="s">
        <v>90</v>
      </c>
      <c r="U391">
        <v>0</v>
      </c>
      <c r="V391" t="s">
        <v>90</v>
      </c>
      <c r="W391">
        <v>0</v>
      </c>
      <c r="X391" t="s">
        <v>90</v>
      </c>
      <c r="Y391">
        <v>0</v>
      </c>
      <c r="Z391">
        <v>0.24506260619732589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L391">
        <v>0.14299999999999999</v>
      </c>
      <c r="AN391" t="s">
        <v>223</v>
      </c>
      <c r="AO391" t="s">
        <v>92</v>
      </c>
      <c r="AP391">
        <v>200000</v>
      </c>
      <c r="AQ391" t="s">
        <v>92</v>
      </c>
      <c r="AS391">
        <v>10000</v>
      </c>
      <c r="AT391" t="s">
        <v>3840</v>
      </c>
      <c r="AU391" t="s">
        <v>78</v>
      </c>
      <c r="AV391" t="s">
        <v>79</v>
      </c>
      <c r="AY391">
        <v>0</v>
      </c>
    </row>
    <row r="392" spans="1:52" ht="12.75">
      <c r="A392" s="2" t="str">
        <f>HYPERLINK("https://ibp.a2mac1.com/costing(costing:projects/details/8191/assembly/5384810)","Lighting System Under Dashboard")</f>
        <v>Lighting System Under Dashboard</v>
      </c>
      <c r="B392">
        <v>5384810</v>
      </c>
      <c r="D392">
        <v>5384795</v>
      </c>
      <c r="F392">
        <v>1</v>
      </c>
      <c r="G392">
        <v>0</v>
      </c>
      <c r="H392">
        <v>1.2918400000000001</v>
      </c>
      <c r="I392">
        <v>0</v>
      </c>
      <c r="J392" t="s">
        <v>90</v>
      </c>
      <c r="K392">
        <v>0</v>
      </c>
      <c r="L392">
        <v>1.2918400000000001</v>
      </c>
      <c r="M392">
        <v>0</v>
      </c>
      <c r="N392">
        <v>0</v>
      </c>
      <c r="O392">
        <v>1.2918400000000001</v>
      </c>
      <c r="P392" t="s">
        <v>90</v>
      </c>
      <c r="Q392">
        <v>0</v>
      </c>
      <c r="R392" t="s">
        <v>90</v>
      </c>
      <c r="S392">
        <v>0</v>
      </c>
      <c r="T392" t="s">
        <v>90</v>
      </c>
      <c r="U392">
        <v>0</v>
      </c>
      <c r="V392" t="s">
        <v>90</v>
      </c>
      <c r="W392">
        <v>0</v>
      </c>
      <c r="X392" t="s">
        <v>90</v>
      </c>
      <c r="Y392">
        <v>0</v>
      </c>
      <c r="Z392">
        <v>1.2918400000000001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L392">
        <v>0.0060000000000000001</v>
      </c>
      <c r="AN392" t="s">
        <v>223</v>
      </c>
      <c r="AO392" t="s">
        <v>92</v>
      </c>
      <c r="AP392">
        <v>200000</v>
      </c>
      <c r="AQ392" t="s">
        <v>92</v>
      </c>
      <c r="AS392">
        <v>10000</v>
      </c>
      <c r="AT392" t="s">
        <v>3843</v>
      </c>
      <c r="AU392" t="s">
        <v>78</v>
      </c>
      <c r="AV392" t="s">
        <v>79</v>
      </c>
      <c r="AY392">
        <v>0</v>
      </c>
    </row>
    <row r="393" spans="1:52" ht="12.75">
      <c r="A393" s="2" t="str">
        <f>HYPERLINK("https://ibp.a2mac1.com/costing(costing:projects/details/8191/assembly/5384795)","Instrument Panel")</f>
        <v>Instrument Panel</v>
      </c>
      <c r="B393">
        <v>5384795</v>
      </c>
      <c r="D393">
        <v>5384794</v>
      </c>
      <c r="F393">
        <v>1</v>
      </c>
      <c r="G393">
        <v>0</v>
      </c>
      <c r="H393">
        <v>516.55882103846159</v>
      </c>
      <c r="I393">
        <v>2.5957729700425207</v>
      </c>
      <c r="J393" t="s">
        <v>137</v>
      </c>
      <c r="K393">
        <v>18.079558736346158</v>
      </c>
      <c r="L393">
        <v>537.23415274485035</v>
      </c>
      <c r="M393">
        <v>0</v>
      </c>
      <c r="N393">
        <v>0</v>
      </c>
      <c r="O393">
        <v>537.23415274485035</v>
      </c>
      <c r="P393" t="s">
        <v>138</v>
      </c>
      <c r="Q393">
        <v>32.234049164691022</v>
      </c>
      <c r="R393" t="s">
        <v>138</v>
      </c>
      <c r="S393">
        <v>0</v>
      </c>
      <c r="T393" t="s">
        <v>139</v>
      </c>
      <c r="U393">
        <v>64.468098329382045</v>
      </c>
      <c r="V393" t="s">
        <v>90</v>
      </c>
      <c r="W393">
        <v>0</v>
      </c>
      <c r="X393" t="s">
        <v>90</v>
      </c>
      <c r="Y393">
        <v>0</v>
      </c>
      <c r="Z393">
        <v>633.93630023892342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750</v>
      </c>
      <c r="AI393">
        <v>1445</v>
      </c>
      <c r="AJ393">
        <v>770</v>
      </c>
      <c r="AL393">
        <v>31.032</v>
      </c>
      <c r="AN393" t="s">
        <v>661</v>
      </c>
      <c r="AO393" t="s">
        <v>92</v>
      </c>
      <c r="AP393">
        <v>200000</v>
      </c>
      <c r="AQ393" t="s">
        <v>76</v>
      </c>
      <c r="AS393">
        <v>10000</v>
      </c>
      <c r="AT393" t="s">
        <v>3861</v>
      </c>
      <c r="AU393" t="s">
        <v>78</v>
      </c>
      <c r="AV393" t="s">
        <v>79</v>
      </c>
      <c r="AY393">
        <v>0</v>
      </c>
    </row>
    <row r="394" spans="1:52" ht="12.75">
      <c r="A394" s="2" t="str">
        <f>HYPERLINK("https://ibp.a2mac1.com/costing(costing:projects/details/8191/assembly/5384826)","Interior Floor Insulation System")</f>
        <v>Interior Floor Insulation System</v>
      </c>
      <c r="B394">
        <v>5384826</v>
      </c>
      <c r="D394">
        <v>5384796</v>
      </c>
      <c r="F394">
        <v>1</v>
      </c>
      <c r="G394">
        <v>0</v>
      </c>
      <c r="H394">
        <v>8.1000215105119437</v>
      </c>
      <c r="I394">
        <v>0</v>
      </c>
      <c r="J394" t="s">
        <v>90</v>
      </c>
      <c r="K394">
        <v>0</v>
      </c>
      <c r="L394">
        <v>8.1000215105119437</v>
      </c>
      <c r="M394">
        <v>0</v>
      </c>
      <c r="N394">
        <v>0</v>
      </c>
      <c r="O394">
        <v>8.1000215105119437</v>
      </c>
      <c r="P394" t="s">
        <v>90</v>
      </c>
      <c r="Q394">
        <v>0</v>
      </c>
      <c r="R394" t="s">
        <v>90</v>
      </c>
      <c r="S394">
        <v>0</v>
      </c>
      <c r="T394" t="s">
        <v>90</v>
      </c>
      <c r="U394">
        <v>0</v>
      </c>
      <c r="V394" t="s">
        <v>90</v>
      </c>
      <c r="W394">
        <v>0</v>
      </c>
      <c r="X394" t="s">
        <v>90</v>
      </c>
      <c r="Y394">
        <v>0</v>
      </c>
      <c r="Z394">
        <v>8.1000215105119437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L394">
        <v>0.53400000000000003</v>
      </c>
      <c r="AN394" t="s">
        <v>223</v>
      </c>
      <c r="AO394" t="s">
        <v>92</v>
      </c>
      <c r="AP394">
        <v>200000</v>
      </c>
      <c r="AQ394" t="s">
        <v>92</v>
      </c>
      <c r="AS394">
        <v>10000</v>
      </c>
      <c r="AT394" t="s">
        <v>3893</v>
      </c>
      <c r="AU394" t="s">
        <v>78</v>
      </c>
      <c r="AV394" t="s">
        <v>79</v>
      </c>
      <c r="AY394">
        <v>0</v>
      </c>
    </row>
    <row r="395" spans="1:52" ht="12.75">
      <c r="A395" s="2" t="str">
        <f>HYPERLINK("https://ibp.a2mac1.com/costing(costing:projects/details/8191/assembly/5384827)","Trunk Area Sound Insulation System")</f>
        <v>Trunk Area Sound Insulation System</v>
      </c>
      <c r="B395">
        <v>5384827</v>
      </c>
      <c r="D395">
        <v>5384796</v>
      </c>
      <c r="F395">
        <v>1</v>
      </c>
      <c r="G395">
        <v>0</v>
      </c>
      <c r="H395">
        <v>3.0220086967012465</v>
      </c>
      <c r="I395">
        <v>0</v>
      </c>
      <c r="J395" t="s">
        <v>90</v>
      </c>
      <c r="K395">
        <v>0</v>
      </c>
      <c r="L395">
        <v>3.0220086967012465</v>
      </c>
      <c r="M395">
        <v>0</v>
      </c>
      <c r="N395">
        <v>0</v>
      </c>
      <c r="O395">
        <v>3.0220086967012465</v>
      </c>
      <c r="P395" t="s">
        <v>90</v>
      </c>
      <c r="Q395">
        <v>0</v>
      </c>
      <c r="R395" t="s">
        <v>90</v>
      </c>
      <c r="S395">
        <v>0</v>
      </c>
      <c r="T395" t="s">
        <v>90</v>
      </c>
      <c r="U395">
        <v>0</v>
      </c>
      <c r="V395" t="s">
        <v>90</v>
      </c>
      <c r="W395">
        <v>0</v>
      </c>
      <c r="X395" t="s">
        <v>90</v>
      </c>
      <c r="Y395">
        <v>0</v>
      </c>
      <c r="Z395">
        <v>3.0220086967012465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L395">
        <v>0.114</v>
      </c>
      <c r="AN395" t="s">
        <v>223</v>
      </c>
      <c r="AO395" t="s">
        <v>92</v>
      </c>
      <c r="AP395">
        <v>200000</v>
      </c>
      <c r="AQ395" t="s">
        <v>92</v>
      </c>
      <c r="AS395">
        <v>10000</v>
      </c>
      <c r="AT395" t="s">
        <v>3914</v>
      </c>
      <c r="AU395" t="s">
        <v>78</v>
      </c>
      <c r="AV395" t="s">
        <v>79</v>
      </c>
      <c r="AY395">
        <v>0</v>
      </c>
    </row>
    <row r="396" spans="1:52" ht="12.75">
      <c r="A396" s="2" t="str">
        <f>HYPERLINK("https://ibp.a2mac1.com/costing(costing:projects/details/8191/assembly/5384828)","Sound Insulation on Inner Panels")</f>
        <v>Sound Insulation on Inner Panels</v>
      </c>
      <c r="B396">
        <v>5384828</v>
      </c>
      <c r="D396">
        <v>5384796</v>
      </c>
      <c r="F396">
        <v>1</v>
      </c>
      <c r="G396">
        <v>0</v>
      </c>
      <c r="H396">
        <v>10.776681439843379</v>
      </c>
      <c r="I396">
        <v>0</v>
      </c>
      <c r="J396" t="s">
        <v>90</v>
      </c>
      <c r="K396">
        <v>0</v>
      </c>
      <c r="L396">
        <v>10.776681439843379</v>
      </c>
      <c r="M396">
        <v>0</v>
      </c>
      <c r="N396">
        <v>0</v>
      </c>
      <c r="O396">
        <v>10.776681439843379</v>
      </c>
      <c r="P396" t="s">
        <v>90</v>
      </c>
      <c r="Q396">
        <v>0</v>
      </c>
      <c r="R396" t="s">
        <v>90</v>
      </c>
      <c r="S396">
        <v>0</v>
      </c>
      <c r="T396" t="s">
        <v>90</v>
      </c>
      <c r="U396">
        <v>0</v>
      </c>
      <c r="V396" t="s">
        <v>90</v>
      </c>
      <c r="W396">
        <v>0</v>
      </c>
      <c r="X396" t="s">
        <v>90</v>
      </c>
      <c r="Y396">
        <v>0</v>
      </c>
      <c r="Z396">
        <v>10.776681439843379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L396">
        <v>0.33</v>
      </c>
      <c r="AN396" t="s">
        <v>223</v>
      </c>
      <c r="AO396" t="s">
        <v>92</v>
      </c>
      <c r="AP396">
        <v>200000</v>
      </c>
      <c r="AQ396" t="s">
        <v>92</v>
      </c>
      <c r="AS396">
        <v>10000</v>
      </c>
      <c r="AT396" t="s">
        <v>3961</v>
      </c>
      <c r="AU396" t="s">
        <v>78</v>
      </c>
      <c r="AV396" t="s">
        <v>79</v>
      </c>
      <c r="AY396">
        <v>0</v>
      </c>
    </row>
    <row r="397" spans="1:52" ht="12.75">
      <c r="A397" s="2" t="str">
        <f>HYPERLINK("https://ibp.a2mac1.com/costing(costing:projects/details/8191/assembly/5384902)","Passenger Side")</f>
        <v>Passenger Side</v>
      </c>
      <c r="B397">
        <v>5384902</v>
      </c>
      <c r="D397">
        <v>5384829</v>
      </c>
      <c r="F397">
        <v>1</v>
      </c>
      <c r="G397">
        <v>0</v>
      </c>
      <c r="H397">
        <v>0.15352476195362558</v>
      </c>
      <c r="I397">
        <v>0</v>
      </c>
      <c r="J397" t="s">
        <v>90</v>
      </c>
      <c r="K397">
        <v>0</v>
      </c>
      <c r="L397">
        <v>0.15352476195362558</v>
      </c>
      <c r="M397">
        <v>0</v>
      </c>
      <c r="N397">
        <v>0</v>
      </c>
      <c r="O397">
        <v>0.15352476195362558</v>
      </c>
      <c r="P397" t="s">
        <v>90</v>
      </c>
      <c r="Q397">
        <v>0</v>
      </c>
      <c r="R397" t="s">
        <v>90</v>
      </c>
      <c r="S397">
        <v>0</v>
      </c>
      <c r="T397" t="s">
        <v>90</v>
      </c>
      <c r="U397">
        <v>0</v>
      </c>
      <c r="V397" t="s">
        <v>90</v>
      </c>
      <c r="W397">
        <v>0</v>
      </c>
      <c r="X397" t="s">
        <v>90</v>
      </c>
      <c r="Y397">
        <v>0</v>
      </c>
      <c r="Z397">
        <v>0.15352476195362558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L397">
        <v>0.0070000000000000001</v>
      </c>
      <c r="AN397" t="s">
        <v>223</v>
      </c>
      <c r="AO397" t="s">
        <v>92</v>
      </c>
      <c r="AP397">
        <v>200000</v>
      </c>
      <c r="AQ397" t="s">
        <v>92</v>
      </c>
      <c r="AS397">
        <v>10000</v>
      </c>
      <c r="AT397" t="s">
        <v>3968</v>
      </c>
      <c r="AU397" t="s">
        <v>78</v>
      </c>
      <c r="AV397" t="s">
        <v>79</v>
      </c>
      <c r="AY397">
        <v>0</v>
      </c>
    </row>
    <row r="398" spans="1:52" ht="12.75">
      <c r="A398" s="2" t="str">
        <f>HYPERLINK("https://ibp.a2mac1.com/costing(costing:projects/details/8191/assembly/5384829)","Instrument Panel Insulation System")</f>
        <v>Instrument Panel Insulation System</v>
      </c>
      <c r="B398">
        <v>5384829</v>
      </c>
      <c r="D398">
        <v>5384796</v>
      </c>
      <c r="F398">
        <v>1</v>
      </c>
      <c r="G398">
        <v>0</v>
      </c>
      <c r="H398">
        <v>1.4573932878480511</v>
      </c>
      <c r="I398">
        <v>0</v>
      </c>
      <c r="J398" t="s">
        <v>90</v>
      </c>
      <c r="K398">
        <v>0</v>
      </c>
      <c r="L398">
        <v>1.4573932878480511</v>
      </c>
      <c r="M398">
        <v>0</v>
      </c>
      <c r="N398">
        <v>0</v>
      </c>
      <c r="O398">
        <v>1.4573932878480511</v>
      </c>
      <c r="P398" t="s">
        <v>90</v>
      </c>
      <c r="Q398">
        <v>0</v>
      </c>
      <c r="R398" t="s">
        <v>90</v>
      </c>
      <c r="S398">
        <v>0</v>
      </c>
      <c r="T398" t="s">
        <v>90</v>
      </c>
      <c r="U398">
        <v>0</v>
      </c>
      <c r="V398" t="s">
        <v>90</v>
      </c>
      <c r="W398">
        <v>0</v>
      </c>
      <c r="X398" t="s">
        <v>90</v>
      </c>
      <c r="Y398">
        <v>0</v>
      </c>
      <c r="Z398">
        <v>1.4573932878480511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L398">
        <v>0.124</v>
      </c>
      <c r="AN398" t="s">
        <v>223</v>
      </c>
      <c r="AO398" t="s">
        <v>92</v>
      </c>
      <c r="AP398">
        <v>200000</v>
      </c>
      <c r="AQ398" t="s">
        <v>92</v>
      </c>
      <c r="AS398">
        <v>10000</v>
      </c>
      <c r="AT398" t="s">
        <v>3972</v>
      </c>
      <c r="AU398" t="s">
        <v>78</v>
      </c>
      <c r="AV398" t="s">
        <v>79</v>
      </c>
      <c r="AY398">
        <v>0</v>
      </c>
    </row>
    <row r="399" spans="1:52" ht="12.75">
      <c r="A399" s="2" t="str">
        <f>HYPERLINK("https://ibp.a2mac1.com/costing(costing:projects/details/8191/assembly/5384796)","Noise Insulation")</f>
        <v>Noise Insulation</v>
      </c>
      <c r="B399">
        <v>5384796</v>
      </c>
      <c r="D399">
        <v>5384794</v>
      </c>
      <c r="F399">
        <v>1</v>
      </c>
      <c r="G399">
        <v>0</v>
      </c>
      <c r="H399">
        <v>81.945255578150594</v>
      </c>
      <c r="I399">
        <v>0</v>
      </c>
      <c r="J399" t="s">
        <v>90</v>
      </c>
      <c r="K399">
        <v>0</v>
      </c>
      <c r="L399">
        <v>81.945255578150594</v>
      </c>
      <c r="M399">
        <v>0</v>
      </c>
      <c r="N399">
        <v>0</v>
      </c>
      <c r="O399">
        <v>81.945255578150594</v>
      </c>
      <c r="P399" t="s">
        <v>90</v>
      </c>
      <c r="Q399">
        <v>0</v>
      </c>
      <c r="R399" t="s">
        <v>90</v>
      </c>
      <c r="S399">
        <v>0</v>
      </c>
      <c r="T399" t="s">
        <v>90</v>
      </c>
      <c r="U399">
        <v>0</v>
      </c>
      <c r="V399" t="s">
        <v>90</v>
      </c>
      <c r="W399">
        <v>0</v>
      </c>
      <c r="X399" t="s">
        <v>90</v>
      </c>
      <c r="Y399">
        <v>0</v>
      </c>
      <c r="Z399">
        <v>81.945255578150594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L399">
        <v>5.5842999999999998</v>
      </c>
      <c r="AN399" t="s">
        <v>223</v>
      </c>
      <c r="AO399" t="s">
        <v>92</v>
      </c>
      <c r="AP399">
        <v>200000</v>
      </c>
      <c r="AQ399" t="s">
        <v>92</v>
      </c>
      <c r="AS399">
        <v>10000</v>
      </c>
      <c r="AT399" t="s">
        <v>4060</v>
      </c>
      <c r="AU399" t="s">
        <v>78</v>
      </c>
      <c r="AV399" t="s">
        <v>79</v>
      </c>
      <c r="AY399">
        <v>0</v>
      </c>
    </row>
    <row r="400" spans="1:52" ht="12.75">
      <c r="A400" s="2" t="str">
        <f>HYPERLINK("https://ibp.a2mac1.com/costing(costing:projects/details/8191/assembly/5384834)","Center Console")</f>
        <v>Center Console</v>
      </c>
      <c r="B400">
        <v>5384834</v>
      </c>
      <c r="D400">
        <v>5384797</v>
      </c>
      <c r="F400">
        <v>1</v>
      </c>
      <c r="G400">
        <v>0</v>
      </c>
      <c r="H400">
        <v>6.1889779681412218</v>
      </c>
      <c r="I400">
        <v>0</v>
      </c>
      <c r="J400" t="s">
        <v>90</v>
      </c>
      <c r="K400">
        <v>0</v>
      </c>
      <c r="L400">
        <v>6.1889779681412218</v>
      </c>
      <c r="M400">
        <v>0</v>
      </c>
      <c r="N400">
        <v>0</v>
      </c>
      <c r="O400">
        <v>6.1889779681412218</v>
      </c>
      <c r="P400" t="s">
        <v>90</v>
      </c>
      <c r="Q400">
        <v>0</v>
      </c>
      <c r="R400" t="s">
        <v>90</v>
      </c>
      <c r="S400">
        <v>0</v>
      </c>
      <c r="T400" t="s">
        <v>90</v>
      </c>
      <c r="U400">
        <v>0</v>
      </c>
      <c r="V400" t="s">
        <v>90</v>
      </c>
      <c r="W400">
        <v>0</v>
      </c>
      <c r="X400" t="s">
        <v>90</v>
      </c>
      <c r="Y400">
        <v>0</v>
      </c>
      <c r="Z400">
        <v>6.1889779681412218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L400">
        <v>2.6082000000000001</v>
      </c>
      <c r="AN400" t="s">
        <v>223</v>
      </c>
      <c r="AO400" t="s">
        <v>92</v>
      </c>
      <c r="AP400">
        <v>200000</v>
      </c>
      <c r="AQ400" t="s">
        <v>92</v>
      </c>
      <c r="AS400">
        <v>10000</v>
      </c>
      <c r="AT400" t="s">
        <v>4077</v>
      </c>
      <c r="AU400" t="s">
        <v>78</v>
      </c>
      <c r="AV400" t="s">
        <v>79</v>
      </c>
      <c r="AY400">
        <v>0</v>
      </c>
    </row>
    <row r="401" spans="1:52" ht="12.75">
      <c r="A401" s="2" t="str">
        <f>HYPERLINK("https://ibp.a2mac1.com/costing(costing:projects/details/8191/assembly/5384906)","Left Side")</f>
        <v>Left Side</v>
      </c>
      <c r="B401">
        <v>5384906</v>
      </c>
      <c r="D401">
        <v>5384835</v>
      </c>
      <c r="F401">
        <v>1</v>
      </c>
      <c r="G401">
        <v>0</v>
      </c>
      <c r="H401">
        <v>0.7002715834400407</v>
      </c>
      <c r="I401">
        <v>0</v>
      </c>
      <c r="J401" t="s">
        <v>90</v>
      </c>
      <c r="K401">
        <v>0</v>
      </c>
      <c r="L401">
        <v>0.7002715834400407</v>
      </c>
      <c r="M401">
        <v>0</v>
      </c>
      <c r="N401">
        <v>0</v>
      </c>
      <c r="O401">
        <v>0.7002715834400407</v>
      </c>
      <c r="P401" t="s">
        <v>90</v>
      </c>
      <c r="Q401">
        <v>0</v>
      </c>
      <c r="R401" t="s">
        <v>90</v>
      </c>
      <c r="S401">
        <v>0</v>
      </c>
      <c r="T401" t="s">
        <v>90</v>
      </c>
      <c r="U401">
        <v>0</v>
      </c>
      <c r="V401" t="s">
        <v>90</v>
      </c>
      <c r="W401">
        <v>0</v>
      </c>
      <c r="X401" t="s">
        <v>90</v>
      </c>
      <c r="Y401">
        <v>0</v>
      </c>
      <c r="Z401">
        <v>0.7002715834400407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L401">
        <v>0.4153</v>
      </c>
      <c r="AN401" t="s">
        <v>223</v>
      </c>
      <c r="AO401" t="s">
        <v>92</v>
      </c>
      <c r="AP401">
        <v>200000</v>
      </c>
      <c r="AQ401" t="s">
        <v>92</v>
      </c>
      <c r="AS401">
        <v>10000</v>
      </c>
      <c r="AT401" t="s">
        <v>4085</v>
      </c>
      <c r="AU401" t="s">
        <v>78</v>
      </c>
      <c r="AV401" t="s">
        <v>79</v>
      </c>
      <c r="AY401">
        <v>0</v>
      </c>
    </row>
    <row r="402" spans="1:52" ht="12.75">
      <c r="A402" s="2" t="str">
        <f>HYPERLINK("https://ibp.a2mac1.com/costing(costing:projects/details/8191/assembly/5384907)","Right Side")</f>
        <v>Right Side</v>
      </c>
      <c r="B402">
        <v>5384907</v>
      </c>
      <c r="D402">
        <v>5384835</v>
      </c>
      <c r="F402">
        <v>1</v>
      </c>
      <c r="G402">
        <v>0</v>
      </c>
      <c r="H402">
        <v>0.7037735069182316</v>
      </c>
      <c r="I402">
        <v>0</v>
      </c>
      <c r="J402" t="s">
        <v>90</v>
      </c>
      <c r="K402">
        <v>0</v>
      </c>
      <c r="L402">
        <v>0.7037735069182316</v>
      </c>
      <c r="M402">
        <v>0</v>
      </c>
      <c r="N402">
        <v>0</v>
      </c>
      <c r="O402">
        <v>0.7037735069182316</v>
      </c>
      <c r="P402" t="s">
        <v>90</v>
      </c>
      <c r="Q402">
        <v>0</v>
      </c>
      <c r="R402" t="s">
        <v>90</v>
      </c>
      <c r="S402">
        <v>0</v>
      </c>
      <c r="T402" t="s">
        <v>90</v>
      </c>
      <c r="U402">
        <v>0</v>
      </c>
      <c r="V402" t="s">
        <v>90</v>
      </c>
      <c r="W402">
        <v>0</v>
      </c>
      <c r="X402" t="s">
        <v>90</v>
      </c>
      <c r="Y402">
        <v>0</v>
      </c>
      <c r="Z402">
        <v>0.7037735069182316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L402">
        <v>0.41820000000000002</v>
      </c>
      <c r="AN402" t="s">
        <v>223</v>
      </c>
      <c r="AO402" t="s">
        <v>92</v>
      </c>
      <c r="AP402">
        <v>200000</v>
      </c>
      <c r="AQ402" t="s">
        <v>92</v>
      </c>
      <c r="AS402">
        <v>10000</v>
      </c>
      <c r="AT402" t="s">
        <v>4092</v>
      </c>
      <c r="AU402" t="s">
        <v>78</v>
      </c>
      <c r="AV402" t="s">
        <v>79</v>
      </c>
      <c r="AY402">
        <v>0</v>
      </c>
    </row>
    <row r="403" spans="1:52" ht="12.75">
      <c r="A403" s="2" t="str">
        <f>HYPERLINK("https://ibp.a2mac1.com/costing(costing:projects/details/8191/assembly/5384835)","Side Covers")</f>
        <v>Side Covers</v>
      </c>
      <c r="B403">
        <v>5384835</v>
      </c>
      <c r="D403">
        <v>5384797</v>
      </c>
      <c r="F403">
        <v>1</v>
      </c>
      <c r="G403">
        <v>0</v>
      </c>
      <c r="H403">
        <v>1.4040450903582724</v>
      </c>
      <c r="I403">
        <v>0</v>
      </c>
      <c r="J403" t="s">
        <v>90</v>
      </c>
      <c r="K403">
        <v>0</v>
      </c>
      <c r="L403">
        <v>1.4040450903582724</v>
      </c>
      <c r="M403">
        <v>0</v>
      </c>
      <c r="N403">
        <v>0</v>
      </c>
      <c r="O403">
        <v>1.4040450903582724</v>
      </c>
      <c r="P403" t="s">
        <v>90</v>
      </c>
      <c r="Q403">
        <v>0</v>
      </c>
      <c r="R403" t="s">
        <v>90</v>
      </c>
      <c r="S403">
        <v>0</v>
      </c>
      <c r="T403" t="s">
        <v>90</v>
      </c>
      <c r="U403">
        <v>0</v>
      </c>
      <c r="V403" t="s">
        <v>90</v>
      </c>
      <c r="W403">
        <v>0</v>
      </c>
      <c r="X403" t="s">
        <v>90</v>
      </c>
      <c r="Y403">
        <v>0</v>
      </c>
      <c r="Z403">
        <v>1.4040450903582724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L403">
        <v>0.83350000000000002</v>
      </c>
      <c r="AN403" t="s">
        <v>223</v>
      </c>
      <c r="AO403" t="s">
        <v>92</v>
      </c>
      <c r="AP403">
        <v>200000</v>
      </c>
      <c r="AQ403" t="s">
        <v>92</v>
      </c>
      <c r="AS403">
        <v>10000</v>
      </c>
      <c r="AT403" t="s">
        <v>4093</v>
      </c>
      <c r="AU403" t="s">
        <v>78</v>
      </c>
      <c r="AV403" t="s">
        <v>79</v>
      </c>
      <c r="AY403">
        <v>0</v>
      </c>
    </row>
    <row r="404" spans="1:52" ht="12.75">
      <c r="A404" s="2" t="str">
        <f>HYPERLINK("https://ibp.a2mac1.com/costing(costing:projects/details/8191/assembly/5384836)","Mounting Bracket")</f>
        <v>Mounting Bracket</v>
      </c>
      <c r="B404">
        <v>5384836</v>
      </c>
      <c r="D404">
        <v>5384797</v>
      </c>
      <c r="F404">
        <v>1</v>
      </c>
      <c r="G404">
        <v>0</v>
      </c>
      <c r="H404">
        <v>0.96924906696931257</v>
      </c>
      <c r="I404">
        <v>0</v>
      </c>
      <c r="J404" t="s">
        <v>90</v>
      </c>
      <c r="K404">
        <v>0</v>
      </c>
      <c r="L404">
        <v>0.96924906696931257</v>
      </c>
      <c r="M404">
        <v>0</v>
      </c>
      <c r="N404">
        <v>0</v>
      </c>
      <c r="O404">
        <v>0.96924906696931257</v>
      </c>
      <c r="P404" t="s">
        <v>90</v>
      </c>
      <c r="Q404">
        <v>0</v>
      </c>
      <c r="R404" t="s">
        <v>90</v>
      </c>
      <c r="S404">
        <v>0</v>
      </c>
      <c r="T404" t="s">
        <v>90</v>
      </c>
      <c r="U404">
        <v>0</v>
      </c>
      <c r="V404" t="s">
        <v>90</v>
      </c>
      <c r="W404">
        <v>0</v>
      </c>
      <c r="X404" t="s">
        <v>90</v>
      </c>
      <c r="Y404">
        <v>0</v>
      </c>
      <c r="Z404">
        <v>0.96924906696931257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L404">
        <v>1.0382</v>
      </c>
      <c r="AN404" t="s">
        <v>223</v>
      </c>
      <c r="AO404" t="s">
        <v>92</v>
      </c>
      <c r="AP404">
        <v>200000</v>
      </c>
      <c r="AQ404" t="s">
        <v>92</v>
      </c>
      <c r="AS404">
        <v>10000</v>
      </c>
      <c r="AT404" t="s">
        <v>4109</v>
      </c>
      <c r="AU404" t="s">
        <v>78</v>
      </c>
      <c r="AV404" t="s">
        <v>79</v>
      </c>
      <c r="AY404">
        <v>0</v>
      </c>
    </row>
    <row r="405" spans="1:52" ht="12.75">
      <c r="A405" s="2" t="str">
        <f>HYPERLINK("https://ibp.a2mac1.com/costing(costing:projects/details/8191/assembly/5385040)","Vehicle Keys")</f>
        <v>Vehicle Keys</v>
      </c>
      <c r="B405">
        <v>5385040</v>
      </c>
      <c r="D405">
        <v>5384910</v>
      </c>
      <c r="F405">
        <v>1</v>
      </c>
      <c r="G405">
        <v>0</v>
      </c>
      <c r="H405">
        <v>12.211549031912957</v>
      </c>
      <c r="I405">
        <v>0.061364567999562601</v>
      </c>
      <c r="J405" t="s">
        <v>137</v>
      </c>
      <c r="K405">
        <v>0.42740421611695351</v>
      </c>
      <c r="L405">
        <v>12.700317816029473</v>
      </c>
      <c r="M405">
        <v>0</v>
      </c>
      <c r="N405">
        <v>0.46853652963771647</v>
      </c>
      <c r="O405">
        <v>13.16885434566719</v>
      </c>
      <c r="P405" t="s">
        <v>90</v>
      </c>
      <c r="Q405">
        <v>0</v>
      </c>
      <c r="R405" t="s">
        <v>90</v>
      </c>
      <c r="S405">
        <v>0</v>
      </c>
      <c r="T405" t="s">
        <v>90</v>
      </c>
      <c r="U405">
        <v>0</v>
      </c>
      <c r="V405" t="s">
        <v>90</v>
      </c>
      <c r="W405">
        <v>0</v>
      </c>
      <c r="X405" t="s">
        <v>90</v>
      </c>
      <c r="Y405">
        <v>0</v>
      </c>
      <c r="Z405">
        <v>13.16885434566719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15</v>
      </c>
      <c r="AI405">
        <v>39</v>
      </c>
      <c r="AJ405">
        <v>80</v>
      </c>
      <c r="AL405">
        <v>0.058999999999999997</v>
      </c>
      <c r="AM405" t="s">
        <v>1386</v>
      </c>
      <c r="AN405" t="s">
        <v>501</v>
      </c>
      <c r="AO405" t="s">
        <v>92</v>
      </c>
      <c r="AP405">
        <v>200000</v>
      </c>
      <c r="AQ405" t="s">
        <v>92</v>
      </c>
      <c r="AS405">
        <v>10000</v>
      </c>
      <c r="AT405" t="s">
        <v>4114</v>
      </c>
      <c r="AU405" t="s">
        <v>78</v>
      </c>
      <c r="AV405" t="s">
        <v>79</v>
      </c>
      <c r="AY405">
        <v>0</v>
      </c>
    </row>
    <row r="406" spans="1:52" ht="12.75">
      <c r="A406" s="2" t="str">
        <f>HYPERLINK("https://ibp.a2mac1.com/costing(costing:projects/details/8191/assembly/5384910)","Ignition Switch System")</f>
        <v>Ignition Switch System</v>
      </c>
      <c r="B406">
        <v>5384910</v>
      </c>
      <c r="D406">
        <v>5384837</v>
      </c>
      <c r="F406">
        <v>1</v>
      </c>
      <c r="G406">
        <v>0</v>
      </c>
      <c r="H406">
        <v>13.16885434566719</v>
      </c>
      <c r="I406">
        <v>0</v>
      </c>
      <c r="J406" t="s">
        <v>90</v>
      </c>
      <c r="K406">
        <v>0</v>
      </c>
      <c r="L406">
        <v>13.16885434566719</v>
      </c>
      <c r="M406">
        <v>0</v>
      </c>
      <c r="N406">
        <v>0</v>
      </c>
      <c r="O406">
        <v>13.16885434566719</v>
      </c>
      <c r="P406" t="s">
        <v>90</v>
      </c>
      <c r="Q406">
        <v>0</v>
      </c>
      <c r="R406" t="s">
        <v>90</v>
      </c>
      <c r="S406">
        <v>0</v>
      </c>
      <c r="T406" t="s">
        <v>90</v>
      </c>
      <c r="U406">
        <v>0</v>
      </c>
      <c r="V406" t="s">
        <v>90</v>
      </c>
      <c r="W406">
        <v>0</v>
      </c>
      <c r="X406" t="s">
        <v>90</v>
      </c>
      <c r="Y406">
        <v>0</v>
      </c>
      <c r="Z406">
        <v>13.16885434566719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L406">
        <v>0.058999999999999997</v>
      </c>
      <c r="AN406" t="s">
        <v>223</v>
      </c>
      <c r="AO406" t="s">
        <v>92</v>
      </c>
      <c r="AP406">
        <v>200000</v>
      </c>
      <c r="AQ406" t="s">
        <v>92</v>
      </c>
      <c r="AS406">
        <v>10000</v>
      </c>
      <c r="AT406" t="s">
        <v>4115</v>
      </c>
      <c r="AU406" t="s">
        <v>78</v>
      </c>
      <c r="AV406" t="s">
        <v>79</v>
      </c>
      <c r="AY406">
        <v>0</v>
      </c>
    </row>
    <row r="407" spans="1:52" ht="12.75">
      <c r="A407" s="2" t="str">
        <f>HYPERLINK("https://ibp.a2mac1.com/costing(costing:projects/details/8191/assembly/5384837)","Instrumentation")</f>
        <v>Instrumentation</v>
      </c>
      <c r="B407">
        <v>5384837</v>
      </c>
      <c r="D407">
        <v>5384797</v>
      </c>
      <c r="F407">
        <v>1</v>
      </c>
      <c r="G407">
        <v>0</v>
      </c>
      <c r="H407">
        <v>13.16885434566719</v>
      </c>
      <c r="I407">
        <v>0</v>
      </c>
      <c r="J407" t="s">
        <v>90</v>
      </c>
      <c r="K407">
        <v>0</v>
      </c>
      <c r="L407">
        <v>13.16885434566719</v>
      </c>
      <c r="M407">
        <v>0</v>
      </c>
      <c r="N407">
        <v>0</v>
      </c>
      <c r="O407">
        <v>13.16885434566719</v>
      </c>
      <c r="P407" t="s">
        <v>90</v>
      </c>
      <c r="Q407">
        <v>0</v>
      </c>
      <c r="R407" t="s">
        <v>90</v>
      </c>
      <c r="S407">
        <v>0</v>
      </c>
      <c r="T407" t="s">
        <v>90</v>
      </c>
      <c r="U407">
        <v>0</v>
      </c>
      <c r="V407" t="s">
        <v>90</v>
      </c>
      <c r="W407">
        <v>0</v>
      </c>
      <c r="X407" t="s">
        <v>90</v>
      </c>
      <c r="Y407">
        <v>0</v>
      </c>
      <c r="Z407">
        <v>13.16885434566719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L407">
        <v>0.058999999999999997</v>
      </c>
      <c r="AN407" t="s">
        <v>223</v>
      </c>
      <c r="AO407" t="s">
        <v>92</v>
      </c>
      <c r="AP407">
        <v>200000</v>
      </c>
      <c r="AQ407" t="s">
        <v>92</v>
      </c>
      <c r="AS407">
        <v>10000</v>
      </c>
      <c r="AT407" t="s">
        <v>4116</v>
      </c>
      <c r="AU407" t="s">
        <v>78</v>
      </c>
      <c r="AV407" t="s">
        <v>79</v>
      </c>
      <c r="AY407">
        <v>0</v>
      </c>
    </row>
    <row r="408" spans="1:52" ht="12.75">
      <c r="A408" s="2" t="str">
        <f>HYPERLINK("https://ibp.a2mac1.com/costing(costing:projects/details/8191/assembly/5384838)","Center Storage")</f>
        <v>Center Storage</v>
      </c>
      <c r="B408">
        <v>5384838</v>
      </c>
      <c r="D408">
        <v>5384797</v>
      </c>
      <c r="F408">
        <v>1</v>
      </c>
      <c r="G408">
        <v>0</v>
      </c>
      <c r="H408">
        <v>4.1317040065468138</v>
      </c>
      <c r="I408">
        <v>0</v>
      </c>
      <c r="J408" t="s">
        <v>90</v>
      </c>
      <c r="K408">
        <v>0</v>
      </c>
      <c r="L408">
        <v>4.1317040065468138</v>
      </c>
      <c r="M408">
        <v>0</v>
      </c>
      <c r="N408">
        <v>0</v>
      </c>
      <c r="O408">
        <v>4.1317040065468138</v>
      </c>
      <c r="P408" t="s">
        <v>90</v>
      </c>
      <c r="Q408">
        <v>0</v>
      </c>
      <c r="R408" t="s">
        <v>90</v>
      </c>
      <c r="S408">
        <v>0</v>
      </c>
      <c r="T408" t="s">
        <v>90</v>
      </c>
      <c r="U408">
        <v>0</v>
      </c>
      <c r="V408" t="s">
        <v>90</v>
      </c>
      <c r="W408">
        <v>0</v>
      </c>
      <c r="X408" t="s">
        <v>90</v>
      </c>
      <c r="Y408">
        <v>0</v>
      </c>
      <c r="Z408">
        <v>4.1317040065468138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L408">
        <v>1.383</v>
      </c>
      <c r="AN408" t="s">
        <v>223</v>
      </c>
      <c r="AO408" t="s">
        <v>92</v>
      </c>
      <c r="AP408">
        <v>200000</v>
      </c>
      <c r="AQ408" t="s">
        <v>92</v>
      </c>
      <c r="AS408">
        <v>10000</v>
      </c>
      <c r="AT408" t="s">
        <v>4170</v>
      </c>
      <c r="AU408" t="s">
        <v>78</v>
      </c>
      <c r="AV408" t="s">
        <v>79</v>
      </c>
      <c r="AY408">
        <v>0</v>
      </c>
    </row>
    <row r="409" spans="1:52" ht="12.75">
      <c r="A409" s="2" t="str">
        <f>HYPERLINK("https://ibp.a2mac1.com/costing(costing:projects/details/8191/assembly/5384839)","Air Vent System")</f>
        <v>Air Vent System</v>
      </c>
      <c r="B409">
        <v>5384839</v>
      </c>
      <c r="D409">
        <v>5384797</v>
      </c>
      <c r="F409">
        <v>1</v>
      </c>
      <c r="G409">
        <v>0</v>
      </c>
      <c r="H409">
        <v>4.5759138799754737</v>
      </c>
      <c r="I409">
        <v>0</v>
      </c>
      <c r="J409" t="s">
        <v>90</v>
      </c>
      <c r="K409">
        <v>0</v>
      </c>
      <c r="L409">
        <v>4.5759138799754737</v>
      </c>
      <c r="M409">
        <v>0</v>
      </c>
      <c r="N409">
        <v>0</v>
      </c>
      <c r="O409">
        <v>4.5759138799754737</v>
      </c>
      <c r="P409" t="s">
        <v>90</v>
      </c>
      <c r="Q409">
        <v>0</v>
      </c>
      <c r="R409" t="s">
        <v>90</v>
      </c>
      <c r="S409">
        <v>0</v>
      </c>
      <c r="T409" t="s">
        <v>90</v>
      </c>
      <c r="U409">
        <v>0</v>
      </c>
      <c r="V409" t="s">
        <v>90</v>
      </c>
      <c r="W409">
        <v>0</v>
      </c>
      <c r="X409" t="s">
        <v>90</v>
      </c>
      <c r="Y409">
        <v>0</v>
      </c>
      <c r="Z409">
        <v>4.5759138799754737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L409">
        <v>0.248</v>
      </c>
      <c r="AN409" t="s">
        <v>223</v>
      </c>
      <c r="AO409" t="s">
        <v>92</v>
      </c>
      <c r="AP409">
        <v>200000</v>
      </c>
      <c r="AQ409" t="s">
        <v>92</v>
      </c>
      <c r="AS409">
        <v>10000</v>
      </c>
      <c r="AT409" t="s">
        <v>4189</v>
      </c>
      <c r="AU409" t="s">
        <v>78</v>
      </c>
      <c r="AV409" t="s">
        <v>79</v>
      </c>
      <c r="AY409">
        <v>0</v>
      </c>
    </row>
    <row r="410" spans="1:52" ht="12.75">
      <c r="A410" s="2" t="str">
        <f>HYPERLINK("https://ibp.a2mac1.com/costing(costing:projects/details/8191/assembly/5384928)","Front Cup Holder")</f>
        <v>Front Cup Holder</v>
      </c>
      <c r="B410">
        <v>5384928</v>
      </c>
      <c r="D410">
        <v>5384840</v>
      </c>
      <c r="F410">
        <v>1</v>
      </c>
      <c r="G410">
        <v>0</v>
      </c>
      <c r="H410">
        <v>1.4574465353813271</v>
      </c>
      <c r="I410">
        <v>0</v>
      </c>
      <c r="J410" t="s">
        <v>90</v>
      </c>
      <c r="K410">
        <v>0</v>
      </c>
      <c r="L410">
        <v>1.4574465353813271</v>
      </c>
      <c r="M410">
        <v>0</v>
      </c>
      <c r="N410">
        <v>0</v>
      </c>
      <c r="O410">
        <v>1.4574465353813271</v>
      </c>
      <c r="P410" t="s">
        <v>90</v>
      </c>
      <c r="Q410">
        <v>0</v>
      </c>
      <c r="R410" t="s">
        <v>90</v>
      </c>
      <c r="S410">
        <v>0</v>
      </c>
      <c r="T410" t="s">
        <v>90</v>
      </c>
      <c r="U410">
        <v>0</v>
      </c>
      <c r="V410" t="s">
        <v>90</v>
      </c>
      <c r="W410">
        <v>0</v>
      </c>
      <c r="X410" t="s">
        <v>90</v>
      </c>
      <c r="Y410">
        <v>0</v>
      </c>
      <c r="Z410">
        <v>1.4574465353813271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L410">
        <v>0.70279999999999998</v>
      </c>
      <c r="AN410" t="s">
        <v>223</v>
      </c>
      <c r="AO410" t="s">
        <v>92</v>
      </c>
      <c r="AP410">
        <v>200000</v>
      </c>
      <c r="AQ410" t="s">
        <v>92</v>
      </c>
      <c r="AS410">
        <v>10000</v>
      </c>
      <c r="AT410" t="s">
        <v>4219</v>
      </c>
      <c r="AU410" t="s">
        <v>78</v>
      </c>
      <c r="AV410" t="s">
        <v>79</v>
      </c>
      <c r="AY410">
        <v>0</v>
      </c>
    </row>
    <row r="411" spans="1:52" ht="12.75">
      <c r="A411" s="2" t="str">
        <f>HYPERLINK("https://ibp.a2mac1.com/costing(costing:projects/details/8191/assembly/5384840)","Cup Holder")</f>
        <v>Cup Holder</v>
      </c>
      <c r="B411">
        <v>5384840</v>
      </c>
      <c r="D411">
        <v>5384797</v>
      </c>
      <c r="F411">
        <v>1</v>
      </c>
      <c r="G411">
        <v>0</v>
      </c>
      <c r="H411">
        <v>1.4574465353813271</v>
      </c>
      <c r="I411">
        <v>0</v>
      </c>
      <c r="J411" t="s">
        <v>90</v>
      </c>
      <c r="K411">
        <v>0</v>
      </c>
      <c r="L411">
        <v>1.4574465353813271</v>
      </c>
      <c r="M411">
        <v>0</v>
      </c>
      <c r="N411">
        <v>0</v>
      </c>
      <c r="O411">
        <v>1.4574465353813271</v>
      </c>
      <c r="P411" t="s">
        <v>90</v>
      </c>
      <c r="Q411">
        <v>0</v>
      </c>
      <c r="R411" t="s">
        <v>90</v>
      </c>
      <c r="S411">
        <v>0</v>
      </c>
      <c r="T411" t="s">
        <v>90</v>
      </c>
      <c r="U411">
        <v>0</v>
      </c>
      <c r="V411" t="s">
        <v>90</v>
      </c>
      <c r="W411">
        <v>0</v>
      </c>
      <c r="X411" t="s">
        <v>90</v>
      </c>
      <c r="Y411">
        <v>0</v>
      </c>
      <c r="Z411">
        <v>1.4574465353813271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L411">
        <v>0.70279999999999998</v>
      </c>
      <c r="AN411" t="s">
        <v>223</v>
      </c>
      <c r="AO411" t="s">
        <v>92</v>
      </c>
      <c r="AP411">
        <v>200000</v>
      </c>
      <c r="AQ411" t="s">
        <v>92</v>
      </c>
      <c r="AS411">
        <v>10000</v>
      </c>
      <c r="AT411" t="s">
        <v>4220</v>
      </c>
      <c r="AU411" t="s">
        <v>78</v>
      </c>
      <c r="AV411" t="s">
        <v>79</v>
      </c>
      <c r="AY411">
        <v>0</v>
      </c>
    </row>
    <row r="412" spans="1:52" ht="12.75">
      <c r="A412" s="2" t="str">
        <f>HYPERLINK("https://ibp.a2mac1.com/costing(costing:projects/details/8191/assembly/5384841)","Phone System Support")</f>
        <v>Phone System Support</v>
      </c>
      <c r="B412">
        <v>5384841</v>
      </c>
      <c r="D412">
        <v>5384797</v>
      </c>
      <c r="F412">
        <v>1</v>
      </c>
      <c r="G412">
        <v>0</v>
      </c>
      <c r="H412">
        <v>0.34231684978168192</v>
      </c>
      <c r="I412">
        <v>0.0017201851747823214</v>
      </c>
      <c r="J412" t="s">
        <v>137</v>
      </c>
      <c r="K412">
        <v>0.011981089742358867</v>
      </c>
      <c r="L412">
        <v>0.35601812469882316</v>
      </c>
      <c r="M412">
        <v>0</v>
      </c>
      <c r="N412">
        <v>0</v>
      </c>
      <c r="O412">
        <v>0.35601812469882316</v>
      </c>
      <c r="P412" t="s">
        <v>90</v>
      </c>
      <c r="Q412">
        <v>0</v>
      </c>
      <c r="R412" t="s">
        <v>90</v>
      </c>
      <c r="S412">
        <v>0</v>
      </c>
      <c r="T412" t="s">
        <v>90</v>
      </c>
      <c r="U412">
        <v>0</v>
      </c>
      <c r="V412" t="s">
        <v>90</v>
      </c>
      <c r="W412">
        <v>0</v>
      </c>
      <c r="X412" t="s">
        <v>90</v>
      </c>
      <c r="Y412">
        <v>0</v>
      </c>
      <c r="Z412">
        <v>0.35601812469882316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L412">
        <v>0.123</v>
      </c>
      <c r="AN412" t="s">
        <v>501</v>
      </c>
      <c r="AO412" t="s">
        <v>92</v>
      </c>
      <c r="AP412">
        <v>200000</v>
      </c>
      <c r="AQ412" t="s">
        <v>92</v>
      </c>
      <c r="AS412">
        <v>10000</v>
      </c>
      <c r="AT412" t="s">
        <v>4227</v>
      </c>
      <c r="AU412" t="s">
        <v>78</v>
      </c>
      <c r="AV412" t="s">
        <v>79</v>
      </c>
      <c r="AY412">
        <v>0</v>
      </c>
    </row>
    <row r="413" spans="1:52" ht="12.75">
      <c r="A413" s="2" t="str">
        <f>HYPERLINK("https://ibp.a2mac1.com/costing(costing:projects/details/8191/assembly/5384797)","Center Console")</f>
        <v>Center Console</v>
      </c>
      <c r="B413">
        <v>5384797</v>
      </c>
      <c r="D413">
        <v>5384794</v>
      </c>
      <c r="F413">
        <v>1</v>
      </c>
      <c r="G413">
        <v>0</v>
      </c>
      <c r="H413">
        <v>32.722606440266269</v>
      </c>
      <c r="I413">
        <v>0.16443520824254404</v>
      </c>
      <c r="J413" t="s">
        <v>137</v>
      </c>
      <c r="K413">
        <v>1.1452912254093193</v>
      </c>
      <c r="L413">
        <v>34.032332873918129</v>
      </c>
      <c r="M413">
        <v>0</v>
      </c>
      <c r="N413">
        <v>0</v>
      </c>
      <c r="O413">
        <v>34.032332873918129</v>
      </c>
      <c r="P413" t="s">
        <v>138</v>
      </c>
      <c r="Q413">
        <v>2.0419399724350877</v>
      </c>
      <c r="R413" t="s">
        <v>138</v>
      </c>
      <c r="S413">
        <v>0</v>
      </c>
      <c r="T413" t="s">
        <v>139</v>
      </c>
      <c r="U413">
        <v>4.0838799448701755</v>
      </c>
      <c r="V413" t="s">
        <v>90</v>
      </c>
      <c r="W413">
        <v>0</v>
      </c>
      <c r="X413" t="s">
        <v>90</v>
      </c>
      <c r="Y413">
        <v>0</v>
      </c>
      <c r="Z413">
        <v>40.158152791223394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975</v>
      </c>
      <c r="AI413">
        <v>200</v>
      </c>
      <c r="AJ413">
        <v>260</v>
      </c>
      <c r="AL413">
        <v>7.2487000000000004</v>
      </c>
      <c r="AN413" t="s">
        <v>661</v>
      </c>
      <c r="AO413" t="s">
        <v>92</v>
      </c>
      <c r="AP413">
        <v>200000</v>
      </c>
      <c r="AQ413" t="s">
        <v>76</v>
      </c>
      <c r="AS413">
        <v>10000</v>
      </c>
      <c r="AT413" t="s">
        <v>4244</v>
      </c>
      <c r="AU413" t="s">
        <v>78</v>
      </c>
      <c r="AV413" t="s">
        <v>79</v>
      </c>
      <c r="AY413">
        <v>0</v>
      </c>
    </row>
    <row r="414" spans="1:52" ht="12.75">
      <c r="A414" s="2" t="str">
        <f>HYPERLINK("https://ibp.a2mac1.com/costing(costing:projects/details/8191/assembly/5384930)","Sun Visors")</f>
        <v>Sun Visors</v>
      </c>
      <c r="B414">
        <v>5384930</v>
      </c>
      <c r="D414">
        <v>5384842</v>
      </c>
      <c r="F414">
        <v>1</v>
      </c>
      <c r="G414">
        <v>0</v>
      </c>
      <c r="H414">
        <v>19.578476908955182</v>
      </c>
      <c r="I414">
        <v>0</v>
      </c>
      <c r="J414" t="s">
        <v>90</v>
      </c>
      <c r="K414">
        <v>0</v>
      </c>
      <c r="L414">
        <v>19.578476908955182</v>
      </c>
      <c r="M414">
        <v>0</v>
      </c>
      <c r="N414">
        <v>0</v>
      </c>
      <c r="O414">
        <v>19.578476908955182</v>
      </c>
      <c r="P414" t="s">
        <v>90</v>
      </c>
      <c r="Q414">
        <v>0</v>
      </c>
      <c r="R414" t="s">
        <v>90</v>
      </c>
      <c r="S414">
        <v>0</v>
      </c>
      <c r="T414" t="s">
        <v>90</v>
      </c>
      <c r="U414">
        <v>0</v>
      </c>
      <c r="V414" t="s">
        <v>90</v>
      </c>
      <c r="W414">
        <v>0</v>
      </c>
      <c r="X414" t="s">
        <v>90</v>
      </c>
      <c r="Y414">
        <v>0</v>
      </c>
      <c r="Z414">
        <v>19.578476908955182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L414">
        <v>0.925</v>
      </c>
      <c r="AN414" t="s">
        <v>223</v>
      </c>
      <c r="AO414" t="s">
        <v>92</v>
      </c>
      <c r="AP414">
        <v>200000</v>
      </c>
      <c r="AQ414" t="s">
        <v>92</v>
      </c>
      <c r="AS414">
        <v>10000</v>
      </c>
      <c r="AT414" t="s">
        <v>4255</v>
      </c>
      <c r="AU414" t="s">
        <v>78</v>
      </c>
      <c r="AV414" t="s">
        <v>79</v>
      </c>
      <c r="AY414">
        <v>0</v>
      </c>
    </row>
    <row r="415" spans="1:52" ht="12.75">
      <c r="A415" s="2" t="str">
        <f>HYPERLINK("https://ibp.a2mac1.com/costing(costing:projects/details/8191/assembly/5384931)","Reading Light")</f>
        <v>Reading Light</v>
      </c>
      <c r="B415">
        <v>5384931</v>
      </c>
      <c r="D415">
        <v>5384842</v>
      </c>
      <c r="F415">
        <v>1</v>
      </c>
      <c r="G415">
        <v>0</v>
      </c>
      <c r="H415">
        <v>29.501802186379443</v>
      </c>
      <c r="I415">
        <v>0</v>
      </c>
      <c r="J415" t="s">
        <v>90</v>
      </c>
      <c r="K415">
        <v>0</v>
      </c>
      <c r="L415">
        <v>29.501802186379443</v>
      </c>
      <c r="M415">
        <v>0</v>
      </c>
      <c r="N415">
        <v>0</v>
      </c>
      <c r="O415">
        <v>29.501802186379443</v>
      </c>
      <c r="P415" t="s">
        <v>90</v>
      </c>
      <c r="Q415">
        <v>0</v>
      </c>
      <c r="R415" t="s">
        <v>90</v>
      </c>
      <c r="S415">
        <v>0</v>
      </c>
      <c r="T415" t="s">
        <v>90</v>
      </c>
      <c r="U415">
        <v>0</v>
      </c>
      <c r="V415" t="s">
        <v>90</v>
      </c>
      <c r="W415">
        <v>0</v>
      </c>
      <c r="X415" t="s">
        <v>90</v>
      </c>
      <c r="Y415">
        <v>0</v>
      </c>
      <c r="Z415">
        <v>29.501802186379443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L415">
        <v>0.67300000000000004</v>
      </c>
      <c r="AN415" t="s">
        <v>223</v>
      </c>
      <c r="AO415" t="s">
        <v>92</v>
      </c>
      <c r="AP415">
        <v>200000</v>
      </c>
      <c r="AQ415" t="s">
        <v>92</v>
      </c>
      <c r="AS415">
        <v>10000</v>
      </c>
      <c r="AT415" t="s">
        <v>4269</v>
      </c>
      <c r="AU415" t="s">
        <v>78</v>
      </c>
      <c r="AV415" t="s">
        <v>79</v>
      </c>
      <c r="AY415">
        <v>0</v>
      </c>
    </row>
    <row r="416" spans="1:52" ht="12.75">
      <c r="A416" s="2" t="str">
        <f>HYPERLINK("https://ibp.a2mac1.com/costing(costing:projects/details/8191/assembly/5384932)","Storage System")</f>
        <v>Storage System</v>
      </c>
      <c r="B416">
        <v>5384932</v>
      </c>
      <c r="D416">
        <v>5384842</v>
      </c>
      <c r="F416">
        <v>1</v>
      </c>
      <c r="G416">
        <v>0</v>
      </c>
      <c r="H416">
        <v>0.04426286980954286</v>
      </c>
      <c r="I416">
        <v>0</v>
      </c>
      <c r="J416" t="s">
        <v>90</v>
      </c>
      <c r="K416">
        <v>0</v>
      </c>
      <c r="L416">
        <v>0.04426286980954286</v>
      </c>
      <c r="M416">
        <v>0</v>
      </c>
      <c r="N416">
        <v>0</v>
      </c>
      <c r="O416">
        <v>0.04426286980954286</v>
      </c>
      <c r="P416" t="s">
        <v>90</v>
      </c>
      <c r="Q416">
        <v>0</v>
      </c>
      <c r="R416" t="s">
        <v>90</v>
      </c>
      <c r="S416">
        <v>0</v>
      </c>
      <c r="T416" t="s">
        <v>90</v>
      </c>
      <c r="U416">
        <v>0</v>
      </c>
      <c r="V416" t="s">
        <v>90</v>
      </c>
      <c r="W416">
        <v>0</v>
      </c>
      <c r="X416" t="s">
        <v>90</v>
      </c>
      <c r="Y416">
        <v>0</v>
      </c>
      <c r="Z416">
        <v>0.04426286980954286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L416">
        <v>0.0089999999999999993</v>
      </c>
      <c r="AN416" t="s">
        <v>223</v>
      </c>
      <c r="AO416" t="s">
        <v>92</v>
      </c>
      <c r="AP416">
        <v>200000</v>
      </c>
      <c r="AQ416" t="s">
        <v>92</v>
      </c>
      <c r="AS416">
        <v>10000</v>
      </c>
      <c r="AT416" t="s">
        <v>4276</v>
      </c>
      <c r="AU416" t="s">
        <v>78</v>
      </c>
      <c r="AV416" t="s">
        <v>79</v>
      </c>
      <c r="AY416">
        <v>0</v>
      </c>
    </row>
    <row r="417" spans="1:52" ht="12.75">
      <c r="A417" s="2" t="str">
        <f>HYPERLINK("https://ibp.a2mac1.com/costing(costing:projects/details/8191/assembly/5384934)","Side Upper Handle")</f>
        <v>Side Upper Handle</v>
      </c>
      <c r="B417">
        <v>5384934</v>
      </c>
      <c r="D417">
        <v>5384842</v>
      </c>
      <c r="F417">
        <v>1</v>
      </c>
      <c r="G417">
        <v>0</v>
      </c>
      <c r="H417">
        <v>5.4981090296374848</v>
      </c>
      <c r="I417">
        <v>0</v>
      </c>
      <c r="J417" t="s">
        <v>90</v>
      </c>
      <c r="K417">
        <v>0</v>
      </c>
      <c r="L417">
        <v>5.4981090296374848</v>
      </c>
      <c r="M417">
        <v>0</v>
      </c>
      <c r="N417">
        <v>0</v>
      </c>
      <c r="O417">
        <v>5.4981090296374848</v>
      </c>
      <c r="P417" t="s">
        <v>90</v>
      </c>
      <c r="Q417">
        <v>0</v>
      </c>
      <c r="R417" t="s">
        <v>90</v>
      </c>
      <c r="S417">
        <v>0</v>
      </c>
      <c r="T417" t="s">
        <v>90</v>
      </c>
      <c r="U417">
        <v>0</v>
      </c>
      <c r="V417" t="s">
        <v>90</v>
      </c>
      <c r="W417">
        <v>0</v>
      </c>
      <c r="X417" t="s">
        <v>90</v>
      </c>
      <c r="Y417">
        <v>0</v>
      </c>
      <c r="Z417">
        <v>5.4981090296374848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L417">
        <v>0.425</v>
      </c>
      <c r="AN417" t="s">
        <v>223</v>
      </c>
      <c r="AO417" t="s">
        <v>92</v>
      </c>
      <c r="AP417">
        <v>200000</v>
      </c>
      <c r="AQ417" t="s">
        <v>92</v>
      </c>
      <c r="AS417">
        <v>10000</v>
      </c>
      <c r="AT417" t="s">
        <v>4296</v>
      </c>
      <c r="AU417" t="s">
        <v>78</v>
      </c>
      <c r="AV417" t="s">
        <v>79</v>
      </c>
      <c r="AY417">
        <v>0</v>
      </c>
    </row>
    <row r="418" spans="1:52" ht="12.75">
      <c r="A418" s="2" t="str">
        <f>HYPERLINK("https://ibp.a2mac1.com/costing(costing:projects/details/8191/assembly/5384842)","Roof Elements")</f>
        <v>Roof Elements</v>
      </c>
      <c r="B418">
        <v>5384842</v>
      </c>
      <c r="D418">
        <v>5384798</v>
      </c>
      <c r="F418">
        <v>1</v>
      </c>
      <c r="G418">
        <v>0</v>
      </c>
      <c r="H418">
        <v>54.760642869411711</v>
      </c>
      <c r="I418">
        <v>0</v>
      </c>
      <c r="J418" t="s">
        <v>90</v>
      </c>
      <c r="K418">
        <v>0</v>
      </c>
      <c r="L418">
        <v>54.760642869411711</v>
      </c>
      <c r="M418">
        <v>0</v>
      </c>
      <c r="N418">
        <v>0</v>
      </c>
      <c r="O418">
        <v>54.760642869411711</v>
      </c>
      <c r="P418" t="s">
        <v>90</v>
      </c>
      <c r="Q418">
        <v>0</v>
      </c>
      <c r="R418" t="s">
        <v>90</v>
      </c>
      <c r="S418">
        <v>0</v>
      </c>
      <c r="T418" t="s">
        <v>90</v>
      </c>
      <c r="U418">
        <v>0</v>
      </c>
      <c r="V418" t="s">
        <v>90</v>
      </c>
      <c r="W418">
        <v>0</v>
      </c>
      <c r="X418" t="s">
        <v>90</v>
      </c>
      <c r="Y418">
        <v>0</v>
      </c>
      <c r="Z418">
        <v>54.760642869411711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L418">
        <v>2.0680000000000001</v>
      </c>
      <c r="AN418" t="s">
        <v>223</v>
      </c>
      <c r="AO418" t="s">
        <v>92</v>
      </c>
      <c r="AP418">
        <v>200000</v>
      </c>
      <c r="AQ418" t="s">
        <v>92</v>
      </c>
      <c r="AS418">
        <v>10000</v>
      </c>
      <c r="AT418" t="s">
        <v>4303</v>
      </c>
      <c r="AU418" t="s">
        <v>78</v>
      </c>
      <c r="AV418" t="s">
        <v>79</v>
      </c>
      <c r="AY418">
        <v>0</v>
      </c>
    </row>
    <row r="419" spans="1:52" ht="12.75">
      <c r="A419" s="2" t="str">
        <f>HYPERLINK("https://ibp.a2mac1.com/costing(costing:projects/details/8191/assembly/5385067)","Door Step Inner Panel")</f>
        <v>Door Step Inner Panel</v>
      </c>
      <c r="B419">
        <v>5385067</v>
      </c>
      <c r="D419">
        <v>5384935</v>
      </c>
      <c r="F419">
        <v>1</v>
      </c>
      <c r="G419">
        <v>0</v>
      </c>
      <c r="H419">
        <v>0.82218820539540038</v>
      </c>
      <c r="I419">
        <v>0</v>
      </c>
      <c r="J419" t="s">
        <v>90</v>
      </c>
      <c r="K419">
        <v>0</v>
      </c>
      <c r="L419">
        <v>0.82218820539540038</v>
      </c>
      <c r="M419">
        <v>0</v>
      </c>
      <c r="N419">
        <v>0</v>
      </c>
      <c r="O419">
        <v>0.82218820539540038</v>
      </c>
      <c r="P419" t="s">
        <v>90</v>
      </c>
      <c r="Q419">
        <v>0</v>
      </c>
      <c r="R419" t="s">
        <v>90</v>
      </c>
      <c r="S419">
        <v>0</v>
      </c>
      <c r="T419" t="s">
        <v>90</v>
      </c>
      <c r="U419">
        <v>0</v>
      </c>
      <c r="V419" t="s">
        <v>90</v>
      </c>
      <c r="W419">
        <v>0</v>
      </c>
      <c r="X419" t="s">
        <v>90</v>
      </c>
      <c r="Y419">
        <v>0</v>
      </c>
      <c r="Z419">
        <v>0.82218820539540038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L419">
        <v>0.39889999999999998</v>
      </c>
      <c r="AN419" t="s">
        <v>223</v>
      </c>
      <c r="AO419" t="s">
        <v>92</v>
      </c>
      <c r="AP419">
        <v>200000</v>
      </c>
      <c r="AQ419" t="s">
        <v>92</v>
      </c>
      <c r="AS419">
        <v>10000</v>
      </c>
      <c r="AT419" t="s">
        <v>4312</v>
      </c>
      <c r="AU419" t="s">
        <v>78</v>
      </c>
      <c r="AV419" t="s">
        <v>79</v>
      </c>
      <c r="AY419">
        <v>0</v>
      </c>
    </row>
    <row r="420" spans="1:52" ht="12.75">
      <c r="A420" s="2" t="str">
        <f>HYPERLINK("https://ibp.a2mac1.com/costing(costing:projects/details/8191/assembly/5384935)","Left Side")</f>
        <v>Left Side</v>
      </c>
      <c r="B420">
        <v>5384935</v>
      </c>
      <c r="D420">
        <v>5384843</v>
      </c>
      <c r="F420">
        <v>1</v>
      </c>
      <c r="G420">
        <v>0</v>
      </c>
      <c r="H420">
        <v>7.2418536405038738</v>
      </c>
      <c r="I420">
        <v>0</v>
      </c>
      <c r="J420" t="s">
        <v>90</v>
      </c>
      <c r="K420">
        <v>0</v>
      </c>
      <c r="L420">
        <v>7.2418536405038738</v>
      </c>
      <c r="M420">
        <v>0</v>
      </c>
      <c r="N420">
        <v>0</v>
      </c>
      <c r="O420">
        <v>7.2418536405038738</v>
      </c>
      <c r="P420" t="s">
        <v>90</v>
      </c>
      <c r="Q420">
        <v>0</v>
      </c>
      <c r="R420" t="s">
        <v>90</v>
      </c>
      <c r="S420">
        <v>0</v>
      </c>
      <c r="T420" t="s">
        <v>90</v>
      </c>
      <c r="U420">
        <v>0</v>
      </c>
      <c r="V420" t="s">
        <v>90</v>
      </c>
      <c r="W420">
        <v>0</v>
      </c>
      <c r="X420" t="s">
        <v>90</v>
      </c>
      <c r="Y420">
        <v>0</v>
      </c>
      <c r="Z420">
        <v>7.2418536405038738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L420">
        <v>3.2429000000000001</v>
      </c>
      <c r="AN420" t="s">
        <v>223</v>
      </c>
      <c r="AO420" t="s">
        <v>92</v>
      </c>
      <c r="AP420">
        <v>200000</v>
      </c>
      <c r="AQ420" t="s">
        <v>92</v>
      </c>
      <c r="AS420">
        <v>10000</v>
      </c>
      <c r="AT420" t="s">
        <v>4358</v>
      </c>
      <c r="AU420" t="s">
        <v>78</v>
      </c>
      <c r="AV420" t="s">
        <v>79</v>
      </c>
      <c r="AY420">
        <v>0</v>
      </c>
    </row>
    <row r="421" spans="1:52" ht="12.75">
      <c r="A421" s="2" t="str">
        <f>HYPERLINK("https://ibp.a2mac1.com/costing(costing:projects/details/8191/assembly/5385076)","Door Step Inner Panel")</f>
        <v>Door Step Inner Panel</v>
      </c>
      <c r="B421">
        <v>5385076</v>
      </c>
      <c r="D421">
        <v>5384936</v>
      </c>
      <c r="F421">
        <v>1</v>
      </c>
      <c r="G421">
        <v>0</v>
      </c>
      <c r="H421">
        <v>0.81598982325041203</v>
      </c>
      <c r="I421">
        <v>0</v>
      </c>
      <c r="J421" t="s">
        <v>90</v>
      </c>
      <c r="K421">
        <v>0</v>
      </c>
      <c r="L421">
        <v>0.81598982325041203</v>
      </c>
      <c r="M421">
        <v>0</v>
      </c>
      <c r="N421">
        <v>0</v>
      </c>
      <c r="O421">
        <v>0.81598982325041203</v>
      </c>
      <c r="P421" t="s">
        <v>90</v>
      </c>
      <c r="Q421">
        <v>0</v>
      </c>
      <c r="R421" t="s">
        <v>90</v>
      </c>
      <c r="S421">
        <v>0</v>
      </c>
      <c r="T421" t="s">
        <v>90</v>
      </c>
      <c r="U421">
        <v>0</v>
      </c>
      <c r="V421" t="s">
        <v>90</v>
      </c>
      <c r="W421">
        <v>0</v>
      </c>
      <c r="X421" t="s">
        <v>90</v>
      </c>
      <c r="Y421">
        <v>0</v>
      </c>
      <c r="Z421">
        <v>0.81598982325041203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L421">
        <v>0.39710000000000001</v>
      </c>
      <c r="AN421" t="s">
        <v>223</v>
      </c>
      <c r="AO421" t="s">
        <v>92</v>
      </c>
      <c r="AP421">
        <v>200000</v>
      </c>
      <c r="AQ421" t="s">
        <v>92</v>
      </c>
      <c r="AS421">
        <v>10000</v>
      </c>
      <c r="AT421" t="s">
        <v>4366</v>
      </c>
      <c r="AU421" t="s">
        <v>78</v>
      </c>
      <c r="AV421" t="s">
        <v>79</v>
      </c>
      <c r="AY421">
        <v>0</v>
      </c>
    </row>
    <row r="422" spans="1:52" ht="12.75">
      <c r="A422" s="2" t="str">
        <f>HYPERLINK("https://ibp.a2mac1.com/costing(costing:projects/details/8191/assembly/5384936)","Right Side")</f>
        <v>Right Side</v>
      </c>
      <c r="B422">
        <v>5384936</v>
      </c>
      <c r="D422">
        <v>5384843</v>
      </c>
      <c r="F422">
        <v>1</v>
      </c>
      <c r="G422">
        <v>0</v>
      </c>
      <c r="H422">
        <v>7.3158005514329218</v>
      </c>
      <c r="I422">
        <v>0</v>
      </c>
      <c r="J422" t="s">
        <v>90</v>
      </c>
      <c r="K422">
        <v>0</v>
      </c>
      <c r="L422">
        <v>7.3158005514329218</v>
      </c>
      <c r="M422">
        <v>0</v>
      </c>
      <c r="N422">
        <v>0</v>
      </c>
      <c r="O422">
        <v>7.3158005514329218</v>
      </c>
      <c r="P422" t="s">
        <v>90</v>
      </c>
      <c r="Q422">
        <v>0</v>
      </c>
      <c r="R422" t="s">
        <v>90</v>
      </c>
      <c r="S422">
        <v>0</v>
      </c>
      <c r="T422" t="s">
        <v>90</v>
      </c>
      <c r="U422">
        <v>0</v>
      </c>
      <c r="V422" t="s">
        <v>90</v>
      </c>
      <c r="W422">
        <v>0</v>
      </c>
      <c r="X422" t="s">
        <v>90</v>
      </c>
      <c r="Y422">
        <v>0</v>
      </c>
      <c r="Z422">
        <v>7.3158005514329218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L422">
        <v>3.2330999999999999</v>
      </c>
      <c r="AN422" t="s">
        <v>223</v>
      </c>
      <c r="AO422" t="s">
        <v>92</v>
      </c>
      <c r="AP422">
        <v>200000</v>
      </c>
      <c r="AQ422" t="s">
        <v>92</v>
      </c>
      <c r="AS422">
        <v>10000</v>
      </c>
      <c r="AT422" t="s">
        <v>4396</v>
      </c>
      <c r="AU422" t="s">
        <v>78</v>
      </c>
      <c r="AV422" t="s">
        <v>79</v>
      </c>
      <c r="AY422">
        <v>0</v>
      </c>
    </row>
    <row r="423" spans="1:52" ht="12.75">
      <c r="A423" s="2" t="str">
        <f>HYPERLINK("https://ibp.a2mac1.com/costing(costing:projects/details/8191/assembly/5385078)","Left Side Compartments")</f>
        <v>Left Side Compartments</v>
      </c>
      <c r="B423">
        <v>5385078</v>
      </c>
      <c r="D423">
        <v>5384937</v>
      </c>
      <c r="F423">
        <v>1</v>
      </c>
      <c r="G423">
        <v>0</v>
      </c>
      <c r="H423">
        <v>3.1296627523214711</v>
      </c>
      <c r="I423">
        <v>0</v>
      </c>
      <c r="J423" t="s">
        <v>90</v>
      </c>
      <c r="K423">
        <v>0</v>
      </c>
      <c r="L423">
        <v>3.1296627523214711</v>
      </c>
      <c r="M423">
        <v>0</v>
      </c>
      <c r="N423">
        <v>0</v>
      </c>
      <c r="O423">
        <v>3.1296627523214711</v>
      </c>
      <c r="P423" t="s">
        <v>90</v>
      </c>
      <c r="Q423">
        <v>0</v>
      </c>
      <c r="R423" t="s">
        <v>90</v>
      </c>
      <c r="S423">
        <v>0</v>
      </c>
      <c r="T423" t="s">
        <v>90</v>
      </c>
      <c r="U423">
        <v>0</v>
      </c>
      <c r="V423" t="s">
        <v>90</v>
      </c>
      <c r="W423">
        <v>0</v>
      </c>
      <c r="X423" t="s">
        <v>90</v>
      </c>
      <c r="Y423">
        <v>0</v>
      </c>
      <c r="Z423">
        <v>3.1296627523214711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L423">
        <v>1.4959</v>
      </c>
      <c r="AN423" t="s">
        <v>223</v>
      </c>
      <c r="AO423" t="s">
        <v>92</v>
      </c>
      <c r="AP423">
        <v>200000</v>
      </c>
      <c r="AQ423" t="s">
        <v>92</v>
      </c>
      <c r="AS423">
        <v>10000</v>
      </c>
      <c r="AT423" t="s">
        <v>4411</v>
      </c>
      <c r="AU423" t="s">
        <v>78</v>
      </c>
      <c r="AV423" t="s">
        <v>79</v>
      </c>
      <c r="AY423">
        <v>0</v>
      </c>
    </row>
    <row r="424" spans="1:52" ht="12.75">
      <c r="A424" s="2" t="str">
        <f>HYPERLINK("https://ibp.a2mac1.com/costing(costing:projects/details/8191/assembly/5385079)","Right Side Compartments")</f>
        <v>Right Side Compartments</v>
      </c>
      <c r="B424">
        <v>5385079</v>
      </c>
      <c r="D424">
        <v>5384937</v>
      </c>
      <c r="F424">
        <v>1</v>
      </c>
      <c r="G424">
        <v>0</v>
      </c>
      <c r="H424">
        <v>3.0980222431882729</v>
      </c>
      <c r="I424">
        <v>0</v>
      </c>
      <c r="J424" t="s">
        <v>90</v>
      </c>
      <c r="K424">
        <v>0</v>
      </c>
      <c r="L424">
        <v>3.0980222431882729</v>
      </c>
      <c r="M424">
        <v>0</v>
      </c>
      <c r="N424">
        <v>0</v>
      </c>
      <c r="O424">
        <v>3.0980222431882729</v>
      </c>
      <c r="P424" t="s">
        <v>90</v>
      </c>
      <c r="Q424">
        <v>0</v>
      </c>
      <c r="R424" t="s">
        <v>90</v>
      </c>
      <c r="S424">
        <v>0</v>
      </c>
      <c r="T424" t="s">
        <v>90</v>
      </c>
      <c r="U424">
        <v>0</v>
      </c>
      <c r="V424" t="s">
        <v>90</v>
      </c>
      <c r="W424">
        <v>0</v>
      </c>
      <c r="X424" t="s">
        <v>90</v>
      </c>
      <c r="Y424">
        <v>0</v>
      </c>
      <c r="Z424">
        <v>3.0980222431882729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L424">
        <v>1.4718</v>
      </c>
      <c r="AN424" t="s">
        <v>223</v>
      </c>
      <c r="AO424" t="s">
        <v>92</v>
      </c>
      <c r="AP424">
        <v>200000</v>
      </c>
      <c r="AQ424" t="s">
        <v>92</v>
      </c>
      <c r="AS424">
        <v>10000</v>
      </c>
      <c r="AT424" t="s">
        <v>4427</v>
      </c>
      <c r="AU424" t="s">
        <v>78</v>
      </c>
      <c r="AV424" t="s">
        <v>79</v>
      </c>
      <c r="AY424">
        <v>0</v>
      </c>
    </row>
    <row r="425" spans="1:52" ht="12.75">
      <c r="A425" s="2" t="str">
        <f>HYPERLINK("https://ibp.a2mac1.com/costing(costing:projects/details/8191/assembly/5384937)","Trunk")</f>
        <v>Trunk</v>
      </c>
      <c r="B425">
        <v>5384937</v>
      </c>
      <c r="D425">
        <v>5384843</v>
      </c>
      <c r="F425">
        <v>1</v>
      </c>
      <c r="G425">
        <v>0</v>
      </c>
      <c r="H425">
        <v>8.3092890505869832</v>
      </c>
      <c r="I425">
        <v>0</v>
      </c>
      <c r="J425" t="s">
        <v>90</v>
      </c>
      <c r="K425">
        <v>0</v>
      </c>
      <c r="L425">
        <v>8.3092890505869832</v>
      </c>
      <c r="M425">
        <v>0</v>
      </c>
      <c r="N425">
        <v>0</v>
      </c>
      <c r="O425">
        <v>8.3092890505869832</v>
      </c>
      <c r="P425" t="s">
        <v>90</v>
      </c>
      <c r="Q425">
        <v>0</v>
      </c>
      <c r="R425" t="s">
        <v>90</v>
      </c>
      <c r="S425">
        <v>0</v>
      </c>
      <c r="T425" t="s">
        <v>90</v>
      </c>
      <c r="U425">
        <v>0</v>
      </c>
      <c r="V425" t="s">
        <v>90</v>
      </c>
      <c r="W425">
        <v>0</v>
      </c>
      <c r="X425" t="s">
        <v>90</v>
      </c>
      <c r="Y425">
        <v>0</v>
      </c>
      <c r="Z425">
        <v>8.3092890505869832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L425">
        <v>3.8525</v>
      </c>
      <c r="AN425" t="s">
        <v>223</v>
      </c>
      <c r="AO425" t="s">
        <v>92</v>
      </c>
      <c r="AP425">
        <v>200000</v>
      </c>
      <c r="AQ425" t="s">
        <v>92</v>
      </c>
      <c r="AS425">
        <v>10000</v>
      </c>
      <c r="AT425" t="s">
        <v>4434</v>
      </c>
      <c r="AU425" t="s">
        <v>78</v>
      </c>
      <c r="AV425" t="s">
        <v>79</v>
      </c>
      <c r="AY425">
        <v>0</v>
      </c>
    </row>
    <row r="426" spans="1:52" ht="12.75">
      <c r="A426" s="2" t="str">
        <f>HYPERLINK("https://ibp.a2mac1.com/costing(costing:projects/details/8191/assembly/5384843)","Panels")</f>
        <v>Panels</v>
      </c>
      <c r="B426">
        <v>5384843</v>
      </c>
      <c r="D426">
        <v>5384798</v>
      </c>
      <c r="F426">
        <v>1</v>
      </c>
      <c r="G426">
        <v>0</v>
      </c>
      <c r="H426">
        <v>22.866943242523778</v>
      </c>
      <c r="I426">
        <v>0</v>
      </c>
      <c r="J426" t="s">
        <v>90</v>
      </c>
      <c r="K426">
        <v>0</v>
      </c>
      <c r="L426">
        <v>22.866943242523778</v>
      </c>
      <c r="M426">
        <v>0</v>
      </c>
      <c r="N426">
        <v>0</v>
      </c>
      <c r="O426">
        <v>22.866943242523778</v>
      </c>
      <c r="P426" t="s">
        <v>90</v>
      </c>
      <c r="Q426">
        <v>0</v>
      </c>
      <c r="R426" t="s">
        <v>90</v>
      </c>
      <c r="S426">
        <v>0</v>
      </c>
      <c r="T426" t="s">
        <v>90</v>
      </c>
      <c r="U426">
        <v>0</v>
      </c>
      <c r="V426" t="s">
        <v>90</v>
      </c>
      <c r="W426">
        <v>0</v>
      </c>
      <c r="X426" t="s">
        <v>90</v>
      </c>
      <c r="Y426">
        <v>0</v>
      </c>
      <c r="Z426">
        <v>22.866943242523778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L426">
        <v>10.3285</v>
      </c>
      <c r="AN426" t="s">
        <v>223</v>
      </c>
      <c r="AO426" t="s">
        <v>92</v>
      </c>
      <c r="AP426">
        <v>200000</v>
      </c>
      <c r="AQ426" t="s">
        <v>92</v>
      </c>
      <c r="AS426">
        <v>10000</v>
      </c>
      <c r="AT426" t="s">
        <v>4435</v>
      </c>
      <c r="AU426" t="s">
        <v>78</v>
      </c>
      <c r="AV426" t="s">
        <v>79</v>
      </c>
      <c r="AY426">
        <v>0</v>
      </c>
    </row>
    <row r="427" spans="1:52" ht="12.75">
      <c r="A427" s="2" t="str">
        <f>HYPERLINK("https://ibp.a2mac1.com/costing(costing:projects/details/8191/assembly/5384844)","Mirror System")</f>
        <v>Mirror System</v>
      </c>
      <c r="B427">
        <v>5384844</v>
      </c>
      <c r="D427">
        <v>5384798</v>
      </c>
      <c r="F427">
        <v>1</v>
      </c>
      <c r="G427">
        <v>0</v>
      </c>
      <c r="H427">
        <v>9.785373829588023</v>
      </c>
      <c r="I427">
        <v>0</v>
      </c>
      <c r="J427" t="s">
        <v>90</v>
      </c>
      <c r="K427">
        <v>0</v>
      </c>
      <c r="L427">
        <v>9.785373829588023</v>
      </c>
      <c r="M427">
        <v>0</v>
      </c>
      <c r="N427">
        <v>0</v>
      </c>
      <c r="O427">
        <v>9.785373829588023</v>
      </c>
      <c r="P427" t="s">
        <v>90</v>
      </c>
      <c r="Q427">
        <v>0</v>
      </c>
      <c r="R427" t="s">
        <v>90</v>
      </c>
      <c r="S427">
        <v>0</v>
      </c>
      <c r="T427" t="s">
        <v>90</v>
      </c>
      <c r="U427">
        <v>0</v>
      </c>
      <c r="V427" t="s">
        <v>90</v>
      </c>
      <c r="W427">
        <v>0</v>
      </c>
      <c r="X427" t="s">
        <v>90</v>
      </c>
      <c r="Y427">
        <v>0</v>
      </c>
      <c r="Z427">
        <v>9.785373829588023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L427">
        <v>0.49</v>
      </c>
      <c r="AN427" t="s">
        <v>223</v>
      </c>
      <c r="AO427" t="s">
        <v>92</v>
      </c>
      <c r="AP427">
        <v>200000</v>
      </c>
      <c r="AQ427" t="s">
        <v>92</v>
      </c>
      <c r="AS427">
        <v>10000</v>
      </c>
      <c r="AT427" t="s">
        <v>4454</v>
      </c>
      <c r="AU427" t="s">
        <v>78</v>
      </c>
      <c r="AV427" t="s">
        <v>79</v>
      </c>
      <c r="AY427">
        <v>0</v>
      </c>
    </row>
    <row r="428" spans="1:52" ht="12.75">
      <c r="A428" s="2" t="str">
        <f>HYPERLINK("https://ibp.a2mac1.com/costing(costing:projects/details/8191/assembly/5384845)","Parcel Tray System")</f>
        <v>Parcel Tray System</v>
      </c>
      <c r="B428">
        <v>5384845</v>
      </c>
      <c r="D428">
        <v>5384798</v>
      </c>
      <c r="F428">
        <v>1</v>
      </c>
      <c r="G428">
        <v>0</v>
      </c>
      <c r="H428">
        <v>10.735992789236562</v>
      </c>
      <c r="I428">
        <v>0</v>
      </c>
      <c r="J428" t="s">
        <v>90</v>
      </c>
      <c r="K428">
        <v>0</v>
      </c>
      <c r="L428">
        <v>10.735992789236562</v>
      </c>
      <c r="M428">
        <v>0</v>
      </c>
      <c r="N428">
        <v>0</v>
      </c>
      <c r="O428">
        <v>10.735992789236562</v>
      </c>
      <c r="P428" t="s">
        <v>90</v>
      </c>
      <c r="Q428">
        <v>0</v>
      </c>
      <c r="R428" t="s">
        <v>90</v>
      </c>
      <c r="S428">
        <v>0</v>
      </c>
      <c r="T428" t="s">
        <v>90</v>
      </c>
      <c r="U428">
        <v>0</v>
      </c>
      <c r="V428" t="s">
        <v>90</v>
      </c>
      <c r="W428">
        <v>0</v>
      </c>
      <c r="X428" t="s">
        <v>90</v>
      </c>
      <c r="Y428">
        <v>0</v>
      </c>
      <c r="Z428">
        <v>10.735992789236562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L428">
        <v>2.181</v>
      </c>
      <c r="AN428" t="s">
        <v>223</v>
      </c>
      <c r="AO428" t="s">
        <v>92</v>
      </c>
      <c r="AP428">
        <v>200000</v>
      </c>
      <c r="AQ428" t="s">
        <v>92</v>
      </c>
      <c r="AS428">
        <v>10000</v>
      </c>
      <c r="AT428" t="s">
        <v>4461</v>
      </c>
      <c r="AU428" t="s">
        <v>78</v>
      </c>
      <c r="AV428" t="s">
        <v>79</v>
      </c>
      <c r="AY428">
        <v>0</v>
      </c>
    </row>
    <row r="429" spans="1:52" ht="12.75">
      <c r="A429" s="2" t="str">
        <f>HYPERLINK("https://ibp.a2mac1.com/costing(costing:projects/details/8191/assembly/5385083)","Floor Mats")</f>
        <v>Floor Mats</v>
      </c>
      <c r="B429">
        <v>5385083</v>
      </c>
      <c r="D429">
        <v>5384943</v>
      </c>
      <c r="F429">
        <v>1</v>
      </c>
      <c r="G429">
        <v>0</v>
      </c>
      <c r="H429">
        <v>24.396364183934061</v>
      </c>
      <c r="I429">
        <v>0</v>
      </c>
      <c r="J429" t="s">
        <v>90</v>
      </c>
      <c r="K429">
        <v>0</v>
      </c>
      <c r="L429">
        <v>24.396364183934061</v>
      </c>
      <c r="M429">
        <v>0</v>
      </c>
      <c r="N429">
        <v>0</v>
      </c>
      <c r="O429">
        <v>24.396364183934061</v>
      </c>
      <c r="P429" t="s">
        <v>90</v>
      </c>
      <c r="Q429">
        <v>0</v>
      </c>
      <c r="R429" t="s">
        <v>90</v>
      </c>
      <c r="S429">
        <v>0</v>
      </c>
      <c r="T429" t="s">
        <v>90</v>
      </c>
      <c r="U429">
        <v>0</v>
      </c>
      <c r="V429" t="s">
        <v>90</v>
      </c>
      <c r="W429">
        <v>0</v>
      </c>
      <c r="X429" t="s">
        <v>90</v>
      </c>
      <c r="Y429">
        <v>0</v>
      </c>
      <c r="Z429">
        <v>24.396364183934061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L429">
        <v>1.748</v>
      </c>
      <c r="AN429" t="s">
        <v>223</v>
      </c>
      <c r="AO429" t="s">
        <v>92</v>
      </c>
      <c r="AP429">
        <v>200000</v>
      </c>
      <c r="AQ429" t="s">
        <v>92</v>
      </c>
      <c r="AS429">
        <v>10000</v>
      </c>
      <c r="AT429" t="s">
        <v>4481</v>
      </c>
      <c r="AU429" t="s">
        <v>78</v>
      </c>
      <c r="AV429" t="s">
        <v>79</v>
      </c>
      <c r="AY429">
        <v>0</v>
      </c>
    </row>
    <row r="430" spans="1:52" ht="12.75">
      <c r="A430" s="2" t="str">
        <f>HYPERLINK("https://ibp.a2mac1.com/costing(costing:projects/details/8191/assembly/5384943)","Interior")</f>
        <v>Interior</v>
      </c>
      <c r="B430">
        <v>5384943</v>
      </c>
      <c r="D430">
        <v>5384846</v>
      </c>
      <c r="F430">
        <v>1</v>
      </c>
      <c r="G430">
        <v>0</v>
      </c>
      <c r="H430">
        <v>75.892806708279323</v>
      </c>
      <c r="I430">
        <v>0</v>
      </c>
      <c r="J430" t="s">
        <v>90</v>
      </c>
      <c r="K430">
        <v>0</v>
      </c>
      <c r="L430">
        <v>75.892806708279323</v>
      </c>
      <c r="M430">
        <v>0</v>
      </c>
      <c r="N430">
        <v>0</v>
      </c>
      <c r="O430">
        <v>75.892806708279323</v>
      </c>
      <c r="P430" t="s">
        <v>90</v>
      </c>
      <c r="Q430">
        <v>0</v>
      </c>
      <c r="R430" t="s">
        <v>90</v>
      </c>
      <c r="S430">
        <v>0</v>
      </c>
      <c r="T430" t="s">
        <v>90</v>
      </c>
      <c r="U430">
        <v>0</v>
      </c>
      <c r="V430" t="s">
        <v>90</v>
      </c>
      <c r="W430">
        <v>0</v>
      </c>
      <c r="X430" t="s">
        <v>90</v>
      </c>
      <c r="Y430">
        <v>0</v>
      </c>
      <c r="Z430">
        <v>75.892806708279323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L430">
        <v>10.388</v>
      </c>
      <c r="AN430" t="s">
        <v>223</v>
      </c>
      <c r="AO430" t="s">
        <v>92</v>
      </c>
      <c r="AP430">
        <v>200000</v>
      </c>
      <c r="AQ430" t="s">
        <v>92</v>
      </c>
      <c r="AS430">
        <v>10000</v>
      </c>
      <c r="AT430" t="s">
        <v>4506</v>
      </c>
      <c r="AU430" t="s">
        <v>78</v>
      </c>
      <c r="AV430" t="s">
        <v>79</v>
      </c>
      <c r="AY430">
        <v>0</v>
      </c>
    </row>
    <row r="431" spans="1:52" ht="12.75">
      <c r="A431" s="2" t="str">
        <f>HYPERLINK("https://ibp.a2mac1.com/costing(costing:projects/details/8191/assembly/5385085)","Removable Floor System")</f>
        <v>Removable Floor System</v>
      </c>
      <c r="B431">
        <v>5385085</v>
      </c>
      <c r="D431">
        <v>5384944</v>
      </c>
      <c r="F431">
        <v>1</v>
      </c>
      <c r="G431">
        <v>0</v>
      </c>
      <c r="H431">
        <v>19.250578798083019</v>
      </c>
      <c r="I431">
        <v>0.096736576874789051</v>
      </c>
      <c r="J431" t="s">
        <v>137</v>
      </c>
      <c r="K431">
        <v>0.67377025793290568</v>
      </c>
      <c r="L431">
        <v>20.021085632890713</v>
      </c>
      <c r="M431">
        <v>0</v>
      </c>
      <c r="N431">
        <v>0</v>
      </c>
      <c r="O431">
        <v>20.021085632890713</v>
      </c>
      <c r="P431" t="s">
        <v>138</v>
      </c>
      <c r="Q431">
        <v>1.2012651379734429</v>
      </c>
      <c r="R431" t="s">
        <v>138</v>
      </c>
      <c r="S431">
        <v>0</v>
      </c>
      <c r="T431" t="s">
        <v>139</v>
      </c>
      <c r="U431">
        <v>2.4025302759468858</v>
      </c>
      <c r="V431" t="s">
        <v>90</v>
      </c>
      <c r="W431">
        <v>0</v>
      </c>
      <c r="X431" t="s">
        <v>90</v>
      </c>
      <c r="Y431">
        <v>0</v>
      </c>
      <c r="Z431">
        <v>23.624881046811044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L431">
        <v>6.5101000000000004</v>
      </c>
      <c r="AN431" t="s">
        <v>661</v>
      </c>
      <c r="AO431" t="s">
        <v>92</v>
      </c>
      <c r="AP431">
        <v>200000</v>
      </c>
      <c r="AQ431" t="s">
        <v>76</v>
      </c>
      <c r="AS431">
        <v>10000</v>
      </c>
      <c r="AT431" t="s">
        <v>4541</v>
      </c>
      <c r="AU431" t="s">
        <v>78</v>
      </c>
      <c r="AV431" t="s">
        <v>79</v>
      </c>
      <c r="AY431">
        <v>0</v>
      </c>
    </row>
    <row r="432" spans="1:52" ht="12.75">
      <c r="A432" s="2" t="str">
        <f>HYPERLINK("https://ibp.a2mac1.com/costing(costing:projects/details/8191/assembly/5384944)","Trunk")</f>
        <v>Trunk</v>
      </c>
      <c r="B432">
        <v>5384944</v>
      </c>
      <c r="D432">
        <v>5384846</v>
      </c>
      <c r="F432">
        <v>1</v>
      </c>
      <c r="G432">
        <v>0</v>
      </c>
      <c r="H432">
        <v>38.751719353210589</v>
      </c>
      <c r="I432">
        <v>0</v>
      </c>
      <c r="J432" t="s">
        <v>90</v>
      </c>
      <c r="K432">
        <v>0</v>
      </c>
      <c r="L432">
        <v>38.751719353210589</v>
      </c>
      <c r="M432">
        <v>0</v>
      </c>
      <c r="N432">
        <v>0</v>
      </c>
      <c r="O432">
        <v>38.751719353210589</v>
      </c>
      <c r="P432" t="s">
        <v>90</v>
      </c>
      <c r="Q432">
        <v>0</v>
      </c>
      <c r="R432" t="s">
        <v>90</v>
      </c>
      <c r="S432">
        <v>0</v>
      </c>
      <c r="T432" t="s">
        <v>90</v>
      </c>
      <c r="U432">
        <v>0</v>
      </c>
      <c r="V432" t="s">
        <v>90</v>
      </c>
      <c r="W432">
        <v>0</v>
      </c>
      <c r="X432" t="s">
        <v>90</v>
      </c>
      <c r="Y432">
        <v>0</v>
      </c>
      <c r="Z432">
        <v>38.751719353210589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L432">
        <v>10.581099999999999</v>
      </c>
      <c r="AN432" t="s">
        <v>223</v>
      </c>
      <c r="AO432" t="s">
        <v>92</v>
      </c>
      <c r="AP432">
        <v>200000</v>
      </c>
      <c r="AQ432" t="s">
        <v>92</v>
      </c>
      <c r="AS432">
        <v>10000</v>
      </c>
      <c r="AT432" t="s">
        <v>4546</v>
      </c>
      <c r="AU432" t="s">
        <v>78</v>
      </c>
      <c r="AV432" t="s">
        <v>79</v>
      </c>
      <c r="AY432">
        <v>0</v>
      </c>
    </row>
    <row r="433" spans="1:52" ht="12.75">
      <c r="A433" s="2" t="str">
        <f>HYPERLINK("https://ibp.a2mac1.com/costing(costing:projects/details/8191/assembly/5384846)","Floor Carpeting")</f>
        <v>Floor Carpeting</v>
      </c>
      <c r="B433">
        <v>5384846</v>
      </c>
      <c r="D433">
        <v>5384798</v>
      </c>
      <c r="F433">
        <v>1</v>
      </c>
      <c r="G433">
        <v>0</v>
      </c>
      <c r="H433">
        <v>114.64452606148991</v>
      </c>
      <c r="I433">
        <v>0</v>
      </c>
      <c r="J433" t="s">
        <v>90</v>
      </c>
      <c r="K433">
        <v>0</v>
      </c>
      <c r="L433">
        <v>114.64452606148991</v>
      </c>
      <c r="M433">
        <v>0</v>
      </c>
      <c r="N433">
        <v>0</v>
      </c>
      <c r="O433">
        <v>114.64452606148991</v>
      </c>
      <c r="P433" t="s">
        <v>90</v>
      </c>
      <c r="Q433">
        <v>0</v>
      </c>
      <c r="R433" t="s">
        <v>90</v>
      </c>
      <c r="S433">
        <v>0</v>
      </c>
      <c r="T433" t="s">
        <v>90</v>
      </c>
      <c r="U433">
        <v>0</v>
      </c>
      <c r="V433" t="s">
        <v>90</v>
      </c>
      <c r="W433">
        <v>0</v>
      </c>
      <c r="X433" t="s">
        <v>90</v>
      </c>
      <c r="Y433">
        <v>0</v>
      </c>
      <c r="Z433">
        <v>114.64452606148991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L433">
        <v>20.969100000000001</v>
      </c>
      <c r="AN433" t="s">
        <v>223</v>
      </c>
      <c r="AO433" t="s">
        <v>92</v>
      </c>
      <c r="AP433">
        <v>200000</v>
      </c>
      <c r="AQ433" t="s">
        <v>92</v>
      </c>
      <c r="AS433">
        <v>10000</v>
      </c>
      <c r="AT433" t="s">
        <v>4547</v>
      </c>
      <c r="AU433" t="s">
        <v>78</v>
      </c>
      <c r="AV433" t="s">
        <v>79</v>
      </c>
      <c r="AY433">
        <v>0</v>
      </c>
    </row>
    <row r="434" spans="1:52" ht="12.75">
      <c r="A434" s="2" t="str">
        <f>HYPERLINK("https://ibp.a2mac1.com/costing(costing:projects/details/8191/assembly/5384945)","Tweeter System")</f>
        <v>Tweeter System</v>
      </c>
      <c r="B434">
        <v>5384945</v>
      </c>
      <c r="D434">
        <v>5384847</v>
      </c>
      <c r="F434">
        <v>1</v>
      </c>
      <c r="G434">
        <v>0</v>
      </c>
      <c r="H434">
        <v>5.8870800000000001</v>
      </c>
      <c r="I434">
        <v>0</v>
      </c>
      <c r="J434" t="s">
        <v>90</v>
      </c>
      <c r="K434">
        <v>0</v>
      </c>
      <c r="L434">
        <v>5.8870800000000001</v>
      </c>
      <c r="M434">
        <v>0</v>
      </c>
      <c r="N434">
        <v>0</v>
      </c>
      <c r="O434">
        <v>5.8870800000000001</v>
      </c>
      <c r="P434" t="s">
        <v>90</v>
      </c>
      <c r="Q434">
        <v>0</v>
      </c>
      <c r="R434" t="s">
        <v>90</v>
      </c>
      <c r="S434">
        <v>0</v>
      </c>
      <c r="T434" t="s">
        <v>90</v>
      </c>
      <c r="U434">
        <v>0</v>
      </c>
      <c r="V434" t="s">
        <v>90</v>
      </c>
      <c r="W434">
        <v>0</v>
      </c>
      <c r="X434" t="s">
        <v>90</v>
      </c>
      <c r="Y434">
        <v>0</v>
      </c>
      <c r="Z434">
        <v>5.8870800000000001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L434">
        <v>0.2432</v>
      </c>
      <c r="AN434" t="s">
        <v>223</v>
      </c>
      <c r="AO434" t="s">
        <v>92</v>
      </c>
      <c r="AP434">
        <v>200000</v>
      </c>
      <c r="AQ434" t="s">
        <v>92</v>
      </c>
      <c r="AS434">
        <v>10000</v>
      </c>
      <c r="AT434" t="s">
        <v>4553</v>
      </c>
      <c r="AU434" t="s">
        <v>78</v>
      </c>
      <c r="AV434" t="s">
        <v>79</v>
      </c>
      <c r="AY434">
        <v>0</v>
      </c>
    </row>
    <row r="435" spans="1:52" ht="12.75">
      <c r="A435" s="2" t="str">
        <f>HYPERLINK("https://ibp.a2mac1.com/costing(costing:projects/details/8191/assembly/5384847)","Speakers System")</f>
        <v>Speakers System</v>
      </c>
      <c r="B435">
        <v>5384847</v>
      </c>
      <c r="D435">
        <v>5384798</v>
      </c>
      <c r="F435">
        <v>1</v>
      </c>
      <c r="G435">
        <v>0</v>
      </c>
      <c r="H435">
        <v>5.8870800000000001</v>
      </c>
      <c r="I435">
        <v>0</v>
      </c>
      <c r="J435" t="s">
        <v>90</v>
      </c>
      <c r="K435">
        <v>0</v>
      </c>
      <c r="L435">
        <v>5.8870800000000001</v>
      </c>
      <c r="M435">
        <v>0</v>
      </c>
      <c r="N435">
        <v>0</v>
      </c>
      <c r="O435">
        <v>5.8870800000000001</v>
      </c>
      <c r="P435" t="s">
        <v>90</v>
      </c>
      <c r="Q435">
        <v>0</v>
      </c>
      <c r="R435" t="s">
        <v>90</v>
      </c>
      <c r="S435">
        <v>0</v>
      </c>
      <c r="T435" t="s">
        <v>90</v>
      </c>
      <c r="U435">
        <v>0</v>
      </c>
      <c r="V435" t="s">
        <v>90</v>
      </c>
      <c r="W435">
        <v>0</v>
      </c>
      <c r="X435" t="s">
        <v>90</v>
      </c>
      <c r="Y435">
        <v>0</v>
      </c>
      <c r="Z435">
        <v>5.8870800000000001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L435">
        <v>0.2432</v>
      </c>
      <c r="AN435" t="s">
        <v>223</v>
      </c>
      <c r="AO435" t="s">
        <v>92</v>
      </c>
      <c r="AP435">
        <v>200000</v>
      </c>
      <c r="AQ435" t="s">
        <v>92</v>
      </c>
      <c r="AS435">
        <v>10000</v>
      </c>
      <c r="AT435" t="s">
        <v>4554</v>
      </c>
      <c r="AU435" t="s">
        <v>78</v>
      </c>
      <c r="AV435" t="s">
        <v>79</v>
      </c>
      <c r="AY435">
        <v>0</v>
      </c>
    </row>
    <row r="436" spans="1:52" ht="12.75">
      <c r="A436" s="2" t="str">
        <f>HYPERLINK("https://ibp.a2mac1.com/costing(costing:projects/details/8191/assembly/5384848)","Tie Bracket System")</f>
        <v>Tie Bracket System</v>
      </c>
      <c r="B436">
        <v>5384848</v>
      </c>
      <c r="D436">
        <v>5384798</v>
      </c>
      <c r="F436">
        <v>1</v>
      </c>
      <c r="G436">
        <v>0</v>
      </c>
      <c r="H436">
        <v>0.058091860436479709</v>
      </c>
      <c r="I436">
        <v>0</v>
      </c>
      <c r="J436" t="s">
        <v>90</v>
      </c>
      <c r="K436">
        <v>0</v>
      </c>
      <c r="L436">
        <v>0.058091860436479709</v>
      </c>
      <c r="M436">
        <v>0</v>
      </c>
      <c r="N436">
        <v>0</v>
      </c>
      <c r="O436">
        <v>0.058091860436479709</v>
      </c>
      <c r="P436" t="s">
        <v>90</v>
      </c>
      <c r="Q436">
        <v>0</v>
      </c>
      <c r="R436" t="s">
        <v>90</v>
      </c>
      <c r="S436">
        <v>0</v>
      </c>
      <c r="T436" t="s">
        <v>90</v>
      </c>
      <c r="U436">
        <v>0</v>
      </c>
      <c r="V436" t="s">
        <v>90</v>
      </c>
      <c r="W436">
        <v>0</v>
      </c>
      <c r="X436" t="s">
        <v>90</v>
      </c>
      <c r="Y436">
        <v>0</v>
      </c>
      <c r="Z436">
        <v>0.058091860436479709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L436">
        <v>0.0030000000000000001</v>
      </c>
      <c r="AN436" t="s">
        <v>223</v>
      </c>
      <c r="AO436" t="s">
        <v>92</v>
      </c>
      <c r="AP436">
        <v>200000</v>
      </c>
      <c r="AQ436" t="s">
        <v>92</v>
      </c>
      <c r="AS436">
        <v>10000</v>
      </c>
      <c r="AT436" t="s">
        <v>4561</v>
      </c>
      <c r="AU436" t="s">
        <v>78</v>
      </c>
      <c r="AV436" t="s">
        <v>79</v>
      </c>
      <c r="AY436">
        <v>0</v>
      </c>
    </row>
    <row r="437" spans="1:52" ht="12.75">
      <c r="A437" s="2" t="str">
        <f>HYPERLINK("https://ibp.a2mac1.com/costing(costing:projects/details/8191/assembly/5384849)","Interior Lighting System")</f>
        <v>Interior Lighting System</v>
      </c>
      <c r="B437">
        <v>5384849</v>
      </c>
      <c r="D437">
        <v>5384798</v>
      </c>
      <c r="F437">
        <v>1</v>
      </c>
      <c r="G437">
        <v>0</v>
      </c>
      <c r="H437">
        <v>2.2145800000000002</v>
      </c>
      <c r="I437">
        <v>0</v>
      </c>
      <c r="J437" t="s">
        <v>90</v>
      </c>
      <c r="K437">
        <v>0</v>
      </c>
      <c r="L437">
        <v>2.2145800000000002</v>
      </c>
      <c r="M437">
        <v>0</v>
      </c>
      <c r="N437">
        <v>0</v>
      </c>
      <c r="O437">
        <v>2.2145800000000002</v>
      </c>
      <c r="P437" t="s">
        <v>90</v>
      </c>
      <c r="Q437">
        <v>0</v>
      </c>
      <c r="R437" t="s">
        <v>90</v>
      </c>
      <c r="S437">
        <v>0</v>
      </c>
      <c r="T437" t="s">
        <v>90</v>
      </c>
      <c r="U437">
        <v>0</v>
      </c>
      <c r="V437" t="s">
        <v>90</v>
      </c>
      <c r="W437">
        <v>0</v>
      </c>
      <c r="X437" t="s">
        <v>90</v>
      </c>
      <c r="Y437">
        <v>0</v>
      </c>
      <c r="Z437">
        <v>2.2145800000000002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L437">
        <v>0.023</v>
      </c>
      <c r="AN437" t="s">
        <v>223</v>
      </c>
      <c r="AO437" t="s">
        <v>92</v>
      </c>
      <c r="AP437">
        <v>200000</v>
      </c>
      <c r="AQ437" t="s">
        <v>92</v>
      </c>
      <c r="AS437">
        <v>10000</v>
      </c>
      <c r="AT437" t="s">
        <v>4564</v>
      </c>
      <c r="AU437" t="s">
        <v>78</v>
      </c>
      <c r="AV437" t="s">
        <v>79</v>
      </c>
      <c r="AY437">
        <v>0</v>
      </c>
    </row>
    <row r="438" spans="1:52" ht="12.75">
      <c r="A438" s="2" t="str">
        <f>HYPERLINK("https://ibp.a2mac1.com/costing(costing:projects/details/8191/assembly/5384850)","Floor and Insert System")</f>
        <v>Floor and Insert System</v>
      </c>
      <c r="B438">
        <v>5384850</v>
      </c>
      <c r="D438">
        <v>5384798</v>
      </c>
      <c r="F438">
        <v>1</v>
      </c>
      <c r="G438">
        <v>0</v>
      </c>
      <c r="H438">
        <v>2.7542419948193606</v>
      </c>
      <c r="I438">
        <v>0</v>
      </c>
      <c r="J438" t="s">
        <v>90</v>
      </c>
      <c r="K438">
        <v>0</v>
      </c>
      <c r="L438">
        <v>2.7542419948193606</v>
      </c>
      <c r="M438">
        <v>0</v>
      </c>
      <c r="N438">
        <v>0</v>
      </c>
      <c r="O438">
        <v>2.7542419948193606</v>
      </c>
      <c r="P438" t="s">
        <v>90</v>
      </c>
      <c r="Q438">
        <v>0</v>
      </c>
      <c r="R438" t="s">
        <v>90</v>
      </c>
      <c r="S438">
        <v>0</v>
      </c>
      <c r="T438" t="s">
        <v>90</v>
      </c>
      <c r="U438">
        <v>0</v>
      </c>
      <c r="V438" t="s">
        <v>90</v>
      </c>
      <c r="W438">
        <v>0</v>
      </c>
      <c r="X438" t="s">
        <v>90</v>
      </c>
      <c r="Y438">
        <v>0</v>
      </c>
      <c r="Z438">
        <v>2.7542419948193606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L438">
        <v>0.56299999999999994</v>
      </c>
      <c r="AN438" t="s">
        <v>223</v>
      </c>
      <c r="AO438" t="s">
        <v>92</v>
      </c>
      <c r="AP438">
        <v>200000</v>
      </c>
      <c r="AQ438" t="s">
        <v>92</v>
      </c>
      <c r="AS438">
        <v>10000</v>
      </c>
      <c r="AT438" t="s">
        <v>4578</v>
      </c>
      <c r="AU438" t="s">
        <v>78</v>
      </c>
      <c r="AV438" t="s">
        <v>79</v>
      </c>
      <c r="AY438">
        <v>0</v>
      </c>
    </row>
    <row r="439" spans="1:52" ht="12.75">
      <c r="A439" s="2" t="str">
        <f>HYPERLINK("https://ibp.a2mac1.com/costing(costing:projects/details/8191/assembly/5384851)","Headliner Filler")</f>
        <v>Headliner Filler</v>
      </c>
      <c r="B439">
        <v>5384851</v>
      </c>
      <c r="D439">
        <v>5384798</v>
      </c>
      <c r="F439">
        <v>1</v>
      </c>
      <c r="G439">
        <v>0</v>
      </c>
      <c r="H439">
        <v>65.394254980022211</v>
      </c>
      <c r="I439">
        <v>0</v>
      </c>
      <c r="J439" t="s">
        <v>90</v>
      </c>
      <c r="K439">
        <v>0</v>
      </c>
      <c r="L439">
        <v>65.394254980022211</v>
      </c>
      <c r="M439">
        <v>0</v>
      </c>
      <c r="N439">
        <v>0</v>
      </c>
      <c r="O439">
        <v>65.394254980022211</v>
      </c>
      <c r="P439" t="s">
        <v>90</v>
      </c>
      <c r="Q439">
        <v>0</v>
      </c>
      <c r="R439" t="s">
        <v>90</v>
      </c>
      <c r="S439">
        <v>0</v>
      </c>
      <c r="T439" t="s">
        <v>90</v>
      </c>
      <c r="U439">
        <v>0</v>
      </c>
      <c r="V439" t="s">
        <v>90</v>
      </c>
      <c r="W439">
        <v>0</v>
      </c>
      <c r="X439" t="s">
        <v>90</v>
      </c>
      <c r="Y439">
        <v>0</v>
      </c>
      <c r="Z439">
        <v>65.394254980022211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2007</v>
      </c>
      <c r="AI439">
        <v>1225</v>
      </c>
      <c r="AJ439">
        <v>240</v>
      </c>
      <c r="AL439">
        <v>3.1429999999999998</v>
      </c>
      <c r="AN439" t="s">
        <v>223</v>
      </c>
      <c r="AO439" t="s">
        <v>92</v>
      </c>
      <c r="AP439">
        <v>200000</v>
      </c>
      <c r="AQ439" t="s">
        <v>92</v>
      </c>
      <c r="AS439">
        <v>10000</v>
      </c>
      <c r="AT439" t="s">
        <v>4585</v>
      </c>
      <c r="AU439" t="s">
        <v>78</v>
      </c>
      <c r="AV439" t="s">
        <v>79</v>
      </c>
      <c r="AY439">
        <v>0</v>
      </c>
      <c r="AZ439" t="s">
        <v>4586</v>
      </c>
    </row>
    <row r="440" spans="1:52" ht="12.75">
      <c r="A440" s="2" t="str">
        <f>HYPERLINK("https://ibp.a2mac1.com/costing(costing:projects/details/8191/assembly/5384798)","Trims Parts")</f>
        <v>Trims Parts</v>
      </c>
      <c r="B440">
        <v>5384798</v>
      </c>
      <c r="D440">
        <v>5384794</v>
      </c>
      <c r="F440">
        <v>1</v>
      </c>
      <c r="G440">
        <v>0</v>
      </c>
      <c r="H440">
        <v>289.10172762752802</v>
      </c>
      <c r="I440">
        <v>0</v>
      </c>
      <c r="J440" t="s">
        <v>90</v>
      </c>
      <c r="K440">
        <v>0</v>
      </c>
      <c r="L440">
        <v>289.10172762752802</v>
      </c>
      <c r="M440">
        <v>0</v>
      </c>
      <c r="N440">
        <v>0</v>
      </c>
      <c r="O440">
        <v>289.10172762752802</v>
      </c>
      <c r="P440" t="s">
        <v>90</v>
      </c>
      <c r="Q440">
        <v>0</v>
      </c>
      <c r="R440" t="s">
        <v>90</v>
      </c>
      <c r="S440">
        <v>0</v>
      </c>
      <c r="T440" t="s">
        <v>90</v>
      </c>
      <c r="U440">
        <v>0</v>
      </c>
      <c r="V440" t="s">
        <v>90</v>
      </c>
      <c r="W440">
        <v>0</v>
      </c>
      <c r="X440" t="s">
        <v>90</v>
      </c>
      <c r="Y440">
        <v>0</v>
      </c>
      <c r="Z440">
        <v>289.10172762752802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L440">
        <v>40.014800000000001</v>
      </c>
      <c r="AN440" t="s">
        <v>223</v>
      </c>
      <c r="AO440" t="s">
        <v>92</v>
      </c>
      <c r="AP440">
        <v>200000</v>
      </c>
      <c r="AQ440" t="s">
        <v>92</v>
      </c>
      <c r="AS440">
        <v>10000</v>
      </c>
      <c r="AT440" t="s">
        <v>4587</v>
      </c>
      <c r="AU440" t="s">
        <v>78</v>
      </c>
      <c r="AV440" t="s">
        <v>79</v>
      </c>
      <c r="AY440">
        <v>0</v>
      </c>
    </row>
    <row r="441" spans="1:52" ht="12.75">
      <c r="A441" s="2" t="str">
        <f>HYPERLINK("https://ibp.a2mac1.com/costing(costing:projects/details/8191/assembly/5384794)","Interior")</f>
        <v>Interior</v>
      </c>
      <c r="B441">
        <v>5384794</v>
      </c>
      <c r="C441">
        <v>8191</v>
      </c>
      <c r="F441">
        <v>1</v>
      </c>
      <c r="G441">
        <v>0</v>
      </c>
      <c r="H441">
        <v>1045.1414362358255</v>
      </c>
      <c r="I441">
        <v>0</v>
      </c>
      <c r="J441" t="s">
        <v>90</v>
      </c>
      <c r="K441">
        <v>0</v>
      </c>
      <c r="L441">
        <v>1045.1414362358255</v>
      </c>
      <c r="M441">
        <v>0</v>
      </c>
      <c r="N441">
        <v>0</v>
      </c>
      <c r="O441">
        <v>1045.1414362358255</v>
      </c>
      <c r="P441" t="s">
        <v>90</v>
      </c>
      <c r="Q441">
        <v>0</v>
      </c>
      <c r="R441" t="s">
        <v>90</v>
      </c>
      <c r="S441">
        <v>0</v>
      </c>
      <c r="T441" t="s">
        <v>90</v>
      </c>
      <c r="U441">
        <v>0</v>
      </c>
      <c r="V441" t="s">
        <v>90</v>
      </c>
      <c r="W441">
        <v>0</v>
      </c>
      <c r="X441" t="s">
        <v>90</v>
      </c>
      <c r="Y441">
        <v>0</v>
      </c>
      <c r="Z441">
        <v>1045.1414362358255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L441">
        <v>83.879800000000003</v>
      </c>
      <c r="AN441" t="s">
        <v>223</v>
      </c>
      <c r="AO441" t="s">
        <v>92</v>
      </c>
      <c r="AP441">
        <v>200000</v>
      </c>
      <c r="AQ441" t="s">
        <v>92</v>
      </c>
      <c r="AS441">
        <v>10000</v>
      </c>
      <c r="AT441" t="s">
        <v>4588</v>
      </c>
      <c r="AU441" t="s">
        <v>78</v>
      </c>
      <c r="AV441" t="s">
        <v>79</v>
      </c>
      <c r="AY441">
        <v>0</v>
      </c>
    </row>
    <row r="442" spans="1:52" ht="12.75">
      <c r="A442" s="2" t="str">
        <f>HYPERLINK("https://ibp.a2mac1.com/costing(costing:projects/details/8191/assembly/5388733)","Housing")</f>
        <v>Housing</v>
      </c>
      <c r="B442">
        <v>5388733</v>
      </c>
      <c r="D442">
        <v>5388345</v>
      </c>
      <c r="F442">
        <v>1</v>
      </c>
      <c r="G442">
        <v>0</v>
      </c>
      <c r="H442">
        <v>7.6003228302498353</v>
      </c>
      <c r="I442">
        <v>0</v>
      </c>
      <c r="J442" t="s">
        <v>90</v>
      </c>
      <c r="K442">
        <v>0</v>
      </c>
      <c r="L442">
        <v>7.6003228302498353</v>
      </c>
      <c r="M442">
        <v>0</v>
      </c>
      <c r="N442">
        <v>0</v>
      </c>
      <c r="O442">
        <v>7.6003228302498353</v>
      </c>
      <c r="P442" t="s">
        <v>90</v>
      </c>
      <c r="Q442">
        <v>0</v>
      </c>
      <c r="R442" t="s">
        <v>90</v>
      </c>
      <c r="S442">
        <v>0</v>
      </c>
      <c r="T442" t="s">
        <v>90</v>
      </c>
      <c r="U442">
        <v>0</v>
      </c>
      <c r="V442" t="s">
        <v>90</v>
      </c>
      <c r="W442">
        <v>0</v>
      </c>
      <c r="X442" t="s">
        <v>90</v>
      </c>
      <c r="Y442">
        <v>0</v>
      </c>
      <c r="Z442">
        <v>7.6003228302498353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N442" t="s">
        <v>223</v>
      </c>
      <c r="AO442" t="s">
        <v>92</v>
      </c>
      <c r="AP442">
        <v>200000</v>
      </c>
      <c r="AQ442" t="s">
        <v>76</v>
      </c>
      <c r="AR442">
        <v>0</v>
      </c>
      <c r="AS442">
        <v>10000</v>
      </c>
      <c r="AT442" t="s">
        <v>9</v>
      </c>
      <c r="AU442" t="s">
        <v>78</v>
      </c>
      <c r="AV442" t="s">
        <v>79</v>
      </c>
      <c r="AY442">
        <v>0</v>
      </c>
    </row>
    <row r="443" spans="1:52" ht="12.75">
      <c r="A443" s="2" t="str">
        <f>HYPERLINK("https://ibp.a2mac1.com/costing(costing:projects/details/8191/assembly/5388734)","Reinforcements")</f>
        <v>Reinforcements</v>
      </c>
      <c r="B443">
        <v>5388734</v>
      </c>
      <c r="D443">
        <v>5388345</v>
      </c>
      <c r="F443">
        <v>1</v>
      </c>
      <c r="G443">
        <v>0</v>
      </c>
      <c r="H443">
        <v>1.5930931418297709</v>
      </c>
      <c r="I443">
        <v>0</v>
      </c>
      <c r="J443" t="s">
        <v>90</v>
      </c>
      <c r="K443">
        <v>0</v>
      </c>
      <c r="L443">
        <v>1.5930931418297709</v>
      </c>
      <c r="M443">
        <v>0</v>
      </c>
      <c r="N443">
        <v>0</v>
      </c>
      <c r="O443">
        <v>1.5930931418297709</v>
      </c>
      <c r="P443" t="s">
        <v>90</v>
      </c>
      <c r="Q443">
        <v>0</v>
      </c>
      <c r="R443" t="s">
        <v>90</v>
      </c>
      <c r="S443">
        <v>0</v>
      </c>
      <c r="T443" t="s">
        <v>90</v>
      </c>
      <c r="U443">
        <v>0</v>
      </c>
      <c r="V443" t="s">
        <v>90</v>
      </c>
      <c r="W443">
        <v>0</v>
      </c>
      <c r="X443" t="s">
        <v>90</v>
      </c>
      <c r="Y443">
        <v>0</v>
      </c>
      <c r="Z443">
        <v>1.5930931418297709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N443" t="s">
        <v>223</v>
      </c>
      <c r="AO443" t="s">
        <v>92</v>
      </c>
      <c r="AP443">
        <v>200000</v>
      </c>
      <c r="AQ443" t="s">
        <v>76</v>
      </c>
      <c r="AR443">
        <v>0</v>
      </c>
      <c r="AS443">
        <v>10000</v>
      </c>
      <c r="AT443" t="s">
        <v>9</v>
      </c>
      <c r="AU443" t="s">
        <v>78</v>
      </c>
      <c r="AV443" t="s">
        <v>79</v>
      </c>
      <c r="AY443">
        <v>0</v>
      </c>
    </row>
    <row r="444" spans="1:52" ht="12.75">
      <c r="A444" s="2" t="str">
        <f>HYPERLINK("https://ibp.a2mac1.com/costing(costing:projects/details/8191/assembly/5389148)","Front")</f>
        <v>Front</v>
      </c>
      <c r="B444">
        <v>5389148</v>
      </c>
      <c r="D444">
        <v>5388735</v>
      </c>
      <c r="F444">
        <v>1</v>
      </c>
      <c r="G444">
        <v>0</v>
      </c>
      <c r="H444">
        <v>1.6452604635758201</v>
      </c>
      <c r="I444">
        <v>0</v>
      </c>
      <c r="J444" t="s">
        <v>90</v>
      </c>
      <c r="K444">
        <v>0</v>
      </c>
      <c r="L444">
        <v>1.6452604635758201</v>
      </c>
      <c r="M444">
        <v>0</v>
      </c>
      <c r="N444">
        <v>0</v>
      </c>
      <c r="O444">
        <v>1.6452604635758201</v>
      </c>
      <c r="P444" t="s">
        <v>90</v>
      </c>
      <c r="Q444">
        <v>0</v>
      </c>
      <c r="R444" t="s">
        <v>90</v>
      </c>
      <c r="S444">
        <v>0</v>
      </c>
      <c r="T444" t="s">
        <v>90</v>
      </c>
      <c r="U444">
        <v>0</v>
      </c>
      <c r="V444" t="s">
        <v>90</v>
      </c>
      <c r="W444">
        <v>0</v>
      </c>
      <c r="X444" t="s">
        <v>90</v>
      </c>
      <c r="Y444">
        <v>0</v>
      </c>
      <c r="Z444">
        <v>1.6452604635758201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N444" t="s">
        <v>223</v>
      </c>
      <c r="AO444" t="s">
        <v>92</v>
      </c>
      <c r="AP444">
        <v>200000</v>
      </c>
      <c r="AQ444" t="s">
        <v>76</v>
      </c>
      <c r="AR444">
        <v>0</v>
      </c>
      <c r="AS444">
        <v>10000</v>
      </c>
      <c r="AT444" t="s">
        <v>9</v>
      </c>
      <c r="AU444" t="s">
        <v>78</v>
      </c>
      <c r="AV444" t="s">
        <v>79</v>
      </c>
      <c r="AY444">
        <v>0</v>
      </c>
    </row>
    <row r="445" spans="1:52" ht="12.75">
      <c r="A445" s="2" t="str">
        <f>HYPERLINK("https://ibp.a2mac1.com/costing(costing:projects/details/8191/assembly/5388735)","Fixing parts")</f>
        <v>Fixing parts</v>
      </c>
      <c r="B445">
        <v>5388735</v>
      </c>
      <c r="D445">
        <v>5388345</v>
      </c>
      <c r="F445">
        <v>1</v>
      </c>
      <c r="G445">
        <v>0</v>
      </c>
      <c r="H445">
        <v>1.6452604635758201</v>
      </c>
      <c r="I445">
        <v>0</v>
      </c>
      <c r="J445" t="s">
        <v>90</v>
      </c>
      <c r="K445">
        <v>0</v>
      </c>
      <c r="L445">
        <v>1.6452604635758201</v>
      </c>
      <c r="M445">
        <v>0</v>
      </c>
      <c r="N445">
        <v>0</v>
      </c>
      <c r="O445">
        <v>1.6452604635758201</v>
      </c>
      <c r="P445" t="s">
        <v>90</v>
      </c>
      <c r="Q445">
        <v>0</v>
      </c>
      <c r="R445" t="s">
        <v>90</v>
      </c>
      <c r="S445">
        <v>0</v>
      </c>
      <c r="T445" t="s">
        <v>90</v>
      </c>
      <c r="U445">
        <v>0</v>
      </c>
      <c r="V445" t="s">
        <v>90</v>
      </c>
      <c r="W445">
        <v>0</v>
      </c>
      <c r="X445" t="s">
        <v>90</v>
      </c>
      <c r="Y445">
        <v>0</v>
      </c>
      <c r="Z445">
        <v>1.6452604635758201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N445" t="s">
        <v>223</v>
      </c>
      <c r="AO445" t="s">
        <v>92</v>
      </c>
      <c r="AP445">
        <v>200000</v>
      </c>
      <c r="AQ445" t="s">
        <v>76</v>
      </c>
      <c r="AR445">
        <v>0</v>
      </c>
      <c r="AS445">
        <v>10000</v>
      </c>
      <c r="AT445" t="s">
        <v>9</v>
      </c>
      <c r="AU445" t="s">
        <v>78</v>
      </c>
      <c r="AV445" t="s">
        <v>79</v>
      </c>
      <c r="AY445">
        <v>0</v>
      </c>
    </row>
    <row r="446" spans="1:52" ht="12.75">
      <c r="A446" s="2" t="str">
        <f>HYPERLINK("https://ibp.a2mac1.com/costing(costing:projects/details/8191/assembly/5388345)","Housing Assy ")</f>
        <v xml:space="preserve">Housing Assy </v>
      </c>
      <c r="B446">
        <v>5388345</v>
      </c>
      <c r="D446">
        <v>5388171</v>
      </c>
      <c r="F446">
        <v>1</v>
      </c>
      <c r="G446">
        <v>0</v>
      </c>
      <c r="H446">
        <v>10.838676435655426</v>
      </c>
      <c r="I446">
        <v>0</v>
      </c>
      <c r="J446" t="s">
        <v>90</v>
      </c>
      <c r="K446">
        <v>0</v>
      </c>
      <c r="L446">
        <v>10.838676435655426</v>
      </c>
      <c r="M446">
        <v>0</v>
      </c>
      <c r="N446">
        <v>0</v>
      </c>
      <c r="O446">
        <v>10.838676435655426</v>
      </c>
      <c r="P446" t="s">
        <v>90</v>
      </c>
      <c r="Q446">
        <v>0</v>
      </c>
      <c r="R446" t="s">
        <v>90</v>
      </c>
      <c r="S446">
        <v>0</v>
      </c>
      <c r="T446" t="s">
        <v>90</v>
      </c>
      <c r="U446">
        <v>0</v>
      </c>
      <c r="V446" t="s">
        <v>90</v>
      </c>
      <c r="W446">
        <v>0</v>
      </c>
      <c r="X446" t="s">
        <v>90</v>
      </c>
      <c r="Y446">
        <v>0</v>
      </c>
      <c r="Z446">
        <v>10.838676435655426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N446" t="s">
        <v>223</v>
      </c>
      <c r="AO446" t="s">
        <v>92</v>
      </c>
      <c r="AP446">
        <v>200000</v>
      </c>
      <c r="AQ446" t="s">
        <v>92</v>
      </c>
      <c r="AR446">
        <v>0</v>
      </c>
      <c r="AS446">
        <v>10000</v>
      </c>
      <c r="AT446" t="s">
        <v>9</v>
      </c>
      <c r="AU446" t="s">
        <v>78</v>
      </c>
      <c r="AV446" t="s">
        <v>79</v>
      </c>
      <c r="AY446">
        <v>0</v>
      </c>
    </row>
    <row r="447" spans="1:52" ht="12.75">
      <c r="A447" s="2" t="str">
        <f>HYPERLINK("https://ibp.a2mac1.com/costing(costing:projects/details/8191/assembly/5389149)","Beam")</f>
        <v>Beam</v>
      </c>
      <c r="B447">
        <v>5389149</v>
      </c>
      <c r="D447">
        <v>5388736</v>
      </c>
      <c r="F447">
        <v>1</v>
      </c>
      <c r="G447">
        <v>0</v>
      </c>
      <c r="H447">
        <v>2.8972133153946751</v>
      </c>
      <c r="I447">
        <v>0</v>
      </c>
      <c r="J447" t="s">
        <v>90</v>
      </c>
      <c r="K447">
        <v>0</v>
      </c>
      <c r="L447">
        <v>2.8972133153946751</v>
      </c>
      <c r="M447">
        <v>0</v>
      </c>
      <c r="N447">
        <v>0</v>
      </c>
      <c r="O447">
        <v>2.8972133153946751</v>
      </c>
      <c r="P447" t="s">
        <v>90</v>
      </c>
      <c r="Q447">
        <v>0</v>
      </c>
      <c r="R447" t="s">
        <v>90</v>
      </c>
      <c r="S447">
        <v>0</v>
      </c>
      <c r="T447" t="s">
        <v>90</v>
      </c>
      <c r="U447">
        <v>0</v>
      </c>
      <c r="V447" t="s">
        <v>90</v>
      </c>
      <c r="W447">
        <v>0</v>
      </c>
      <c r="X447" t="s">
        <v>90</v>
      </c>
      <c r="Y447">
        <v>0</v>
      </c>
      <c r="Z447">
        <v>2.8972133153946751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N447" t="s">
        <v>223</v>
      </c>
      <c r="AO447" t="s">
        <v>92</v>
      </c>
      <c r="AP447">
        <v>200000</v>
      </c>
      <c r="AQ447" t="s">
        <v>92</v>
      </c>
      <c r="AR447">
        <v>0</v>
      </c>
      <c r="AS447">
        <v>10000</v>
      </c>
      <c r="AT447" t="s">
        <v>9</v>
      </c>
      <c r="AU447" t="s">
        <v>78</v>
      </c>
      <c r="AV447" t="s">
        <v>79</v>
      </c>
      <c r="AY447">
        <v>0</v>
      </c>
    </row>
    <row r="448" spans="1:52" ht="12.75">
      <c r="A448" s="2" t="str">
        <f>HYPERLINK("https://ibp.a2mac1.com/costing(costing:projects/details/8191/assembly/5388736)","Beam 01")</f>
        <v>Beam 01</v>
      </c>
      <c r="B448">
        <v>5388736</v>
      </c>
      <c r="D448">
        <v>5388346</v>
      </c>
      <c r="F448">
        <v>1</v>
      </c>
      <c r="G448">
        <v>0</v>
      </c>
      <c r="H448">
        <v>2.8972133153946751</v>
      </c>
      <c r="I448">
        <v>0</v>
      </c>
      <c r="J448" t="s">
        <v>90</v>
      </c>
      <c r="K448">
        <v>0</v>
      </c>
      <c r="L448">
        <v>2.8972133153946751</v>
      </c>
      <c r="M448">
        <v>0</v>
      </c>
      <c r="N448">
        <v>0</v>
      </c>
      <c r="O448">
        <v>2.8972133153946751</v>
      </c>
      <c r="P448" t="s">
        <v>90</v>
      </c>
      <c r="Q448">
        <v>0</v>
      </c>
      <c r="R448" t="s">
        <v>90</v>
      </c>
      <c r="S448">
        <v>0</v>
      </c>
      <c r="T448" t="s">
        <v>90</v>
      </c>
      <c r="U448">
        <v>0</v>
      </c>
      <c r="V448" t="s">
        <v>90</v>
      </c>
      <c r="W448">
        <v>0</v>
      </c>
      <c r="X448" t="s">
        <v>90</v>
      </c>
      <c r="Y448">
        <v>0</v>
      </c>
      <c r="Z448">
        <v>2.8972133153946751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N448" t="s">
        <v>223</v>
      </c>
      <c r="AO448" t="s">
        <v>92</v>
      </c>
      <c r="AP448">
        <v>200000</v>
      </c>
      <c r="AQ448" t="s">
        <v>92</v>
      </c>
      <c r="AR448">
        <v>0</v>
      </c>
      <c r="AS448">
        <v>10000</v>
      </c>
      <c r="AT448" t="s">
        <v>9</v>
      </c>
      <c r="AU448" t="s">
        <v>78</v>
      </c>
      <c r="AV448" t="s">
        <v>79</v>
      </c>
      <c r="AY448">
        <v>0</v>
      </c>
    </row>
    <row r="449" spans="1:52" ht="12.75">
      <c r="A449" s="2" t="str">
        <f>HYPERLINK("https://ibp.a2mac1.com/costing(costing:projects/details/8191/assembly/5388346)","Anti-intrusion beams")</f>
        <v>Anti-intrusion beams</v>
      </c>
      <c r="B449">
        <v>5388346</v>
      </c>
      <c r="D449">
        <v>5388171</v>
      </c>
      <c r="F449">
        <v>1</v>
      </c>
      <c r="G449">
        <v>0</v>
      </c>
      <c r="H449">
        <v>2.8972133153946751</v>
      </c>
      <c r="I449">
        <v>0</v>
      </c>
      <c r="J449" t="s">
        <v>90</v>
      </c>
      <c r="K449">
        <v>0</v>
      </c>
      <c r="L449">
        <v>2.8972133153946751</v>
      </c>
      <c r="M449">
        <v>0</v>
      </c>
      <c r="N449">
        <v>0</v>
      </c>
      <c r="O449">
        <v>2.8972133153946751</v>
      </c>
      <c r="P449" t="s">
        <v>90</v>
      </c>
      <c r="Q449">
        <v>0</v>
      </c>
      <c r="R449" t="s">
        <v>90</v>
      </c>
      <c r="S449">
        <v>0</v>
      </c>
      <c r="T449" t="s">
        <v>90</v>
      </c>
      <c r="U449">
        <v>0</v>
      </c>
      <c r="V449" t="s">
        <v>90</v>
      </c>
      <c r="W449">
        <v>0</v>
      </c>
      <c r="X449" t="s">
        <v>90</v>
      </c>
      <c r="Y449">
        <v>0</v>
      </c>
      <c r="Z449">
        <v>2.8972133153946751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N449" t="s">
        <v>223</v>
      </c>
      <c r="AO449" t="s">
        <v>92</v>
      </c>
      <c r="AP449">
        <v>200000</v>
      </c>
      <c r="AQ449" t="s">
        <v>92</v>
      </c>
      <c r="AR449">
        <v>0</v>
      </c>
      <c r="AS449">
        <v>10000</v>
      </c>
      <c r="AT449" t="s">
        <v>9</v>
      </c>
      <c r="AU449" t="s">
        <v>78</v>
      </c>
      <c r="AV449" t="s">
        <v>79</v>
      </c>
      <c r="AY449">
        <v>0</v>
      </c>
    </row>
    <row r="450" spans="1:52" ht="12.75">
      <c r="A450" s="2" t="str">
        <f>HYPERLINK("https://ibp.a2mac1.com/costing(costing:projects/details/8191/assembly/5388737)","Reinforcements")</f>
        <v>Reinforcements</v>
      </c>
      <c r="B450">
        <v>5388737</v>
      </c>
      <c r="D450">
        <v>5388347</v>
      </c>
      <c r="F450">
        <v>1</v>
      </c>
      <c r="G450">
        <v>0</v>
      </c>
      <c r="H450">
        <v>0.28106372195572815</v>
      </c>
      <c r="I450">
        <v>0</v>
      </c>
      <c r="J450" t="s">
        <v>90</v>
      </c>
      <c r="K450">
        <v>0</v>
      </c>
      <c r="L450">
        <v>0.28106372195572815</v>
      </c>
      <c r="M450">
        <v>0</v>
      </c>
      <c r="N450">
        <v>0</v>
      </c>
      <c r="O450">
        <v>0.28106372195572815</v>
      </c>
      <c r="P450" t="s">
        <v>90</v>
      </c>
      <c r="Q450">
        <v>0</v>
      </c>
      <c r="R450" t="s">
        <v>90</v>
      </c>
      <c r="S450">
        <v>0</v>
      </c>
      <c r="T450" t="s">
        <v>90</v>
      </c>
      <c r="U450">
        <v>0</v>
      </c>
      <c r="V450" t="s">
        <v>90</v>
      </c>
      <c r="W450">
        <v>0</v>
      </c>
      <c r="X450" t="s">
        <v>90</v>
      </c>
      <c r="Y450">
        <v>0</v>
      </c>
      <c r="Z450">
        <v>0.28106372195572815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N450" t="s">
        <v>223</v>
      </c>
      <c r="AO450" t="s">
        <v>92</v>
      </c>
      <c r="AP450">
        <v>200000</v>
      </c>
      <c r="AQ450" t="s">
        <v>92</v>
      </c>
      <c r="AR450">
        <v>0</v>
      </c>
      <c r="AS450">
        <v>10000</v>
      </c>
      <c r="AT450" t="s">
        <v>9</v>
      </c>
      <c r="AU450" t="s">
        <v>78</v>
      </c>
      <c r="AV450" t="s">
        <v>79</v>
      </c>
      <c r="AY450">
        <v>0</v>
      </c>
    </row>
    <row r="451" spans="1:52" ht="12.75">
      <c r="A451" s="2" t="str">
        <f>HYPERLINK("https://ibp.a2mac1.com/costing(costing:projects/details/8191/assembly/5389413)","Slide")</f>
        <v>Slide</v>
      </c>
      <c r="B451">
        <v>5389413</v>
      </c>
      <c r="D451">
        <v>5389151</v>
      </c>
      <c r="F451">
        <v>1</v>
      </c>
      <c r="G451">
        <v>0</v>
      </c>
      <c r="H451">
        <v>0.25333448886132814</v>
      </c>
      <c r="I451">
        <v>0</v>
      </c>
      <c r="J451" t="s">
        <v>90</v>
      </c>
      <c r="K451">
        <v>0</v>
      </c>
      <c r="L451">
        <v>0.25333448886132814</v>
      </c>
      <c r="M451">
        <v>0</v>
      </c>
      <c r="N451">
        <v>0</v>
      </c>
      <c r="O451">
        <v>0.25333448886132814</v>
      </c>
      <c r="P451" t="s">
        <v>90</v>
      </c>
      <c r="Q451">
        <v>0</v>
      </c>
      <c r="R451" t="s">
        <v>90</v>
      </c>
      <c r="S451">
        <v>0</v>
      </c>
      <c r="T451" t="s">
        <v>90</v>
      </c>
      <c r="U451">
        <v>0</v>
      </c>
      <c r="V451" t="s">
        <v>90</v>
      </c>
      <c r="W451">
        <v>0</v>
      </c>
      <c r="X451" t="s">
        <v>90</v>
      </c>
      <c r="Y451">
        <v>0</v>
      </c>
      <c r="Z451">
        <v>0.25333448886132814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N451" t="s">
        <v>223</v>
      </c>
      <c r="AO451" t="s">
        <v>92</v>
      </c>
      <c r="AP451">
        <v>200000</v>
      </c>
      <c r="AQ451" t="s">
        <v>92</v>
      </c>
      <c r="AR451">
        <v>0</v>
      </c>
      <c r="AS451">
        <v>10000</v>
      </c>
      <c r="AT451" t="s">
        <v>9</v>
      </c>
      <c r="AU451" t="s">
        <v>78</v>
      </c>
      <c r="AV451" t="s">
        <v>79</v>
      </c>
      <c r="AY451">
        <v>0</v>
      </c>
    </row>
    <row r="452" spans="1:52" ht="12.75">
      <c r="A452" s="2" t="str">
        <f>HYPERLINK("https://ibp.a2mac1.com/costing(costing:projects/details/8191/assembly/5389151)","Front")</f>
        <v>Front</v>
      </c>
      <c r="B452">
        <v>5389151</v>
      </c>
      <c r="D452">
        <v>5388738</v>
      </c>
      <c r="F452">
        <v>1</v>
      </c>
      <c r="G452">
        <v>0</v>
      </c>
      <c r="H452">
        <v>0.25333448886132814</v>
      </c>
      <c r="I452">
        <v>0</v>
      </c>
      <c r="J452" t="s">
        <v>90</v>
      </c>
      <c r="K452">
        <v>0</v>
      </c>
      <c r="L452">
        <v>0.25333448886132814</v>
      </c>
      <c r="M452">
        <v>0</v>
      </c>
      <c r="N452">
        <v>0</v>
      </c>
      <c r="O452">
        <v>0.25333448886132814</v>
      </c>
      <c r="P452" t="s">
        <v>90</v>
      </c>
      <c r="Q452">
        <v>0</v>
      </c>
      <c r="R452" t="s">
        <v>90</v>
      </c>
      <c r="S452">
        <v>0</v>
      </c>
      <c r="T452" t="s">
        <v>90</v>
      </c>
      <c r="U452">
        <v>0</v>
      </c>
      <c r="V452" t="s">
        <v>90</v>
      </c>
      <c r="W452">
        <v>0</v>
      </c>
      <c r="X452" t="s">
        <v>90</v>
      </c>
      <c r="Y452">
        <v>0</v>
      </c>
      <c r="Z452">
        <v>0.25333448886132814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N452" t="s">
        <v>223</v>
      </c>
      <c r="AO452" t="s">
        <v>92</v>
      </c>
      <c r="AP452">
        <v>200000</v>
      </c>
      <c r="AQ452" t="s">
        <v>92</v>
      </c>
      <c r="AR452">
        <v>0</v>
      </c>
      <c r="AS452">
        <v>10000</v>
      </c>
      <c r="AT452" t="s">
        <v>9</v>
      </c>
      <c r="AU452" t="s">
        <v>78</v>
      </c>
      <c r="AV452" t="s">
        <v>79</v>
      </c>
      <c r="AY452">
        <v>0</v>
      </c>
    </row>
    <row r="453" spans="1:52" ht="12.75">
      <c r="A453" s="2" t="str">
        <f>HYPERLINK("https://ibp.a2mac1.com/costing(costing:projects/details/8191/assembly/5388738)","Glass slides")</f>
        <v>Glass slides</v>
      </c>
      <c r="B453">
        <v>5388738</v>
      </c>
      <c r="D453">
        <v>5388347</v>
      </c>
      <c r="F453">
        <v>1</v>
      </c>
      <c r="G453">
        <v>0</v>
      </c>
      <c r="H453">
        <v>0.25333448886132814</v>
      </c>
      <c r="I453">
        <v>0</v>
      </c>
      <c r="J453" t="s">
        <v>90</v>
      </c>
      <c r="K453">
        <v>0</v>
      </c>
      <c r="L453">
        <v>0.25333448886132814</v>
      </c>
      <c r="M453">
        <v>0</v>
      </c>
      <c r="N453">
        <v>0</v>
      </c>
      <c r="O453">
        <v>0.25333448886132814</v>
      </c>
      <c r="P453" t="s">
        <v>90</v>
      </c>
      <c r="Q453">
        <v>0</v>
      </c>
      <c r="R453" t="s">
        <v>90</v>
      </c>
      <c r="S453">
        <v>0</v>
      </c>
      <c r="T453" t="s">
        <v>90</v>
      </c>
      <c r="U453">
        <v>0</v>
      </c>
      <c r="V453" t="s">
        <v>90</v>
      </c>
      <c r="W453">
        <v>0</v>
      </c>
      <c r="X453" t="s">
        <v>90</v>
      </c>
      <c r="Y453">
        <v>0</v>
      </c>
      <c r="Z453">
        <v>0.25333448886132814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N453" t="s">
        <v>223</v>
      </c>
      <c r="AO453" t="s">
        <v>92</v>
      </c>
      <c r="AP453">
        <v>200000</v>
      </c>
      <c r="AQ453" t="s">
        <v>92</v>
      </c>
      <c r="AR453">
        <v>0</v>
      </c>
      <c r="AS453">
        <v>10000</v>
      </c>
      <c r="AT453" t="s">
        <v>9</v>
      </c>
      <c r="AU453" t="s">
        <v>78</v>
      </c>
      <c r="AV453" t="s">
        <v>79</v>
      </c>
      <c r="AY453">
        <v>0</v>
      </c>
    </row>
    <row r="454" spans="1:52" ht="12.75">
      <c r="A454" s="2" t="str">
        <f>HYPERLINK("https://ibp.a2mac1.com/costing(costing:projects/details/8191/assembly/5388739)","Frame")</f>
        <v>Frame</v>
      </c>
      <c r="B454">
        <v>5388739</v>
      </c>
      <c r="D454">
        <v>5388347</v>
      </c>
      <c r="F454">
        <v>1</v>
      </c>
      <c r="G454">
        <v>0</v>
      </c>
      <c r="H454">
        <v>2.8972133153946751</v>
      </c>
      <c r="I454">
        <v>0</v>
      </c>
      <c r="J454" t="s">
        <v>90</v>
      </c>
      <c r="K454">
        <v>0</v>
      </c>
      <c r="L454">
        <v>2.8972133153946751</v>
      </c>
      <c r="M454">
        <v>0</v>
      </c>
      <c r="N454">
        <v>0</v>
      </c>
      <c r="O454">
        <v>2.8972133153946751</v>
      </c>
      <c r="P454" t="s">
        <v>90</v>
      </c>
      <c r="Q454">
        <v>0</v>
      </c>
      <c r="R454" t="s">
        <v>90</v>
      </c>
      <c r="S454">
        <v>0</v>
      </c>
      <c r="T454" t="s">
        <v>90</v>
      </c>
      <c r="U454">
        <v>0</v>
      </c>
      <c r="V454" t="s">
        <v>90</v>
      </c>
      <c r="W454">
        <v>0</v>
      </c>
      <c r="X454" t="s">
        <v>90</v>
      </c>
      <c r="Y454">
        <v>0</v>
      </c>
      <c r="Z454">
        <v>2.8972133153946751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N454" t="s">
        <v>223</v>
      </c>
      <c r="AO454" t="s">
        <v>92</v>
      </c>
      <c r="AP454">
        <v>200000</v>
      </c>
      <c r="AQ454" t="s">
        <v>92</v>
      </c>
      <c r="AR454">
        <v>0</v>
      </c>
      <c r="AS454">
        <v>10000</v>
      </c>
      <c r="AT454" t="s">
        <v>9</v>
      </c>
      <c r="AU454" t="s">
        <v>78</v>
      </c>
      <c r="AV454" t="s">
        <v>79</v>
      </c>
      <c r="AY454">
        <v>0</v>
      </c>
    </row>
    <row r="455" spans="1:52" ht="12.75">
      <c r="A455" s="2" t="str">
        <f>HYPERLINK("https://ibp.a2mac1.com/costing(costing:projects/details/8191/assembly/5388347)","Window frame assy")</f>
        <v>Window frame assy</v>
      </c>
      <c r="B455">
        <v>5388347</v>
      </c>
      <c r="D455">
        <v>5388171</v>
      </c>
      <c r="F455">
        <v>1</v>
      </c>
      <c r="G455">
        <v>0</v>
      </c>
      <c r="H455">
        <v>3.4316115262117317</v>
      </c>
      <c r="I455">
        <v>0</v>
      </c>
      <c r="J455" t="s">
        <v>90</v>
      </c>
      <c r="K455">
        <v>0</v>
      </c>
      <c r="L455">
        <v>3.4316115262117317</v>
      </c>
      <c r="M455">
        <v>0</v>
      </c>
      <c r="N455">
        <v>0</v>
      </c>
      <c r="O455">
        <v>3.4316115262117317</v>
      </c>
      <c r="P455" t="s">
        <v>90</v>
      </c>
      <c r="Q455">
        <v>0</v>
      </c>
      <c r="R455" t="s">
        <v>90</v>
      </c>
      <c r="S455">
        <v>0</v>
      </c>
      <c r="T455" t="s">
        <v>90</v>
      </c>
      <c r="U455">
        <v>0</v>
      </c>
      <c r="V455" t="s">
        <v>90</v>
      </c>
      <c r="W455">
        <v>0</v>
      </c>
      <c r="X455" t="s">
        <v>90</v>
      </c>
      <c r="Y455">
        <v>0</v>
      </c>
      <c r="Z455">
        <v>3.4316115262117317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N455" t="s">
        <v>223</v>
      </c>
      <c r="AO455" t="s">
        <v>92</v>
      </c>
      <c r="AP455">
        <v>200000</v>
      </c>
      <c r="AQ455" t="s">
        <v>92</v>
      </c>
      <c r="AR455">
        <v>0</v>
      </c>
      <c r="AS455">
        <v>10000</v>
      </c>
      <c r="AT455" t="s">
        <v>9</v>
      </c>
      <c r="AU455" t="s">
        <v>78</v>
      </c>
      <c r="AV455" t="s">
        <v>79</v>
      </c>
      <c r="AY455">
        <v>0</v>
      </c>
    </row>
    <row r="456" spans="1:52" ht="12.75">
      <c r="A456" s="2" t="str">
        <f>HYPERLINK("https://ibp.a2mac1.com/costing(costing:projects/details/8191/assembly/5389153)","Cross member")</f>
        <v>Cross member</v>
      </c>
      <c r="B456">
        <v>5389153</v>
      </c>
      <c r="D456">
        <v>5388740</v>
      </c>
      <c r="F456">
        <v>1</v>
      </c>
      <c r="G456">
        <v>0</v>
      </c>
      <c r="H456">
        <v>1.3430916155010453</v>
      </c>
      <c r="I456">
        <v>0</v>
      </c>
      <c r="J456" t="s">
        <v>90</v>
      </c>
      <c r="K456">
        <v>0</v>
      </c>
      <c r="L456">
        <v>1.3430916155010453</v>
      </c>
      <c r="M456">
        <v>0</v>
      </c>
      <c r="N456">
        <v>0</v>
      </c>
      <c r="O456">
        <v>1.3430916155010453</v>
      </c>
      <c r="P456" t="s">
        <v>90</v>
      </c>
      <c r="Q456">
        <v>0</v>
      </c>
      <c r="R456" t="s">
        <v>90</v>
      </c>
      <c r="S456">
        <v>0</v>
      </c>
      <c r="T456" t="s">
        <v>90</v>
      </c>
      <c r="U456">
        <v>0</v>
      </c>
      <c r="V456" t="s">
        <v>90</v>
      </c>
      <c r="W456">
        <v>0</v>
      </c>
      <c r="X456" t="s">
        <v>90</v>
      </c>
      <c r="Y456">
        <v>0</v>
      </c>
      <c r="Z456">
        <v>1.3430916155010453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N456" t="s">
        <v>223</v>
      </c>
      <c r="AO456" t="s">
        <v>92</v>
      </c>
      <c r="AP456">
        <v>200000</v>
      </c>
      <c r="AQ456" t="s">
        <v>92</v>
      </c>
      <c r="AR456">
        <v>0</v>
      </c>
      <c r="AS456">
        <v>10000</v>
      </c>
      <c r="AT456" t="s">
        <v>9</v>
      </c>
      <c r="AU456" t="s">
        <v>78</v>
      </c>
      <c r="AV456" t="s">
        <v>79</v>
      </c>
      <c r="AY456">
        <v>0</v>
      </c>
    </row>
    <row r="457" spans="1:52" ht="12.75">
      <c r="A457" s="2" t="str">
        <f>HYPERLINK("https://ibp.a2mac1.com/costing(costing:projects/details/8191/assembly/5389154)","Fixing parts")</f>
        <v>Fixing parts</v>
      </c>
      <c r="B457">
        <v>5389154</v>
      </c>
      <c r="D457">
        <v>5388740</v>
      </c>
      <c r="F457">
        <v>1</v>
      </c>
      <c r="G457">
        <v>0</v>
      </c>
      <c r="H457">
        <v>0.37693761847479479</v>
      </c>
      <c r="I457">
        <v>0</v>
      </c>
      <c r="J457" t="s">
        <v>90</v>
      </c>
      <c r="K457">
        <v>0</v>
      </c>
      <c r="L457">
        <v>0.37693761847479479</v>
      </c>
      <c r="M457">
        <v>0</v>
      </c>
      <c r="N457">
        <v>0</v>
      </c>
      <c r="O457">
        <v>0.37693761847479479</v>
      </c>
      <c r="P457" t="s">
        <v>90</v>
      </c>
      <c r="Q457">
        <v>0</v>
      </c>
      <c r="R457" t="s">
        <v>90</v>
      </c>
      <c r="S457">
        <v>0</v>
      </c>
      <c r="T457" t="s">
        <v>90</v>
      </c>
      <c r="U457">
        <v>0</v>
      </c>
      <c r="V457" t="s">
        <v>90</v>
      </c>
      <c r="W457">
        <v>0</v>
      </c>
      <c r="X457" t="s">
        <v>90</v>
      </c>
      <c r="Y457">
        <v>0</v>
      </c>
      <c r="Z457">
        <v>0.37693761847479479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N457" t="s">
        <v>223</v>
      </c>
      <c r="AO457" t="s">
        <v>92</v>
      </c>
      <c r="AP457">
        <v>200000</v>
      </c>
      <c r="AQ457" t="s">
        <v>92</v>
      </c>
      <c r="AR457">
        <v>0</v>
      </c>
      <c r="AS457">
        <v>10000</v>
      </c>
      <c r="AT457" t="s">
        <v>9</v>
      </c>
      <c r="AU457" t="s">
        <v>78</v>
      </c>
      <c r="AV457" t="s">
        <v>79</v>
      </c>
      <c r="AY457">
        <v>0</v>
      </c>
    </row>
    <row r="458" spans="1:52" ht="12.75">
      <c r="A458" s="2" t="str">
        <f>HYPERLINK("https://ibp.a2mac1.com/costing(costing:projects/details/8191/assembly/5388740)","Cross member 01 (outer)")</f>
        <v>Cross member 01 (outer)</v>
      </c>
      <c r="B458">
        <v>5388740</v>
      </c>
      <c r="D458">
        <v>5388348</v>
      </c>
      <c r="F458">
        <v>1</v>
      </c>
      <c r="G458">
        <v>0</v>
      </c>
      <c r="H458">
        <v>1.7200292339758401</v>
      </c>
      <c r="I458">
        <v>0</v>
      </c>
      <c r="J458" t="s">
        <v>90</v>
      </c>
      <c r="K458">
        <v>0</v>
      </c>
      <c r="L458">
        <v>1.7200292339758401</v>
      </c>
      <c r="M458">
        <v>0</v>
      </c>
      <c r="N458">
        <v>0</v>
      </c>
      <c r="O458">
        <v>1.7200292339758401</v>
      </c>
      <c r="P458" t="s">
        <v>90</v>
      </c>
      <c r="Q458">
        <v>0</v>
      </c>
      <c r="R458" t="s">
        <v>90</v>
      </c>
      <c r="S458">
        <v>0</v>
      </c>
      <c r="T458" t="s">
        <v>90</v>
      </c>
      <c r="U458">
        <v>0</v>
      </c>
      <c r="V458" t="s">
        <v>90</v>
      </c>
      <c r="W458">
        <v>0</v>
      </c>
      <c r="X458" t="s">
        <v>90</v>
      </c>
      <c r="Y458">
        <v>0</v>
      </c>
      <c r="Z458">
        <v>1.7200292339758401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N458" t="s">
        <v>223</v>
      </c>
      <c r="AO458" t="s">
        <v>92</v>
      </c>
      <c r="AP458">
        <v>200000</v>
      </c>
      <c r="AQ458" t="s">
        <v>92</v>
      </c>
      <c r="AR458">
        <v>0</v>
      </c>
      <c r="AS458">
        <v>10000</v>
      </c>
      <c r="AT458" t="s">
        <v>9</v>
      </c>
      <c r="AU458" t="s">
        <v>78</v>
      </c>
      <c r="AV458" t="s">
        <v>79</v>
      </c>
      <c r="AY458">
        <v>0</v>
      </c>
    </row>
    <row r="459" spans="1:52" ht="12.75">
      <c r="A459" s="2" t="str">
        <f>HYPERLINK("https://ibp.a2mac1.com/costing(costing:projects/details/8191/assembly/5389155)","Cross member")</f>
        <v>Cross member</v>
      </c>
      <c r="B459">
        <v>5389155</v>
      </c>
      <c r="D459">
        <v>5388741</v>
      </c>
      <c r="F459">
        <v>1</v>
      </c>
      <c r="G459">
        <v>0</v>
      </c>
      <c r="H459">
        <v>2.2813783588434968</v>
      </c>
      <c r="I459">
        <v>0</v>
      </c>
      <c r="J459" t="s">
        <v>90</v>
      </c>
      <c r="K459">
        <v>0</v>
      </c>
      <c r="L459">
        <v>2.2813783588434968</v>
      </c>
      <c r="M459">
        <v>0</v>
      </c>
      <c r="N459">
        <v>0</v>
      </c>
      <c r="O459">
        <v>2.2813783588434968</v>
      </c>
      <c r="P459" t="s">
        <v>90</v>
      </c>
      <c r="Q459">
        <v>0</v>
      </c>
      <c r="R459" t="s">
        <v>90</v>
      </c>
      <c r="S459">
        <v>0</v>
      </c>
      <c r="T459" t="s">
        <v>90</v>
      </c>
      <c r="U459">
        <v>0</v>
      </c>
      <c r="V459" t="s">
        <v>90</v>
      </c>
      <c r="W459">
        <v>0</v>
      </c>
      <c r="X459" t="s">
        <v>90</v>
      </c>
      <c r="Y459">
        <v>0</v>
      </c>
      <c r="Z459">
        <v>2.2813783588434968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N459" t="s">
        <v>223</v>
      </c>
      <c r="AO459" t="s">
        <v>92</v>
      </c>
      <c r="AP459">
        <v>200000</v>
      </c>
      <c r="AQ459" t="s">
        <v>92</v>
      </c>
      <c r="AR459">
        <v>0</v>
      </c>
      <c r="AS459">
        <v>10000</v>
      </c>
      <c r="AT459" t="s">
        <v>9</v>
      </c>
      <c r="AU459" t="s">
        <v>78</v>
      </c>
      <c r="AV459" t="s">
        <v>79</v>
      </c>
      <c r="AY459">
        <v>0</v>
      </c>
    </row>
    <row r="460" spans="1:52" ht="12.75">
      <c r="A460" s="2" t="str">
        <f>HYPERLINK("https://ibp.a2mac1.com/costing(costing:projects/details/8191/assembly/5388741)","Cross member 02 (inner)")</f>
        <v>Cross member 02 (inner)</v>
      </c>
      <c r="B460">
        <v>5388741</v>
      </c>
      <c r="D460">
        <v>5388348</v>
      </c>
      <c r="F460">
        <v>1</v>
      </c>
      <c r="G460">
        <v>0</v>
      </c>
      <c r="H460">
        <v>2.2813783588434968</v>
      </c>
      <c r="I460">
        <v>0</v>
      </c>
      <c r="J460" t="s">
        <v>90</v>
      </c>
      <c r="K460">
        <v>0</v>
      </c>
      <c r="L460">
        <v>2.2813783588434968</v>
      </c>
      <c r="M460">
        <v>0</v>
      </c>
      <c r="N460">
        <v>0</v>
      </c>
      <c r="O460">
        <v>2.2813783588434968</v>
      </c>
      <c r="P460" t="s">
        <v>90</v>
      </c>
      <c r="Q460">
        <v>0</v>
      </c>
      <c r="R460" t="s">
        <v>90</v>
      </c>
      <c r="S460">
        <v>0</v>
      </c>
      <c r="T460" t="s">
        <v>90</v>
      </c>
      <c r="U460">
        <v>0</v>
      </c>
      <c r="V460" t="s">
        <v>90</v>
      </c>
      <c r="W460">
        <v>0</v>
      </c>
      <c r="X460" t="s">
        <v>90</v>
      </c>
      <c r="Y460">
        <v>0</v>
      </c>
      <c r="Z460">
        <v>2.2813783588434968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N460" t="s">
        <v>223</v>
      </c>
      <c r="AO460" t="s">
        <v>92</v>
      </c>
      <c r="AP460">
        <v>200000</v>
      </c>
      <c r="AQ460" t="s">
        <v>92</v>
      </c>
      <c r="AR460">
        <v>0</v>
      </c>
      <c r="AS460">
        <v>10000</v>
      </c>
      <c r="AT460" t="s">
        <v>9</v>
      </c>
      <c r="AU460" t="s">
        <v>78</v>
      </c>
      <c r="AV460" t="s">
        <v>79</v>
      </c>
      <c r="AY460">
        <v>0</v>
      </c>
    </row>
    <row r="461" spans="1:52" ht="12.75">
      <c r="A461" s="2" t="str">
        <f>HYPERLINK("https://ibp.a2mac1.com/costing(costing:projects/details/8191/assembly/5388348)","Top roll assy ")</f>
        <v xml:space="preserve">Top roll assy </v>
      </c>
      <c r="B461">
        <v>5388348</v>
      </c>
      <c r="D461">
        <v>5388171</v>
      </c>
      <c r="F461">
        <v>1</v>
      </c>
      <c r="G461">
        <v>0</v>
      </c>
      <c r="H461">
        <v>4.0014075928193371</v>
      </c>
      <c r="I461">
        <v>0</v>
      </c>
      <c r="J461" t="s">
        <v>90</v>
      </c>
      <c r="K461">
        <v>0</v>
      </c>
      <c r="L461">
        <v>4.0014075928193371</v>
      </c>
      <c r="M461">
        <v>0</v>
      </c>
      <c r="N461">
        <v>0</v>
      </c>
      <c r="O461">
        <v>4.0014075928193371</v>
      </c>
      <c r="P461" t="s">
        <v>90</v>
      </c>
      <c r="Q461">
        <v>0</v>
      </c>
      <c r="R461" t="s">
        <v>90</v>
      </c>
      <c r="S461">
        <v>0</v>
      </c>
      <c r="T461" t="s">
        <v>90</v>
      </c>
      <c r="U461">
        <v>0</v>
      </c>
      <c r="V461" t="s">
        <v>90</v>
      </c>
      <c r="W461">
        <v>0</v>
      </c>
      <c r="X461" t="s">
        <v>90</v>
      </c>
      <c r="Y461">
        <v>0</v>
      </c>
      <c r="Z461">
        <v>4.0014075928193371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N461" t="s">
        <v>223</v>
      </c>
      <c r="AO461" t="s">
        <v>92</v>
      </c>
      <c r="AP461">
        <v>200000</v>
      </c>
      <c r="AQ461" t="s">
        <v>92</v>
      </c>
      <c r="AR461">
        <v>0</v>
      </c>
      <c r="AS461">
        <v>10000</v>
      </c>
      <c r="AT461" t="s">
        <v>9</v>
      </c>
      <c r="AU461" t="s">
        <v>78</v>
      </c>
      <c r="AV461" t="s">
        <v>79</v>
      </c>
      <c r="AY461">
        <v>0</v>
      </c>
    </row>
    <row r="462" spans="1:52" ht="12.75">
      <c r="A462" s="2" t="str">
        <f>HYPERLINK("https://ibp.a2mac1.com/costing(costing:projects/details/8191/assembly/5388742)","Panel")</f>
        <v>Panel</v>
      </c>
      <c r="B462">
        <v>5388742</v>
      </c>
      <c r="D462">
        <v>5388349</v>
      </c>
      <c r="F462">
        <v>1</v>
      </c>
      <c r="G462">
        <v>0</v>
      </c>
      <c r="H462">
        <v>4.2890944093514998</v>
      </c>
      <c r="I462">
        <v>0</v>
      </c>
      <c r="J462" t="s">
        <v>90</v>
      </c>
      <c r="K462">
        <v>0</v>
      </c>
      <c r="L462">
        <v>4.2890944093514998</v>
      </c>
      <c r="M462">
        <v>0</v>
      </c>
      <c r="N462">
        <v>0</v>
      </c>
      <c r="O462">
        <v>4.2890944093514998</v>
      </c>
      <c r="P462" t="s">
        <v>90</v>
      </c>
      <c r="Q462">
        <v>0</v>
      </c>
      <c r="R462" t="s">
        <v>90</v>
      </c>
      <c r="S462">
        <v>0</v>
      </c>
      <c r="T462" t="s">
        <v>90</v>
      </c>
      <c r="U462">
        <v>0</v>
      </c>
      <c r="V462" t="s">
        <v>90</v>
      </c>
      <c r="W462">
        <v>0</v>
      </c>
      <c r="X462" t="s">
        <v>90</v>
      </c>
      <c r="Y462">
        <v>0</v>
      </c>
      <c r="Z462">
        <v>4.2890944093514998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N462" t="s">
        <v>223</v>
      </c>
      <c r="AO462" t="s">
        <v>92</v>
      </c>
      <c r="AP462">
        <v>200000</v>
      </c>
      <c r="AQ462" t="s">
        <v>92</v>
      </c>
      <c r="AR462">
        <v>0</v>
      </c>
      <c r="AS462">
        <v>10000</v>
      </c>
      <c r="AT462" t="s">
        <v>9</v>
      </c>
      <c r="AU462" t="s">
        <v>78</v>
      </c>
      <c r="AV462" t="s">
        <v>79</v>
      </c>
      <c r="AY462">
        <v>0</v>
      </c>
    </row>
    <row r="463" spans="1:52" ht="12.75">
      <c r="A463" s="2" t="str">
        <f>HYPERLINK("https://ibp.a2mac1.com/costing(costing:projects/details/8191/assembly/5388349)","Outer panel")</f>
        <v>Outer panel</v>
      </c>
      <c r="B463">
        <v>5388349</v>
      </c>
      <c r="D463">
        <v>5388171</v>
      </c>
      <c r="F463">
        <v>1</v>
      </c>
      <c r="G463">
        <v>0</v>
      </c>
      <c r="H463">
        <v>4.2890944093514998</v>
      </c>
      <c r="I463">
        <v>0</v>
      </c>
      <c r="J463" t="s">
        <v>90</v>
      </c>
      <c r="K463">
        <v>0</v>
      </c>
      <c r="L463">
        <v>4.2890944093514998</v>
      </c>
      <c r="M463">
        <v>0</v>
      </c>
      <c r="N463">
        <v>0</v>
      </c>
      <c r="O463">
        <v>4.2890944093514998</v>
      </c>
      <c r="P463" t="s">
        <v>90</v>
      </c>
      <c r="Q463">
        <v>0</v>
      </c>
      <c r="R463" t="s">
        <v>90</v>
      </c>
      <c r="S463">
        <v>0</v>
      </c>
      <c r="T463" t="s">
        <v>90</v>
      </c>
      <c r="U463">
        <v>0</v>
      </c>
      <c r="V463" t="s">
        <v>90</v>
      </c>
      <c r="W463">
        <v>0</v>
      </c>
      <c r="X463" t="s">
        <v>90</v>
      </c>
      <c r="Y463">
        <v>0</v>
      </c>
      <c r="Z463">
        <v>4.2890944093514998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N463" t="s">
        <v>223</v>
      </c>
      <c r="AO463" t="s">
        <v>92</v>
      </c>
      <c r="AP463">
        <v>200000</v>
      </c>
      <c r="AQ463" t="s">
        <v>92</v>
      </c>
      <c r="AR463">
        <v>0</v>
      </c>
      <c r="AS463">
        <v>10000</v>
      </c>
      <c r="AT463" t="s">
        <v>9</v>
      </c>
      <c r="AU463" t="s">
        <v>78</v>
      </c>
      <c r="AV463" t="s">
        <v>79</v>
      </c>
      <c r="AY463">
        <v>0</v>
      </c>
    </row>
    <row r="464" spans="1:52" ht="12.75">
      <c r="A464" s="2" t="str">
        <f>HYPERLINK("https://ibp.a2mac1.com/costing(costing:projects/details/8191/assembly/5388171)","Driver Door")</f>
        <v>Driver Door</v>
      </c>
      <c r="B464">
        <v>5388171</v>
      </c>
      <c r="D464">
        <v>5388133</v>
      </c>
      <c r="F464">
        <v>1</v>
      </c>
      <c r="G464">
        <v>0</v>
      </c>
      <c r="H464">
        <v>25.45800327943267</v>
      </c>
      <c r="I464">
        <v>0.12792966472076719</v>
      </c>
      <c r="J464" t="s">
        <v>137</v>
      </c>
      <c r="K464">
        <v>0.89103011478014338</v>
      </c>
      <c r="L464">
        <v>26.476963058933581</v>
      </c>
      <c r="M464">
        <v>0</v>
      </c>
      <c r="N464">
        <v>1.1797288290464552</v>
      </c>
      <c r="O464">
        <v>27.656691887980035</v>
      </c>
      <c r="P464" t="s">
        <v>90</v>
      </c>
      <c r="Q464">
        <v>0</v>
      </c>
      <c r="R464" t="s">
        <v>90</v>
      </c>
      <c r="S464">
        <v>0</v>
      </c>
      <c r="T464" t="s">
        <v>90</v>
      </c>
      <c r="U464">
        <v>0</v>
      </c>
      <c r="V464" t="s">
        <v>90</v>
      </c>
      <c r="W464">
        <v>0</v>
      </c>
      <c r="X464" t="s">
        <v>90</v>
      </c>
      <c r="Y464">
        <v>0</v>
      </c>
      <c r="Z464">
        <v>27.656691887980035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276</v>
      </c>
      <c r="AI464">
        <v>1225</v>
      </c>
      <c r="AJ464">
        <v>1237</v>
      </c>
      <c r="AL464">
        <v>20.876999999999999</v>
      </c>
      <c r="AM464" t="s">
        <v>685</v>
      </c>
      <c r="AN464" t="s">
        <v>4668</v>
      </c>
      <c r="AO464" t="s">
        <v>92</v>
      </c>
      <c r="AP464">
        <v>200000</v>
      </c>
      <c r="AQ464" t="s">
        <v>92</v>
      </c>
      <c r="AS464">
        <v>10000</v>
      </c>
      <c r="AT464" t="s">
        <v>4669</v>
      </c>
      <c r="AU464" t="s">
        <v>78</v>
      </c>
      <c r="AV464" t="s">
        <v>79</v>
      </c>
      <c r="AY464">
        <v>0</v>
      </c>
    </row>
    <row r="465" spans="1:52" ht="12.75">
      <c r="A465" s="2" t="str">
        <f>HYPERLINK("https://ibp.a2mac1.com/costing(costing:projects/details/8191/assembly/5388355)","Door handle")</f>
        <v>Door handle</v>
      </c>
      <c r="B465">
        <v>5388355</v>
      </c>
      <c r="D465">
        <v>5388173</v>
      </c>
      <c r="F465">
        <v>1</v>
      </c>
      <c r="G465">
        <v>0</v>
      </c>
      <c r="H465">
        <v>0.78729264054517833</v>
      </c>
      <c r="I465">
        <v>0</v>
      </c>
      <c r="J465" t="s">
        <v>90</v>
      </c>
      <c r="K465">
        <v>0</v>
      </c>
      <c r="L465">
        <v>0.78729264054517833</v>
      </c>
      <c r="M465">
        <v>0</v>
      </c>
      <c r="N465">
        <v>0</v>
      </c>
      <c r="O465">
        <v>0.78729264054517833</v>
      </c>
      <c r="P465" t="s">
        <v>90</v>
      </c>
      <c r="Q465">
        <v>0</v>
      </c>
      <c r="R465" t="s">
        <v>90</v>
      </c>
      <c r="S465">
        <v>0</v>
      </c>
      <c r="T465" t="s">
        <v>90</v>
      </c>
      <c r="U465">
        <v>0</v>
      </c>
      <c r="V465" t="s">
        <v>90</v>
      </c>
      <c r="W465">
        <v>0</v>
      </c>
      <c r="X465" t="s">
        <v>90</v>
      </c>
      <c r="Y465">
        <v>0</v>
      </c>
      <c r="Z465">
        <v>0.78729264054517833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L465">
        <v>0.26600000000000001</v>
      </c>
      <c r="AN465" t="s">
        <v>223</v>
      </c>
      <c r="AO465" t="s">
        <v>92</v>
      </c>
      <c r="AP465">
        <v>200000</v>
      </c>
      <c r="AQ465" t="s">
        <v>92</v>
      </c>
      <c r="AS465">
        <v>10000</v>
      </c>
      <c r="AT465" t="s">
        <v>4683</v>
      </c>
      <c r="AU465" t="s">
        <v>78</v>
      </c>
      <c r="AV465" t="s">
        <v>79</v>
      </c>
      <c r="AY465">
        <v>0</v>
      </c>
    </row>
    <row r="466" spans="1:52" ht="12.75">
      <c r="A466" s="2" t="str">
        <f>HYPERLINK("https://ibp.a2mac1.com/costing(costing:projects/details/8191/assembly/5388173)","Door Panel")</f>
        <v>Door Panel</v>
      </c>
      <c r="B466">
        <v>5388173</v>
      </c>
      <c r="D466">
        <v>5388133</v>
      </c>
      <c r="F466">
        <v>1</v>
      </c>
      <c r="G466">
        <v>0</v>
      </c>
      <c r="H466">
        <v>9.8920851726969747</v>
      </c>
      <c r="I466">
        <v>0.049708970717070221</v>
      </c>
      <c r="J466" t="s">
        <v>137</v>
      </c>
      <c r="K466">
        <v>0.34622298104439408</v>
      </c>
      <c r="L466">
        <v>10.288017124458438</v>
      </c>
      <c r="M466">
        <v>0</v>
      </c>
      <c r="N466">
        <v>0</v>
      </c>
      <c r="O466">
        <v>10.288017124458438</v>
      </c>
      <c r="P466" t="s">
        <v>138</v>
      </c>
      <c r="Q466">
        <v>0.61728102746750624</v>
      </c>
      <c r="R466" t="s">
        <v>138</v>
      </c>
      <c r="S466">
        <v>0</v>
      </c>
      <c r="T466" t="s">
        <v>139</v>
      </c>
      <c r="U466">
        <v>1.2345620549350125</v>
      </c>
      <c r="V466" t="s">
        <v>90</v>
      </c>
      <c r="W466">
        <v>0</v>
      </c>
      <c r="X466" t="s">
        <v>90</v>
      </c>
      <c r="Y466">
        <v>0</v>
      </c>
      <c r="Z466">
        <v>12.139860206860957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115</v>
      </c>
      <c r="AI466">
        <v>934</v>
      </c>
      <c r="AJ466">
        <v>674</v>
      </c>
      <c r="AL466">
        <v>3.2667000000000002</v>
      </c>
      <c r="AN466" t="s">
        <v>661</v>
      </c>
      <c r="AO466" t="s">
        <v>92</v>
      </c>
      <c r="AP466">
        <v>200000</v>
      </c>
      <c r="AQ466" t="s">
        <v>76</v>
      </c>
      <c r="AS466">
        <v>10000</v>
      </c>
      <c r="AT466" t="s">
        <v>4709</v>
      </c>
      <c r="AU466" t="s">
        <v>78</v>
      </c>
      <c r="AV466" t="s">
        <v>79</v>
      </c>
      <c r="AY466">
        <v>0</v>
      </c>
    </row>
    <row r="467" spans="1:52" ht="12.75">
      <c r="A467" s="2" t="str">
        <f>HYPERLINK("https://ibp.a2mac1.com/costing(costing:projects/details/8191/assembly/5388747)","Fastners")</f>
        <v>Fastners</v>
      </c>
      <c r="B467">
        <v>5388747</v>
      </c>
      <c r="D467">
        <v>5388362</v>
      </c>
      <c r="F467">
        <v>1</v>
      </c>
      <c r="G467">
        <v>0</v>
      </c>
      <c r="H467">
        <v>0.11076</v>
      </c>
      <c r="I467">
        <v>0</v>
      </c>
      <c r="J467" t="s">
        <v>90</v>
      </c>
      <c r="K467">
        <v>0</v>
      </c>
      <c r="L467">
        <v>0.11076</v>
      </c>
      <c r="M467">
        <v>0</v>
      </c>
      <c r="N467">
        <v>0</v>
      </c>
      <c r="O467">
        <v>0.11076</v>
      </c>
      <c r="P467" t="s">
        <v>90</v>
      </c>
      <c r="Q467">
        <v>0</v>
      </c>
      <c r="R467" t="s">
        <v>90</v>
      </c>
      <c r="S467">
        <v>0</v>
      </c>
      <c r="T467" t="s">
        <v>90</v>
      </c>
      <c r="U467">
        <v>0</v>
      </c>
      <c r="V467" t="s">
        <v>90</v>
      </c>
      <c r="W467">
        <v>0</v>
      </c>
      <c r="X467" t="s">
        <v>90</v>
      </c>
      <c r="Y467">
        <v>0</v>
      </c>
      <c r="Z467">
        <v>0.11076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N467" t="s">
        <v>223</v>
      </c>
      <c r="AO467" t="s">
        <v>92</v>
      </c>
      <c r="AP467">
        <v>200000</v>
      </c>
      <c r="AQ467" t="s">
        <v>92</v>
      </c>
      <c r="AR467">
        <v>0</v>
      </c>
      <c r="AS467">
        <v>10000</v>
      </c>
      <c r="AT467" t="s">
        <v>9</v>
      </c>
      <c r="AU467" t="s">
        <v>78</v>
      </c>
      <c r="AV467" t="s">
        <v>79</v>
      </c>
      <c r="AY467">
        <v>0</v>
      </c>
    </row>
    <row r="468" spans="1:52" ht="12.75">
      <c r="A468" s="2" t="str">
        <f>HYPERLINK("https://ibp.a2mac1.com/costing(costing:projects/details/8191/assembly/5388362)","Interior Side")</f>
        <v>Interior Side</v>
      </c>
      <c r="B468">
        <v>5388362</v>
      </c>
      <c r="D468">
        <v>5388174</v>
      </c>
      <c r="F468">
        <v>1</v>
      </c>
      <c r="G468">
        <v>0</v>
      </c>
      <c r="H468">
        <v>0.62528461496535093</v>
      </c>
      <c r="I468">
        <v>0</v>
      </c>
      <c r="J468" t="s">
        <v>90</v>
      </c>
      <c r="K468">
        <v>0</v>
      </c>
      <c r="L468">
        <v>0.62528461496535093</v>
      </c>
      <c r="M468">
        <v>0</v>
      </c>
      <c r="N468">
        <v>0</v>
      </c>
      <c r="O468">
        <v>0.62528461496535093</v>
      </c>
      <c r="P468" t="s">
        <v>90</v>
      </c>
      <c r="Q468">
        <v>0</v>
      </c>
      <c r="R468" t="s">
        <v>90</v>
      </c>
      <c r="S468">
        <v>0</v>
      </c>
      <c r="T468" t="s">
        <v>90</v>
      </c>
      <c r="U468">
        <v>0</v>
      </c>
      <c r="V468" t="s">
        <v>90</v>
      </c>
      <c r="W468">
        <v>0</v>
      </c>
      <c r="X468" t="s">
        <v>90</v>
      </c>
      <c r="Y468">
        <v>0</v>
      </c>
      <c r="Z468">
        <v>0.62528461496535093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L468">
        <v>0.1852</v>
      </c>
      <c r="AN468" t="s">
        <v>223</v>
      </c>
      <c r="AO468" t="s">
        <v>92</v>
      </c>
      <c r="AP468">
        <v>200000</v>
      </c>
      <c r="AQ468" t="s">
        <v>76</v>
      </c>
      <c r="AS468">
        <v>10000</v>
      </c>
      <c r="AT468" t="s">
        <v>4723</v>
      </c>
      <c r="AU468" t="s">
        <v>78</v>
      </c>
      <c r="AV468" t="s">
        <v>79</v>
      </c>
      <c r="AY468">
        <v>0</v>
      </c>
    </row>
    <row r="469" spans="1:52" ht="12.75">
      <c r="A469" s="2" t="str">
        <f>HYPERLINK("https://ibp.a2mac1.com/costing(costing:projects/details/8191/assembly/5388755)","Fastners")</f>
        <v>Fastners</v>
      </c>
      <c r="B469">
        <v>5388755</v>
      </c>
      <c r="D469">
        <v>5388363</v>
      </c>
      <c r="F469">
        <v>1</v>
      </c>
      <c r="G469">
        <v>0</v>
      </c>
      <c r="H469">
        <v>0.018460000000000001</v>
      </c>
      <c r="I469">
        <v>0</v>
      </c>
      <c r="J469" t="s">
        <v>90</v>
      </c>
      <c r="K469">
        <v>0</v>
      </c>
      <c r="L469">
        <v>0.018460000000000001</v>
      </c>
      <c r="M469">
        <v>0</v>
      </c>
      <c r="N469">
        <v>0</v>
      </c>
      <c r="O469">
        <v>0.018460000000000001</v>
      </c>
      <c r="P469" t="s">
        <v>90</v>
      </c>
      <c r="Q469">
        <v>0</v>
      </c>
      <c r="R469" t="s">
        <v>90</v>
      </c>
      <c r="S469">
        <v>0</v>
      </c>
      <c r="T469" t="s">
        <v>90</v>
      </c>
      <c r="U469">
        <v>0</v>
      </c>
      <c r="V469" t="s">
        <v>90</v>
      </c>
      <c r="W469">
        <v>0</v>
      </c>
      <c r="X469" t="s">
        <v>90</v>
      </c>
      <c r="Y469">
        <v>0</v>
      </c>
      <c r="Z469">
        <v>0.018460000000000001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N469" t="s">
        <v>223</v>
      </c>
      <c r="AO469" t="s">
        <v>92</v>
      </c>
      <c r="AP469">
        <v>200000</v>
      </c>
      <c r="AQ469" t="s">
        <v>76</v>
      </c>
      <c r="AR469">
        <v>0</v>
      </c>
      <c r="AS469">
        <v>10000</v>
      </c>
      <c r="AT469" t="s">
        <v>9</v>
      </c>
      <c r="AU469" t="s">
        <v>78</v>
      </c>
      <c r="AV469" t="s">
        <v>79</v>
      </c>
      <c r="AY469">
        <v>0</v>
      </c>
    </row>
    <row r="470" spans="1:52" ht="12.75">
      <c r="A470" s="2" t="str">
        <f>HYPERLINK("https://ibp.a2mac1.com/costing(costing:projects/details/8191/assembly/5388363)","Exterior Side")</f>
        <v>Exterior Side</v>
      </c>
      <c r="B470">
        <v>5388363</v>
      </c>
      <c r="D470">
        <v>5388174</v>
      </c>
      <c r="F470">
        <v>1</v>
      </c>
      <c r="G470">
        <v>0</v>
      </c>
      <c r="H470">
        <v>3.7752482794626436</v>
      </c>
      <c r="I470">
        <v>0</v>
      </c>
      <c r="J470" t="s">
        <v>90</v>
      </c>
      <c r="K470">
        <v>0</v>
      </c>
      <c r="L470">
        <v>3.7752482794626436</v>
      </c>
      <c r="M470">
        <v>0</v>
      </c>
      <c r="N470">
        <v>0.39420764387300394</v>
      </c>
      <c r="O470">
        <v>4.1694559233356472</v>
      </c>
      <c r="P470" t="s">
        <v>90</v>
      </c>
      <c r="Q470">
        <v>0</v>
      </c>
      <c r="R470" t="s">
        <v>90</v>
      </c>
      <c r="S470">
        <v>0</v>
      </c>
      <c r="T470" t="s">
        <v>90</v>
      </c>
      <c r="U470">
        <v>0</v>
      </c>
      <c r="V470" t="s">
        <v>90</v>
      </c>
      <c r="W470">
        <v>0</v>
      </c>
      <c r="X470" t="s">
        <v>90</v>
      </c>
      <c r="Y470">
        <v>0</v>
      </c>
      <c r="Z470">
        <v>4.1694559233356472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L470">
        <v>0.41899999999999998</v>
      </c>
      <c r="AN470" t="s">
        <v>223</v>
      </c>
      <c r="AO470" t="s">
        <v>92</v>
      </c>
      <c r="AP470">
        <v>200000</v>
      </c>
      <c r="AQ470" t="s">
        <v>76</v>
      </c>
      <c r="AS470">
        <v>10000</v>
      </c>
      <c r="AT470" t="s">
        <v>4760</v>
      </c>
      <c r="AU470" t="s">
        <v>78</v>
      </c>
      <c r="AV470" t="s">
        <v>79</v>
      </c>
      <c r="AY470">
        <v>0</v>
      </c>
    </row>
    <row r="471" spans="1:52" ht="12.75">
      <c r="A471" s="2" t="str">
        <f>HYPERLINK("https://ibp.a2mac1.com/costing(costing:projects/details/8191/assembly/5388364)","Fastners")</f>
        <v>Fastners</v>
      </c>
      <c r="B471">
        <v>5388364</v>
      </c>
      <c r="D471">
        <v>5388174</v>
      </c>
      <c r="F471">
        <v>1</v>
      </c>
      <c r="G471">
        <v>0</v>
      </c>
      <c r="H471">
        <v>0.046149999999999997</v>
      </c>
      <c r="I471">
        <v>0</v>
      </c>
      <c r="J471" t="s">
        <v>90</v>
      </c>
      <c r="K471">
        <v>0</v>
      </c>
      <c r="L471">
        <v>0.046149999999999997</v>
      </c>
      <c r="M471">
        <v>0</v>
      </c>
      <c r="N471">
        <v>0</v>
      </c>
      <c r="O471">
        <v>0.046149999999999997</v>
      </c>
      <c r="P471" t="s">
        <v>90</v>
      </c>
      <c r="Q471">
        <v>0</v>
      </c>
      <c r="R471" t="s">
        <v>90</v>
      </c>
      <c r="S471">
        <v>0</v>
      </c>
      <c r="T471" t="s">
        <v>90</v>
      </c>
      <c r="U471">
        <v>0</v>
      </c>
      <c r="V471" t="s">
        <v>90</v>
      </c>
      <c r="W471">
        <v>0</v>
      </c>
      <c r="X471" t="s">
        <v>90</v>
      </c>
      <c r="Y471">
        <v>0</v>
      </c>
      <c r="Z471">
        <v>0.046149999999999997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N471" t="s">
        <v>223</v>
      </c>
      <c r="AO471" t="s">
        <v>92</v>
      </c>
      <c r="AP471">
        <v>200000</v>
      </c>
      <c r="AQ471" t="s">
        <v>76</v>
      </c>
      <c r="AR471">
        <v>0</v>
      </c>
      <c r="AS471">
        <v>10000</v>
      </c>
      <c r="AT471" t="s">
        <v>9</v>
      </c>
      <c r="AU471" t="s">
        <v>78</v>
      </c>
      <c r="AV471" t="s">
        <v>79</v>
      </c>
      <c r="AY471">
        <v>0</v>
      </c>
    </row>
    <row r="472" spans="1:52" ht="12.75">
      <c r="A472" s="2" t="str">
        <f>HYPERLINK("https://ibp.a2mac1.com/costing(costing:projects/details/8191/assembly/5388174)","Door Mechanism")</f>
        <v>Door Mechanism</v>
      </c>
      <c r="B472">
        <v>5388174</v>
      </c>
      <c r="D472">
        <v>5388133</v>
      </c>
      <c r="F472">
        <v>1</v>
      </c>
      <c r="G472">
        <v>0</v>
      </c>
      <c r="H472">
        <v>12.006086109886763</v>
      </c>
      <c r="I472">
        <v>0</v>
      </c>
      <c r="J472" t="s">
        <v>90</v>
      </c>
      <c r="K472">
        <v>0</v>
      </c>
      <c r="L472">
        <v>12.006086109886763</v>
      </c>
      <c r="M472">
        <v>0</v>
      </c>
      <c r="N472">
        <v>0</v>
      </c>
      <c r="O472">
        <v>12.006086109886763</v>
      </c>
      <c r="P472" t="s">
        <v>90</v>
      </c>
      <c r="Q472">
        <v>0</v>
      </c>
      <c r="R472" t="s">
        <v>90</v>
      </c>
      <c r="S472">
        <v>0</v>
      </c>
      <c r="T472" t="s">
        <v>90</v>
      </c>
      <c r="U472">
        <v>0</v>
      </c>
      <c r="V472" t="s">
        <v>90</v>
      </c>
      <c r="W472">
        <v>0</v>
      </c>
      <c r="X472" t="s">
        <v>90</v>
      </c>
      <c r="Y472">
        <v>0</v>
      </c>
      <c r="Z472">
        <v>12.006086109886763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L472">
        <v>1.7632000000000001</v>
      </c>
      <c r="AN472" t="s">
        <v>223</v>
      </c>
      <c r="AO472" t="s">
        <v>92</v>
      </c>
      <c r="AP472">
        <v>200000</v>
      </c>
      <c r="AQ472" t="s">
        <v>92</v>
      </c>
      <c r="AS472">
        <v>10000</v>
      </c>
      <c r="AT472" t="s">
        <v>4793</v>
      </c>
      <c r="AU472" t="s">
        <v>78</v>
      </c>
      <c r="AV472" t="s">
        <v>79</v>
      </c>
      <c r="AY472">
        <v>0</v>
      </c>
    </row>
    <row r="473" spans="1:52" ht="12.75">
      <c r="A473" s="2" t="str">
        <f>HYPERLINK("https://ibp.a2mac1.com/costing(costing:projects/details/8191/assembly/5388368)","Window")</f>
        <v>Window</v>
      </c>
      <c r="B473">
        <v>5388368</v>
      </c>
      <c r="D473">
        <v>5388175</v>
      </c>
      <c r="E473" t="e">
        <v>#VALUE!</v>
      </c>
      <c r="F473">
        <v>1</v>
      </c>
      <c r="G473">
        <v>0</v>
      </c>
      <c r="H473">
        <v>0</v>
      </c>
      <c r="I473">
        <v>0</v>
      </c>
      <c r="J473" t="s">
        <v>137</v>
      </c>
      <c r="K473">
        <v>0</v>
      </c>
      <c r="L473">
        <v>0</v>
      </c>
      <c r="M473">
        <v>0</v>
      </c>
      <c r="N473">
        <v>11.252572646432402</v>
      </c>
      <c r="O473">
        <v>11.252572646432402</v>
      </c>
      <c r="P473" t="s">
        <v>138</v>
      </c>
      <c r="Q473">
        <v>0</v>
      </c>
      <c r="R473" t="s">
        <v>138</v>
      </c>
      <c r="S473">
        <v>0.6751543587859441</v>
      </c>
      <c r="T473" t="s">
        <v>139</v>
      </c>
      <c r="U473">
        <v>1.3503087175718882</v>
      </c>
      <c r="V473" t="s">
        <v>90</v>
      </c>
      <c r="W473">
        <v>0</v>
      </c>
      <c r="X473" t="s">
        <v>90</v>
      </c>
      <c r="Y473">
        <v>0</v>
      </c>
      <c r="Z473">
        <v>13.278035722790234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930</v>
      </c>
      <c r="AJ473">
        <v>528</v>
      </c>
      <c r="AK473">
        <v>0</v>
      </c>
      <c r="AL473">
        <v>3.4540000000000002</v>
      </c>
      <c r="AN473" t="s">
        <v>4605</v>
      </c>
      <c r="AO473" t="s">
        <v>92</v>
      </c>
      <c r="AP473">
        <v>200000</v>
      </c>
      <c r="AQ473" t="s">
        <v>76</v>
      </c>
      <c r="AS473">
        <v>10000</v>
      </c>
      <c r="AT473" t="s">
        <v>4798</v>
      </c>
      <c r="AU473" t="s">
        <v>78</v>
      </c>
      <c r="AV473" t="s">
        <v>79</v>
      </c>
      <c r="AY473">
        <v>0</v>
      </c>
    </row>
    <row r="474" spans="1:52" ht="12.75">
      <c r="A474" s="2" t="str">
        <f>HYPERLINK("https://ibp.a2mac1.com/costing(costing:projects/details/8191/assembly/5388175)","Window System")</f>
        <v>Window System</v>
      </c>
      <c r="B474">
        <v>5388175</v>
      </c>
      <c r="D474">
        <v>5388133</v>
      </c>
      <c r="F474">
        <v>1</v>
      </c>
      <c r="G474">
        <v>0</v>
      </c>
      <c r="H474">
        <v>32.635492608202796</v>
      </c>
      <c r="I474">
        <v>0</v>
      </c>
      <c r="J474" t="s">
        <v>90</v>
      </c>
      <c r="K474">
        <v>0</v>
      </c>
      <c r="L474">
        <v>32.635492608202796</v>
      </c>
      <c r="M474">
        <v>0</v>
      </c>
      <c r="N474">
        <v>0.39420764387300394</v>
      </c>
      <c r="O474">
        <v>33.029700252075799</v>
      </c>
      <c r="P474" t="s">
        <v>90</v>
      </c>
      <c r="Q474">
        <v>0</v>
      </c>
      <c r="R474" t="s">
        <v>90</v>
      </c>
      <c r="S474">
        <v>0</v>
      </c>
      <c r="T474" t="s">
        <v>90</v>
      </c>
      <c r="U474">
        <v>0</v>
      </c>
      <c r="V474" t="s">
        <v>90</v>
      </c>
      <c r="W474">
        <v>0</v>
      </c>
      <c r="X474" t="s">
        <v>90</v>
      </c>
      <c r="Y474">
        <v>0</v>
      </c>
      <c r="Z474">
        <v>33.029700252075799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L474">
        <v>5.3345000000000002</v>
      </c>
      <c r="AN474" t="s">
        <v>223</v>
      </c>
      <c r="AO474" t="s">
        <v>92</v>
      </c>
      <c r="AP474">
        <v>200000</v>
      </c>
      <c r="AQ474" t="s">
        <v>92</v>
      </c>
      <c r="AS474">
        <v>10000</v>
      </c>
      <c r="AT474" t="s">
        <v>4812</v>
      </c>
      <c r="AU474" t="s">
        <v>78</v>
      </c>
      <c r="AV474" t="s">
        <v>79</v>
      </c>
      <c r="AY474">
        <v>0</v>
      </c>
    </row>
    <row r="475" spans="1:52" ht="12.75">
      <c r="A475" s="2" t="str">
        <f>HYPERLINK("https://ibp.a2mac1.com/costing(costing:projects/details/8191/assembly/5388372)","Door Weatherstripping")</f>
        <v>Door Weatherstripping</v>
      </c>
      <c r="B475">
        <v>5388372</v>
      </c>
      <c r="D475">
        <v>5388176</v>
      </c>
      <c r="F475">
        <v>1</v>
      </c>
      <c r="G475">
        <v>0</v>
      </c>
      <c r="H475">
        <v>6.3242590187801389</v>
      </c>
      <c r="I475">
        <v>0</v>
      </c>
      <c r="J475" t="s">
        <v>90</v>
      </c>
      <c r="K475">
        <v>0</v>
      </c>
      <c r="L475">
        <v>6.3242590187801389</v>
      </c>
      <c r="M475">
        <v>0</v>
      </c>
      <c r="N475">
        <v>0</v>
      </c>
      <c r="O475">
        <v>6.3242590187801389</v>
      </c>
      <c r="P475" t="s">
        <v>90</v>
      </c>
      <c r="Q475">
        <v>0</v>
      </c>
      <c r="R475" t="s">
        <v>90</v>
      </c>
      <c r="S475">
        <v>0</v>
      </c>
      <c r="T475" t="s">
        <v>90</v>
      </c>
      <c r="U475">
        <v>0</v>
      </c>
      <c r="V475" t="s">
        <v>90</v>
      </c>
      <c r="W475">
        <v>0</v>
      </c>
      <c r="X475" t="s">
        <v>90</v>
      </c>
      <c r="Y475">
        <v>0</v>
      </c>
      <c r="Z475">
        <v>6.3242590187801389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L475">
        <v>1.8660000000000001</v>
      </c>
      <c r="AN475" t="s">
        <v>223</v>
      </c>
      <c r="AO475" t="s">
        <v>92</v>
      </c>
      <c r="AP475">
        <v>200000</v>
      </c>
      <c r="AQ475" t="s">
        <v>92</v>
      </c>
      <c r="AS475">
        <v>10000</v>
      </c>
      <c r="AT475" t="s">
        <v>4834</v>
      </c>
      <c r="AU475" t="s">
        <v>78</v>
      </c>
      <c r="AV475" t="s">
        <v>79</v>
      </c>
      <c r="AY475">
        <v>0</v>
      </c>
    </row>
    <row r="476" spans="1:52" ht="12.75">
      <c r="A476" s="2" t="str">
        <f>HYPERLINK("https://ibp.a2mac1.com/costing(costing:projects/details/8191/assembly/5388176)","Sealing System")</f>
        <v>Sealing System</v>
      </c>
      <c r="B476">
        <v>5388176</v>
      </c>
      <c r="D476">
        <v>5388133</v>
      </c>
      <c r="F476">
        <v>1</v>
      </c>
      <c r="G476">
        <v>0</v>
      </c>
      <c r="H476">
        <v>10.950824425021688</v>
      </c>
      <c r="I476">
        <v>0</v>
      </c>
      <c r="J476" t="s">
        <v>90</v>
      </c>
      <c r="K476">
        <v>0</v>
      </c>
      <c r="L476">
        <v>10.950824425021688</v>
      </c>
      <c r="M476">
        <v>0</v>
      </c>
      <c r="N476">
        <v>0</v>
      </c>
      <c r="O476">
        <v>10.950824425021688</v>
      </c>
      <c r="P476" t="s">
        <v>90</v>
      </c>
      <c r="Q476">
        <v>0</v>
      </c>
      <c r="R476" t="s">
        <v>90</v>
      </c>
      <c r="S476">
        <v>0</v>
      </c>
      <c r="T476" t="s">
        <v>90</v>
      </c>
      <c r="U476">
        <v>0</v>
      </c>
      <c r="V476" t="s">
        <v>90</v>
      </c>
      <c r="W476">
        <v>0</v>
      </c>
      <c r="X476" t="s">
        <v>90</v>
      </c>
      <c r="Y476">
        <v>0</v>
      </c>
      <c r="Z476">
        <v>10.950824425021688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L476">
        <v>3.095</v>
      </c>
      <c r="AN476" t="s">
        <v>223</v>
      </c>
      <c r="AO476" t="s">
        <v>92</v>
      </c>
      <c r="AP476">
        <v>200000</v>
      </c>
      <c r="AQ476" t="s">
        <v>92</v>
      </c>
      <c r="AS476">
        <v>10000</v>
      </c>
      <c r="AT476" t="s">
        <v>4855</v>
      </c>
      <c r="AU476" t="s">
        <v>78</v>
      </c>
      <c r="AV476" t="s">
        <v>79</v>
      </c>
      <c r="AY476">
        <v>0</v>
      </c>
    </row>
    <row r="477" spans="1:52" ht="12.75">
      <c r="A477" s="2" t="str">
        <f>HYPERLINK("https://ibp.a2mac1.com/costing(costing:projects/details/8191/assembly/5388758)","On Body")</f>
        <v>On Body</v>
      </c>
      <c r="B477">
        <v>5388758</v>
      </c>
      <c r="D477">
        <v>5388374</v>
      </c>
      <c r="F477">
        <v>1</v>
      </c>
      <c r="G477">
        <v>0</v>
      </c>
      <c r="H477">
        <v>0.18077265164509451</v>
      </c>
      <c r="I477">
        <v>0</v>
      </c>
      <c r="J477" t="s">
        <v>90</v>
      </c>
      <c r="K477">
        <v>0</v>
      </c>
      <c r="L477">
        <v>0.18077265164509451</v>
      </c>
      <c r="M477">
        <v>0</v>
      </c>
      <c r="N477">
        <v>0</v>
      </c>
      <c r="O477">
        <v>0.18077265164509451</v>
      </c>
      <c r="P477" t="s">
        <v>90</v>
      </c>
      <c r="Q477">
        <v>0</v>
      </c>
      <c r="R477" t="s">
        <v>90</v>
      </c>
      <c r="S477">
        <v>0</v>
      </c>
      <c r="T477" t="s">
        <v>90</v>
      </c>
      <c r="U477">
        <v>0</v>
      </c>
      <c r="V477" t="s">
        <v>90</v>
      </c>
      <c r="W477">
        <v>0</v>
      </c>
      <c r="X477" t="s">
        <v>90</v>
      </c>
      <c r="Y477">
        <v>0</v>
      </c>
      <c r="Z477">
        <v>0.18077265164509451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70</v>
      </c>
      <c r="AI477">
        <v>56</v>
      </c>
      <c r="AJ477">
        <v>25</v>
      </c>
      <c r="AL477">
        <v>0.205</v>
      </c>
      <c r="AM477" t="s">
        <v>685</v>
      </c>
      <c r="AN477" t="s">
        <v>223</v>
      </c>
      <c r="AO477" t="s">
        <v>92</v>
      </c>
      <c r="AP477">
        <v>200000</v>
      </c>
      <c r="AQ477" t="s">
        <v>92</v>
      </c>
      <c r="AS477">
        <v>10000</v>
      </c>
      <c r="AT477" t="s">
        <v>4862</v>
      </c>
      <c r="AU477" t="s">
        <v>78</v>
      </c>
      <c r="AV477" t="s">
        <v>79</v>
      </c>
      <c r="AY477">
        <v>0</v>
      </c>
    </row>
    <row r="478" spans="1:52" ht="12.75">
      <c r="A478" s="2" t="str">
        <f>HYPERLINK("https://ibp.a2mac1.com/costing(costing:projects/details/8191/assembly/5388759)","On Door")</f>
        <v>On Door</v>
      </c>
      <c r="B478">
        <v>5388759</v>
      </c>
      <c r="D478">
        <v>5388374</v>
      </c>
      <c r="F478">
        <v>1</v>
      </c>
      <c r="G478">
        <v>0</v>
      </c>
      <c r="H478">
        <v>1.1867538799375594</v>
      </c>
      <c r="I478">
        <v>0</v>
      </c>
      <c r="J478" t="s">
        <v>90</v>
      </c>
      <c r="K478">
        <v>0</v>
      </c>
      <c r="L478">
        <v>1.1867538799375594</v>
      </c>
      <c r="M478">
        <v>0</v>
      </c>
      <c r="N478">
        <v>0</v>
      </c>
      <c r="O478">
        <v>1.1867538799375594</v>
      </c>
      <c r="P478" t="s">
        <v>90</v>
      </c>
      <c r="Q478">
        <v>0</v>
      </c>
      <c r="R478" t="s">
        <v>90</v>
      </c>
      <c r="S478">
        <v>0</v>
      </c>
      <c r="T478" t="s">
        <v>90</v>
      </c>
      <c r="U478">
        <v>0</v>
      </c>
      <c r="V478" t="s">
        <v>90</v>
      </c>
      <c r="W478">
        <v>0</v>
      </c>
      <c r="X478" t="s">
        <v>90</v>
      </c>
      <c r="Y478">
        <v>0</v>
      </c>
      <c r="Z478">
        <v>1.1867538799375594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33</v>
      </c>
      <c r="AI478">
        <v>47</v>
      </c>
      <c r="AJ478">
        <v>51</v>
      </c>
      <c r="AL478">
        <v>0.112</v>
      </c>
      <c r="AN478" t="s">
        <v>223</v>
      </c>
      <c r="AO478" t="s">
        <v>92</v>
      </c>
      <c r="AP478">
        <v>200000</v>
      </c>
      <c r="AQ478" t="s">
        <v>92</v>
      </c>
      <c r="AS478">
        <v>10000</v>
      </c>
      <c r="AT478" t="s">
        <v>4867</v>
      </c>
      <c r="AU478" t="s">
        <v>78</v>
      </c>
      <c r="AV478" t="s">
        <v>79</v>
      </c>
      <c r="AY478">
        <v>0</v>
      </c>
    </row>
    <row r="479" spans="1:52" ht="12.75">
      <c r="A479" s="2" t="str">
        <f>HYPERLINK("https://ibp.a2mac1.com/costing(costing:projects/details/8191/assembly/5388760)","Fastners")</f>
        <v>Fastners</v>
      </c>
      <c r="B479">
        <v>5388760</v>
      </c>
      <c r="D479">
        <v>5388374</v>
      </c>
      <c r="F479">
        <v>1</v>
      </c>
      <c r="G479">
        <v>0</v>
      </c>
      <c r="H479">
        <v>0.018460000000000001</v>
      </c>
      <c r="I479">
        <v>0</v>
      </c>
      <c r="J479" t="s">
        <v>90</v>
      </c>
      <c r="K479">
        <v>0</v>
      </c>
      <c r="L479">
        <v>0.018460000000000001</v>
      </c>
      <c r="M479">
        <v>0</v>
      </c>
      <c r="N479">
        <v>0</v>
      </c>
      <c r="O479">
        <v>0.018460000000000001</v>
      </c>
      <c r="P479" t="s">
        <v>90</v>
      </c>
      <c r="Q479">
        <v>0</v>
      </c>
      <c r="R479" t="s">
        <v>90</v>
      </c>
      <c r="S479">
        <v>0</v>
      </c>
      <c r="T479" t="s">
        <v>90</v>
      </c>
      <c r="U479">
        <v>0</v>
      </c>
      <c r="V479" t="s">
        <v>90</v>
      </c>
      <c r="W479">
        <v>0</v>
      </c>
      <c r="X479" t="s">
        <v>90</v>
      </c>
      <c r="Y479">
        <v>0</v>
      </c>
      <c r="Z479">
        <v>0.018460000000000001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N479" t="s">
        <v>223</v>
      </c>
      <c r="AO479" t="s">
        <v>92</v>
      </c>
      <c r="AP479">
        <v>200000</v>
      </c>
      <c r="AQ479" t="s">
        <v>92</v>
      </c>
      <c r="AR479">
        <v>0</v>
      </c>
      <c r="AS479">
        <v>10000</v>
      </c>
      <c r="AT479" t="s">
        <v>9</v>
      </c>
      <c r="AU479" t="s">
        <v>78</v>
      </c>
      <c r="AV479" t="s">
        <v>79</v>
      </c>
      <c r="AY479">
        <v>0</v>
      </c>
    </row>
    <row r="480" spans="1:52" ht="12.75">
      <c r="A480" s="2" t="str">
        <f>HYPERLINK("https://ibp.a2mac1.com/costing(costing:projects/details/8191/assembly/5388374)","Upper")</f>
        <v>Upper</v>
      </c>
      <c r="B480">
        <v>5388374</v>
      </c>
      <c r="D480">
        <v>5388177</v>
      </c>
      <c r="F480">
        <v>1</v>
      </c>
      <c r="G480">
        <v>0</v>
      </c>
      <c r="H480">
        <v>1.3859865315826538</v>
      </c>
      <c r="I480">
        <v>0.0069647564401138385</v>
      </c>
      <c r="J480" t="s">
        <v>137</v>
      </c>
      <c r="K480">
        <v>0.048509528605392885</v>
      </c>
      <c r="L480">
        <v>1.4414608166281606</v>
      </c>
      <c r="M480">
        <v>0</v>
      </c>
      <c r="N480">
        <v>0</v>
      </c>
      <c r="O480">
        <v>1.4414608166281606</v>
      </c>
      <c r="P480" t="s">
        <v>138</v>
      </c>
      <c r="Q480">
        <v>0.08648764899768964</v>
      </c>
      <c r="R480" t="s">
        <v>138</v>
      </c>
      <c r="S480">
        <v>0</v>
      </c>
      <c r="T480" t="s">
        <v>139</v>
      </c>
      <c r="U480">
        <v>0.17297529799537928</v>
      </c>
      <c r="V480" t="s">
        <v>90</v>
      </c>
      <c r="W480">
        <v>0</v>
      </c>
      <c r="X480" t="s">
        <v>90</v>
      </c>
      <c r="Y480">
        <v>0</v>
      </c>
      <c r="Z480">
        <v>1.7009237636212295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L480">
        <v>0.33900000000000002</v>
      </c>
      <c r="AN480" t="s">
        <v>4765</v>
      </c>
      <c r="AO480" t="s">
        <v>92</v>
      </c>
      <c r="AP480">
        <v>200000</v>
      </c>
      <c r="AQ480" t="s">
        <v>76</v>
      </c>
      <c r="AS480">
        <v>10000</v>
      </c>
      <c r="AT480" t="s">
        <v>4869</v>
      </c>
      <c r="AU480" t="s">
        <v>78</v>
      </c>
      <c r="AV480" t="s">
        <v>79</v>
      </c>
      <c r="AY480">
        <v>0</v>
      </c>
    </row>
    <row r="481" spans="1:52" ht="12.75">
      <c r="A481" s="2" t="str">
        <f>HYPERLINK("https://ibp.a2mac1.com/costing(costing:projects/details/8191/assembly/5388761)","On Body")</f>
        <v>On Body</v>
      </c>
      <c r="B481">
        <v>5388761</v>
      </c>
      <c r="D481">
        <v>5388375</v>
      </c>
      <c r="F481">
        <v>1</v>
      </c>
      <c r="G481">
        <v>0</v>
      </c>
      <c r="H481">
        <v>1.2632920020875593</v>
      </c>
      <c r="I481">
        <v>0</v>
      </c>
      <c r="J481" t="s">
        <v>90</v>
      </c>
      <c r="K481">
        <v>0</v>
      </c>
      <c r="L481">
        <v>1.2632920020875593</v>
      </c>
      <c r="M481">
        <v>0</v>
      </c>
      <c r="N481">
        <v>0</v>
      </c>
      <c r="O481">
        <v>1.2632920020875593</v>
      </c>
      <c r="P481" t="s">
        <v>90</v>
      </c>
      <c r="Q481">
        <v>0</v>
      </c>
      <c r="R481" t="s">
        <v>90</v>
      </c>
      <c r="S481">
        <v>0</v>
      </c>
      <c r="T481" t="s">
        <v>90</v>
      </c>
      <c r="U481">
        <v>0</v>
      </c>
      <c r="V481" t="s">
        <v>90</v>
      </c>
      <c r="W481">
        <v>0</v>
      </c>
      <c r="X481" t="s">
        <v>90</v>
      </c>
      <c r="Y481">
        <v>0</v>
      </c>
      <c r="Z481">
        <v>1.2632920020875593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67</v>
      </c>
      <c r="AI481">
        <v>56</v>
      </c>
      <c r="AJ481">
        <v>26</v>
      </c>
      <c r="AL481">
        <v>0.20899999999999999</v>
      </c>
      <c r="AM481" t="s">
        <v>685</v>
      </c>
      <c r="AN481" t="s">
        <v>223</v>
      </c>
      <c r="AO481" t="s">
        <v>92</v>
      </c>
      <c r="AP481">
        <v>200000</v>
      </c>
      <c r="AQ481" t="s">
        <v>92</v>
      </c>
      <c r="AS481">
        <v>10000</v>
      </c>
      <c r="AT481" t="s">
        <v>4874</v>
      </c>
      <c r="AU481" t="s">
        <v>78</v>
      </c>
      <c r="AV481" t="s">
        <v>79</v>
      </c>
      <c r="AY481">
        <v>0</v>
      </c>
    </row>
    <row r="482" spans="1:52" ht="12.75">
      <c r="A482" s="2" t="str">
        <f>HYPERLINK("https://ibp.a2mac1.com/costing(costing:projects/details/8191/assembly/5388762)","On Door")</f>
        <v>On Door</v>
      </c>
      <c r="B482">
        <v>5388762</v>
      </c>
      <c r="D482">
        <v>5388375</v>
      </c>
      <c r="F482">
        <v>1</v>
      </c>
      <c r="G482">
        <v>0</v>
      </c>
      <c r="H482">
        <v>1.1718375486375594</v>
      </c>
      <c r="I482">
        <v>0</v>
      </c>
      <c r="J482" t="s">
        <v>90</v>
      </c>
      <c r="K482">
        <v>0</v>
      </c>
      <c r="L482">
        <v>1.1718375486375594</v>
      </c>
      <c r="M482">
        <v>0</v>
      </c>
      <c r="N482">
        <v>0</v>
      </c>
      <c r="O482">
        <v>1.1718375486375594</v>
      </c>
      <c r="P482" t="s">
        <v>90</v>
      </c>
      <c r="Q482">
        <v>0</v>
      </c>
      <c r="R482" t="s">
        <v>90</v>
      </c>
      <c r="S482">
        <v>0</v>
      </c>
      <c r="T482" t="s">
        <v>90</v>
      </c>
      <c r="U482">
        <v>0</v>
      </c>
      <c r="V482" t="s">
        <v>90</v>
      </c>
      <c r="W482">
        <v>0</v>
      </c>
      <c r="X482" t="s">
        <v>90</v>
      </c>
      <c r="Y482">
        <v>0</v>
      </c>
      <c r="Z482">
        <v>1.1718375486375594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33</v>
      </c>
      <c r="AI482">
        <v>47</v>
      </c>
      <c r="AJ482">
        <v>51</v>
      </c>
      <c r="AL482">
        <v>0.112</v>
      </c>
      <c r="AN482" t="s">
        <v>223</v>
      </c>
      <c r="AO482" t="s">
        <v>92</v>
      </c>
      <c r="AP482">
        <v>200000</v>
      </c>
      <c r="AQ482" t="s">
        <v>92</v>
      </c>
      <c r="AS482">
        <v>10000</v>
      </c>
      <c r="AT482" t="s">
        <v>4879</v>
      </c>
      <c r="AU482" t="s">
        <v>78</v>
      </c>
      <c r="AV482" t="s">
        <v>79</v>
      </c>
      <c r="AY482">
        <v>0</v>
      </c>
    </row>
    <row r="483" spans="1:52" ht="12.75">
      <c r="A483" s="2" t="str">
        <f>HYPERLINK("https://ibp.a2mac1.com/costing(costing:projects/details/8191/assembly/5388763)","Fastners")</f>
        <v>Fastners</v>
      </c>
      <c r="B483">
        <v>5388763</v>
      </c>
      <c r="D483">
        <v>5388375</v>
      </c>
      <c r="F483">
        <v>1</v>
      </c>
      <c r="G483">
        <v>0</v>
      </c>
      <c r="H483">
        <v>0.018460000000000001</v>
      </c>
      <c r="I483">
        <v>0</v>
      </c>
      <c r="J483" t="s">
        <v>90</v>
      </c>
      <c r="K483">
        <v>0</v>
      </c>
      <c r="L483">
        <v>0.018460000000000001</v>
      </c>
      <c r="M483">
        <v>0</v>
      </c>
      <c r="N483">
        <v>0</v>
      </c>
      <c r="O483">
        <v>0.018460000000000001</v>
      </c>
      <c r="P483" t="s">
        <v>90</v>
      </c>
      <c r="Q483">
        <v>0</v>
      </c>
      <c r="R483" t="s">
        <v>90</v>
      </c>
      <c r="S483">
        <v>0</v>
      </c>
      <c r="T483" t="s">
        <v>90</v>
      </c>
      <c r="U483">
        <v>0</v>
      </c>
      <c r="V483" t="s">
        <v>90</v>
      </c>
      <c r="W483">
        <v>0</v>
      </c>
      <c r="X483" t="s">
        <v>90</v>
      </c>
      <c r="Y483">
        <v>0</v>
      </c>
      <c r="Z483">
        <v>0.018460000000000001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N483" t="s">
        <v>223</v>
      </c>
      <c r="AO483" t="s">
        <v>92</v>
      </c>
      <c r="AP483">
        <v>200000</v>
      </c>
      <c r="AQ483" t="s">
        <v>76</v>
      </c>
      <c r="AR483">
        <v>0</v>
      </c>
      <c r="AS483">
        <v>10000</v>
      </c>
      <c r="AT483" t="s">
        <v>9</v>
      </c>
      <c r="AU483" t="s">
        <v>78</v>
      </c>
      <c r="AV483" t="s">
        <v>79</v>
      </c>
      <c r="AY483">
        <v>0</v>
      </c>
    </row>
    <row r="484" spans="1:52" ht="12.75">
      <c r="A484" s="2" t="str">
        <f>HYPERLINK("https://ibp.a2mac1.com/costing(costing:projects/details/8191/assembly/5388375)","Lower")</f>
        <v>Lower</v>
      </c>
      <c r="B484">
        <v>5388375</v>
      </c>
      <c r="D484">
        <v>5388177</v>
      </c>
      <c r="F484">
        <v>1</v>
      </c>
      <c r="G484">
        <v>0</v>
      </c>
      <c r="H484">
        <v>2.4535895507251189</v>
      </c>
      <c r="I484">
        <v>0.012329595732287028</v>
      </c>
      <c r="J484" t="s">
        <v>137</v>
      </c>
      <c r="K484">
        <v>0.085875634275379156</v>
      </c>
      <c r="L484">
        <v>2.5517947807327848</v>
      </c>
      <c r="M484">
        <v>0</v>
      </c>
      <c r="N484">
        <v>0</v>
      </c>
      <c r="O484">
        <v>2.5517947807327848</v>
      </c>
      <c r="P484" t="s">
        <v>138</v>
      </c>
      <c r="Q484">
        <v>0.15310768684396708</v>
      </c>
      <c r="R484" t="s">
        <v>138</v>
      </c>
      <c r="S484">
        <v>0</v>
      </c>
      <c r="T484" t="s">
        <v>139</v>
      </c>
      <c r="U484">
        <v>0.30621537368793417</v>
      </c>
      <c r="V484" t="s">
        <v>90</v>
      </c>
      <c r="W484">
        <v>0</v>
      </c>
      <c r="X484" t="s">
        <v>90</v>
      </c>
      <c r="Y484">
        <v>0</v>
      </c>
      <c r="Z484">
        <v>3.011117841264686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L484">
        <v>0.34300000000000003</v>
      </c>
      <c r="AN484" t="s">
        <v>4765</v>
      </c>
      <c r="AO484" t="s">
        <v>92</v>
      </c>
      <c r="AP484">
        <v>200000</v>
      </c>
      <c r="AQ484" t="s">
        <v>76</v>
      </c>
      <c r="AS484">
        <v>10000</v>
      </c>
      <c r="AT484" t="s">
        <v>4881</v>
      </c>
      <c r="AU484" t="s">
        <v>78</v>
      </c>
      <c r="AV484" t="s">
        <v>79</v>
      </c>
      <c r="AY484">
        <v>0</v>
      </c>
    </row>
    <row r="485" spans="1:52" ht="12.75">
      <c r="A485" s="2" t="str">
        <f>HYPERLINK("https://ibp.a2mac1.com/costing(costing:projects/details/8191/assembly/5388376)","Fastners")</f>
        <v>Fastners</v>
      </c>
      <c r="B485">
        <v>5388376</v>
      </c>
      <c r="D485">
        <v>5388177</v>
      </c>
      <c r="F485">
        <v>1</v>
      </c>
      <c r="G485">
        <v>0</v>
      </c>
      <c r="H485">
        <v>0.018460000000000001</v>
      </c>
      <c r="I485">
        <v>0</v>
      </c>
      <c r="J485" t="s">
        <v>90</v>
      </c>
      <c r="K485">
        <v>0</v>
      </c>
      <c r="L485">
        <v>0.018460000000000001</v>
      </c>
      <c r="M485">
        <v>0</v>
      </c>
      <c r="N485">
        <v>0</v>
      </c>
      <c r="O485">
        <v>0.018460000000000001</v>
      </c>
      <c r="P485" t="s">
        <v>90</v>
      </c>
      <c r="Q485">
        <v>0</v>
      </c>
      <c r="R485" t="s">
        <v>90</v>
      </c>
      <c r="S485">
        <v>0</v>
      </c>
      <c r="T485" t="s">
        <v>90</v>
      </c>
      <c r="U485">
        <v>0</v>
      </c>
      <c r="V485" t="s">
        <v>90</v>
      </c>
      <c r="W485">
        <v>0</v>
      </c>
      <c r="X485" t="s">
        <v>90</v>
      </c>
      <c r="Y485">
        <v>0</v>
      </c>
      <c r="Z485">
        <v>0.018460000000000001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N485" t="s">
        <v>223</v>
      </c>
      <c r="AO485" t="s">
        <v>92</v>
      </c>
      <c r="AP485">
        <v>200000</v>
      </c>
      <c r="AQ485" t="s">
        <v>92</v>
      </c>
      <c r="AR485">
        <v>0</v>
      </c>
      <c r="AS485">
        <v>10000</v>
      </c>
      <c r="AT485" t="s">
        <v>9</v>
      </c>
      <c r="AU485" t="s">
        <v>78</v>
      </c>
      <c r="AV485" t="s">
        <v>79</v>
      </c>
      <c r="AY485">
        <v>0</v>
      </c>
    </row>
    <row r="486" spans="1:52" ht="12.75">
      <c r="A486" s="2" t="str">
        <f>HYPERLINK("https://ibp.a2mac1.com/costing(costing:projects/details/8191/assembly/5388177)","Hinges")</f>
        <v>Hinges</v>
      </c>
      <c r="B486">
        <v>5388177</v>
      </c>
      <c r="D486">
        <v>5388133</v>
      </c>
      <c r="F486">
        <v>1</v>
      </c>
      <c r="G486">
        <v>0</v>
      </c>
      <c r="H486">
        <v>6.8066716048859153</v>
      </c>
      <c r="I486">
        <v>0</v>
      </c>
      <c r="J486" t="s">
        <v>90</v>
      </c>
      <c r="K486">
        <v>0</v>
      </c>
      <c r="L486">
        <v>6.8066716048859153</v>
      </c>
      <c r="M486">
        <v>0</v>
      </c>
      <c r="N486">
        <v>0</v>
      </c>
      <c r="O486">
        <v>6.8066716048859153</v>
      </c>
      <c r="P486" t="s">
        <v>90</v>
      </c>
      <c r="Q486">
        <v>0</v>
      </c>
      <c r="R486" t="s">
        <v>90</v>
      </c>
      <c r="S486">
        <v>0</v>
      </c>
      <c r="T486" t="s">
        <v>90</v>
      </c>
      <c r="U486">
        <v>0</v>
      </c>
      <c r="V486" t="s">
        <v>90</v>
      </c>
      <c r="W486">
        <v>0</v>
      </c>
      <c r="X486" t="s">
        <v>90</v>
      </c>
      <c r="Y486">
        <v>0</v>
      </c>
      <c r="Z486">
        <v>6.8066716048859153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L486">
        <v>0.85</v>
      </c>
      <c r="AN486" t="s">
        <v>223</v>
      </c>
      <c r="AO486" t="s">
        <v>92</v>
      </c>
      <c r="AP486">
        <v>200000</v>
      </c>
      <c r="AQ486" t="s">
        <v>92</v>
      </c>
      <c r="AS486">
        <v>10000</v>
      </c>
      <c r="AT486" t="s">
        <v>4885</v>
      </c>
      <c r="AU486" t="s">
        <v>78</v>
      </c>
      <c r="AV486" t="s">
        <v>79</v>
      </c>
      <c r="AY486">
        <v>0</v>
      </c>
    </row>
    <row r="487" spans="1:52" ht="12.75">
      <c r="A487" s="2" t="str">
        <f>HYPERLINK("https://ibp.a2mac1.com/costing(costing:projects/details/8191/assembly/5388382)","Door ECU")</f>
        <v>Door ECU</v>
      </c>
      <c r="B487">
        <v>5388382</v>
      </c>
      <c r="D487">
        <v>5388178</v>
      </c>
      <c r="F487">
        <v>1</v>
      </c>
      <c r="G487">
        <v>0</v>
      </c>
      <c r="H487">
        <v>7.1937608106702911</v>
      </c>
      <c r="I487">
        <v>0.036149551812413527</v>
      </c>
      <c r="J487" t="s">
        <v>137</v>
      </c>
      <c r="K487">
        <v>0.25178162837346019</v>
      </c>
      <c r="L487">
        <v>7.4816919908561657</v>
      </c>
      <c r="M487">
        <v>0</v>
      </c>
      <c r="N487">
        <v>1.2785334853101133</v>
      </c>
      <c r="O487">
        <v>8.7602254761662781</v>
      </c>
      <c r="P487" t="s">
        <v>138</v>
      </c>
      <c r="Q487">
        <v>0.44890151945136991</v>
      </c>
      <c r="R487" t="s">
        <v>138</v>
      </c>
      <c r="S487">
        <v>0.076712009118606803</v>
      </c>
      <c r="T487" t="s">
        <v>139</v>
      </c>
      <c r="U487">
        <v>1.0512270571399533</v>
      </c>
      <c r="V487" t="s">
        <v>90</v>
      </c>
      <c r="W487">
        <v>0</v>
      </c>
      <c r="X487" t="s">
        <v>90</v>
      </c>
      <c r="Y487">
        <v>0</v>
      </c>
      <c r="Z487">
        <v>10.337066061876209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41</v>
      </c>
      <c r="AI487">
        <v>103</v>
      </c>
      <c r="AJ487">
        <v>106</v>
      </c>
      <c r="AL487">
        <v>0.088999999999999996</v>
      </c>
      <c r="AM487" t="s">
        <v>1355</v>
      </c>
      <c r="AN487" t="s">
        <v>576</v>
      </c>
      <c r="AO487" t="s">
        <v>92</v>
      </c>
      <c r="AP487">
        <v>200000</v>
      </c>
      <c r="AQ487" t="s">
        <v>76</v>
      </c>
      <c r="AS487">
        <v>10000</v>
      </c>
      <c r="AT487" t="s">
        <v>4889</v>
      </c>
      <c r="AU487" t="s">
        <v>78</v>
      </c>
      <c r="AV487" t="s">
        <v>79</v>
      </c>
      <c r="AY487">
        <v>0</v>
      </c>
    </row>
    <row r="488" spans="1:52" ht="12.75">
      <c r="A488" s="2" t="str">
        <f>HYPERLINK("https://ibp.a2mac1.com/costing(costing:projects/details/8191/assembly/5388387)","Ambiant Light")</f>
        <v>Ambiant Light</v>
      </c>
      <c r="B488">
        <v>5388387</v>
      </c>
      <c r="D488">
        <v>5388178</v>
      </c>
      <c r="F488">
        <v>1</v>
      </c>
      <c r="G488">
        <v>0</v>
      </c>
      <c r="H488">
        <v>3.0450499999999998</v>
      </c>
      <c r="I488">
        <v>0</v>
      </c>
      <c r="J488" t="s">
        <v>90</v>
      </c>
      <c r="K488">
        <v>0</v>
      </c>
      <c r="L488">
        <v>3.0450499999999998</v>
      </c>
      <c r="M488">
        <v>0</v>
      </c>
      <c r="N488">
        <v>0</v>
      </c>
      <c r="O488">
        <v>3.0450499999999998</v>
      </c>
      <c r="P488" t="s">
        <v>90</v>
      </c>
      <c r="Q488">
        <v>0</v>
      </c>
      <c r="R488" t="s">
        <v>90</v>
      </c>
      <c r="S488">
        <v>0</v>
      </c>
      <c r="T488" t="s">
        <v>90</v>
      </c>
      <c r="U488">
        <v>0</v>
      </c>
      <c r="V488" t="s">
        <v>90</v>
      </c>
      <c r="W488">
        <v>0</v>
      </c>
      <c r="X488" t="s">
        <v>90</v>
      </c>
      <c r="Y488">
        <v>0</v>
      </c>
      <c r="Z488">
        <v>3.0450499999999998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L488">
        <v>0.031</v>
      </c>
      <c r="AN488" t="s">
        <v>223</v>
      </c>
      <c r="AO488" t="s">
        <v>92</v>
      </c>
      <c r="AP488">
        <v>200000</v>
      </c>
      <c r="AQ488" t="s">
        <v>92</v>
      </c>
      <c r="AS488">
        <v>10000</v>
      </c>
      <c r="AT488" t="s">
        <v>4895</v>
      </c>
      <c r="AU488" t="s">
        <v>78</v>
      </c>
      <c r="AV488" t="s">
        <v>79</v>
      </c>
      <c r="AY488">
        <v>0</v>
      </c>
    </row>
    <row r="489" spans="1:52" ht="12.75">
      <c r="A489" s="2" t="str">
        <f>HYPERLINK("https://ibp.a2mac1.com/costing(costing:projects/details/8191/assembly/5388388)","Fastners")</f>
        <v>Fastners</v>
      </c>
      <c r="B489">
        <v>5388388</v>
      </c>
      <c r="D489">
        <v>5388178</v>
      </c>
      <c r="F489">
        <v>1</v>
      </c>
      <c r="G489">
        <v>0</v>
      </c>
      <c r="H489">
        <v>0.027689999999999999</v>
      </c>
      <c r="I489">
        <v>0</v>
      </c>
      <c r="J489" t="s">
        <v>90</v>
      </c>
      <c r="K489">
        <v>0</v>
      </c>
      <c r="L489">
        <v>0.027689999999999999</v>
      </c>
      <c r="M489">
        <v>0</v>
      </c>
      <c r="N489">
        <v>0</v>
      </c>
      <c r="O489">
        <v>0.027689999999999999</v>
      </c>
      <c r="P489" t="s">
        <v>90</v>
      </c>
      <c r="Q489">
        <v>0</v>
      </c>
      <c r="R489" t="s">
        <v>90</v>
      </c>
      <c r="S489">
        <v>0</v>
      </c>
      <c r="T489" t="s">
        <v>90</v>
      </c>
      <c r="U489">
        <v>0</v>
      </c>
      <c r="V489" t="s">
        <v>90</v>
      </c>
      <c r="W489">
        <v>0</v>
      </c>
      <c r="X489" t="s">
        <v>90</v>
      </c>
      <c r="Y489">
        <v>0</v>
      </c>
      <c r="Z489">
        <v>0.027689999999999999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N489" t="s">
        <v>223</v>
      </c>
      <c r="AO489" t="s">
        <v>92</v>
      </c>
      <c r="AP489">
        <v>200000</v>
      </c>
      <c r="AQ489" t="s">
        <v>92</v>
      </c>
      <c r="AR489">
        <v>0</v>
      </c>
      <c r="AS489">
        <v>10000</v>
      </c>
      <c r="AT489" t="s">
        <v>9</v>
      </c>
      <c r="AU489" t="s">
        <v>78</v>
      </c>
      <c r="AV489" t="s">
        <v>79</v>
      </c>
      <c r="AY489">
        <v>0</v>
      </c>
    </row>
    <row r="490" spans="1:52" ht="12.75">
      <c r="A490" s="2" t="str">
        <f>HYPERLINK("https://ibp.a2mac1.com/costing(costing:projects/details/8191/assembly/5388178)","Power System")</f>
        <v>Power System</v>
      </c>
      <c r="B490">
        <v>5388178</v>
      </c>
      <c r="D490">
        <v>5388133</v>
      </c>
      <c r="F490">
        <v>1</v>
      </c>
      <c r="G490">
        <v>0</v>
      </c>
      <c r="H490">
        <v>33.673176061876205</v>
      </c>
      <c r="I490">
        <v>0</v>
      </c>
      <c r="J490" t="s">
        <v>90</v>
      </c>
      <c r="K490">
        <v>0</v>
      </c>
      <c r="L490">
        <v>33.673176061876205</v>
      </c>
      <c r="M490">
        <v>0</v>
      </c>
      <c r="N490">
        <v>0</v>
      </c>
      <c r="O490">
        <v>33.673176061876205</v>
      </c>
      <c r="P490" t="s">
        <v>90</v>
      </c>
      <c r="Q490">
        <v>0</v>
      </c>
      <c r="R490" t="s">
        <v>90</v>
      </c>
      <c r="S490">
        <v>0</v>
      </c>
      <c r="T490" t="s">
        <v>90</v>
      </c>
      <c r="U490">
        <v>0</v>
      </c>
      <c r="V490" t="s">
        <v>90</v>
      </c>
      <c r="W490">
        <v>0</v>
      </c>
      <c r="X490" t="s">
        <v>90</v>
      </c>
      <c r="Y490">
        <v>0</v>
      </c>
      <c r="Z490">
        <v>33.673176061876205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L490">
        <v>0.725</v>
      </c>
      <c r="AN490" t="s">
        <v>223</v>
      </c>
      <c r="AO490" t="s">
        <v>92</v>
      </c>
      <c r="AP490">
        <v>200000</v>
      </c>
      <c r="AQ490" t="s">
        <v>92</v>
      </c>
      <c r="AS490">
        <v>10000</v>
      </c>
      <c r="AT490" t="s">
        <v>4906</v>
      </c>
      <c r="AU490" t="s">
        <v>78</v>
      </c>
      <c r="AV490" t="s">
        <v>79</v>
      </c>
      <c r="AY490">
        <v>0</v>
      </c>
    </row>
    <row r="491" spans="1:52" ht="12.75">
      <c r="A491" s="2" t="str">
        <f>HYPERLINK("https://ibp.a2mac1.com/costing(costing:projects/details/8191/assembly/5388393)","Fastners")</f>
        <v>Fastners</v>
      </c>
      <c r="B491">
        <v>5388393</v>
      </c>
      <c r="D491">
        <v>5388179</v>
      </c>
      <c r="F491">
        <v>1</v>
      </c>
      <c r="G491">
        <v>0</v>
      </c>
      <c r="H491">
        <v>0.064610000000000001</v>
      </c>
      <c r="I491">
        <v>0</v>
      </c>
      <c r="J491" t="s">
        <v>90</v>
      </c>
      <c r="K491">
        <v>0</v>
      </c>
      <c r="L491">
        <v>0.064610000000000001</v>
      </c>
      <c r="M491">
        <v>0</v>
      </c>
      <c r="N491">
        <v>0</v>
      </c>
      <c r="O491">
        <v>0.064610000000000001</v>
      </c>
      <c r="P491" t="s">
        <v>90</v>
      </c>
      <c r="Q491">
        <v>0</v>
      </c>
      <c r="R491" t="s">
        <v>90</v>
      </c>
      <c r="S491">
        <v>0</v>
      </c>
      <c r="T491" t="s">
        <v>90</v>
      </c>
      <c r="U491">
        <v>0</v>
      </c>
      <c r="V491" t="s">
        <v>90</v>
      </c>
      <c r="W491">
        <v>0</v>
      </c>
      <c r="X491" t="s">
        <v>90</v>
      </c>
      <c r="Y491">
        <v>0</v>
      </c>
      <c r="Z491">
        <v>0.064610000000000001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N491" t="s">
        <v>223</v>
      </c>
      <c r="AO491" t="s">
        <v>92</v>
      </c>
      <c r="AP491">
        <v>200000</v>
      </c>
      <c r="AQ491" t="s">
        <v>92</v>
      </c>
      <c r="AR491">
        <v>0</v>
      </c>
      <c r="AS491">
        <v>10000</v>
      </c>
      <c r="AT491" t="s">
        <v>9</v>
      </c>
      <c r="AU491" t="s">
        <v>78</v>
      </c>
      <c r="AV491" t="s">
        <v>79</v>
      </c>
      <c r="AY491">
        <v>0</v>
      </c>
    </row>
    <row r="492" spans="1:52" ht="12.75">
      <c r="A492" s="2" t="str">
        <f>HYPERLINK("https://ibp.a2mac1.com/costing(costing:projects/details/8191/assembly/5388179)","Molding System")</f>
        <v>Molding System</v>
      </c>
      <c r="B492">
        <v>5388179</v>
      </c>
      <c r="D492">
        <v>5388133</v>
      </c>
      <c r="F492">
        <v>1</v>
      </c>
      <c r="G492">
        <v>0</v>
      </c>
      <c r="H492">
        <v>2.4557463212088066</v>
      </c>
      <c r="I492">
        <v>0</v>
      </c>
      <c r="J492" t="s">
        <v>90</v>
      </c>
      <c r="K492">
        <v>0</v>
      </c>
      <c r="L492">
        <v>2.4557463212088066</v>
      </c>
      <c r="M492">
        <v>0</v>
      </c>
      <c r="N492">
        <v>0</v>
      </c>
      <c r="O492">
        <v>2.4557463212088066</v>
      </c>
      <c r="P492" t="s">
        <v>90</v>
      </c>
      <c r="Q492">
        <v>0</v>
      </c>
      <c r="R492" t="s">
        <v>90</v>
      </c>
      <c r="S492">
        <v>0</v>
      </c>
      <c r="T492" t="s">
        <v>90</v>
      </c>
      <c r="U492">
        <v>0</v>
      </c>
      <c r="V492" t="s">
        <v>90</v>
      </c>
      <c r="W492">
        <v>0</v>
      </c>
      <c r="X492" t="s">
        <v>90</v>
      </c>
      <c r="Y492">
        <v>0</v>
      </c>
      <c r="Z492">
        <v>2.4557463212088066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L492">
        <v>0.89800000000000002</v>
      </c>
      <c r="AN492" t="s">
        <v>223</v>
      </c>
      <c r="AO492" t="s">
        <v>92</v>
      </c>
      <c r="AP492">
        <v>200000</v>
      </c>
      <c r="AQ492" t="s">
        <v>92</v>
      </c>
      <c r="AS492">
        <v>10000</v>
      </c>
      <c r="AT492" t="s">
        <v>4928</v>
      </c>
      <c r="AU492" t="s">
        <v>78</v>
      </c>
      <c r="AV492" t="s">
        <v>79</v>
      </c>
      <c r="AY492">
        <v>0</v>
      </c>
    </row>
    <row r="493" spans="1:52" ht="12.75">
      <c r="A493" s="2" t="str">
        <f>HYPERLINK("https://ibp.a2mac1.com/costing(costing:projects/details/8191/assembly/5388785)","Fastners")</f>
        <v>Fastners</v>
      </c>
      <c r="B493">
        <v>5388785</v>
      </c>
      <c r="D493">
        <v>5388394</v>
      </c>
      <c r="F493">
        <v>1</v>
      </c>
      <c r="G493">
        <v>0</v>
      </c>
      <c r="H493">
        <v>0.14768000000000001</v>
      </c>
      <c r="I493">
        <v>0</v>
      </c>
      <c r="J493" t="s">
        <v>90</v>
      </c>
      <c r="K493">
        <v>0</v>
      </c>
      <c r="L493">
        <v>0.14768000000000001</v>
      </c>
      <c r="M493">
        <v>0</v>
      </c>
      <c r="N493">
        <v>0</v>
      </c>
      <c r="O493">
        <v>0.14768000000000001</v>
      </c>
      <c r="P493" t="s">
        <v>90</v>
      </c>
      <c r="Q493">
        <v>0</v>
      </c>
      <c r="R493" t="s">
        <v>90</v>
      </c>
      <c r="S493">
        <v>0</v>
      </c>
      <c r="T493" t="s">
        <v>90</v>
      </c>
      <c r="U493">
        <v>0</v>
      </c>
      <c r="V493" t="s">
        <v>90</v>
      </c>
      <c r="W493">
        <v>0</v>
      </c>
      <c r="X493" t="s">
        <v>90</v>
      </c>
      <c r="Y493">
        <v>0</v>
      </c>
      <c r="Z493">
        <v>0.14768000000000001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N493" t="s">
        <v>223</v>
      </c>
      <c r="AO493" t="s">
        <v>92</v>
      </c>
      <c r="AP493">
        <v>200000</v>
      </c>
      <c r="AQ493" t="s">
        <v>76</v>
      </c>
      <c r="AR493">
        <v>0</v>
      </c>
      <c r="AS493">
        <v>10000</v>
      </c>
      <c r="AT493" t="s">
        <v>9</v>
      </c>
      <c r="AU493" t="s">
        <v>78</v>
      </c>
      <c r="AV493" t="s">
        <v>79</v>
      </c>
      <c r="AY493">
        <v>0</v>
      </c>
    </row>
    <row r="494" spans="1:52" ht="12.75">
      <c r="A494" s="2" t="str">
        <f>HYPERLINK("https://ibp.a2mac1.com/costing(costing:projects/details/8191/assembly/5388394)","Outside Rear View Mirror")</f>
        <v>Outside Rear View Mirror</v>
      </c>
      <c r="B494">
        <v>5388394</v>
      </c>
      <c r="D494">
        <v>5388180</v>
      </c>
      <c r="F494">
        <v>1</v>
      </c>
      <c r="G494">
        <v>0</v>
      </c>
      <c r="H494">
        <v>20.696985019774957</v>
      </c>
      <c r="I494">
        <v>0.10400494984811536</v>
      </c>
      <c r="J494" t="s">
        <v>137</v>
      </c>
      <c r="K494">
        <v>0.72439447569212345</v>
      </c>
      <c r="L494">
        <v>21.525384445315197</v>
      </c>
      <c r="M494">
        <v>0</v>
      </c>
      <c r="N494">
        <v>1.782300971306924</v>
      </c>
      <c r="O494">
        <v>23.307685416622121</v>
      </c>
      <c r="P494" t="s">
        <v>138</v>
      </c>
      <c r="Q494">
        <v>1.2915230667189117</v>
      </c>
      <c r="R494" t="s">
        <v>138</v>
      </c>
      <c r="S494">
        <v>0.10693805827841545</v>
      </c>
      <c r="T494" t="s">
        <v>139</v>
      </c>
      <c r="U494">
        <v>2.7969222499946542</v>
      </c>
      <c r="V494" t="s">
        <v>90</v>
      </c>
      <c r="W494">
        <v>0</v>
      </c>
      <c r="X494" t="s">
        <v>90</v>
      </c>
      <c r="Y494">
        <v>0</v>
      </c>
      <c r="Z494">
        <v>27.503068791614101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226</v>
      </c>
      <c r="AI494">
        <v>352</v>
      </c>
      <c r="AJ494">
        <v>196</v>
      </c>
      <c r="AL494">
        <v>1.9772000000000001</v>
      </c>
      <c r="AN494" t="s">
        <v>4765</v>
      </c>
      <c r="AO494" t="s">
        <v>92</v>
      </c>
      <c r="AP494">
        <v>200000</v>
      </c>
      <c r="AQ494" t="s">
        <v>76</v>
      </c>
      <c r="AS494">
        <v>10000</v>
      </c>
      <c r="AT494" t="s">
        <v>5014</v>
      </c>
      <c r="AU494" t="s">
        <v>78</v>
      </c>
      <c r="AV494" t="s">
        <v>79</v>
      </c>
      <c r="AY494">
        <v>0</v>
      </c>
    </row>
    <row r="495" spans="1:52" ht="12.75">
      <c r="A495" s="2" t="str">
        <f>HYPERLINK("https://ibp.a2mac1.com/costing(costing:projects/details/8191/assembly/5388180)","Rear View Mirror System")</f>
        <v>Rear View Mirror System</v>
      </c>
      <c r="B495">
        <v>5388180</v>
      </c>
      <c r="D495">
        <v>5388133</v>
      </c>
      <c r="F495">
        <v>1</v>
      </c>
      <c r="G495">
        <v>0</v>
      </c>
      <c r="H495">
        <v>27.503068791614101</v>
      </c>
      <c r="I495">
        <v>0</v>
      </c>
      <c r="J495" t="s">
        <v>90</v>
      </c>
      <c r="K495">
        <v>0</v>
      </c>
      <c r="L495">
        <v>27.503068791614101</v>
      </c>
      <c r="M495">
        <v>0</v>
      </c>
      <c r="N495">
        <v>0</v>
      </c>
      <c r="O495">
        <v>27.503068791614101</v>
      </c>
      <c r="P495" t="s">
        <v>90</v>
      </c>
      <c r="Q495">
        <v>0</v>
      </c>
      <c r="R495" t="s">
        <v>90</v>
      </c>
      <c r="S495">
        <v>0</v>
      </c>
      <c r="T495" t="s">
        <v>90</v>
      </c>
      <c r="U495">
        <v>0</v>
      </c>
      <c r="V495" t="s">
        <v>90</v>
      </c>
      <c r="W495">
        <v>0</v>
      </c>
      <c r="X495" t="s">
        <v>90</v>
      </c>
      <c r="Y495">
        <v>0</v>
      </c>
      <c r="Z495">
        <v>27.503068791614101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L495">
        <v>1.9772000000000001</v>
      </c>
      <c r="AN495" t="s">
        <v>223</v>
      </c>
      <c r="AO495" t="s">
        <v>92</v>
      </c>
      <c r="AP495">
        <v>200000</v>
      </c>
      <c r="AQ495" t="s">
        <v>76</v>
      </c>
      <c r="AS495">
        <v>10000</v>
      </c>
      <c r="AT495" t="s">
        <v>5015</v>
      </c>
      <c r="AU495" t="s">
        <v>78</v>
      </c>
      <c r="AV495" t="s">
        <v>79</v>
      </c>
      <c r="AY495">
        <v>0</v>
      </c>
    </row>
    <row r="496" spans="1:52" ht="12.75">
      <c r="A496" s="2" t="str">
        <f>HYPERLINK("https://ibp.a2mac1.com/costing(costing:projects/details/8191/assembly/5388399)","Fastners")</f>
        <v>Fastners</v>
      </c>
      <c r="B496">
        <v>5388399</v>
      </c>
      <c r="D496">
        <v>5388181</v>
      </c>
      <c r="F496">
        <v>1</v>
      </c>
      <c r="G496">
        <v>0</v>
      </c>
      <c r="H496">
        <v>0.036920000000000001</v>
      </c>
      <c r="I496">
        <v>0</v>
      </c>
      <c r="J496" t="s">
        <v>90</v>
      </c>
      <c r="K496">
        <v>0</v>
      </c>
      <c r="L496">
        <v>0.036920000000000001</v>
      </c>
      <c r="M496">
        <v>0</v>
      </c>
      <c r="N496">
        <v>0</v>
      </c>
      <c r="O496">
        <v>0.036920000000000001</v>
      </c>
      <c r="P496" t="s">
        <v>90</v>
      </c>
      <c r="Q496">
        <v>0</v>
      </c>
      <c r="R496" t="s">
        <v>90</v>
      </c>
      <c r="S496">
        <v>0</v>
      </c>
      <c r="T496" t="s">
        <v>90</v>
      </c>
      <c r="U496">
        <v>0</v>
      </c>
      <c r="V496" t="s">
        <v>90</v>
      </c>
      <c r="W496">
        <v>0</v>
      </c>
      <c r="X496" t="s">
        <v>90</v>
      </c>
      <c r="Y496">
        <v>0</v>
      </c>
      <c r="Z496">
        <v>0.036920000000000001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N496" t="s">
        <v>223</v>
      </c>
      <c r="AO496" t="s">
        <v>92</v>
      </c>
      <c r="AP496">
        <v>200000</v>
      </c>
      <c r="AQ496" t="s">
        <v>92</v>
      </c>
      <c r="AR496">
        <v>0</v>
      </c>
      <c r="AS496">
        <v>10000</v>
      </c>
      <c r="AT496" t="s">
        <v>9</v>
      </c>
      <c r="AU496" t="s">
        <v>78</v>
      </c>
      <c r="AV496" t="s">
        <v>79</v>
      </c>
      <c r="AY496">
        <v>0</v>
      </c>
    </row>
    <row r="497" spans="1:52" ht="12.75">
      <c r="A497" s="2" t="str">
        <f>HYPERLINK("https://ibp.a2mac1.com/costing(costing:projects/details/8191/assembly/5388181)","Power Controls")</f>
        <v>Power Controls</v>
      </c>
      <c r="B497">
        <v>5388181</v>
      </c>
      <c r="D497">
        <v>5388133</v>
      </c>
      <c r="F497">
        <v>1</v>
      </c>
      <c r="G497">
        <v>0</v>
      </c>
      <c r="H497">
        <v>5.8274141108059014</v>
      </c>
      <c r="I497">
        <v>0</v>
      </c>
      <c r="J497" t="s">
        <v>90</v>
      </c>
      <c r="K497">
        <v>0</v>
      </c>
      <c r="L497">
        <v>5.8274141108059014</v>
      </c>
      <c r="M497">
        <v>0</v>
      </c>
      <c r="N497">
        <v>0</v>
      </c>
      <c r="O497">
        <v>5.8274141108059014</v>
      </c>
      <c r="P497" t="s">
        <v>90</v>
      </c>
      <c r="Q497">
        <v>0</v>
      </c>
      <c r="R497" t="s">
        <v>90</v>
      </c>
      <c r="S497">
        <v>0</v>
      </c>
      <c r="T497" t="s">
        <v>90</v>
      </c>
      <c r="U497">
        <v>0</v>
      </c>
      <c r="V497" t="s">
        <v>90</v>
      </c>
      <c r="W497">
        <v>0</v>
      </c>
      <c r="X497" t="s">
        <v>90</v>
      </c>
      <c r="Y497">
        <v>0</v>
      </c>
      <c r="Z497">
        <v>5.8274141108059014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L497">
        <v>0.31</v>
      </c>
      <c r="AN497" t="s">
        <v>223</v>
      </c>
      <c r="AO497" t="s">
        <v>92</v>
      </c>
      <c r="AP497">
        <v>200000</v>
      </c>
      <c r="AQ497" t="s">
        <v>92</v>
      </c>
      <c r="AS497">
        <v>10000</v>
      </c>
      <c r="AT497" t="s">
        <v>5028</v>
      </c>
      <c r="AU497" t="s">
        <v>78</v>
      </c>
      <c r="AV497" t="s">
        <v>79</v>
      </c>
      <c r="AY497">
        <v>0</v>
      </c>
    </row>
    <row r="498" spans="1:52" ht="12.75">
      <c r="A498" s="2" t="str">
        <f>HYPERLINK("https://ibp.a2mac1.com/costing(costing:projects/details/8191/assembly/5388182)","Speaker System")</f>
        <v>Speaker System</v>
      </c>
      <c r="B498">
        <v>5388182</v>
      </c>
      <c r="D498">
        <v>5388133</v>
      </c>
      <c r="F498">
        <v>1</v>
      </c>
      <c r="G498">
        <v>0</v>
      </c>
      <c r="H498">
        <v>4.9458900000000003</v>
      </c>
      <c r="I498">
        <v>0</v>
      </c>
      <c r="J498" t="s">
        <v>90</v>
      </c>
      <c r="K498">
        <v>0</v>
      </c>
      <c r="L498">
        <v>4.9458900000000003</v>
      </c>
      <c r="M498">
        <v>0</v>
      </c>
      <c r="N498">
        <v>0</v>
      </c>
      <c r="O498">
        <v>4.9458900000000003</v>
      </c>
      <c r="P498" t="s">
        <v>90</v>
      </c>
      <c r="Q498">
        <v>0</v>
      </c>
      <c r="R498" t="s">
        <v>90</v>
      </c>
      <c r="S498">
        <v>0</v>
      </c>
      <c r="T498" t="s">
        <v>90</v>
      </c>
      <c r="U498">
        <v>0</v>
      </c>
      <c r="V498" t="s">
        <v>90</v>
      </c>
      <c r="W498">
        <v>0</v>
      </c>
      <c r="X498" t="s">
        <v>90</v>
      </c>
      <c r="Y498">
        <v>0</v>
      </c>
      <c r="Z498">
        <v>4.9458900000000003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L498">
        <v>0.69320000000000004</v>
      </c>
      <c r="AN498" t="s">
        <v>223</v>
      </c>
      <c r="AO498" t="s">
        <v>92</v>
      </c>
      <c r="AP498">
        <v>200000</v>
      </c>
      <c r="AQ498" t="s">
        <v>92</v>
      </c>
      <c r="AS498">
        <v>10000</v>
      </c>
      <c r="AT498" t="s">
        <v>5032</v>
      </c>
      <c r="AU498" t="s">
        <v>78</v>
      </c>
      <c r="AV498" t="s">
        <v>79</v>
      </c>
      <c r="AY498">
        <v>0</v>
      </c>
    </row>
    <row r="499" spans="1:52" ht="12.75">
      <c r="A499" s="2" t="str">
        <f>HYPERLINK("https://ibp.a2mac1.com/costing(costing:projects/details/8191/assembly/5388183)","Fastners")</f>
        <v>Fastners</v>
      </c>
      <c r="B499">
        <v>5388183</v>
      </c>
      <c r="D499">
        <v>5388133</v>
      </c>
      <c r="F499">
        <v>1</v>
      </c>
      <c r="G499">
        <v>0</v>
      </c>
      <c r="H499">
        <v>0.027689999999999999</v>
      </c>
      <c r="I499">
        <v>0</v>
      </c>
      <c r="J499" t="s">
        <v>90</v>
      </c>
      <c r="K499">
        <v>0</v>
      </c>
      <c r="L499">
        <v>0.027689999999999999</v>
      </c>
      <c r="M499">
        <v>0</v>
      </c>
      <c r="N499">
        <v>0</v>
      </c>
      <c r="O499">
        <v>0.027689999999999999</v>
      </c>
      <c r="P499" t="s">
        <v>90</v>
      </c>
      <c r="Q499">
        <v>0</v>
      </c>
      <c r="R499" t="s">
        <v>90</v>
      </c>
      <c r="S499">
        <v>0</v>
      </c>
      <c r="T499" t="s">
        <v>90</v>
      </c>
      <c r="U499">
        <v>0</v>
      </c>
      <c r="V499" t="s">
        <v>90</v>
      </c>
      <c r="W499">
        <v>0</v>
      </c>
      <c r="X499" t="s">
        <v>90</v>
      </c>
      <c r="Y499">
        <v>0</v>
      </c>
      <c r="Z499">
        <v>0.027689999999999999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N499" t="s">
        <v>223</v>
      </c>
      <c r="AO499" t="s">
        <v>92</v>
      </c>
      <c r="AP499">
        <v>200000</v>
      </c>
      <c r="AQ499" t="s">
        <v>76</v>
      </c>
      <c r="AR499">
        <v>0</v>
      </c>
      <c r="AS499">
        <v>10000</v>
      </c>
      <c r="AT499" t="s">
        <v>9</v>
      </c>
      <c r="AU499" t="s">
        <v>78</v>
      </c>
      <c r="AV499" t="s">
        <v>79</v>
      </c>
      <c r="AY499">
        <v>0</v>
      </c>
    </row>
    <row r="500" spans="1:52" ht="12.75">
      <c r="A500" s="2" t="str">
        <f>HYPERLINK("https://ibp.a2mac1.com/costing(costing:projects/details/8191/assembly/5388133)","Driver Door")</f>
        <v>Driver Door</v>
      </c>
      <c r="B500">
        <v>5388133</v>
      </c>
      <c r="D500">
        <v>5388127</v>
      </c>
      <c r="F500">
        <v>1</v>
      </c>
      <c r="G500">
        <v>0</v>
      </c>
      <c r="H500">
        <v>177.32281977221618</v>
      </c>
      <c r="I500">
        <v>0</v>
      </c>
      <c r="J500" t="s">
        <v>90</v>
      </c>
      <c r="K500">
        <v>0</v>
      </c>
      <c r="L500">
        <v>177.32281977221618</v>
      </c>
      <c r="M500">
        <v>0</v>
      </c>
      <c r="N500">
        <v>0</v>
      </c>
      <c r="O500">
        <v>177.32281977221618</v>
      </c>
      <c r="P500" t="s">
        <v>90</v>
      </c>
      <c r="Q500">
        <v>0</v>
      </c>
      <c r="R500" t="s">
        <v>90</v>
      </c>
      <c r="S500">
        <v>0</v>
      </c>
      <c r="T500" t="s">
        <v>90</v>
      </c>
      <c r="U500">
        <v>0</v>
      </c>
      <c r="V500" t="s">
        <v>90</v>
      </c>
      <c r="W500">
        <v>0</v>
      </c>
      <c r="X500" t="s">
        <v>90</v>
      </c>
      <c r="Y500">
        <v>0</v>
      </c>
      <c r="Z500">
        <v>177.32281977221618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455</v>
      </c>
      <c r="AI500">
        <v>1260</v>
      </c>
      <c r="AJ500">
        <v>1240</v>
      </c>
      <c r="AL500">
        <v>39.846899999999998</v>
      </c>
      <c r="AN500" t="s">
        <v>223</v>
      </c>
      <c r="AO500" t="s">
        <v>92</v>
      </c>
      <c r="AP500">
        <v>200000</v>
      </c>
      <c r="AQ500" t="s">
        <v>92</v>
      </c>
      <c r="AS500">
        <v>10000</v>
      </c>
      <c r="AT500" t="s">
        <v>5035</v>
      </c>
      <c r="AU500" t="s">
        <v>78</v>
      </c>
      <c r="AV500" t="s">
        <v>79</v>
      </c>
      <c r="AY500">
        <v>0</v>
      </c>
    </row>
    <row r="501" spans="1:52" ht="12.75">
      <c r="A501" s="2" t="str">
        <f>HYPERLINK("https://ibp.a2mac1.com/costing(costing:projects/details/8191/assembly/5388786)","Housing")</f>
        <v>Housing</v>
      </c>
      <c r="B501">
        <v>5388786</v>
      </c>
      <c r="D501">
        <v>5388401</v>
      </c>
      <c r="F501">
        <v>1</v>
      </c>
      <c r="G501">
        <v>0</v>
      </c>
      <c r="H501">
        <v>7.0271968851642042</v>
      </c>
      <c r="I501">
        <v>0</v>
      </c>
      <c r="J501" t="s">
        <v>90</v>
      </c>
      <c r="K501">
        <v>0</v>
      </c>
      <c r="L501">
        <v>7.0271968851642042</v>
      </c>
      <c r="M501">
        <v>0</v>
      </c>
      <c r="N501">
        <v>0</v>
      </c>
      <c r="O501">
        <v>7.0271968851642042</v>
      </c>
      <c r="P501" t="s">
        <v>90</v>
      </c>
      <c r="Q501">
        <v>0</v>
      </c>
      <c r="R501" t="s">
        <v>90</v>
      </c>
      <c r="S501">
        <v>0</v>
      </c>
      <c r="T501" t="s">
        <v>90</v>
      </c>
      <c r="U501">
        <v>0</v>
      </c>
      <c r="V501" t="s">
        <v>90</v>
      </c>
      <c r="W501">
        <v>0</v>
      </c>
      <c r="X501" t="s">
        <v>90</v>
      </c>
      <c r="Y501">
        <v>0</v>
      </c>
      <c r="Z501">
        <v>7.0271968851642042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N501" t="s">
        <v>223</v>
      </c>
      <c r="AO501" t="s">
        <v>92</v>
      </c>
      <c r="AP501">
        <v>200000</v>
      </c>
      <c r="AQ501" t="s">
        <v>92</v>
      </c>
      <c r="AR501">
        <v>0</v>
      </c>
      <c r="AS501">
        <v>10000</v>
      </c>
      <c r="AT501" t="s">
        <v>9</v>
      </c>
      <c r="AU501" t="s">
        <v>78</v>
      </c>
      <c r="AV501" t="s">
        <v>79</v>
      </c>
      <c r="AY501">
        <v>0</v>
      </c>
    </row>
    <row r="502" spans="1:52" ht="12.75">
      <c r="A502" s="2" t="str">
        <f>HYPERLINK("https://ibp.a2mac1.com/costing(costing:projects/details/8191/assembly/5388787)","Reinforcements")</f>
        <v>Reinforcements</v>
      </c>
      <c r="B502">
        <v>5388787</v>
      </c>
      <c r="D502">
        <v>5388401</v>
      </c>
      <c r="F502">
        <v>1</v>
      </c>
      <c r="G502">
        <v>0</v>
      </c>
      <c r="H502">
        <v>1.1235019265635897</v>
      </c>
      <c r="I502">
        <v>0</v>
      </c>
      <c r="J502" t="s">
        <v>90</v>
      </c>
      <c r="K502">
        <v>0</v>
      </c>
      <c r="L502">
        <v>1.1235019265635897</v>
      </c>
      <c r="M502">
        <v>0</v>
      </c>
      <c r="N502">
        <v>0</v>
      </c>
      <c r="O502">
        <v>1.1235019265635897</v>
      </c>
      <c r="P502" t="s">
        <v>90</v>
      </c>
      <c r="Q502">
        <v>0</v>
      </c>
      <c r="R502" t="s">
        <v>90</v>
      </c>
      <c r="S502">
        <v>0</v>
      </c>
      <c r="T502" t="s">
        <v>90</v>
      </c>
      <c r="U502">
        <v>0</v>
      </c>
      <c r="V502" t="s">
        <v>90</v>
      </c>
      <c r="W502">
        <v>0</v>
      </c>
      <c r="X502" t="s">
        <v>90</v>
      </c>
      <c r="Y502">
        <v>0</v>
      </c>
      <c r="Z502">
        <v>1.1235019265635897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N502" t="s">
        <v>223</v>
      </c>
      <c r="AO502" t="s">
        <v>92</v>
      </c>
      <c r="AP502">
        <v>200000</v>
      </c>
      <c r="AQ502" t="s">
        <v>92</v>
      </c>
      <c r="AR502">
        <v>0</v>
      </c>
      <c r="AS502">
        <v>10000</v>
      </c>
      <c r="AT502" t="s">
        <v>9</v>
      </c>
      <c r="AU502" t="s">
        <v>78</v>
      </c>
      <c r="AV502" t="s">
        <v>79</v>
      </c>
      <c r="AY502">
        <v>0</v>
      </c>
    </row>
    <row r="503" spans="1:52" ht="12.75">
      <c r="A503" s="2" t="str">
        <f>HYPERLINK("https://ibp.a2mac1.com/costing(costing:projects/details/8191/assembly/5389164)","Front")</f>
        <v>Front</v>
      </c>
      <c r="B503">
        <v>5389164</v>
      </c>
      <c r="D503">
        <v>5388788</v>
      </c>
      <c r="F503">
        <v>1</v>
      </c>
      <c r="G503">
        <v>0</v>
      </c>
      <c r="H503">
        <v>1.3787203551065896</v>
      </c>
      <c r="I503">
        <v>0</v>
      </c>
      <c r="J503" t="s">
        <v>90</v>
      </c>
      <c r="K503">
        <v>0</v>
      </c>
      <c r="L503">
        <v>1.3787203551065896</v>
      </c>
      <c r="M503">
        <v>0</v>
      </c>
      <c r="N503">
        <v>0</v>
      </c>
      <c r="O503">
        <v>1.3787203551065896</v>
      </c>
      <c r="P503" t="s">
        <v>90</v>
      </c>
      <c r="Q503">
        <v>0</v>
      </c>
      <c r="R503" t="s">
        <v>90</v>
      </c>
      <c r="S503">
        <v>0</v>
      </c>
      <c r="T503" t="s">
        <v>90</v>
      </c>
      <c r="U503">
        <v>0</v>
      </c>
      <c r="V503" t="s">
        <v>90</v>
      </c>
      <c r="W503">
        <v>0</v>
      </c>
      <c r="X503" t="s">
        <v>90</v>
      </c>
      <c r="Y503">
        <v>0</v>
      </c>
      <c r="Z503">
        <v>1.3787203551065896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N503" t="s">
        <v>223</v>
      </c>
      <c r="AO503" t="s">
        <v>92</v>
      </c>
      <c r="AP503">
        <v>200000</v>
      </c>
      <c r="AQ503" t="s">
        <v>92</v>
      </c>
      <c r="AR503">
        <v>0</v>
      </c>
      <c r="AS503">
        <v>10000</v>
      </c>
      <c r="AT503" t="s">
        <v>9</v>
      </c>
      <c r="AU503" t="s">
        <v>78</v>
      </c>
      <c r="AV503" t="s">
        <v>79</v>
      </c>
      <c r="AY503">
        <v>0</v>
      </c>
    </row>
    <row r="504" spans="1:52" ht="12.75">
      <c r="A504" s="2" t="str">
        <f>HYPERLINK("https://ibp.a2mac1.com/costing(costing:projects/details/8191/assembly/5388788)","Fixing parts")</f>
        <v>Fixing parts</v>
      </c>
      <c r="B504">
        <v>5388788</v>
      </c>
      <c r="D504">
        <v>5388401</v>
      </c>
      <c r="F504">
        <v>1</v>
      </c>
      <c r="G504">
        <v>0</v>
      </c>
      <c r="H504">
        <v>1.3787203551065896</v>
      </c>
      <c r="I504">
        <v>0</v>
      </c>
      <c r="J504" t="s">
        <v>90</v>
      </c>
      <c r="K504">
        <v>0</v>
      </c>
      <c r="L504">
        <v>1.3787203551065896</v>
      </c>
      <c r="M504">
        <v>0</v>
      </c>
      <c r="N504">
        <v>0</v>
      </c>
      <c r="O504">
        <v>1.3787203551065896</v>
      </c>
      <c r="P504" t="s">
        <v>90</v>
      </c>
      <c r="Q504">
        <v>0</v>
      </c>
      <c r="R504" t="s">
        <v>90</v>
      </c>
      <c r="S504">
        <v>0</v>
      </c>
      <c r="T504" t="s">
        <v>90</v>
      </c>
      <c r="U504">
        <v>0</v>
      </c>
      <c r="V504" t="s">
        <v>90</v>
      </c>
      <c r="W504">
        <v>0</v>
      </c>
      <c r="X504" t="s">
        <v>90</v>
      </c>
      <c r="Y504">
        <v>0</v>
      </c>
      <c r="Z504">
        <v>1.3787203551065896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N504" t="s">
        <v>223</v>
      </c>
      <c r="AO504" t="s">
        <v>92</v>
      </c>
      <c r="AP504">
        <v>200000</v>
      </c>
      <c r="AQ504" t="s">
        <v>92</v>
      </c>
      <c r="AR504">
        <v>0</v>
      </c>
      <c r="AS504">
        <v>10000</v>
      </c>
      <c r="AT504" t="s">
        <v>9</v>
      </c>
      <c r="AU504" t="s">
        <v>78</v>
      </c>
      <c r="AV504" t="s">
        <v>79</v>
      </c>
      <c r="AY504">
        <v>0</v>
      </c>
    </row>
    <row r="505" spans="1:52" ht="12.75">
      <c r="A505" s="2" t="str">
        <f>HYPERLINK("https://ibp.a2mac1.com/costing(costing:projects/details/8191/assembly/5388401)","Housing Assy ")</f>
        <v xml:space="preserve">Housing Assy </v>
      </c>
      <c r="B505">
        <v>5388401</v>
      </c>
      <c r="D505">
        <v>5388184</v>
      </c>
      <c r="F505">
        <v>1</v>
      </c>
      <c r="G505">
        <v>0</v>
      </c>
      <c r="H505">
        <v>9.5294191668343835</v>
      </c>
      <c r="I505">
        <v>0</v>
      </c>
      <c r="J505" t="s">
        <v>90</v>
      </c>
      <c r="K505">
        <v>0</v>
      </c>
      <c r="L505">
        <v>9.5294191668343835</v>
      </c>
      <c r="M505">
        <v>0</v>
      </c>
      <c r="N505">
        <v>0</v>
      </c>
      <c r="O505">
        <v>9.5294191668343835</v>
      </c>
      <c r="P505" t="s">
        <v>90</v>
      </c>
      <c r="Q505">
        <v>0</v>
      </c>
      <c r="R505" t="s">
        <v>90</v>
      </c>
      <c r="S505">
        <v>0</v>
      </c>
      <c r="T505" t="s">
        <v>90</v>
      </c>
      <c r="U505">
        <v>0</v>
      </c>
      <c r="V505" t="s">
        <v>90</v>
      </c>
      <c r="W505">
        <v>0</v>
      </c>
      <c r="X505" t="s">
        <v>90</v>
      </c>
      <c r="Y505">
        <v>0</v>
      </c>
      <c r="Z505">
        <v>9.5294191668343835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N505" t="s">
        <v>223</v>
      </c>
      <c r="AO505" t="s">
        <v>92</v>
      </c>
      <c r="AP505">
        <v>200000</v>
      </c>
      <c r="AQ505" t="s">
        <v>92</v>
      </c>
      <c r="AR505">
        <v>0</v>
      </c>
      <c r="AS505">
        <v>10000</v>
      </c>
      <c r="AT505" t="s">
        <v>9</v>
      </c>
      <c r="AU505" t="s">
        <v>78</v>
      </c>
      <c r="AV505" t="s">
        <v>79</v>
      </c>
      <c r="AY505">
        <v>0</v>
      </c>
    </row>
    <row r="506" spans="1:52" ht="12.75">
      <c r="A506" s="2" t="str">
        <f>HYPERLINK("https://ibp.a2mac1.com/costing(costing:projects/details/8191/assembly/5389165)","Beam")</f>
        <v>Beam</v>
      </c>
      <c r="B506">
        <v>5389165</v>
      </c>
      <c r="D506">
        <v>5388789</v>
      </c>
      <c r="F506">
        <v>1</v>
      </c>
      <c r="G506">
        <v>0</v>
      </c>
      <c r="H506">
        <v>2.0105089149844133</v>
      </c>
      <c r="I506">
        <v>0</v>
      </c>
      <c r="J506" t="s">
        <v>90</v>
      </c>
      <c r="K506">
        <v>0</v>
      </c>
      <c r="L506">
        <v>2.0105089149844133</v>
      </c>
      <c r="M506">
        <v>0</v>
      </c>
      <c r="N506">
        <v>0</v>
      </c>
      <c r="O506">
        <v>2.0105089149844133</v>
      </c>
      <c r="P506" t="s">
        <v>90</v>
      </c>
      <c r="Q506">
        <v>0</v>
      </c>
      <c r="R506" t="s">
        <v>90</v>
      </c>
      <c r="S506">
        <v>0</v>
      </c>
      <c r="T506" t="s">
        <v>90</v>
      </c>
      <c r="U506">
        <v>0</v>
      </c>
      <c r="V506" t="s">
        <v>90</v>
      </c>
      <c r="W506">
        <v>0</v>
      </c>
      <c r="X506" t="s">
        <v>90</v>
      </c>
      <c r="Y506">
        <v>0</v>
      </c>
      <c r="Z506">
        <v>2.0105089149844133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N506" t="s">
        <v>223</v>
      </c>
      <c r="AO506" t="s">
        <v>92</v>
      </c>
      <c r="AP506">
        <v>200000</v>
      </c>
      <c r="AQ506" t="s">
        <v>92</v>
      </c>
      <c r="AR506">
        <v>0</v>
      </c>
      <c r="AS506">
        <v>10000</v>
      </c>
      <c r="AT506" t="s">
        <v>9</v>
      </c>
      <c r="AU506" t="s">
        <v>78</v>
      </c>
      <c r="AV506" t="s">
        <v>79</v>
      </c>
      <c r="AY506">
        <v>0</v>
      </c>
    </row>
    <row r="507" spans="1:52" ht="12.75">
      <c r="A507" s="2" t="str">
        <f>HYPERLINK("https://ibp.a2mac1.com/costing(costing:projects/details/8191/assembly/5388789)","Beam 01")</f>
        <v>Beam 01</v>
      </c>
      <c r="B507">
        <v>5388789</v>
      </c>
      <c r="D507">
        <v>5388402</v>
      </c>
      <c r="F507">
        <v>1</v>
      </c>
      <c r="G507">
        <v>0</v>
      </c>
      <c r="H507">
        <v>2.0105089149844133</v>
      </c>
      <c r="I507">
        <v>0</v>
      </c>
      <c r="J507" t="s">
        <v>90</v>
      </c>
      <c r="K507">
        <v>0</v>
      </c>
      <c r="L507">
        <v>2.0105089149844133</v>
      </c>
      <c r="M507">
        <v>0</v>
      </c>
      <c r="N507">
        <v>0</v>
      </c>
      <c r="O507">
        <v>2.0105089149844133</v>
      </c>
      <c r="P507" t="s">
        <v>90</v>
      </c>
      <c r="Q507">
        <v>0</v>
      </c>
      <c r="R507" t="s">
        <v>90</v>
      </c>
      <c r="S507">
        <v>0</v>
      </c>
      <c r="T507" t="s">
        <v>90</v>
      </c>
      <c r="U507">
        <v>0</v>
      </c>
      <c r="V507" t="s">
        <v>90</v>
      </c>
      <c r="W507">
        <v>0</v>
      </c>
      <c r="X507" t="s">
        <v>90</v>
      </c>
      <c r="Y507">
        <v>0</v>
      </c>
      <c r="Z507">
        <v>2.0105089149844133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N507" t="s">
        <v>223</v>
      </c>
      <c r="AO507" t="s">
        <v>92</v>
      </c>
      <c r="AP507">
        <v>200000</v>
      </c>
      <c r="AQ507" t="s">
        <v>92</v>
      </c>
      <c r="AR507">
        <v>0</v>
      </c>
      <c r="AS507">
        <v>10000</v>
      </c>
      <c r="AT507" t="s">
        <v>9</v>
      </c>
      <c r="AU507" t="s">
        <v>78</v>
      </c>
      <c r="AV507" t="s">
        <v>79</v>
      </c>
      <c r="AY507">
        <v>0</v>
      </c>
    </row>
    <row r="508" spans="1:52" ht="12.75">
      <c r="A508" s="2" t="str">
        <f>HYPERLINK("https://ibp.a2mac1.com/costing(costing:projects/details/8191/assembly/5388402)","Anti-intrusion beams")</f>
        <v>Anti-intrusion beams</v>
      </c>
      <c r="B508">
        <v>5388402</v>
      </c>
      <c r="D508">
        <v>5388184</v>
      </c>
      <c r="F508">
        <v>1</v>
      </c>
      <c r="G508">
        <v>0</v>
      </c>
      <c r="H508">
        <v>2.0105089149844133</v>
      </c>
      <c r="I508">
        <v>0</v>
      </c>
      <c r="J508" t="s">
        <v>90</v>
      </c>
      <c r="K508">
        <v>0</v>
      </c>
      <c r="L508">
        <v>2.0105089149844133</v>
      </c>
      <c r="M508">
        <v>0</v>
      </c>
      <c r="N508">
        <v>0</v>
      </c>
      <c r="O508">
        <v>2.0105089149844133</v>
      </c>
      <c r="P508" t="s">
        <v>90</v>
      </c>
      <c r="Q508">
        <v>0</v>
      </c>
      <c r="R508" t="s">
        <v>90</v>
      </c>
      <c r="S508">
        <v>0</v>
      </c>
      <c r="T508" t="s">
        <v>90</v>
      </c>
      <c r="U508">
        <v>0</v>
      </c>
      <c r="V508" t="s">
        <v>90</v>
      </c>
      <c r="W508">
        <v>0</v>
      </c>
      <c r="X508" t="s">
        <v>90</v>
      </c>
      <c r="Y508">
        <v>0</v>
      </c>
      <c r="Z508">
        <v>2.0105089149844133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N508" t="s">
        <v>223</v>
      </c>
      <c r="AO508" t="s">
        <v>92</v>
      </c>
      <c r="AP508">
        <v>200000</v>
      </c>
      <c r="AQ508" t="s">
        <v>92</v>
      </c>
      <c r="AR508">
        <v>0</v>
      </c>
      <c r="AS508">
        <v>10000</v>
      </c>
      <c r="AT508" t="s">
        <v>9</v>
      </c>
      <c r="AU508" t="s">
        <v>78</v>
      </c>
      <c r="AV508" t="s">
        <v>79</v>
      </c>
      <c r="AY508">
        <v>0</v>
      </c>
    </row>
    <row r="509" spans="1:52" ht="12.75">
      <c r="A509" s="2" t="str">
        <f>HYPERLINK("https://ibp.a2mac1.com/costing(costing:projects/details/8191/assembly/5388790)","Frame")</f>
        <v>Frame</v>
      </c>
      <c r="B509">
        <v>5388790</v>
      </c>
      <c r="D509">
        <v>5388403</v>
      </c>
      <c r="F509">
        <v>1</v>
      </c>
      <c r="G509">
        <v>0</v>
      </c>
      <c r="H509">
        <v>2.3805896443804984</v>
      </c>
      <c r="I509">
        <v>0</v>
      </c>
      <c r="J509" t="s">
        <v>90</v>
      </c>
      <c r="K509">
        <v>0</v>
      </c>
      <c r="L509">
        <v>2.3805896443804984</v>
      </c>
      <c r="M509">
        <v>0</v>
      </c>
      <c r="N509">
        <v>0</v>
      </c>
      <c r="O509">
        <v>2.3805896443804984</v>
      </c>
      <c r="P509" t="s">
        <v>90</v>
      </c>
      <c r="Q509">
        <v>0</v>
      </c>
      <c r="R509" t="s">
        <v>90</v>
      </c>
      <c r="S509">
        <v>0</v>
      </c>
      <c r="T509" t="s">
        <v>90</v>
      </c>
      <c r="U509">
        <v>0</v>
      </c>
      <c r="V509" t="s">
        <v>90</v>
      </c>
      <c r="W509">
        <v>0</v>
      </c>
      <c r="X509" t="s">
        <v>90</v>
      </c>
      <c r="Y509">
        <v>0</v>
      </c>
      <c r="Z509">
        <v>2.3805896443804984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N509" t="s">
        <v>223</v>
      </c>
      <c r="AO509" t="s">
        <v>92</v>
      </c>
      <c r="AP509">
        <v>200000</v>
      </c>
      <c r="AQ509" t="s">
        <v>92</v>
      </c>
      <c r="AR509">
        <v>0</v>
      </c>
      <c r="AS509">
        <v>10000</v>
      </c>
      <c r="AT509" t="s">
        <v>9</v>
      </c>
      <c r="AU509" t="s">
        <v>78</v>
      </c>
      <c r="AV509" t="s">
        <v>79</v>
      </c>
      <c r="AY509">
        <v>0</v>
      </c>
    </row>
    <row r="510" spans="1:52" ht="12.75">
      <c r="A510" s="2" t="str">
        <f>HYPERLINK("https://ibp.a2mac1.com/costing(costing:projects/details/8191/assembly/5388403)","Window frame assy")</f>
        <v>Window frame assy</v>
      </c>
      <c r="B510">
        <v>5388403</v>
      </c>
      <c r="D510">
        <v>5388184</v>
      </c>
      <c r="F510">
        <v>1</v>
      </c>
      <c r="G510">
        <v>0</v>
      </c>
      <c r="H510">
        <v>2.3805896443804984</v>
      </c>
      <c r="I510">
        <v>0</v>
      </c>
      <c r="J510" t="s">
        <v>90</v>
      </c>
      <c r="K510">
        <v>0</v>
      </c>
      <c r="L510">
        <v>2.3805896443804984</v>
      </c>
      <c r="M510">
        <v>0</v>
      </c>
      <c r="N510">
        <v>0</v>
      </c>
      <c r="O510">
        <v>2.3805896443804984</v>
      </c>
      <c r="P510" t="s">
        <v>90</v>
      </c>
      <c r="Q510">
        <v>0</v>
      </c>
      <c r="R510" t="s">
        <v>90</v>
      </c>
      <c r="S510">
        <v>0</v>
      </c>
      <c r="T510" t="s">
        <v>90</v>
      </c>
      <c r="U510">
        <v>0</v>
      </c>
      <c r="V510" t="s">
        <v>90</v>
      </c>
      <c r="W510">
        <v>0</v>
      </c>
      <c r="X510" t="s">
        <v>90</v>
      </c>
      <c r="Y510">
        <v>0</v>
      </c>
      <c r="Z510">
        <v>2.3805896443804984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N510" t="s">
        <v>223</v>
      </c>
      <c r="AO510" t="s">
        <v>92</v>
      </c>
      <c r="AP510">
        <v>200000</v>
      </c>
      <c r="AQ510" t="s">
        <v>92</v>
      </c>
      <c r="AR510">
        <v>0</v>
      </c>
      <c r="AS510">
        <v>10000</v>
      </c>
      <c r="AT510" t="s">
        <v>9</v>
      </c>
      <c r="AU510" t="s">
        <v>78</v>
      </c>
      <c r="AV510" t="s">
        <v>79</v>
      </c>
      <c r="AY510">
        <v>0</v>
      </c>
    </row>
    <row r="511" spans="1:52" ht="12.75">
      <c r="A511" s="2" t="str">
        <f>HYPERLINK("https://ibp.a2mac1.com/costing(costing:projects/details/8191/assembly/5389167)","Cross member")</f>
        <v>Cross member</v>
      </c>
      <c r="B511">
        <v>5389167</v>
      </c>
      <c r="D511">
        <v>5388791</v>
      </c>
      <c r="F511">
        <v>1</v>
      </c>
      <c r="G511">
        <v>0</v>
      </c>
      <c r="H511">
        <v>1.0736759141567638</v>
      </c>
      <c r="I511">
        <v>0</v>
      </c>
      <c r="J511" t="s">
        <v>90</v>
      </c>
      <c r="K511">
        <v>0</v>
      </c>
      <c r="L511">
        <v>1.0736759141567638</v>
      </c>
      <c r="M511">
        <v>0</v>
      </c>
      <c r="N511">
        <v>0</v>
      </c>
      <c r="O511">
        <v>1.0736759141567638</v>
      </c>
      <c r="P511" t="s">
        <v>90</v>
      </c>
      <c r="Q511">
        <v>0</v>
      </c>
      <c r="R511" t="s">
        <v>90</v>
      </c>
      <c r="S511">
        <v>0</v>
      </c>
      <c r="T511" t="s">
        <v>90</v>
      </c>
      <c r="U511">
        <v>0</v>
      </c>
      <c r="V511" t="s">
        <v>90</v>
      </c>
      <c r="W511">
        <v>0</v>
      </c>
      <c r="X511" t="s">
        <v>90</v>
      </c>
      <c r="Y511">
        <v>0</v>
      </c>
      <c r="Z511">
        <v>1.0736759141567638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N511" t="s">
        <v>223</v>
      </c>
      <c r="AO511" t="s">
        <v>92</v>
      </c>
      <c r="AP511">
        <v>200000</v>
      </c>
      <c r="AQ511" t="s">
        <v>92</v>
      </c>
      <c r="AR511">
        <v>0</v>
      </c>
      <c r="AS511">
        <v>10000</v>
      </c>
      <c r="AT511" t="s">
        <v>9</v>
      </c>
      <c r="AU511" t="s">
        <v>78</v>
      </c>
      <c r="AV511" t="s">
        <v>79</v>
      </c>
      <c r="AY511">
        <v>0</v>
      </c>
    </row>
    <row r="512" spans="1:52" ht="12.75">
      <c r="A512" s="2" t="str">
        <f>HYPERLINK("https://ibp.a2mac1.com/costing(costing:projects/details/8191/assembly/5388791)","Cross member 01 (outer)")</f>
        <v>Cross member 01 (outer)</v>
      </c>
      <c r="B512">
        <v>5388791</v>
      </c>
      <c r="D512">
        <v>5388404</v>
      </c>
      <c r="F512">
        <v>1</v>
      </c>
      <c r="G512">
        <v>0</v>
      </c>
      <c r="H512">
        <v>1.0736759141567638</v>
      </c>
      <c r="I512">
        <v>0</v>
      </c>
      <c r="J512" t="s">
        <v>90</v>
      </c>
      <c r="K512">
        <v>0</v>
      </c>
      <c r="L512">
        <v>1.0736759141567638</v>
      </c>
      <c r="M512">
        <v>0</v>
      </c>
      <c r="N512">
        <v>0</v>
      </c>
      <c r="O512">
        <v>1.0736759141567638</v>
      </c>
      <c r="P512" t="s">
        <v>90</v>
      </c>
      <c r="Q512">
        <v>0</v>
      </c>
      <c r="R512" t="s">
        <v>90</v>
      </c>
      <c r="S512">
        <v>0</v>
      </c>
      <c r="T512" t="s">
        <v>90</v>
      </c>
      <c r="U512">
        <v>0</v>
      </c>
      <c r="V512" t="s">
        <v>90</v>
      </c>
      <c r="W512">
        <v>0</v>
      </c>
      <c r="X512" t="s">
        <v>90</v>
      </c>
      <c r="Y512">
        <v>0</v>
      </c>
      <c r="Z512">
        <v>1.0736759141567638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N512" t="s">
        <v>223</v>
      </c>
      <c r="AO512" t="s">
        <v>92</v>
      </c>
      <c r="AP512">
        <v>200000</v>
      </c>
      <c r="AQ512" t="s">
        <v>92</v>
      </c>
      <c r="AR512">
        <v>0</v>
      </c>
      <c r="AS512">
        <v>10000</v>
      </c>
      <c r="AT512" t="s">
        <v>9</v>
      </c>
      <c r="AU512" t="s">
        <v>78</v>
      </c>
      <c r="AV512" t="s">
        <v>79</v>
      </c>
      <c r="AY512">
        <v>0</v>
      </c>
    </row>
    <row r="513" spans="1:52" ht="12.75">
      <c r="A513" s="2" t="str">
        <f>HYPERLINK("https://ibp.a2mac1.com/costing(costing:projects/details/8191/assembly/5388404)","Top roll assy ")</f>
        <v xml:space="preserve">Top roll assy </v>
      </c>
      <c r="B513">
        <v>5388404</v>
      </c>
      <c r="D513">
        <v>5388184</v>
      </c>
      <c r="F513">
        <v>1</v>
      </c>
      <c r="G513">
        <v>0</v>
      </c>
      <c r="H513">
        <v>1.0736759141567638</v>
      </c>
      <c r="I513">
        <v>0</v>
      </c>
      <c r="J513" t="s">
        <v>90</v>
      </c>
      <c r="K513">
        <v>0</v>
      </c>
      <c r="L513">
        <v>1.0736759141567638</v>
      </c>
      <c r="M513">
        <v>0</v>
      </c>
      <c r="N513">
        <v>0</v>
      </c>
      <c r="O513">
        <v>1.0736759141567638</v>
      </c>
      <c r="P513" t="s">
        <v>90</v>
      </c>
      <c r="Q513">
        <v>0</v>
      </c>
      <c r="R513" t="s">
        <v>90</v>
      </c>
      <c r="S513">
        <v>0</v>
      </c>
      <c r="T513" t="s">
        <v>90</v>
      </c>
      <c r="U513">
        <v>0</v>
      </c>
      <c r="V513" t="s">
        <v>90</v>
      </c>
      <c r="W513">
        <v>0</v>
      </c>
      <c r="X513" t="s">
        <v>90</v>
      </c>
      <c r="Y513">
        <v>0</v>
      </c>
      <c r="Z513">
        <v>1.0736759141567638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N513" t="s">
        <v>223</v>
      </c>
      <c r="AO513" t="s">
        <v>92</v>
      </c>
      <c r="AP513">
        <v>200000</v>
      </c>
      <c r="AQ513" t="s">
        <v>92</v>
      </c>
      <c r="AR513">
        <v>0</v>
      </c>
      <c r="AS513">
        <v>10000</v>
      </c>
      <c r="AT513" t="s">
        <v>9</v>
      </c>
      <c r="AU513" t="s">
        <v>78</v>
      </c>
      <c r="AV513" t="s">
        <v>79</v>
      </c>
      <c r="AY513">
        <v>0</v>
      </c>
    </row>
    <row r="514" spans="1:52" ht="12.75">
      <c r="A514" s="2" t="str">
        <f>HYPERLINK("https://ibp.a2mac1.com/costing(costing:projects/details/8191/assembly/5388792)","Panel")</f>
        <v>Panel</v>
      </c>
      <c r="B514">
        <v>5388792</v>
      </c>
      <c r="D514">
        <v>5388405</v>
      </c>
      <c r="F514">
        <v>1</v>
      </c>
      <c r="G514">
        <v>0</v>
      </c>
      <c r="H514">
        <v>4.2087578055599142</v>
      </c>
      <c r="I514">
        <v>0</v>
      </c>
      <c r="J514" t="s">
        <v>90</v>
      </c>
      <c r="K514">
        <v>0</v>
      </c>
      <c r="L514">
        <v>4.2087578055599142</v>
      </c>
      <c r="M514">
        <v>0</v>
      </c>
      <c r="N514">
        <v>0</v>
      </c>
      <c r="O514">
        <v>4.2087578055599142</v>
      </c>
      <c r="P514" t="s">
        <v>90</v>
      </c>
      <c r="Q514">
        <v>0</v>
      </c>
      <c r="R514" t="s">
        <v>90</v>
      </c>
      <c r="S514">
        <v>0</v>
      </c>
      <c r="T514" t="s">
        <v>90</v>
      </c>
      <c r="U514">
        <v>0</v>
      </c>
      <c r="V514" t="s">
        <v>90</v>
      </c>
      <c r="W514">
        <v>0</v>
      </c>
      <c r="X514" t="s">
        <v>90</v>
      </c>
      <c r="Y514">
        <v>0</v>
      </c>
      <c r="Z514">
        <v>4.2087578055599142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N514" t="s">
        <v>223</v>
      </c>
      <c r="AO514" t="s">
        <v>92</v>
      </c>
      <c r="AP514">
        <v>200000</v>
      </c>
      <c r="AQ514" t="s">
        <v>92</v>
      </c>
      <c r="AR514">
        <v>0</v>
      </c>
      <c r="AS514">
        <v>10000</v>
      </c>
      <c r="AT514" t="s">
        <v>9</v>
      </c>
      <c r="AU514" t="s">
        <v>78</v>
      </c>
      <c r="AV514" t="s">
        <v>79</v>
      </c>
      <c r="AY514">
        <v>0</v>
      </c>
    </row>
    <row r="515" spans="1:52" ht="12.75">
      <c r="A515" s="2" t="str">
        <f>HYPERLINK("https://ibp.a2mac1.com/costing(costing:projects/details/8191/assembly/5389169)","Reinforcement")</f>
        <v>Reinforcement</v>
      </c>
      <c r="B515">
        <v>5389169</v>
      </c>
      <c r="D515">
        <v>5388793</v>
      </c>
      <c r="F515">
        <v>1</v>
      </c>
      <c r="G515">
        <v>0</v>
      </c>
      <c r="H515">
        <v>0.43525444001019103</v>
      </c>
      <c r="I515">
        <v>0</v>
      </c>
      <c r="J515" t="s">
        <v>90</v>
      </c>
      <c r="K515">
        <v>0</v>
      </c>
      <c r="L515">
        <v>0.43525444001019103</v>
      </c>
      <c r="M515">
        <v>0</v>
      </c>
      <c r="N515">
        <v>0</v>
      </c>
      <c r="O515">
        <v>0.43525444001019103</v>
      </c>
      <c r="P515" t="s">
        <v>90</v>
      </c>
      <c r="Q515">
        <v>0</v>
      </c>
      <c r="R515" t="s">
        <v>90</v>
      </c>
      <c r="S515">
        <v>0</v>
      </c>
      <c r="T515" t="s">
        <v>90</v>
      </c>
      <c r="U515">
        <v>0</v>
      </c>
      <c r="V515" t="s">
        <v>90</v>
      </c>
      <c r="W515">
        <v>0</v>
      </c>
      <c r="X515" t="s">
        <v>90</v>
      </c>
      <c r="Y515">
        <v>0</v>
      </c>
      <c r="Z515">
        <v>0.43525444001019103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N515" t="s">
        <v>223</v>
      </c>
      <c r="AO515" t="s">
        <v>92</v>
      </c>
      <c r="AP515">
        <v>200000</v>
      </c>
      <c r="AQ515" t="s">
        <v>92</v>
      </c>
      <c r="AR515">
        <v>0</v>
      </c>
      <c r="AS515">
        <v>10000</v>
      </c>
      <c r="AT515" t="s">
        <v>9</v>
      </c>
      <c r="AU515" t="s">
        <v>78</v>
      </c>
      <c r="AV515" t="s">
        <v>79</v>
      </c>
      <c r="AY515">
        <v>0</v>
      </c>
    </row>
    <row r="516" spans="1:52" ht="12.75">
      <c r="A516" s="2" t="str">
        <f>HYPERLINK("https://ibp.a2mac1.com/costing(costing:projects/details/8191/assembly/5388793)","Reinforcements")</f>
        <v>Reinforcements</v>
      </c>
      <c r="B516">
        <v>5388793</v>
      </c>
      <c r="D516">
        <v>5388405</v>
      </c>
      <c r="F516">
        <v>1</v>
      </c>
      <c r="G516">
        <v>0</v>
      </c>
      <c r="H516">
        <v>0.43525444001019103</v>
      </c>
      <c r="I516">
        <v>0</v>
      </c>
      <c r="J516" t="s">
        <v>90</v>
      </c>
      <c r="K516">
        <v>0</v>
      </c>
      <c r="L516">
        <v>0.43525444001019103</v>
      </c>
      <c r="M516">
        <v>0</v>
      </c>
      <c r="N516">
        <v>0</v>
      </c>
      <c r="O516">
        <v>0.43525444001019103</v>
      </c>
      <c r="P516" t="s">
        <v>90</v>
      </c>
      <c r="Q516">
        <v>0</v>
      </c>
      <c r="R516" t="s">
        <v>90</v>
      </c>
      <c r="S516">
        <v>0</v>
      </c>
      <c r="T516" t="s">
        <v>90</v>
      </c>
      <c r="U516">
        <v>0</v>
      </c>
      <c r="V516" t="s">
        <v>90</v>
      </c>
      <c r="W516">
        <v>0</v>
      </c>
      <c r="X516" t="s">
        <v>90</v>
      </c>
      <c r="Y516">
        <v>0</v>
      </c>
      <c r="Z516">
        <v>0.43525444001019103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N516" t="s">
        <v>223</v>
      </c>
      <c r="AO516" t="s">
        <v>92</v>
      </c>
      <c r="AP516">
        <v>200000</v>
      </c>
      <c r="AQ516" t="s">
        <v>92</v>
      </c>
      <c r="AR516">
        <v>0</v>
      </c>
      <c r="AS516">
        <v>10000</v>
      </c>
      <c r="AT516" t="s">
        <v>9</v>
      </c>
      <c r="AU516" t="s">
        <v>78</v>
      </c>
      <c r="AV516" t="s">
        <v>79</v>
      </c>
      <c r="AY516">
        <v>0</v>
      </c>
    </row>
    <row r="517" spans="1:52" ht="12.75">
      <c r="A517" s="2" t="str">
        <f>HYPERLINK("https://ibp.a2mac1.com/costing(costing:projects/details/8191/assembly/5388405)","Outer panel")</f>
        <v>Outer panel</v>
      </c>
      <c r="B517">
        <v>5388405</v>
      </c>
      <c r="D517">
        <v>5388184</v>
      </c>
      <c r="F517">
        <v>1</v>
      </c>
      <c r="G517">
        <v>0</v>
      </c>
      <c r="H517">
        <v>4.6440122455701047</v>
      </c>
      <c r="I517">
        <v>0</v>
      </c>
      <c r="J517" t="s">
        <v>90</v>
      </c>
      <c r="K517">
        <v>0</v>
      </c>
      <c r="L517">
        <v>4.6440122455701047</v>
      </c>
      <c r="M517">
        <v>0</v>
      </c>
      <c r="N517">
        <v>0</v>
      </c>
      <c r="O517">
        <v>4.6440122455701047</v>
      </c>
      <c r="P517" t="s">
        <v>90</v>
      </c>
      <c r="Q517">
        <v>0</v>
      </c>
      <c r="R517" t="s">
        <v>90</v>
      </c>
      <c r="S517">
        <v>0</v>
      </c>
      <c r="T517" t="s">
        <v>90</v>
      </c>
      <c r="U517">
        <v>0</v>
      </c>
      <c r="V517" t="s">
        <v>90</v>
      </c>
      <c r="W517">
        <v>0</v>
      </c>
      <c r="X517" t="s">
        <v>90</v>
      </c>
      <c r="Y517">
        <v>0</v>
      </c>
      <c r="Z517">
        <v>4.6440122455701047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N517" t="s">
        <v>223</v>
      </c>
      <c r="AO517" t="s">
        <v>92</v>
      </c>
      <c r="AP517">
        <v>200000</v>
      </c>
      <c r="AQ517" t="s">
        <v>92</v>
      </c>
      <c r="AR517">
        <v>0</v>
      </c>
      <c r="AS517">
        <v>10000</v>
      </c>
      <c r="AT517" t="s">
        <v>9</v>
      </c>
      <c r="AU517" t="s">
        <v>78</v>
      </c>
      <c r="AV517" t="s">
        <v>79</v>
      </c>
      <c r="AY517">
        <v>0</v>
      </c>
    </row>
    <row r="518" spans="1:52" ht="12.75">
      <c r="A518" s="2" t="str">
        <f>HYPERLINK("https://ibp.a2mac1.com/costing(costing:projects/details/8191/assembly/5388184)","Rear Door Left")</f>
        <v>Rear Door Left</v>
      </c>
      <c r="B518">
        <v>5388184</v>
      </c>
      <c r="D518">
        <v>5388134</v>
      </c>
      <c r="F518">
        <v>1</v>
      </c>
      <c r="G518">
        <v>0</v>
      </c>
      <c r="H518">
        <v>19.638205885926165</v>
      </c>
      <c r="I518">
        <v>0.098684451688071176</v>
      </c>
      <c r="J518" t="s">
        <v>137</v>
      </c>
      <c r="K518">
        <v>0.68733720600741577</v>
      </c>
      <c r="L518">
        <v>20.424227543621651</v>
      </c>
      <c r="M518">
        <v>0</v>
      </c>
      <c r="N518">
        <v>1.1797288290464552</v>
      </c>
      <c r="O518">
        <v>21.603956372668105</v>
      </c>
      <c r="P518" t="s">
        <v>90</v>
      </c>
      <c r="Q518">
        <v>0</v>
      </c>
      <c r="R518" t="s">
        <v>90</v>
      </c>
      <c r="S518">
        <v>0</v>
      </c>
      <c r="T518" t="s">
        <v>90</v>
      </c>
      <c r="U518">
        <v>0</v>
      </c>
      <c r="V518" t="s">
        <v>90</v>
      </c>
      <c r="W518">
        <v>0</v>
      </c>
      <c r="X518" t="s">
        <v>90</v>
      </c>
      <c r="Y518">
        <v>0</v>
      </c>
      <c r="Z518">
        <v>21.603956372668105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315</v>
      </c>
      <c r="AI518">
        <v>1080</v>
      </c>
      <c r="AJ518">
        <v>1230</v>
      </c>
      <c r="AL518">
        <v>16.036999999999999</v>
      </c>
      <c r="AM518" t="s">
        <v>5093</v>
      </c>
      <c r="AN518" t="s">
        <v>4668</v>
      </c>
      <c r="AO518" t="s">
        <v>92</v>
      </c>
      <c r="AP518">
        <v>200000</v>
      </c>
      <c r="AQ518" t="s">
        <v>92</v>
      </c>
      <c r="AS518">
        <v>10000</v>
      </c>
      <c r="AT518" t="s">
        <v>5094</v>
      </c>
      <c r="AU518" t="s">
        <v>78</v>
      </c>
      <c r="AV518" t="s">
        <v>79</v>
      </c>
      <c r="AY518">
        <v>0</v>
      </c>
    </row>
    <row r="519" spans="1:52" ht="12.75">
      <c r="A519" s="2" t="str">
        <f>HYPERLINK("https://ibp.a2mac1.com/costing(costing:projects/details/8191/assembly/5388411)","Inner Door Handle")</f>
        <v>Inner Door Handle</v>
      </c>
      <c r="B519">
        <v>5388411</v>
      </c>
      <c r="D519">
        <v>5388186</v>
      </c>
      <c r="F519">
        <v>1</v>
      </c>
      <c r="G519">
        <v>0</v>
      </c>
      <c r="H519">
        <v>0.53519000000000005</v>
      </c>
      <c r="I519">
        <v>0</v>
      </c>
      <c r="J519" t="s">
        <v>90</v>
      </c>
      <c r="K519">
        <v>0</v>
      </c>
      <c r="L519">
        <v>0.53519000000000005</v>
      </c>
      <c r="M519">
        <v>0</v>
      </c>
      <c r="N519">
        <v>0</v>
      </c>
      <c r="O519">
        <v>0.53519000000000005</v>
      </c>
      <c r="P519" t="s">
        <v>90</v>
      </c>
      <c r="Q519">
        <v>0</v>
      </c>
      <c r="R519" t="s">
        <v>90</v>
      </c>
      <c r="S519">
        <v>0</v>
      </c>
      <c r="T519" t="s">
        <v>90</v>
      </c>
      <c r="U519">
        <v>0</v>
      </c>
      <c r="V519" t="s">
        <v>90</v>
      </c>
      <c r="W519">
        <v>0</v>
      </c>
      <c r="X519" t="s">
        <v>90</v>
      </c>
      <c r="Y519">
        <v>0</v>
      </c>
      <c r="Z519">
        <v>0.53519000000000005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L519">
        <v>0.186</v>
      </c>
      <c r="AN519" t="s">
        <v>223</v>
      </c>
      <c r="AO519" t="s">
        <v>92</v>
      </c>
      <c r="AP519">
        <v>200000</v>
      </c>
      <c r="AQ519" t="s">
        <v>92</v>
      </c>
      <c r="AS519">
        <v>10000</v>
      </c>
      <c r="AT519" t="s">
        <v>5098</v>
      </c>
      <c r="AU519" t="s">
        <v>78</v>
      </c>
      <c r="AV519" t="s">
        <v>79</v>
      </c>
      <c r="AY519">
        <v>0</v>
      </c>
    </row>
    <row r="520" spans="1:52" ht="12.75">
      <c r="A520" s="2" t="str">
        <f>HYPERLINK("https://ibp.a2mac1.com/costing(costing:projects/details/8191/assembly/5388186)","Door Panel")</f>
        <v>Door Panel</v>
      </c>
      <c r="B520">
        <v>5388186</v>
      </c>
      <c r="D520">
        <v>5388134</v>
      </c>
      <c r="F520">
        <v>1</v>
      </c>
      <c r="G520">
        <v>0</v>
      </c>
      <c r="H520">
        <v>6.4969100287687862</v>
      </c>
      <c r="I520">
        <v>0.032647789089290384</v>
      </c>
      <c r="J520" t="s">
        <v>137</v>
      </c>
      <c r="K520">
        <v>0.22739185100690754</v>
      </c>
      <c r="L520">
        <v>6.7569496688649844</v>
      </c>
      <c r="M520">
        <v>0</v>
      </c>
      <c r="N520">
        <v>0</v>
      </c>
      <c r="O520">
        <v>6.7569496688649844</v>
      </c>
      <c r="P520" t="s">
        <v>138</v>
      </c>
      <c r="Q520">
        <v>0.40541698013189909</v>
      </c>
      <c r="R520" t="s">
        <v>138</v>
      </c>
      <c r="S520">
        <v>0</v>
      </c>
      <c r="T520" t="s">
        <v>139</v>
      </c>
      <c r="U520">
        <v>0.81083396026379817</v>
      </c>
      <c r="V520" t="s">
        <v>90</v>
      </c>
      <c r="W520">
        <v>0</v>
      </c>
      <c r="X520" t="s">
        <v>90</v>
      </c>
      <c r="Y520">
        <v>0</v>
      </c>
      <c r="Z520">
        <v>7.9732006092606813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125</v>
      </c>
      <c r="AI520">
        <v>840</v>
      </c>
      <c r="AJ520">
        <v>795</v>
      </c>
      <c r="AL520">
        <v>2.7656999999999998</v>
      </c>
      <c r="AN520" t="s">
        <v>661</v>
      </c>
      <c r="AO520" t="s">
        <v>92</v>
      </c>
      <c r="AP520">
        <v>200000</v>
      </c>
      <c r="AQ520" t="s">
        <v>76</v>
      </c>
      <c r="AS520">
        <v>10000</v>
      </c>
      <c r="AT520" t="s">
        <v>5121</v>
      </c>
      <c r="AU520" t="s">
        <v>78</v>
      </c>
      <c r="AV520" t="s">
        <v>79</v>
      </c>
      <c r="AY520">
        <v>0</v>
      </c>
    </row>
    <row r="521" spans="1:52" ht="12.75">
      <c r="A521" s="2" t="str">
        <f>HYPERLINK("https://ibp.a2mac1.com/costing(costing:projects/details/8191/assembly/5388797)","Fastners")</f>
        <v>Fastners</v>
      </c>
      <c r="B521">
        <v>5388797</v>
      </c>
      <c r="D521">
        <v>5388414</v>
      </c>
      <c r="F521">
        <v>1</v>
      </c>
      <c r="G521">
        <v>0</v>
      </c>
      <c r="H521">
        <v>0.073840000000000003</v>
      </c>
      <c r="I521">
        <v>0</v>
      </c>
      <c r="J521" t="s">
        <v>90</v>
      </c>
      <c r="K521">
        <v>0</v>
      </c>
      <c r="L521">
        <v>0.073840000000000003</v>
      </c>
      <c r="M521">
        <v>0</v>
      </c>
      <c r="N521">
        <v>0</v>
      </c>
      <c r="O521">
        <v>0.073840000000000003</v>
      </c>
      <c r="P521" t="s">
        <v>90</v>
      </c>
      <c r="Q521">
        <v>0</v>
      </c>
      <c r="R521" t="s">
        <v>90</v>
      </c>
      <c r="S521">
        <v>0</v>
      </c>
      <c r="T521" t="s">
        <v>90</v>
      </c>
      <c r="U521">
        <v>0</v>
      </c>
      <c r="V521" t="s">
        <v>90</v>
      </c>
      <c r="W521">
        <v>0</v>
      </c>
      <c r="X521" t="s">
        <v>90</v>
      </c>
      <c r="Y521">
        <v>0</v>
      </c>
      <c r="Z521">
        <v>0.073840000000000003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N521" t="s">
        <v>223</v>
      </c>
      <c r="AO521" t="s">
        <v>92</v>
      </c>
      <c r="AP521">
        <v>200000</v>
      </c>
      <c r="AQ521" t="s">
        <v>76</v>
      </c>
      <c r="AR521">
        <v>0</v>
      </c>
      <c r="AS521">
        <v>10000</v>
      </c>
      <c r="AT521" t="s">
        <v>9</v>
      </c>
      <c r="AU521" t="s">
        <v>78</v>
      </c>
      <c r="AV521" t="s">
        <v>79</v>
      </c>
      <c r="AY521">
        <v>0</v>
      </c>
    </row>
    <row r="522" spans="1:52" ht="12.75">
      <c r="A522" s="2" t="str">
        <f>HYPERLINK("https://ibp.a2mac1.com/costing(costing:projects/details/8191/assembly/5388414)","Interior Side")</f>
        <v>Interior Side</v>
      </c>
      <c r="B522">
        <v>5388414</v>
      </c>
      <c r="D522">
        <v>5388187</v>
      </c>
      <c r="F522">
        <v>1</v>
      </c>
      <c r="G522">
        <v>0</v>
      </c>
      <c r="H522">
        <v>0.59164857880896315</v>
      </c>
      <c r="I522">
        <v>0</v>
      </c>
      <c r="J522" t="s">
        <v>90</v>
      </c>
      <c r="K522">
        <v>0</v>
      </c>
      <c r="L522">
        <v>0.59164857880896315</v>
      </c>
      <c r="M522">
        <v>0</v>
      </c>
      <c r="N522">
        <v>0</v>
      </c>
      <c r="O522">
        <v>0.59164857880896315</v>
      </c>
      <c r="P522" t="s">
        <v>90</v>
      </c>
      <c r="Q522">
        <v>0</v>
      </c>
      <c r="R522" t="s">
        <v>90</v>
      </c>
      <c r="S522">
        <v>0</v>
      </c>
      <c r="T522" t="s">
        <v>90</v>
      </c>
      <c r="U522">
        <v>0</v>
      </c>
      <c r="V522" t="s">
        <v>90</v>
      </c>
      <c r="W522">
        <v>0</v>
      </c>
      <c r="X522" t="s">
        <v>90</v>
      </c>
      <c r="Y522">
        <v>0</v>
      </c>
      <c r="Z522">
        <v>0.59164857880896315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L522">
        <v>0.12570000000000001</v>
      </c>
      <c r="AN522" t="s">
        <v>223</v>
      </c>
      <c r="AO522" t="s">
        <v>92</v>
      </c>
      <c r="AP522">
        <v>200000</v>
      </c>
      <c r="AQ522" t="s">
        <v>76</v>
      </c>
      <c r="AS522">
        <v>10000</v>
      </c>
      <c r="AT522" t="s">
        <v>5132</v>
      </c>
      <c r="AU522" t="s">
        <v>78</v>
      </c>
      <c r="AV522" t="s">
        <v>79</v>
      </c>
      <c r="AY522">
        <v>0</v>
      </c>
    </row>
    <row r="523" spans="1:52" ht="12.75">
      <c r="A523" s="2" t="str">
        <f>HYPERLINK("https://ibp.a2mac1.com/costing(costing:projects/details/8191/assembly/5388805)","Fastners")</f>
        <v>Fastners</v>
      </c>
      <c r="B523">
        <v>5388805</v>
      </c>
      <c r="D523">
        <v>5388415</v>
      </c>
      <c r="F523">
        <v>1</v>
      </c>
      <c r="G523">
        <v>0</v>
      </c>
      <c r="H523">
        <v>0.30</v>
      </c>
      <c r="I523">
        <v>0</v>
      </c>
      <c r="J523" t="s">
        <v>90</v>
      </c>
      <c r="K523">
        <v>0</v>
      </c>
      <c r="L523">
        <v>0.30</v>
      </c>
      <c r="M523">
        <v>0</v>
      </c>
      <c r="N523">
        <v>0</v>
      </c>
      <c r="O523">
        <v>0.30</v>
      </c>
      <c r="P523" t="s">
        <v>90</v>
      </c>
      <c r="Q523">
        <v>0</v>
      </c>
      <c r="R523" t="s">
        <v>90</v>
      </c>
      <c r="S523">
        <v>0</v>
      </c>
      <c r="T523" t="s">
        <v>90</v>
      </c>
      <c r="U523">
        <v>0</v>
      </c>
      <c r="V523" t="s">
        <v>90</v>
      </c>
      <c r="W523">
        <v>0</v>
      </c>
      <c r="X523" t="s">
        <v>90</v>
      </c>
      <c r="Y523">
        <v>0</v>
      </c>
      <c r="Z523">
        <v>0.30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N523" t="s">
        <v>223</v>
      </c>
      <c r="AO523" t="s">
        <v>92</v>
      </c>
      <c r="AP523">
        <v>200000</v>
      </c>
      <c r="AQ523" t="s">
        <v>76</v>
      </c>
      <c r="AR523">
        <v>0</v>
      </c>
      <c r="AS523">
        <v>10000</v>
      </c>
      <c r="AT523" t="s">
        <v>9</v>
      </c>
      <c r="AU523" t="s">
        <v>78</v>
      </c>
      <c r="AV523" t="s">
        <v>79</v>
      </c>
      <c r="AY523">
        <v>0</v>
      </c>
    </row>
    <row r="524" spans="1:52" ht="12.75">
      <c r="A524" s="2" t="str">
        <f>HYPERLINK("https://ibp.a2mac1.com/costing(costing:projects/details/8191/assembly/5388415)","Exterior side")</f>
        <v>Exterior side</v>
      </c>
      <c r="B524">
        <v>5388415</v>
      </c>
      <c r="D524">
        <v>5388187</v>
      </c>
      <c r="F524">
        <v>1</v>
      </c>
      <c r="G524">
        <v>0</v>
      </c>
      <c r="H524">
        <v>4.0830001080735885</v>
      </c>
      <c r="I524">
        <v>0</v>
      </c>
      <c r="J524" t="s">
        <v>90</v>
      </c>
      <c r="K524">
        <v>0</v>
      </c>
      <c r="L524">
        <v>4.0830001080735885</v>
      </c>
      <c r="M524">
        <v>0</v>
      </c>
      <c r="N524">
        <v>0.39420764387300394</v>
      </c>
      <c r="O524">
        <v>4.477207751946592</v>
      </c>
      <c r="P524" t="s">
        <v>90</v>
      </c>
      <c r="Q524">
        <v>0</v>
      </c>
      <c r="R524" t="s">
        <v>90</v>
      </c>
      <c r="S524">
        <v>0</v>
      </c>
      <c r="T524" t="s">
        <v>90</v>
      </c>
      <c r="U524">
        <v>0</v>
      </c>
      <c r="V524" t="s">
        <v>90</v>
      </c>
      <c r="W524">
        <v>0</v>
      </c>
      <c r="X524" t="s">
        <v>90</v>
      </c>
      <c r="Y524">
        <v>0</v>
      </c>
      <c r="Z524">
        <v>4.477207751946592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L524">
        <v>0.425</v>
      </c>
      <c r="AN524" t="s">
        <v>223</v>
      </c>
      <c r="AO524" t="s">
        <v>92</v>
      </c>
      <c r="AP524">
        <v>200000</v>
      </c>
      <c r="AQ524" t="s">
        <v>76</v>
      </c>
      <c r="AS524">
        <v>10000</v>
      </c>
      <c r="AT524" t="s">
        <v>5158</v>
      </c>
      <c r="AU524" t="s">
        <v>78</v>
      </c>
      <c r="AV524" t="s">
        <v>79</v>
      </c>
      <c r="AY524">
        <v>0</v>
      </c>
    </row>
    <row r="525" spans="1:52" ht="12.75">
      <c r="A525" s="2" t="str">
        <f>HYPERLINK("https://ibp.a2mac1.com/costing(costing:projects/details/8191/assembly/5388416)","Fastners")</f>
        <v>Fastners</v>
      </c>
      <c r="B525">
        <v>5388416</v>
      </c>
      <c r="D525">
        <v>5388187</v>
      </c>
      <c r="F525">
        <v>1</v>
      </c>
      <c r="G525">
        <v>0</v>
      </c>
      <c r="H525">
        <v>0.036920000000000001</v>
      </c>
      <c r="I525">
        <v>0</v>
      </c>
      <c r="J525" t="s">
        <v>90</v>
      </c>
      <c r="K525">
        <v>0</v>
      </c>
      <c r="L525">
        <v>0.036920000000000001</v>
      </c>
      <c r="M525">
        <v>0</v>
      </c>
      <c r="N525">
        <v>0</v>
      </c>
      <c r="O525">
        <v>0.036920000000000001</v>
      </c>
      <c r="P525" t="s">
        <v>90</v>
      </c>
      <c r="Q525">
        <v>0</v>
      </c>
      <c r="R525" t="s">
        <v>90</v>
      </c>
      <c r="S525">
        <v>0</v>
      </c>
      <c r="T525" t="s">
        <v>90</v>
      </c>
      <c r="U525">
        <v>0</v>
      </c>
      <c r="V525" t="s">
        <v>90</v>
      </c>
      <c r="W525">
        <v>0</v>
      </c>
      <c r="X525" t="s">
        <v>90</v>
      </c>
      <c r="Y525">
        <v>0</v>
      </c>
      <c r="Z525">
        <v>0.036920000000000001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N525" t="s">
        <v>223</v>
      </c>
      <c r="AO525" t="s">
        <v>92</v>
      </c>
      <c r="AP525">
        <v>200000</v>
      </c>
      <c r="AQ525" t="s">
        <v>92</v>
      </c>
      <c r="AR525">
        <v>0</v>
      </c>
      <c r="AS525">
        <v>10000</v>
      </c>
      <c r="AT525" t="s">
        <v>9</v>
      </c>
      <c r="AU525" t="s">
        <v>78</v>
      </c>
      <c r="AV525" t="s">
        <v>79</v>
      </c>
      <c r="AY525">
        <v>0</v>
      </c>
    </row>
    <row r="526" spans="1:52" ht="12.75">
      <c r="A526" s="2" t="str">
        <f>HYPERLINK("https://ibp.a2mac1.com/costing(costing:projects/details/8191/assembly/5388187)","Door Mechanism")</f>
        <v>Door Mechanism</v>
      </c>
      <c r="B526">
        <v>5388187</v>
      </c>
      <c r="D526">
        <v>5388134</v>
      </c>
      <c r="F526">
        <v>1</v>
      </c>
      <c r="G526">
        <v>0</v>
      </c>
      <c r="H526">
        <v>11.392380803494779</v>
      </c>
      <c r="I526">
        <v>0</v>
      </c>
      <c r="J526" t="s">
        <v>90</v>
      </c>
      <c r="K526">
        <v>0</v>
      </c>
      <c r="L526">
        <v>11.392380803494779</v>
      </c>
      <c r="M526">
        <v>0</v>
      </c>
      <c r="N526">
        <v>0</v>
      </c>
      <c r="O526">
        <v>11.392380803494779</v>
      </c>
      <c r="P526" t="s">
        <v>90</v>
      </c>
      <c r="Q526">
        <v>0</v>
      </c>
      <c r="R526" t="s">
        <v>90</v>
      </c>
      <c r="S526">
        <v>0</v>
      </c>
      <c r="T526" t="s">
        <v>90</v>
      </c>
      <c r="U526">
        <v>0</v>
      </c>
      <c r="V526" t="s">
        <v>90</v>
      </c>
      <c r="W526">
        <v>0</v>
      </c>
      <c r="X526" t="s">
        <v>90</v>
      </c>
      <c r="Y526">
        <v>0</v>
      </c>
      <c r="Z526">
        <v>11.392380803494779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L526">
        <v>1.4607000000000001</v>
      </c>
      <c r="AN526" t="s">
        <v>223</v>
      </c>
      <c r="AO526" t="s">
        <v>92</v>
      </c>
      <c r="AP526">
        <v>200000</v>
      </c>
      <c r="AQ526" t="s">
        <v>92</v>
      </c>
      <c r="AS526">
        <v>10000</v>
      </c>
      <c r="AT526" t="s">
        <v>5168</v>
      </c>
      <c r="AU526" t="s">
        <v>78</v>
      </c>
      <c r="AV526" t="s">
        <v>79</v>
      </c>
      <c r="AY526">
        <v>0</v>
      </c>
    </row>
    <row r="527" spans="1:52" ht="12.75">
      <c r="A527" s="2" t="str">
        <f>HYPERLINK("https://ibp.a2mac1.com/costing(costing:projects/details/8191/assembly/5388806)","Window")</f>
        <v>Window</v>
      </c>
      <c r="B527">
        <v>5388806</v>
      </c>
      <c r="D527">
        <v>5388420</v>
      </c>
      <c r="E527" t="e">
        <v>#VALUE!</v>
      </c>
      <c r="F527">
        <v>1</v>
      </c>
      <c r="G527">
        <v>0</v>
      </c>
      <c r="H527">
        <v>0</v>
      </c>
      <c r="I527">
        <v>0</v>
      </c>
      <c r="J527" t="s">
        <v>90</v>
      </c>
      <c r="K527">
        <v>0</v>
      </c>
      <c r="L527">
        <v>0</v>
      </c>
      <c r="M527">
        <v>0</v>
      </c>
      <c r="N527">
        <v>9.5634494366670655</v>
      </c>
      <c r="O527">
        <v>9.5634494366670655</v>
      </c>
      <c r="P527" t="s">
        <v>90</v>
      </c>
      <c r="Q527">
        <v>0</v>
      </c>
      <c r="R527" t="s">
        <v>90</v>
      </c>
      <c r="S527">
        <v>0</v>
      </c>
      <c r="T527" t="s">
        <v>90</v>
      </c>
      <c r="U527">
        <v>0</v>
      </c>
      <c r="V527" t="s">
        <v>90</v>
      </c>
      <c r="W527">
        <v>0</v>
      </c>
      <c r="X527" t="s">
        <v>90</v>
      </c>
      <c r="Y527">
        <v>0</v>
      </c>
      <c r="Z527">
        <v>9.5634494366670655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930</v>
      </c>
      <c r="AJ527">
        <v>528</v>
      </c>
      <c r="AK527">
        <v>0</v>
      </c>
      <c r="AL527">
        <v>3.4540000000000002</v>
      </c>
      <c r="AN527" t="s">
        <v>223</v>
      </c>
      <c r="AO527" t="s">
        <v>92</v>
      </c>
      <c r="AP527">
        <v>200000</v>
      </c>
      <c r="AQ527" t="s">
        <v>92</v>
      </c>
      <c r="AS527">
        <v>10000</v>
      </c>
      <c r="AT527" t="s">
        <v>9</v>
      </c>
      <c r="AU527" t="s">
        <v>78</v>
      </c>
      <c r="AV527" t="s">
        <v>79</v>
      </c>
      <c r="AY527">
        <v>0</v>
      </c>
    </row>
    <row r="528" spans="1:52" ht="12.75">
      <c r="A528" s="2" t="str">
        <f>HYPERLINK("https://ibp.a2mac1.com/costing(costing:projects/details/8191/assembly/5388420)","Window")</f>
        <v>Window</v>
      </c>
      <c r="B528">
        <v>5388420</v>
      </c>
      <c r="D528">
        <v>5388188</v>
      </c>
      <c r="E528" t="e">
        <v>#VALUE!</v>
      </c>
      <c r="F528">
        <v>1</v>
      </c>
      <c r="G528">
        <v>0</v>
      </c>
      <c r="H528">
        <v>9.5634494366670655</v>
      </c>
      <c r="I528">
        <v>0.048057534857623443</v>
      </c>
      <c r="J528" t="s">
        <v>137</v>
      </c>
      <c r="K528">
        <v>0.33472073028334726</v>
      </c>
      <c r="L528">
        <v>9.9462277018080361</v>
      </c>
      <c r="M528">
        <v>0</v>
      </c>
      <c r="N528">
        <v>0</v>
      </c>
      <c r="O528">
        <v>9.9462277018080361</v>
      </c>
      <c r="P528" t="s">
        <v>138</v>
      </c>
      <c r="Q528">
        <v>0.59677366210848215</v>
      </c>
      <c r="R528" t="s">
        <v>138</v>
      </c>
      <c r="S528">
        <v>0</v>
      </c>
      <c r="T528" t="s">
        <v>139</v>
      </c>
      <c r="U528">
        <v>1.1935473242169643</v>
      </c>
      <c r="V528" t="s">
        <v>90</v>
      </c>
      <c r="W528">
        <v>0</v>
      </c>
      <c r="X528" t="s">
        <v>90</v>
      </c>
      <c r="Y528">
        <v>0</v>
      </c>
      <c r="Z528">
        <v>11.736548688133482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615</v>
      </c>
      <c r="AJ528">
        <v>530</v>
      </c>
      <c r="AK528">
        <v>0</v>
      </c>
      <c r="AL528">
        <v>2.544</v>
      </c>
      <c r="AN528" t="s">
        <v>4605</v>
      </c>
      <c r="AO528" t="s">
        <v>92</v>
      </c>
      <c r="AP528">
        <v>200000</v>
      </c>
      <c r="AQ528" t="s">
        <v>76</v>
      </c>
      <c r="AS528">
        <v>10000</v>
      </c>
      <c r="AT528" t="s">
        <v>5173</v>
      </c>
      <c r="AU528" t="s">
        <v>78</v>
      </c>
      <c r="AV528" t="s">
        <v>79</v>
      </c>
      <c r="AY528">
        <v>0</v>
      </c>
    </row>
    <row r="529" spans="1:52" ht="12.75">
      <c r="A529" s="2" t="str">
        <f>HYPERLINK("https://ibp.a2mac1.com/costing(costing:projects/details/8191/assembly/5388421)","Fastners")</f>
        <v>Fastners</v>
      </c>
      <c r="B529">
        <v>5388421</v>
      </c>
      <c r="D529">
        <v>5388188</v>
      </c>
      <c r="F529">
        <v>1</v>
      </c>
      <c r="G529">
        <v>0</v>
      </c>
      <c r="H529">
        <v>0.11999</v>
      </c>
      <c r="I529">
        <v>0</v>
      </c>
      <c r="J529" t="s">
        <v>90</v>
      </c>
      <c r="K529">
        <v>0</v>
      </c>
      <c r="L529">
        <v>0.11999</v>
      </c>
      <c r="M529">
        <v>0</v>
      </c>
      <c r="N529">
        <v>0</v>
      </c>
      <c r="O529">
        <v>0.11999</v>
      </c>
      <c r="P529" t="s">
        <v>90</v>
      </c>
      <c r="Q529">
        <v>0</v>
      </c>
      <c r="R529" t="s">
        <v>90</v>
      </c>
      <c r="S529">
        <v>0</v>
      </c>
      <c r="T529" t="s">
        <v>90</v>
      </c>
      <c r="U529">
        <v>0</v>
      </c>
      <c r="V529" t="s">
        <v>90</v>
      </c>
      <c r="W529">
        <v>0</v>
      </c>
      <c r="X529" t="s">
        <v>90</v>
      </c>
      <c r="Y529">
        <v>0</v>
      </c>
      <c r="Z529">
        <v>0.11999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N529" t="s">
        <v>223</v>
      </c>
      <c r="AO529" t="s">
        <v>92</v>
      </c>
      <c r="AP529">
        <v>200000</v>
      </c>
      <c r="AQ529" t="s">
        <v>92</v>
      </c>
      <c r="AR529">
        <v>0</v>
      </c>
      <c r="AS529">
        <v>10000</v>
      </c>
      <c r="AT529" t="s">
        <v>9</v>
      </c>
      <c r="AU529" t="s">
        <v>78</v>
      </c>
      <c r="AV529" t="s">
        <v>79</v>
      </c>
      <c r="AY529">
        <v>0</v>
      </c>
    </row>
    <row r="530" spans="1:52" ht="12.75">
      <c r="A530" s="2" t="str">
        <f>HYPERLINK("https://ibp.a2mac1.com/costing(costing:projects/details/8191/assembly/5388188)","Window System")</f>
        <v>Window System</v>
      </c>
      <c r="B530">
        <v>5388188</v>
      </c>
      <c r="D530">
        <v>5388134</v>
      </c>
      <c r="F530">
        <v>1</v>
      </c>
      <c r="G530">
        <v>0</v>
      </c>
      <c r="H530">
        <v>31.721341454209384</v>
      </c>
      <c r="I530">
        <v>0</v>
      </c>
      <c r="J530" t="s">
        <v>90</v>
      </c>
      <c r="K530">
        <v>0</v>
      </c>
      <c r="L530">
        <v>31.721341454209384</v>
      </c>
      <c r="M530">
        <v>0</v>
      </c>
      <c r="N530">
        <v>0.39420764387300394</v>
      </c>
      <c r="O530">
        <v>32.11554909808239</v>
      </c>
      <c r="P530" t="s">
        <v>90</v>
      </c>
      <c r="Q530">
        <v>0</v>
      </c>
      <c r="R530" t="s">
        <v>90</v>
      </c>
      <c r="S530">
        <v>0</v>
      </c>
      <c r="T530" t="s">
        <v>90</v>
      </c>
      <c r="U530">
        <v>0</v>
      </c>
      <c r="V530" t="s">
        <v>90</v>
      </c>
      <c r="W530">
        <v>0</v>
      </c>
      <c r="X530" t="s">
        <v>90</v>
      </c>
      <c r="Y530">
        <v>0</v>
      </c>
      <c r="Z530">
        <v>32.11554909808239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L530">
        <v>4.6759000000000004</v>
      </c>
      <c r="AN530" t="s">
        <v>223</v>
      </c>
      <c r="AO530" t="s">
        <v>92</v>
      </c>
      <c r="AP530">
        <v>200000</v>
      </c>
      <c r="AQ530" t="s">
        <v>92</v>
      </c>
      <c r="AS530">
        <v>10000</v>
      </c>
      <c r="AT530" t="s">
        <v>5186</v>
      </c>
      <c r="AU530" t="s">
        <v>78</v>
      </c>
      <c r="AV530" t="s">
        <v>79</v>
      </c>
      <c r="AY530">
        <v>0</v>
      </c>
    </row>
    <row r="531" spans="1:52" ht="12.75">
      <c r="A531" s="2" t="str">
        <f>HYPERLINK("https://ibp.a2mac1.com/costing(costing:projects/details/8191/assembly/5388425)","Door Weather Stripping")</f>
        <v>Door Weather Stripping</v>
      </c>
      <c r="B531">
        <v>5388425</v>
      </c>
      <c r="D531">
        <v>5388189</v>
      </c>
      <c r="F531">
        <v>1</v>
      </c>
      <c r="G531">
        <v>0</v>
      </c>
      <c r="H531">
        <v>5.919798700764086</v>
      </c>
      <c r="I531">
        <v>0</v>
      </c>
      <c r="J531" t="s">
        <v>90</v>
      </c>
      <c r="K531">
        <v>0</v>
      </c>
      <c r="L531">
        <v>5.919798700764086</v>
      </c>
      <c r="M531">
        <v>0</v>
      </c>
      <c r="N531">
        <v>0</v>
      </c>
      <c r="O531">
        <v>5.919798700764086</v>
      </c>
      <c r="P531" t="s">
        <v>90</v>
      </c>
      <c r="Q531">
        <v>0</v>
      </c>
      <c r="R531" t="s">
        <v>90</v>
      </c>
      <c r="S531">
        <v>0</v>
      </c>
      <c r="T531" t="s">
        <v>90</v>
      </c>
      <c r="U531">
        <v>0</v>
      </c>
      <c r="V531" t="s">
        <v>90</v>
      </c>
      <c r="W531">
        <v>0</v>
      </c>
      <c r="X531" t="s">
        <v>90</v>
      </c>
      <c r="Y531">
        <v>0</v>
      </c>
      <c r="Z531">
        <v>5.919798700764086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L531">
        <v>1.7130000000000001</v>
      </c>
      <c r="AN531" t="s">
        <v>223</v>
      </c>
      <c r="AO531" t="s">
        <v>92</v>
      </c>
      <c r="AP531">
        <v>200000</v>
      </c>
      <c r="AQ531" t="s">
        <v>92</v>
      </c>
      <c r="AS531">
        <v>10000</v>
      </c>
      <c r="AT531" t="s">
        <v>5205</v>
      </c>
      <c r="AU531" t="s">
        <v>78</v>
      </c>
      <c r="AV531" t="s">
        <v>79</v>
      </c>
      <c r="AY531">
        <v>0</v>
      </c>
    </row>
    <row r="532" spans="1:52" ht="12.75">
      <c r="A532" s="2" t="str">
        <f>HYPERLINK("https://ibp.a2mac1.com/costing(costing:projects/details/8191/assembly/5388189)","Sealing System")</f>
        <v>Sealing System</v>
      </c>
      <c r="B532">
        <v>5388189</v>
      </c>
      <c r="D532">
        <v>5388134</v>
      </c>
      <c r="F532">
        <v>1</v>
      </c>
      <c r="G532">
        <v>0</v>
      </c>
      <c r="H532">
        <v>10.107763402581316</v>
      </c>
      <c r="I532">
        <v>0</v>
      </c>
      <c r="J532" t="s">
        <v>90</v>
      </c>
      <c r="K532">
        <v>0</v>
      </c>
      <c r="L532">
        <v>10.107763402581316</v>
      </c>
      <c r="M532">
        <v>0</v>
      </c>
      <c r="N532">
        <v>0</v>
      </c>
      <c r="O532">
        <v>10.107763402581316</v>
      </c>
      <c r="P532" t="s">
        <v>90</v>
      </c>
      <c r="Q532">
        <v>0</v>
      </c>
      <c r="R532" t="s">
        <v>90</v>
      </c>
      <c r="S532">
        <v>0</v>
      </c>
      <c r="T532" t="s">
        <v>90</v>
      </c>
      <c r="U532">
        <v>0</v>
      </c>
      <c r="V532" t="s">
        <v>90</v>
      </c>
      <c r="W532">
        <v>0</v>
      </c>
      <c r="X532" t="s">
        <v>90</v>
      </c>
      <c r="Y532">
        <v>0</v>
      </c>
      <c r="Z532">
        <v>10.107763402581316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L532">
        <v>2.766</v>
      </c>
      <c r="AN532" t="s">
        <v>223</v>
      </c>
      <c r="AO532" t="s">
        <v>92</v>
      </c>
      <c r="AP532">
        <v>200000</v>
      </c>
      <c r="AQ532" t="s">
        <v>92</v>
      </c>
      <c r="AS532">
        <v>10000</v>
      </c>
      <c r="AT532" t="s">
        <v>5216</v>
      </c>
      <c r="AU532" t="s">
        <v>78</v>
      </c>
      <c r="AV532" t="s">
        <v>79</v>
      </c>
      <c r="AY532">
        <v>0</v>
      </c>
    </row>
    <row r="533" spans="1:52" ht="12.75">
      <c r="A533" s="2" t="str">
        <f>HYPERLINK("https://ibp.a2mac1.com/costing(costing:projects/details/8191/assembly/5388809)","On Body")</f>
        <v>On Body</v>
      </c>
      <c r="B533">
        <v>5388809</v>
      </c>
      <c r="D533">
        <v>5388427</v>
      </c>
      <c r="F533">
        <v>1</v>
      </c>
      <c r="G533">
        <v>0</v>
      </c>
      <c r="H533">
        <v>0.15138325000563416</v>
      </c>
      <c r="I533">
        <v>0</v>
      </c>
      <c r="J533" t="s">
        <v>90</v>
      </c>
      <c r="K533">
        <v>0</v>
      </c>
      <c r="L533">
        <v>0.15138325000563416</v>
      </c>
      <c r="M533">
        <v>0</v>
      </c>
      <c r="N533">
        <v>0</v>
      </c>
      <c r="O533">
        <v>0.15138325000563416</v>
      </c>
      <c r="P533" t="s">
        <v>90</v>
      </c>
      <c r="Q533">
        <v>0</v>
      </c>
      <c r="R533" t="s">
        <v>90</v>
      </c>
      <c r="S533">
        <v>0</v>
      </c>
      <c r="T533" t="s">
        <v>90</v>
      </c>
      <c r="U533">
        <v>0</v>
      </c>
      <c r="V533" t="s">
        <v>90</v>
      </c>
      <c r="W533">
        <v>0</v>
      </c>
      <c r="X533" t="s">
        <v>90</v>
      </c>
      <c r="Y533">
        <v>0</v>
      </c>
      <c r="Z533">
        <v>0.15138325000563416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69</v>
      </c>
      <c r="AI533">
        <v>56</v>
      </c>
      <c r="AJ533">
        <v>26</v>
      </c>
      <c r="AL533">
        <v>0.20699999999999999</v>
      </c>
      <c r="AM533" t="s">
        <v>685</v>
      </c>
      <c r="AN533" t="s">
        <v>223</v>
      </c>
      <c r="AO533" t="s">
        <v>92</v>
      </c>
      <c r="AP533">
        <v>200000</v>
      </c>
      <c r="AQ533" t="s">
        <v>92</v>
      </c>
      <c r="AS533">
        <v>10000</v>
      </c>
      <c r="AT533" t="s">
        <v>5224</v>
      </c>
      <c r="AU533" t="s">
        <v>78</v>
      </c>
      <c r="AV533" t="s">
        <v>79</v>
      </c>
      <c r="AY533">
        <v>0</v>
      </c>
    </row>
    <row r="534" spans="1:52" ht="12.75">
      <c r="A534" s="2" t="str">
        <f>HYPERLINK("https://ibp.a2mac1.com/costing(costing:projects/details/8191/assembly/5388810)","On Door")</f>
        <v>On Door</v>
      </c>
      <c r="B534">
        <v>5388810</v>
      </c>
      <c r="D534">
        <v>5388427</v>
      </c>
      <c r="F534">
        <v>1</v>
      </c>
      <c r="G534">
        <v>0</v>
      </c>
      <c r="H534">
        <v>0.093955374500634153</v>
      </c>
      <c r="I534">
        <v>0</v>
      </c>
      <c r="J534" t="s">
        <v>90</v>
      </c>
      <c r="K534">
        <v>0</v>
      </c>
      <c r="L534">
        <v>0.093955374500634153</v>
      </c>
      <c r="M534">
        <v>0</v>
      </c>
      <c r="N534">
        <v>0</v>
      </c>
      <c r="O534">
        <v>0.093955374500634153</v>
      </c>
      <c r="P534" t="s">
        <v>90</v>
      </c>
      <c r="Q534">
        <v>0</v>
      </c>
      <c r="R534" t="s">
        <v>90</v>
      </c>
      <c r="S534">
        <v>0</v>
      </c>
      <c r="T534" t="s">
        <v>90</v>
      </c>
      <c r="U534">
        <v>0</v>
      </c>
      <c r="V534" t="s">
        <v>90</v>
      </c>
      <c r="W534">
        <v>0</v>
      </c>
      <c r="X534" t="s">
        <v>90</v>
      </c>
      <c r="Y534">
        <v>0</v>
      </c>
      <c r="Z534">
        <v>0.093955374500634153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34</v>
      </c>
      <c r="AI534">
        <v>50</v>
      </c>
      <c r="AJ534">
        <v>52</v>
      </c>
      <c r="AL534">
        <v>0.111</v>
      </c>
      <c r="AN534" t="s">
        <v>223</v>
      </c>
      <c r="AO534" t="s">
        <v>92</v>
      </c>
      <c r="AP534">
        <v>200000</v>
      </c>
      <c r="AQ534" t="s">
        <v>92</v>
      </c>
      <c r="AS534">
        <v>10000</v>
      </c>
      <c r="AT534" t="s">
        <v>5229</v>
      </c>
      <c r="AU534" t="s">
        <v>78</v>
      </c>
      <c r="AV534" t="s">
        <v>79</v>
      </c>
      <c r="AY534">
        <v>0</v>
      </c>
    </row>
    <row r="535" spans="1:52" ht="12.75">
      <c r="A535" s="2" t="str">
        <f>HYPERLINK("https://ibp.a2mac1.com/costing(costing:projects/details/8191/assembly/5388811)","Fastners")</f>
        <v>Fastners</v>
      </c>
      <c r="B535">
        <v>5388811</v>
      </c>
      <c r="D535">
        <v>5388427</v>
      </c>
      <c r="F535">
        <v>1</v>
      </c>
      <c r="G535">
        <v>0</v>
      </c>
      <c r="H535">
        <v>0.018460000000000001</v>
      </c>
      <c r="I535">
        <v>0</v>
      </c>
      <c r="J535" t="s">
        <v>90</v>
      </c>
      <c r="K535">
        <v>0</v>
      </c>
      <c r="L535">
        <v>0.018460000000000001</v>
      </c>
      <c r="M535">
        <v>0</v>
      </c>
      <c r="N535">
        <v>0</v>
      </c>
      <c r="O535">
        <v>0.018460000000000001</v>
      </c>
      <c r="P535" t="s">
        <v>90</v>
      </c>
      <c r="Q535">
        <v>0</v>
      </c>
      <c r="R535" t="s">
        <v>90</v>
      </c>
      <c r="S535">
        <v>0</v>
      </c>
      <c r="T535" t="s">
        <v>90</v>
      </c>
      <c r="U535">
        <v>0</v>
      </c>
      <c r="V535" t="s">
        <v>90</v>
      </c>
      <c r="W535">
        <v>0</v>
      </c>
      <c r="X535" t="s">
        <v>90</v>
      </c>
      <c r="Y535">
        <v>0</v>
      </c>
      <c r="Z535">
        <v>0.018460000000000001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N535" t="s">
        <v>223</v>
      </c>
      <c r="AO535" t="s">
        <v>92</v>
      </c>
      <c r="AP535">
        <v>200000</v>
      </c>
      <c r="AQ535" t="s">
        <v>92</v>
      </c>
      <c r="AR535">
        <v>0</v>
      </c>
      <c r="AS535">
        <v>10000</v>
      </c>
      <c r="AT535" t="s">
        <v>9</v>
      </c>
      <c r="AU535" t="s">
        <v>78</v>
      </c>
      <c r="AV535" t="s">
        <v>79</v>
      </c>
      <c r="AY535">
        <v>0</v>
      </c>
    </row>
    <row r="536" spans="1:52" ht="12.75">
      <c r="A536" s="2" t="str">
        <f>HYPERLINK("https://ibp.a2mac1.com/costing(costing:projects/details/8191/assembly/5388427)","Upper")</f>
        <v>Upper</v>
      </c>
      <c r="B536">
        <v>5388427</v>
      </c>
      <c r="D536">
        <v>5388190</v>
      </c>
      <c r="F536">
        <v>1</v>
      </c>
      <c r="G536">
        <v>0</v>
      </c>
      <c r="H536">
        <v>0.26379862450626834</v>
      </c>
      <c r="I536">
        <v>0.0013256212286747151</v>
      </c>
      <c r="J536" t="s">
        <v>137</v>
      </c>
      <c r="K536">
        <v>0.0092329518577193917</v>
      </c>
      <c r="L536">
        <v>0.27435719759266242</v>
      </c>
      <c r="M536">
        <v>0</v>
      </c>
      <c r="N536">
        <v>0</v>
      </c>
      <c r="O536">
        <v>0.27435719759266242</v>
      </c>
      <c r="P536" t="s">
        <v>138</v>
      </c>
      <c r="Q536">
        <v>0.016461431855559747</v>
      </c>
      <c r="R536" t="s">
        <v>138</v>
      </c>
      <c r="S536">
        <v>0</v>
      </c>
      <c r="T536" t="s">
        <v>139</v>
      </c>
      <c r="U536">
        <v>0.032922863711119493</v>
      </c>
      <c r="V536" t="s">
        <v>90</v>
      </c>
      <c r="W536">
        <v>0</v>
      </c>
      <c r="X536" t="s">
        <v>90</v>
      </c>
      <c r="Y536">
        <v>0</v>
      </c>
      <c r="Z536">
        <v>0.32374149315934164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L536">
        <v>0.34</v>
      </c>
      <c r="AN536" t="s">
        <v>4765</v>
      </c>
      <c r="AO536" t="s">
        <v>92</v>
      </c>
      <c r="AP536">
        <v>200000</v>
      </c>
      <c r="AQ536" t="s">
        <v>76</v>
      </c>
      <c r="AS536">
        <v>10000</v>
      </c>
      <c r="AT536" t="s">
        <v>5231</v>
      </c>
      <c r="AU536" t="s">
        <v>78</v>
      </c>
      <c r="AV536" t="s">
        <v>79</v>
      </c>
      <c r="AY536">
        <v>0</v>
      </c>
    </row>
    <row r="537" spans="1:52" ht="12.75">
      <c r="A537" s="2" t="str">
        <f>HYPERLINK("https://ibp.a2mac1.com/costing(costing:projects/details/8191/assembly/5388812)","On Body")</f>
        <v>On Body</v>
      </c>
      <c r="B537">
        <v>5388812</v>
      </c>
      <c r="D537">
        <v>5388435</v>
      </c>
      <c r="F537">
        <v>1</v>
      </c>
      <c r="G537">
        <v>0</v>
      </c>
      <c r="H537">
        <v>0.16107886535063415</v>
      </c>
      <c r="I537">
        <v>0</v>
      </c>
      <c r="J537" t="s">
        <v>90</v>
      </c>
      <c r="K537">
        <v>0</v>
      </c>
      <c r="L537">
        <v>0.16107886535063415</v>
      </c>
      <c r="M537">
        <v>0</v>
      </c>
      <c r="N537">
        <v>0</v>
      </c>
      <c r="O537">
        <v>0.16107886535063415</v>
      </c>
      <c r="P537" t="s">
        <v>90</v>
      </c>
      <c r="Q537">
        <v>0</v>
      </c>
      <c r="R537" t="s">
        <v>90</v>
      </c>
      <c r="S537">
        <v>0</v>
      </c>
      <c r="T537" t="s">
        <v>90</v>
      </c>
      <c r="U537">
        <v>0</v>
      </c>
      <c r="V537" t="s">
        <v>90</v>
      </c>
      <c r="W537">
        <v>0</v>
      </c>
      <c r="X537" t="s">
        <v>90</v>
      </c>
      <c r="Y537">
        <v>0</v>
      </c>
      <c r="Z537">
        <v>0.16107886535063415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69</v>
      </c>
      <c r="AI537">
        <v>56</v>
      </c>
      <c r="AJ537">
        <v>26</v>
      </c>
      <c r="AL537">
        <v>0.187</v>
      </c>
      <c r="AM537" t="s">
        <v>685</v>
      </c>
      <c r="AN537" t="s">
        <v>223</v>
      </c>
      <c r="AO537" t="s">
        <v>92</v>
      </c>
      <c r="AP537">
        <v>200000</v>
      </c>
      <c r="AQ537" t="s">
        <v>92</v>
      </c>
      <c r="AS537">
        <v>10000</v>
      </c>
      <c r="AT537" t="s">
        <v>5236</v>
      </c>
      <c r="AU537" t="s">
        <v>78</v>
      </c>
      <c r="AV537" t="s">
        <v>79</v>
      </c>
      <c r="AY537">
        <v>0</v>
      </c>
    </row>
    <row r="538" spans="1:52" ht="12.75">
      <c r="A538" s="2" t="str">
        <f>HYPERLINK("https://ibp.a2mac1.com/costing(costing:projects/details/8191/assembly/5388813)","On Door")</f>
        <v>On Door</v>
      </c>
      <c r="B538">
        <v>5388813</v>
      </c>
      <c r="D538">
        <v>5388435</v>
      </c>
      <c r="F538">
        <v>1</v>
      </c>
      <c r="G538">
        <v>0</v>
      </c>
      <c r="H538">
        <v>0.079039043200634165</v>
      </c>
      <c r="I538">
        <v>0</v>
      </c>
      <c r="J538" t="s">
        <v>90</v>
      </c>
      <c r="K538">
        <v>0</v>
      </c>
      <c r="L538">
        <v>0.079039043200634165</v>
      </c>
      <c r="M538">
        <v>0</v>
      </c>
      <c r="N538">
        <v>0</v>
      </c>
      <c r="O538">
        <v>0.079039043200634165</v>
      </c>
      <c r="P538" t="s">
        <v>90</v>
      </c>
      <c r="Q538">
        <v>0</v>
      </c>
      <c r="R538" t="s">
        <v>90</v>
      </c>
      <c r="S538">
        <v>0</v>
      </c>
      <c r="T538" t="s">
        <v>90</v>
      </c>
      <c r="U538">
        <v>0</v>
      </c>
      <c r="V538" t="s">
        <v>90</v>
      </c>
      <c r="W538">
        <v>0</v>
      </c>
      <c r="X538" t="s">
        <v>90</v>
      </c>
      <c r="Y538">
        <v>0</v>
      </c>
      <c r="Z538">
        <v>0.079039043200634165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34</v>
      </c>
      <c r="AI538">
        <v>50</v>
      </c>
      <c r="AJ538">
        <v>52</v>
      </c>
      <c r="AL538">
        <v>0.11</v>
      </c>
      <c r="AN538" t="s">
        <v>223</v>
      </c>
      <c r="AO538" t="s">
        <v>92</v>
      </c>
      <c r="AP538">
        <v>200000</v>
      </c>
      <c r="AQ538" t="s">
        <v>92</v>
      </c>
      <c r="AS538">
        <v>10000</v>
      </c>
      <c r="AT538" t="s">
        <v>5241</v>
      </c>
      <c r="AU538" t="s">
        <v>78</v>
      </c>
      <c r="AV538" t="s">
        <v>79</v>
      </c>
      <c r="AY538">
        <v>0</v>
      </c>
    </row>
    <row r="539" spans="1:52" ht="12.75">
      <c r="A539" s="2" t="str">
        <f>HYPERLINK("https://ibp.a2mac1.com/costing(costing:projects/details/8191/assembly/5388814)","Fastners")</f>
        <v>Fastners</v>
      </c>
      <c r="B539">
        <v>5388814</v>
      </c>
      <c r="D539">
        <v>5388435</v>
      </c>
      <c r="F539">
        <v>1</v>
      </c>
      <c r="G539">
        <v>0</v>
      </c>
      <c r="H539">
        <v>0.018460000000000001</v>
      </c>
      <c r="I539">
        <v>0</v>
      </c>
      <c r="J539" t="s">
        <v>90</v>
      </c>
      <c r="K539">
        <v>0</v>
      </c>
      <c r="L539">
        <v>0.018460000000000001</v>
      </c>
      <c r="M539">
        <v>0</v>
      </c>
      <c r="N539">
        <v>0</v>
      </c>
      <c r="O539">
        <v>0.018460000000000001</v>
      </c>
      <c r="P539" t="s">
        <v>90</v>
      </c>
      <c r="Q539">
        <v>0</v>
      </c>
      <c r="R539" t="s">
        <v>90</v>
      </c>
      <c r="S539">
        <v>0</v>
      </c>
      <c r="T539" t="s">
        <v>90</v>
      </c>
      <c r="U539">
        <v>0</v>
      </c>
      <c r="V539" t="s">
        <v>90</v>
      </c>
      <c r="W539">
        <v>0</v>
      </c>
      <c r="X539" t="s">
        <v>90</v>
      </c>
      <c r="Y539">
        <v>0</v>
      </c>
      <c r="Z539">
        <v>0.018460000000000001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N539" t="s">
        <v>223</v>
      </c>
      <c r="AO539" t="s">
        <v>92</v>
      </c>
      <c r="AP539">
        <v>200000</v>
      </c>
      <c r="AQ539" t="s">
        <v>76</v>
      </c>
      <c r="AR539">
        <v>0</v>
      </c>
      <c r="AS539">
        <v>10000</v>
      </c>
      <c r="AT539" t="s">
        <v>9</v>
      </c>
      <c r="AU539" t="s">
        <v>78</v>
      </c>
      <c r="AV539" t="s">
        <v>79</v>
      </c>
      <c r="AY539">
        <v>0</v>
      </c>
    </row>
    <row r="540" spans="1:52" ht="12.75">
      <c r="A540" s="2" t="str">
        <f>HYPERLINK("https://ibp.a2mac1.com/costing(costing:projects/details/8191/assembly/5388435)","Lower")</f>
        <v>Lower</v>
      </c>
      <c r="B540">
        <v>5388435</v>
      </c>
      <c r="D540">
        <v>5388190</v>
      </c>
      <c r="F540">
        <v>1</v>
      </c>
      <c r="G540">
        <v>0</v>
      </c>
      <c r="H540">
        <v>0.25857790855126833</v>
      </c>
      <c r="I540">
        <v>0.0012993864751320017</v>
      </c>
      <c r="J540" t="s">
        <v>137</v>
      </c>
      <c r="K540">
        <v>0.0090502267992943908</v>
      </c>
      <c r="L540">
        <v>0.26892752182569474</v>
      </c>
      <c r="M540">
        <v>0</v>
      </c>
      <c r="N540">
        <v>0</v>
      </c>
      <c r="O540">
        <v>0.26892752182569474</v>
      </c>
      <c r="P540" t="s">
        <v>138</v>
      </c>
      <c r="Q540">
        <v>0.016135651309541681</v>
      </c>
      <c r="R540" t="s">
        <v>138</v>
      </c>
      <c r="S540">
        <v>0</v>
      </c>
      <c r="T540" t="s">
        <v>139</v>
      </c>
      <c r="U540">
        <v>0.032271302619083363</v>
      </c>
      <c r="V540" t="s">
        <v>90</v>
      </c>
      <c r="W540">
        <v>0</v>
      </c>
      <c r="X540" t="s">
        <v>90</v>
      </c>
      <c r="Y540">
        <v>0</v>
      </c>
      <c r="Z540">
        <v>0.31733447575431978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L540">
        <v>0.31900000000000001</v>
      </c>
      <c r="AN540" t="s">
        <v>4765</v>
      </c>
      <c r="AO540" t="s">
        <v>92</v>
      </c>
      <c r="AP540">
        <v>200000</v>
      </c>
      <c r="AQ540" t="s">
        <v>76</v>
      </c>
      <c r="AS540">
        <v>10000</v>
      </c>
      <c r="AT540" t="s">
        <v>5243</v>
      </c>
      <c r="AU540" t="s">
        <v>78</v>
      </c>
      <c r="AV540" t="s">
        <v>79</v>
      </c>
      <c r="AY540">
        <v>0</v>
      </c>
    </row>
    <row r="541" spans="1:52" ht="12.75">
      <c r="A541" s="2" t="str">
        <f>HYPERLINK("https://ibp.a2mac1.com/costing(costing:projects/details/8191/assembly/5388438)","Fastners")</f>
        <v>Fastners</v>
      </c>
      <c r="B541">
        <v>5388438</v>
      </c>
      <c r="D541">
        <v>5388190</v>
      </c>
      <c r="F541">
        <v>1</v>
      </c>
      <c r="G541">
        <v>0</v>
      </c>
      <c r="H541">
        <v>0.03</v>
      </c>
      <c r="I541">
        <v>0</v>
      </c>
      <c r="J541" t="s">
        <v>90</v>
      </c>
      <c r="K541">
        <v>0</v>
      </c>
      <c r="L541">
        <v>0.03</v>
      </c>
      <c r="M541">
        <v>0</v>
      </c>
      <c r="N541">
        <v>0</v>
      </c>
      <c r="O541">
        <v>0.03</v>
      </c>
      <c r="P541" t="s">
        <v>90</v>
      </c>
      <c r="Q541">
        <v>0</v>
      </c>
      <c r="R541" t="s">
        <v>90</v>
      </c>
      <c r="S541">
        <v>0</v>
      </c>
      <c r="T541" t="s">
        <v>90</v>
      </c>
      <c r="U541">
        <v>0</v>
      </c>
      <c r="V541" t="s">
        <v>90</v>
      </c>
      <c r="W541">
        <v>0</v>
      </c>
      <c r="X541" t="s">
        <v>90</v>
      </c>
      <c r="Y541">
        <v>0</v>
      </c>
      <c r="Z541">
        <v>0.03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N541" t="s">
        <v>223</v>
      </c>
      <c r="AO541" t="s">
        <v>92</v>
      </c>
      <c r="AP541">
        <v>200000</v>
      </c>
      <c r="AQ541" t="s">
        <v>76</v>
      </c>
      <c r="AR541">
        <v>0</v>
      </c>
      <c r="AS541">
        <v>10000</v>
      </c>
      <c r="AT541" t="s">
        <v>9</v>
      </c>
      <c r="AU541" t="s">
        <v>78</v>
      </c>
      <c r="AV541" t="s">
        <v>79</v>
      </c>
      <c r="AY541">
        <v>0</v>
      </c>
    </row>
    <row r="542" spans="1:52" ht="12.75">
      <c r="A542" s="2" t="str">
        <f>HYPERLINK("https://ibp.a2mac1.com/costing(costing:projects/details/8191/assembly/5388190)","Hinges")</f>
        <v>Hinges</v>
      </c>
      <c r="B542">
        <v>5388190</v>
      </c>
      <c r="D542">
        <v>5388134</v>
      </c>
      <c r="F542">
        <v>1</v>
      </c>
      <c r="G542">
        <v>0</v>
      </c>
      <c r="H542">
        <v>2.7472459689136612</v>
      </c>
      <c r="I542">
        <v>0</v>
      </c>
      <c r="J542" t="s">
        <v>90</v>
      </c>
      <c r="K542">
        <v>0</v>
      </c>
      <c r="L542">
        <v>2.7472459689136612</v>
      </c>
      <c r="M542">
        <v>0</v>
      </c>
      <c r="N542">
        <v>0</v>
      </c>
      <c r="O542">
        <v>2.7472459689136612</v>
      </c>
      <c r="P542" t="s">
        <v>90</v>
      </c>
      <c r="Q542">
        <v>0</v>
      </c>
      <c r="R542" t="s">
        <v>90</v>
      </c>
      <c r="S542">
        <v>0</v>
      </c>
      <c r="T542" t="s">
        <v>90</v>
      </c>
      <c r="U542">
        <v>0</v>
      </c>
      <c r="V542" t="s">
        <v>90</v>
      </c>
      <c r="W542">
        <v>0</v>
      </c>
      <c r="X542" t="s">
        <v>90</v>
      </c>
      <c r="Y542">
        <v>0</v>
      </c>
      <c r="Z542">
        <v>2.7472459689136612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L542">
        <v>0.83399999999999996</v>
      </c>
      <c r="AN542" t="s">
        <v>223</v>
      </c>
      <c r="AO542" t="s">
        <v>92</v>
      </c>
      <c r="AP542">
        <v>200000</v>
      </c>
      <c r="AQ542" t="s">
        <v>92</v>
      </c>
      <c r="AS542">
        <v>10000</v>
      </c>
      <c r="AT542" t="s">
        <v>5247</v>
      </c>
      <c r="AU542" t="s">
        <v>78</v>
      </c>
      <c r="AV542" t="s">
        <v>79</v>
      </c>
      <c r="AY542">
        <v>0</v>
      </c>
    </row>
    <row r="543" spans="1:52" ht="12.75">
      <c r="A543" s="2" t="str">
        <f>HYPERLINK("https://ibp.a2mac1.com/costing(costing:projects/details/8191/assembly/5388446)","Door ECU")</f>
        <v>Door ECU</v>
      </c>
      <c r="B543">
        <v>5388446</v>
      </c>
      <c r="D543">
        <v>5388191</v>
      </c>
      <c r="F543">
        <v>1</v>
      </c>
      <c r="G543">
        <v>0</v>
      </c>
      <c r="H543">
        <v>7.1756335387435746</v>
      </c>
      <c r="I543">
        <v>0.036058459993686301</v>
      </c>
      <c r="J543" t="s">
        <v>137</v>
      </c>
      <c r="K543">
        <v>0.25114717385602509</v>
      </c>
      <c r="L543">
        <v>7.4628391725932852</v>
      </c>
      <c r="M543">
        <v>0</v>
      </c>
      <c r="N543">
        <v>1.2785334853101133</v>
      </c>
      <c r="O543">
        <v>8.7413726579033995</v>
      </c>
      <c r="P543" t="s">
        <v>138</v>
      </c>
      <c r="Q543">
        <v>0.44777035035559715</v>
      </c>
      <c r="R543" t="s">
        <v>138</v>
      </c>
      <c r="S543">
        <v>0.076712009118606803</v>
      </c>
      <c r="T543" t="s">
        <v>139</v>
      </c>
      <c r="U543">
        <v>1.0489647189484079</v>
      </c>
      <c r="V543" t="s">
        <v>90</v>
      </c>
      <c r="W543">
        <v>0</v>
      </c>
      <c r="X543" t="s">
        <v>90</v>
      </c>
      <c r="Y543">
        <v>0</v>
      </c>
      <c r="Z543">
        <v>10.314819736326012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41</v>
      </c>
      <c r="AI543">
        <v>102</v>
      </c>
      <c r="AJ543">
        <v>104</v>
      </c>
      <c r="AL543">
        <v>0.087999999999999995</v>
      </c>
      <c r="AM543" t="s">
        <v>1355</v>
      </c>
      <c r="AN543" t="s">
        <v>576</v>
      </c>
      <c r="AO543" t="s">
        <v>92</v>
      </c>
      <c r="AP543">
        <v>200000</v>
      </c>
      <c r="AQ543" t="s">
        <v>76</v>
      </c>
      <c r="AS543">
        <v>10000</v>
      </c>
      <c r="AT543" t="s">
        <v>5251</v>
      </c>
      <c r="AU543" t="s">
        <v>78</v>
      </c>
      <c r="AV543" t="s">
        <v>79</v>
      </c>
      <c r="AY543">
        <v>0</v>
      </c>
    </row>
    <row r="544" spans="1:52" ht="12.75">
      <c r="A544" s="2" t="str">
        <f>HYPERLINK("https://ibp.a2mac1.com/costing(costing:projects/details/8191/assembly/5388447)","Fastners")</f>
        <v>Fastners</v>
      </c>
      <c r="B544">
        <v>5388447</v>
      </c>
      <c r="D544">
        <v>5388191</v>
      </c>
      <c r="F544">
        <v>1</v>
      </c>
      <c r="G544">
        <v>0</v>
      </c>
      <c r="H544">
        <v>0.018460000000000001</v>
      </c>
      <c r="I544">
        <v>0</v>
      </c>
      <c r="J544" t="s">
        <v>90</v>
      </c>
      <c r="K544">
        <v>0</v>
      </c>
      <c r="L544">
        <v>0.018460000000000001</v>
      </c>
      <c r="M544">
        <v>0</v>
      </c>
      <c r="N544">
        <v>0</v>
      </c>
      <c r="O544">
        <v>0.018460000000000001</v>
      </c>
      <c r="P544" t="s">
        <v>90</v>
      </c>
      <c r="Q544">
        <v>0</v>
      </c>
      <c r="R544" t="s">
        <v>90</v>
      </c>
      <c r="S544">
        <v>0</v>
      </c>
      <c r="T544" t="s">
        <v>90</v>
      </c>
      <c r="U544">
        <v>0</v>
      </c>
      <c r="V544" t="s">
        <v>90</v>
      </c>
      <c r="W544">
        <v>0</v>
      </c>
      <c r="X544" t="s">
        <v>90</v>
      </c>
      <c r="Y544">
        <v>0</v>
      </c>
      <c r="Z544">
        <v>0.018460000000000001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N544" t="s">
        <v>223</v>
      </c>
      <c r="AO544" t="s">
        <v>92</v>
      </c>
      <c r="AP544">
        <v>200000</v>
      </c>
      <c r="AQ544" t="s">
        <v>92</v>
      </c>
      <c r="AR544">
        <v>0</v>
      </c>
      <c r="AS544">
        <v>10000</v>
      </c>
      <c r="AT544" t="s">
        <v>9</v>
      </c>
      <c r="AU544" t="s">
        <v>78</v>
      </c>
      <c r="AV544" t="s">
        <v>79</v>
      </c>
      <c r="AY544">
        <v>0</v>
      </c>
    </row>
    <row r="545" spans="1:52" ht="12.75">
      <c r="A545" s="2" t="str">
        <f>HYPERLINK("https://ibp.a2mac1.com/costing(costing:projects/details/8191/assembly/5388191)","Power System")</f>
        <v>Power System</v>
      </c>
      <c r="B545">
        <v>5388191</v>
      </c>
      <c r="D545">
        <v>5388134</v>
      </c>
      <c r="F545">
        <v>1</v>
      </c>
      <c r="G545">
        <v>0</v>
      </c>
      <c r="H545">
        <v>23.593049736326012</v>
      </c>
      <c r="I545">
        <v>0</v>
      </c>
      <c r="J545" t="s">
        <v>90</v>
      </c>
      <c r="K545">
        <v>0</v>
      </c>
      <c r="L545">
        <v>23.593049736326012</v>
      </c>
      <c r="M545">
        <v>0</v>
      </c>
      <c r="N545">
        <v>0</v>
      </c>
      <c r="O545">
        <v>23.593049736326012</v>
      </c>
      <c r="P545" t="s">
        <v>90</v>
      </c>
      <c r="Q545">
        <v>0</v>
      </c>
      <c r="R545" t="s">
        <v>90</v>
      </c>
      <c r="S545">
        <v>0</v>
      </c>
      <c r="T545" t="s">
        <v>90</v>
      </c>
      <c r="U545">
        <v>0</v>
      </c>
      <c r="V545" t="s">
        <v>90</v>
      </c>
      <c r="W545">
        <v>0</v>
      </c>
      <c r="X545" t="s">
        <v>90</v>
      </c>
      <c r="Y545">
        <v>0</v>
      </c>
      <c r="Z545">
        <v>23.593049736326012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L545">
        <v>0.51900000000000002</v>
      </c>
      <c r="AN545" t="s">
        <v>223</v>
      </c>
      <c r="AO545" t="s">
        <v>92</v>
      </c>
      <c r="AP545">
        <v>200000</v>
      </c>
      <c r="AQ545" t="s">
        <v>92</v>
      </c>
      <c r="AS545">
        <v>10000</v>
      </c>
      <c r="AT545" t="s">
        <v>5260</v>
      </c>
      <c r="AU545" t="s">
        <v>78</v>
      </c>
      <c r="AV545" t="s">
        <v>79</v>
      </c>
      <c r="AY545">
        <v>0</v>
      </c>
    </row>
    <row r="546" spans="1:52" ht="12.75">
      <c r="A546" s="2" t="str">
        <f>HYPERLINK("https://ibp.a2mac1.com/costing(costing:projects/details/8191/assembly/5388450)","Fastners")</f>
        <v>Fastners</v>
      </c>
      <c r="B546">
        <v>5388450</v>
      </c>
      <c r="D546">
        <v>5388192</v>
      </c>
      <c r="F546">
        <v>1</v>
      </c>
      <c r="G546">
        <v>0</v>
      </c>
      <c r="H546">
        <v>0.046149999999999997</v>
      </c>
      <c r="I546">
        <v>0</v>
      </c>
      <c r="J546" t="s">
        <v>90</v>
      </c>
      <c r="K546">
        <v>0</v>
      </c>
      <c r="L546">
        <v>0.046149999999999997</v>
      </c>
      <c r="M546">
        <v>0</v>
      </c>
      <c r="N546">
        <v>0</v>
      </c>
      <c r="O546">
        <v>0.046149999999999997</v>
      </c>
      <c r="P546" t="s">
        <v>90</v>
      </c>
      <c r="Q546">
        <v>0</v>
      </c>
      <c r="R546" t="s">
        <v>90</v>
      </c>
      <c r="S546">
        <v>0</v>
      </c>
      <c r="T546" t="s">
        <v>90</v>
      </c>
      <c r="U546">
        <v>0</v>
      </c>
      <c r="V546" t="s">
        <v>90</v>
      </c>
      <c r="W546">
        <v>0</v>
      </c>
      <c r="X546" t="s">
        <v>90</v>
      </c>
      <c r="Y546">
        <v>0</v>
      </c>
      <c r="Z546">
        <v>0.046149999999999997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N546" t="s">
        <v>223</v>
      </c>
      <c r="AO546" t="s">
        <v>92</v>
      </c>
      <c r="AP546">
        <v>200000</v>
      </c>
      <c r="AQ546" t="s">
        <v>76</v>
      </c>
      <c r="AR546">
        <v>0</v>
      </c>
      <c r="AS546">
        <v>10000</v>
      </c>
      <c r="AT546" t="s">
        <v>9</v>
      </c>
      <c r="AU546" t="s">
        <v>78</v>
      </c>
      <c r="AV546" t="s">
        <v>79</v>
      </c>
      <c r="AY546">
        <v>0</v>
      </c>
    </row>
    <row r="547" spans="1:52" ht="12.75">
      <c r="A547" s="2" t="str">
        <f>HYPERLINK("https://ibp.a2mac1.com/costing(costing:projects/details/8191/assembly/5388192)","Molding System")</f>
        <v>Molding System</v>
      </c>
      <c r="B547">
        <v>5388192</v>
      </c>
      <c r="D547">
        <v>5388134</v>
      </c>
      <c r="F547">
        <v>1</v>
      </c>
      <c r="G547">
        <v>0</v>
      </c>
      <c r="H547">
        <v>1.7096018137904423</v>
      </c>
      <c r="I547">
        <v>0</v>
      </c>
      <c r="J547" t="s">
        <v>90</v>
      </c>
      <c r="K547">
        <v>0</v>
      </c>
      <c r="L547">
        <v>1.7096018137904423</v>
      </c>
      <c r="M547">
        <v>0</v>
      </c>
      <c r="N547">
        <v>0</v>
      </c>
      <c r="O547">
        <v>1.7096018137904423</v>
      </c>
      <c r="P547" t="s">
        <v>90</v>
      </c>
      <c r="Q547">
        <v>0</v>
      </c>
      <c r="R547" t="s">
        <v>90</v>
      </c>
      <c r="S547">
        <v>0</v>
      </c>
      <c r="T547" t="s">
        <v>90</v>
      </c>
      <c r="U547">
        <v>0</v>
      </c>
      <c r="V547" t="s">
        <v>90</v>
      </c>
      <c r="W547">
        <v>0</v>
      </c>
      <c r="X547" t="s">
        <v>90</v>
      </c>
      <c r="Y547">
        <v>0</v>
      </c>
      <c r="Z547">
        <v>1.7096018137904423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L547">
        <v>0.65290000000000004</v>
      </c>
      <c r="AN547" t="s">
        <v>223</v>
      </c>
      <c r="AO547" t="s">
        <v>92</v>
      </c>
      <c r="AP547">
        <v>200000</v>
      </c>
      <c r="AQ547" t="s">
        <v>76</v>
      </c>
      <c r="AS547">
        <v>10000</v>
      </c>
      <c r="AT547" t="s">
        <v>5276</v>
      </c>
      <c r="AU547" t="s">
        <v>78</v>
      </c>
      <c r="AV547" t="s">
        <v>79</v>
      </c>
      <c r="AY547">
        <v>0</v>
      </c>
    </row>
    <row r="548" spans="1:52" ht="12.75">
      <c r="A548" s="2" t="str">
        <f>HYPERLINK("https://ibp.a2mac1.com/costing(costing:projects/details/8191/assembly/5388193)","Power Controls")</f>
        <v>Power Controls</v>
      </c>
      <c r="B548">
        <v>5388193</v>
      </c>
      <c r="D548">
        <v>5388134</v>
      </c>
      <c r="F548">
        <v>1</v>
      </c>
      <c r="G548">
        <v>0</v>
      </c>
      <c r="H548">
        <v>0.46137</v>
      </c>
      <c r="I548">
        <v>0.0023184422110552765</v>
      </c>
      <c r="J548" t="s">
        <v>137</v>
      </c>
      <c r="K548">
        <v>0.016147950000000001</v>
      </c>
      <c r="L548">
        <v>0.47983639221105528</v>
      </c>
      <c r="M548">
        <v>0</v>
      </c>
      <c r="N548">
        <v>0</v>
      </c>
      <c r="O548">
        <v>0.47983639221105528</v>
      </c>
      <c r="P548" t="s">
        <v>138</v>
      </c>
      <c r="Q548">
        <v>0.028790183532663317</v>
      </c>
      <c r="R548" t="s">
        <v>138</v>
      </c>
      <c r="S548">
        <v>0</v>
      </c>
      <c r="T548" t="s">
        <v>139</v>
      </c>
      <c r="U548">
        <v>0.057580367065326633</v>
      </c>
      <c r="V548" t="s">
        <v>90</v>
      </c>
      <c r="W548">
        <v>0</v>
      </c>
      <c r="X548" t="s">
        <v>90</v>
      </c>
      <c r="Y548">
        <v>0</v>
      </c>
      <c r="Z548">
        <v>0.56620694280904527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L548">
        <v>0.01</v>
      </c>
      <c r="AN548" t="s">
        <v>4605</v>
      </c>
      <c r="AO548" t="s">
        <v>92</v>
      </c>
      <c r="AP548">
        <v>200000</v>
      </c>
      <c r="AQ548" t="s">
        <v>76</v>
      </c>
      <c r="AS548">
        <v>10000</v>
      </c>
      <c r="AT548" t="s">
        <v>5279</v>
      </c>
      <c r="AU548" t="s">
        <v>78</v>
      </c>
      <c r="AV548" t="s">
        <v>79</v>
      </c>
      <c r="AY548">
        <v>0</v>
      </c>
    </row>
    <row r="549" spans="1:52" ht="12.75">
      <c r="A549" s="2" t="str">
        <f>HYPERLINK("https://ibp.a2mac1.com/costing(costing:projects/details/8191/assembly/5388194)","Speaker System")</f>
        <v>Speaker System</v>
      </c>
      <c r="B549">
        <v>5388194</v>
      </c>
      <c r="D549">
        <v>5388134</v>
      </c>
      <c r="F549">
        <v>1</v>
      </c>
      <c r="G549">
        <v>0</v>
      </c>
      <c r="H549">
        <v>4.9458900000000003</v>
      </c>
      <c r="I549">
        <v>0</v>
      </c>
      <c r="J549" t="s">
        <v>90</v>
      </c>
      <c r="K549">
        <v>0</v>
      </c>
      <c r="L549">
        <v>4.9458900000000003</v>
      </c>
      <c r="M549">
        <v>0</v>
      </c>
      <c r="N549">
        <v>0</v>
      </c>
      <c r="O549">
        <v>4.9458900000000003</v>
      </c>
      <c r="P549" t="s">
        <v>90</v>
      </c>
      <c r="Q549">
        <v>0</v>
      </c>
      <c r="R549" t="s">
        <v>90</v>
      </c>
      <c r="S549">
        <v>0</v>
      </c>
      <c r="T549" t="s">
        <v>90</v>
      </c>
      <c r="U549">
        <v>0</v>
      </c>
      <c r="V549" t="s">
        <v>90</v>
      </c>
      <c r="W549">
        <v>0</v>
      </c>
      <c r="X549" t="s">
        <v>90</v>
      </c>
      <c r="Y549">
        <v>0</v>
      </c>
      <c r="Z549">
        <v>4.9458900000000003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L549">
        <v>0.61399999999999999</v>
      </c>
      <c r="AN549" t="s">
        <v>223</v>
      </c>
      <c r="AO549" t="s">
        <v>92</v>
      </c>
      <c r="AP549">
        <v>200000</v>
      </c>
      <c r="AQ549" t="s">
        <v>92</v>
      </c>
      <c r="AS549">
        <v>10000</v>
      </c>
      <c r="AT549" t="s">
        <v>5283</v>
      </c>
      <c r="AU549" t="s">
        <v>78</v>
      </c>
      <c r="AV549" t="s">
        <v>79</v>
      </c>
      <c r="AY549">
        <v>0</v>
      </c>
    </row>
    <row r="550" spans="1:52" ht="12.75">
      <c r="A550" s="2" t="str">
        <f>HYPERLINK("https://ibp.a2mac1.com/costing(costing:projects/details/8191/assembly/5388195)","Fastners")</f>
        <v>Fastners</v>
      </c>
      <c r="B550">
        <v>5388195</v>
      </c>
      <c r="D550">
        <v>5388134</v>
      </c>
      <c r="F550">
        <v>1</v>
      </c>
      <c r="G550">
        <v>0</v>
      </c>
      <c r="H550">
        <v>0.046149999999999997</v>
      </c>
      <c r="I550">
        <v>0</v>
      </c>
      <c r="J550" t="s">
        <v>90</v>
      </c>
      <c r="K550">
        <v>0</v>
      </c>
      <c r="L550">
        <v>0.046149999999999997</v>
      </c>
      <c r="M550">
        <v>0</v>
      </c>
      <c r="N550">
        <v>0</v>
      </c>
      <c r="O550">
        <v>0.046149999999999997</v>
      </c>
      <c r="P550" t="s">
        <v>90</v>
      </c>
      <c r="Q550">
        <v>0</v>
      </c>
      <c r="R550" t="s">
        <v>90</v>
      </c>
      <c r="S550">
        <v>0</v>
      </c>
      <c r="T550" t="s">
        <v>90</v>
      </c>
      <c r="U550">
        <v>0</v>
      </c>
      <c r="V550" t="s">
        <v>90</v>
      </c>
      <c r="W550">
        <v>0</v>
      </c>
      <c r="X550" t="s">
        <v>90</v>
      </c>
      <c r="Y550">
        <v>0</v>
      </c>
      <c r="Z550">
        <v>0.046149999999999997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N550" t="s">
        <v>223</v>
      </c>
      <c r="AO550" t="s">
        <v>92</v>
      </c>
      <c r="AP550">
        <v>200000</v>
      </c>
      <c r="AQ550" t="s">
        <v>76</v>
      </c>
      <c r="AR550">
        <v>0</v>
      </c>
      <c r="AS550">
        <v>10000</v>
      </c>
      <c r="AT550" t="s">
        <v>9</v>
      </c>
      <c r="AU550" t="s">
        <v>78</v>
      </c>
      <c r="AV550" t="s">
        <v>79</v>
      </c>
      <c r="AY550">
        <v>0</v>
      </c>
    </row>
    <row r="551" spans="1:52" ht="12.75">
      <c r="A551" s="2" t="str">
        <f>HYPERLINK("https://ibp.a2mac1.com/costing(costing:projects/details/8191/assembly/5388134)","Rear Door Left")</f>
        <v>Rear Door Left</v>
      </c>
      <c r="B551">
        <v>5388134</v>
      </c>
      <c r="D551">
        <v>5388127</v>
      </c>
      <c r="F551">
        <v>1</v>
      </c>
      <c r="G551">
        <v>0</v>
      </c>
      <c r="H551">
        <v>117.40099474792643</v>
      </c>
      <c r="I551">
        <v>0</v>
      </c>
      <c r="J551" t="s">
        <v>90</v>
      </c>
      <c r="K551">
        <v>0</v>
      </c>
      <c r="L551">
        <v>117.40099474792643</v>
      </c>
      <c r="M551">
        <v>0</v>
      </c>
      <c r="N551">
        <v>0</v>
      </c>
      <c r="O551">
        <v>117.40099474792643</v>
      </c>
      <c r="P551" t="s">
        <v>90</v>
      </c>
      <c r="Q551">
        <v>0</v>
      </c>
      <c r="R551" t="s">
        <v>90</v>
      </c>
      <c r="S551">
        <v>0</v>
      </c>
      <c r="T551" t="s">
        <v>90</v>
      </c>
      <c r="U551">
        <v>0</v>
      </c>
      <c r="V551" t="s">
        <v>90</v>
      </c>
      <c r="W551">
        <v>0</v>
      </c>
      <c r="X551" t="s">
        <v>90</v>
      </c>
      <c r="Y551">
        <v>0</v>
      </c>
      <c r="Z551">
        <v>117.40099474792643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260</v>
      </c>
      <c r="AI551">
        <v>1105</v>
      </c>
      <c r="AJ551">
        <v>1310</v>
      </c>
      <c r="AL551">
        <v>30.395399999999999</v>
      </c>
      <c r="AN551" t="s">
        <v>223</v>
      </c>
      <c r="AO551" t="s">
        <v>92</v>
      </c>
      <c r="AP551">
        <v>200000</v>
      </c>
      <c r="AQ551" t="s">
        <v>92</v>
      </c>
      <c r="AS551">
        <v>10000</v>
      </c>
      <c r="AT551" t="s">
        <v>5287</v>
      </c>
      <c r="AU551" t="s">
        <v>78</v>
      </c>
      <c r="AV551" t="s">
        <v>79</v>
      </c>
      <c r="AY551">
        <v>0</v>
      </c>
    </row>
    <row r="552" spans="1:52" ht="12.75">
      <c r="A552" s="2" t="str">
        <f>HYPERLINK("https://ibp.a2mac1.com/costing(costing:projects/details/8191/assembly/5388815)","On BIW")</f>
        <v>On BIW</v>
      </c>
      <c r="B552">
        <v>5388815</v>
      </c>
      <c r="D552">
        <v>5388453</v>
      </c>
      <c r="F552">
        <v>1</v>
      </c>
      <c r="G552">
        <v>0</v>
      </c>
      <c r="H552">
        <v>0.49262509199056809</v>
      </c>
      <c r="I552">
        <v>0</v>
      </c>
      <c r="J552" t="s">
        <v>90</v>
      </c>
      <c r="K552">
        <v>0</v>
      </c>
      <c r="L552">
        <v>0.49262509199056809</v>
      </c>
      <c r="M552">
        <v>0</v>
      </c>
      <c r="N552">
        <v>0</v>
      </c>
      <c r="O552">
        <v>0.49262509199056809</v>
      </c>
      <c r="P552" t="s">
        <v>90</v>
      </c>
      <c r="Q552">
        <v>0</v>
      </c>
      <c r="R552" t="s">
        <v>90</v>
      </c>
      <c r="S552">
        <v>0</v>
      </c>
      <c r="T552" t="s">
        <v>90</v>
      </c>
      <c r="U552">
        <v>0</v>
      </c>
      <c r="V552" t="s">
        <v>90</v>
      </c>
      <c r="W552">
        <v>0</v>
      </c>
      <c r="X552" t="s">
        <v>90</v>
      </c>
      <c r="Y552">
        <v>0</v>
      </c>
      <c r="Z552">
        <v>0.49262509199056809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N552" t="s">
        <v>223</v>
      </c>
      <c r="AO552" t="s">
        <v>92</v>
      </c>
      <c r="AP552">
        <v>400000</v>
      </c>
      <c r="AQ552" t="s">
        <v>92</v>
      </c>
      <c r="AR552">
        <v>0</v>
      </c>
      <c r="AS552">
        <v>20000</v>
      </c>
      <c r="AT552" t="s">
        <v>9</v>
      </c>
      <c r="AU552" t="s">
        <v>78</v>
      </c>
      <c r="AV552" t="s">
        <v>79</v>
      </c>
      <c r="AY552">
        <v>0</v>
      </c>
    </row>
    <row r="553" spans="1:52" ht="12.75">
      <c r="A553" s="2" t="str">
        <f>HYPERLINK("https://ibp.a2mac1.com/costing(costing:projects/details/8191/assembly/5388816)","On hood")</f>
        <v>On hood</v>
      </c>
      <c r="B553">
        <v>5388816</v>
      </c>
      <c r="D553">
        <v>5388453</v>
      </c>
      <c r="F553">
        <v>1</v>
      </c>
      <c r="G553">
        <v>0</v>
      </c>
      <c r="H553">
        <v>0.69461691023723471</v>
      </c>
      <c r="I553">
        <v>0</v>
      </c>
      <c r="J553" t="s">
        <v>90</v>
      </c>
      <c r="K553">
        <v>0</v>
      </c>
      <c r="L553">
        <v>0.69461691023723471</v>
      </c>
      <c r="M553">
        <v>0</v>
      </c>
      <c r="N553">
        <v>0</v>
      </c>
      <c r="O553">
        <v>0.69461691023723471</v>
      </c>
      <c r="P553" t="s">
        <v>90</v>
      </c>
      <c r="Q553">
        <v>0</v>
      </c>
      <c r="R553" t="s">
        <v>90</v>
      </c>
      <c r="S553">
        <v>0</v>
      </c>
      <c r="T553" t="s">
        <v>90</v>
      </c>
      <c r="U553">
        <v>0</v>
      </c>
      <c r="V553" t="s">
        <v>90</v>
      </c>
      <c r="W553">
        <v>0</v>
      </c>
      <c r="X553" t="s">
        <v>90</v>
      </c>
      <c r="Y553">
        <v>0</v>
      </c>
      <c r="Z553">
        <v>0.69461691023723471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N553" t="s">
        <v>223</v>
      </c>
      <c r="AO553" t="s">
        <v>92</v>
      </c>
      <c r="AP553">
        <v>400000</v>
      </c>
      <c r="AQ553" t="s">
        <v>92</v>
      </c>
      <c r="AR553">
        <v>0</v>
      </c>
      <c r="AS553">
        <v>20000</v>
      </c>
      <c r="AT553" t="s">
        <v>9</v>
      </c>
      <c r="AU553" t="s">
        <v>78</v>
      </c>
      <c r="AV553" t="s">
        <v>79</v>
      </c>
      <c r="AY553">
        <v>0</v>
      </c>
    </row>
    <row r="554" spans="1:52" ht="12.75">
      <c r="A554" s="2" t="str">
        <f>HYPERLINK("https://ibp.a2mac1.com/costing(costing:projects/details/8191/assembly/5388817)","On Joint")</f>
        <v>On Joint</v>
      </c>
      <c r="B554">
        <v>5388817</v>
      </c>
      <c r="D554">
        <v>5388453</v>
      </c>
      <c r="F554">
        <v>1</v>
      </c>
      <c r="G554">
        <v>0</v>
      </c>
      <c r="H554">
        <v>0.655853404070605</v>
      </c>
      <c r="I554">
        <v>0</v>
      </c>
      <c r="J554" t="s">
        <v>90</v>
      </c>
      <c r="K554">
        <v>0</v>
      </c>
      <c r="L554">
        <v>0.655853404070605</v>
      </c>
      <c r="M554">
        <v>0</v>
      </c>
      <c r="N554">
        <v>0</v>
      </c>
      <c r="O554">
        <v>0.655853404070605</v>
      </c>
      <c r="P554" t="s">
        <v>90</v>
      </c>
      <c r="Q554">
        <v>0</v>
      </c>
      <c r="R554" t="s">
        <v>90</v>
      </c>
      <c r="S554">
        <v>0</v>
      </c>
      <c r="T554" t="s">
        <v>90</v>
      </c>
      <c r="U554">
        <v>0</v>
      </c>
      <c r="V554" t="s">
        <v>90</v>
      </c>
      <c r="W554">
        <v>0</v>
      </c>
      <c r="X554" t="s">
        <v>90</v>
      </c>
      <c r="Y554">
        <v>0</v>
      </c>
      <c r="Z554">
        <v>0.655853404070605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N554" t="s">
        <v>223</v>
      </c>
      <c r="AO554" t="s">
        <v>92</v>
      </c>
      <c r="AP554">
        <v>400000</v>
      </c>
      <c r="AQ554" t="s">
        <v>92</v>
      </c>
      <c r="AR554">
        <v>0</v>
      </c>
      <c r="AS554">
        <v>20000</v>
      </c>
      <c r="AT554" t="s">
        <v>9</v>
      </c>
      <c r="AU554" t="s">
        <v>78</v>
      </c>
      <c r="AV554" t="s">
        <v>79</v>
      </c>
      <c r="AY554">
        <v>0</v>
      </c>
    </row>
    <row r="555" spans="1:52" ht="12.75">
      <c r="A555" s="2" t="str">
        <f>HYPERLINK("https://ibp.a2mac1.com/costing(costing:projects/details/8191/assembly/5388453)","Hinges")</f>
        <v>Hinges</v>
      </c>
      <c r="B555">
        <v>5388453</v>
      </c>
      <c r="D555">
        <v>5388198</v>
      </c>
      <c r="F555">
        <v>2</v>
      </c>
      <c r="G555">
        <v>0</v>
      </c>
      <c r="H555">
        <v>3.6861908125968155</v>
      </c>
      <c r="I555">
        <v>0.018523571922597064</v>
      </c>
      <c r="J555" t="s">
        <v>137</v>
      </c>
      <c r="K555">
        <v>0.12901667844088854</v>
      </c>
      <c r="L555">
        <v>3.8337310629603012</v>
      </c>
      <c r="M555">
        <v>0</v>
      </c>
      <c r="N555">
        <v>0</v>
      </c>
      <c r="O555">
        <v>3.8337310629603012</v>
      </c>
      <c r="P555" t="s">
        <v>138</v>
      </c>
      <c r="Q555">
        <v>0.23002386377761808</v>
      </c>
      <c r="R555" t="s">
        <v>138</v>
      </c>
      <c r="S555">
        <v>0</v>
      </c>
      <c r="T555" t="s">
        <v>139</v>
      </c>
      <c r="U555">
        <v>0.46004772755523615</v>
      </c>
      <c r="V555" t="s">
        <v>90</v>
      </c>
      <c r="W555">
        <v>0</v>
      </c>
      <c r="X555" t="s">
        <v>90</v>
      </c>
      <c r="Y555">
        <v>0</v>
      </c>
      <c r="Z555">
        <v>4.5238026542931555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275</v>
      </c>
      <c r="AI555">
        <v>70</v>
      </c>
      <c r="AJ555">
        <v>290</v>
      </c>
      <c r="AL555">
        <v>1.3420000000000001</v>
      </c>
      <c r="AN555" t="s">
        <v>4765</v>
      </c>
      <c r="AO555" t="s">
        <v>92</v>
      </c>
      <c r="AP555">
        <v>400000</v>
      </c>
      <c r="AQ555" t="s">
        <v>76</v>
      </c>
      <c r="AS555">
        <v>20000</v>
      </c>
      <c r="AT555" t="s">
        <v>5306</v>
      </c>
      <c r="AU555" t="s">
        <v>78</v>
      </c>
      <c r="AV555" t="s">
        <v>79</v>
      </c>
      <c r="AY555">
        <v>0</v>
      </c>
    </row>
    <row r="556" spans="1:52" ht="12.75">
      <c r="A556" s="2" t="str">
        <f>HYPERLINK("https://ibp.a2mac1.com/costing(costing:projects/details/8191/assembly/5388454)","Fastners")</f>
        <v>Fastners</v>
      </c>
      <c r="B556">
        <v>5388454</v>
      </c>
      <c r="D556">
        <v>5388198</v>
      </c>
      <c r="F556">
        <v>1</v>
      </c>
      <c r="G556">
        <v>0</v>
      </c>
      <c r="H556">
        <v>0.073800000000000004</v>
      </c>
      <c r="I556">
        <v>0</v>
      </c>
      <c r="J556" t="s">
        <v>90</v>
      </c>
      <c r="K556">
        <v>0</v>
      </c>
      <c r="L556">
        <v>0.073800000000000004</v>
      </c>
      <c r="M556">
        <v>0</v>
      </c>
      <c r="N556">
        <v>0</v>
      </c>
      <c r="O556">
        <v>0.073800000000000004</v>
      </c>
      <c r="P556" t="s">
        <v>90</v>
      </c>
      <c r="Q556">
        <v>0</v>
      </c>
      <c r="R556" t="s">
        <v>90</v>
      </c>
      <c r="S556">
        <v>0</v>
      </c>
      <c r="T556" t="s">
        <v>90</v>
      </c>
      <c r="U556">
        <v>0</v>
      </c>
      <c r="V556" t="s">
        <v>90</v>
      </c>
      <c r="W556">
        <v>0</v>
      </c>
      <c r="X556" t="s">
        <v>90</v>
      </c>
      <c r="Y556">
        <v>0</v>
      </c>
      <c r="Z556">
        <v>0.073800000000000004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N556" t="s">
        <v>223</v>
      </c>
      <c r="AO556" t="s">
        <v>92</v>
      </c>
      <c r="AP556">
        <v>200000</v>
      </c>
      <c r="AQ556" t="s">
        <v>76</v>
      </c>
      <c r="AR556">
        <v>0</v>
      </c>
      <c r="AS556">
        <v>10000</v>
      </c>
      <c r="AT556" t="s">
        <v>9</v>
      </c>
      <c r="AU556" t="s">
        <v>78</v>
      </c>
      <c r="AV556" t="s">
        <v>79</v>
      </c>
      <c r="AY556">
        <v>0</v>
      </c>
    </row>
    <row r="557" spans="1:52" ht="12.75">
      <c r="A557" s="2" t="str">
        <f>HYPERLINK("https://ibp.a2mac1.com/costing(costing:projects/details/8191/assembly/5388198)","Hinges System")</f>
        <v>Hinges System</v>
      </c>
      <c r="B557">
        <v>5388198</v>
      </c>
      <c r="D557">
        <v>5388135</v>
      </c>
      <c r="F557">
        <v>1</v>
      </c>
      <c r="G557">
        <v>0</v>
      </c>
      <c r="H557">
        <v>4.597602654293155</v>
      </c>
      <c r="I557">
        <v>0.023103530926096259</v>
      </c>
      <c r="J557" t="s">
        <v>137</v>
      </c>
      <c r="K557">
        <v>0.16091609290026043</v>
      </c>
      <c r="L557">
        <v>4.7816222781195119</v>
      </c>
      <c r="M557">
        <v>0</v>
      </c>
      <c r="N557">
        <v>0</v>
      </c>
      <c r="O557">
        <v>4.7816222781195119</v>
      </c>
      <c r="P557" t="s">
        <v>138</v>
      </c>
      <c r="Q557">
        <v>0.28689733668717071</v>
      </c>
      <c r="R557" t="s">
        <v>138</v>
      </c>
      <c r="S557">
        <v>0</v>
      </c>
      <c r="T557" t="s">
        <v>139</v>
      </c>
      <c r="U557">
        <v>0.57379467337434142</v>
      </c>
      <c r="V557" t="s">
        <v>90</v>
      </c>
      <c r="W557">
        <v>0</v>
      </c>
      <c r="X557" t="s">
        <v>90</v>
      </c>
      <c r="Y557">
        <v>0</v>
      </c>
      <c r="Z557">
        <v>5.6423142881810247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L557">
        <v>1.706</v>
      </c>
      <c r="AN557" t="s">
        <v>4765</v>
      </c>
      <c r="AO557" t="s">
        <v>92</v>
      </c>
      <c r="AP557">
        <v>200000</v>
      </c>
      <c r="AQ557" t="s">
        <v>76</v>
      </c>
      <c r="AS557">
        <v>10000</v>
      </c>
      <c r="AT557" t="s">
        <v>5308</v>
      </c>
      <c r="AU557" t="s">
        <v>78</v>
      </c>
      <c r="AV557" t="s">
        <v>79</v>
      </c>
      <c r="AY557">
        <v>0</v>
      </c>
    </row>
    <row r="558" spans="1:52" ht="12.75">
      <c r="A558" s="2" t="str">
        <f>HYPERLINK("https://ibp.a2mac1.com/costing(costing:projects/details/8191/assembly/5388463)","Hood Opening Sensor")</f>
        <v>Hood Opening Sensor</v>
      </c>
      <c r="B558">
        <v>5388463</v>
      </c>
      <c r="D558">
        <v>5388199</v>
      </c>
      <c r="E558" t="s">
        <v>5310</v>
      </c>
      <c r="F558">
        <v>1</v>
      </c>
      <c r="G558">
        <v>0</v>
      </c>
      <c r="H558">
        <v>1.7439800000000001</v>
      </c>
      <c r="I558">
        <v>0</v>
      </c>
      <c r="J558" t="s">
        <v>74</v>
      </c>
      <c r="K558">
        <v>0</v>
      </c>
      <c r="L558">
        <v>1.7439800000000001</v>
      </c>
      <c r="M558">
        <v>0</v>
      </c>
      <c r="N558">
        <v>0</v>
      </c>
      <c r="O558">
        <v>1.7439800000000001</v>
      </c>
      <c r="P558" t="s">
        <v>74</v>
      </c>
      <c r="Q558">
        <v>0</v>
      </c>
      <c r="R558" t="s">
        <v>74</v>
      </c>
      <c r="S558">
        <v>0</v>
      </c>
      <c r="T558" t="s">
        <v>74</v>
      </c>
      <c r="U558">
        <v>0</v>
      </c>
      <c r="V558" t="s">
        <v>74</v>
      </c>
      <c r="W558">
        <v>0</v>
      </c>
      <c r="X558" t="s">
        <v>74</v>
      </c>
      <c r="Y558">
        <v>0</v>
      </c>
      <c r="Z558">
        <v>1.7439800000000001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12</v>
      </c>
      <c r="AI558">
        <v>31</v>
      </c>
      <c r="AJ558">
        <v>22</v>
      </c>
      <c r="AL558">
        <v>0.033000000000000002</v>
      </c>
      <c r="AN558" t="s">
        <v>686</v>
      </c>
      <c r="AO558" t="s">
        <v>92</v>
      </c>
      <c r="AP558">
        <v>200000</v>
      </c>
      <c r="AQ558" t="s">
        <v>76</v>
      </c>
      <c r="AS558">
        <v>10000</v>
      </c>
      <c r="AT558" t="s">
        <v>5311</v>
      </c>
      <c r="AU558" t="s">
        <v>78</v>
      </c>
      <c r="AV558" t="s">
        <v>79</v>
      </c>
      <c r="AX558">
        <v>1.7439800000000001</v>
      </c>
      <c r="AY558">
        <v>0</v>
      </c>
    </row>
    <row r="559" spans="1:52" ht="12.75">
      <c r="A559" s="2" t="str">
        <f>HYPERLINK("https://ibp.a2mac1.com/costing(costing:projects/details/8191/assembly/5388465)","Fastners")</f>
        <v>Fastners</v>
      </c>
      <c r="B559">
        <v>5388465</v>
      </c>
      <c r="D559">
        <v>5388199</v>
      </c>
      <c r="F559">
        <v>1</v>
      </c>
      <c r="G559">
        <v>0</v>
      </c>
      <c r="H559">
        <v>0.14760000000000001</v>
      </c>
      <c r="I559">
        <v>0</v>
      </c>
      <c r="J559" t="s">
        <v>90</v>
      </c>
      <c r="K559">
        <v>0</v>
      </c>
      <c r="L559">
        <v>0.14760000000000001</v>
      </c>
      <c r="M559">
        <v>0</v>
      </c>
      <c r="N559">
        <v>0</v>
      </c>
      <c r="O559">
        <v>0.14760000000000001</v>
      </c>
      <c r="P559" t="s">
        <v>90</v>
      </c>
      <c r="Q559">
        <v>0</v>
      </c>
      <c r="R559" t="s">
        <v>90</v>
      </c>
      <c r="S559">
        <v>0</v>
      </c>
      <c r="T559" t="s">
        <v>90</v>
      </c>
      <c r="U559">
        <v>0</v>
      </c>
      <c r="V559" t="s">
        <v>90</v>
      </c>
      <c r="W559">
        <v>0</v>
      </c>
      <c r="X559" t="s">
        <v>90</v>
      </c>
      <c r="Y559">
        <v>0</v>
      </c>
      <c r="Z559">
        <v>0.14760000000000001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N559" t="s">
        <v>223</v>
      </c>
      <c r="AO559" t="s">
        <v>92</v>
      </c>
      <c r="AP559">
        <v>200000</v>
      </c>
      <c r="AQ559" t="s">
        <v>92</v>
      </c>
      <c r="AR559">
        <v>0</v>
      </c>
      <c r="AS559">
        <v>10000</v>
      </c>
      <c r="AT559" t="s">
        <v>9</v>
      </c>
      <c r="AU559" t="s">
        <v>78</v>
      </c>
      <c r="AV559" t="s">
        <v>79</v>
      </c>
      <c r="AY559">
        <v>0</v>
      </c>
    </row>
    <row r="560" spans="1:52" ht="12.75">
      <c r="A560" s="2" t="str">
        <f>HYPERLINK("https://ibp.a2mac1.com/costing(costing:projects/details/8191/assembly/5388199)","Hood Opening Closing Mechanism")</f>
        <v>Hood Opening Closing Mechanism</v>
      </c>
      <c r="B560">
        <v>5388199</v>
      </c>
      <c r="D560">
        <v>5388135</v>
      </c>
      <c r="F560">
        <v>1</v>
      </c>
      <c r="G560">
        <v>0</v>
      </c>
      <c r="H560">
        <v>10.026782650957275</v>
      </c>
      <c r="I560">
        <v>0</v>
      </c>
      <c r="J560" t="s">
        <v>90</v>
      </c>
      <c r="K560">
        <v>0</v>
      </c>
      <c r="L560">
        <v>10.026782650957275</v>
      </c>
      <c r="M560">
        <v>0</v>
      </c>
      <c r="N560">
        <v>0</v>
      </c>
      <c r="O560">
        <v>10.026782650957275</v>
      </c>
      <c r="P560" t="s">
        <v>90</v>
      </c>
      <c r="Q560">
        <v>0</v>
      </c>
      <c r="R560" t="s">
        <v>90</v>
      </c>
      <c r="S560">
        <v>0</v>
      </c>
      <c r="T560" t="s">
        <v>90</v>
      </c>
      <c r="U560">
        <v>0</v>
      </c>
      <c r="V560" t="s">
        <v>90</v>
      </c>
      <c r="W560">
        <v>0</v>
      </c>
      <c r="X560" t="s">
        <v>90</v>
      </c>
      <c r="Y560">
        <v>0</v>
      </c>
      <c r="Z560">
        <v>10.026782650957275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L560">
        <v>0.83599999999999997</v>
      </c>
      <c r="AN560" t="s">
        <v>223</v>
      </c>
      <c r="AO560" t="s">
        <v>92</v>
      </c>
      <c r="AP560">
        <v>200000</v>
      </c>
      <c r="AQ560" t="s">
        <v>92</v>
      </c>
      <c r="AS560">
        <v>10000</v>
      </c>
      <c r="AT560" t="s">
        <v>5354</v>
      </c>
      <c r="AU560" t="s">
        <v>78</v>
      </c>
      <c r="AV560" t="s">
        <v>79</v>
      </c>
      <c r="AY560">
        <v>0</v>
      </c>
    </row>
    <row r="561" spans="1:52" ht="12.75">
      <c r="A561" s="2" t="str">
        <f>HYPERLINK("https://ibp.a2mac1.com/costing(costing:projects/details/8191/assembly/5388200)","Sealing")</f>
        <v>Sealing</v>
      </c>
      <c r="B561">
        <v>5388200</v>
      </c>
      <c r="D561">
        <v>5388135</v>
      </c>
      <c r="F561">
        <v>1</v>
      </c>
      <c r="G561">
        <v>0</v>
      </c>
      <c r="H561">
        <v>2.7840708156608067</v>
      </c>
      <c r="I561">
        <v>0</v>
      </c>
      <c r="J561" t="s">
        <v>90</v>
      </c>
      <c r="K561">
        <v>0</v>
      </c>
      <c r="L561">
        <v>2.7840708156608067</v>
      </c>
      <c r="M561">
        <v>0</v>
      </c>
      <c r="N561">
        <v>0</v>
      </c>
      <c r="O561">
        <v>2.7840708156608067</v>
      </c>
      <c r="P561" t="s">
        <v>90</v>
      </c>
      <c r="Q561">
        <v>0</v>
      </c>
      <c r="R561" t="s">
        <v>90</v>
      </c>
      <c r="S561">
        <v>0</v>
      </c>
      <c r="T561" t="s">
        <v>90</v>
      </c>
      <c r="U561">
        <v>0</v>
      </c>
      <c r="V561" t="s">
        <v>90</v>
      </c>
      <c r="W561">
        <v>0</v>
      </c>
      <c r="X561" t="s">
        <v>90</v>
      </c>
      <c r="Y561">
        <v>0</v>
      </c>
      <c r="Z561">
        <v>2.7840708156608067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L561">
        <v>0.84899999999999998</v>
      </c>
      <c r="AN561" t="s">
        <v>223</v>
      </c>
      <c r="AO561" t="s">
        <v>92</v>
      </c>
      <c r="AP561">
        <v>200000</v>
      </c>
      <c r="AQ561" t="s">
        <v>92</v>
      </c>
      <c r="AS561">
        <v>10000</v>
      </c>
      <c r="AT561" t="s">
        <v>5364</v>
      </c>
      <c r="AU561" t="s">
        <v>78</v>
      </c>
      <c r="AV561" t="s">
        <v>79</v>
      </c>
      <c r="AY561">
        <v>0</v>
      </c>
    </row>
    <row r="562" spans="1:52" ht="12.75">
      <c r="A562" s="2" t="str">
        <f>HYPERLINK("https://ibp.a2mac1.com/costing(costing:projects/details/8191/assembly/5388473)","Fastners")</f>
        <v>Fastners</v>
      </c>
      <c r="B562">
        <v>5388473</v>
      </c>
      <c r="D562">
        <v>5388201</v>
      </c>
      <c r="F562">
        <v>1</v>
      </c>
      <c r="G562">
        <v>0</v>
      </c>
      <c r="H562">
        <v>0.018460000000000001</v>
      </c>
      <c r="I562">
        <v>0</v>
      </c>
      <c r="J562" t="s">
        <v>90</v>
      </c>
      <c r="K562">
        <v>0</v>
      </c>
      <c r="L562">
        <v>0.018460000000000001</v>
      </c>
      <c r="M562">
        <v>0</v>
      </c>
      <c r="N562">
        <v>0</v>
      </c>
      <c r="O562">
        <v>0.018460000000000001</v>
      </c>
      <c r="P562" t="s">
        <v>90</v>
      </c>
      <c r="Q562">
        <v>0</v>
      </c>
      <c r="R562" t="s">
        <v>90</v>
      </c>
      <c r="S562">
        <v>0</v>
      </c>
      <c r="T562" t="s">
        <v>90</v>
      </c>
      <c r="U562">
        <v>0</v>
      </c>
      <c r="V562" t="s">
        <v>90</v>
      </c>
      <c r="W562">
        <v>0</v>
      </c>
      <c r="X562" t="s">
        <v>90</v>
      </c>
      <c r="Y562">
        <v>0</v>
      </c>
      <c r="Z562">
        <v>0.018460000000000001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N562" t="s">
        <v>223</v>
      </c>
      <c r="AO562" t="s">
        <v>92</v>
      </c>
      <c r="AP562">
        <v>200000</v>
      </c>
      <c r="AQ562" t="s">
        <v>92</v>
      </c>
      <c r="AR562">
        <v>0</v>
      </c>
      <c r="AS562">
        <v>10000</v>
      </c>
      <c r="AT562" t="s">
        <v>9</v>
      </c>
      <c r="AU562" t="s">
        <v>78</v>
      </c>
      <c r="AV562" t="s">
        <v>79</v>
      </c>
      <c r="AY562">
        <v>0</v>
      </c>
    </row>
    <row r="563" spans="1:52" ht="12.75">
      <c r="A563" s="2" t="str">
        <f>HYPERLINK("https://ibp.a2mac1.com/costing(costing:projects/details/8191/assembly/5388201)","Stoppers")</f>
        <v>Stoppers</v>
      </c>
      <c r="B563">
        <v>5388201</v>
      </c>
      <c r="D563">
        <v>5388135</v>
      </c>
      <c r="F563">
        <v>1</v>
      </c>
      <c r="G563">
        <v>0</v>
      </c>
      <c r="H563">
        <v>0.61818381320566584</v>
      </c>
      <c r="I563">
        <v>0</v>
      </c>
      <c r="J563" t="s">
        <v>90</v>
      </c>
      <c r="K563">
        <v>0</v>
      </c>
      <c r="L563">
        <v>0.61818381320566584</v>
      </c>
      <c r="M563">
        <v>0</v>
      </c>
      <c r="N563">
        <v>0</v>
      </c>
      <c r="O563">
        <v>0.61818381320566584</v>
      </c>
      <c r="P563" t="s">
        <v>90</v>
      </c>
      <c r="Q563">
        <v>0</v>
      </c>
      <c r="R563" t="s">
        <v>90</v>
      </c>
      <c r="S563">
        <v>0</v>
      </c>
      <c r="T563" t="s">
        <v>90</v>
      </c>
      <c r="U563">
        <v>0</v>
      </c>
      <c r="V563" t="s">
        <v>90</v>
      </c>
      <c r="W563">
        <v>0</v>
      </c>
      <c r="X563" t="s">
        <v>90</v>
      </c>
      <c r="Y563">
        <v>0</v>
      </c>
      <c r="Z563">
        <v>0.61818381320566584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L563">
        <v>0.29599999999999999</v>
      </c>
      <c r="AN563" t="s">
        <v>223</v>
      </c>
      <c r="AO563" t="s">
        <v>92</v>
      </c>
      <c r="AP563">
        <v>200000</v>
      </c>
      <c r="AQ563" t="s">
        <v>92</v>
      </c>
      <c r="AS563">
        <v>10000</v>
      </c>
      <c r="AT563" t="s">
        <v>5387</v>
      </c>
      <c r="AU563" t="s">
        <v>78</v>
      </c>
      <c r="AV563" t="s">
        <v>79</v>
      </c>
      <c r="AY563">
        <v>0</v>
      </c>
    </row>
    <row r="564" spans="1:52" ht="12.75">
      <c r="A564" s="2" t="str">
        <f>HYPERLINK("https://ibp.a2mac1.com/costing(costing:projects/details/8191/assembly/5388202)","Hood Check Fixing")</f>
        <v>Hood Check Fixing</v>
      </c>
      <c r="B564">
        <v>5388202</v>
      </c>
      <c r="D564">
        <v>5388135</v>
      </c>
      <c r="F564">
        <v>1</v>
      </c>
      <c r="G564">
        <v>0</v>
      </c>
      <c r="H564">
        <v>0.0055580264261500525</v>
      </c>
      <c r="I564">
        <v>2.7929781035929911E-05</v>
      </c>
      <c r="J564" t="s">
        <v>137</v>
      </c>
      <c r="K564">
        <v>0.00019453092491525183</v>
      </c>
      <c r="L564">
        <v>0.0057804871321012335</v>
      </c>
      <c r="M564">
        <v>0</v>
      </c>
      <c r="N564">
        <v>0</v>
      </c>
      <c r="O564">
        <v>0.0057804871321012335</v>
      </c>
      <c r="P564" t="s">
        <v>138</v>
      </c>
      <c r="Q564">
        <v>0.00034682922792607406</v>
      </c>
      <c r="R564" t="s">
        <v>138</v>
      </c>
      <c r="S564">
        <v>0</v>
      </c>
      <c r="T564" t="s">
        <v>139</v>
      </c>
      <c r="U564">
        <v>0.00069365845585214812</v>
      </c>
      <c r="V564" t="s">
        <v>90</v>
      </c>
      <c r="W564">
        <v>0</v>
      </c>
      <c r="X564" t="s">
        <v>90</v>
      </c>
      <c r="Y564">
        <v>0</v>
      </c>
      <c r="Z564">
        <v>0.0068209748158794556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L564">
        <v>0.002</v>
      </c>
      <c r="AN564" t="s">
        <v>4605</v>
      </c>
      <c r="AO564" t="s">
        <v>92</v>
      </c>
      <c r="AP564">
        <v>200000</v>
      </c>
      <c r="AQ564" t="s">
        <v>76</v>
      </c>
      <c r="AS564">
        <v>10000</v>
      </c>
      <c r="AT564" t="s">
        <v>5393</v>
      </c>
      <c r="AU564" t="s">
        <v>78</v>
      </c>
      <c r="AV564" t="s">
        <v>79</v>
      </c>
      <c r="AY564">
        <v>0</v>
      </c>
    </row>
    <row r="565" spans="1:52" ht="12.75">
      <c r="A565" s="2" t="str">
        <f>HYPERLINK("https://ibp.a2mac1.com/costing(costing:projects/details/8191/assembly/5388818)","Lining")</f>
        <v>Lining</v>
      </c>
      <c r="B565">
        <v>5388818</v>
      </c>
      <c r="D565">
        <v>5388475</v>
      </c>
      <c r="F565">
        <v>1</v>
      </c>
      <c r="G565">
        <v>0</v>
      </c>
      <c r="H565">
        <v>4.8627246318201536</v>
      </c>
      <c r="I565">
        <v>0</v>
      </c>
      <c r="J565" t="s">
        <v>90</v>
      </c>
      <c r="K565">
        <v>0</v>
      </c>
      <c r="L565">
        <v>4.8627246318201536</v>
      </c>
      <c r="M565">
        <v>0</v>
      </c>
      <c r="N565">
        <v>0</v>
      </c>
      <c r="O565">
        <v>4.8627246318201536</v>
      </c>
      <c r="P565" t="s">
        <v>90</v>
      </c>
      <c r="Q565">
        <v>0</v>
      </c>
      <c r="R565" t="s">
        <v>90</v>
      </c>
      <c r="S565">
        <v>0</v>
      </c>
      <c r="T565" t="s">
        <v>90</v>
      </c>
      <c r="U565">
        <v>0</v>
      </c>
      <c r="V565" t="s">
        <v>90</v>
      </c>
      <c r="W565">
        <v>0</v>
      </c>
      <c r="X565" t="s">
        <v>90</v>
      </c>
      <c r="Y565">
        <v>0</v>
      </c>
      <c r="Z565">
        <v>4.8627246318201536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N565" t="s">
        <v>223</v>
      </c>
      <c r="AO565" t="s">
        <v>92</v>
      </c>
      <c r="AP565">
        <v>200000</v>
      </c>
      <c r="AQ565" t="s">
        <v>92</v>
      </c>
      <c r="AR565">
        <v>0</v>
      </c>
      <c r="AS565">
        <v>10000</v>
      </c>
      <c r="AT565" t="s">
        <v>9</v>
      </c>
      <c r="AU565" t="s">
        <v>78</v>
      </c>
      <c r="AV565" t="s">
        <v>79</v>
      </c>
      <c r="AY565">
        <v>0</v>
      </c>
    </row>
    <row r="566" spans="1:52" ht="12.75">
      <c r="A566" s="2" t="str">
        <f>HYPERLINK("https://ibp.a2mac1.com/costing(costing:projects/details/8191/assembly/5388819)","Fixing parts")</f>
        <v>Fixing parts</v>
      </c>
      <c r="B566">
        <v>5388819</v>
      </c>
      <c r="D566">
        <v>5388475</v>
      </c>
      <c r="F566">
        <v>1</v>
      </c>
      <c r="G566">
        <v>0</v>
      </c>
      <c r="H566">
        <v>1.7718384588561857</v>
      </c>
      <c r="I566">
        <v>0</v>
      </c>
      <c r="J566" t="s">
        <v>90</v>
      </c>
      <c r="K566">
        <v>0</v>
      </c>
      <c r="L566">
        <v>1.7718384588561857</v>
      </c>
      <c r="M566">
        <v>0</v>
      </c>
      <c r="N566">
        <v>0</v>
      </c>
      <c r="O566">
        <v>1.7718384588561857</v>
      </c>
      <c r="P566" t="s">
        <v>90</v>
      </c>
      <c r="Q566">
        <v>0</v>
      </c>
      <c r="R566" t="s">
        <v>90</v>
      </c>
      <c r="S566">
        <v>0</v>
      </c>
      <c r="T566" t="s">
        <v>90</v>
      </c>
      <c r="U566">
        <v>0</v>
      </c>
      <c r="V566" t="s">
        <v>90</v>
      </c>
      <c r="W566">
        <v>0</v>
      </c>
      <c r="X566" t="s">
        <v>90</v>
      </c>
      <c r="Y566">
        <v>0</v>
      </c>
      <c r="Z566">
        <v>1.7718384588561857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N566" t="s">
        <v>223</v>
      </c>
      <c r="AO566" t="s">
        <v>92</v>
      </c>
      <c r="AP566">
        <v>200000</v>
      </c>
      <c r="AQ566" t="s">
        <v>92</v>
      </c>
      <c r="AR566">
        <v>0</v>
      </c>
      <c r="AS566">
        <v>10000</v>
      </c>
      <c r="AT566" t="s">
        <v>9</v>
      </c>
      <c r="AU566" t="s">
        <v>78</v>
      </c>
      <c r="AV566" t="s">
        <v>79</v>
      </c>
      <c r="AY566">
        <v>0</v>
      </c>
    </row>
    <row r="567" spans="1:52" ht="12.75">
      <c r="A567" s="2" t="str">
        <f>HYPERLINK("https://ibp.a2mac1.com/costing(costing:projects/details/8191/assembly/5388475)","Lining assy")</f>
        <v>Lining assy</v>
      </c>
      <c r="B567">
        <v>5388475</v>
      </c>
      <c r="D567">
        <v>5388203</v>
      </c>
      <c r="F567">
        <v>1</v>
      </c>
      <c r="G567">
        <v>0</v>
      </c>
      <c r="H567">
        <v>6.6345630906763393</v>
      </c>
      <c r="I567">
        <v>0</v>
      </c>
      <c r="J567" t="s">
        <v>90</v>
      </c>
      <c r="K567">
        <v>0</v>
      </c>
      <c r="L567">
        <v>6.6345630906763393</v>
      </c>
      <c r="M567">
        <v>0</v>
      </c>
      <c r="N567">
        <v>0</v>
      </c>
      <c r="O567">
        <v>6.6345630906763393</v>
      </c>
      <c r="P567" t="s">
        <v>90</v>
      </c>
      <c r="Q567">
        <v>0</v>
      </c>
      <c r="R567" t="s">
        <v>90</v>
      </c>
      <c r="S567">
        <v>0</v>
      </c>
      <c r="T567" t="s">
        <v>90</v>
      </c>
      <c r="U567">
        <v>0</v>
      </c>
      <c r="V567" t="s">
        <v>90</v>
      </c>
      <c r="W567">
        <v>0</v>
      </c>
      <c r="X567" t="s">
        <v>90</v>
      </c>
      <c r="Y567">
        <v>0</v>
      </c>
      <c r="Z567">
        <v>6.6345630906763393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N567" t="s">
        <v>223</v>
      </c>
      <c r="AO567" t="s">
        <v>92</v>
      </c>
      <c r="AP567">
        <v>200000</v>
      </c>
      <c r="AQ567" t="s">
        <v>92</v>
      </c>
      <c r="AR567">
        <v>0</v>
      </c>
      <c r="AS567">
        <v>10000</v>
      </c>
      <c r="AT567" t="s">
        <v>9</v>
      </c>
      <c r="AU567" t="s">
        <v>78</v>
      </c>
      <c r="AV567" t="s">
        <v>79</v>
      </c>
      <c r="AY567">
        <v>0</v>
      </c>
    </row>
    <row r="568" spans="1:52" ht="12.75">
      <c r="A568" s="2" t="str">
        <f>HYPERLINK("https://ibp.a2mac1.com/costing(costing:projects/details/8191/assembly/5388476)","Outer panel")</f>
        <v>Outer panel</v>
      </c>
      <c r="B568">
        <v>5388476</v>
      </c>
      <c r="D568">
        <v>5388203</v>
      </c>
      <c r="F568">
        <v>1</v>
      </c>
      <c r="G568">
        <v>0</v>
      </c>
      <c r="H568">
        <v>3.9070843952334871</v>
      </c>
      <c r="I568">
        <v>0</v>
      </c>
      <c r="J568" t="s">
        <v>90</v>
      </c>
      <c r="K568">
        <v>0</v>
      </c>
      <c r="L568">
        <v>3.9070843952334871</v>
      </c>
      <c r="M568">
        <v>0</v>
      </c>
      <c r="N568">
        <v>0</v>
      </c>
      <c r="O568">
        <v>3.9070843952334871</v>
      </c>
      <c r="P568" t="s">
        <v>90</v>
      </c>
      <c r="Q568">
        <v>0</v>
      </c>
      <c r="R568" t="s">
        <v>90</v>
      </c>
      <c r="S568">
        <v>0</v>
      </c>
      <c r="T568" t="s">
        <v>90</v>
      </c>
      <c r="U568">
        <v>0</v>
      </c>
      <c r="V568" t="s">
        <v>90</v>
      </c>
      <c r="W568">
        <v>0</v>
      </c>
      <c r="X568" t="s">
        <v>90</v>
      </c>
      <c r="Y568">
        <v>0</v>
      </c>
      <c r="Z568">
        <v>3.9070843952334871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N568" t="s">
        <v>223</v>
      </c>
      <c r="AO568" t="s">
        <v>92</v>
      </c>
      <c r="AP568">
        <v>200000</v>
      </c>
      <c r="AQ568" t="s">
        <v>92</v>
      </c>
      <c r="AR568">
        <v>0</v>
      </c>
      <c r="AS568">
        <v>10000</v>
      </c>
      <c r="AT568" t="s">
        <v>9</v>
      </c>
      <c r="AU568" t="s">
        <v>78</v>
      </c>
      <c r="AV568" t="s">
        <v>79</v>
      </c>
      <c r="AY568">
        <v>0</v>
      </c>
    </row>
    <row r="569" spans="1:52" ht="12.75">
      <c r="A569" s="2" t="str">
        <f>HYPERLINK("https://ibp.a2mac1.com/costing(costing:projects/details/8191/assembly/5388203)","Hood")</f>
        <v>Hood</v>
      </c>
      <c r="B569">
        <v>5388203</v>
      </c>
      <c r="D569">
        <v>5388135</v>
      </c>
      <c r="E569" t="e">
        <v>#VALUE!</v>
      </c>
      <c r="F569">
        <v>1</v>
      </c>
      <c r="G569">
        <v>0</v>
      </c>
      <c r="H569">
        <v>10.541647485909825</v>
      </c>
      <c r="I569">
        <v>0.052973102944270482</v>
      </c>
      <c r="J569" t="s">
        <v>137</v>
      </c>
      <c r="K569">
        <v>0.36895766200684393</v>
      </c>
      <c r="L569">
        <v>10.963578250860941</v>
      </c>
      <c r="M569">
        <v>0</v>
      </c>
      <c r="N569">
        <v>1.1797288290464552</v>
      </c>
      <c r="O569">
        <v>12.143307079907396</v>
      </c>
      <c r="P569" t="s">
        <v>90</v>
      </c>
      <c r="Q569">
        <v>0</v>
      </c>
      <c r="R569" t="s">
        <v>90</v>
      </c>
      <c r="S569">
        <v>0</v>
      </c>
      <c r="T569" t="s">
        <v>90</v>
      </c>
      <c r="U569">
        <v>0</v>
      </c>
      <c r="V569" t="s">
        <v>90</v>
      </c>
      <c r="W569">
        <v>0</v>
      </c>
      <c r="X569" t="s">
        <v>90</v>
      </c>
      <c r="Y569">
        <v>0</v>
      </c>
      <c r="Z569">
        <v>12.143307079907396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941</v>
      </c>
      <c r="AI569">
        <v>1580</v>
      </c>
      <c r="AJ569">
        <v>119</v>
      </c>
      <c r="AK569">
        <v>0</v>
      </c>
      <c r="AL569">
        <v>12.625</v>
      </c>
      <c r="AN569" t="s">
        <v>4668</v>
      </c>
      <c r="AO569" t="s">
        <v>92</v>
      </c>
      <c r="AP569">
        <v>200000</v>
      </c>
      <c r="AQ569" t="s">
        <v>92</v>
      </c>
      <c r="AS569">
        <v>10000</v>
      </c>
      <c r="AT569" t="s">
        <v>5420</v>
      </c>
      <c r="AU569" t="s">
        <v>78</v>
      </c>
      <c r="AV569" t="s">
        <v>79</v>
      </c>
      <c r="AY569">
        <v>0</v>
      </c>
    </row>
    <row r="570" spans="1:52" ht="12.75">
      <c r="A570" s="2" t="str">
        <f>HYPERLINK("https://ibp.a2mac1.com/costing(costing:projects/details/8191/assembly/5388204)","Fastners")</f>
        <v>Fastners</v>
      </c>
      <c r="B570">
        <v>5388204</v>
      </c>
      <c r="D570">
        <v>5388135</v>
      </c>
      <c r="F570">
        <v>1</v>
      </c>
      <c r="G570">
        <v>0</v>
      </c>
      <c r="H570">
        <v>0.11070000000000001</v>
      </c>
      <c r="I570">
        <v>0</v>
      </c>
      <c r="J570" t="s">
        <v>90</v>
      </c>
      <c r="K570">
        <v>0</v>
      </c>
      <c r="L570">
        <v>0.11070000000000001</v>
      </c>
      <c r="M570">
        <v>0</v>
      </c>
      <c r="N570">
        <v>0</v>
      </c>
      <c r="O570">
        <v>0.11070000000000001</v>
      </c>
      <c r="P570" t="s">
        <v>90</v>
      </c>
      <c r="Q570">
        <v>0</v>
      </c>
      <c r="R570" t="s">
        <v>90</v>
      </c>
      <c r="S570">
        <v>0</v>
      </c>
      <c r="T570" t="s">
        <v>90</v>
      </c>
      <c r="U570">
        <v>0</v>
      </c>
      <c r="V570" t="s">
        <v>90</v>
      </c>
      <c r="W570">
        <v>0</v>
      </c>
      <c r="X570" t="s">
        <v>90</v>
      </c>
      <c r="Y570">
        <v>0</v>
      </c>
      <c r="Z570">
        <v>0.11070000000000001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N570" t="s">
        <v>223</v>
      </c>
      <c r="AO570" t="s">
        <v>92</v>
      </c>
      <c r="AP570">
        <v>200000</v>
      </c>
      <c r="AQ570" t="s">
        <v>92</v>
      </c>
      <c r="AR570">
        <v>0</v>
      </c>
      <c r="AS570">
        <v>10000</v>
      </c>
      <c r="AT570" t="s">
        <v>9</v>
      </c>
      <c r="AU570" t="s">
        <v>78</v>
      </c>
      <c r="AV570" t="s">
        <v>79</v>
      </c>
      <c r="AY570">
        <v>0</v>
      </c>
    </row>
    <row r="571" spans="1:52" ht="12.75">
      <c r="A571" s="2" t="str">
        <f>HYPERLINK("https://ibp.a2mac1.com/costing(costing:projects/details/8191/assembly/5388135)","Hood")</f>
        <v>Hood</v>
      </c>
      <c r="B571">
        <v>5388135</v>
      </c>
      <c r="D571">
        <v>5388127</v>
      </c>
      <c r="F571">
        <v>1</v>
      </c>
      <c r="G571">
        <v>0</v>
      </c>
      <c r="H571">
        <v>32.716279622728045</v>
      </c>
      <c r="I571">
        <v>0</v>
      </c>
      <c r="J571" t="s">
        <v>90</v>
      </c>
      <c r="K571">
        <v>0</v>
      </c>
      <c r="L571">
        <v>32.716279622728045</v>
      </c>
      <c r="M571">
        <v>0</v>
      </c>
      <c r="N571">
        <v>0</v>
      </c>
      <c r="O571">
        <v>32.716279622728045</v>
      </c>
      <c r="P571" t="s">
        <v>90</v>
      </c>
      <c r="Q571">
        <v>0</v>
      </c>
      <c r="R571" t="s">
        <v>90</v>
      </c>
      <c r="S571">
        <v>0</v>
      </c>
      <c r="T571" t="s">
        <v>90</v>
      </c>
      <c r="U571">
        <v>0</v>
      </c>
      <c r="V571" t="s">
        <v>90</v>
      </c>
      <c r="W571">
        <v>0</v>
      </c>
      <c r="X571" t="s">
        <v>90</v>
      </c>
      <c r="Y571">
        <v>0</v>
      </c>
      <c r="Z571">
        <v>32.716279622728045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890</v>
      </c>
      <c r="AI571">
        <v>1580</v>
      </c>
      <c r="AJ571">
        <v>165</v>
      </c>
      <c r="AL571">
        <v>16.707899999999999</v>
      </c>
      <c r="AN571" t="s">
        <v>223</v>
      </c>
      <c r="AO571" t="s">
        <v>92</v>
      </c>
      <c r="AP571">
        <v>200000</v>
      </c>
      <c r="AQ571" t="s">
        <v>92</v>
      </c>
      <c r="AS571">
        <v>10000</v>
      </c>
      <c r="AT571" t="s">
        <v>5426</v>
      </c>
      <c r="AU571" t="s">
        <v>78</v>
      </c>
      <c r="AV571" t="s">
        <v>79</v>
      </c>
      <c r="AY571">
        <v>0</v>
      </c>
    </row>
    <row r="572" spans="1:52" ht="12.75">
      <c r="A572" s="2" t="str">
        <f>HYPERLINK("https://ibp.a2mac1.com/costing(costing:projects/details/8191/assembly/5388821)","Lining")</f>
        <v>Lining</v>
      </c>
      <c r="B572">
        <v>5388821</v>
      </c>
      <c r="D572">
        <v>5388477</v>
      </c>
      <c r="F572">
        <v>1</v>
      </c>
      <c r="G572">
        <v>0</v>
      </c>
      <c r="H572">
        <v>15.746481983636187</v>
      </c>
      <c r="I572">
        <v>0</v>
      </c>
      <c r="J572" t="s">
        <v>90</v>
      </c>
      <c r="K572">
        <v>0</v>
      </c>
      <c r="L572">
        <v>15.746481983636187</v>
      </c>
      <c r="M572">
        <v>0</v>
      </c>
      <c r="N572">
        <v>0</v>
      </c>
      <c r="O572">
        <v>15.746481983636187</v>
      </c>
      <c r="P572" t="s">
        <v>90</v>
      </c>
      <c r="Q572">
        <v>0</v>
      </c>
      <c r="R572" t="s">
        <v>90</v>
      </c>
      <c r="S572">
        <v>0</v>
      </c>
      <c r="T572" t="s">
        <v>90</v>
      </c>
      <c r="U572">
        <v>0</v>
      </c>
      <c r="V572" t="s">
        <v>90</v>
      </c>
      <c r="W572">
        <v>0</v>
      </c>
      <c r="X572" t="s">
        <v>90</v>
      </c>
      <c r="Y572">
        <v>0</v>
      </c>
      <c r="Z572">
        <v>15.746481983636187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N572" t="s">
        <v>223</v>
      </c>
      <c r="AO572" t="s">
        <v>92</v>
      </c>
      <c r="AP572">
        <v>200000</v>
      </c>
      <c r="AQ572" t="s">
        <v>92</v>
      </c>
      <c r="AR572">
        <v>0</v>
      </c>
      <c r="AS572">
        <v>10000</v>
      </c>
      <c r="AT572" t="s">
        <v>9</v>
      </c>
      <c r="AU572" t="s">
        <v>78</v>
      </c>
      <c r="AV572" t="s">
        <v>79</v>
      </c>
      <c r="AY572">
        <v>0</v>
      </c>
    </row>
    <row r="573" spans="1:52" ht="12.75">
      <c r="A573" s="2" t="str">
        <f>HYPERLINK("https://ibp.a2mac1.com/costing(costing:projects/details/8191/assembly/5388822)","Reinforcements")</f>
        <v>Reinforcements</v>
      </c>
      <c r="B573">
        <v>5388822</v>
      </c>
      <c r="D573">
        <v>5388477</v>
      </c>
      <c r="F573">
        <v>1</v>
      </c>
      <c r="G573">
        <v>0</v>
      </c>
      <c r="H573">
        <v>6.8444233921390838</v>
      </c>
      <c r="I573">
        <v>0</v>
      </c>
      <c r="J573" t="s">
        <v>90</v>
      </c>
      <c r="K573">
        <v>0</v>
      </c>
      <c r="L573">
        <v>6.8444233921390838</v>
      </c>
      <c r="M573">
        <v>0</v>
      </c>
      <c r="N573">
        <v>0</v>
      </c>
      <c r="O573">
        <v>6.8444233921390838</v>
      </c>
      <c r="P573" t="s">
        <v>90</v>
      </c>
      <c r="Q573">
        <v>0</v>
      </c>
      <c r="R573" t="s">
        <v>90</v>
      </c>
      <c r="S573">
        <v>0</v>
      </c>
      <c r="T573" t="s">
        <v>90</v>
      </c>
      <c r="U573">
        <v>0</v>
      </c>
      <c r="V573" t="s">
        <v>90</v>
      </c>
      <c r="W573">
        <v>0</v>
      </c>
      <c r="X573" t="s">
        <v>90</v>
      </c>
      <c r="Y573">
        <v>0</v>
      </c>
      <c r="Z573">
        <v>6.8444233921390838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N573" t="s">
        <v>223</v>
      </c>
      <c r="AO573" t="s">
        <v>92</v>
      </c>
      <c r="AP573">
        <v>200000</v>
      </c>
      <c r="AQ573" t="s">
        <v>92</v>
      </c>
      <c r="AR573">
        <v>0</v>
      </c>
      <c r="AS573">
        <v>10000</v>
      </c>
      <c r="AT573" t="s">
        <v>9</v>
      </c>
      <c r="AU573" t="s">
        <v>78</v>
      </c>
      <c r="AV573" t="s">
        <v>79</v>
      </c>
      <c r="AY573">
        <v>0</v>
      </c>
    </row>
    <row r="574" spans="1:52" ht="12.75">
      <c r="A574" s="2" t="str">
        <f>HYPERLINK("https://ibp.a2mac1.com/costing(costing:projects/details/8191/assembly/5388477)","Lining assy")</f>
        <v>Lining assy</v>
      </c>
      <c r="B574">
        <v>5388477</v>
      </c>
      <c r="D574">
        <v>5388205</v>
      </c>
      <c r="F574">
        <v>1</v>
      </c>
      <c r="G574">
        <v>0</v>
      </c>
      <c r="H574">
        <v>22.590905375775272</v>
      </c>
      <c r="I574">
        <v>0</v>
      </c>
      <c r="J574" t="s">
        <v>90</v>
      </c>
      <c r="K574">
        <v>0</v>
      </c>
      <c r="L574">
        <v>22.590905375775272</v>
      </c>
      <c r="M574">
        <v>0</v>
      </c>
      <c r="N574">
        <v>0</v>
      </c>
      <c r="O574">
        <v>22.590905375775272</v>
      </c>
      <c r="P574" t="s">
        <v>90</v>
      </c>
      <c r="Q574">
        <v>0</v>
      </c>
      <c r="R574" t="s">
        <v>90</v>
      </c>
      <c r="S574">
        <v>0</v>
      </c>
      <c r="T574" t="s">
        <v>90</v>
      </c>
      <c r="U574">
        <v>0</v>
      </c>
      <c r="V574" t="s">
        <v>90</v>
      </c>
      <c r="W574">
        <v>0</v>
      </c>
      <c r="X574" t="s">
        <v>90</v>
      </c>
      <c r="Y574">
        <v>0</v>
      </c>
      <c r="Z574">
        <v>22.590905375775272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N574" t="s">
        <v>223</v>
      </c>
      <c r="AO574" t="s">
        <v>92</v>
      </c>
      <c r="AP574">
        <v>200000</v>
      </c>
      <c r="AQ574" t="s">
        <v>92</v>
      </c>
      <c r="AR574">
        <v>0</v>
      </c>
      <c r="AS574">
        <v>10000</v>
      </c>
      <c r="AT574" t="s">
        <v>9</v>
      </c>
      <c r="AU574" t="s">
        <v>78</v>
      </c>
      <c r="AV574" t="s">
        <v>79</v>
      </c>
      <c r="AY574">
        <v>0</v>
      </c>
    </row>
    <row r="575" spans="1:52" ht="12.75">
      <c r="A575" s="2" t="str">
        <f>HYPERLINK("https://ibp.a2mac1.com/costing(costing:projects/details/8191/assembly/5388823)","Outer panel")</f>
        <v>Outer panel</v>
      </c>
      <c r="B575">
        <v>5388823</v>
      </c>
      <c r="D575">
        <v>5388478</v>
      </c>
      <c r="F575">
        <v>1</v>
      </c>
      <c r="G575">
        <v>0</v>
      </c>
      <c r="H575">
        <v>12.782797542542005</v>
      </c>
      <c r="I575">
        <v>0</v>
      </c>
      <c r="J575" t="s">
        <v>90</v>
      </c>
      <c r="K575">
        <v>0</v>
      </c>
      <c r="L575">
        <v>12.782797542542005</v>
      </c>
      <c r="M575">
        <v>0</v>
      </c>
      <c r="N575">
        <v>0</v>
      </c>
      <c r="O575">
        <v>12.782797542542005</v>
      </c>
      <c r="P575" t="s">
        <v>90</v>
      </c>
      <c r="Q575">
        <v>0</v>
      </c>
      <c r="R575" t="s">
        <v>90</v>
      </c>
      <c r="S575">
        <v>0</v>
      </c>
      <c r="T575" t="s">
        <v>90</v>
      </c>
      <c r="U575">
        <v>0</v>
      </c>
      <c r="V575" t="s">
        <v>90</v>
      </c>
      <c r="W575">
        <v>0</v>
      </c>
      <c r="X575" t="s">
        <v>90</v>
      </c>
      <c r="Y575">
        <v>0</v>
      </c>
      <c r="Z575">
        <v>12.782797542542005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N575" t="s">
        <v>223</v>
      </c>
      <c r="AO575" t="s">
        <v>92</v>
      </c>
      <c r="AP575">
        <v>200000</v>
      </c>
      <c r="AQ575" t="s">
        <v>92</v>
      </c>
      <c r="AR575">
        <v>0</v>
      </c>
      <c r="AS575">
        <v>10000</v>
      </c>
      <c r="AT575" t="s">
        <v>9</v>
      </c>
      <c r="AU575" t="s">
        <v>78</v>
      </c>
      <c r="AV575" t="s">
        <v>79</v>
      </c>
      <c r="AY575">
        <v>0</v>
      </c>
    </row>
    <row r="576" spans="1:52" ht="12.75">
      <c r="A576" s="2" t="str">
        <f>HYPERLINK("https://ibp.a2mac1.com/costing(costing:projects/details/8191/assembly/5388824)","Fixing parts")</f>
        <v>Fixing parts</v>
      </c>
      <c r="B576">
        <v>5388824</v>
      </c>
      <c r="D576">
        <v>5388478</v>
      </c>
      <c r="F576">
        <v>1</v>
      </c>
      <c r="G576">
        <v>0</v>
      </c>
      <c r="H576">
        <v>0.42035686869750027</v>
      </c>
      <c r="I576">
        <v>0</v>
      </c>
      <c r="J576" t="s">
        <v>90</v>
      </c>
      <c r="K576">
        <v>0</v>
      </c>
      <c r="L576">
        <v>0.42035686869750027</v>
      </c>
      <c r="M576">
        <v>0</v>
      </c>
      <c r="N576">
        <v>0</v>
      </c>
      <c r="O576">
        <v>0.42035686869750027</v>
      </c>
      <c r="P576" t="s">
        <v>90</v>
      </c>
      <c r="Q576">
        <v>0</v>
      </c>
      <c r="R576" t="s">
        <v>90</v>
      </c>
      <c r="S576">
        <v>0</v>
      </c>
      <c r="T576" t="s">
        <v>90</v>
      </c>
      <c r="U576">
        <v>0</v>
      </c>
      <c r="V576" t="s">
        <v>90</v>
      </c>
      <c r="W576">
        <v>0</v>
      </c>
      <c r="X576" t="s">
        <v>90</v>
      </c>
      <c r="Y576">
        <v>0</v>
      </c>
      <c r="Z576">
        <v>0.42035686869750027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N576" t="s">
        <v>223</v>
      </c>
      <c r="AO576" t="s">
        <v>92</v>
      </c>
      <c r="AP576">
        <v>200000</v>
      </c>
      <c r="AQ576" t="s">
        <v>92</v>
      </c>
      <c r="AR576">
        <v>0</v>
      </c>
      <c r="AS576">
        <v>10000</v>
      </c>
      <c r="AT576" t="s">
        <v>9</v>
      </c>
      <c r="AU576" t="s">
        <v>78</v>
      </c>
      <c r="AV576" t="s">
        <v>79</v>
      </c>
      <c r="AY576">
        <v>0</v>
      </c>
    </row>
    <row r="577" spans="1:52" ht="12.75">
      <c r="A577" s="2" t="str">
        <f>HYPERLINK("https://ibp.a2mac1.com/costing(costing:projects/details/8191/assembly/5388478)","Outer Assy panel")</f>
        <v>Outer Assy panel</v>
      </c>
      <c r="B577">
        <v>5388478</v>
      </c>
      <c r="D577">
        <v>5388205</v>
      </c>
      <c r="F577">
        <v>1</v>
      </c>
      <c r="G577">
        <v>0</v>
      </c>
      <c r="H577">
        <v>13.203154411239504</v>
      </c>
      <c r="I577">
        <v>0</v>
      </c>
      <c r="J577" t="s">
        <v>90</v>
      </c>
      <c r="K577">
        <v>0</v>
      </c>
      <c r="L577">
        <v>13.203154411239504</v>
      </c>
      <c r="M577">
        <v>0</v>
      </c>
      <c r="N577">
        <v>0</v>
      </c>
      <c r="O577">
        <v>13.203154411239504</v>
      </c>
      <c r="P577" t="s">
        <v>90</v>
      </c>
      <c r="Q577">
        <v>0</v>
      </c>
      <c r="R577" t="s">
        <v>90</v>
      </c>
      <c r="S577">
        <v>0</v>
      </c>
      <c r="T577" t="s">
        <v>90</v>
      </c>
      <c r="U577">
        <v>0</v>
      </c>
      <c r="V577" t="s">
        <v>90</v>
      </c>
      <c r="W577">
        <v>0</v>
      </c>
      <c r="X577" t="s">
        <v>90</v>
      </c>
      <c r="Y577">
        <v>0</v>
      </c>
      <c r="Z577">
        <v>13.203154411239504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N577" t="s">
        <v>223</v>
      </c>
      <c r="AO577" t="s">
        <v>92</v>
      </c>
      <c r="AP577">
        <v>200000</v>
      </c>
      <c r="AQ577" t="s">
        <v>92</v>
      </c>
      <c r="AR577">
        <v>0</v>
      </c>
      <c r="AS577">
        <v>10000</v>
      </c>
      <c r="AT577" t="s">
        <v>9</v>
      </c>
      <c r="AU577" t="s">
        <v>78</v>
      </c>
      <c r="AV577" t="s">
        <v>79</v>
      </c>
      <c r="AY577">
        <v>0</v>
      </c>
    </row>
    <row r="578" spans="1:52" ht="12.75">
      <c r="A578" s="2" t="str">
        <f>HYPERLINK("https://ibp.a2mac1.com/costing(costing:projects/details/8191/assembly/5388205)","Tailgate Frame")</f>
        <v>Tailgate Frame</v>
      </c>
      <c r="B578">
        <v>5388205</v>
      </c>
      <c r="D578">
        <v>5388136</v>
      </c>
      <c r="F578">
        <v>1</v>
      </c>
      <c r="G578">
        <v>0</v>
      </c>
      <c r="H578">
        <v>35.794059787014774</v>
      </c>
      <c r="I578">
        <v>0.17986964717092851</v>
      </c>
      <c r="J578" t="s">
        <v>137</v>
      </c>
      <c r="K578">
        <v>1.2527920925455172</v>
      </c>
      <c r="L578">
        <v>37.226721526731218</v>
      </c>
      <c r="M578">
        <v>0</v>
      </c>
      <c r="N578">
        <v>1.1797288290464552</v>
      </c>
      <c r="O578">
        <v>38.406450355777679</v>
      </c>
      <c r="P578" t="s">
        <v>90</v>
      </c>
      <c r="Q578">
        <v>0</v>
      </c>
      <c r="R578" t="s">
        <v>90</v>
      </c>
      <c r="S578">
        <v>0</v>
      </c>
      <c r="T578" t="s">
        <v>90</v>
      </c>
      <c r="U578">
        <v>0</v>
      </c>
      <c r="V578" t="s">
        <v>90</v>
      </c>
      <c r="W578">
        <v>0</v>
      </c>
      <c r="X578" t="s">
        <v>90</v>
      </c>
      <c r="Y578">
        <v>0</v>
      </c>
      <c r="Z578">
        <v>38.406450355777679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775</v>
      </c>
      <c r="AI578">
        <v>1275</v>
      </c>
      <c r="AJ578">
        <v>890</v>
      </c>
      <c r="AL578">
        <v>27.158999999999999</v>
      </c>
      <c r="AM578" t="s">
        <v>685</v>
      </c>
      <c r="AN578" t="s">
        <v>4668</v>
      </c>
      <c r="AO578" t="s">
        <v>92</v>
      </c>
      <c r="AP578">
        <v>200000</v>
      </c>
      <c r="AQ578" t="s">
        <v>92</v>
      </c>
      <c r="AS578">
        <v>10000</v>
      </c>
      <c r="AT578" t="s">
        <v>5456</v>
      </c>
      <c r="AU578" t="s">
        <v>78</v>
      </c>
      <c r="AV578" t="s">
        <v>79</v>
      </c>
      <c r="AY578">
        <v>0</v>
      </c>
    </row>
    <row r="579" spans="1:52" ht="12.75">
      <c r="A579" s="2" t="str">
        <f>HYPERLINK("https://ibp.a2mac1.com/costing(costing:projects/details/8191/assembly/5388483)","Access Traps System")</f>
        <v>Access Traps System</v>
      </c>
      <c r="B579">
        <v>5388483</v>
      </c>
      <c r="D579">
        <v>5388210</v>
      </c>
      <c r="F579">
        <v>1</v>
      </c>
      <c r="G579">
        <v>0</v>
      </c>
      <c r="H579">
        <v>0.3392188038737966</v>
      </c>
      <c r="I579">
        <v>0.0017046171048934501</v>
      </c>
      <c r="J579" t="s">
        <v>137</v>
      </c>
      <c r="K579">
        <v>0.011872658135582881</v>
      </c>
      <c r="L579">
        <v>0.35279607911427291</v>
      </c>
      <c r="M579">
        <v>0</v>
      </c>
      <c r="N579">
        <v>0</v>
      </c>
      <c r="O579">
        <v>0.35279607911427291</v>
      </c>
      <c r="P579" t="s">
        <v>138</v>
      </c>
      <c r="Q579">
        <v>0.021167764746856374</v>
      </c>
      <c r="R579" t="s">
        <v>138</v>
      </c>
      <c r="S579">
        <v>0</v>
      </c>
      <c r="T579" t="s">
        <v>139</v>
      </c>
      <c r="U579">
        <v>0.042335529493712748</v>
      </c>
      <c r="V579" t="s">
        <v>90</v>
      </c>
      <c r="W579">
        <v>0</v>
      </c>
      <c r="X579" t="s">
        <v>90</v>
      </c>
      <c r="Y579">
        <v>0</v>
      </c>
      <c r="Z579">
        <v>0.41629937335484202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L579">
        <v>0.064000000000000001</v>
      </c>
      <c r="AN579" t="s">
        <v>4605</v>
      </c>
      <c r="AO579" t="s">
        <v>92</v>
      </c>
      <c r="AP579">
        <v>200000</v>
      </c>
      <c r="AQ579" t="s">
        <v>76</v>
      </c>
      <c r="AS579">
        <v>10000</v>
      </c>
      <c r="AT579" t="s">
        <v>5468</v>
      </c>
      <c r="AU579" t="s">
        <v>78</v>
      </c>
      <c r="AV579" t="s">
        <v>79</v>
      </c>
      <c r="AY579">
        <v>0</v>
      </c>
    </row>
    <row r="580" spans="1:52" ht="12.75">
      <c r="A580" s="2" t="str">
        <f>HYPERLINK("https://ibp.a2mac1.com/costing(costing:projects/details/8191/assembly/5388484)","Fastners")</f>
        <v>Fastners</v>
      </c>
      <c r="B580">
        <v>5388484</v>
      </c>
      <c r="D580">
        <v>5388210</v>
      </c>
      <c r="F580">
        <v>1</v>
      </c>
      <c r="G580">
        <v>0</v>
      </c>
      <c r="H580">
        <v>0.29520000000000002</v>
      </c>
      <c r="I580">
        <v>0</v>
      </c>
      <c r="J580" t="s">
        <v>90</v>
      </c>
      <c r="K580">
        <v>0</v>
      </c>
      <c r="L580">
        <v>0.29520000000000002</v>
      </c>
      <c r="M580">
        <v>0</v>
      </c>
      <c r="N580">
        <v>0</v>
      </c>
      <c r="O580">
        <v>0.29520000000000002</v>
      </c>
      <c r="P580" t="s">
        <v>90</v>
      </c>
      <c r="Q580">
        <v>0</v>
      </c>
      <c r="R580" t="s">
        <v>90</v>
      </c>
      <c r="S580">
        <v>0</v>
      </c>
      <c r="T580" t="s">
        <v>90</v>
      </c>
      <c r="U580">
        <v>0</v>
      </c>
      <c r="V580" t="s">
        <v>90</v>
      </c>
      <c r="W580">
        <v>0</v>
      </c>
      <c r="X580" t="s">
        <v>90</v>
      </c>
      <c r="Y580">
        <v>0</v>
      </c>
      <c r="Z580">
        <v>0.29520000000000002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N580" t="s">
        <v>223</v>
      </c>
      <c r="AO580" t="s">
        <v>92</v>
      </c>
      <c r="AP580">
        <v>200000</v>
      </c>
      <c r="AQ580" t="s">
        <v>92</v>
      </c>
      <c r="AR580">
        <v>0</v>
      </c>
      <c r="AS580">
        <v>10000</v>
      </c>
      <c r="AT580" t="s">
        <v>9</v>
      </c>
      <c r="AU580" t="s">
        <v>78</v>
      </c>
      <c r="AV580" t="s">
        <v>79</v>
      </c>
      <c r="AY580">
        <v>0</v>
      </c>
    </row>
    <row r="581" spans="1:52" ht="12.75">
      <c r="A581" s="2" t="str">
        <f>HYPERLINK("https://ibp.a2mac1.com/costing(costing:projects/details/8191/assembly/5388210)","Inner Panel")</f>
        <v>Inner Panel</v>
      </c>
      <c r="B581">
        <v>5388210</v>
      </c>
      <c r="D581">
        <v>5388136</v>
      </c>
      <c r="F581">
        <v>1</v>
      </c>
      <c r="G581">
        <v>0</v>
      </c>
      <c r="H581">
        <v>8.7018760700794822</v>
      </c>
      <c r="I581">
        <v>0</v>
      </c>
      <c r="J581" t="s">
        <v>90</v>
      </c>
      <c r="K581">
        <v>0</v>
      </c>
      <c r="L581">
        <v>8.7018760700794822</v>
      </c>
      <c r="M581">
        <v>0</v>
      </c>
      <c r="N581">
        <v>0</v>
      </c>
      <c r="O581">
        <v>8.7018760700794822</v>
      </c>
      <c r="P581" t="s">
        <v>90</v>
      </c>
      <c r="Q581">
        <v>0</v>
      </c>
      <c r="R581" t="s">
        <v>90</v>
      </c>
      <c r="S581">
        <v>0</v>
      </c>
      <c r="T581" t="s">
        <v>90</v>
      </c>
      <c r="U581">
        <v>0</v>
      </c>
      <c r="V581" t="s">
        <v>90</v>
      </c>
      <c r="W581">
        <v>0</v>
      </c>
      <c r="X581" t="s">
        <v>90</v>
      </c>
      <c r="Y581">
        <v>0</v>
      </c>
      <c r="Z581">
        <v>8.7018760700794822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L581">
        <v>3.8637999999999999</v>
      </c>
      <c r="AN581" t="s">
        <v>223</v>
      </c>
      <c r="AO581" t="s">
        <v>92</v>
      </c>
      <c r="AP581">
        <v>200000</v>
      </c>
      <c r="AQ581" t="s">
        <v>76</v>
      </c>
      <c r="AS581">
        <v>10000</v>
      </c>
      <c r="AT581" t="s">
        <v>5492</v>
      </c>
      <c r="AU581" t="s">
        <v>78</v>
      </c>
      <c r="AV581" t="s">
        <v>79</v>
      </c>
      <c r="AY581">
        <v>0</v>
      </c>
    </row>
    <row r="582" spans="1:52" ht="12.75">
      <c r="A582" s="2" t="str">
        <f>HYPERLINK("https://ibp.a2mac1.com/costing(costing:projects/details/8191/assembly/5388485)","On BIW")</f>
        <v>On BIW</v>
      </c>
      <c r="B582">
        <v>5388485</v>
      </c>
      <c r="D582">
        <v>5388211</v>
      </c>
      <c r="F582">
        <v>2</v>
      </c>
      <c r="G582">
        <v>0</v>
      </c>
      <c r="H582">
        <v>0.78582145098728107</v>
      </c>
      <c r="I582">
        <v>0</v>
      </c>
      <c r="J582" t="s">
        <v>90</v>
      </c>
      <c r="K582">
        <v>0</v>
      </c>
      <c r="L582">
        <v>0.78582145098728107</v>
      </c>
      <c r="M582">
        <v>0</v>
      </c>
      <c r="N582">
        <v>0</v>
      </c>
      <c r="O582">
        <v>0.78582145098728107</v>
      </c>
      <c r="P582" t="s">
        <v>90</v>
      </c>
      <c r="Q582">
        <v>0</v>
      </c>
      <c r="R582" t="s">
        <v>90</v>
      </c>
      <c r="S582">
        <v>0</v>
      </c>
      <c r="T582" t="s">
        <v>90</v>
      </c>
      <c r="U582">
        <v>0</v>
      </c>
      <c r="V582" t="s">
        <v>90</v>
      </c>
      <c r="W582">
        <v>0</v>
      </c>
      <c r="X582" t="s">
        <v>90</v>
      </c>
      <c r="Y582">
        <v>0</v>
      </c>
      <c r="Z582">
        <v>0.78582145098728107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41</v>
      </c>
      <c r="AI582">
        <v>119</v>
      </c>
      <c r="AJ582">
        <v>76</v>
      </c>
      <c r="AL582">
        <v>0.27800000000000002</v>
      </c>
      <c r="AN582" t="s">
        <v>223</v>
      </c>
      <c r="AO582" t="s">
        <v>92</v>
      </c>
      <c r="AP582">
        <v>400000</v>
      </c>
      <c r="AQ582" t="s">
        <v>92</v>
      </c>
      <c r="AS582">
        <v>20000</v>
      </c>
      <c r="AT582" t="s">
        <v>9</v>
      </c>
      <c r="AU582" t="s">
        <v>78</v>
      </c>
      <c r="AV582" t="s">
        <v>79</v>
      </c>
      <c r="AY582">
        <v>0</v>
      </c>
    </row>
    <row r="583" spans="1:52" ht="12.75">
      <c r="A583" s="2" t="str">
        <f>HYPERLINK("https://ibp.a2mac1.com/costing(costing:projects/details/8191/assembly/5388486)","On trunk / tailgate")</f>
        <v>On trunk / tailgate</v>
      </c>
      <c r="B583">
        <v>5388486</v>
      </c>
      <c r="D583">
        <v>5388211</v>
      </c>
      <c r="F583">
        <v>2</v>
      </c>
      <c r="G583">
        <v>0</v>
      </c>
      <c r="H583">
        <v>0.23407156971813628</v>
      </c>
      <c r="I583">
        <v>0</v>
      </c>
      <c r="J583" t="s">
        <v>90</v>
      </c>
      <c r="K583">
        <v>0</v>
      </c>
      <c r="L583">
        <v>0.23407156971813628</v>
      </c>
      <c r="M583">
        <v>0</v>
      </c>
      <c r="N583">
        <v>0</v>
      </c>
      <c r="O583">
        <v>0.23407156971813628</v>
      </c>
      <c r="P583" t="s">
        <v>90</v>
      </c>
      <c r="Q583">
        <v>0</v>
      </c>
      <c r="R583" t="s">
        <v>90</v>
      </c>
      <c r="S583">
        <v>0</v>
      </c>
      <c r="T583" t="s">
        <v>90</v>
      </c>
      <c r="U583">
        <v>0</v>
      </c>
      <c r="V583" t="s">
        <v>90</v>
      </c>
      <c r="W583">
        <v>0</v>
      </c>
      <c r="X583" t="s">
        <v>90</v>
      </c>
      <c r="Y583">
        <v>0</v>
      </c>
      <c r="Z583">
        <v>0.23407156971813628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41</v>
      </c>
      <c r="AI583">
        <v>119</v>
      </c>
      <c r="AJ583">
        <v>76</v>
      </c>
      <c r="AL583">
        <v>0.27800000000000002</v>
      </c>
      <c r="AN583" t="s">
        <v>223</v>
      </c>
      <c r="AO583" t="s">
        <v>92</v>
      </c>
      <c r="AP583">
        <v>400000</v>
      </c>
      <c r="AQ583" t="s">
        <v>92</v>
      </c>
      <c r="AS583">
        <v>20000</v>
      </c>
      <c r="AT583" t="s">
        <v>9</v>
      </c>
      <c r="AU583" t="s">
        <v>78</v>
      </c>
      <c r="AV583" t="s">
        <v>79</v>
      </c>
      <c r="AY583">
        <v>0</v>
      </c>
    </row>
    <row r="584" spans="1:52" ht="12.75">
      <c r="A584" s="2" t="str">
        <f>HYPERLINK("https://ibp.a2mac1.com/costing(costing:projects/details/8191/assembly/5388487)","Fastners")</f>
        <v>Fastners</v>
      </c>
      <c r="B584">
        <v>5388487</v>
      </c>
      <c r="D584">
        <v>5388211</v>
      </c>
      <c r="F584">
        <v>1</v>
      </c>
      <c r="G584">
        <v>0</v>
      </c>
      <c r="H584">
        <v>0.036900000000000002</v>
      </c>
      <c r="I584">
        <v>0</v>
      </c>
      <c r="J584" t="s">
        <v>90</v>
      </c>
      <c r="K584">
        <v>0</v>
      </c>
      <c r="L584">
        <v>0.036900000000000002</v>
      </c>
      <c r="M584">
        <v>0</v>
      </c>
      <c r="N584">
        <v>0</v>
      </c>
      <c r="O584">
        <v>0.036900000000000002</v>
      </c>
      <c r="P584" t="s">
        <v>90</v>
      </c>
      <c r="Q584">
        <v>0</v>
      </c>
      <c r="R584" t="s">
        <v>90</v>
      </c>
      <c r="S584">
        <v>0</v>
      </c>
      <c r="T584" t="s">
        <v>90</v>
      </c>
      <c r="U584">
        <v>0</v>
      </c>
      <c r="V584" t="s">
        <v>90</v>
      </c>
      <c r="W584">
        <v>0</v>
      </c>
      <c r="X584" t="s">
        <v>90</v>
      </c>
      <c r="Y584">
        <v>0</v>
      </c>
      <c r="Z584">
        <v>0.036900000000000002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N584" t="s">
        <v>223</v>
      </c>
      <c r="AO584" t="s">
        <v>92</v>
      </c>
      <c r="AP584">
        <v>200000</v>
      </c>
      <c r="AQ584" t="s">
        <v>92</v>
      </c>
      <c r="AR584">
        <v>0</v>
      </c>
      <c r="AS584">
        <v>10000</v>
      </c>
      <c r="AT584" t="s">
        <v>9</v>
      </c>
      <c r="AU584" t="s">
        <v>78</v>
      </c>
      <c r="AV584" t="s">
        <v>79</v>
      </c>
      <c r="AY584">
        <v>0</v>
      </c>
    </row>
    <row r="585" spans="1:52" ht="12.75">
      <c r="A585" s="2" t="str">
        <f>HYPERLINK("https://ibp.a2mac1.com/costing(costing:projects/details/8191/assembly/5388211)","Hinges")</f>
        <v>Hinges</v>
      </c>
      <c r="B585">
        <v>5388211</v>
      </c>
      <c r="D585">
        <v>5388136</v>
      </c>
      <c r="F585">
        <v>1</v>
      </c>
      <c r="G585">
        <v>0</v>
      </c>
      <c r="H585">
        <v>1.0567930207054173</v>
      </c>
      <c r="I585">
        <v>0.0053105176919870222</v>
      </c>
      <c r="J585" t="s">
        <v>137</v>
      </c>
      <c r="K585">
        <v>0.036987755724689604</v>
      </c>
      <c r="L585">
        <v>1.0990912941220941</v>
      </c>
      <c r="M585">
        <v>0</v>
      </c>
      <c r="N585">
        <v>0</v>
      </c>
      <c r="O585">
        <v>1.0990912941220941</v>
      </c>
      <c r="P585" t="s">
        <v>138</v>
      </c>
      <c r="Q585">
        <v>0.06594547764732564</v>
      </c>
      <c r="R585" t="s">
        <v>138</v>
      </c>
      <c r="S585">
        <v>0</v>
      </c>
      <c r="T585" t="s">
        <v>139</v>
      </c>
      <c r="U585">
        <v>0.13189095529465128</v>
      </c>
      <c r="V585" t="s">
        <v>90</v>
      </c>
      <c r="W585">
        <v>0</v>
      </c>
      <c r="X585" t="s">
        <v>90</v>
      </c>
      <c r="Y585">
        <v>0</v>
      </c>
      <c r="Z585">
        <v>1.2969277270640709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L585">
        <v>0.73899999999999999</v>
      </c>
      <c r="AN585" t="s">
        <v>4765</v>
      </c>
      <c r="AO585" t="s">
        <v>92</v>
      </c>
      <c r="AP585">
        <v>200000</v>
      </c>
      <c r="AQ585" t="s">
        <v>76</v>
      </c>
      <c r="AS585">
        <v>10000</v>
      </c>
      <c r="AT585" t="s">
        <v>5504</v>
      </c>
      <c r="AU585" t="s">
        <v>78</v>
      </c>
      <c r="AV585" t="s">
        <v>79</v>
      </c>
      <c r="AY585">
        <v>0</v>
      </c>
    </row>
    <row r="586" spans="1:52" ht="12.75">
      <c r="A586" s="2" t="str">
        <f>HYPERLINK("https://ibp.a2mac1.com/costing(costing:projects/details/8191/assembly/5388491)","Fastners")</f>
        <v>Fastners</v>
      </c>
      <c r="B586">
        <v>5388491</v>
      </c>
      <c r="D586">
        <v>5388212</v>
      </c>
      <c r="F586">
        <v>1</v>
      </c>
      <c r="G586">
        <v>0</v>
      </c>
      <c r="H586">
        <v>0.14760000000000001</v>
      </c>
      <c r="I586">
        <v>0</v>
      </c>
      <c r="J586" t="s">
        <v>90</v>
      </c>
      <c r="K586">
        <v>0</v>
      </c>
      <c r="L586">
        <v>0.14760000000000001</v>
      </c>
      <c r="M586">
        <v>0</v>
      </c>
      <c r="N586">
        <v>0</v>
      </c>
      <c r="O586">
        <v>0.14760000000000001</v>
      </c>
      <c r="P586" t="s">
        <v>90</v>
      </c>
      <c r="Q586">
        <v>0</v>
      </c>
      <c r="R586" t="s">
        <v>90</v>
      </c>
      <c r="S586">
        <v>0</v>
      </c>
      <c r="T586" t="s">
        <v>90</v>
      </c>
      <c r="U586">
        <v>0</v>
      </c>
      <c r="V586" t="s">
        <v>90</v>
      </c>
      <c r="W586">
        <v>0</v>
      </c>
      <c r="X586" t="s">
        <v>90</v>
      </c>
      <c r="Y586">
        <v>0</v>
      </c>
      <c r="Z586">
        <v>0.14760000000000001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N586" t="s">
        <v>223</v>
      </c>
      <c r="AO586" t="s">
        <v>92</v>
      </c>
      <c r="AP586">
        <v>200000</v>
      </c>
      <c r="AQ586" t="s">
        <v>92</v>
      </c>
      <c r="AR586">
        <v>0</v>
      </c>
      <c r="AS586">
        <v>10000</v>
      </c>
      <c r="AT586" t="s">
        <v>9</v>
      </c>
      <c r="AU586" t="s">
        <v>78</v>
      </c>
      <c r="AV586" t="s">
        <v>79</v>
      </c>
      <c r="AY586">
        <v>0</v>
      </c>
    </row>
    <row r="587" spans="1:52" ht="12.75">
      <c r="A587" s="2" t="str">
        <f>HYPERLINK("https://ibp.a2mac1.com/costing(costing:projects/details/8191/assembly/5388212)","Weather Stripping")</f>
        <v>Weather Stripping</v>
      </c>
      <c r="B587">
        <v>5388212</v>
      </c>
      <c r="D587">
        <v>5388136</v>
      </c>
      <c r="F587">
        <v>1</v>
      </c>
      <c r="G587">
        <v>0</v>
      </c>
      <c r="H587">
        <v>5.2599778066576262</v>
      </c>
      <c r="I587">
        <v>0</v>
      </c>
      <c r="J587" t="s">
        <v>90</v>
      </c>
      <c r="K587">
        <v>0</v>
      </c>
      <c r="L587">
        <v>5.2599778066576262</v>
      </c>
      <c r="M587">
        <v>0</v>
      </c>
      <c r="N587">
        <v>0</v>
      </c>
      <c r="O587">
        <v>5.2599778066576262</v>
      </c>
      <c r="P587" t="s">
        <v>90</v>
      </c>
      <c r="Q587">
        <v>0</v>
      </c>
      <c r="R587" t="s">
        <v>90</v>
      </c>
      <c r="S587">
        <v>0</v>
      </c>
      <c r="T587" t="s">
        <v>90</v>
      </c>
      <c r="U587">
        <v>0</v>
      </c>
      <c r="V587" t="s">
        <v>90</v>
      </c>
      <c r="W587">
        <v>0</v>
      </c>
      <c r="X587" t="s">
        <v>90</v>
      </c>
      <c r="Y587">
        <v>0</v>
      </c>
      <c r="Z587">
        <v>5.2599778066576262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L587">
        <v>1.2911999999999999</v>
      </c>
      <c r="AN587" t="s">
        <v>223</v>
      </c>
      <c r="AO587" t="s">
        <v>92</v>
      </c>
      <c r="AP587">
        <v>200000</v>
      </c>
      <c r="AQ587" t="s">
        <v>92</v>
      </c>
      <c r="AS587">
        <v>10000</v>
      </c>
      <c r="AT587" t="s">
        <v>5521</v>
      </c>
      <c r="AU587" t="s">
        <v>78</v>
      </c>
      <c r="AV587" t="s">
        <v>79</v>
      </c>
      <c r="AY587">
        <v>0</v>
      </c>
    </row>
    <row r="588" spans="1:52" ht="12.75">
      <c r="A588" s="2" t="str">
        <f>HYPERLINK("https://ibp.a2mac1.com/costing(costing:projects/details/8191/assembly/5388495)","Fastners")</f>
        <v>Fastners</v>
      </c>
      <c r="B588">
        <v>5388495</v>
      </c>
      <c r="D588">
        <v>5388213</v>
      </c>
      <c r="F588">
        <v>1</v>
      </c>
      <c r="G588">
        <v>0</v>
      </c>
      <c r="H588">
        <v>0.092249999999999999</v>
      </c>
      <c r="I588">
        <v>0</v>
      </c>
      <c r="J588" t="s">
        <v>90</v>
      </c>
      <c r="K588">
        <v>0</v>
      </c>
      <c r="L588">
        <v>0.092249999999999999</v>
      </c>
      <c r="M588">
        <v>0</v>
      </c>
      <c r="N588">
        <v>0</v>
      </c>
      <c r="O588">
        <v>0.092249999999999999</v>
      </c>
      <c r="P588" t="s">
        <v>90</v>
      </c>
      <c r="Q588">
        <v>0</v>
      </c>
      <c r="R588" t="s">
        <v>90</v>
      </c>
      <c r="S588">
        <v>0</v>
      </c>
      <c r="T588" t="s">
        <v>90</v>
      </c>
      <c r="U588">
        <v>0</v>
      </c>
      <c r="V588" t="s">
        <v>90</v>
      </c>
      <c r="W588">
        <v>0</v>
      </c>
      <c r="X588" t="s">
        <v>90</v>
      </c>
      <c r="Y588">
        <v>0</v>
      </c>
      <c r="Z588">
        <v>0.092249999999999999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N588" t="s">
        <v>223</v>
      </c>
      <c r="AO588" t="s">
        <v>92</v>
      </c>
      <c r="AP588">
        <v>200000</v>
      </c>
      <c r="AQ588" t="s">
        <v>92</v>
      </c>
      <c r="AR588">
        <v>0</v>
      </c>
      <c r="AS588">
        <v>10000</v>
      </c>
      <c r="AT588" t="s">
        <v>9</v>
      </c>
      <c r="AU588" t="s">
        <v>78</v>
      </c>
      <c r="AV588" t="s">
        <v>79</v>
      </c>
      <c r="AY588">
        <v>0</v>
      </c>
    </row>
    <row r="589" spans="1:52" ht="12.75">
      <c r="A589" s="2" t="str">
        <f>HYPERLINK("https://ibp.a2mac1.com/costing(costing:projects/details/8191/assembly/5388213)","Electric System")</f>
        <v>Electric System</v>
      </c>
      <c r="B589">
        <v>5388213</v>
      </c>
      <c r="D589">
        <v>5388136</v>
      </c>
      <c r="F589">
        <v>1</v>
      </c>
      <c r="G589">
        <v>0</v>
      </c>
      <c r="H589">
        <v>16.296561202457863</v>
      </c>
      <c r="I589">
        <v>0</v>
      </c>
      <c r="J589" t="s">
        <v>90</v>
      </c>
      <c r="K589">
        <v>0</v>
      </c>
      <c r="L589">
        <v>16.296561202457863</v>
      </c>
      <c r="M589">
        <v>0</v>
      </c>
      <c r="N589">
        <v>0</v>
      </c>
      <c r="O589">
        <v>16.296561202457863</v>
      </c>
      <c r="P589" t="s">
        <v>90</v>
      </c>
      <c r="Q589">
        <v>0</v>
      </c>
      <c r="R589" t="s">
        <v>90</v>
      </c>
      <c r="S589">
        <v>0</v>
      </c>
      <c r="T589" t="s">
        <v>90</v>
      </c>
      <c r="U589">
        <v>0</v>
      </c>
      <c r="V589" t="s">
        <v>90</v>
      </c>
      <c r="W589">
        <v>0</v>
      </c>
      <c r="X589" t="s">
        <v>90</v>
      </c>
      <c r="Y589">
        <v>0</v>
      </c>
      <c r="Z589">
        <v>16.296561202457863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L589">
        <v>0.48699999999999999</v>
      </c>
      <c r="AN589" t="s">
        <v>223</v>
      </c>
      <c r="AO589" t="s">
        <v>92</v>
      </c>
      <c r="AP589">
        <v>200000</v>
      </c>
      <c r="AQ589" t="s">
        <v>92</v>
      </c>
      <c r="AS589">
        <v>10000</v>
      </c>
      <c r="AT589" t="s">
        <v>5531</v>
      </c>
      <c r="AU589" t="s">
        <v>78</v>
      </c>
      <c r="AV589" t="s">
        <v>79</v>
      </c>
      <c r="AY589">
        <v>0</v>
      </c>
    </row>
    <row r="590" spans="1:52" ht="12.75">
      <c r="A590" s="2" t="str">
        <f>HYPERLINK("https://ibp.a2mac1.com/costing(costing:projects/details/8191/assembly/5388831)","Fastners")</f>
        <v>Fastners</v>
      </c>
      <c r="B590">
        <v>5388831</v>
      </c>
      <c r="D590">
        <v>5388497</v>
      </c>
      <c r="F590">
        <v>1</v>
      </c>
      <c r="G590">
        <v>0</v>
      </c>
      <c r="H590">
        <v>0.40</v>
      </c>
      <c r="I590">
        <v>0</v>
      </c>
      <c r="J590" t="s">
        <v>90</v>
      </c>
      <c r="K590">
        <v>0</v>
      </c>
      <c r="L590">
        <v>0.40</v>
      </c>
      <c r="M590">
        <v>0</v>
      </c>
      <c r="N590">
        <v>0</v>
      </c>
      <c r="O590">
        <v>0.40</v>
      </c>
      <c r="P590" t="s">
        <v>90</v>
      </c>
      <c r="Q590">
        <v>0</v>
      </c>
      <c r="R590" t="s">
        <v>90</v>
      </c>
      <c r="S590">
        <v>0</v>
      </c>
      <c r="T590" t="s">
        <v>90</v>
      </c>
      <c r="U590">
        <v>0</v>
      </c>
      <c r="V590" t="s">
        <v>90</v>
      </c>
      <c r="W590">
        <v>0</v>
      </c>
      <c r="X590" t="s">
        <v>90</v>
      </c>
      <c r="Y590">
        <v>0</v>
      </c>
      <c r="Z590">
        <v>0.40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N590" t="s">
        <v>223</v>
      </c>
      <c r="AO590" t="s">
        <v>92</v>
      </c>
      <c r="AP590">
        <v>200000</v>
      </c>
      <c r="AQ590" t="s">
        <v>76</v>
      </c>
      <c r="AR590">
        <v>0</v>
      </c>
      <c r="AS590">
        <v>10000</v>
      </c>
      <c r="AT590" t="s">
        <v>9</v>
      </c>
      <c r="AU590" t="s">
        <v>78</v>
      </c>
      <c r="AV590" t="s">
        <v>79</v>
      </c>
      <c r="AY590">
        <v>0</v>
      </c>
    </row>
    <row r="591" spans="1:52" ht="12.75">
      <c r="A591" s="2" t="str">
        <f>HYPERLINK("https://ibp.a2mac1.com/costing(costing:projects/details/8191/assembly/5388497)","Exterior Handle")</f>
        <v>Exterior Handle</v>
      </c>
      <c r="B591">
        <v>5388497</v>
      </c>
      <c r="D591">
        <v>5388214</v>
      </c>
      <c r="F591">
        <v>1</v>
      </c>
      <c r="G591">
        <v>0</v>
      </c>
      <c r="H591">
        <v>1.7830788579998453</v>
      </c>
      <c r="I591">
        <v>0</v>
      </c>
      <c r="J591" t="s">
        <v>90</v>
      </c>
      <c r="K591">
        <v>0</v>
      </c>
      <c r="L591">
        <v>1.7830788579998453</v>
      </c>
      <c r="M591">
        <v>0</v>
      </c>
      <c r="N591">
        <v>0</v>
      </c>
      <c r="O591">
        <v>1.7830788579998453</v>
      </c>
      <c r="P591" t="s">
        <v>90</v>
      </c>
      <c r="Q591">
        <v>0</v>
      </c>
      <c r="R591" t="s">
        <v>90</v>
      </c>
      <c r="S591">
        <v>0</v>
      </c>
      <c r="T591" t="s">
        <v>90</v>
      </c>
      <c r="U591">
        <v>0</v>
      </c>
      <c r="V591" t="s">
        <v>90</v>
      </c>
      <c r="W591">
        <v>0</v>
      </c>
      <c r="X591" t="s">
        <v>90</v>
      </c>
      <c r="Y591">
        <v>0</v>
      </c>
      <c r="Z591">
        <v>1.7830788579998453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L591">
        <v>0.32900000000000001</v>
      </c>
      <c r="AN591" t="s">
        <v>223</v>
      </c>
      <c r="AO591" t="s">
        <v>92</v>
      </c>
      <c r="AP591">
        <v>200000</v>
      </c>
      <c r="AQ591" t="s">
        <v>76</v>
      </c>
      <c r="AS591">
        <v>10000</v>
      </c>
      <c r="AT591" t="s">
        <v>5542</v>
      </c>
      <c r="AU591" t="s">
        <v>78</v>
      </c>
      <c r="AV591" t="s">
        <v>79</v>
      </c>
      <c r="AY591">
        <v>0</v>
      </c>
    </row>
    <row r="592" spans="1:52" ht="12.75">
      <c r="A592" s="2" t="str">
        <f>HYPERLINK("https://ibp.a2mac1.com/costing(costing:projects/details/8191/assembly/5388834)","Fastners")</f>
        <v>Fastners</v>
      </c>
      <c r="B592">
        <v>5388834</v>
      </c>
      <c r="D592">
        <v>5388498</v>
      </c>
      <c r="F592">
        <v>1</v>
      </c>
      <c r="G592">
        <v>0</v>
      </c>
      <c r="H592">
        <v>0.10</v>
      </c>
      <c r="I592">
        <v>0</v>
      </c>
      <c r="J592" t="s">
        <v>90</v>
      </c>
      <c r="K592">
        <v>0</v>
      </c>
      <c r="L592">
        <v>0.10</v>
      </c>
      <c r="M592">
        <v>0</v>
      </c>
      <c r="N592">
        <v>0</v>
      </c>
      <c r="O592">
        <v>0.10</v>
      </c>
      <c r="P592" t="s">
        <v>90</v>
      </c>
      <c r="Q592">
        <v>0</v>
      </c>
      <c r="R592" t="s">
        <v>90</v>
      </c>
      <c r="S592">
        <v>0</v>
      </c>
      <c r="T592" t="s">
        <v>90</v>
      </c>
      <c r="U592">
        <v>0</v>
      </c>
      <c r="V592" t="s">
        <v>90</v>
      </c>
      <c r="W592">
        <v>0</v>
      </c>
      <c r="X592" t="s">
        <v>90</v>
      </c>
      <c r="Y592">
        <v>0</v>
      </c>
      <c r="Z592">
        <v>0.10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N592" t="s">
        <v>223</v>
      </c>
      <c r="AO592" t="s">
        <v>92</v>
      </c>
      <c r="AP592">
        <v>200000</v>
      </c>
      <c r="AQ592" t="s">
        <v>76</v>
      </c>
      <c r="AR592">
        <v>0</v>
      </c>
      <c r="AS592">
        <v>10000</v>
      </c>
      <c r="AT592" t="s">
        <v>9</v>
      </c>
      <c r="AU592" t="s">
        <v>78</v>
      </c>
      <c r="AV592" t="s">
        <v>79</v>
      </c>
      <c r="AY592">
        <v>0</v>
      </c>
    </row>
    <row r="593" spans="1:52" ht="12.75">
      <c r="A593" s="2" t="str">
        <f>HYPERLINK("https://ibp.a2mac1.com/costing(costing:projects/details/8191/assembly/5388498)","Lock System")</f>
        <v>Lock System</v>
      </c>
      <c r="B593">
        <v>5388498</v>
      </c>
      <c r="D593">
        <v>5388214</v>
      </c>
      <c r="F593">
        <v>1</v>
      </c>
      <c r="G593">
        <v>0</v>
      </c>
      <c r="H593">
        <v>2.9310565451269812</v>
      </c>
      <c r="I593">
        <v>0</v>
      </c>
      <c r="J593" t="s">
        <v>90</v>
      </c>
      <c r="K593">
        <v>0</v>
      </c>
      <c r="L593">
        <v>2.9310565451269812</v>
      </c>
      <c r="M593">
        <v>0</v>
      </c>
      <c r="N593">
        <v>0</v>
      </c>
      <c r="O593">
        <v>2.9310565451269812</v>
      </c>
      <c r="P593" t="s">
        <v>90</v>
      </c>
      <c r="Q593">
        <v>0</v>
      </c>
      <c r="R593" t="s">
        <v>90</v>
      </c>
      <c r="S593">
        <v>0</v>
      </c>
      <c r="T593" t="s">
        <v>90</v>
      </c>
      <c r="U593">
        <v>0</v>
      </c>
      <c r="V593" t="s">
        <v>90</v>
      </c>
      <c r="W593">
        <v>0</v>
      </c>
      <c r="X593" t="s">
        <v>90</v>
      </c>
      <c r="Y593">
        <v>0</v>
      </c>
      <c r="Z593">
        <v>2.9310565451269812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L593">
        <v>0.55200000000000005</v>
      </c>
      <c r="AN593" t="s">
        <v>223</v>
      </c>
      <c r="AO593" t="s">
        <v>92</v>
      </c>
      <c r="AP593">
        <v>200000</v>
      </c>
      <c r="AQ593" t="s">
        <v>92</v>
      </c>
      <c r="AS593">
        <v>10000</v>
      </c>
      <c r="AT593" t="s">
        <v>5551</v>
      </c>
      <c r="AU593" t="s">
        <v>78</v>
      </c>
      <c r="AV593" t="s">
        <v>79</v>
      </c>
      <c r="AY593">
        <v>0</v>
      </c>
    </row>
    <row r="594" spans="1:52" ht="12.75">
      <c r="A594" s="2" t="str">
        <f>HYPERLINK("https://ibp.a2mac1.com/costing(costing:projects/details/8191/assembly/5388836)","Fastners")</f>
        <v>Fastners</v>
      </c>
      <c r="B594">
        <v>5388836</v>
      </c>
      <c r="D594">
        <v>5388499</v>
      </c>
      <c r="F594">
        <v>1</v>
      </c>
      <c r="G594">
        <v>0</v>
      </c>
      <c r="H594">
        <v>0.10</v>
      </c>
      <c r="I594">
        <v>0</v>
      </c>
      <c r="J594" t="s">
        <v>90</v>
      </c>
      <c r="K594">
        <v>0</v>
      </c>
      <c r="L594">
        <v>0.10</v>
      </c>
      <c r="M594">
        <v>0</v>
      </c>
      <c r="N594">
        <v>0</v>
      </c>
      <c r="O594">
        <v>0.10</v>
      </c>
      <c r="P594" t="s">
        <v>90</v>
      </c>
      <c r="Q594">
        <v>0</v>
      </c>
      <c r="R594" t="s">
        <v>90</v>
      </c>
      <c r="S594">
        <v>0</v>
      </c>
      <c r="T594" t="s">
        <v>90</v>
      </c>
      <c r="U594">
        <v>0</v>
      </c>
      <c r="V594" t="s">
        <v>90</v>
      </c>
      <c r="W594">
        <v>0</v>
      </c>
      <c r="X594" t="s">
        <v>90</v>
      </c>
      <c r="Y594">
        <v>0</v>
      </c>
      <c r="Z594">
        <v>0.10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N594" t="s">
        <v>223</v>
      </c>
      <c r="AO594" t="s">
        <v>92</v>
      </c>
      <c r="AP594">
        <v>200000</v>
      </c>
      <c r="AQ594" t="s">
        <v>76</v>
      </c>
      <c r="AR594">
        <v>0</v>
      </c>
      <c r="AS594">
        <v>10000</v>
      </c>
      <c r="AT594" t="s">
        <v>9</v>
      </c>
      <c r="AU594" t="s">
        <v>78</v>
      </c>
      <c r="AV594" t="s">
        <v>79</v>
      </c>
      <c r="AY594">
        <v>0</v>
      </c>
    </row>
    <row r="595" spans="1:52" ht="12.75">
      <c r="A595" s="2" t="str">
        <f>HYPERLINK("https://ibp.a2mac1.com/costing(costing:projects/details/8191/assembly/5388499)","Tailgate Striker")</f>
        <v>Tailgate Striker</v>
      </c>
      <c r="B595">
        <v>5388499</v>
      </c>
      <c r="D595">
        <v>5388214</v>
      </c>
      <c r="F595">
        <v>1</v>
      </c>
      <c r="G595">
        <v>0</v>
      </c>
      <c r="H595">
        <v>0.80915619407092021</v>
      </c>
      <c r="I595">
        <v>0</v>
      </c>
      <c r="J595" t="s">
        <v>90</v>
      </c>
      <c r="K595">
        <v>0</v>
      </c>
      <c r="L595">
        <v>0.80915619407092021</v>
      </c>
      <c r="M595">
        <v>0</v>
      </c>
      <c r="N595">
        <v>0</v>
      </c>
      <c r="O595">
        <v>0.80915619407092021</v>
      </c>
      <c r="P595" t="s">
        <v>90</v>
      </c>
      <c r="Q595">
        <v>0</v>
      </c>
      <c r="R595" t="s">
        <v>90</v>
      </c>
      <c r="S595">
        <v>0</v>
      </c>
      <c r="T595" t="s">
        <v>90</v>
      </c>
      <c r="U595">
        <v>0</v>
      </c>
      <c r="V595" t="s">
        <v>90</v>
      </c>
      <c r="W595">
        <v>0</v>
      </c>
      <c r="X595" t="s">
        <v>90</v>
      </c>
      <c r="Y595">
        <v>0</v>
      </c>
      <c r="Z595">
        <v>0.80915619407092021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L595">
        <v>0.221</v>
      </c>
      <c r="AN595" t="s">
        <v>223</v>
      </c>
      <c r="AO595" t="s">
        <v>92</v>
      </c>
      <c r="AP595">
        <v>200000</v>
      </c>
      <c r="AQ595" t="s">
        <v>92</v>
      </c>
      <c r="AS595">
        <v>10000</v>
      </c>
      <c r="AT595" t="s">
        <v>5560</v>
      </c>
      <c r="AU595" t="s">
        <v>78</v>
      </c>
      <c r="AV595" t="s">
        <v>79</v>
      </c>
      <c r="AY595">
        <v>0</v>
      </c>
    </row>
    <row r="596" spans="1:52" ht="12.75">
      <c r="A596" s="2" t="str">
        <f>HYPERLINK("https://ibp.a2mac1.com/costing(costing:projects/details/8191/assembly/5388838)","Fastners")</f>
        <v>Fastners</v>
      </c>
      <c r="B596">
        <v>5388838</v>
      </c>
      <c r="D596">
        <v>5388500</v>
      </c>
      <c r="F596">
        <v>1</v>
      </c>
      <c r="G596">
        <v>0</v>
      </c>
      <c r="H596">
        <v>0.036900000000000002</v>
      </c>
      <c r="I596">
        <v>0</v>
      </c>
      <c r="J596" t="s">
        <v>90</v>
      </c>
      <c r="K596">
        <v>0</v>
      </c>
      <c r="L596">
        <v>0.036900000000000002</v>
      </c>
      <c r="M596">
        <v>0</v>
      </c>
      <c r="N596">
        <v>0</v>
      </c>
      <c r="O596">
        <v>0.036900000000000002</v>
      </c>
      <c r="P596" t="s">
        <v>90</v>
      </c>
      <c r="Q596">
        <v>0</v>
      </c>
      <c r="R596" t="s">
        <v>90</v>
      </c>
      <c r="S596">
        <v>0</v>
      </c>
      <c r="T596" t="s">
        <v>90</v>
      </c>
      <c r="U596">
        <v>0</v>
      </c>
      <c r="V596" t="s">
        <v>90</v>
      </c>
      <c r="W596">
        <v>0</v>
      </c>
      <c r="X596" t="s">
        <v>90</v>
      </c>
      <c r="Y596">
        <v>0</v>
      </c>
      <c r="Z596">
        <v>0.036900000000000002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N596" t="s">
        <v>223</v>
      </c>
      <c r="AO596" t="s">
        <v>92</v>
      </c>
      <c r="AP596">
        <v>200000</v>
      </c>
      <c r="AQ596" t="s">
        <v>76</v>
      </c>
      <c r="AR596">
        <v>0</v>
      </c>
      <c r="AS596">
        <v>10000</v>
      </c>
      <c r="AT596" t="s">
        <v>9</v>
      </c>
      <c r="AU596" t="s">
        <v>78</v>
      </c>
      <c r="AV596" t="s">
        <v>79</v>
      </c>
      <c r="AY596">
        <v>0</v>
      </c>
    </row>
    <row r="597" spans="1:52" ht="12.75">
      <c r="A597" s="2" t="str">
        <f>HYPERLINK("https://ibp.a2mac1.com/costing(costing:projects/details/8191/assembly/5388500)","Inner Handle")</f>
        <v>Inner Handle</v>
      </c>
      <c r="B597">
        <v>5388500</v>
      </c>
      <c r="D597">
        <v>5388214</v>
      </c>
      <c r="F597">
        <v>1</v>
      </c>
      <c r="G597">
        <v>0</v>
      </c>
      <c r="H597">
        <v>0.31369425216717522</v>
      </c>
      <c r="I597">
        <v>0</v>
      </c>
      <c r="J597" t="s">
        <v>90</v>
      </c>
      <c r="K597">
        <v>0</v>
      </c>
      <c r="L597">
        <v>0.31369425216717522</v>
      </c>
      <c r="M597">
        <v>0</v>
      </c>
      <c r="N597">
        <v>0</v>
      </c>
      <c r="O597">
        <v>0.31369425216717522</v>
      </c>
      <c r="P597" t="s">
        <v>90</v>
      </c>
      <c r="Q597">
        <v>0</v>
      </c>
      <c r="R597" t="s">
        <v>90</v>
      </c>
      <c r="S597">
        <v>0</v>
      </c>
      <c r="T597" t="s">
        <v>90</v>
      </c>
      <c r="U597">
        <v>0</v>
      </c>
      <c r="V597" t="s">
        <v>90</v>
      </c>
      <c r="W597">
        <v>0</v>
      </c>
      <c r="X597" t="s">
        <v>90</v>
      </c>
      <c r="Y597">
        <v>0</v>
      </c>
      <c r="Z597">
        <v>0.31369425216717522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L597">
        <v>0.098000000000000004</v>
      </c>
      <c r="AN597" t="s">
        <v>223</v>
      </c>
      <c r="AO597" t="s">
        <v>92</v>
      </c>
      <c r="AP597">
        <v>200000</v>
      </c>
      <c r="AQ597" t="s">
        <v>92</v>
      </c>
      <c r="AS597">
        <v>10000</v>
      </c>
      <c r="AT597" t="s">
        <v>5569</v>
      </c>
      <c r="AU597" t="s">
        <v>78</v>
      </c>
      <c r="AV597" t="s">
        <v>79</v>
      </c>
      <c r="AY597">
        <v>0</v>
      </c>
    </row>
    <row r="598" spans="1:52" ht="12.75">
      <c r="A598" s="2" t="str">
        <f>HYPERLINK("https://ibp.a2mac1.com/costing(costing:projects/details/8191/assembly/5388501)","Electric Opening System")</f>
        <v>Electric Opening System</v>
      </c>
      <c r="B598">
        <v>5388501</v>
      </c>
      <c r="D598">
        <v>5388214</v>
      </c>
      <c r="F598">
        <v>1</v>
      </c>
      <c r="G598">
        <v>0</v>
      </c>
      <c r="H598">
        <v>0.92274</v>
      </c>
      <c r="I598">
        <v>0.0046368844221105531</v>
      </c>
      <c r="J598" t="s">
        <v>137</v>
      </c>
      <c r="K598">
        <v>0.032295900000000002</v>
      </c>
      <c r="L598">
        <v>0.95967278442211057</v>
      </c>
      <c r="M598">
        <v>0</v>
      </c>
      <c r="N598">
        <v>0</v>
      </c>
      <c r="O598">
        <v>0.95967278442211057</v>
      </c>
      <c r="P598" t="s">
        <v>138</v>
      </c>
      <c r="Q598">
        <v>0.057580367065326633</v>
      </c>
      <c r="R598" t="s">
        <v>138</v>
      </c>
      <c r="S598">
        <v>0</v>
      </c>
      <c r="T598" t="s">
        <v>139</v>
      </c>
      <c r="U598">
        <v>0.11516073413065327</v>
      </c>
      <c r="V598" t="s">
        <v>90</v>
      </c>
      <c r="W598">
        <v>0</v>
      </c>
      <c r="X598" t="s">
        <v>90</v>
      </c>
      <c r="Y598">
        <v>0</v>
      </c>
      <c r="Z598">
        <v>1.1324138856180905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L598">
        <v>0.012</v>
      </c>
      <c r="AN598" t="s">
        <v>4605</v>
      </c>
      <c r="AO598" t="s">
        <v>92</v>
      </c>
      <c r="AP598">
        <v>200000</v>
      </c>
      <c r="AQ598" t="s">
        <v>76</v>
      </c>
      <c r="AS598">
        <v>10000</v>
      </c>
      <c r="AT598" t="s">
        <v>5572</v>
      </c>
      <c r="AU598" t="s">
        <v>78</v>
      </c>
      <c r="AV598" t="s">
        <v>79</v>
      </c>
      <c r="AY598">
        <v>0</v>
      </c>
    </row>
    <row r="599" spans="1:52" ht="12.75">
      <c r="A599" s="2" t="str">
        <f>HYPERLINK("https://ibp.a2mac1.com/costing(costing:projects/details/8191/assembly/5388502)","Fastners")</f>
        <v>Fastners</v>
      </c>
      <c r="B599">
        <v>5388502</v>
      </c>
      <c r="D599">
        <v>5388214</v>
      </c>
      <c r="F599">
        <v>1</v>
      </c>
      <c r="G599">
        <v>0</v>
      </c>
      <c r="H599">
        <v>0.055350000000000003</v>
      </c>
      <c r="I599">
        <v>0</v>
      </c>
      <c r="J599" t="s">
        <v>90</v>
      </c>
      <c r="K599">
        <v>0</v>
      </c>
      <c r="L599">
        <v>0.055350000000000003</v>
      </c>
      <c r="M599">
        <v>0</v>
      </c>
      <c r="N599">
        <v>0</v>
      </c>
      <c r="O599">
        <v>0.055350000000000003</v>
      </c>
      <c r="P599" t="s">
        <v>90</v>
      </c>
      <c r="Q599">
        <v>0</v>
      </c>
      <c r="R599" t="s">
        <v>90</v>
      </c>
      <c r="S599">
        <v>0</v>
      </c>
      <c r="T599" t="s">
        <v>90</v>
      </c>
      <c r="U599">
        <v>0</v>
      </c>
      <c r="V599" t="s">
        <v>90</v>
      </c>
      <c r="W599">
        <v>0</v>
      </c>
      <c r="X599" t="s">
        <v>90</v>
      </c>
      <c r="Y599">
        <v>0</v>
      </c>
      <c r="Z599">
        <v>0.055350000000000003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N599" t="s">
        <v>223</v>
      </c>
      <c r="AO599" t="s">
        <v>92</v>
      </c>
      <c r="AP599">
        <v>200000</v>
      </c>
      <c r="AQ599" t="s">
        <v>92</v>
      </c>
      <c r="AR599">
        <v>0</v>
      </c>
      <c r="AS599">
        <v>10000</v>
      </c>
      <c r="AT599" t="s">
        <v>9</v>
      </c>
      <c r="AU599" t="s">
        <v>78</v>
      </c>
      <c r="AV599" t="s">
        <v>79</v>
      </c>
      <c r="AY599">
        <v>0</v>
      </c>
    </row>
    <row r="600" spans="1:52" ht="12.75">
      <c r="A600" s="2" t="str">
        <f>HYPERLINK("https://ibp.a2mac1.com/costing(costing:projects/details/8191/assembly/5388214)","Door Mechanism")</f>
        <v>Door Mechanism</v>
      </c>
      <c r="B600">
        <v>5388214</v>
      </c>
      <c r="D600">
        <v>5388136</v>
      </c>
      <c r="F600">
        <v>1</v>
      </c>
      <c r="G600">
        <v>0</v>
      </c>
      <c r="H600">
        <v>10.531159734983012</v>
      </c>
      <c r="I600">
        <v>0</v>
      </c>
      <c r="J600" t="s">
        <v>90</v>
      </c>
      <c r="K600">
        <v>0</v>
      </c>
      <c r="L600">
        <v>10.531159734983012</v>
      </c>
      <c r="M600">
        <v>0</v>
      </c>
      <c r="N600">
        <v>0</v>
      </c>
      <c r="O600">
        <v>10.531159734983012</v>
      </c>
      <c r="P600" t="s">
        <v>90</v>
      </c>
      <c r="Q600">
        <v>0</v>
      </c>
      <c r="R600" t="s">
        <v>90</v>
      </c>
      <c r="S600">
        <v>0</v>
      </c>
      <c r="T600" t="s">
        <v>90</v>
      </c>
      <c r="U600">
        <v>0</v>
      </c>
      <c r="V600" t="s">
        <v>90</v>
      </c>
      <c r="W600">
        <v>0</v>
      </c>
      <c r="X600" t="s">
        <v>90</v>
      </c>
      <c r="Y600">
        <v>0</v>
      </c>
      <c r="Z600">
        <v>10.531159734983012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L600">
        <v>1.8641000000000001</v>
      </c>
      <c r="AN600" t="s">
        <v>223</v>
      </c>
      <c r="AO600" t="s">
        <v>92</v>
      </c>
      <c r="AP600">
        <v>200000</v>
      </c>
      <c r="AQ600" t="s">
        <v>92</v>
      </c>
      <c r="AS600">
        <v>10000</v>
      </c>
      <c r="AT600" t="s">
        <v>5576</v>
      </c>
      <c r="AU600" t="s">
        <v>78</v>
      </c>
      <c r="AV600" t="s">
        <v>79</v>
      </c>
      <c r="AY600">
        <v>0</v>
      </c>
    </row>
    <row r="601" spans="1:52" ht="12.75">
      <c r="A601" s="2" t="str">
        <f>HYPERLINK("https://ibp.a2mac1.com/costing(costing:projects/details/8191/assembly/5388506)","Fastners")</f>
        <v>Fastners</v>
      </c>
      <c r="B601">
        <v>5388506</v>
      </c>
      <c r="D601">
        <v>5388215</v>
      </c>
      <c r="F601">
        <v>1</v>
      </c>
      <c r="G601">
        <v>0</v>
      </c>
      <c r="H601">
        <v>0.11070000000000001</v>
      </c>
      <c r="I601">
        <v>0</v>
      </c>
      <c r="J601" t="s">
        <v>90</v>
      </c>
      <c r="K601">
        <v>0</v>
      </c>
      <c r="L601">
        <v>0.11070000000000001</v>
      </c>
      <c r="M601">
        <v>0</v>
      </c>
      <c r="N601">
        <v>0</v>
      </c>
      <c r="O601">
        <v>0.11070000000000001</v>
      </c>
      <c r="P601" t="s">
        <v>90</v>
      </c>
      <c r="Q601">
        <v>0</v>
      </c>
      <c r="R601" t="s">
        <v>90</v>
      </c>
      <c r="S601">
        <v>0</v>
      </c>
      <c r="T601" t="s">
        <v>90</v>
      </c>
      <c r="U601">
        <v>0</v>
      </c>
      <c r="V601" t="s">
        <v>90</v>
      </c>
      <c r="W601">
        <v>0</v>
      </c>
      <c r="X601" t="s">
        <v>90</v>
      </c>
      <c r="Y601">
        <v>0</v>
      </c>
      <c r="Z601">
        <v>0.11070000000000001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N601" t="s">
        <v>223</v>
      </c>
      <c r="AO601" t="s">
        <v>92</v>
      </c>
      <c r="AP601">
        <v>200000</v>
      </c>
      <c r="AQ601" t="s">
        <v>92</v>
      </c>
      <c r="AR601">
        <v>0</v>
      </c>
      <c r="AS601">
        <v>10000</v>
      </c>
      <c r="AT601" t="s">
        <v>9</v>
      </c>
      <c r="AU601" t="s">
        <v>78</v>
      </c>
      <c r="AV601" t="s">
        <v>79</v>
      </c>
      <c r="AY601">
        <v>0</v>
      </c>
    </row>
    <row r="602" spans="1:52" ht="12.75">
      <c r="A602" s="2" t="str">
        <f>HYPERLINK("https://ibp.a2mac1.com/costing(costing:projects/details/8191/assembly/5388215)","Strut System")</f>
        <v>Strut System</v>
      </c>
      <c r="B602">
        <v>5388215</v>
      </c>
      <c r="D602">
        <v>5388136</v>
      </c>
      <c r="F602">
        <v>1</v>
      </c>
      <c r="G602">
        <v>0</v>
      </c>
      <c r="H602">
        <v>48.261967613685194</v>
      </c>
      <c r="I602">
        <v>0</v>
      </c>
      <c r="J602" t="s">
        <v>90</v>
      </c>
      <c r="K602">
        <v>0</v>
      </c>
      <c r="L602">
        <v>48.261967613685194</v>
      </c>
      <c r="M602">
        <v>0</v>
      </c>
      <c r="N602">
        <v>0</v>
      </c>
      <c r="O602">
        <v>48.261967613685194</v>
      </c>
      <c r="P602" t="s">
        <v>90</v>
      </c>
      <c r="Q602">
        <v>0</v>
      </c>
      <c r="R602" t="s">
        <v>90</v>
      </c>
      <c r="S602">
        <v>0</v>
      </c>
      <c r="T602" t="s">
        <v>90</v>
      </c>
      <c r="U602">
        <v>0</v>
      </c>
      <c r="V602" t="s">
        <v>90</v>
      </c>
      <c r="W602">
        <v>0</v>
      </c>
      <c r="X602" t="s">
        <v>90</v>
      </c>
      <c r="Y602">
        <v>0</v>
      </c>
      <c r="Z602">
        <v>48.261967613685194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L602">
        <v>2.565</v>
      </c>
      <c r="AN602" t="s">
        <v>223</v>
      </c>
      <c r="AO602" t="s">
        <v>92</v>
      </c>
      <c r="AP602">
        <v>200000</v>
      </c>
      <c r="AQ602" t="s">
        <v>92</v>
      </c>
      <c r="AS602">
        <v>10000</v>
      </c>
      <c r="AT602" t="s">
        <v>5590</v>
      </c>
      <c r="AU602" t="s">
        <v>78</v>
      </c>
      <c r="AV602" t="s">
        <v>79</v>
      </c>
      <c r="AY602">
        <v>0</v>
      </c>
    </row>
    <row r="603" spans="1:52" ht="12.75">
      <c r="A603" s="2" t="str">
        <f>HYPERLINK("https://ibp.a2mac1.com/costing(costing:projects/details/8191/assembly/5388512)","Fastners")</f>
        <v>Fastners</v>
      </c>
      <c r="B603">
        <v>5388512</v>
      </c>
      <c r="D603">
        <v>5388216</v>
      </c>
      <c r="F603">
        <v>1</v>
      </c>
      <c r="G603">
        <v>0</v>
      </c>
      <c r="H603">
        <v>0.036900000000000002</v>
      </c>
      <c r="I603">
        <v>0</v>
      </c>
      <c r="J603" t="s">
        <v>90</v>
      </c>
      <c r="K603">
        <v>0</v>
      </c>
      <c r="L603">
        <v>0.036900000000000002</v>
      </c>
      <c r="M603">
        <v>0</v>
      </c>
      <c r="N603">
        <v>0</v>
      </c>
      <c r="O603">
        <v>0.036900000000000002</v>
      </c>
      <c r="P603" t="s">
        <v>90</v>
      </c>
      <c r="Q603">
        <v>0</v>
      </c>
      <c r="R603" t="s">
        <v>90</v>
      </c>
      <c r="S603">
        <v>0</v>
      </c>
      <c r="T603" t="s">
        <v>90</v>
      </c>
      <c r="U603">
        <v>0</v>
      </c>
      <c r="V603" t="s">
        <v>90</v>
      </c>
      <c r="W603">
        <v>0</v>
      </c>
      <c r="X603" t="s">
        <v>90</v>
      </c>
      <c r="Y603">
        <v>0</v>
      </c>
      <c r="Z603">
        <v>0.036900000000000002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N603" t="s">
        <v>223</v>
      </c>
      <c r="AO603" t="s">
        <v>92</v>
      </c>
      <c r="AP603">
        <v>200000</v>
      </c>
      <c r="AQ603" t="s">
        <v>92</v>
      </c>
      <c r="AR603">
        <v>0</v>
      </c>
      <c r="AS603">
        <v>10000</v>
      </c>
      <c r="AT603" t="s">
        <v>9</v>
      </c>
      <c r="AU603" t="s">
        <v>78</v>
      </c>
      <c r="AV603" t="s">
        <v>79</v>
      </c>
      <c r="AY603">
        <v>0</v>
      </c>
    </row>
    <row r="604" spans="1:52" ht="12.75">
      <c r="A604" s="2" t="str">
        <f>HYPERLINK("https://ibp.a2mac1.com/costing(costing:projects/details/8191/assembly/5388216)","Stoppers")</f>
        <v>Stoppers</v>
      </c>
      <c r="B604">
        <v>5388216</v>
      </c>
      <c r="D604">
        <v>5388136</v>
      </c>
      <c r="F604">
        <v>1</v>
      </c>
      <c r="G604">
        <v>0</v>
      </c>
      <c r="H604">
        <v>0.34009715873315621</v>
      </c>
      <c r="I604">
        <v>0</v>
      </c>
      <c r="J604" t="s">
        <v>90</v>
      </c>
      <c r="K604">
        <v>0</v>
      </c>
      <c r="L604">
        <v>0.34009715873315621</v>
      </c>
      <c r="M604">
        <v>0</v>
      </c>
      <c r="N604">
        <v>0</v>
      </c>
      <c r="O604">
        <v>0.34009715873315621</v>
      </c>
      <c r="P604" t="s">
        <v>90</v>
      </c>
      <c r="Q604">
        <v>0</v>
      </c>
      <c r="R604" t="s">
        <v>90</v>
      </c>
      <c r="S604">
        <v>0</v>
      </c>
      <c r="T604" t="s">
        <v>90</v>
      </c>
      <c r="U604">
        <v>0</v>
      </c>
      <c r="V604" t="s">
        <v>90</v>
      </c>
      <c r="W604">
        <v>0</v>
      </c>
      <c r="X604" t="s">
        <v>90</v>
      </c>
      <c r="Y604">
        <v>0</v>
      </c>
      <c r="Z604">
        <v>0.34009715873315621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L604">
        <v>0.104</v>
      </c>
      <c r="AN604" t="s">
        <v>223</v>
      </c>
      <c r="AO604" t="s">
        <v>92</v>
      </c>
      <c r="AP604">
        <v>200000</v>
      </c>
      <c r="AQ604" t="s">
        <v>92</v>
      </c>
      <c r="AS604">
        <v>10000</v>
      </c>
      <c r="AT604" t="s">
        <v>5619</v>
      </c>
      <c r="AU604" t="s">
        <v>78</v>
      </c>
      <c r="AV604" t="s">
        <v>79</v>
      </c>
      <c r="AY604">
        <v>0</v>
      </c>
    </row>
    <row r="605" spans="1:52" ht="12.75">
      <c r="A605" s="2" t="str">
        <f>HYPERLINK("https://ibp.a2mac1.com/costing(costing:projects/details/8191/assembly/5388514)","Fastners")</f>
        <v>Fastners</v>
      </c>
      <c r="B605">
        <v>5388514</v>
      </c>
      <c r="D605">
        <v>5388217</v>
      </c>
      <c r="F605">
        <v>1</v>
      </c>
      <c r="G605">
        <v>0</v>
      </c>
      <c r="H605">
        <v>0.036900000000000002</v>
      </c>
      <c r="I605">
        <v>0</v>
      </c>
      <c r="J605" t="s">
        <v>90</v>
      </c>
      <c r="K605">
        <v>0</v>
      </c>
      <c r="L605">
        <v>0.036900000000000002</v>
      </c>
      <c r="M605">
        <v>0</v>
      </c>
      <c r="N605">
        <v>0</v>
      </c>
      <c r="O605">
        <v>0.036900000000000002</v>
      </c>
      <c r="P605" t="s">
        <v>90</v>
      </c>
      <c r="Q605">
        <v>0</v>
      </c>
      <c r="R605" t="s">
        <v>90</v>
      </c>
      <c r="S605">
        <v>0</v>
      </c>
      <c r="T605" t="s">
        <v>90</v>
      </c>
      <c r="U605">
        <v>0</v>
      </c>
      <c r="V605" t="s">
        <v>90</v>
      </c>
      <c r="W605">
        <v>0</v>
      </c>
      <c r="X605" t="s">
        <v>90</v>
      </c>
      <c r="Y605">
        <v>0</v>
      </c>
      <c r="Z605">
        <v>0.036900000000000002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N605" t="s">
        <v>223</v>
      </c>
      <c r="AO605" t="s">
        <v>92</v>
      </c>
      <c r="AP605">
        <v>200000</v>
      </c>
      <c r="AQ605" t="s">
        <v>92</v>
      </c>
      <c r="AR605">
        <v>0</v>
      </c>
      <c r="AS605">
        <v>10000</v>
      </c>
      <c r="AT605" t="s">
        <v>9</v>
      </c>
      <c r="AU605" t="s">
        <v>78</v>
      </c>
      <c r="AV605" t="s">
        <v>79</v>
      </c>
      <c r="AY605">
        <v>0</v>
      </c>
    </row>
    <row r="606" spans="1:52" ht="12.75">
      <c r="A606" s="2" t="str">
        <f>HYPERLINK("https://ibp.a2mac1.com/costing(costing:projects/details/8191/assembly/5388217)","Guide System")</f>
        <v>Guide System</v>
      </c>
      <c r="B606">
        <v>5388217</v>
      </c>
      <c r="D606">
        <v>5388136</v>
      </c>
      <c r="F606">
        <v>1</v>
      </c>
      <c r="G606">
        <v>0</v>
      </c>
      <c r="H606">
        <v>0.13553293057857935</v>
      </c>
      <c r="I606">
        <v>0</v>
      </c>
      <c r="J606" t="s">
        <v>90</v>
      </c>
      <c r="K606">
        <v>0</v>
      </c>
      <c r="L606">
        <v>0.13553293057857935</v>
      </c>
      <c r="M606">
        <v>0</v>
      </c>
      <c r="N606">
        <v>0</v>
      </c>
      <c r="O606">
        <v>0.13553293057857935</v>
      </c>
      <c r="P606" t="s">
        <v>90</v>
      </c>
      <c r="Q606">
        <v>0</v>
      </c>
      <c r="R606" t="s">
        <v>90</v>
      </c>
      <c r="S606">
        <v>0</v>
      </c>
      <c r="T606" t="s">
        <v>90</v>
      </c>
      <c r="U606">
        <v>0</v>
      </c>
      <c r="V606" t="s">
        <v>90</v>
      </c>
      <c r="W606">
        <v>0</v>
      </c>
      <c r="X606" t="s">
        <v>90</v>
      </c>
      <c r="Y606">
        <v>0</v>
      </c>
      <c r="Z606">
        <v>0.13553293057857935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L606">
        <v>0.05</v>
      </c>
      <c r="AN606" t="s">
        <v>223</v>
      </c>
      <c r="AO606" t="s">
        <v>92</v>
      </c>
      <c r="AP606">
        <v>200000</v>
      </c>
      <c r="AQ606" t="s">
        <v>92</v>
      </c>
      <c r="AS606">
        <v>10000</v>
      </c>
      <c r="AT606" t="s">
        <v>5630</v>
      </c>
      <c r="AU606" t="s">
        <v>78</v>
      </c>
      <c r="AV606" t="s">
        <v>79</v>
      </c>
      <c r="AY606">
        <v>0</v>
      </c>
    </row>
    <row r="607" spans="1:52" ht="12.75">
      <c r="A607" s="2" t="str">
        <f>HYPERLINK("https://ibp.a2mac1.com/costing(costing:projects/details/8191/assembly/5388517)","Fastners")</f>
        <v>Fastners</v>
      </c>
      <c r="B607">
        <v>5388517</v>
      </c>
      <c r="D607">
        <v>5388218</v>
      </c>
      <c r="F607">
        <v>1</v>
      </c>
      <c r="G607">
        <v>0</v>
      </c>
      <c r="H607">
        <v>0.11070000000000001</v>
      </c>
      <c r="I607">
        <v>0</v>
      </c>
      <c r="J607" t="s">
        <v>90</v>
      </c>
      <c r="K607">
        <v>0</v>
      </c>
      <c r="L607">
        <v>0.11070000000000001</v>
      </c>
      <c r="M607">
        <v>0</v>
      </c>
      <c r="N607">
        <v>0</v>
      </c>
      <c r="O607">
        <v>0.11070000000000001</v>
      </c>
      <c r="P607" t="s">
        <v>90</v>
      </c>
      <c r="Q607">
        <v>0</v>
      </c>
      <c r="R607" t="s">
        <v>90</v>
      </c>
      <c r="S607">
        <v>0</v>
      </c>
      <c r="T607" t="s">
        <v>90</v>
      </c>
      <c r="U607">
        <v>0</v>
      </c>
      <c r="V607" t="s">
        <v>90</v>
      </c>
      <c r="W607">
        <v>0</v>
      </c>
      <c r="X607" t="s">
        <v>90</v>
      </c>
      <c r="Y607">
        <v>0</v>
      </c>
      <c r="Z607">
        <v>0.11070000000000001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N607" t="s">
        <v>223</v>
      </c>
      <c r="AO607" t="s">
        <v>92</v>
      </c>
      <c r="AP607">
        <v>200000</v>
      </c>
      <c r="AQ607" t="s">
        <v>92</v>
      </c>
      <c r="AR607">
        <v>0</v>
      </c>
      <c r="AS607">
        <v>10000</v>
      </c>
      <c r="AT607" t="s">
        <v>9</v>
      </c>
      <c r="AU607" t="s">
        <v>78</v>
      </c>
      <c r="AV607" t="s">
        <v>79</v>
      </c>
      <c r="AY607">
        <v>0</v>
      </c>
    </row>
    <row r="608" spans="1:52" ht="12.75">
      <c r="A608" s="2" t="str">
        <f>HYPERLINK("https://ibp.a2mac1.com/costing(costing:projects/details/8191/assembly/5388218)","Spoiler System")</f>
        <v>Spoiler System</v>
      </c>
      <c r="B608">
        <v>5388218</v>
      </c>
      <c r="D608">
        <v>5388136</v>
      </c>
      <c r="F608">
        <v>1</v>
      </c>
      <c r="G608">
        <v>0</v>
      </c>
      <c r="H608">
        <v>9.4373828698269282</v>
      </c>
      <c r="I608">
        <v>0</v>
      </c>
      <c r="J608" t="s">
        <v>90</v>
      </c>
      <c r="K608">
        <v>0</v>
      </c>
      <c r="L608">
        <v>9.4373828698269282</v>
      </c>
      <c r="M608">
        <v>0</v>
      </c>
      <c r="N608">
        <v>0</v>
      </c>
      <c r="O608">
        <v>9.4373828698269282</v>
      </c>
      <c r="P608" t="s">
        <v>90</v>
      </c>
      <c r="Q608">
        <v>0</v>
      </c>
      <c r="R608" t="s">
        <v>90</v>
      </c>
      <c r="S608">
        <v>0</v>
      </c>
      <c r="T608" t="s">
        <v>90</v>
      </c>
      <c r="U608">
        <v>0</v>
      </c>
      <c r="V608" t="s">
        <v>90</v>
      </c>
      <c r="W608">
        <v>0</v>
      </c>
      <c r="X608" t="s">
        <v>90</v>
      </c>
      <c r="Y608">
        <v>0</v>
      </c>
      <c r="Z608">
        <v>9.4373828698269282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L608">
        <v>0.90920000000000001</v>
      </c>
      <c r="AN608" t="s">
        <v>223</v>
      </c>
      <c r="AO608" t="s">
        <v>92</v>
      </c>
      <c r="AP608">
        <v>200000</v>
      </c>
      <c r="AQ608" t="s">
        <v>92</v>
      </c>
      <c r="AS608">
        <v>10000</v>
      </c>
      <c r="AT608" t="s">
        <v>5644</v>
      </c>
      <c r="AU608" t="s">
        <v>78</v>
      </c>
      <c r="AV608" t="s">
        <v>79</v>
      </c>
      <c r="AY608">
        <v>0</v>
      </c>
    </row>
    <row r="609" spans="1:52" ht="12.75">
      <c r="A609" s="2" t="str">
        <f>HYPERLINK("https://ibp.a2mac1.com/costing(costing:projects/details/8191/assembly/5388136)","Tailgate")</f>
        <v>Tailgate</v>
      </c>
      <c r="B609">
        <v>5388136</v>
      </c>
      <c r="D609">
        <v>5388127</v>
      </c>
      <c r="F609">
        <v>1</v>
      </c>
      <c r="G609">
        <v>0</v>
      </c>
      <c r="H609">
        <v>180.42204442213571</v>
      </c>
      <c r="I609">
        <v>0</v>
      </c>
      <c r="J609" t="s">
        <v>90</v>
      </c>
      <c r="K609">
        <v>0</v>
      </c>
      <c r="L609">
        <v>180.42204442213571</v>
      </c>
      <c r="M609">
        <v>0</v>
      </c>
      <c r="N609">
        <v>0</v>
      </c>
      <c r="O609">
        <v>180.42204442213571</v>
      </c>
      <c r="P609" t="s">
        <v>90</v>
      </c>
      <c r="Q609">
        <v>0</v>
      </c>
      <c r="R609" t="s">
        <v>90</v>
      </c>
      <c r="S609">
        <v>0</v>
      </c>
      <c r="T609" t="s">
        <v>90</v>
      </c>
      <c r="U609">
        <v>0</v>
      </c>
      <c r="V609" t="s">
        <v>90</v>
      </c>
      <c r="W609">
        <v>0</v>
      </c>
      <c r="X609" t="s">
        <v>90</v>
      </c>
      <c r="Y609">
        <v>0</v>
      </c>
      <c r="Z609">
        <v>180.42204442213571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400</v>
      </c>
      <c r="AI609">
        <v>1230</v>
      </c>
      <c r="AJ609">
        <v>1120</v>
      </c>
      <c r="AL609">
        <v>44.165399999999998</v>
      </c>
      <c r="AN609" t="s">
        <v>223</v>
      </c>
      <c r="AO609" t="s">
        <v>92</v>
      </c>
      <c r="AP609">
        <v>200000</v>
      </c>
      <c r="AQ609" t="s">
        <v>92</v>
      </c>
      <c r="AS609">
        <v>10000</v>
      </c>
      <c r="AT609" t="s">
        <v>5663</v>
      </c>
      <c r="AU609" t="s">
        <v>78</v>
      </c>
      <c r="AV609" t="s">
        <v>79</v>
      </c>
      <c r="AY609">
        <v>0</v>
      </c>
    </row>
    <row r="610" spans="1:52" ht="12.75">
      <c r="A610" s="2" t="str">
        <f>HYPERLINK("https://ibp.a2mac1.com/costing(costing:projects/details/8191/assembly/5388226)","Fastners")</f>
        <v>Fastners</v>
      </c>
      <c r="B610">
        <v>5388226</v>
      </c>
      <c r="D610">
        <v>5388137</v>
      </c>
      <c r="F610">
        <v>1</v>
      </c>
      <c r="G610">
        <v>0</v>
      </c>
      <c r="H610">
        <v>0.34</v>
      </c>
      <c r="I610">
        <v>0</v>
      </c>
      <c r="J610" t="s">
        <v>90</v>
      </c>
      <c r="K610">
        <v>0</v>
      </c>
      <c r="L610">
        <v>0.34</v>
      </c>
      <c r="M610">
        <v>0</v>
      </c>
      <c r="N610">
        <v>0</v>
      </c>
      <c r="O610">
        <v>0.34</v>
      </c>
      <c r="P610" t="s">
        <v>90</v>
      </c>
      <c r="Q610">
        <v>0</v>
      </c>
      <c r="R610" t="s">
        <v>90</v>
      </c>
      <c r="S610">
        <v>0</v>
      </c>
      <c r="T610" t="s">
        <v>90</v>
      </c>
      <c r="U610">
        <v>0</v>
      </c>
      <c r="V610" t="s">
        <v>90</v>
      </c>
      <c r="W610">
        <v>0</v>
      </c>
      <c r="X610" t="s">
        <v>90</v>
      </c>
      <c r="Y610">
        <v>0</v>
      </c>
      <c r="Z610">
        <v>0.34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N610" t="s">
        <v>223</v>
      </c>
      <c r="AO610" t="s">
        <v>92</v>
      </c>
      <c r="AP610">
        <v>200000</v>
      </c>
      <c r="AQ610" t="s">
        <v>76</v>
      </c>
      <c r="AR610">
        <v>0</v>
      </c>
      <c r="AS610">
        <v>10000</v>
      </c>
      <c r="AT610" t="s">
        <v>9</v>
      </c>
      <c r="AU610" t="s">
        <v>78</v>
      </c>
      <c r="AV610" t="s">
        <v>79</v>
      </c>
      <c r="AY610">
        <v>0</v>
      </c>
    </row>
    <row r="611" spans="1:52" ht="12.75">
      <c r="A611" s="2" t="str">
        <f>HYPERLINK("https://ibp.a2mac1.com/costing(costing:projects/details/8191/assembly/5388137)","Assy Charge Port")</f>
        <v>Assy Charge Port</v>
      </c>
      <c r="B611">
        <v>5388137</v>
      </c>
      <c r="D611">
        <v>5388127</v>
      </c>
      <c r="F611">
        <v>1</v>
      </c>
      <c r="G611">
        <v>0</v>
      </c>
      <c r="H611">
        <v>7.0746945430981869</v>
      </c>
      <c r="I611">
        <v>0</v>
      </c>
      <c r="J611" t="s">
        <v>90</v>
      </c>
      <c r="K611">
        <v>0</v>
      </c>
      <c r="L611">
        <v>7.0746945430981869</v>
      </c>
      <c r="M611">
        <v>0</v>
      </c>
      <c r="N611">
        <v>0.13176533812762237</v>
      </c>
      <c r="O611">
        <v>7.2064598812258094</v>
      </c>
      <c r="P611" t="s">
        <v>90</v>
      </c>
      <c r="Q611">
        <v>0</v>
      </c>
      <c r="R611" t="s">
        <v>90</v>
      </c>
      <c r="S611">
        <v>0</v>
      </c>
      <c r="T611" t="s">
        <v>90</v>
      </c>
      <c r="U611">
        <v>0</v>
      </c>
      <c r="V611" t="s">
        <v>90</v>
      </c>
      <c r="W611">
        <v>0</v>
      </c>
      <c r="X611" t="s">
        <v>90</v>
      </c>
      <c r="Y611">
        <v>0</v>
      </c>
      <c r="Z611">
        <v>7.2064598812258094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L611">
        <v>7.5091999999999999</v>
      </c>
      <c r="AN611" t="s">
        <v>223</v>
      </c>
      <c r="AO611" t="s">
        <v>92</v>
      </c>
      <c r="AP611">
        <v>200000</v>
      </c>
      <c r="AQ611" t="s">
        <v>92</v>
      </c>
      <c r="AS611">
        <v>10000</v>
      </c>
      <c r="AT611" t="s">
        <v>9</v>
      </c>
      <c r="AU611" t="s">
        <v>78</v>
      </c>
      <c r="AV611" t="s">
        <v>79</v>
      </c>
      <c r="AY611">
        <v>0</v>
      </c>
    </row>
    <row r="612" spans="1:52" ht="12.75">
      <c r="A612" s="2" t="str">
        <f>HYPERLINK("https://ibp.a2mac1.com/costing(costing:projects/details/8191/assembly/5388840)","Housing")</f>
        <v>Housing</v>
      </c>
      <c r="B612">
        <v>5388840</v>
      </c>
      <c r="D612">
        <v>5388518</v>
      </c>
      <c r="F612">
        <v>1</v>
      </c>
      <c r="G612">
        <v>0</v>
      </c>
      <c r="H612">
        <v>7.6003228302498353</v>
      </c>
      <c r="I612">
        <v>0</v>
      </c>
      <c r="J612" t="s">
        <v>90</v>
      </c>
      <c r="K612">
        <v>0</v>
      </c>
      <c r="L612">
        <v>7.6003228302498353</v>
      </c>
      <c r="M612">
        <v>0</v>
      </c>
      <c r="N612">
        <v>0</v>
      </c>
      <c r="O612">
        <v>7.6003228302498353</v>
      </c>
      <c r="P612" t="s">
        <v>90</v>
      </c>
      <c r="Q612">
        <v>0</v>
      </c>
      <c r="R612" t="s">
        <v>90</v>
      </c>
      <c r="S612">
        <v>0</v>
      </c>
      <c r="T612" t="s">
        <v>90</v>
      </c>
      <c r="U612">
        <v>0</v>
      </c>
      <c r="V612" t="s">
        <v>90</v>
      </c>
      <c r="W612">
        <v>0</v>
      </c>
      <c r="X612" t="s">
        <v>90</v>
      </c>
      <c r="Y612">
        <v>0</v>
      </c>
      <c r="Z612">
        <v>7.6003228302498353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N612" t="s">
        <v>223</v>
      </c>
      <c r="AO612" t="s">
        <v>92</v>
      </c>
      <c r="AP612">
        <v>200000</v>
      </c>
      <c r="AQ612" t="s">
        <v>76</v>
      </c>
      <c r="AR612">
        <v>0</v>
      </c>
      <c r="AS612">
        <v>10000</v>
      </c>
      <c r="AT612" t="s">
        <v>9</v>
      </c>
      <c r="AU612" t="s">
        <v>78</v>
      </c>
      <c r="AV612" t="s">
        <v>79</v>
      </c>
      <c r="AY612">
        <v>0</v>
      </c>
    </row>
    <row r="613" spans="1:52" ht="12.75">
      <c r="A613" s="2" t="str">
        <f>HYPERLINK("https://ibp.a2mac1.com/costing(costing:projects/details/8191/assembly/5388841)","Reinforcements")</f>
        <v>Reinforcements</v>
      </c>
      <c r="B613">
        <v>5388841</v>
      </c>
      <c r="D613">
        <v>5388518</v>
      </c>
      <c r="F613">
        <v>1</v>
      </c>
      <c r="G613">
        <v>0</v>
      </c>
      <c r="H613">
        <v>1.5930931418297709</v>
      </c>
      <c r="I613">
        <v>0</v>
      </c>
      <c r="J613" t="s">
        <v>90</v>
      </c>
      <c r="K613">
        <v>0</v>
      </c>
      <c r="L613">
        <v>1.5930931418297709</v>
      </c>
      <c r="M613">
        <v>0</v>
      </c>
      <c r="N613">
        <v>0</v>
      </c>
      <c r="O613">
        <v>1.5930931418297709</v>
      </c>
      <c r="P613" t="s">
        <v>90</v>
      </c>
      <c r="Q613">
        <v>0</v>
      </c>
      <c r="R613" t="s">
        <v>90</v>
      </c>
      <c r="S613">
        <v>0</v>
      </c>
      <c r="T613" t="s">
        <v>90</v>
      </c>
      <c r="U613">
        <v>0</v>
      </c>
      <c r="V613" t="s">
        <v>90</v>
      </c>
      <c r="W613">
        <v>0</v>
      </c>
      <c r="X613" t="s">
        <v>90</v>
      </c>
      <c r="Y613">
        <v>0</v>
      </c>
      <c r="Z613">
        <v>1.5930931418297709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N613" t="s">
        <v>223</v>
      </c>
      <c r="AO613" t="s">
        <v>92</v>
      </c>
      <c r="AP613">
        <v>200000</v>
      </c>
      <c r="AQ613" t="s">
        <v>76</v>
      </c>
      <c r="AR613">
        <v>0</v>
      </c>
      <c r="AS613">
        <v>10000</v>
      </c>
      <c r="AT613" t="s">
        <v>9</v>
      </c>
      <c r="AU613" t="s">
        <v>78</v>
      </c>
      <c r="AV613" t="s">
        <v>79</v>
      </c>
      <c r="AY613">
        <v>0</v>
      </c>
    </row>
    <row r="614" spans="1:52" ht="12.75">
      <c r="A614" s="2" t="str">
        <f>HYPERLINK("https://ibp.a2mac1.com/costing(costing:projects/details/8191/assembly/5389210)","Front")</f>
        <v>Front</v>
      </c>
      <c r="B614">
        <v>5389210</v>
      </c>
      <c r="D614">
        <v>5388842</v>
      </c>
      <c r="F614">
        <v>1</v>
      </c>
      <c r="G614">
        <v>0</v>
      </c>
      <c r="H614">
        <v>1.6452604635758201</v>
      </c>
      <c r="I614">
        <v>0</v>
      </c>
      <c r="J614" t="s">
        <v>90</v>
      </c>
      <c r="K614">
        <v>0</v>
      </c>
      <c r="L614">
        <v>1.6452604635758201</v>
      </c>
      <c r="M614">
        <v>0</v>
      </c>
      <c r="N614">
        <v>0</v>
      </c>
      <c r="O614">
        <v>1.6452604635758201</v>
      </c>
      <c r="P614" t="s">
        <v>90</v>
      </c>
      <c r="Q614">
        <v>0</v>
      </c>
      <c r="R614" t="s">
        <v>90</v>
      </c>
      <c r="S614">
        <v>0</v>
      </c>
      <c r="T614" t="s">
        <v>90</v>
      </c>
      <c r="U614">
        <v>0</v>
      </c>
      <c r="V614" t="s">
        <v>90</v>
      </c>
      <c r="W614">
        <v>0</v>
      </c>
      <c r="X614" t="s">
        <v>90</v>
      </c>
      <c r="Y614">
        <v>0</v>
      </c>
      <c r="Z614">
        <v>1.6452604635758201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N614" t="s">
        <v>223</v>
      </c>
      <c r="AO614" t="s">
        <v>92</v>
      </c>
      <c r="AP614">
        <v>200000</v>
      </c>
      <c r="AQ614" t="s">
        <v>76</v>
      </c>
      <c r="AR614">
        <v>0</v>
      </c>
      <c r="AS614">
        <v>10000</v>
      </c>
      <c r="AT614" t="s">
        <v>9</v>
      </c>
      <c r="AU614" t="s">
        <v>78</v>
      </c>
      <c r="AV614" t="s">
        <v>79</v>
      </c>
      <c r="AY614">
        <v>0</v>
      </c>
    </row>
    <row r="615" spans="1:52" ht="12.75">
      <c r="A615" s="2" t="str">
        <f>HYPERLINK("https://ibp.a2mac1.com/costing(costing:projects/details/8191/assembly/5388842)","Fixing parts")</f>
        <v>Fixing parts</v>
      </c>
      <c r="B615">
        <v>5388842</v>
      </c>
      <c r="D615">
        <v>5388518</v>
      </c>
      <c r="F615">
        <v>1</v>
      </c>
      <c r="G615">
        <v>0</v>
      </c>
      <c r="H615">
        <v>1.6452604635758201</v>
      </c>
      <c r="I615">
        <v>0</v>
      </c>
      <c r="J615" t="s">
        <v>90</v>
      </c>
      <c r="K615">
        <v>0</v>
      </c>
      <c r="L615">
        <v>1.6452604635758201</v>
      </c>
      <c r="M615">
        <v>0</v>
      </c>
      <c r="N615">
        <v>0</v>
      </c>
      <c r="O615">
        <v>1.6452604635758201</v>
      </c>
      <c r="P615" t="s">
        <v>90</v>
      </c>
      <c r="Q615">
        <v>0</v>
      </c>
      <c r="R615" t="s">
        <v>90</v>
      </c>
      <c r="S615">
        <v>0</v>
      </c>
      <c r="T615" t="s">
        <v>90</v>
      </c>
      <c r="U615">
        <v>0</v>
      </c>
      <c r="V615" t="s">
        <v>90</v>
      </c>
      <c r="W615">
        <v>0</v>
      </c>
      <c r="X615" t="s">
        <v>90</v>
      </c>
      <c r="Y615">
        <v>0</v>
      </c>
      <c r="Z615">
        <v>1.6452604635758201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N615" t="s">
        <v>223</v>
      </c>
      <c r="AO615" t="s">
        <v>92</v>
      </c>
      <c r="AP615">
        <v>200000</v>
      </c>
      <c r="AQ615" t="s">
        <v>76</v>
      </c>
      <c r="AR615">
        <v>0</v>
      </c>
      <c r="AS615">
        <v>10000</v>
      </c>
      <c r="AT615" t="s">
        <v>9</v>
      </c>
      <c r="AU615" t="s">
        <v>78</v>
      </c>
      <c r="AV615" t="s">
        <v>79</v>
      </c>
      <c r="AY615">
        <v>0</v>
      </c>
    </row>
    <row r="616" spans="1:52" ht="12.75">
      <c r="A616" s="2" t="str">
        <f>HYPERLINK("https://ibp.a2mac1.com/costing(costing:projects/details/8191/assembly/5388518)","Housing Assy ")</f>
        <v xml:space="preserve">Housing Assy </v>
      </c>
      <c r="B616">
        <v>5388518</v>
      </c>
      <c r="D616">
        <v>5388227</v>
      </c>
      <c r="F616">
        <v>1</v>
      </c>
      <c r="G616">
        <v>0</v>
      </c>
      <c r="H616">
        <v>10.838676435655426</v>
      </c>
      <c r="I616">
        <v>0</v>
      </c>
      <c r="J616" t="s">
        <v>90</v>
      </c>
      <c r="K616">
        <v>0</v>
      </c>
      <c r="L616">
        <v>10.838676435655426</v>
      </c>
      <c r="M616">
        <v>0</v>
      </c>
      <c r="N616">
        <v>0</v>
      </c>
      <c r="O616">
        <v>10.838676435655426</v>
      </c>
      <c r="P616" t="s">
        <v>90</v>
      </c>
      <c r="Q616">
        <v>0</v>
      </c>
      <c r="R616" t="s">
        <v>90</v>
      </c>
      <c r="S616">
        <v>0</v>
      </c>
      <c r="T616" t="s">
        <v>90</v>
      </c>
      <c r="U616">
        <v>0</v>
      </c>
      <c r="V616" t="s">
        <v>90</v>
      </c>
      <c r="W616">
        <v>0</v>
      </c>
      <c r="X616" t="s">
        <v>90</v>
      </c>
      <c r="Y616">
        <v>0</v>
      </c>
      <c r="Z616">
        <v>10.838676435655426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N616" t="s">
        <v>223</v>
      </c>
      <c r="AO616" t="s">
        <v>92</v>
      </c>
      <c r="AP616">
        <v>200000</v>
      </c>
      <c r="AQ616" t="s">
        <v>92</v>
      </c>
      <c r="AR616">
        <v>0</v>
      </c>
      <c r="AS616">
        <v>10000</v>
      </c>
      <c r="AT616" t="s">
        <v>9</v>
      </c>
      <c r="AU616" t="s">
        <v>78</v>
      </c>
      <c r="AV616" t="s">
        <v>79</v>
      </c>
      <c r="AY616">
        <v>0</v>
      </c>
    </row>
    <row r="617" spans="1:52" ht="12.75">
      <c r="A617" s="2" t="str">
        <f>HYPERLINK("https://ibp.a2mac1.com/costing(costing:projects/details/8191/assembly/5389211)","Beam")</f>
        <v>Beam</v>
      </c>
      <c r="B617">
        <v>5389211</v>
      </c>
      <c r="D617">
        <v>5388843</v>
      </c>
      <c r="F617">
        <v>1</v>
      </c>
      <c r="G617">
        <v>0</v>
      </c>
      <c r="H617">
        <v>2.8972133153946751</v>
      </c>
      <c r="I617">
        <v>0</v>
      </c>
      <c r="J617" t="s">
        <v>90</v>
      </c>
      <c r="K617">
        <v>0</v>
      </c>
      <c r="L617">
        <v>2.8972133153946751</v>
      </c>
      <c r="M617">
        <v>0</v>
      </c>
      <c r="N617">
        <v>0</v>
      </c>
      <c r="O617">
        <v>2.8972133153946751</v>
      </c>
      <c r="P617" t="s">
        <v>90</v>
      </c>
      <c r="Q617">
        <v>0</v>
      </c>
      <c r="R617" t="s">
        <v>90</v>
      </c>
      <c r="S617">
        <v>0</v>
      </c>
      <c r="T617" t="s">
        <v>90</v>
      </c>
      <c r="U617">
        <v>0</v>
      </c>
      <c r="V617" t="s">
        <v>90</v>
      </c>
      <c r="W617">
        <v>0</v>
      </c>
      <c r="X617" t="s">
        <v>90</v>
      </c>
      <c r="Y617">
        <v>0</v>
      </c>
      <c r="Z617">
        <v>2.8972133153946751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N617" t="s">
        <v>223</v>
      </c>
      <c r="AO617" t="s">
        <v>92</v>
      </c>
      <c r="AP617">
        <v>200000</v>
      </c>
      <c r="AQ617" t="s">
        <v>92</v>
      </c>
      <c r="AR617">
        <v>0</v>
      </c>
      <c r="AS617">
        <v>10000</v>
      </c>
      <c r="AT617" t="s">
        <v>9</v>
      </c>
      <c r="AU617" t="s">
        <v>78</v>
      </c>
      <c r="AV617" t="s">
        <v>79</v>
      </c>
      <c r="AY617">
        <v>0</v>
      </c>
    </row>
    <row r="618" spans="1:52" ht="12.75">
      <c r="A618" s="2" t="str">
        <f>HYPERLINK("https://ibp.a2mac1.com/costing(costing:projects/details/8191/assembly/5388843)","Beam 01")</f>
        <v>Beam 01</v>
      </c>
      <c r="B618">
        <v>5388843</v>
      </c>
      <c r="D618">
        <v>5388519</v>
      </c>
      <c r="F618">
        <v>1</v>
      </c>
      <c r="G618">
        <v>0</v>
      </c>
      <c r="H618">
        <v>2.8972133153946751</v>
      </c>
      <c r="I618">
        <v>0</v>
      </c>
      <c r="J618" t="s">
        <v>90</v>
      </c>
      <c r="K618">
        <v>0</v>
      </c>
      <c r="L618">
        <v>2.8972133153946751</v>
      </c>
      <c r="M618">
        <v>0</v>
      </c>
      <c r="N618">
        <v>0</v>
      </c>
      <c r="O618">
        <v>2.8972133153946751</v>
      </c>
      <c r="P618" t="s">
        <v>90</v>
      </c>
      <c r="Q618">
        <v>0</v>
      </c>
      <c r="R618" t="s">
        <v>90</v>
      </c>
      <c r="S618">
        <v>0</v>
      </c>
      <c r="T618" t="s">
        <v>90</v>
      </c>
      <c r="U618">
        <v>0</v>
      </c>
      <c r="V618" t="s">
        <v>90</v>
      </c>
      <c r="W618">
        <v>0</v>
      </c>
      <c r="X618" t="s">
        <v>90</v>
      </c>
      <c r="Y618">
        <v>0</v>
      </c>
      <c r="Z618">
        <v>2.8972133153946751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N618" t="s">
        <v>223</v>
      </c>
      <c r="AO618" t="s">
        <v>92</v>
      </c>
      <c r="AP618">
        <v>200000</v>
      </c>
      <c r="AQ618" t="s">
        <v>92</v>
      </c>
      <c r="AR618">
        <v>0</v>
      </c>
      <c r="AS618">
        <v>10000</v>
      </c>
      <c r="AT618" t="s">
        <v>9</v>
      </c>
      <c r="AU618" t="s">
        <v>78</v>
      </c>
      <c r="AV618" t="s">
        <v>79</v>
      </c>
      <c r="AY618">
        <v>0</v>
      </c>
    </row>
    <row r="619" spans="1:52" ht="12.75">
      <c r="A619" s="2" t="str">
        <f>HYPERLINK("https://ibp.a2mac1.com/costing(costing:projects/details/8191/assembly/5388519)","Anti-intrusion beams")</f>
        <v>Anti-intrusion beams</v>
      </c>
      <c r="B619">
        <v>5388519</v>
      </c>
      <c r="D619">
        <v>5388227</v>
      </c>
      <c r="F619">
        <v>1</v>
      </c>
      <c r="G619">
        <v>0</v>
      </c>
      <c r="H619">
        <v>2.8972133153946751</v>
      </c>
      <c r="I619">
        <v>0</v>
      </c>
      <c r="J619" t="s">
        <v>90</v>
      </c>
      <c r="K619">
        <v>0</v>
      </c>
      <c r="L619">
        <v>2.8972133153946751</v>
      </c>
      <c r="M619">
        <v>0</v>
      </c>
      <c r="N619">
        <v>0</v>
      </c>
      <c r="O619">
        <v>2.8972133153946751</v>
      </c>
      <c r="P619" t="s">
        <v>90</v>
      </c>
      <c r="Q619">
        <v>0</v>
      </c>
      <c r="R619" t="s">
        <v>90</v>
      </c>
      <c r="S619">
        <v>0</v>
      </c>
      <c r="T619" t="s">
        <v>90</v>
      </c>
      <c r="U619">
        <v>0</v>
      </c>
      <c r="V619" t="s">
        <v>90</v>
      </c>
      <c r="W619">
        <v>0</v>
      </c>
      <c r="X619" t="s">
        <v>90</v>
      </c>
      <c r="Y619">
        <v>0</v>
      </c>
      <c r="Z619">
        <v>2.8972133153946751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N619" t="s">
        <v>223</v>
      </c>
      <c r="AO619" t="s">
        <v>92</v>
      </c>
      <c r="AP619">
        <v>200000</v>
      </c>
      <c r="AQ619" t="s">
        <v>92</v>
      </c>
      <c r="AR619">
        <v>0</v>
      </c>
      <c r="AS619">
        <v>10000</v>
      </c>
      <c r="AT619" t="s">
        <v>9</v>
      </c>
      <c r="AU619" t="s">
        <v>78</v>
      </c>
      <c r="AV619" t="s">
        <v>79</v>
      </c>
      <c r="AY619">
        <v>0</v>
      </c>
    </row>
    <row r="620" spans="1:52" ht="12.75">
      <c r="A620" s="2" t="str">
        <f>HYPERLINK("https://ibp.a2mac1.com/costing(costing:projects/details/8191/assembly/5388844)","Reinforcements")</f>
        <v>Reinforcements</v>
      </c>
      <c r="B620">
        <v>5388844</v>
      </c>
      <c r="D620">
        <v>5388520</v>
      </c>
      <c r="F620">
        <v>1</v>
      </c>
      <c r="G620">
        <v>0</v>
      </c>
      <c r="H620">
        <v>0.28106372195572815</v>
      </c>
      <c r="I620">
        <v>0</v>
      </c>
      <c r="J620" t="s">
        <v>90</v>
      </c>
      <c r="K620">
        <v>0</v>
      </c>
      <c r="L620">
        <v>0.28106372195572815</v>
      </c>
      <c r="M620">
        <v>0</v>
      </c>
      <c r="N620">
        <v>0</v>
      </c>
      <c r="O620">
        <v>0.28106372195572815</v>
      </c>
      <c r="P620" t="s">
        <v>90</v>
      </c>
      <c r="Q620">
        <v>0</v>
      </c>
      <c r="R620" t="s">
        <v>90</v>
      </c>
      <c r="S620">
        <v>0</v>
      </c>
      <c r="T620" t="s">
        <v>90</v>
      </c>
      <c r="U620">
        <v>0</v>
      </c>
      <c r="V620" t="s">
        <v>90</v>
      </c>
      <c r="W620">
        <v>0</v>
      </c>
      <c r="X620" t="s">
        <v>90</v>
      </c>
      <c r="Y620">
        <v>0</v>
      </c>
      <c r="Z620">
        <v>0.28106372195572815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N620" t="s">
        <v>223</v>
      </c>
      <c r="AO620" t="s">
        <v>92</v>
      </c>
      <c r="AP620">
        <v>200000</v>
      </c>
      <c r="AQ620" t="s">
        <v>92</v>
      </c>
      <c r="AR620">
        <v>0</v>
      </c>
      <c r="AS620">
        <v>10000</v>
      </c>
      <c r="AT620" t="s">
        <v>9</v>
      </c>
      <c r="AU620" t="s">
        <v>78</v>
      </c>
      <c r="AV620" t="s">
        <v>79</v>
      </c>
      <c r="AY620">
        <v>0</v>
      </c>
    </row>
    <row r="621" spans="1:52" ht="12.75">
      <c r="A621" s="2" t="str">
        <f>HYPERLINK("https://ibp.a2mac1.com/costing(costing:projects/details/8191/assembly/5389427)","Slide")</f>
        <v>Slide</v>
      </c>
      <c r="B621">
        <v>5389427</v>
      </c>
      <c r="D621">
        <v>5389213</v>
      </c>
      <c r="F621">
        <v>1</v>
      </c>
      <c r="G621">
        <v>0</v>
      </c>
      <c r="H621">
        <v>0.25333448886132814</v>
      </c>
      <c r="I621">
        <v>0</v>
      </c>
      <c r="J621" t="s">
        <v>90</v>
      </c>
      <c r="K621">
        <v>0</v>
      </c>
      <c r="L621">
        <v>0.25333448886132814</v>
      </c>
      <c r="M621">
        <v>0</v>
      </c>
      <c r="N621">
        <v>0</v>
      </c>
      <c r="O621">
        <v>0.25333448886132814</v>
      </c>
      <c r="P621" t="s">
        <v>90</v>
      </c>
      <c r="Q621">
        <v>0</v>
      </c>
      <c r="R621" t="s">
        <v>90</v>
      </c>
      <c r="S621">
        <v>0</v>
      </c>
      <c r="T621" t="s">
        <v>90</v>
      </c>
      <c r="U621">
        <v>0</v>
      </c>
      <c r="V621" t="s">
        <v>90</v>
      </c>
      <c r="W621">
        <v>0</v>
      </c>
      <c r="X621" t="s">
        <v>90</v>
      </c>
      <c r="Y621">
        <v>0</v>
      </c>
      <c r="Z621">
        <v>0.25333448886132814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N621" t="s">
        <v>223</v>
      </c>
      <c r="AO621" t="s">
        <v>92</v>
      </c>
      <c r="AP621">
        <v>200000</v>
      </c>
      <c r="AQ621" t="s">
        <v>92</v>
      </c>
      <c r="AR621">
        <v>0</v>
      </c>
      <c r="AS621">
        <v>10000</v>
      </c>
      <c r="AT621" t="s">
        <v>9</v>
      </c>
      <c r="AU621" t="s">
        <v>78</v>
      </c>
      <c r="AV621" t="s">
        <v>79</v>
      </c>
      <c r="AY621">
        <v>0</v>
      </c>
    </row>
    <row r="622" spans="1:52" ht="12.75">
      <c r="A622" s="2" t="str">
        <f>HYPERLINK("https://ibp.a2mac1.com/costing(costing:projects/details/8191/assembly/5389213)","Front")</f>
        <v>Front</v>
      </c>
      <c r="B622">
        <v>5389213</v>
      </c>
      <c r="D622">
        <v>5388845</v>
      </c>
      <c r="F622">
        <v>1</v>
      </c>
      <c r="G622">
        <v>0</v>
      </c>
      <c r="H622">
        <v>0.25333448886132814</v>
      </c>
      <c r="I622">
        <v>0</v>
      </c>
      <c r="J622" t="s">
        <v>90</v>
      </c>
      <c r="K622">
        <v>0</v>
      </c>
      <c r="L622">
        <v>0.25333448886132814</v>
      </c>
      <c r="M622">
        <v>0</v>
      </c>
      <c r="N622">
        <v>0</v>
      </c>
      <c r="O622">
        <v>0.25333448886132814</v>
      </c>
      <c r="P622" t="s">
        <v>90</v>
      </c>
      <c r="Q622">
        <v>0</v>
      </c>
      <c r="R622" t="s">
        <v>90</v>
      </c>
      <c r="S622">
        <v>0</v>
      </c>
      <c r="T622" t="s">
        <v>90</v>
      </c>
      <c r="U622">
        <v>0</v>
      </c>
      <c r="V622" t="s">
        <v>90</v>
      </c>
      <c r="W622">
        <v>0</v>
      </c>
      <c r="X622" t="s">
        <v>90</v>
      </c>
      <c r="Y622">
        <v>0</v>
      </c>
      <c r="Z622">
        <v>0.25333448886132814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N622" t="s">
        <v>223</v>
      </c>
      <c r="AO622" t="s">
        <v>92</v>
      </c>
      <c r="AP622">
        <v>200000</v>
      </c>
      <c r="AQ622" t="s">
        <v>92</v>
      </c>
      <c r="AR622">
        <v>0</v>
      </c>
      <c r="AS622">
        <v>10000</v>
      </c>
      <c r="AT622" t="s">
        <v>9</v>
      </c>
      <c r="AU622" t="s">
        <v>78</v>
      </c>
      <c r="AV622" t="s">
        <v>79</v>
      </c>
      <c r="AY622">
        <v>0</v>
      </c>
    </row>
    <row r="623" spans="1:52" ht="12.75">
      <c r="A623" s="2" t="str">
        <f>HYPERLINK("https://ibp.a2mac1.com/costing(costing:projects/details/8191/assembly/5388845)","Glass slides")</f>
        <v>Glass slides</v>
      </c>
      <c r="B623">
        <v>5388845</v>
      </c>
      <c r="D623">
        <v>5388520</v>
      </c>
      <c r="F623">
        <v>1</v>
      </c>
      <c r="G623">
        <v>0</v>
      </c>
      <c r="H623">
        <v>0.25333448886132814</v>
      </c>
      <c r="I623">
        <v>0</v>
      </c>
      <c r="J623" t="s">
        <v>90</v>
      </c>
      <c r="K623">
        <v>0</v>
      </c>
      <c r="L623">
        <v>0.25333448886132814</v>
      </c>
      <c r="M623">
        <v>0</v>
      </c>
      <c r="N623">
        <v>0</v>
      </c>
      <c r="O623">
        <v>0.25333448886132814</v>
      </c>
      <c r="P623" t="s">
        <v>90</v>
      </c>
      <c r="Q623">
        <v>0</v>
      </c>
      <c r="R623" t="s">
        <v>90</v>
      </c>
      <c r="S623">
        <v>0</v>
      </c>
      <c r="T623" t="s">
        <v>90</v>
      </c>
      <c r="U623">
        <v>0</v>
      </c>
      <c r="V623" t="s">
        <v>90</v>
      </c>
      <c r="W623">
        <v>0</v>
      </c>
      <c r="X623" t="s">
        <v>90</v>
      </c>
      <c r="Y623">
        <v>0</v>
      </c>
      <c r="Z623">
        <v>0.25333448886132814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N623" t="s">
        <v>223</v>
      </c>
      <c r="AO623" t="s">
        <v>92</v>
      </c>
      <c r="AP623">
        <v>200000</v>
      </c>
      <c r="AQ623" t="s">
        <v>92</v>
      </c>
      <c r="AR623">
        <v>0</v>
      </c>
      <c r="AS623">
        <v>10000</v>
      </c>
      <c r="AT623" t="s">
        <v>9</v>
      </c>
      <c r="AU623" t="s">
        <v>78</v>
      </c>
      <c r="AV623" t="s">
        <v>79</v>
      </c>
      <c r="AY623">
        <v>0</v>
      </c>
    </row>
    <row r="624" spans="1:52" ht="12.75">
      <c r="A624" s="2" t="str">
        <f>HYPERLINK("https://ibp.a2mac1.com/costing(costing:projects/details/8191/assembly/5388846)","Frame")</f>
        <v>Frame</v>
      </c>
      <c r="B624">
        <v>5388846</v>
      </c>
      <c r="D624">
        <v>5388520</v>
      </c>
      <c r="F624">
        <v>1</v>
      </c>
      <c r="G624">
        <v>0</v>
      </c>
      <c r="H624">
        <v>2.8972133153946751</v>
      </c>
      <c r="I624">
        <v>0</v>
      </c>
      <c r="J624" t="s">
        <v>90</v>
      </c>
      <c r="K624">
        <v>0</v>
      </c>
      <c r="L624">
        <v>2.8972133153946751</v>
      </c>
      <c r="M624">
        <v>0</v>
      </c>
      <c r="N624">
        <v>0</v>
      </c>
      <c r="O624">
        <v>2.8972133153946751</v>
      </c>
      <c r="P624" t="s">
        <v>90</v>
      </c>
      <c r="Q624">
        <v>0</v>
      </c>
      <c r="R624" t="s">
        <v>90</v>
      </c>
      <c r="S624">
        <v>0</v>
      </c>
      <c r="T624" t="s">
        <v>90</v>
      </c>
      <c r="U624">
        <v>0</v>
      </c>
      <c r="V624" t="s">
        <v>90</v>
      </c>
      <c r="W624">
        <v>0</v>
      </c>
      <c r="X624" t="s">
        <v>90</v>
      </c>
      <c r="Y624">
        <v>0</v>
      </c>
      <c r="Z624">
        <v>2.8972133153946751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N624" t="s">
        <v>223</v>
      </c>
      <c r="AO624" t="s">
        <v>92</v>
      </c>
      <c r="AP624">
        <v>200000</v>
      </c>
      <c r="AQ624" t="s">
        <v>92</v>
      </c>
      <c r="AR624">
        <v>0</v>
      </c>
      <c r="AS624">
        <v>10000</v>
      </c>
      <c r="AT624" t="s">
        <v>9</v>
      </c>
      <c r="AU624" t="s">
        <v>78</v>
      </c>
      <c r="AV624" t="s">
        <v>79</v>
      </c>
      <c r="AY624">
        <v>0</v>
      </c>
    </row>
    <row r="625" spans="1:52" ht="12.75">
      <c r="A625" s="2" t="str">
        <f>HYPERLINK("https://ibp.a2mac1.com/costing(costing:projects/details/8191/assembly/5388520)","Window frame assy")</f>
        <v>Window frame assy</v>
      </c>
      <c r="B625">
        <v>5388520</v>
      </c>
      <c r="D625">
        <v>5388227</v>
      </c>
      <c r="F625">
        <v>1</v>
      </c>
      <c r="G625">
        <v>0</v>
      </c>
      <c r="H625">
        <v>3.4316115262117317</v>
      </c>
      <c r="I625">
        <v>0</v>
      </c>
      <c r="J625" t="s">
        <v>90</v>
      </c>
      <c r="K625">
        <v>0</v>
      </c>
      <c r="L625">
        <v>3.4316115262117317</v>
      </c>
      <c r="M625">
        <v>0</v>
      </c>
      <c r="N625">
        <v>0</v>
      </c>
      <c r="O625">
        <v>3.4316115262117317</v>
      </c>
      <c r="P625" t="s">
        <v>90</v>
      </c>
      <c r="Q625">
        <v>0</v>
      </c>
      <c r="R625" t="s">
        <v>90</v>
      </c>
      <c r="S625">
        <v>0</v>
      </c>
      <c r="T625" t="s">
        <v>90</v>
      </c>
      <c r="U625">
        <v>0</v>
      </c>
      <c r="V625" t="s">
        <v>90</v>
      </c>
      <c r="W625">
        <v>0</v>
      </c>
      <c r="X625" t="s">
        <v>90</v>
      </c>
      <c r="Y625">
        <v>0</v>
      </c>
      <c r="Z625">
        <v>3.4316115262117317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N625" t="s">
        <v>223</v>
      </c>
      <c r="AO625" t="s">
        <v>92</v>
      </c>
      <c r="AP625">
        <v>200000</v>
      </c>
      <c r="AQ625" t="s">
        <v>92</v>
      </c>
      <c r="AR625">
        <v>0</v>
      </c>
      <c r="AS625">
        <v>10000</v>
      </c>
      <c r="AT625" t="s">
        <v>9</v>
      </c>
      <c r="AU625" t="s">
        <v>78</v>
      </c>
      <c r="AV625" t="s">
        <v>79</v>
      </c>
      <c r="AY625">
        <v>0</v>
      </c>
    </row>
    <row r="626" spans="1:52" ht="12.75">
      <c r="A626" s="2" t="str">
        <f>HYPERLINK("https://ibp.a2mac1.com/costing(costing:projects/details/8191/assembly/5389215)","Cross member")</f>
        <v>Cross member</v>
      </c>
      <c r="B626">
        <v>5389215</v>
      </c>
      <c r="D626">
        <v>5388847</v>
      </c>
      <c r="F626">
        <v>1</v>
      </c>
      <c r="G626">
        <v>0</v>
      </c>
      <c r="H626">
        <v>1.3430916155010453</v>
      </c>
      <c r="I626">
        <v>0</v>
      </c>
      <c r="J626" t="s">
        <v>90</v>
      </c>
      <c r="K626">
        <v>0</v>
      </c>
      <c r="L626">
        <v>1.3430916155010453</v>
      </c>
      <c r="M626">
        <v>0</v>
      </c>
      <c r="N626">
        <v>0</v>
      </c>
      <c r="O626">
        <v>1.3430916155010453</v>
      </c>
      <c r="P626" t="s">
        <v>90</v>
      </c>
      <c r="Q626">
        <v>0</v>
      </c>
      <c r="R626" t="s">
        <v>90</v>
      </c>
      <c r="S626">
        <v>0</v>
      </c>
      <c r="T626" t="s">
        <v>90</v>
      </c>
      <c r="U626">
        <v>0</v>
      </c>
      <c r="V626" t="s">
        <v>90</v>
      </c>
      <c r="W626">
        <v>0</v>
      </c>
      <c r="X626" t="s">
        <v>90</v>
      </c>
      <c r="Y626">
        <v>0</v>
      </c>
      <c r="Z626">
        <v>1.3430916155010453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N626" t="s">
        <v>223</v>
      </c>
      <c r="AO626" t="s">
        <v>92</v>
      </c>
      <c r="AP626">
        <v>200000</v>
      </c>
      <c r="AQ626" t="s">
        <v>92</v>
      </c>
      <c r="AR626">
        <v>0</v>
      </c>
      <c r="AS626">
        <v>10000</v>
      </c>
      <c r="AT626" t="s">
        <v>9</v>
      </c>
      <c r="AU626" t="s">
        <v>78</v>
      </c>
      <c r="AV626" t="s">
        <v>79</v>
      </c>
      <c r="AY626">
        <v>0</v>
      </c>
    </row>
    <row r="627" spans="1:52" ht="12.75">
      <c r="A627" s="2" t="str">
        <f>HYPERLINK("https://ibp.a2mac1.com/costing(costing:projects/details/8191/assembly/5389216)","Fixing parts")</f>
        <v>Fixing parts</v>
      </c>
      <c r="B627">
        <v>5389216</v>
      </c>
      <c r="D627">
        <v>5388847</v>
      </c>
      <c r="F627">
        <v>1</v>
      </c>
      <c r="G627">
        <v>0</v>
      </c>
      <c r="H627">
        <v>0.37693761847479479</v>
      </c>
      <c r="I627">
        <v>0</v>
      </c>
      <c r="J627" t="s">
        <v>90</v>
      </c>
      <c r="K627">
        <v>0</v>
      </c>
      <c r="L627">
        <v>0.37693761847479479</v>
      </c>
      <c r="M627">
        <v>0</v>
      </c>
      <c r="N627">
        <v>0</v>
      </c>
      <c r="O627">
        <v>0.37693761847479479</v>
      </c>
      <c r="P627" t="s">
        <v>90</v>
      </c>
      <c r="Q627">
        <v>0</v>
      </c>
      <c r="R627" t="s">
        <v>90</v>
      </c>
      <c r="S627">
        <v>0</v>
      </c>
      <c r="T627" t="s">
        <v>90</v>
      </c>
      <c r="U627">
        <v>0</v>
      </c>
      <c r="V627" t="s">
        <v>90</v>
      </c>
      <c r="W627">
        <v>0</v>
      </c>
      <c r="X627" t="s">
        <v>90</v>
      </c>
      <c r="Y627">
        <v>0</v>
      </c>
      <c r="Z627">
        <v>0.37693761847479479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N627" t="s">
        <v>223</v>
      </c>
      <c r="AO627" t="s">
        <v>92</v>
      </c>
      <c r="AP627">
        <v>200000</v>
      </c>
      <c r="AQ627" t="s">
        <v>92</v>
      </c>
      <c r="AR627">
        <v>0</v>
      </c>
      <c r="AS627">
        <v>10000</v>
      </c>
      <c r="AT627" t="s">
        <v>9</v>
      </c>
      <c r="AU627" t="s">
        <v>78</v>
      </c>
      <c r="AV627" t="s">
        <v>79</v>
      </c>
      <c r="AY627">
        <v>0</v>
      </c>
    </row>
    <row r="628" spans="1:52" ht="12.75">
      <c r="A628" s="2" t="str">
        <f>HYPERLINK("https://ibp.a2mac1.com/costing(costing:projects/details/8191/assembly/5388847)","Cross member 01 (outer)")</f>
        <v>Cross member 01 (outer)</v>
      </c>
      <c r="B628">
        <v>5388847</v>
      </c>
      <c r="D628">
        <v>5388521</v>
      </c>
      <c r="F628">
        <v>1</v>
      </c>
      <c r="G628">
        <v>0</v>
      </c>
      <c r="H628">
        <v>1.7200292339758401</v>
      </c>
      <c r="I628">
        <v>0</v>
      </c>
      <c r="J628" t="s">
        <v>90</v>
      </c>
      <c r="K628">
        <v>0</v>
      </c>
      <c r="L628">
        <v>1.7200292339758401</v>
      </c>
      <c r="M628">
        <v>0</v>
      </c>
      <c r="N628">
        <v>0</v>
      </c>
      <c r="O628">
        <v>1.7200292339758401</v>
      </c>
      <c r="P628" t="s">
        <v>90</v>
      </c>
      <c r="Q628">
        <v>0</v>
      </c>
      <c r="R628" t="s">
        <v>90</v>
      </c>
      <c r="S628">
        <v>0</v>
      </c>
      <c r="T628" t="s">
        <v>90</v>
      </c>
      <c r="U628">
        <v>0</v>
      </c>
      <c r="V628" t="s">
        <v>90</v>
      </c>
      <c r="W628">
        <v>0</v>
      </c>
      <c r="X628" t="s">
        <v>90</v>
      </c>
      <c r="Y628">
        <v>0</v>
      </c>
      <c r="Z628">
        <v>1.7200292339758401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N628" t="s">
        <v>223</v>
      </c>
      <c r="AO628" t="s">
        <v>92</v>
      </c>
      <c r="AP628">
        <v>200000</v>
      </c>
      <c r="AQ628" t="s">
        <v>92</v>
      </c>
      <c r="AR628">
        <v>0</v>
      </c>
      <c r="AS628">
        <v>10000</v>
      </c>
      <c r="AT628" t="s">
        <v>9</v>
      </c>
      <c r="AU628" t="s">
        <v>78</v>
      </c>
      <c r="AV628" t="s">
        <v>79</v>
      </c>
      <c r="AY628">
        <v>0</v>
      </c>
    </row>
    <row r="629" spans="1:52" ht="12.75">
      <c r="A629" s="2" t="str">
        <f>HYPERLINK("https://ibp.a2mac1.com/costing(costing:projects/details/8191/assembly/5389217)","Cross member")</f>
        <v>Cross member</v>
      </c>
      <c r="B629">
        <v>5389217</v>
      </c>
      <c r="D629">
        <v>5388848</v>
      </c>
      <c r="F629">
        <v>1</v>
      </c>
      <c r="G629">
        <v>0</v>
      </c>
      <c r="H629">
        <v>2.2813783588434968</v>
      </c>
      <c r="I629">
        <v>0</v>
      </c>
      <c r="J629" t="s">
        <v>90</v>
      </c>
      <c r="K629">
        <v>0</v>
      </c>
      <c r="L629">
        <v>2.2813783588434968</v>
      </c>
      <c r="M629">
        <v>0</v>
      </c>
      <c r="N629">
        <v>0</v>
      </c>
      <c r="O629">
        <v>2.2813783588434968</v>
      </c>
      <c r="P629" t="s">
        <v>90</v>
      </c>
      <c r="Q629">
        <v>0</v>
      </c>
      <c r="R629" t="s">
        <v>90</v>
      </c>
      <c r="S629">
        <v>0</v>
      </c>
      <c r="T629" t="s">
        <v>90</v>
      </c>
      <c r="U629">
        <v>0</v>
      </c>
      <c r="V629" t="s">
        <v>90</v>
      </c>
      <c r="W629">
        <v>0</v>
      </c>
      <c r="X629" t="s">
        <v>90</v>
      </c>
      <c r="Y629">
        <v>0</v>
      </c>
      <c r="Z629">
        <v>2.2813783588434968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N629" t="s">
        <v>223</v>
      </c>
      <c r="AO629" t="s">
        <v>92</v>
      </c>
      <c r="AP629">
        <v>200000</v>
      </c>
      <c r="AQ629" t="s">
        <v>92</v>
      </c>
      <c r="AR629">
        <v>0</v>
      </c>
      <c r="AS629">
        <v>10000</v>
      </c>
      <c r="AT629" t="s">
        <v>9</v>
      </c>
      <c r="AU629" t="s">
        <v>78</v>
      </c>
      <c r="AV629" t="s">
        <v>79</v>
      </c>
      <c r="AY629">
        <v>0</v>
      </c>
    </row>
    <row r="630" spans="1:52" ht="12.75">
      <c r="A630" s="2" t="str">
        <f>HYPERLINK("https://ibp.a2mac1.com/costing(costing:projects/details/8191/assembly/5388848)","Cross member 02 (inner)")</f>
        <v>Cross member 02 (inner)</v>
      </c>
      <c r="B630">
        <v>5388848</v>
      </c>
      <c r="D630">
        <v>5388521</v>
      </c>
      <c r="F630">
        <v>1</v>
      </c>
      <c r="G630">
        <v>0</v>
      </c>
      <c r="H630">
        <v>2.2813783588434968</v>
      </c>
      <c r="I630">
        <v>0</v>
      </c>
      <c r="J630" t="s">
        <v>90</v>
      </c>
      <c r="K630">
        <v>0</v>
      </c>
      <c r="L630">
        <v>2.2813783588434968</v>
      </c>
      <c r="M630">
        <v>0</v>
      </c>
      <c r="N630">
        <v>0</v>
      </c>
      <c r="O630">
        <v>2.2813783588434968</v>
      </c>
      <c r="P630" t="s">
        <v>90</v>
      </c>
      <c r="Q630">
        <v>0</v>
      </c>
      <c r="R630" t="s">
        <v>90</v>
      </c>
      <c r="S630">
        <v>0</v>
      </c>
      <c r="T630" t="s">
        <v>90</v>
      </c>
      <c r="U630">
        <v>0</v>
      </c>
      <c r="V630" t="s">
        <v>90</v>
      </c>
      <c r="W630">
        <v>0</v>
      </c>
      <c r="X630" t="s">
        <v>90</v>
      </c>
      <c r="Y630">
        <v>0</v>
      </c>
      <c r="Z630">
        <v>2.2813783588434968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N630" t="s">
        <v>223</v>
      </c>
      <c r="AO630" t="s">
        <v>92</v>
      </c>
      <c r="AP630">
        <v>200000</v>
      </c>
      <c r="AQ630" t="s">
        <v>92</v>
      </c>
      <c r="AR630">
        <v>0</v>
      </c>
      <c r="AS630">
        <v>10000</v>
      </c>
      <c r="AT630" t="s">
        <v>9</v>
      </c>
      <c r="AU630" t="s">
        <v>78</v>
      </c>
      <c r="AV630" t="s">
        <v>79</v>
      </c>
      <c r="AY630">
        <v>0</v>
      </c>
    </row>
    <row r="631" spans="1:52" ht="12.75">
      <c r="A631" s="2" t="str">
        <f>HYPERLINK("https://ibp.a2mac1.com/costing(costing:projects/details/8191/assembly/5388521)","Top roll assy ")</f>
        <v xml:space="preserve">Top roll assy </v>
      </c>
      <c r="B631">
        <v>5388521</v>
      </c>
      <c r="D631">
        <v>5388227</v>
      </c>
      <c r="F631">
        <v>1</v>
      </c>
      <c r="G631">
        <v>0</v>
      </c>
      <c r="H631">
        <v>4.0014075928193371</v>
      </c>
      <c r="I631">
        <v>0</v>
      </c>
      <c r="J631" t="s">
        <v>90</v>
      </c>
      <c r="K631">
        <v>0</v>
      </c>
      <c r="L631">
        <v>4.0014075928193371</v>
      </c>
      <c r="M631">
        <v>0</v>
      </c>
      <c r="N631">
        <v>0</v>
      </c>
      <c r="O631">
        <v>4.0014075928193371</v>
      </c>
      <c r="P631" t="s">
        <v>90</v>
      </c>
      <c r="Q631">
        <v>0</v>
      </c>
      <c r="R631" t="s">
        <v>90</v>
      </c>
      <c r="S631">
        <v>0</v>
      </c>
      <c r="T631" t="s">
        <v>90</v>
      </c>
      <c r="U631">
        <v>0</v>
      </c>
      <c r="V631" t="s">
        <v>90</v>
      </c>
      <c r="W631">
        <v>0</v>
      </c>
      <c r="X631" t="s">
        <v>90</v>
      </c>
      <c r="Y631">
        <v>0</v>
      </c>
      <c r="Z631">
        <v>4.0014075928193371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N631" t="s">
        <v>223</v>
      </c>
      <c r="AO631" t="s">
        <v>92</v>
      </c>
      <c r="AP631">
        <v>200000</v>
      </c>
      <c r="AQ631" t="s">
        <v>92</v>
      </c>
      <c r="AR631">
        <v>0</v>
      </c>
      <c r="AS631">
        <v>10000</v>
      </c>
      <c r="AT631" t="s">
        <v>9</v>
      </c>
      <c r="AU631" t="s">
        <v>78</v>
      </c>
      <c r="AV631" t="s">
        <v>79</v>
      </c>
      <c r="AY631">
        <v>0</v>
      </c>
    </row>
    <row r="632" spans="1:52" ht="12.75">
      <c r="A632" s="2" t="str">
        <f>HYPERLINK("https://ibp.a2mac1.com/costing(costing:projects/details/8191/assembly/5388849)","Panel")</f>
        <v>Panel</v>
      </c>
      <c r="B632">
        <v>5388849</v>
      </c>
      <c r="D632">
        <v>5388522</v>
      </c>
      <c r="F632">
        <v>1</v>
      </c>
      <c r="G632">
        <v>0</v>
      </c>
      <c r="H632">
        <v>4.2890944093514998</v>
      </c>
      <c r="I632">
        <v>0</v>
      </c>
      <c r="J632" t="s">
        <v>90</v>
      </c>
      <c r="K632">
        <v>0</v>
      </c>
      <c r="L632">
        <v>4.2890944093514998</v>
      </c>
      <c r="M632">
        <v>0</v>
      </c>
      <c r="N632">
        <v>0</v>
      </c>
      <c r="O632">
        <v>4.2890944093514998</v>
      </c>
      <c r="P632" t="s">
        <v>90</v>
      </c>
      <c r="Q632">
        <v>0</v>
      </c>
      <c r="R632" t="s">
        <v>90</v>
      </c>
      <c r="S632">
        <v>0</v>
      </c>
      <c r="T632" t="s">
        <v>90</v>
      </c>
      <c r="U632">
        <v>0</v>
      </c>
      <c r="V632" t="s">
        <v>90</v>
      </c>
      <c r="W632">
        <v>0</v>
      </c>
      <c r="X632" t="s">
        <v>90</v>
      </c>
      <c r="Y632">
        <v>0</v>
      </c>
      <c r="Z632">
        <v>4.2890944093514998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N632" t="s">
        <v>223</v>
      </c>
      <c r="AO632" t="s">
        <v>92</v>
      </c>
      <c r="AP632">
        <v>200000</v>
      </c>
      <c r="AQ632" t="s">
        <v>92</v>
      </c>
      <c r="AR632">
        <v>0</v>
      </c>
      <c r="AS632">
        <v>10000</v>
      </c>
      <c r="AT632" t="s">
        <v>9</v>
      </c>
      <c r="AU632" t="s">
        <v>78</v>
      </c>
      <c r="AV632" t="s">
        <v>79</v>
      </c>
      <c r="AY632">
        <v>0</v>
      </c>
    </row>
    <row r="633" spans="1:52" ht="12.75">
      <c r="A633" s="2" t="str">
        <f>HYPERLINK("https://ibp.a2mac1.com/costing(costing:projects/details/8191/assembly/5388522)","Outer panel")</f>
        <v>Outer panel</v>
      </c>
      <c r="B633">
        <v>5388522</v>
      </c>
      <c r="D633">
        <v>5388227</v>
      </c>
      <c r="F633">
        <v>1</v>
      </c>
      <c r="G633">
        <v>0</v>
      </c>
      <c r="H633">
        <v>4.2890944093514998</v>
      </c>
      <c r="I633">
        <v>0</v>
      </c>
      <c r="J633" t="s">
        <v>90</v>
      </c>
      <c r="K633">
        <v>0</v>
      </c>
      <c r="L633">
        <v>4.2890944093514998</v>
      </c>
      <c r="M633">
        <v>0</v>
      </c>
      <c r="N633">
        <v>0</v>
      </c>
      <c r="O633">
        <v>4.2890944093514998</v>
      </c>
      <c r="P633" t="s">
        <v>90</v>
      </c>
      <c r="Q633">
        <v>0</v>
      </c>
      <c r="R633" t="s">
        <v>90</v>
      </c>
      <c r="S633">
        <v>0</v>
      </c>
      <c r="T633" t="s">
        <v>90</v>
      </c>
      <c r="U633">
        <v>0</v>
      </c>
      <c r="V633" t="s">
        <v>90</v>
      </c>
      <c r="W633">
        <v>0</v>
      </c>
      <c r="X633" t="s">
        <v>90</v>
      </c>
      <c r="Y633">
        <v>0</v>
      </c>
      <c r="Z633">
        <v>4.2890944093514998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N633" t="s">
        <v>223</v>
      </c>
      <c r="AO633" t="s">
        <v>92</v>
      </c>
      <c r="AP633">
        <v>200000</v>
      </c>
      <c r="AQ633" t="s">
        <v>92</v>
      </c>
      <c r="AR633">
        <v>0</v>
      </c>
      <c r="AS633">
        <v>10000</v>
      </c>
      <c r="AT633" t="s">
        <v>9</v>
      </c>
      <c r="AU633" t="s">
        <v>78</v>
      </c>
      <c r="AV633" t="s">
        <v>79</v>
      </c>
      <c r="AY633">
        <v>0</v>
      </c>
    </row>
    <row r="634" spans="1:52" ht="12.75">
      <c r="A634" s="2" t="str">
        <f>HYPERLINK("https://ibp.a2mac1.com/costing(costing:projects/details/8191/assembly/5388227)","Front Passenger Door")</f>
        <v>Front Passenger Door</v>
      </c>
      <c r="B634">
        <v>5388227</v>
      </c>
      <c r="D634">
        <v>5388138</v>
      </c>
      <c r="F634">
        <v>1</v>
      </c>
      <c r="G634">
        <v>0</v>
      </c>
      <c r="H634">
        <v>25.45800327943267</v>
      </c>
      <c r="I634">
        <v>0.12792966472076719</v>
      </c>
      <c r="J634" t="s">
        <v>137</v>
      </c>
      <c r="K634">
        <v>0.89103011478014338</v>
      </c>
      <c r="L634">
        <v>26.476963058933581</v>
      </c>
      <c r="M634">
        <v>0</v>
      </c>
      <c r="N634">
        <v>1.1797288290464552</v>
      </c>
      <c r="O634">
        <v>27.656691887980035</v>
      </c>
      <c r="P634" t="s">
        <v>90</v>
      </c>
      <c r="Q634">
        <v>0</v>
      </c>
      <c r="R634" t="s">
        <v>90</v>
      </c>
      <c r="S634">
        <v>0</v>
      </c>
      <c r="T634" t="s">
        <v>90</v>
      </c>
      <c r="U634">
        <v>0</v>
      </c>
      <c r="V634" t="s">
        <v>90</v>
      </c>
      <c r="W634">
        <v>0</v>
      </c>
      <c r="X634" t="s">
        <v>90</v>
      </c>
      <c r="Y634">
        <v>0</v>
      </c>
      <c r="Z634">
        <v>27.656691887980035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276</v>
      </c>
      <c r="AI634">
        <v>1225</v>
      </c>
      <c r="AJ634">
        <v>1237</v>
      </c>
      <c r="AL634">
        <v>20.876999999999999</v>
      </c>
      <c r="AM634" t="s">
        <v>685</v>
      </c>
      <c r="AN634" t="s">
        <v>4668</v>
      </c>
      <c r="AO634" t="s">
        <v>92</v>
      </c>
      <c r="AP634">
        <v>200000</v>
      </c>
      <c r="AQ634" t="s">
        <v>92</v>
      </c>
      <c r="AS634">
        <v>10000</v>
      </c>
      <c r="AT634" t="s">
        <v>5762</v>
      </c>
      <c r="AU634" t="s">
        <v>78</v>
      </c>
      <c r="AV634" t="s">
        <v>79</v>
      </c>
      <c r="AY634">
        <v>0</v>
      </c>
    </row>
    <row r="635" spans="1:52" ht="12.75">
      <c r="A635" s="2" t="str">
        <f>HYPERLINK("https://ibp.a2mac1.com/costing(costing:projects/details/8191/assembly/5388528)","Door handle")</f>
        <v>Door handle</v>
      </c>
      <c r="B635">
        <v>5388528</v>
      </c>
      <c r="D635">
        <v>5388229</v>
      </c>
      <c r="F635">
        <v>1</v>
      </c>
      <c r="G635">
        <v>0</v>
      </c>
      <c r="H635">
        <v>0.94490333185693987</v>
      </c>
      <c r="I635">
        <v>0</v>
      </c>
      <c r="J635" t="s">
        <v>90</v>
      </c>
      <c r="K635">
        <v>0</v>
      </c>
      <c r="L635">
        <v>0.94490333185693987</v>
      </c>
      <c r="M635">
        <v>0</v>
      </c>
      <c r="N635">
        <v>0</v>
      </c>
      <c r="O635">
        <v>0.94490333185693987</v>
      </c>
      <c r="P635" t="s">
        <v>90</v>
      </c>
      <c r="Q635">
        <v>0</v>
      </c>
      <c r="R635" t="s">
        <v>90</v>
      </c>
      <c r="S635">
        <v>0</v>
      </c>
      <c r="T635" t="s">
        <v>90</v>
      </c>
      <c r="U635">
        <v>0</v>
      </c>
      <c r="V635" t="s">
        <v>90</v>
      </c>
      <c r="W635">
        <v>0</v>
      </c>
      <c r="X635" t="s">
        <v>90</v>
      </c>
      <c r="Y635">
        <v>0</v>
      </c>
      <c r="Z635">
        <v>0.94490333185693987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L635">
        <v>0.26600000000000001</v>
      </c>
      <c r="AN635" t="s">
        <v>223</v>
      </c>
      <c r="AO635" t="s">
        <v>92</v>
      </c>
      <c r="AP635">
        <v>200000</v>
      </c>
      <c r="AQ635" t="s">
        <v>92</v>
      </c>
      <c r="AS635">
        <v>10000</v>
      </c>
      <c r="AT635" t="s">
        <v>9</v>
      </c>
      <c r="AU635" t="s">
        <v>78</v>
      </c>
      <c r="AV635" t="s">
        <v>79</v>
      </c>
      <c r="AY635">
        <v>0</v>
      </c>
    </row>
    <row r="636" spans="1:52" ht="12.75">
      <c r="A636" s="2" t="str">
        <f>HYPERLINK("https://ibp.a2mac1.com/costing(costing:projects/details/8191/assembly/5388229)","Door Panel")</f>
        <v>Door Panel</v>
      </c>
      <c r="B636">
        <v>5388229</v>
      </c>
      <c r="D636">
        <v>5388138</v>
      </c>
      <c r="F636">
        <v>1</v>
      </c>
      <c r="G636">
        <v>0</v>
      </c>
      <c r="H636">
        <v>10.21084624507084</v>
      </c>
      <c r="I636">
        <v>0.051310785151109754</v>
      </c>
      <c r="J636" t="s">
        <v>137</v>
      </c>
      <c r="K636">
        <v>0.35737961857747941</v>
      </c>
      <c r="L636">
        <v>10.61953664879943</v>
      </c>
      <c r="M636">
        <v>0</v>
      </c>
      <c r="N636">
        <v>0</v>
      </c>
      <c r="O636">
        <v>10.61953664879943</v>
      </c>
      <c r="P636" t="s">
        <v>138</v>
      </c>
      <c r="Q636">
        <v>0.63717219892796573</v>
      </c>
      <c r="R636" t="s">
        <v>138</v>
      </c>
      <c r="S636">
        <v>0</v>
      </c>
      <c r="T636" t="s">
        <v>139</v>
      </c>
      <c r="U636">
        <v>1.2743443978559315</v>
      </c>
      <c r="V636" t="s">
        <v>90</v>
      </c>
      <c r="W636">
        <v>0</v>
      </c>
      <c r="X636" t="s">
        <v>90</v>
      </c>
      <c r="Y636">
        <v>0</v>
      </c>
      <c r="Z636">
        <v>12.531053245583326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115</v>
      </c>
      <c r="AI636">
        <v>934</v>
      </c>
      <c r="AJ636">
        <v>674</v>
      </c>
      <c r="AL636">
        <v>3.2667000000000002</v>
      </c>
      <c r="AN636" t="s">
        <v>661</v>
      </c>
      <c r="AO636" t="s">
        <v>92</v>
      </c>
      <c r="AP636">
        <v>200000</v>
      </c>
      <c r="AQ636" t="s">
        <v>76</v>
      </c>
      <c r="AS636">
        <v>10000</v>
      </c>
      <c r="AT636" t="s">
        <v>5780</v>
      </c>
      <c r="AU636" t="s">
        <v>78</v>
      </c>
      <c r="AV636" t="s">
        <v>79</v>
      </c>
      <c r="AY636">
        <v>0</v>
      </c>
    </row>
    <row r="637" spans="1:52" ht="12.75">
      <c r="A637" s="2" t="str">
        <f>HYPERLINK("https://ibp.a2mac1.com/costing(costing:projects/details/8191/assembly/5388854)","Fastners")</f>
        <v>Fastners</v>
      </c>
      <c r="B637">
        <v>5388854</v>
      </c>
      <c r="D637">
        <v>5388535</v>
      </c>
      <c r="F637">
        <v>1</v>
      </c>
      <c r="G637">
        <v>0</v>
      </c>
      <c r="H637">
        <v>0.11076</v>
      </c>
      <c r="I637">
        <v>0</v>
      </c>
      <c r="J637" t="s">
        <v>90</v>
      </c>
      <c r="K637">
        <v>0</v>
      </c>
      <c r="L637">
        <v>0.11076</v>
      </c>
      <c r="M637">
        <v>0</v>
      </c>
      <c r="N637">
        <v>0</v>
      </c>
      <c r="O637">
        <v>0.11076</v>
      </c>
      <c r="P637" t="s">
        <v>90</v>
      </c>
      <c r="Q637">
        <v>0</v>
      </c>
      <c r="R637" t="s">
        <v>90</v>
      </c>
      <c r="S637">
        <v>0</v>
      </c>
      <c r="T637" t="s">
        <v>90</v>
      </c>
      <c r="U637">
        <v>0</v>
      </c>
      <c r="V637" t="s">
        <v>90</v>
      </c>
      <c r="W637">
        <v>0</v>
      </c>
      <c r="X637" t="s">
        <v>90</v>
      </c>
      <c r="Y637">
        <v>0</v>
      </c>
      <c r="Z637">
        <v>0.11076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N637" t="s">
        <v>223</v>
      </c>
      <c r="AO637" t="s">
        <v>92</v>
      </c>
      <c r="AP637">
        <v>200000</v>
      </c>
      <c r="AQ637" t="s">
        <v>76</v>
      </c>
      <c r="AR637">
        <v>0</v>
      </c>
      <c r="AS637">
        <v>10000</v>
      </c>
      <c r="AT637" t="s">
        <v>9</v>
      </c>
      <c r="AU637" t="s">
        <v>78</v>
      </c>
      <c r="AV637" t="s">
        <v>79</v>
      </c>
      <c r="AY637">
        <v>0</v>
      </c>
    </row>
    <row r="638" spans="1:52" ht="12.75">
      <c r="A638" s="2" t="str">
        <f>HYPERLINK("https://ibp.a2mac1.com/costing(costing:projects/details/8191/assembly/5388535)","Interior Side")</f>
        <v>Interior Side</v>
      </c>
      <c r="B638">
        <v>5388535</v>
      </c>
      <c r="D638">
        <v>5388230</v>
      </c>
      <c r="F638">
        <v>1</v>
      </c>
      <c r="G638">
        <v>0</v>
      </c>
      <c r="H638">
        <v>0.6361855601976677</v>
      </c>
      <c r="I638">
        <v>0</v>
      </c>
      <c r="J638" t="s">
        <v>90</v>
      </c>
      <c r="K638">
        <v>0</v>
      </c>
      <c r="L638">
        <v>0.6361855601976677</v>
      </c>
      <c r="M638">
        <v>0</v>
      </c>
      <c r="N638">
        <v>0</v>
      </c>
      <c r="O638">
        <v>0.6361855601976677</v>
      </c>
      <c r="P638" t="s">
        <v>90</v>
      </c>
      <c r="Q638">
        <v>0</v>
      </c>
      <c r="R638" t="s">
        <v>90</v>
      </c>
      <c r="S638">
        <v>0</v>
      </c>
      <c r="T638" t="s">
        <v>90</v>
      </c>
      <c r="U638">
        <v>0</v>
      </c>
      <c r="V638" t="s">
        <v>90</v>
      </c>
      <c r="W638">
        <v>0</v>
      </c>
      <c r="X638" t="s">
        <v>90</v>
      </c>
      <c r="Y638">
        <v>0</v>
      </c>
      <c r="Z638">
        <v>0.6361855601976677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L638">
        <v>0.1852</v>
      </c>
      <c r="AN638" t="s">
        <v>223</v>
      </c>
      <c r="AO638" t="s">
        <v>92</v>
      </c>
      <c r="AP638">
        <v>200000</v>
      </c>
      <c r="AQ638" t="s">
        <v>76</v>
      </c>
      <c r="AS638">
        <v>10000</v>
      </c>
      <c r="AT638" t="s">
        <v>9</v>
      </c>
      <c r="AU638" t="s">
        <v>78</v>
      </c>
      <c r="AV638" t="s">
        <v>79</v>
      </c>
      <c r="AY638">
        <v>0</v>
      </c>
    </row>
    <row r="639" spans="1:52" ht="12.75">
      <c r="A639" s="2" t="str">
        <f>HYPERLINK("https://ibp.a2mac1.com/costing(costing:projects/details/8191/assembly/5388862)","Fastners")</f>
        <v>Fastners</v>
      </c>
      <c r="B639">
        <v>5388862</v>
      </c>
      <c r="D639">
        <v>5388536</v>
      </c>
      <c r="F639">
        <v>1</v>
      </c>
      <c r="G639">
        <v>0</v>
      </c>
      <c r="H639">
        <v>0.018460000000000001</v>
      </c>
      <c r="I639">
        <v>0</v>
      </c>
      <c r="J639" t="s">
        <v>90</v>
      </c>
      <c r="K639">
        <v>0</v>
      </c>
      <c r="L639">
        <v>0.018460000000000001</v>
      </c>
      <c r="M639">
        <v>0</v>
      </c>
      <c r="N639">
        <v>0</v>
      </c>
      <c r="O639">
        <v>0.018460000000000001</v>
      </c>
      <c r="P639" t="s">
        <v>90</v>
      </c>
      <c r="Q639">
        <v>0</v>
      </c>
      <c r="R639" t="s">
        <v>90</v>
      </c>
      <c r="S639">
        <v>0</v>
      </c>
      <c r="T639" t="s">
        <v>90</v>
      </c>
      <c r="U639">
        <v>0</v>
      </c>
      <c r="V639" t="s">
        <v>90</v>
      </c>
      <c r="W639">
        <v>0</v>
      </c>
      <c r="X639" t="s">
        <v>90</v>
      </c>
      <c r="Y639">
        <v>0</v>
      </c>
      <c r="Z639">
        <v>0.018460000000000001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N639" t="s">
        <v>223</v>
      </c>
      <c r="AO639" t="s">
        <v>92</v>
      </c>
      <c r="AP639">
        <v>200000</v>
      </c>
      <c r="AQ639" t="s">
        <v>92</v>
      </c>
      <c r="AR639">
        <v>0</v>
      </c>
      <c r="AS639">
        <v>10000</v>
      </c>
      <c r="AT639" t="s">
        <v>9</v>
      </c>
      <c r="AU639" t="s">
        <v>78</v>
      </c>
      <c r="AV639" t="s">
        <v>79</v>
      </c>
      <c r="AY639">
        <v>0</v>
      </c>
    </row>
    <row r="640" spans="1:52" ht="12.75">
      <c r="A640" s="2" t="str">
        <f>HYPERLINK("https://ibp.a2mac1.com/costing(costing:projects/details/8191/assembly/5388536)","Exterior Side")</f>
        <v>Exterior Side</v>
      </c>
      <c r="B640">
        <v>5388536</v>
      </c>
      <c r="D640">
        <v>5388230</v>
      </c>
      <c r="F640">
        <v>1</v>
      </c>
      <c r="G640">
        <v>0</v>
      </c>
      <c r="H640">
        <v>3.805967310807191</v>
      </c>
      <c r="I640">
        <v>0</v>
      </c>
      <c r="J640" t="s">
        <v>90</v>
      </c>
      <c r="K640">
        <v>0</v>
      </c>
      <c r="L640">
        <v>3.805967310807191</v>
      </c>
      <c r="M640">
        <v>0</v>
      </c>
      <c r="N640">
        <v>0.39420764387300394</v>
      </c>
      <c r="O640">
        <v>4.200174954680195</v>
      </c>
      <c r="P640" t="s">
        <v>90</v>
      </c>
      <c r="Q640">
        <v>0</v>
      </c>
      <c r="R640" t="s">
        <v>90</v>
      </c>
      <c r="S640">
        <v>0</v>
      </c>
      <c r="T640" t="s">
        <v>90</v>
      </c>
      <c r="U640">
        <v>0</v>
      </c>
      <c r="V640" t="s">
        <v>90</v>
      </c>
      <c r="W640">
        <v>0</v>
      </c>
      <c r="X640" t="s">
        <v>90</v>
      </c>
      <c r="Y640">
        <v>0</v>
      </c>
      <c r="Z640">
        <v>4.200174954680195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L640">
        <v>0.41899999999999998</v>
      </c>
      <c r="AN640" t="s">
        <v>223</v>
      </c>
      <c r="AO640" t="s">
        <v>92</v>
      </c>
      <c r="AP640">
        <v>200000</v>
      </c>
      <c r="AQ640" t="s">
        <v>76</v>
      </c>
      <c r="AS640">
        <v>10000</v>
      </c>
      <c r="AT640" t="s">
        <v>9</v>
      </c>
      <c r="AU640" t="s">
        <v>78</v>
      </c>
      <c r="AV640" t="s">
        <v>79</v>
      </c>
      <c r="AY640">
        <v>0</v>
      </c>
    </row>
    <row r="641" spans="1:52" ht="12.75">
      <c r="A641" s="2" t="str">
        <f>HYPERLINK("https://ibp.a2mac1.com/costing(costing:projects/details/8191/assembly/5388537)","Fastners")</f>
        <v>Fastners</v>
      </c>
      <c r="B641">
        <v>5388537</v>
      </c>
      <c r="D641">
        <v>5388230</v>
      </c>
      <c r="F641">
        <v>1</v>
      </c>
      <c r="G641">
        <v>0</v>
      </c>
      <c r="H641">
        <v>0.046149999999999997</v>
      </c>
      <c r="I641">
        <v>0</v>
      </c>
      <c r="J641" t="s">
        <v>90</v>
      </c>
      <c r="K641">
        <v>0</v>
      </c>
      <c r="L641">
        <v>0.046149999999999997</v>
      </c>
      <c r="M641">
        <v>0</v>
      </c>
      <c r="N641">
        <v>0</v>
      </c>
      <c r="O641">
        <v>0.046149999999999997</v>
      </c>
      <c r="P641" t="s">
        <v>90</v>
      </c>
      <c r="Q641">
        <v>0</v>
      </c>
      <c r="R641" t="s">
        <v>90</v>
      </c>
      <c r="S641">
        <v>0</v>
      </c>
      <c r="T641" t="s">
        <v>90</v>
      </c>
      <c r="U641">
        <v>0</v>
      </c>
      <c r="V641" t="s">
        <v>90</v>
      </c>
      <c r="W641">
        <v>0</v>
      </c>
      <c r="X641" t="s">
        <v>90</v>
      </c>
      <c r="Y641">
        <v>0</v>
      </c>
      <c r="Z641">
        <v>0.046149999999999997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N641" t="s">
        <v>223</v>
      </c>
      <c r="AO641" t="s">
        <v>92</v>
      </c>
      <c r="AP641">
        <v>200000</v>
      </c>
      <c r="AQ641" t="s">
        <v>76</v>
      </c>
      <c r="AR641">
        <v>0</v>
      </c>
      <c r="AS641">
        <v>10000</v>
      </c>
      <c r="AT641" t="s">
        <v>9</v>
      </c>
      <c r="AU641" t="s">
        <v>78</v>
      </c>
      <c r="AV641" t="s">
        <v>79</v>
      </c>
      <c r="AY641">
        <v>0</v>
      </c>
    </row>
    <row r="642" spans="1:52" ht="12.75">
      <c r="A642" s="2" t="str">
        <f>HYPERLINK("https://ibp.a2mac1.com/costing(costing:projects/details/8191/assembly/5388230)","Door Mechanism")</f>
        <v>Door Mechanism</v>
      </c>
      <c r="B642">
        <v>5388230</v>
      </c>
      <c r="D642">
        <v>5388138</v>
      </c>
      <c r="F642">
        <v>1</v>
      </c>
      <c r="G642">
        <v>0</v>
      </c>
      <c r="H642">
        <v>12.199511077387054</v>
      </c>
      <c r="I642">
        <v>0</v>
      </c>
      <c r="J642" t="s">
        <v>90</v>
      </c>
      <c r="K642">
        <v>0</v>
      </c>
      <c r="L642">
        <v>12.199511077387054</v>
      </c>
      <c r="M642">
        <v>0</v>
      </c>
      <c r="N642">
        <v>0</v>
      </c>
      <c r="O642">
        <v>12.199511077387054</v>
      </c>
      <c r="P642" t="s">
        <v>90</v>
      </c>
      <c r="Q642">
        <v>0</v>
      </c>
      <c r="R642" t="s">
        <v>90</v>
      </c>
      <c r="S642">
        <v>0</v>
      </c>
      <c r="T642" t="s">
        <v>90</v>
      </c>
      <c r="U642">
        <v>0</v>
      </c>
      <c r="V642" t="s">
        <v>90</v>
      </c>
      <c r="W642">
        <v>0</v>
      </c>
      <c r="X642" t="s">
        <v>90</v>
      </c>
      <c r="Y642">
        <v>0</v>
      </c>
      <c r="Z642">
        <v>12.199511077387054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L642">
        <v>1.7632000000000001</v>
      </c>
      <c r="AN642" t="s">
        <v>223</v>
      </c>
      <c r="AO642" t="s">
        <v>92</v>
      </c>
      <c r="AP642">
        <v>200000</v>
      </c>
      <c r="AQ642" t="s">
        <v>92</v>
      </c>
      <c r="AS642">
        <v>10000</v>
      </c>
      <c r="AT642" t="s">
        <v>5821</v>
      </c>
      <c r="AU642" t="s">
        <v>78</v>
      </c>
      <c r="AV642" t="s">
        <v>79</v>
      </c>
      <c r="AY642">
        <v>0</v>
      </c>
    </row>
    <row r="643" spans="1:52" ht="12.75">
      <c r="A643" s="2" t="str">
        <f>HYPERLINK("https://ibp.a2mac1.com/costing(costing:projects/details/8191/assembly/5388541)","Window")</f>
        <v>Window</v>
      </c>
      <c r="B643">
        <v>5388541</v>
      </c>
      <c r="D643">
        <v>5388231</v>
      </c>
      <c r="E643" t="e">
        <v>#VALUE!</v>
      </c>
      <c r="F643">
        <v>1</v>
      </c>
      <c r="G643">
        <v>0</v>
      </c>
      <c r="H643">
        <v>0</v>
      </c>
      <c r="I643">
        <v>0</v>
      </c>
      <c r="J643" t="s">
        <v>137</v>
      </c>
      <c r="K643">
        <v>0</v>
      </c>
      <c r="L643">
        <v>0</v>
      </c>
      <c r="M643">
        <v>0</v>
      </c>
      <c r="N643">
        <v>10.1323819205915</v>
      </c>
      <c r="O643">
        <v>10.1323819205915</v>
      </c>
      <c r="P643" t="s">
        <v>138</v>
      </c>
      <c r="Q643">
        <v>0</v>
      </c>
      <c r="R643" t="s">
        <v>138</v>
      </c>
      <c r="S643">
        <v>0.60794291523549004</v>
      </c>
      <c r="T643" t="s">
        <v>139</v>
      </c>
      <c r="U643">
        <v>1.2158858304709801</v>
      </c>
      <c r="V643" t="s">
        <v>90</v>
      </c>
      <c r="W643">
        <v>0</v>
      </c>
      <c r="X643" t="s">
        <v>90</v>
      </c>
      <c r="Y643">
        <v>0</v>
      </c>
      <c r="Z643">
        <v>11.956210666297972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930</v>
      </c>
      <c r="AJ643">
        <v>528</v>
      </c>
      <c r="AK643">
        <v>0</v>
      </c>
      <c r="AL643">
        <v>3.4540000000000002</v>
      </c>
      <c r="AN643" t="s">
        <v>5825</v>
      </c>
      <c r="AO643" t="s">
        <v>92</v>
      </c>
      <c r="AP643">
        <v>200000</v>
      </c>
      <c r="AQ643" t="s">
        <v>76</v>
      </c>
      <c r="AS643">
        <v>10000</v>
      </c>
      <c r="AT643" t="s">
        <v>9</v>
      </c>
      <c r="AU643" t="s">
        <v>78</v>
      </c>
      <c r="AV643" t="s">
        <v>79</v>
      </c>
      <c r="AY643">
        <v>0</v>
      </c>
    </row>
    <row r="644" spans="1:52" ht="12.75">
      <c r="A644" s="2" t="str">
        <f>HYPERLINK("https://ibp.a2mac1.com/costing(costing:projects/details/8191/assembly/5388231)","Window System")</f>
        <v>Window System</v>
      </c>
      <c r="B644">
        <v>5388231</v>
      </c>
      <c r="D644">
        <v>5388138</v>
      </c>
      <c r="F644">
        <v>1</v>
      </c>
      <c r="G644">
        <v>0</v>
      </c>
      <c r="H644">
        <v>31.32692680775741</v>
      </c>
      <c r="I644">
        <v>0</v>
      </c>
      <c r="J644" t="s">
        <v>90</v>
      </c>
      <c r="K644">
        <v>0</v>
      </c>
      <c r="L644">
        <v>31.32692680775741</v>
      </c>
      <c r="M644">
        <v>0</v>
      </c>
      <c r="N644">
        <v>0.39420764387300394</v>
      </c>
      <c r="O644">
        <v>31.721134451630416</v>
      </c>
      <c r="P644" t="s">
        <v>90</v>
      </c>
      <c r="Q644">
        <v>0</v>
      </c>
      <c r="R644" t="s">
        <v>90</v>
      </c>
      <c r="S644">
        <v>0</v>
      </c>
      <c r="T644" t="s">
        <v>90</v>
      </c>
      <c r="U644">
        <v>0</v>
      </c>
      <c r="V644" t="s">
        <v>90</v>
      </c>
      <c r="W644">
        <v>0</v>
      </c>
      <c r="X644" t="s">
        <v>90</v>
      </c>
      <c r="Y644">
        <v>0</v>
      </c>
      <c r="Z644">
        <v>31.721134451630416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L644">
        <v>5.3345000000000002</v>
      </c>
      <c r="AN644" t="s">
        <v>223</v>
      </c>
      <c r="AO644" t="s">
        <v>92</v>
      </c>
      <c r="AP644">
        <v>200000</v>
      </c>
      <c r="AQ644" t="s">
        <v>92</v>
      </c>
      <c r="AS644">
        <v>10000</v>
      </c>
      <c r="AT644" t="s">
        <v>9</v>
      </c>
      <c r="AU644" t="s">
        <v>78</v>
      </c>
      <c r="AV644" t="s">
        <v>79</v>
      </c>
      <c r="AY644">
        <v>0</v>
      </c>
    </row>
    <row r="645" spans="1:52" ht="12.75">
      <c r="A645" s="2" t="str">
        <f>HYPERLINK("https://ibp.a2mac1.com/costing(costing:projects/details/8191/assembly/5388545)","Door Weatherstripping")</f>
        <v>Door Weatherstripping</v>
      </c>
      <c r="B645">
        <v>5388545</v>
      </c>
      <c r="D645">
        <v>5388232</v>
      </c>
      <c r="F645">
        <v>1</v>
      </c>
      <c r="G645">
        <v>0</v>
      </c>
      <c r="H645">
        <v>6.4582475573136167</v>
      </c>
      <c r="I645">
        <v>0</v>
      </c>
      <c r="J645" t="s">
        <v>90</v>
      </c>
      <c r="K645">
        <v>0</v>
      </c>
      <c r="L645">
        <v>6.4582475573136167</v>
      </c>
      <c r="M645">
        <v>0</v>
      </c>
      <c r="N645">
        <v>0</v>
      </c>
      <c r="O645">
        <v>6.4582475573136167</v>
      </c>
      <c r="P645" t="s">
        <v>90</v>
      </c>
      <c r="Q645">
        <v>0</v>
      </c>
      <c r="R645" t="s">
        <v>90</v>
      </c>
      <c r="S645">
        <v>0</v>
      </c>
      <c r="T645" t="s">
        <v>90</v>
      </c>
      <c r="U645">
        <v>0</v>
      </c>
      <c r="V645" t="s">
        <v>90</v>
      </c>
      <c r="W645">
        <v>0</v>
      </c>
      <c r="X645" t="s">
        <v>90</v>
      </c>
      <c r="Y645">
        <v>0</v>
      </c>
      <c r="Z645">
        <v>6.4582475573136167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L645">
        <v>1.8660000000000001</v>
      </c>
      <c r="AN645" t="s">
        <v>223</v>
      </c>
      <c r="AO645" t="s">
        <v>92</v>
      </c>
      <c r="AP645">
        <v>200000</v>
      </c>
      <c r="AQ645" t="s">
        <v>92</v>
      </c>
      <c r="AS645">
        <v>10000</v>
      </c>
      <c r="AT645" t="s">
        <v>9</v>
      </c>
      <c r="AU645" t="s">
        <v>78</v>
      </c>
      <c r="AV645" t="s">
        <v>79</v>
      </c>
      <c r="AY645">
        <v>0</v>
      </c>
    </row>
    <row r="646" spans="1:52" ht="12.75">
      <c r="A646" s="2" t="str">
        <f>HYPERLINK("https://ibp.a2mac1.com/costing(costing:projects/details/8191/assembly/5388232)","Sealing System")</f>
        <v>Sealing System</v>
      </c>
      <c r="B646">
        <v>5388232</v>
      </c>
      <c r="D646">
        <v>5388138</v>
      </c>
      <c r="F646">
        <v>1</v>
      </c>
      <c r="G646">
        <v>0</v>
      </c>
      <c r="H646">
        <v>11.182833417077234</v>
      </c>
      <c r="I646">
        <v>0</v>
      </c>
      <c r="J646" t="s">
        <v>90</v>
      </c>
      <c r="K646">
        <v>0</v>
      </c>
      <c r="L646">
        <v>11.182833417077234</v>
      </c>
      <c r="M646">
        <v>0</v>
      </c>
      <c r="N646">
        <v>0</v>
      </c>
      <c r="O646">
        <v>11.182833417077234</v>
      </c>
      <c r="P646" t="s">
        <v>90</v>
      </c>
      <c r="Q646">
        <v>0</v>
      </c>
      <c r="R646" t="s">
        <v>90</v>
      </c>
      <c r="S646">
        <v>0</v>
      </c>
      <c r="T646" t="s">
        <v>90</v>
      </c>
      <c r="U646">
        <v>0</v>
      </c>
      <c r="V646" t="s">
        <v>90</v>
      </c>
      <c r="W646">
        <v>0</v>
      </c>
      <c r="X646" t="s">
        <v>90</v>
      </c>
      <c r="Y646">
        <v>0</v>
      </c>
      <c r="Z646">
        <v>11.182833417077234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L646">
        <v>3.095</v>
      </c>
      <c r="AN646" t="s">
        <v>223</v>
      </c>
      <c r="AO646" t="s">
        <v>92</v>
      </c>
      <c r="AP646">
        <v>200000</v>
      </c>
      <c r="AQ646" t="s">
        <v>92</v>
      </c>
      <c r="AS646">
        <v>10000</v>
      </c>
      <c r="AT646" t="s">
        <v>5843</v>
      </c>
      <c r="AU646" t="s">
        <v>78</v>
      </c>
      <c r="AV646" t="s">
        <v>79</v>
      </c>
      <c r="AY646">
        <v>0</v>
      </c>
    </row>
    <row r="647" spans="1:52" ht="12.75">
      <c r="A647" s="2" t="str">
        <f>HYPERLINK("https://ibp.a2mac1.com/costing(costing:projects/details/8191/assembly/5388865)","On Body")</f>
        <v>On Body</v>
      </c>
      <c r="B647">
        <v>5388865</v>
      </c>
      <c r="D647">
        <v>5388547</v>
      </c>
      <c r="F647">
        <v>1</v>
      </c>
      <c r="G647">
        <v>0</v>
      </c>
      <c r="H647">
        <v>0.18077265164509451</v>
      </c>
      <c r="I647">
        <v>0</v>
      </c>
      <c r="J647" t="s">
        <v>90</v>
      </c>
      <c r="K647">
        <v>0</v>
      </c>
      <c r="L647">
        <v>0.18077265164509451</v>
      </c>
      <c r="M647">
        <v>0</v>
      </c>
      <c r="N647">
        <v>0</v>
      </c>
      <c r="O647">
        <v>0.18077265164509451</v>
      </c>
      <c r="P647" t="s">
        <v>90</v>
      </c>
      <c r="Q647">
        <v>0</v>
      </c>
      <c r="R647" t="s">
        <v>90</v>
      </c>
      <c r="S647">
        <v>0</v>
      </c>
      <c r="T647" t="s">
        <v>90</v>
      </c>
      <c r="U647">
        <v>0</v>
      </c>
      <c r="V647" t="s">
        <v>90</v>
      </c>
      <c r="W647">
        <v>0</v>
      </c>
      <c r="X647" t="s">
        <v>90</v>
      </c>
      <c r="Y647">
        <v>0</v>
      </c>
      <c r="Z647">
        <v>0.18077265164509451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70</v>
      </c>
      <c r="AI647">
        <v>56</v>
      </c>
      <c r="AJ647">
        <v>25</v>
      </c>
      <c r="AL647">
        <v>0.205</v>
      </c>
      <c r="AM647" t="s">
        <v>685</v>
      </c>
      <c r="AN647" t="s">
        <v>223</v>
      </c>
      <c r="AO647" t="s">
        <v>92</v>
      </c>
      <c r="AP647">
        <v>200000</v>
      </c>
      <c r="AQ647" t="s">
        <v>92</v>
      </c>
      <c r="AS647">
        <v>10000</v>
      </c>
      <c r="AT647" t="s">
        <v>9</v>
      </c>
      <c r="AU647" t="s">
        <v>78</v>
      </c>
      <c r="AV647" t="s">
        <v>79</v>
      </c>
      <c r="AY647">
        <v>0</v>
      </c>
    </row>
    <row r="648" spans="1:52" ht="12.75">
      <c r="A648" s="2" t="str">
        <f>HYPERLINK("https://ibp.a2mac1.com/costing(costing:projects/details/8191/assembly/5388866)","On Door")</f>
        <v>On Door</v>
      </c>
      <c r="B648">
        <v>5388866</v>
      </c>
      <c r="D648">
        <v>5388547</v>
      </c>
      <c r="F648">
        <v>1</v>
      </c>
      <c r="G648">
        <v>0</v>
      </c>
      <c r="H648">
        <v>1.1867538799375594</v>
      </c>
      <c r="I648">
        <v>0</v>
      </c>
      <c r="J648" t="s">
        <v>90</v>
      </c>
      <c r="K648">
        <v>0</v>
      </c>
      <c r="L648">
        <v>1.1867538799375594</v>
      </c>
      <c r="M648">
        <v>0</v>
      </c>
      <c r="N648">
        <v>0</v>
      </c>
      <c r="O648">
        <v>1.1867538799375594</v>
      </c>
      <c r="P648" t="s">
        <v>90</v>
      </c>
      <c r="Q648">
        <v>0</v>
      </c>
      <c r="R648" t="s">
        <v>90</v>
      </c>
      <c r="S648">
        <v>0</v>
      </c>
      <c r="T648" t="s">
        <v>90</v>
      </c>
      <c r="U648">
        <v>0</v>
      </c>
      <c r="V648" t="s">
        <v>90</v>
      </c>
      <c r="W648">
        <v>0</v>
      </c>
      <c r="X648" t="s">
        <v>90</v>
      </c>
      <c r="Y648">
        <v>0</v>
      </c>
      <c r="Z648">
        <v>1.1867538799375594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33</v>
      </c>
      <c r="AI648">
        <v>47</v>
      </c>
      <c r="AJ648">
        <v>51</v>
      </c>
      <c r="AL648">
        <v>0.112</v>
      </c>
      <c r="AN648" t="s">
        <v>223</v>
      </c>
      <c r="AO648" t="s">
        <v>92</v>
      </c>
      <c r="AP648">
        <v>200000</v>
      </c>
      <c r="AQ648" t="s">
        <v>92</v>
      </c>
      <c r="AS648">
        <v>10000</v>
      </c>
      <c r="AT648" t="s">
        <v>9</v>
      </c>
      <c r="AU648" t="s">
        <v>78</v>
      </c>
      <c r="AV648" t="s">
        <v>79</v>
      </c>
      <c r="AY648">
        <v>0</v>
      </c>
    </row>
    <row r="649" spans="1:52" ht="12.75">
      <c r="A649" s="2" t="str">
        <f>HYPERLINK("https://ibp.a2mac1.com/costing(costing:projects/details/8191/assembly/5388867)","Fastners")</f>
        <v>Fastners</v>
      </c>
      <c r="B649">
        <v>5388867</v>
      </c>
      <c r="D649">
        <v>5388547</v>
      </c>
      <c r="F649">
        <v>1</v>
      </c>
      <c r="G649">
        <v>0</v>
      </c>
      <c r="H649">
        <v>0.018460000000000001</v>
      </c>
      <c r="I649">
        <v>0</v>
      </c>
      <c r="J649" t="s">
        <v>90</v>
      </c>
      <c r="K649">
        <v>0</v>
      </c>
      <c r="L649">
        <v>0.018460000000000001</v>
      </c>
      <c r="M649">
        <v>0</v>
      </c>
      <c r="N649">
        <v>0</v>
      </c>
      <c r="O649">
        <v>0.018460000000000001</v>
      </c>
      <c r="P649" t="s">
        <v>90</v>
      </c>
      <c r="Q649">
        <v>0</v>
      </c>
      <c r="R649" t="s">
        <v>90</v>
      </c>
      <c r="S649">
        <v>0</v>
      </c>
      <c r="T649" t="s">
        <v>90</v>
      </c>
      <c r="U649">
        <v>0</v>
      </c>
      <c r="V649" t="s">
        <v>90</v>
      </c>
      <c r="W649">
        <v>0</v>
      </c>
      <c r="X649" t="s">
        <v>90</v>
      </c>
      <c r="Y649">
        <v>0</v>
      </c>
      <c r="Z649">
        <v>0.018460000000000001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N649" t="s">
        <v>223</v>
      </c>
      <c r="AO649" t="s">
        <v>92</v>
      </c>
      <c r="AP649">
        <v>200000</v>
      </c>
      <c r="AQ649" t="s">
        <v>76</v>
      </c>
      <c r="AR649">
        <v>0</v>
      </c>
      <c r="AS649">
        <v>10000</v>
      </c>
      <c r="AT649" t="s">
        <v>9</v>
      </c>
      <c r="AU649" t="s">
        <v>78</v>
      </c>
      <c r="AV649" t="s">
        <v>79</v>
      </c>
      <c r="AY649">
        <v>0</v>
      </c>
    </row>
    <row r="650" spans="1:52" ht="12.75">
      <c r="A650" s="2" t="str">
        <f>HYPERLINK("https://ibp.a2mac1.com/costing(costing:projects/details/8191/assembly/5388547)","Upper")</f>
        <v>Upper</v>
      </c>
      <c r="B650">
        <v>5388547</v>
      </c>
      <c r="D650">
        <v>5388233</v>
      </c>
      <c r="F650">
        <v>1</v>
      </c>
      <c r="G650">
        <v>0</v>
      </c>
      <c r="H650">
        <v>1.3859865315826538</v>
      </c>
      <c r="I650">
        <v>0.0069647564401138385</v>
      </c>
      <c r="J650" t="s">
        <v>137</v>
      </c>
      <c r="K650">
        <v>0.048509528605392885</v>
      </c>
      <c r="L650">
        <v>1.4414608166281606</v>
      </c>
      <c r="M650">
        <v>0</v>
      </c>
      <c r="N650">
        <v>0</v>
      </c>
      <c r="O650">
        <v>1.4414608166281606</v>
      </c>
      <c r="P650" t="s">
        <v>138</v>
      </c>
      <c r="Q650">
        <v>0.08648764899768964</v>
      </c>
      <c r="R650" t="s">
        <v>138</v>
      </c>
      <c r="S650">
        <v>0</v>
      </c>
      <c r="T650" t="s">
        <v>139</v>
      </c>
      <c r="U650">
        <v>0.17297529799537928</v>
      </c>
      <c r="V650" t="s">
        <v>90</v>
      </c>
      <c r="W650">
        <v>0</v>
      </c>
      <c r="X650" t="s">
        <v>90</v>
      </c>
      <c r="Y650">
        <v>0</v>
      </c>
      <c r="Z650">
        <v>1.7009237636212295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L650">
        <v>0.33900000000000002</v>
      </c>
      <c r="AN650" t="s">
        <v>4765</v>
      </c>
      <c r="AO650" t="s">
        <v>92</v>
      </c>
      <c r="AP650">
        <v>200000</v>
      </c>
      <c r="AQ650" t="s">
        <v>76</v>
      </c>
      <c r="AS650">
        <v>10000</v>
      </c>
      <c r="AT650" t="s">
        <v>9</v>
      </c>
      <c r="AU650" t="s">
        <v>78</v>
      </c>
      <c r="AV650" t="s">
        <v>79</v>
      </c>
      <c r="AY650">
        <v>0</v>
      </c>
    </row>
    <row r="651" spans="1:52" ht="12.75">
      <c r="A651" s="2" t="str">
        <f>HYPERLINK("https://ibp.a2mac1.com/costing(costing:projects/details/8191/assembly/5388868)","On Body")</f>
        <v>On Body</v>
      </c>
      <c r="B651">
        <v>5388868</v>
      </c>
      <c r="D651">
        <v>5388548</v>
      </c>
      <c r="F651">
        <v>1</v>
      </c>
      <c r="G651">
        <v>0</v>
      </c>
      <c r="H651">
        <v>1.2632920020875593</v>
      </c>
      <c r="I651">
        <v>0</v>
      </c>
      <c r="J651" t="s">
        <v>90</v>
      </c>
      <c r="K651">
        <v>0</v>
      </c>
      <c r="L651">
        <v>1.2632920020875593</v>
      </c>
      <c r="M651">
        <v>0</v>
      </c>
      <c r="N651">
        <v>0</v>
      </c>
      <c r="O651">
        <v>1.2632920020875593</v>
      </c>
      <c r="P651" t="s">
        <v>90</v>
      </c>
      <c r="Q651">
        <v>0</v>
      </c>
      <c r="R651" t="s">
        <v>90</v>
      </c>
      <c r="S651">
        <v>0</v>
      </c>
      <c r="T651" t="s">
        <v>90</v>
      </c>
      <c r="U651">
        <v>0</v>
      </c>
      <c r="V651" t="s">
        <v>90</v>
      </c>
      <c r="W651">
        <v>0</v>
      </c>
      <c r="X651" t="s">
        <v>90</v>
      </c>
      <c r="Y651">
        <v>0</v>
      </c>
      <c r="Z651">
        <v>1.2632920020875593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67</v>
      </c>
      <c r="AI651">
        <v>56</v>
      </c>
      <c r="AJ651">
        <v>26</v>
      </c>
      <c r="AL651">
        <v>0.20899999999999999</v>
      </c>
      <c r="AM651" t="s">
        <v>685</v>
      </c>
      <c r="AN651" t="s">
        <v>223</v>
      </c>
      <c r="AO651" t="s">
        <v>92</v>
      </c>
      <c r="AP651">
        <v>200000</v>
      </c>
      <c r="AQ651" t="s">
        <v>92</v>
      </c>
      <c r="AS651">
        <v>10000</v>
      </c>
      <c r="AT651" t="s">
        <v>9</v>
      </c>
      <c r="AU651" t="s">
        <v>78</v>
      </c>
      <c r="AV651" t="s">
        <v>79</v>
      </c>
      <c r="AY651">
        <v>0</v>
      </c>
    </row>
    <row r="652" spans="1:52" ht="12.75">
      <c r="A652" s="2" t="str">
        <f>HYPERLINK("https://ibp.a2mac1.com/costing(costing:projects/details/8191/assembly/5388869)","On Door")</f>
        <v>On Door</v>
      </c>
      <c r="B652">
        <v>5388869</v>
      </c>
      <c r="D652">
        <v>5388548</v>
      </c>
      <c r="F652">
        <v>1</v>
      </c>
      <c r="G652">
        <v>0</v>
      </c>
      <c r="H652">
        <v>1.1718375486375594</v>
      </c>
      <c r="I652">
        <v>0</v>
      </c>
      <c r="J652" t="s">
        <v>90</v>
      </c>
      <c r="K652">
        <v>0</v>
      </c>
      <c r="L652">
        <v>1.1718375486375594</v>
      </c>
      <c r="M652">
        <v>0</v>
      </c>
      <c r="N652">
        <v>0</v>
      </c>
      <c r="O652">
        <v>1.1718375486375594</v>
      </c>
      <c r="P652" t="s">
        <v>90</v>
      </c>
      <c r="Q652">
        <v>0</v>
      </c>
      <c r="R652" t="s">
        <v>90</v>
      </c>
      <c r="S652">
        <v>0</v>
      </c>
      <c r="T652" t="s">
        <v>90</v>
      </c>
      <c r="U652">
        <v>0</v>
      </c>
      <c r="V652" t="s">
        <v>90</v>
      </c>
      <c r="W652">
        <v>0</v>
      </c>
      <c r="X652" t="s">
        <v>90</v>
      </c>
      <c r="Y652">
        <v>0</v>
      </c>
      <c r="Z652">
        <v>1.1718375486375594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33</v>
      </c>
      <c r="AI652">
        <v>47</v>
      </c>
      <c r="AJ652">
        <v>51</v>
      </c>
      <c r="AL652">
        <v>0.112</v>
      </c>
      <c r="AN652" t="s">
        <v>223</v>
      </c>
      <c r="AO652" t="s">
        <v>92</v>
      </c>
      <c r="AP652">
        <v>200000</v>
      </c>
      <c r="AQ652" t="s">
        <v>92</v>
      </c>
      <c r="AS652">
        <v>10000</v>
      </c>
      <c r="AT652" t="s">
        <v>9</v>
      </c>
      <c r="AU652" t="s">
        <v>78</v>
      </c>
      <c r="AV652" t="s">
        <v>79</v>
      </c>
      <c r="AY652">
        <v>0</v>
      </c>
    </row>
    <row r="653" spans="1:52" ht="12.75">
      <c r="A653" s="2" t="str">
        <f>HYPERLINK("https://ibp.a2mac1.com/costing(costing:projects/details/8191/assembly/5388870)","Fastners")</f>
        <v>Fastners</v>
      </c>
      <c r="B653">
        <v>5388870</v>
      </c>
      <c r="D653">
        <v>5388548</v>
      </c>
      <c r="F653">
        <v>1</v>
      </c>
      <c r="G653">
        <v>0</v>
      </c>
      <c r="H653">
        <v>0.018460000000000001</v>
      </c>
      <c r="I653">
        <v>0</v>
      </c>
      <c r="J653" t="s">
        <v>90</v>
      </c>
      <c r="K653">
        <v>0</v>
      </c>
      <c r="L653">
        <v>0.018460000000000001</v>
      </c>
      <c r="M653">
        <v>0</v>
      </c>
      <c r="N653">
        <v>0</v>
      </c>
      <c r="O653">
        <v>0.018460000000000001</v>
      </c>
      <c r="P653" t="s">
        <v>90</v>
      </c>
      <c r="Q653">
        <v>0</v>
      </c>
      <c r="R653" t="s">
        <v>90</v>
      </c>
      <c r="S653">
        <v>0</v>
      </c>
      <c r="T653" t="s">
        <v>90</v>
      </c>
      <c r="U653">
        <v>0</v>
      </c>
      <c r="V653" t="s">
        <v>90</v>
      </c>
      <c r="W653">
        <v>0</v>
      </c>
      <c r="X653" t="s">
        <v>90</v>
      </c>
      <c r="Y653">
        <v>0</v>
      </c>
      <c r="Z653">
        <v>0.018460000000000001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N653" t="s">
        <v>223</v>
      </c>
      <c r="AO653" t="s">
        <v>92</v>
      </c>
      <c r="AP653">
        <v>200000</v>
      </c>
      <c r="AQ653" t="s">
        <v>76</v>
      </c>
      <c r="AR653">
        <v>0</v>
      </c>
      <c r="AS653">
        <v>10000</v>
      </c>
      <c r="AT653" t="s">
        <v>9</v>
      </c>
      <c r="AU653" t="s">
        <v>78</v>
      </c>
      <c r="AV653" t="s">
        <v>79</v>
      </c>
      <c r="AY653">
        <v>0</v>
      </c>
    </row>
    <row r="654" spans="1:52" ht="12.75">
      <c r="A654" s="2" t="str">
        <f>HYPERLINK("https://ibp.a2mac1.com/costing(costing:projects/details/8191/assembly/5388548)","Lower")</f>
        <v>Lower</v>
      </c>
      <c r="B654">
        <v>5388548</v>
      </c>
      <c r="D654">
        <v>5388233</v>
      </c>
      <c r="F654">
        <v>1</v>
      </c>
      <c r="G654">
        <v>0</v>
      </c>
      <c r="H654">
        <v>2.4535895507251189</v>
      </c>
      <c r="I654">
        <v>0.012329595732287028</v>
      </c>
      <c r="J654" t="s">
        <v>137</v>
      </c>
      <c r="K654">
        <v>0.085875634275379156</v>
      </c>
      <c r="L654">
        <v>2.5517947807327848</v>
      </c>
      <c r="M654">
        <v>0</v>
      </c>
      <c r="N654">
        <v>0</v>
      </c>
      <c r="O654">
        <v>2.5517947807327848</v>
      </c>
      <c r="P654" t="s">
        <v>138</v>
      </c>
      <c r="Q654">
        <v>0.15310768684396708</v>
      </c>
      <c r="R654" t="s">
        <v>138</v>
      </c>
      <c r="S654">
        <v>0</v>
      </c>
      <c r="T654" t="s">
        <v>139</v>
      </c>
      <c r="U654">
        <v>0.30621537368793417</v>
      </c>
      <c r="V654" t="s">
        <v>90</v>
      </c>
      <c r="W654">
        <v>0</v>
      </c>
      <c r="X654" t="s">
        <v>90</v>
      </c>
      <c r="Y654">
        <v>0</v>
      </c>
      <c r="Z654">
        <v>3.011117841264686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L654">
        <v>0.34300000000000003</v>
      </c>
      <c r="AN654" t="s">
        <v>4765</v>
      </c>
      <c r="AO654" t="s">
        <v>92</v>
      </c>
      <c r="AP654">
        <v>200000</v>
      </c>
      <c r="AQ654" t="s">
        <v>76</v>
      </c>
      <c r="AS654">
        <v>10000</v>
      </c>
      <c r="AT654" t="s">
        <v>9</v>
      </c>
      <c r="AU654" t="s">
        <v>78</v>
      </c>
      <c r="AV654" t="s">
        <v>79</v>
      </c>
      <c r="AY654">
        <v>0</v>
      </c>
    </row>
    <row r="655" spans="1:52" ht="12.75">
      <c r="A655" s="2" t="str">
        <f>HYPERLINK("https://ibp.a2mac1.com/costing(costing:projects/details/8191/assembly/5388549)","Fastners")</f>
        <v>Fastners</v>
      </c>
      <c r="B655">
        <v>5388549</v>
      </c>
      <c r="D655">
        <v>5388233</v>
      </c>
      <c r="F655">
        <v>1</v>
      </c>
      <c r="G655">
        <v>0</v>
      </c>
      <c r="H655">
        <v>0.018460000000000001</v>
      </c>
      <c r="I655">
        <v>0</v>
      </c>
      <c r="J655" t="s">
        <v>90</v>
      </c>
      <c r="K655">
        <v>0</v>
      </c>
      <c r="L655">
        <v>0.018460000000000001</v>
      </c>
      <c r="M655">
        <v>0</v>
      </c>
      <c r="N655">
        <v>0</v>
      </c>
      <c r="O655">
        <v>0.018460000000000001</v>
      </c>
      <c r="P655" t="s">
        <v>90</v>
      </c>
      <c r="Q655">
        <v>0</v>
      </c>
      <c r="R655" t="s">
        <v>90</v>
      </c>
      <c r="S655">
        <v>0</v>
      </c>
      <c r="T655" t="s">
        <v>90</v>
      </c>
      <c r="U655">
        <v>0</v>
      </c>
      <c r="V655" t="s">
        <v>90</v>
      </c>
      <c r="W655">
        <v>0</v>
      </c>
      <c r="X655" t="s">
        <v>90</v>
      </c>
      <c r="Y655">
        <v>0</v>
      </c>
      <c r="Z655">
        <v>0.018460000000000001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N655" t="s">
        <v>223</v>
      </c>
      <c r="AO655" t="s">
        <v>92</v>
      </c>
      <c r="AP655">
        <v>200000</v>
      </c>
      <c r="AQ655" t="s">
        <v>76</v>
      </c>
      <c r="AR655">
        <v>0</v>
      </c>
      <c r="AS655">
        <v>10000</v>
      </c>
      <c r="AT655" t="s">
        <v>9</v>
      </c>
      <c r="AU655" t="s">
        <v>78</v>
      </c>
      <c r="AV655" t="s">
        <v>79</v>
      </c>
      <c r="AY655">
        <v>0</v>
      </c>
    </row>
    <row r="656" spans="1:52" ht="12.75">
      <c r="A656" s="2" t="str">
        <f>HYPERLINK("https://ibp.a2mac1.com/costing(costing:projects/details/8191/assembly/5388233)","Hinges")</f>
        <v>Hinges</v>
      </c>
      <c r="B656">
        <v>5388233</v>
      </c>
      <c r="D656">
        <v>5388138</v>
      </c>
      <c r="F656">
        <v>1</v>
      </c>
      <c r="G656">
        <v>0</v>
      </c>
      <c r="H656">
        <v>6.8066716048859153</v>
      </c>
      <c r="I656">
        <v>0</v>
      </c>
      <c r="J656" t="s">
        <v>90</v>
      </c>
      <c r="K656">
        <v>0</v>
      </c>
      <c r="L656">
        <v>6.8066716048859153</v>
      </c>
      <c r="M656">
        <v>0</v>
      </c>
      <c r="N656">
        <v>0</v>
      </c>
      <c r="O656">
        <v>6.8066716048859153</v>
      </c>
      <c r="P656" t="s">
        <v>90</v>
      </c>
      <c r="Q656">
        <v>0</v>
      </c>
      <c r="R656" t="s">
        <v>90</v>
      </c>
      <c r="S656">
        <v>0</v>
      </c>
      <c r="T656" t="s">
        <v>90</v>
      </c>
      <c r="U656">
        <v>0</v>
      </c>
      <c r="V656" t="s">
        <v>90</v>
      </c>
      <c r="W656">
        <v>0</v>
      </c>
      <c r="X656" t="s">
        <v>90</v>
      </c>
      <c r="Y656">
        <v>0</v>
      </c>
      <c r="Z656">
        <v>6.8066716048859153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L656">
        <v>0.85</v>
      </c>
      <c r="AN656" t="s">
        <v>223</v>
      </c>
      <c r="AO656" t="s">
        <v>92</v>
      </c>
      <c r="AP656">
        <v>200000</v>
      </c>
      <c r="AQ656" t="s">
        <v>92</v>
      </c>
      <c r="AS656">
        <v>10000</v>
      </c>
      <c r="AT656" t="s">
        <v>5862</v>
      </c>
      <c r="AU656" t="s">
        <v>78</v>
      </c>
      <c r="AV656" t="s">
        <v>79</v>
      </c>
      <c r="AY656">
        <v>0</v>
      </c>
    </row>
    <row r="657" spans="1:52" ht="12.75">
      <c r="A657" s="2" t="str">
        <f>HYPERLINK("https://ibp.a2mac1.com/costing(costing:projects/details/8191/assembly/5388555)","Door ECU")</f>
        <v>Door ECU</v>
      </c>
      <c r="B657">
        <v>5388555</v>
      </c>
      <c r="D657">
        <v>5388234</v>
      </c>
      <c r="F657">
        <v>1</v>
      </c>
      <c r="G657">
        <v>0</v>
      </c>
      <c r="H657">
        <v>7.1937608106702911</v>
      </c>
      <c r="I657">
        <v>0.036149551812413527</v>
      </c>
      <c r="J657" t="s">
        <v>137</v>
      </c>
      <c r="K657">
        <v>0.25178162837346019</v>
      </c>
      <c r="L657">
        <v>7.4816919908561657</v>
      </c>
      <c r="M657">
        <v>0</v>
      </c>
      <c r="N657">
        <v>1.2785334853101133</v>
      </c>
      <c r="O657">
        <v>8.7602254761662781</v>
      </c>
      <c r="P657" t="s">
        <v>138</v>
      </c>
      <c r="Q657">
        <v>0.44890151945136991</v>
      </c>
      <c r="R657" t="s">
        <v>138</v>
      </c>
      <c r="S657">
        <v>0.076712009118606803</v>
      </c>
      <c r="T657" t="s">
        <v>139</v>
      </c>
      <c r="U657">
        <v>1.0512270571399533</v>
      </c>
      <c r="V657" t="s">
        <v>90</v>
      </c>
      <c r="W657">
        <v>0</v>
      </c>
      <c r="X657" t="s">
        <v>90</v>
      </c>
      <c r="Y657">
        <v>0</v>
      </c>
      <c r="Z657">
        <v>10.337066061876209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41</v>
      </c>
      <c r="AI657">
        <v>103</v>
      </c>
      <c r="AJ657">
        <v>106</v>
      </c>
      <c r="AL657">
        <v>0.088999999999999996</v>
      </c>
      <c r="AM657" t="s">
        <v>1355</v>
      </c>
      <c r="AN657" t="s">
        <v>576</v>
      </c>
      <c r="AO657" t="s">
        <v>92</v>
      </c>
      <c r="AP657">
        <v>200000</v>
      </c>
      <c r="AQ657" t="s">
        <v>76</v>
      </c>
      <c r="AS657">
        <v>10000</v>
      </c>
      <c r="AT657" t="s">
        <v>9</v>
      </c>
      <c r="AU657" t="s">
        <v>78</v>
      </c>
      <c r="AV657" t="s">
        <v>79</v>
      </c>
      <c r="AY657">
        <v>0</v>
      </c>
    </row>
    <row r="658" spans="1:52" ht="12.75">
      <c r="A658" s="2" t="str">
        <f>HYPERLINK("https://ibp.a2mac1.com/costing(costing:projects/details/8191/assembly/5388557)","Ambiant Light")</f>
        <v>Ambiant Light</v>
      </c>
      <c r="B658">
        <v>5388557</v>
      </c>
      <c r="D658">
        <v>5388234</v>
      </c>
      <c r="F658">
        <v>1</v>
      </c>
      <c r="G658">
        <v>0</v>
      </c>
      <c r="H658">
        <v>3.0450499999999998</v>
      </c>
      <c r="I658">
        <v>0.015301758793969849</v>
      </c>
      <c r="J658" t="s">
        <v>137</v>
      </c>
      <c r="K658">
        <v>0.10657675</v>
      </c>
      <c r="L658">
        <v>3.16692850879397</v>
      </c>
      <c r="M658">
        <v>0</v>
      </c>
      <c r="N658">
        <v>0</v>
      </c>
      <c r="O658">
        <v>3.16692850879397</v>
      </c>
      <c r="P658" t="s">
        <v>138</v>
      </c>
      <c r="Q658">
        <v>0.19001571052763819</v>
      </c>
      <c r="R658" t="s">
        <v>138</v>
      </c>
      <c r="S658">
        <v>0</v>
      </c>
      <c r="T658" t="s">
        <v>139</v>
      </c>
      <c r="U658">
        <v>0.38003142105527637</v>
      </c>
      <c r="V658" t="s">
        <v>90</v>
      </c>
      <c r="W658">
        <v>0</v>
      </c>
      <c r="X658" t="s">
        <v>90</v>
      </c>
      <c r="Y658">
        <v>0</v>
      </c>
      <c r="Z658">
        <v>3.7369756403768846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L658">
        <v>0.031</v>
      </c>
      <c r="AN658" t="s">
        <v>598</v>
      </c>
      <c r="AO658" t="s">
        <v>92</v>
      </c>
      <c r="AP658">
        <v>200000</v>
      </c>
      <c r="AQ658" t="s">
        <v>76</v>
      </c>
      <c r="AS658">
        <v>10000</v>
      </c>
      <c r="AT658" t="s">
        <v>9</v>
      </c>
      <c r="AU658" t="s">
        <v>78</v>
      </c>
      <c r="AV658" t="s">
        <v>79</v>
      </c>
      <c r="AY658">
        <v>0</v>
      </c>
    </row>
    <row r="659" spans="1:52" ht="12.75">
      <c r="A659" s="2" t="str">
        <f>HYPERLINK("https://ibp.a2mac1.com/costing(costing:projects/details/8191/assembly/5388558)","Fastners")</f>
        <v>Fastners</v>
      </c>
      <c r="B659">
        <v>5388558</v>
      </c>
      <c r="D659">
        <v>5388234</v>
      </c>
      <c r="F659">
        <v>1</v>
      </c>
      <c r="G659">
        <v>0</v>
      </c>
      <c r="H659">
        <v>0.027689999999999999</v>
      </c>
      <c r="I659">
        <v>0</v>
      </c>
      <c r="J659" t="s">
        <v>90</v>
      </c>
      <c r="K659">
        <v>0</v>
      </c>
      <c r="L659">
        <v>0.027689999999999999</v>
      </c>
      <c r="M659">
        <v>0</v>
      </c>
      <c r="N659">
        <v>0</v>
      </c>
      <c r="O659">
        <v>0.027689999999999999</v>
      </c>
      <c r="P659" t="s">
        <v>90</v>
      </c>
      <c r="Q659">
        <v>0</v>
      </c>
      <c r="R659" t="s">
        <v>90</v>
      </c>
      <c r="S659">
        <v>0</v>
      </c>
      <c r="T659" t="s">
        <v>90</v>
      </c>
      <c r="U659">
        <v>0</v>
      </c>
      <c r="V659" t="s">
        <v>90</v>
      </c>
      <c r="W659">
        <v>0</v>
      </c>
      <c r="X659" t="s">
        <v>90</v>
      </c>
      <c r="Y659">
        <v>0</v>
      </c>
      <c r="Z659">
        <v>0.027689999999999999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N659" t="s">
        <v>223</v>
      </c>
      <c r="AO659" t="s">
        <v>92</v>
      </c>
      <c r="AP659">
        <v>200000</v>
      </c>
      <c r="AQ659" t="s">
        <v>76</v>
      </c>
      <c r="AR659">
        <v>0</v>
      </c>
      <c r="AS659">
        <v>10000</v>
      </c>
      <c r="AT659" t="s">
        <v>9</v>
      </c>
      <c r="AU659" t="s">
        <v>78</v>
      </c>
      <c r="AV659" t="s">
        <v>79</v>
      </c>
      <c r="AY659">
        <v>0</v>
      </c>
    </row>
    <row r="660" spans="1:52" ht="12.75">
      <c r="A660" s="2" t="str">
        <f>HYPERLINK("https://ibp.a2mac1.com/costing(costing:projects/details/8191/assembly/5388234)","Power System")</f>
        <v>Power System</v>
      </c>
      <c r="B660">
        <v>5388234</v>
      </c>
      <c r="D660">
        <v>5388138</v>
      </c>
      <c r="F660">
        <v>1</v>
      </c>
      <c r="G660">
        <v>0</v>
      </c>
      <c r="H660">
        <v>34.365101702253092</v>
      </c>
      <c r="I660">
        <v>0</v>
      </c>
      <c r="J660" t="s">
        <v>90</v>
      </c>
      <c r="K660">
        <v>0</v>
      </c>
      <c r="L660">
        <v>34.365101702253092</v>
      </c>
      <c r="M660">
        <v>0</v>
      </c>
      <c r="N660">
        <v>0</v>
      </c>
      <c r="O660">
        <v>34.365101702253092</v>
      </c>
      <c r="P660" t="s">
        <v>90</v>
      </c>
      <c r="Q660">
        <v>0</v>
      </c>
      <c r="R660" t="s">
        <v>90</v>
      </c>
      <c r="S660">
        <v>0</v>
      </c>
      <c r="T660" t="s">
        <v>90</v>
      </c>
      <c r="U660">
        <v>0</v>
      </c>
      <c r="V660" t="s">
        <v>90</v>
      </c>
      <c r="W660">
        <v>0</v>
      </c>
      <c r="X660" t="s">
        <v>90</v>
      </c>
      <c r="Y660">
        <v>0</v>
      </c>
      <c r="Z660">
        <v>34.365101702253092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L660">
        <v>0.725</v>
      </c>
      <c r="AN660" t="s">
        <v>223</v>
      </c>
      <c r="AO660" t="s">
        <v>92</v>
      </c>
      <c r="AP660">
        <v>200000</v>
      </c>
      <c r="AQ660" t="s">
        <v>92</v>
      </c>
      <c r="AS660">
        <v>10000</v>
      </c>
      <c r="AT660" t="s">
        <v>9</v>
      </c>
      <c r="AU660" t="s">
        <v>78</v>
      </c>
      <c r="AV660" t="s">
        <v>79</v>
      </c>
      <c r="AY660">
        <v>0</v>
      </c>
    </row>
    <row r="661" spans="1:52" ht="12.75">
      <c r="A661" s="2" t="str">
        <f>HYPERLINK("https://ibp.a2mac1.com/costing(costing:projects/details/8191/assembly/5388563)","Fastners")</f>
        <v>Fastners</v>
      </c>
      <c r="B661">
        <v>5388563</v>
      </c>
      <c r="D661">
        <v>5388235</v>
      </c>
      <c r="F661">
        <v>1</v>
      </c>
      <c r="G661">
        <v>0</v>
      </c>
      <c r="H661">
        <v>0.064610000000000001</v>
      </c>
      <c r="I661">
        <v>0</v>
      </c>
      <c r="J661" t="s">
        <v>90</v>
      </c>
      <c r="K661">
        <v>0</v>
      </c>
      <c r="L661">
        <v>0.064610000000000001</v>
      </c>
      <c r="M661">
        <v>0</v>
      </c>
      <c r="N661">
        <v>0</v>
      </c>
      <c r="O661">
        <v>0.064610000000000001</v>
      </c>
      <c r="P661" t="s">
        <v>90</v>
      </c>
      <c r="Q661">
        <v>0</v>
      </c>
      <c r="R661" t="s">
        <v>90</v>
      </c>
      <c r="S661">
        <v>0</v>
      </c>
      <c r="T661" t="s">
        <v>90</v>
      </c>
      <c r="U661">
        <v>0</v>
      </c>
      <c r="V661" t="s">
        <v>90</v>
      </c>
      <c r="W661">
        <v>0</v>
      </c>
      <c r="X661" t="s">
        <v>90</v>
      </c>
      <c r="Y661">
        <v>0</v>
      </c>
      <c r="Z661">
        <v>0.064610000000000001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N661" t="s">
        <v>223</v>
      </c>
      <c r="AO661" t="s">
        <v>92</v>
      </c>
      <c r="AP661">
        <v>200000</v>
      </c>
      <c r="AQ661" t="s">
        <v>76</v>
      </c>
      <c r="AR661">
        <v>0</v>
      </c>
      <c r="AS661">
        <v>10000</v>
      </c>
      <c r="AT661" t="s">
        <v>9</v>
      </c>
      <c r="AU661" t="s">
        <v>78</v>
      </c>
      <c r="AV661" t="s">
        <v>79</v>
      </c>
      <c r="AY661">
        <v>0</v>
      </c>
    </row>
    <row r="662" spans="1:52" ht="12.75">
      <c r="A662" s="2" t="str">
        <f>HYPERLINK("https://ibp.a2mac1.com/costing(costing:projects/details/8191/assembly/5388235)","Molding System")</f>
        <v>Molding System</v>
      </c>
      <c r="B662">
        <v>5388235</v>
      </c>
      <c r="D662">
        <v>5388138</v>
      </c>
      <c r="F662">
        <v>1</v>
      </c>
      <c r="G662">
        <v>0</v>
      </c>
      <c r="H662">
        <v>2.5064059890310268</v>
      </c>
      <c r="I662">
        <v>0</v>
      </c>
      <c r="J662" t="s">
        <v>90</v>
      </c>
      <c r="K662">
        <v>0</v>
      </c>
      <c r="L662">
        <v>2.5064059890310268</v>
      </c>
      <c r="M662">
        <v>0</v>
      </c>
      <c r="N662">
        <v>0</v>
      </c>
      <c r="O662">
        <v>2.5064059890310268</v>
      </c>
      <c r="P662" t="s">
        <v>90</v>
      </c>
      <c r="Q662">
        <v>0</v>
      </c>
      <c r="R662" t="s">
        <v>90</v>
      </c>
      <c r="S662">
        <v>0</v>
      </c>
      <c r="T662" t="s">
        <v>90</v>
      </c>
      <c r="U662">
        <v>0</v>
      </c>
      <c r="V662" t="s">
        <v>90</v>
      </c>
      <c r="W662">
        <v>0</v>
      </c>
      <c r="X662" t="s">
        <v>90</v>
      </c>
      <c r="Y662">
        <v>0</v>
      </c>
      <c r="Z662">
        <v>2.5064059890310268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L662">
        <v>0.89800000000000002</v>
      </c>
      <c r="AN662" t="s">
        <v>223</v>
      </c>
      <c r="AO662" t="s">
        <v>92</v>
      </c>
      <c r="AP662">
        <v>200000</v>
      </c>
      <c r="AQ662" t="s">
        <v>92</v>
      </c>
      <c r="AS662">
        <v>10000</v>
      </c>
      <c r="AT662" t="s">
        <v>9</v>
      </c>
      <c r="AU662" t="s">
        <v>78</v>
      </c>
      <c r="AV662" t="s">
        <v>79</v>
      </c>
      <c r="AY662">
        <v>0</v>
      </c>
    </row>
    <row r="663" spans="1:52" ht="12.75">
      <c r="A663" s="2" t="str">
        <f>HYPERLINK("https://ibp.a2mac1.com/costing(costing:projects/details/8191/assembly/5388893)","Fastners")</f>
        <v>Fastners</v>
      </c>
      <c r="B663">
        <v>5388893</v>
      </c>
      <c r="D663">
        <v>5388564</v>
      </c>
      <c r="F663">
        <v>1</v>
      </c>
      <c r="G663">
        <v>0</v>
      </c>
      <c r="H663">
        <v>0.14768000000000001</v>
      </c>
      <c r="I663">
        <v>0</v>
      </c>
      <c r="J663" t="s">
        <v>90</v>
      </c>
      <c r="K663">
        <v>0</v>
      </c>
      <c r="L663">
        <v>0.14768000000000001</v>
      </c>
      <c r="M663">
        <v>0</v>
      </c>
      <c r="N663">
        <v>0</v>
      </c>
      <c r="O663">
        <v>0.14768000000000001</v>
      </c>
      <c r="P663" t="s">
        <v>90</v>
      </c>
      <c r="Q663">
        <v>0</v>
      </c>
      <c r="R663" t="s">
        <v>90</v>
      </c>
      <c r="S663">
        <v>0</v>
      </c>
      <c r="T663" t="s">
        <v>90</v>
      </c>
      <c r="U663">
        <v>0</v>
      </c>
      <c r="V663" t="s">
        <v>90</v>
      </c>
      <c r="W663">
        <v>0</v>
      </c>
      <c r="X663" t="s">
        <v>90</v>
      </c>
      <c r="Y663">
        <v>0</v>
      </c>
      <c r="Z663">
        <v>0.14768000000000001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N663" t="s">
        <v>223</v>
      </c>
      <c r="AO663" t="s">
        <v>92</v>
      </c>
      <c r="AP663">
        <v>200000</v>
      </c>
      <c r="AQ663" t="s">
        <v>76</v>
      </c>
      <c r="AR663">
        <v>0</v>
      </c>
      <c r="AS663">
        <v>10000</v>
      </c>
      <c r="AT663" t="s">
        <v>9</v>
      </c>
      <c r="AU663" t="s">
        <v>78</v>
      </c>
      <c r="AV663" t="s">
        <v>79</v>
      </c>
      <c r="AY663">
        <v>0</v>
      </c>
    </row>
    <row r="664" spans="1:52" ht="12.75">
      <c r="A664" s="2" t="str">
        <f>HYPERLINK("https://ibp.a2mac1.com/costing(costing:projects/details/8191/assembly/5388564)","Outside Rear View Mirror")</f>
        <v>Outside Rear View Mirror</v>
      </c>
      <c r="B664">
        <v>5388564</v>
      </c>
      <c r="D664">
        <v>5388236</v>
      </c>
      <c r="F664">
        <v>1</v>
      </c>
      <c r="G664">
        <v>0</v>
      </c>
      <c r="H664">
        <v>20.696985019774957</v>
      </c>
      <c r="I664">
        <v>0.10400494984811536</v>
      </c>
      <c r="J664" t="s">
        <v>137</v>
      </c>
      <c r="K664">
        <v>0.72439447569212345</v>
      </c>
      <c r="L664">
        <v>21.525384445315197</v>
      </c>
      <c r="M664">
        <v>0</v>
      </c>
      <c r="N664">
        <v>1.782300971306924</v>
      </c>
      <c r="O664">
        <v>23.307685416622121</v>
      </c>
      <c r="P664" t="s">
        <v>138</v>
      </c>
      <c r="Q664">
        <v>1.2915230667189117</v>
      </c>
      <c r="R664" t="s">
        <v>138</v>
      </c>
      <c r="S664">
        <v>0.10693805827841545</v>
      </c>
      <c r="T664" t="s">
        <v>139</v>
      </c>
      <c r="U664">
        <v>2.7969222499946542</v>
      </c>
      <c r="V664" t="s">
        <v>90</v>
      </c>
      <c r="W664">
        <v>0</v>
      </c>
      <c r="X664" t="s">
        <v>90</v>
      </c>
      <c r="Y664">
        <v>0</v>
      </c>
      <c r="Z664">
        <v>27.503068791614101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226</v>
      </c>
      <c r="AI664">
        <v>352</v>
      </c>
      <c r="AJ664">
        <v>196</v>
      </c>
      <c r="AL664">
        <v>1.9772000000000001</v>
      </c>
      <c r="AN664" t="s">
        <v>4765</v>
      </c>
      <c r="AO664" t="s">
        <v>92</v>
      </c>
      <c r="AP664">
        <v>200000</v>
      </c>
      <c r="AQ664" t="s">
        <v>76</v>
      </c>
      <c r="AS664">
        <v>10000</v>
      </c>
      <c r="AT664" t="s">
        <v>9</v>
      </c>
      <c r="AU664" t="s">
        <v>78</v>
      </c>
      <c r="AV664" t="s">
        <v>79</v>
      </c>
      <c r="AY664">
        <v>0</v>
      </c>
    </row>
    <row r="665" spans="1:52" ht="12.75">
      <c r="A665" s="2" t="str">
        <f>HYPERLINK("https://ibp.a2mac1.com/costing(costing:projects/details/8191/assembly/5388236)","Rear View Mirror System")</f>
        <v>Rear View Mirror System</v>
      </c>
      <c r="B665">
        <v>5388236</v>
      </c>
      <c r="D665">
        <v>5388138</v>
      </c>
      <c r="F665">
        <v>1</v>
      </c>
      <c r="G665">
        <v>0</v>
      </c>
      <c r="H665">
        <v>27.503068791614101</v>
      </c>
      <c r="I665">
        <v>0</v>
      </c>
      <c r="J665" t="s">
        <v>90</v>
      </c>
      <c r="K665">
        <v>0</v>
      </c>
      <c r="L665">
        <v>27.503068791614101</v>
      </c>
      <c r="M665">
        <v>0</v>
      </c>
      <c r="N665">
        <v>0</v>
      </c>
      <c r="O665">
        <v>27.503068791614101</v>
      </c>
      <c r="P665" t="s">
        <v>90</v>
      </c>
      <c r="Q665">
        <v>0</v>
      </c>
      <c r="R665" t="s">
        <v>90</v>
      </c>
      <c r="S665">
        <v>0</v>
      </c>
      <c r="T665" t="s">
        <v>90</v>
      </c>
      <c r="U665">
        <v>0</v>
      </c>
      <c r="V665" t="s">
        <v>90</v>
      </c>
      <c r="W665">
        <v>0</v>
      </c>
      <c r="X665" t="s">
        <v>90</v>
      </c>
      <c r="Y665">
        <v>0</v>
      </c>
      <c r="Z665">
        <v>27.503068791614101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L665">
        <v>1.9772000000000001</v>
      </c>
      <c r="AN665" t="s">
        <v>223</v>
      </c>
      <c r="AO665" t="s">
        <v>92</v>
      </c>
      <c r="AP665">
        <v>200000</v>
      </c>
      <c r="AQ665" t="s">
        <v>92</v>
      </c>
      <c r="AS665">
        <v>10000</v>
      </c>
      <c r="AT665" t="s">
        <v>9</v>
      </c>
      <c r="AU665" t="s">
        <v>78</v>
      </c>
      <c r="AV665" t="s">
        <v>79</v>
      </c>
      <c r="AY665">
        <v>0</v>
      </c>
    </row>
    <row r="666" spans="1:52" ht="12.75">
      <c r="A666" s="2" t="str">
        <f>HYPERLINK("https://ibp.a2mac1.com/costing(costing:projects/details/8191/assembly/5388569)","Fastners")</f>
        <v>Fastners</v>
      </c>
      <c r="B666">
        <v>5388569</v>
      </c>
      <c r="D666">
        <v>5388237</v>
      </c>
      <c r="F666">
        <v>1</v>
      </c>
      <c r="G666">
        <v>0</v>
      </c>
      <c r="H666">
        <v>0.036920000000000001</v>
      </c>
      <c r="I666">
        <v>0</v>
      </c>
      <c r="J666" t="s">
        <v>90</v>
      </c>
      <c r="K666">
        <v>0</v>
      </c>
      <c r="L666">
        <v>0.036920000000000001</v>
      </c>
      <c r="M666">
        <v>0</v>
      </c>
      <c r="N666">
        <v>0</v>
      </c>
      <c r="O666">
        <v>0.036920000000000001</v>
      </c>
      <c r="P666" t="s">
        <v>90</v>
      </c>
      <c r="Q666">
        <v>0</v>
      </c>
      <c r="R666" t="s">
        <v>90</v>
      </c>
      <c r="S666">
        <v>0</v>
      </c>
      <c r="T666" t="s">
        <v>90</v>
      </c>
      <c r="U666">
        <v>0</v>
      </c>
      <c r="V666" t="s">
        <v>90</v>
      </c>
      <c r="W666">
        <v>0</v>
      </c>
      <c r="X666" t="s">
        <v>90</v>
      </c>
      <c r="Y666">
        <v>0</v>
      </c>
      <c r="Z666">
        <v>0.036920000000000001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N666" t="s">
        <v>223</v>
      </c>
      <c r="AO666" t="s">
        <v>92</v>
      </c>
      <c r="AP666">
        <v>200000</v>
      </c>
      <c r="AQ666" t="s">
        <v>76</v>
      </c>
      <c r="AR666">
        <v>0</v>
      </c>
      <c r="AS666">
        <v>10000</v>
      </c>
      <c r="AT666" t="s">
        <v>9</v>
      </c>
      <c r="AU666" t="s">
        <v>78</v>
      </c>
      <c r="AV666" t="s">
        <v>79</v>
      </c>
      <c r="AY666">
        <v>0</v>
      </c>
    </row>
    <row r="667" spans="1:52" ht="12.75">
      <c r="A667" s="2" t="str">
        <f>HYPERLINK("https://ibp.a2mac1.com/costing(costing:projects/details/8191/assembly/5388237)","Power Controls")</f>
        <v>Power Controls</v>
      </c>
      <c r="B667">
        <v>5388237</v>
      </c>
      <c r="D667">
        <v>5388138</v>
      </c>
      <c r="F667">
        <v>1</v>
      </c>
      <c r="G667">
        <v>0</v>
      </c>
      <c r="H667">
        <v>5.8427669521365342</v>
      </c>
      <c r="I667">
        <v>0</v>
      </c>
      <c r="J667" t="s">
        <v>90</v>
      </c>
      <c r="K667">
        <v>0</v>
      </c>
      <c r="L667">
        <v>5.8427669521365342</v>
      </c>
      <c r="M667">
        <v>0</v>
      </c>
      <c r="N667">
        <v>0</v>
      </c>
      <c r="O667">
        <v>5.8427669521365342</v>
      </c>
      <c r="P667" t="s">
        <v>90</v>
      </c>
      <c r="Q667">
        <v>0</v>
      </c>
      <c r="R667" t="s">
        <v>90</v>
      </c>
      <c r="S667">
        <v>0</v>
      </c>
      <c r="T667" t="s">
        <v>90</v>
      </c>
      <c r="U667">
        <v>0</v>
      </c>
      <c r="V667" t="s">
        <v>90</v>
      </c>
      <c r="W667">
        <v>0</v>
      </c>
      <c r="X667" t="s">
        <v>90</v>
      </c>
      <c r="Y667">
        <v>0</v>
      </c>
      <c r="Z667">
        <v>5.8427669521365342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L667">
        <v>0.31</v>
      </c>
      <c r="AN667" t="s">
        <v>223</v>
      </c>
      <c r="AO667" t="s">
        <v>92</v>
      </c>
      <c r="AP667">
        <v>200000</v>
      </c>
      <c r="AQ667" t="s">
        <v>92</v>
      </c>
      <c r="AS667">
        <v>10000</v>
      </c>
      <c r="AT667" t="s">
        <v>9</v>
      </c>
      <c r="AU667" t="s">
        <v>78</v>
      </c>
      <c r="AV667" t="s">
        <v>79</v>
      </c>
      <c r="AY667">
        <v>0</v>
      </c>
    </row>
    <row r="668" spans="1:52" ht="12.75">
      <c r="A668" s="2" t="str">
        <f>HYPERLINK("https://ibp.a2mac1.com/costing(costing:projects/details/8191/assembly/5388238)","Speaker System")</f>
        <v>Speaker System</v>
      </c>
      <c r="B668">
        <v>5388238</v>
      </c>
      <c r="D668">
        <v>5388138</v>
      </c>
      <c r="F668">
        <v>1</v>
      </c>
      <c r="G668">
        <v>0</v>
      </c>
      <c r="H668">
        <v>4.9458900000000003</v>
      </c>
      <c r="I668">
        <v>0</v>
      </c>
      <c r="J668" t="s">
        <v>90</v>
      </c>
      <c r="K668">
        <v>0</v>
      </c>
      <c r="L668">
        <v>4.9458900000000003</v>
      </c>
      <c r="M668">
        <v>0</v>
      </c>
      <c r="N668">
        <v>0</v>
      </c>
      <c r="O668">
        <v>4.9458900000000003</v>
      </c>
      <c r="P668" t="s">
        <v>90</v>
      </c>
      <c r="Q668">
        <v>0</v>
      </c>
      <c r="R668" t="s">
        <v>90</v>
      </c>
      <c r="S668">
        <v>0</v>
      </c>
      <c r="T668" t="s">
        <v>90</v>
      </c>
      <c r="U668">
        <v>0</v>
      </c>
      <c r="V668" t="s">
        <v>90</v>
      </c>
      <c r="W668">
        <v>0</v>
      </c>
      <c r="X668" t="s">
        <v>90</v>
      </c>
      <c r="Y668">
        <v>0</v>
      </c>
      <c r="Z668">
        <v>4.9458900000000003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L668">
        <v>0.69320000000000004</v>
      </c>
      <c r="AN668" t="s">
        <v>223</v>
      </c>
      <c r="AO668" t="s">
        <v>92</v>
      </c>
      <c r="AP668">
        <v>200000</v>
      </c>
      <c r="AQ668" t="s">
        <v>92</v>
      </c>
      <c r="AS668">
        <v>10000</v>
      </c>
      <c r="AT668" t="s">
        <v>9</v>
      </c>
      <c r="AU668" t="s">
        <v>78</v>
      </c>
      <c r="AV668" t="s">
        <v>79</v>
      </c>
      <c r="AY668">
        <v>0</v>
      </c>
    </row>
    <row r="669" spans="1:52" ht="12.75">
      <c r="A669" s="2" t="str">
        <f>HYPERLINK("https://ibp.a2mac1.com/costing(costing:projects/details/8191/assembly/5388239)","Fastners")</f>
        <v>Fastners</v>
      </c>
      <c r="B669">
        <v>5388239</v>
      </c>
      <c r="D669">
        <v>5388138</v>
      </c>
      <c r="F669">
        <v>1</v>
      </c>
      <c r="G669">
        <v>0</v>
      </c>
      <c r="H669">
        <v>0.027689999999999999</v>
      </c>
      <c r="I669">
        <v>0</v>
      </c>
      <c r="J669" t="s">
        <v>90</v>
      </c>
      <c r="K669">
        <v>0</v>
      </c>
      <c r="L669">
        <v>0.027689999999999999</v>
      </c>
      <c r="M669">
        <v>0</v>
      </c>
      <c r="N669">
        <v>0</v>
      </c>
      <c r="O669">
        <v>0.027689999999999999</v>
      </c>
      <c r="P669" t="s">
        <v>90</v>
      </c>
      <c r="Q669">
        <v>0</v>
      </c>
      <c r="R669" t="s">
        <v>90</v>
      </c>
      <c r="S669">
        <v>0</v>
      </c>
      <c r="T669" t="s">
        <v>90</v>
      </c>
      <c r="U669">
        <v>0</v>
      </c>
      <c r="V669" t="s">
        <v>90</v>
      </c>
      <c r="W669">
        <v>0</v>
      </c>
      <c r="X669" t="s">
        <v>90</v>
      </c>
      <c r="Y669">
        <v>0</v>
      </c>
      <c r="Z669">
        <v>0.027689999999999999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N669" t="s">
        <v>223</v>
      </c>
      <c r="AO669" t="s">
        <v>92</v>
      </c>
      <c r="AP669">
        <v>200000</v>
      </c>
      <c r="AQ669" t="s">
        <v>76</v>
      </c>
      <c r="AR669">
        <v>0</v>
      </c>
      <c r="AS669">
        <v>10000</v>
      </c>
      <c r="AT669" t="s">
        <v>9</v>
      </c>
      <c r="AU669" t="s">
        <v>78</v>
      </c>
      <c r="AV669" t="s">
        <v>79</v>
      </c>
      <c r="AY669">
        <v>0</v>
      </c>
    </row>
    <row r="670" spans="1:52" ht="12.75">
      <c r="A670" s="2" t="str">
        <f>HYPERLINK("https://ibp.a2mac1.com/costing(costing:projects/details/8191/assembly/5388138)","Front Passenger Door")</f>
        <v>Front Passenger Door</v>
      </c>
      <c r="B670">
        <v>5388138</v>
      </c>
      <c r="D670">
        <v>5388127</v>
      </c>
      <c r="F670">
        <v>1</v>
      </c>
      <c r="G670">
        <v>0</v>
      </c>
      <c r="H670">
        <v>177.58881911957874</v>
      </c>
      <c r="I670">
        <v>0</v>
      </c>
      <c r="J670" t="s">
        <v>90</v>
      </c>
      <c r="K670">
        <v>0</v>
      </c>
      <c r="L670">
        <v>177.58881911957874</v>
      </c>
      <c r="M670">
        <v>0</v>
      </c>
      <c r="N670">
        <v>0</v>
      </c>
      <c r="O670">
        <v>177.58881911957874</v>
      </c>
      <c r="P670" t="s">
        <v>90</v>
      </c>
      <c r="Q670">
        <v>0</v>
      </c>
      <c r="R670" t="s">
        <v>90</v>
      </c>
      <c r="S670">
        <v>0</v>
      </c>
      <c r="T670" t="s">
        <v>90</v>
      </c>
      <c r="U670">
        <v>0</v>
      </c>
      <c r="V670" t="s">
        <v>90</v>
      </c>
      <c r="W670">
        <v>0</v>
      </c>
      <c r="X670" t="s">
        <v>90</v>
      </c>
      <c r="Y670">
        <v>0</v>
      </c>
      <c r="Z670">
        <v>177.58881911957874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455</v>
      </c>
      <c r="AI670">
        <v>1260</v>
      </c>
      <c r="AJ670">
        <v>1240</v>
      </c>
      <c r="AL670">
        <v>39.846899999999998</v>
      </c>
      <c r="AN670" t="s">
        <v>223</v>
      </c>
      <c r="AO670" t="s">
        <v>92</v>
      </c>
      <c r="AP670">
        <v>200000</v>
      </c>
      <c r="AQ670" t="s">
        <v>92</v>
      </c>
      <c r="AS670">
        <v>10000</v>
      </c>
      <c r="AT670" t="s">
        <v>5924</v>
      </c>
      <c r="AU670" t="s">
        <v>78</v>
      </c>
      <c r="AV670" t="s">
        <v>79</v>
      </c>
      <c r="AY670">
        <v>0</v>
      </c>
    </row>
    <row r="671" spans="1:52" ht="12.75">
      <c r="A671" s="2" t="str">
        <f>HYPERLINK("https://ibp.a2mac1.com/costing(costing:projects/details/8191/assembly/5388894)","Housing")</f>
        <v>Housing</v>
      </c>
      <c r="B671">
        <v>5388894</v>
      </c>
      <c r="D671">
        <v>5388571</v>
      </c>
      <c r="F671">
        <v>1</v>
      </c>
      <c r="G671">
        <v>0</v>
      </c>
      <c r="H671">
        <v>7.0271968851642042</v>
      </c>
      <c r="I671">
        <v>0</v>
      </c>
      <c r="J671" t="s">
        <v>90</v>
      </c>
      <c r="K671">
        <v>0</v>
      </c>
      <c r="L671">
        <v>7.0271968851642042</v>
      </c>
      <c r="M671">
        <v>0</v>
      </c>
      <c r="N671">
        <v>0</v>
      </c>
      <c r="O671">
        <v>7.0271968851642042</v>
      </c>
      <c r="P671" t="s">
        <v>90</v>
      </c>
      <c r="Q671">
        <v>0</v>
      </c>
      <c r="R671" t="s">
        <v>90</v>
      </c>
      <c r="S671">
        <v>0</v>
      </c>
      <c r="T671" t="s">
        <v>90</v>
      </c>
      <c r="U671">
        <v>0</v>
      </c>
      <c r="V671" t="s">
        <v>90</v>
      </c>
      <c r="W671">
        <v>0</v>
      </c>
      <c r="X671" t="s">
        <v>90</v>
      </c>
      <c r="Y671">
        <v>0</v>
      </c>
      <c r="Z671">
        <v>7.0271968851642042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N671" t="s">
        <v>223</v>
      </c>
      <c r="AO671" t="s">
        <v>92</v>
      </c>
      <c r="AP671">
        <v>200000</v>
      </c>
      <c r="AQ671" t="s">
        <v>92</v>
      </c>
      <c r="AR671">
        <v>0</v>
      </c>
      <c r="AS671">
        <v>10000</v>
      </c>
      <c r="AT671" t="s">
        <v>9</v>
      </c>
      <c r="AU671" t="s">
        <v>78</v>
      </c>
      <c r="AV671" t="s">
        <v>79</v>
      </c>
      <c r="AY671">
        <v>0</v>
      </c>
    </row>
    <row r="672" spans="1:52" ht="12.75">
      <c r="A672" s="2" t="str">
        <f>HYPERLINK("https://ibp.a2mac1.com/costing(costing:projects/details/8191/assembly/5388895)","Reinforcements")</f>
        <v>Reinforcements</v>
      </c>
      <c r="B672">
        <v>5388895</v>
      </c>
      <c r="D672">
        <v>5388571</v>
      </c>
      <c r="F672">
        <v>1</v>
      </c>
      <c r="G672">
        <v>0</v>
      </c>
      <c r="H672">
        <v>1.1235019265635897</v>
      </c>
      <c r="I672">
        <v>0</v>
      </c>
      <c r="J672" t="s">
        <v>90</v>
      </c>
      <c r="K672">
        <v>0</v>
      </c>
      <c r="L672">
        <v>1.1235019265635897</v>
      </c>
      <c r="M672">
        <v>0</v>
      </c>
      <c r="N672">
        <v>0</v>
      </c>
      <c r="O672">
        <v>1.1235019265635897</v>
      </c>
      <c r="P672" t="s">
        <v>90</v>
      </c>
      <c r="Q672">
        <v>0</v>
      </c>
      <c r="R672" t="s">
        <v>90</v>
      </c>
      <c r="S672">
        <v>0</v>
      </c>
      <c r="T672" t="s">
        <v>90</v>
      </c>
      <c r="U672">
        <v>0</v>
      </c>
      <c r="V672" t="s">
        <v>90</v>
      </c>
      <c r="W672">
        <v>0</v>
      </c>
      <c r="X672" t="s">
        <v>90</v>
      </c>
      <c r="Y672">
        <v>0</v>
      </c>
      <c r="Z672">
        <v>1.1235019265635897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N672" t="s">
        <v>223</v>
      </c>
      <c r="AO672" t="s">
        <v>92</v>
      </c>
      <c r="AP672">
        <v>200000</v>
      </c>
      <c r="AQ672" t="s">
        <v>92</v>
      </c>
      <c r="AR672">
        <v>0</v>
      </c>
      <c r="AS672">
        <v>10000</v>
      </c>
      <c r="AT672" t="s">
        <v>9</v>
      </c>
      <c r="AU672" t="s">
        <v>78</v>
      </c>
      <c r="AV672" t="s">
        <v>79</v>
      </c>
      <c r="AY672">
        <v>0</v>
      </c>
    </row>
    <row r="673" spans="1:52" ht="12.75">
      <c r="A673" s="2" t="str">
        <f>HYPERLINK("https://ibp.a2mac1.com/costing(costing:projects/details/8191/assembly/5389226)","Front")</f>
        <v>Front</v>
      </c>
      <c r="B673">
        <v>5389226</v>
      </c>
      <c r="D673">
        <v>5388896</v>
      </c>
      <c r="F673">
        <v>1</v>
      </c>
      <c r="G673">
        <v>0</v>
      </c>
      <c r="H673">
        <v>1.3787203551065896</v>
      </c>
      <c r="I673">
        <v>0</v>
      </c>
      <c r="J673" t="s">
        <v>90</v>
      </c>
      <c r="K673">
        <v>0</v>
      </c>
      <c r="L673">
        <v>1.3787203551065896</v>
      </c>
      <c r="M673">
        <v>0</v>
      </c>
      <c r="N673">
        <v>0</v>
      </c>
      <c r="O673">
        <v>1.3787203551065896</v>
      </c>
      <c r="P673" t="s">
        <v>90</v>
      </c>
      <c r="Q673">
        <v>0</v>
      </c>
      <c r="R673" t="s">
        <v>90</v>
      </c>
      <c r="S673">
        <v>0</v>
      </c>
      <c r="T673" t="s">
        <v>90</v>
      </c>
      <c r="U673">
        <v>0</v>
      </c>
      <c r="V673" t="s">
        <v>90</v>
      </c>
      <c r="W673">
        <v>0</v>
      </c>
      <c r="X673" t="s">
        <v>90</v>
      </c>
      <c r="Y673">
        <v>0</v>
      </c>
      <c r="Z673">
        <v>1.3787203551065896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N673" t="s">
        <v>223</v>
      </c>
      <c r="AO673" t="s">
        <v>92</v>
      </c>
      <c r="AP673">
        <v>200000</v>
      </c>
      <c r="AQ673" t="s">
        <v>92</v>
      </c>
      <c r="AR673">
        <v>0</v>
      </c>
      <c r="AS673">
        <v>10000</v>
      </c>
      <c r="AT673" t="s">
        <v>9</v>
      </c>
      <c r="AU673" t="s">
        <v>78</v>
      </c>
      <c r="AV673" t="s">
        <v>79</v>
      </c>
      <c r="AY673">
        <v>0</v>
      </c>
    </row>
    <row r="674" spans="1:52" ht="12.75">
      <c r="A674" s="2" t="str">
        <f>HYPERLINK("https://ibp.a2mac1.com/costing(costing:projects/details/8191/assembly/5388896)","Fixing parts")</f>
        <v>Fixing parts</v>
      </c>
      <c r="B674">
        <v>5388896</v>
      </c>
      <c r="D674">
        <v>5388571</v>
      </c>
      <c r="F674">
        <v>1</v>
      </c>
      <c r="G674">
        <v>0</v>
      </c>
      <c r="H674">
        <v>1.3787203551065896</v>
      </c>
      <c r="I674">
        <v>0</v>
      </c>
      <c r="J674" t="s">
        <v>90</v>
      </c>
      <c r="K674">
        <v>0</v>
      </c>
      <c r="L674">
        <v>1.3787203551065896</v>
      </c>
      <c r="M674">
        <v>0</v>
      </c>
      <c r="N674">
        <v>0</v>
      </c>
      <c r="O674">
        <v>1.3787203551065896</v>
      </c>
      <c r="P674" t="s">
        <v>90</v>
      </c>
      <c r="Q674">
        <v>0</v>
      </c>
      <c r="R674" t="s">
        <v>90</v>
      </c>
      <c r="S674">
        <v>0</v>
      </c>
      <c r="T674" t="s">
        <v>90</v>
      </c>
      <c r="U674">
        <v>0</v>
      </c>
      <c r="V674" t="s">
        <v>90</v>
      </c>
      <c r="W674">
        <v>0</v>
      </c>
      <c r="X674" t="s">
        <v>90</v>
      </c>
      <c r="Y674">
        <v>0</v>
      </c>
      <c r="Z674">
        <v>1.3787203551065896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N674" t="s">
        <v>223</v>
      </c>
      <c r="AO674" t="s">
        <v>92</v>
      </c>
      <c r="AP674">
        <v>200000</v>
      </c>
      <c r="AQ674" t="s">
        <v>92</v>
      </c>
      <c r="AR674">
        <v>0</v>
      </c>
      <c r="AS674">
        <v>10000</v>
      </c>
      <c r="AT674" t="s">
        <v>9</v>
      </c>
      <c r="AU674" t="s">
        <v>78</v>
      </c>
      <c r="AV674" t="s">
        <v>79</v>
      </c>
      <c r="AY674">
        <v>0</v>
      </c>
    </row>
    <row r="675" spans="1:52" ht="12.75">
      <c r="A675" s="2" t="str">
        <f>HYPERLINK("https://ibp.a2mac1.com/costing(costing:projects/details/8191/assembly/5388571)","Housing Assy ")</f>
        <v xml:space="preserve">Housing Assy </v>
      </c>
      <c r="B675">
        <v>5388571</v>
      </c>
      <c r="D675">
        <v>5388240</v>
      </c>
      <c r="F675">
        <v>1</v>
      </c>
      <c r="G675">
        <v>0</v>
      </c>
      <c r="H675">
        <v>9.5294191668343835</v>
      </c>
      <c r="I675">
        <v>0</v>
      </c>
      <c r="J675" t="s">
        <v>90</v>
      </c>
      <c r="K675">
        <v>0</v>
      </c>
      <c r="L675">
        <v>9.5294191668343835</v>
      </c>
      <c r="M675">
        <v>0</v>
      </c>
      <c r="N675">
        <v>0</v>
      </c>
      <c r="O675">
        <v>9.5294191668343835</v>
      </c>
      <c r="P675" t="s">
        <v>90</v>
      </c>
      <c r="Q675">
        <v>0</v>
      </c>
      <c r="R675" t="s">
        <v>90</v>
      </c>
      <c r="S675">
        <v>0</v>
      </c>
      <c r="T675" t="s">
        <v>90</v>
      </c>
      <c r="U675">
        <v>0</v>
      </c>
      <c r="V675" t="s">
        <v>90</v>
      </c>
      <c r="W675">
        <v>0</v>
      </c>
      <c r="X675" t="s">
        <v>90</v>
      </c>
      <c r="Y675">
        <v>0</v>
      </c>
      <c r="Z675">
        <v>9.5294191668343835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N675" t="s">
        <v>223</v>
      </c>
      <c r="AO675" t="s">
        <v>92</v>
      </c>
      <c r="AP675">
        <v>200000</v>
      </c>
      <c r="AQ675" t="s">
        <v>92</v>
      </c>
      <c r="AR675">
        <v>0</v>
      </c>
      <c r="AS675">
        <v>10000</v>
      </c>
      <c r="AT675" t="s">
        <v>9</v>
      </c>
      <c r="AU675" t="s">
        <v>78</v>
      </c>
      <c r="AV675" t="s">
        <v>79</v>
      </c>
      <c r="AY675">
        <v>0</v>
      </c>
    </row>
    <row r="676" spans="1:52" ht="12.75">
      <c r="A676" s="2" t="str">
        <f>HYPERLINK("https://ibp.a2mac1.com/costing(costing:projects/details/8191/assembly/5389227)","Beam")</f>
        <v>Beam</v>
      </c>
      <c r="B676">
        <v>5389227</v>
      </c>
      <c r="D676">
        <v>5388897</v>
      </c>
      <c r="F676">
        <v>1</v>
      </c>
      <c r="G676">
        <v>0</v>
      </c>
      <c r="H676">
        <v>2.0105089149844133</v>
      </c>
      <c r="I676">
        <v>0</v>
      </c>
      <c r="J676" t="s">
        <v>90</v>
      </c>
      <c r="K676">
        <v>0</v>
      </c>
      <c r="L676">
        <v>2.0105089149844133</v>
      </c>
      <c r="M676">
        <v>0</v>
      </c>
      <c r="N676">
        <v>0</v>
      </c>
      <c r="O676">
        <v>2.0105089149844133</v>
      </c>
      <c r="P676" t="s">
        <v>90</v>
      </c>
      <c r="Q676">
        <v>0</v>
      </c>
      <c r="R676" t="s">
        <v>90</v>
      </c>
      <c r="S676">
        <v>0</v>
      </c>
      <c r="T676" t="s">
        <v>90</v>
      </c>
      <c r="U676">
        <v>0</v>
      </c>
      <c r="V676" t="s">
        <v>90</v>
      </c>
      <c r="W676">
        <v>0</v>
      </c>
      <c r="X676" t="s">
        <v>90</v>
      </c>
      <c r="Y676">
        <v>0</v>
      </c>
      <c r="Z676">
        <v>2.0105089149844133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N676" t="s">
        <v>223</v>
      </c>
      <c r="AO676" t="s">
        <v>92</v>
      </c>
      <c r="AP676">
        <v>200000</v>
      </c>
      <c r="AQ676" t="s">
        <v>92</v>
      </c>
      <c r="AR676">
        <v>0</v>
      </c>
      <c r="AS676">
        <v>10000</v>
      </c>
      <c r="AT676" t="s">
        <v>9</v>
      </c>
      <c r="AU676" t="s">
        <v>78</v>
      </c>
      <c r="AV676" t="s">
        <v>79</v>
      </c>
      <c r="AY676">
        <v>0</v>
      </c>
    </row>
    <row r="677" spans="1:52" ht="12.75">
      <c r="A677" s="2" t="str">
        <f>HYPERLINK("https://ibp.a2mac1.com/costing(costing:projects/details/8191/assembly/5388897)","Beam 01")</f>
        <v>Beam 01</v>
      </c>
      <c r="B677">
        <v>5388897</v>
      </c>
      <c r="D677">
        <v>5388572</v>
      </c>
      <c r="F677">
        <v>1</v>
      </c>
      <c r="G677">
        <v>0</v>
      </c>
      <c r="H677">
        <v>2.0105089149844133</v>
      </c>
      <c r="I677">
        <v>0</v>
      </c>
      <c r="J677" t="s">
        <v>90</v>
      </c>
      <c r="K677">
        <v>0</v>
      </c>
      <c r="L677">
        <v>2.0105089149844133</v>
      </c>
      <c r="M677">
        <v>0</v>
      </c>
      <c r="N677">
        <v>0</v>
      </c>
      <c r="O677">
        <v>2.0105089149844133</v>
      </c>
      <c r="P677" t="s">
        <v>90</v>
      </c>
      <c r="Q677">
        <v>0</v>
      </c>
      <c r="R677" t="s">
        <v>90</v>
      </c>
      <c r="S677">
        <v>0</v>
      </c>
      <c r="T677" t="s">
        <v>90</v>
      </c>
      <c r="U677">
        <v>0</v>
      </c>
      <c r="V677" t="s">
        <v>90</v>
      </c>
      <c r="W677">
        <v>0</v>
      </c>
      <c r="X677" t="s">
        <v>90</v>
      </c>
      <c r="Y677">
        <v>0</v>
      </c>
      <c r="Z677">
        <v>2.0105089149844133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N677" t="s">
        <v>223</v>
      </c>
      <c r="AO677" t="s">
        <v>92</v>
      </c>
      <c r="AP677">
        <v>200000</v>
      </c>
      <c r="AQ677" t="s">
        <v>92</v>
      </c>
      <c r="AR677">
        <v>0</v>
      </c>
      <c r="AS677">
        <v>10000</v>
      </c>
      <c r="AT677" t="s">
        <v>9</v>
      </c>
      <c r="AU677" t="s">
        <v>78</v>
      </c>
      <c r="AV677" t="s">
        <v>79</v>
      </c>
      <c r="AY677">
        <v>0</v>
      </c>
    </row>
    <row r="678" spans="1:52" ht="12.75">
      <c r="A678" s="2" t="str">
        <f>HYPERLINK("https://ibp.a2mac1.com/costing(costing:projects/details/8191/assembly/5388572)","Anti-intrusion beams")</f>
        <v>Anti-intrusion beams</v>
      </c>
      <c r="B678">
        <v>5388572</v>
      </c>
      <c r="D678">
        <v>5388240</v>
      </c>
      <c r="F678">
        <v>1</v>
      </c>
      <c r="G678">
        <v>0</v>
      </c>
      <c r="H678">
        <v>2.0105089149844133</v>
      </c>
      <c r="I678">
        <v>0</v>
      </c>
      <c r="J678" t="s">
        <v>90</v>
      </c>
      <c r="K678">
        <v>0</v>
      </c>
      <c r="L678">
        <v>2.0105089149844133</v>
      </c>
      <c r="M678">
        <v>0</v>
      </c>
      <c r="N678">
        <v>0</v>
      </c>
      <c r="O678">
        <v>2.0105089149844133</v>
      </c>
      <c r="P678" t="s">
        <v>90</v>
      </c>
      <c r="Q678">
        <v>0</v>
      </c>
      <c r="R678" t="s">
        <v>90</v>
      </c>
      <c r="S678">
        <v>0</v>
      </c>
      <c r="T678" t="s">
        <v>90</v>
      </c>
      <c r="U678">
        <v>0</v>
      </c>
      <c r="V678" t="s">
        <v>90</v>
      </c>
      <c r="W678">
        <v>0</v>
      </c>
      <c r="X678" t="s">
        <v>90</v>
      </c>
      <c r="Y678">
        <v>0</v>
      </c>
      <c r="Z678">
        <v>2.0105089149844133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N678" t="s">
        <v>223</v>
      </c>
      <c r="AO678" t="s">
        <v>92</v>
      </c>
      <c r="AP678">
        <v>200000</v>
      </c>
      <c r="AQ678" t="s">
        <v>92</v>
      </c>
      <c r="AR678">
        <v>0</v>
      </c>
      <c r="AS678">
        <v>10000</v>
      </c>
      <c r="AT678" t="s">
        <v>9</v>
      </c>
      <c r="AU678" t="s">
        <v>78</v>
      </c>
      <c r="AV678" t="s">
        <v>79</v>
      </c>
      <c r="AY678">
        <v>0</v>
      </c>
    </row>
    <row r="679" spans="1:52" ht="12.75">
      <c r="A679" s="2" t="str">
        <f>HYPERLINK("https://ibp.a2mac1.com/costing(costing:projects/details/8191/assembly/5388898)","Frame")</f>
        <v>Frame</v>
      </c>
      <c r="B679">
        <v>5388898</v>
      </c>
      <c r="D679">
        <v>5388573</v>
      </c>
      <c r="F679">
        <v>1</v>
      </c>
      <c r="G679">
        <v>0</v>
      </c>
      <c r="H679">
        <v>2.3805896443804984</v>
      </c>
      <c r="I679">
        <v>0</v>
      </c>
      <c r="J679" t="s">
        <v>90</v>
      </c>
      <c r="K679">
        <v>0</v>
      </c>
      <c r="L679">
        <v>2.3805896443804984</v>
      </c>
      <c r="M679">
        <v>0</v>
      </c>
      <c r="N679">
        <v>0</v>
      </c>
      <c r="O679">
        <v>2.3805896443804984</v>
      </c>
      <c r="P679" t="s">
        <v>90</v>
      </c>
      <c r="Q679">
        <v>0</v>
      </c>
      <c r="R679" t="s">
        <v>90</v>
      </c>
      <c r="S679">
        <v>0</v>
      </c>
      <c r="T679" t="s">
        <v>90</v>
      </c>
      <c r="U679">
        <v>0</v>
      </c>
      <c r="V679" t="s">
        <v>90</v>
      </c>
      <c r="W679">
        <v>0</v>
      </c>
      <c r="X679" t="s">
        <v>90</v>
      </c>
      <c r="Y679">
        <v>0</v>
      </c>
      <c r="Z679">
        <v>2.3805896443804984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N679" t="s">
        <v>223</v>
      </c>
      <c r="AO679" t="s">
        <v>92</v>
      </c>
      <c r="AP679">
        <v>200000</v>
      </c>
      <c r="AQ679" t="s">
        <v>92</v>
      </c>
      <c r="AR679">
        <v>0</v>
      </c>
      <c r="AS679">
        <v>10000</v>
      </c>
      <c r="AT679" t="s">
        <v>9</v>
      </c>
      <c r="AU679" t="s">
        <v>78</v>
      </c>
      <c r="AV679" t="s">
        <v>79</v>
      </c>
      <c r="AY679">
        <v>0</v>
      </c>
    </row>
    <row r="680" spans="1:52" ht="12.75">
      <c r="A680" s="2" t="str">
        <f>HYPERLINK("https://ibp.a2mac1.com/costing(costing:projects/details/8191/assembly/5388573)","Window frame assy")</f>
        <v>Window frame assy</v>
      </c>
      <c r="B680">
        <v>5388573</v>
      </c>
      <c r="D680">
        <v>5388240</v>
      </c>
      <c r="F680">
        <v>1</v>
      </c>
      <c r="G680">
        <v>0</v>
      </c>
      <c r="H680">
        <v>2.3805896443804984</v>
      </c>
      <c r="I680">
        <v>0</v>
      </c>
      <c r="J680" t="s">
        <v>90</v>
      </c>
      <c r="K680">
        <v>0</v>
      </c>
      <c r="L680">
        <v>2.3805896443804984</v>
      </c>
      <c r="M680">
        <v>0</v>
      </c>
      <c r="N680">
        <v>0</v>
      </c>
      <c r="O680">
        <v>2.3805896443804984</v>
      </c>
      <c r="P680" t="s">
        <v>90</v>
      </c>
      <c r="Q680">
        <v>0</v>
      </c>
      <c r="R680" t="s">
        <v>90</v>
      </c>
      <c r="S680">
        <v>0</v>
      </c>
      <c r="T680" t="s">
        <v>90</v>
      </c>
      <c r="U680">
        <v>0</v>
      </c>
      <c r="V680" t="s">
        <v>90</v>
      </c>
      <c r="W680">
        <v>0</v>
      </c>
      <c r="X680" t="s">
        <v>90</v>
      </c>
      <c r="Y680">
        <v>0</v>
      </c>
      <c r="Z680">
        <v>2.3805896443804984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N680" t="s">
        <v>223</v>
      </c>
      <c r="AO680" t="s">
        <v>92</v>
      </c>
      <c r="AP680">
        <v>200000</v>
      </c>
      <c r="AQ680" t="s">
        <v>92</v>
      </c>
      <c r="AR680">
        <v>0</v>
      </c>
      <c r="AS680">
        <v>10000</v>
      </c>
      <c r="AT680" t="s">
        <v>9</v>
      </c>
      <c r="AU680" t="s">
        <v>78</v>
      </c>
      <c r="AV680" t="s">
        <v>79</v>
      </c>
      <c r="AY680">
        <v>0</v>
      </c>
    </row>
    <row r="681" spans="1:52" ht="12.75">
      <c r="A681" s="2" t="str">
        <f>HYPERLINK("https://ibp.a2mac1.com/costing(costing:projects/details/8191/assembly/5389229)","Cross member")</f>
        <v>Cross member</v>
      </c>
      <c r="B681">
        <v>5389229</v>
      </c>
      <c r="D681">
        <v>5388899</v>
      </c>
      <c r="F681">
        <v>1</v>
      </c>
      <c r="G681">
        <v>0</v>
      </c>
      <c r="H681">
        <v>1.0736759141567638</v>
      </c>
      <c r="I681">
        <v>0</v>
      </c>
      <c r="J681" t="s">
        <v>90</v>
      </c>
      <c r="K681">
        <v>0</v>
      </c>
      <c r="L681">
        <v>1.0736759141567638</v>
      </c>
      <c r="M681">
        <v>0</v>
      </c>
      <c r="N681">
        <v>0</v>
      </c>
      <c r="O681">
        <v>1.0736759141567638</v>
      </c>
      <c r="P681" t="s">
        <v>90</v>
      </c>
      <c r="Q681">
        <v>0</v>
      </c>
      <c r="R681" t="s">
        <v>90</v>
      </c>
      <c r="S681">
        <v>0</v>
      </c>
      <c r="T681" t="s">
        <v>90</v>
      </c>
      <c r="U681">
        <v>0</v>
      </c>
      <c r="V681" t="s">
        <v>90</v>
      </c>
      <c r="W681">
        <v>0</v>
      </c>
      <c r="X681" t="s">
        <v>90</v>
      </c>
      <c r="Y681">
        <v>0</v>
      </c>
      <c r="Z681">
        <v>1.0736759141567638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N681" t="s">
        <v>223</v>
      </c>
      <c r="AO681" t="s">
        <v>92</v>
      </c>
      <c r="AP681">
        <v>200000</v>
      </c>
      <c r="AQ681" t="s">
        <v>92</v>
      </c>
      <c r="AR681">
        <v>0</v>
      </c>
      <c r="AS681">
        <v>10000</v>
      </c>
      <c r="AT681" t="s">
        <v>9</v>
      </c>
      <c r="AU681" t="s">
        <v>78</v>
      </c>
      <c r="AV681" t="s">
        <v>79</v>
      </c>
      <c r="AY681">
        <v>0</v>
      </c>
    </row>
    <row r="682" spans="1:52" ht="12.75">
      <c r="A682" s="2" t="str">
        <f>HYPERLINK("https://ibp.a2mac1.com/costing(costing:projects/details/8191/assembly/5388899)","Cross member 01 (outer)")</f>
        <v>Cross member 01 (outer)</v>
      </c>
      <c r="B682">
        <v>5388899</v>
      </c>
      <c r="D682">
        <v>5388574</v>
      </c>
      <c r="F682">
        <v>1</v>
      </c>
      <c r="G682">
        <v>0</v>
      </c>
      <c r="H682">
        <v>1.0736759141567638</v>
      </c>
      <c r="I682">
        <v>0</v>
      </c>
      <c r="J682" t="s">
        <v>90</v>
      </c>
      <c r="K682">
        <v>0</v>
      </c>
      <c r="L682">
        <v>1.0736759141567638</v>
      </c>
      <c r="M682">
        <v>0</v>
      </c>
      <c r="N682">
        <v>0</v>
      </c>
      <c r="O682">
        <v>1.0736759141567638</v>
      </c>
      <c r="P682" t="s">
        <v>90</v>
      </c>
      <c r="Q682">
        <v>0</v>
      </c>
      <c r="R682" t="s">
        <v>90</v>
      </c>
      <c r="S682">
        <v>0</v>
      </c>
      <c r="T682" t="s">
        <v>90</v>
      </c>
      <c r="U682">
        <v>0</v>
      </c>
      <c r="V682" t="s">
        <v>90</v>
      </c>
      <c r="W682">
        <v>0</v>
      </c>
      <c r="X682" t="s">
        <v>90</v>
      </c>
      <c r="Y682">
        <v>0</v>
      </c>
      <c r="Z682">
        <v>1.0736759141567638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N682" t="s">
        <v>223</v>
      </c>
      <c r="AO682" t="s">
        <v>92</v>
      </c>
      <c r="AP682">
        <v>200000</v>
      </c>
      <c r="AQ682" t="s">
        <v>92</v>
      </c>
      <c r="AR682">
        <v>0</v>
      </c>
      <c r="AS682">
        <v>10000</v>
      </c>
      <c r="AT682" t="s">
        <v>9</v>
      </c>
      <c r="AU682" t="s">
        <v>78</v>
      </c>
      <c r="AV682" t="s">
        <v>79</v>
      </c>
      <c r="AY682">
        <v>0</v>
      </c>
    </row>
    <row r="683" spans="1:52" ht="12.75">
      <c r="A683" s="2" t="str">
        <f>HYPERLINK("https://ibp.a2mac1.com/costing(costing:projects/details/8191/assembly/5388574)","Top roll assy ")</f>
        <v xml:space="preserve">Top roll assy </v>
      </c>
      <c r="B683">
        <v>5388574</v>
      </c>
      <c r="D683">
        <v>5388240</v>
      </c>
      <c r="F683">
        <v>1</v>
      </c>
      <c r="G683">
        <v>0</v>
      </c>
      <c r="H683">
        <v>1.0736759141567638</v>
      </c>
      <c r="I683">
        <v>0</v>
      </c>
      <c r="J683" t="s">
        <v>90</v>
      </c>
      <c r="K683">
        <v>0</v>
      </c>
      <c r="L683">
        <v>1.0736759141567638</v>
      </c>
      <c r="M683">
        <v>0</v>
      </c>
      <c r="N683">
        <v>0</v>
      </c>
      <c r="O683">
        <v>1.0736759141567638</v>
      </c>
      <c r="P683" t="s">
        <v>90</v>
      </c>
      <c r="Q683">
        <v>0</v>
      </c>
      <c r="R683" t="s">
        <v>90</v>
      </c>
      <c r="S683">
        <v>0</v>
      </c>
      <c r="T683" t="s">
        <v>90</v>
      </c>
      <c r="U683">
        <v>0</v>
      </c>
      <c r="V683" t="s">
        <v>90</v>
      </c>
      <c r="W683">
        <v>0</v>
      </c>
      <c r="X683" t="s">
        <v>90</v>
      </c>
      <c r="Y683">
        <v>0</v>
      </c>
      <c r="Z683">
        <v>1.0736759141567638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N683" t="s">
        <v>223</v>
      </c>
      <c r="AO683" t="s">
        <v>92</v>
      </c>
      <c r="AP683">
        <v>200000</v>
      </c>
      <c r="AQ683" t="s">
        <v>92</v>
      </c>
      <c r="AR683">
        <v>0</v>
      </c>
      <c r="AS683">
        <v>10000</v>
      </c>
      <c r="AT683" t="s">
        <v>9</v>
      </c>
      <c r="AU683" t="s">
        <v>78</v>
      </c>
      <c r="AV683" t="s">
        <v>79</v>
      </c>
      <c r="AY683">
        <v>0</v>
      </c>
    </row>
    <row r="684" spans="1:52" ht="12.75">
      <c r="A684" s="2" t="str">
        <f>HYPERLINK("https://ibp.a2mac1.com/costing(costing:projects/details/8191/assembly/5388900)","Panel")</f>
        <v>Panel</v>
      </c>
      <c r="B684">
        <v>5388900</v>
      </c>
      <c r="D684">
        <v>5388575</v>
      </c>
      <c r="F684">
        <v>1</v>
      </c>
      <c r="G684">
        <v>0</v>
      </c>
      <c r="H684">
        <v>4.2087578055599142</v>
      </c>
      <c r="I684">
        <v>0</v>
      </c>
      <c r="J684" t="s">
        <v>90</v>
      </c>
      <c r="K684">
        <v>0</v>
      </c>
      <c r="L684">
        <v>4.2087578055599142</v>
      </c>
      <c r="M684">
        <v>0</v>
      </c>
      <c r="N684">
        <v>0</v>
      </c>
      <c r="O684">
        <v>4.2087578055599142</v>
      </c>
      <c r="P684" t="s">
        <v>90</v>
      </c>
      <c r="Q684">
        <v>0</v>
      </c>
      <c r="R684" t="s">
        <v>90</v>
      </c>
      <c r="S684">
        <v>0</v>
      </c>
      <c r="T684" t="s">
        <v>90</v>
      </c>
      <c r="U684">
        <v>0</v>
      </c>
      <c r="V684" t="s">
        <v>90</v>
      </c>
      <c r="W684">
        <v>0</v>
      </c>
      <c r="X684" t="s">
        <v>90</v>
      </c>
      <c r="Y684">
        <v>0</v>
      </c>
      <c r="Z684">
        <v>4.2087578055599142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N684" t="s">
        <v>223</v>
      </c>
      <c r="AO684" t="s">
        <v>92</v>
      </c>
      <c r="AP684">
        <v>200000</v>
      </c>
      <c r="AQ684" t="s">
        <v>92</v>
      </c>
      <c r="AR684">
        <v>0</v>
      </c>
      <c r="AS684">
        <v>10000</v>
      </c>
      <c r="AT684" t="s">
        <v>9</v>
      </c>
      <c r="AU684" t="s">
        <v>78</v>
      </c>
      <c r="AV684" t="s">
        <v>79</v>
      </c>
      <c r="AY684">
        <v>0</v>
      </c>
    </row>
    <row r="685" spans="1:52" ht="12.75">
      <c r="A685" s="2" t="str">
        <f>HYPERLINK("https://ibp.a2mac1.com/costing(costing:projects/details/8191/assembly/5389231)","Reinforcement")</f>
        <v>Reinforcement</v>
      </c>
      <c r="B685">
        <v>5389231</v>
      </c>
      <c r="D685">
        <v>5388901</v>
      </c>
      <c r="F685">
        <v>1</v>
      </c>
      <c r="G685">
        <v>0</v>
      </c>
      <c r="H685">
        <v>0.43525444001019103</v>
      </c>
      <c r="I685">
        <v>0</v>
      </c>
      <c r="J685" t="s">
        <v>90</v>
      </c>
      <c r="K685">
        <v>0</v>
      </c>
      <c r="L685">
        <v>0.43525444001019103</v>
      </c>
      <c r="M685">
        <v>0</v>
      </c>
      <c r="N685">
        <v>0</v>
      </c>
      <c r="O685">
        <v>0.43525444001019103</v>
      </c>
      <c r="P685" t="s">
        <v>90</v>
      </c>
      <c r="Q685">
        <v>0</v>
      </c>
      <c r="R685" t="s">
        <v>90</v>
      </c>
      <c r="S685">
        <v>0</v>
      </c>
      <c r="T685" t="s">
        <v>90</v>
      </c>
      <c r="U685">
        <v>0</v>
      </c>
      <c r="V685" t="s">
        <v>90</v>
      </c>
      <c r="W685">
        <v>0</v>
      </c>
      <c r="X685" t="s">
        <v>90</v>
      </c>
      <c r="Y685">
        <v>0</v>
      </c>
      <c r="Z685">
        <v>0.43525444001019103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N685" t="s">
        <v>223</v>
      </c>
      <c r="AO685" t="s">
        <v>92</v>
      </c>
      <c r="AP685">
        <v>200000</v>
      </c>
      <c r="AQ685" t="s">
        <v>92</v>
      </c>
      <c r="AR685">
        <v>0</v>
      </c>
      <c r="AS685">
        <v>10000</v>
      </c>
      <c r="AT685" t="s">
        <v>9</v>
      </c>
      <c r="AU685" t="s">
        <v>78</v>
      </c>
      <c r="AV685" t="s">
        <v>79</v>
      </c>
      <c r="AY685">
        <v>0</v>
      </c>
    </row>
    <row r="686" spans="1:52" ht="12.75">
      <c r="A686" s="2" t="str">
        <f>HYPERLINK("https://ibp.a2mac1.com/costing(costing:projects/details/8191/assembly/5388901)","Reinforcements")</f>
        <v>Reinforcements</v>
      </c>
      <c r="B686">
        <v>5388901</v>
      </c>
      <c r="D686">
        <v>5388575</v>
      </c>
      <c r="F686">
        <v>1</v>
      </c>
      <c r="G686">
        <v>0</v>
      </c>
      <c r="H686">
        <v>0.43525444001019103</v>
      </c>
      <c r="I686">
        <v>0</v>
      </c>
      <c r="J686" t="s">
        <v>90</v>
      </c>
      <c r="K686">
        <v>0</v>
      </c>
      <c r="L686">
        <v>0.43525444001019103</v>
      </c>
      <c r="M686">
        <v>0</v>
      </c>
      <c r="N686">
        <v>0</v>
      </c>
      <c r="O686">
        <v>0.43525444001019103</v>
      </c>
      <c r="P686" t="s">
        <v>90</v>
      </c>
      <c r="Q686">
        <v>0</v>
      </c>
      <c r="R686" t="s">
        <v>90</v>
      </c>
      <c r="S686">
        <v>0</v>
      </c>
      <c r="T686" t="s">
        <v>90</v>
      </c>
      <c r="U686">
        <v>0</v>
      </c>
      <c r="V686" t="s">
        <v>90</v>
      </c>
      <c r="W686">
        <v>0</v>
      </c>
      <c r="X686" t="s">
        <v>90</v>
      </c>
      <c r="Y686">
        <v>0</v>
      </c>
      <c r="Z686">
        <v>0.43525444001019103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N686" t="s">
        <v>223</v>
      </c>
      <c r="AO686" t="s">
        <v>92</v>
      </c>
      <c r="AP686">
        <v>200000</v>
      </c>
      <c r="AQ686" t="s">
        <v>92</v>
      </c>
      <c r="AR686">
        <v>0</v>
      </c>
      <c r="AS686">
        <v>10000</v>
      </c>
      <c r="AT686" t="s">
        <v>9</v>
      </c>
      <c r="AU686" t="s">
        <v>78</v>
      </c>
      <c r="AV686" t="s">
        <v>79</v>
      </c>
      <c r="AY686">
        <v>0</v>
      </c>
    </row>
    <row r="687" spans="1:52" ht="12.75">
      <c r="A687" s="2" t="str">
        <f>HYPERLINK("https://ibp.a2mac1.com/costing(costing:projects/details/8191/assembly/5388575)","Outer panel")</f>
        <v>Outer panel</v>
      </c>
      <c r="B687">
        <v>5388575</v>
      </c>
      <c r="D687">
        <v>5388240</v>
      </c>
      <c r="F687">
        <v>1</v>
      </c>
      <c r="G687">
        <v>0</v>
      </c>
      <c r="H687">
        <v>4.6440122455701047</v>
      </c>
      <c r="I687">
        <v>0</v>
      </c>
      <c r="J687" t="s">
        <v>90</v>
      </c>
      <c r="K687">
        <v>0</v>
      </c>
      <c r="L687">
        <v>4.6440122455701047</v>
      </c>
      <c r="M687">
        <v>0</v>
      </c>
      <c r="N687">
        <v>0</v>
      </c>
      <c r="O687">
        <v>4.6440122455701047</v>
      </c>
      <c r="P687" t="s">
        <v>90</v>
      </c>
      <c r="Q687">
        <v>0</v>
      </c>
      <c r="R687" t="s">
        <v>90</v>
      </c>
      <c r="S687">
        <v>0</v>
      </c>
      <c r="T687" t="s">
        <v>90</v>
      </c>
      <c r="U687">
        <v>0</v>
      </c>
      <c r="V687" t="s">
        <v>90</v>
      </c>
      <c r="W687">
        <v>0</v>
      </c>
      <c r="X687" t="s">
        <v>90</v>
      </c>
      <c r="Y687">
        <v>0</v>
      </c>
      <c r="Z687">
        <v>4.6440122455701047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N687" t="s">
        <v>223</v>
      </c>
      <c r="AO687" t="s">
        <v>92</v>
      </c>
      <c r="AP687">
        <v>200000</v>
      </c>
      <c r="AQ687" t="s">
        <v>92</v>
      </c>
      <c r="AR687">
        <v>0</v>
      </c>
      <c r="AS687">
        <v>10000</v>
      </c>
      <c r="AT687" t="s">
        <v>9</v>
      </c>
      <c r="AU687" t="s">
        <v>78</v>
      </c>
      <c r="AV687" t="s">
        <v>79</v>
      </c>
      <c r="AY687">
        <v>0</v>
      </c>
    </row>
    <row r="688" spans="1:52" ht="12.75">
      <c r="A688" s="2" t="str">
        <f>HYPERLINK("https://ibp.a2mac1.com/costing(costing:projects/details/8191/assembly/5388240)","Rear Door Right")</f>
        <v>Rear Door Right</v>
      </c>
      <c r="B688">
        <v>5388240</v>
      </c>
      <c r="D688">
        <v>5388139</v>
      </c>
      <c r="F688">
        <v>1</v>
      </c>
      <c r="G688">
        <v>0</v>
      </c>
      <c r="H688">
        <v>19.638205885926165</v>
      </c>
      <c r="I688">
        <v>0.098684451688071176</v>
      </c>
      <c r="J688" t="s">
        <v>137</v>
      </c>
      <c r="K688">
        <v>0.68733720600741577</v>
      </c>
      <c r="L688">
        <v>20.424227543621651</v>
      </c>
      <c r="M688">
        <v>0</v>
      </c>
      <c r="N688">
        <v>1.1797288290464552</v>
      </c>
      <c r="O688">
        <v>21.603956372668105</v>
      </c>
      <c r="P688" t="s">
        <v>90</v>
      </c>
      <c r="Q688">
        <v>0</v>
      </c>
      <c r="R688" t="s">
        <v>90</v>
      </c>
      <c r="S688">
        <v>0</v>
      </c>
      <c r="T688" t="s">
        <v>90</v>
      </c>
      <c r="U688">
        <v>0</v>
      </c>
      <c r="V688" t="s">
        <v>90</v>
      </c>
      <c r="W688">
        <v>0</v>
      </c>
      <c r="X688" t="s">
        <v>90</v>
      </c>
      <c r="Y688">
        <v>0</v>
      </c>
      <c r="Z688">
        <v>21.603956372668105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315</v>
      </c>
      <c r="AI688">
        <v>1080</v>
      </c>
      <c r="AJ688">
        <v>1230</v>
      </c>
      <c r="AL688">
        <v>16.036999999999999</v>
      </c>
      <c r="AM688" t="s">
        <v>5093</v>
      </c>
      <c r="AN688" t="s">
        <v>4668</v>
      </c>
      <c r="AO688" t="s">
        <v>92</v>
      </c>
      <c r="AP688">
        <v>200000</v>
      </c>
      <c r="AQ688" t="s">
        <v>76</v>
      </c>
      <c r="AS688">
        <v>10000</v>
      </c>
      <c r="AT688" t="s">
        <v>5965</v>
      </c>
      <c r="AU688" t="s">
        <v>78</v>
      </c>
      <c r="AV688" t="s">
        <v>79</v>
      </c>
      <c r="AY688">
        <v>0</v>
      </c>
    </row>
    <row r="689" spans="1:52" ht="12.75">
      <c r="A689" s="2" t="str">
        <f>HYPERLINK("https://ibp.a2mac1.com/costing(costing:projects/details/8191/assembly/5388581)","Inner Door Handle")</f>
        <v>Inner Door Handle</v>
      </c>
      <c r="B689">
        <v>5388581</v>
      </c>
      <c r="D689">
        <v>5388242</v>
      </c>
      <c r="F689">
        <v>1</v>
      </c>
      <c r="G689">
        <v>0</v>
      </c>
      <c r="H689">
        <v>0.53519000000000005</v>
      </c>
      <c r="I689">
        <v>0</v>
      </c>
      <c r="J689" t="s">
        <v>90</v>
      </c>
      <c r="K689">
        <v>0</v>
      </c>
      <c r="L689">
        <v>0.53519000000000005</v>
      </c>
      <c r="M689">
        <v>0</v>
      </c>
      <c r="N689">
        <v>0</v>
      </c>
      <c r="O689">
        <v>0.53519000000000005</v>
      </c>
      <c r="P689" t="s">
        <v>90</v>
      </c>
      <c r="Q689">
        <v>0</v>
      </c>
      <c r="R689" t="s">
        <v>90</v>
      </c>
      <c r="S689">
        <v>0</v>
      </c>
      <c r="T689" t="s">
        <v>90</v>
      </c>
      <c r="U689">
        <v>0</v>
      </c>
      <c r="V689" t="s">
        <v>90</v>
      </c>
      <c r="W689">
        <v>0</v>
      </c>
      <c r="X689" t="s">
        <v>90</v>
      </c>
      <c r="Y689">
        <v>0</v>
      </c>
      <c r="Z689">
        <v>0.53519000000000005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L689">
        <v>0.186</v>
      </c>
      <c r="AN689" t="s">
        <v>223</v>
      </c>
      <c r="AO689" t="s">
        <v>92</v>
      </c>
      <c r="AP689">
        <v>200000</v>
      </c>
      <c r="AQ689" t="s">
        <v>76</v>
      </c>
      <c r="AS689">
        <v>10000</v>
      </c>
      <c r="AT689" t="s">
        <v>9</v>
      </c>
      <c r="AU689" t="s">
        <v>78</v>
      </c>
      <c r="AV689" t="s">
        <v>79</v>
      </c>
      <c r="AY689">
        <v>0</v>
      </c>
    </row>
    <row r="690" spans="1:52" ht="12.75">
      <c r="A690" s="2" t="str">
        <f>HYPERLINK("https://ibp.a2mac1.com/costing(costing:projects/details/8191/assembly/5388242)","Door Panel")</f>
        <v>Door Panel</v>
      </c>
      <c r="B690">
        <v>5388242</v>
      </c>
      <c r="D690">
        <v>5388139</v>
      </c>
      <c r="F690">
        <v>1</v>
      </c>
      <c r="G690">
        <v>0</v>
      </c>
      <c r="H690">
        <v>6.2846758046345661</v>
      </c>
      <c r="I690">
        <v>0.031581285450424955</v>
      </c>
      <c r="J690" t="s">
        <v>137</v>
      </c>
      <c r="K690">
        <v>0.21996365316220981</v>
      </c>
      <c r="L690">
        <v>6.5362207432472008</v>
      </c>
      <c r="M690">
        <v>0</v>
      </c>
      <c r="N690">
        <v>0</v>
      </c>
      <c r="O690">
        <v>6.5362207432472008</v>
      </c>
      <c r="P690" t="s">
        <v>138</v>
      </c>
      <c r="Q690">
        <v>0.39217324459483205</v>
      </c>
      <c r="R690" t="s">
        <v>138</v>
      </c>
      <c r="S690">
        <v>0</v>
      </c>
      <c r="T690" t="s">
        <v>139</v>
      </c>
      <c r="U690">
        <v>0.7843464891896641</v>
      </c>
      <c r="V690" t="s">
        <v>90</v>
      </c>
      <c r="W690">
        <v>0</v>
      </c>
      <c r="X690" t="s">
        <v>90</v>
      </c>
      <c r="Y690">
        <v>0</v>
      </c>
      <c r="Z690">
        <v>7.712740477031697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125</v>
      </c>
      <c r="AI690">
        <v>840</v>
      </c>
      <c r="AJ690">
        <v>795</v>
      </c>
      <c r="AL690">
        <v>2.7656999999999998</v>
      </c>
      <c r="AN690" t="s">
        <v>3212</v>
      </c>
      <c r="AO690" t="s">
        <v>92</v>
      </c>
      <c r="AP690">
        <v>200000</v>
      </c>
      <c r="AQ690" t="s">
        <v>76</v>
      </c>
      <c r="AS690">
        <v>10000</v>
      </c>
      <c r="AT690" t="s">
        <v>9</v>
      </c>
      <c r="AU690" t="s">
        <v>78</v>
      </c>
      <c r="AV690" t="s">
        <v>79</v>
      </c>
      <c r="AY690">
        <v>0</v>
      </c>
    </row>
    <row r="691" spans="1:52" ht="12.75">
      <c r="A691" s="2" t="str">
        <f>HYPERLINK("https://ibp.a2mac1.com/costing(costing:projects/details/8191/assembly/5388905)","Fastners")</f>
        <v>Fastners</v>
      </c>
      <c r="B691">
        <v>5388905</v>
      </c>
      <c r="D691">
        <v>5388584</v>
      </c>
      <c r="F691">
        <v>1</v>
      </c>
      <c r="G691">
        <v>0</v>
      </c>
      <c r="H691">
        <v>0.073840000000000003</v>
      </c>
      <c r="I691">
        <v>0</v>
      </c>
      <c r="J691" t="s">
        <v>90</v>
      </c>
      <c r="K691">
        <v>0</v>
      </c>
      <c r="L691">
        <v>0.073840000000000003</v>
      </c>
      <c r="M691">
        <v>0</v>
      </c>
      <c r="N691">
        <v>0</v>
      </c>
      <c r="O691">
        <v>0.073840000000000003</v>
      </c>
      <c r="P691" t="s">
        <v>90</v>
      </c>
      <c r="Q691">
        <v>0</v>
      </c>
      <c r="R691" t="s">
        <v>90</v>
      </c>
      <c r="S691">
        <v>0</v>
      </c>
      <c r="T691" t="s">
        <v>90</v>
      </c>
      <c r="U691">
        <v>0</v>
      </c>
      <c r="V691" t="s">
        <v>90</v>
      </c>
      <c r="W691">
        <v>0</v>
      </c>
      <c r="X691" t="s">
        <v>90</v>
      </c>
      <c r="Y691">
        <v>0</v>
      </c>
      <c r="Z691">
        <v>0.073840000000000003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N691" t="s">
        <v>223</v>
      </c>
      <c r="AO691" t="s">
        <v>92</v>
      </c>
      <c r="AP691">
        <v>200000</v>
      </c>
      <c r="AQ691" t="s">
        <v>76</v>
      </c>
      <c r="AR691">
        <v>0</v>
      </c>
      <c r="AS691">
        <v>10000</v>
      </c>
      <c r="AT691" t="s">
        <v>9</v>
      </c>
      <c r="AU691" t="s">
        <v>78</v>
      </c>
      <c r="AV691" t="s">
        <v>79</v>
      </c>
      <c r="AY691">
        <v>0</v>
      </c>
    </row>
    <row r="692" spans="1:52" ht="12.75">
      <c r="A692" s="2" t="str">
        <f>HYPERLINK("https://ibp.a2mac1.com/costing(costing:projects/details/8191/assembly/5388584)","Interior Side")</f>
        <v>Interior Side</v>
      </c>
      <c r="B692">
        <v>5388584</v>
      </c>
      <c r="D692">
        <v>5388243</v>
      </c>
      <c r="F692">
        <v>1</v>
      </c>
      <c r="G692">
        <v>0</v>
      </c>
      <c r="H692">
        <v>0.60261909954644122</v>
      </c>
      <c r="I692">
        <v>0</v>
      </c>
      <c r="J692" t="s">
        <v>90</v>
      </c>
      <c r="K692">
        <v>0</v>
      </c>
      <c r="L692">
        <v>0.60261909954644122</v>
      </c>
      <c r="M692">
        <v>0</v>
      </c>
      <c r="N692">
        <v>0</v>
      </c>
      <c r="O692">
        <v>0.60261909954644122</v>
      </c>
      <c r="P692" t="s">
        <v>90</v>
      </c>
      <c r="Q692">
        <v>0</v>
      </c>
      <c r="R692" t="s">
        <v>90</v>
      </c>
      <c r="S692">
        <v>0</v>
      </c>
      <c r="T692" t="s">
        <v>90</v>
      </c>
      <c r="U692">
        <v>0</v>
      </c>
      <c r="V692" t="s">
        <v>90</v>
      </c>
      <c r="W692">
        <v>0</v>
      </c>
      <c r="X692" t="s">
        <v>90</v>
      </c>
      <c r="Y692">
        <v>0</v>
      </c>
      <c r="Z692">
        <v>0.60261909954644122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L692">
        <v>0.12570000000000001</v>
      </c>
      <c r="AN692" t="s">
        <v>223</v>
      </c>
      <c r="AO692" t="s">
        <v>92</v>
      </c>
      <c r="AP692">
        <v>200000</v>
      </c>
      <c r="AQ692" t="s">
        <v>76</v>
      </c>
      <c r="AS692">
        <v>10000</v>
      </c>
      <c r="AT692" t="s">
        <v>9</v>
      </c>
      <c r="AU692" t="s">
        <v>78</v>
      </c>
      <c r="AV692" t="s">
        <v>79</v>
      </c>
      <c r="AY692">
        <v>0</v>
      </c>
    </row>
    <row r="693" spans="1:52" ht="12.75">
      <c r="A693" s="2" t="str">
        <f>HYPERLINK("https://ibp.a2mac1.com/costing(costing:projects/details/8191/assembly/5388913)","Fastners")</f>
        <v>Fastners</v>
      </c>
      <c r="B693">
        <v>5388913</v>
      </c>
      <c r="D693">
        <v>5388585</v>
      </c>
      <c r="F693">
        <v>1</v>
      </c>
      <c r="G693">
        <v>0</v>
      </c>
      <c r="H693">
        <v>0.30</v>
      </c>
      <c r="I693">
        <v>0</v>
      </c>
      <c r="J693" t="s">
        <v>90</v>
      </c>
      <c r="K693">
        <v>0</v>
      </c>
      <c r="L693">
        <v>0.30</v>
      </c>
      <c r="M693">
        <v>0</v>
      </c>
      <c r="N693">
        <v>0</v>
      </c>
      <c r="O693">
        <v>0.30</v>
      </c>
      <c r="P693" t="s">
        <v>90</v>
      </c>
      <c r="Q693">
        <v>0</v>
      </c>
      <c r="R693" t="s">
        <v>90</v>
      </c>
      <c r="S693">
        <v>0</v>
      </c>
      <c r="T693" t="s">
        <v>90</v>
      </c>
      <c r="U693">
        <v>0</v>
      </c>
      <c r="V693" t="s">
        <v>90</v>
      </c>
      <c r="W693">
        <v>0</v>
      </c>
      <c r="X693" t="s">
        <v>90</v>
      </c>
      <c r="Y693">
        <v>0</v>
      </c>
      <c r="Z693">
        <v>0.30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N693" t="s">
        <v>223</v>
      </c>
      <c r="AO693" t="s">
        <v>92</v>
      </c>
      <c r="AP693">
        <v>200000</v>
      </c>
      <c r="AQ693" t="s">
        <v>76</v>
      </c>
      <c r="AR693">
        <v>0</v>
      </c>
      <c r="AS693">
        <v>10000</v>
      </c>
      <c r="AT693" t="s">
        <v>9</v>
      </c>
      <c r="AU693" t="s">
        <v>78</v>
      </c>
      <c r="AV693" t="s">
        <v>79</v>
      </c>
      <c r="AY693">
        <v>0</v>
      </c>
    </row>
    <row r="694" spans="1:52" ht="12.75">
      <c r="A694" s="2" t="str">
        <f>HYPERLINK("https://ibp.a2mac1.com/costing(costing:projects/details/8191/assembly/5388585)","Exterior side")</f>
        <v>Exterior side</v>
      </c>
      <c r="B694">
        <v>5388585</v>
      </c>
      <c r="D694">
        <v>5388243</v>
      </c>
      <c r="F694">
        <v>1</v>
      </c>
      <c r="G694">
        <v>0</v>
      </c>
      <c r="H694">
        <v>4.1142744747700624</v>
      </c>
      <c r="I694">
        <v>0</v>
      </c>
      <c r="J694" t="s">
        <v>90</v>
      </c>
      <c r="K694">
        <v>0</v>
      </c>
      <c r="L694">
        <v>4.1142744747700624</v>
      </c>
      <c r="M694">
        <v>0</v>
      </c>
      <c r="N694">
        <v>0.39420764387300394</v>
      </c>
      <c r="O694">
        <v>4.5084821186430668</v>
      </c>
      <c r="P694" t="s">
        <v>90</v>
      </c>
      <c r="Q694">
        <v>0</v>
      </c>
      <c r="R694" t="s">
        <v>90</v>
      </c>
      <c r="S694">
        <v>0</v>
      </c>
      <c r="T694" t="s">
        <v>90</v>
      </c>
      <c r="U694">
        <v>0</v>
      </c>
      <c r="V694" t="s">
        <v>90</v>
      </c>
      <c r="W694">
        <v>0</v>
      </c>
      <c r="X694" t="s">
        <v>90</v>
      </c>
      <c r="Y694">
        <v>0</v>
      </c>
      <c r="Z694">
        <v>4.5084821186430668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L694">
        <v>0.425</v>
      </c>
      <c r="AN694" t="s">
        <v>223</v>
      </c>
      <c r="AO694" t="s">
        <v>92</v>
      </c>
      <c r="AP694">
        <v>200000</v>
      </c>
      <c r="AQ694" t="s">
        <v>76</v>
      </c>
      <c r="AS694">
        <v>10000</v>
      </c>
      <c r="AT694" t="s">
        <v>9</v>
      </c>
      <c r="AU694" t="s">
        <v>78</v>
      </c>
      <c r="AV694" t="s">
        <v>79</v>
      </c>
      <c r="AY694">
        <v>0</v>
      </c>
    </row>
    <row r="695" spans="1:52" ht="12.75">
      <c r="A695" s="2" t="str">
        <f>HYPERLINK("https://ibp.a2mac1.com/costing(costing:projects/details/8191/assembly/5388586)","Fastners")</f>
        <v>Fastners</v>
      </c>
      <c r="B695">
        <v>5388586</v>
      </c>
      <c r="D695">
        <v>5388243</v>
      </c>
      <c r="F695">
        <v>1</v>
      </c>
      <c r="G695">
        <v>0</v>
      </c>
      <c r="H695">
        <v>0.036920000000000001</v>
      </c>
      <c r="I695">
        <v>0</v>
      </c>
      <c r="J695" t="s">
        <v>90</v>
      </c>
      <c r="K695">
        <v>0</v>
      </c>
      <c r="L695">
        <v>0.036920000000000001</v>
      </c>
      <c r="M695">
        <v>0</v>
      </c>
      <c r="N695">
        <v>0</v>
      </c>
      <c r="O695">
        <v>0.036920000000000001</v>
      </c>
      <c r="P695" t="s">
        <v>90</v>
      </c>
      <c r="Q695">
        <v>0</v>
      </c>
      <c r="R695" t="s">
        <v>90</v>
      </c>
      <c r="S695">
        <v>0</v>
      </c>
      <c r="T695" t="s">
        <v>90</v>
      </c>
      <c r="U695">
        <v>0</v>
      </c>
      <c r="V695" t="s">
        <v>90</v>
      </c>
      <c r="W695">
        <v>0</v>
      </c>
      <c r="X695" t="s">
        <v>90</v>
      </c>
      <c r="Y695">
        <v>0</v>
      </c>
      <c r="Z695">
        <v>0.036920000000000001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N695" t="s">
        <v>223</v>
      </c>
      <c r="AO695" t="s">
        <v>92</v>
      </c>
      <c r="AP695">
        <v>200000</v>
      </c>
      <c r="AQ695" t="s">
        <v>76</v>
      </c>
      <c r="AR695">
        <v>0</v>
      </c>
      <c r="AS695">
        <v>10000</v>
      </c>
      <c r="AT695" t="s">
        <v>9</v>
      </c>
      <c r="AU695" t="s">
        <v>78</v>
      </c>
      <c r="AV695" t="s">
        <v>79</v>
      </c>
      <c r="AY695">
        <v>0</v>
      </c>
    </row>
    <row r="696" spans="1:52" ht="12.75">
      <c r="A696" s="2" t="str">
        <f>HYPERLINK("https://ibp.a2mac1.com/costing(costing:projects/details/8191/assembly/5388243)","Door Mechanism")</f>
        <v>Door Mechanism</v>
      </c>
      <c r="B696">
        <v>5388243</v>
      </c>
      <c r="D696">
        <v>5388139</v>
      </c>
      <c r="F696">
        <v>1</v>
      </c>
      <c r="G696">
        <v>0</v>
      </c>
      <c r="H696">
        <v>11.567816463656257</v>
      </c>
      <c r="I696">
        <v>0</v>
      </c>
      <c r="J696" t="s">
        <v>90</v>
      </c>
      <c r="K696">
        <v>0</v>
      </c>
      <c r="L696">
        <v>11.567816463656257</v>
      </c>
      <c r="M696">
        <v>0</v>
      </c>
      <c r="N696">
        <v>0</v>
      </c>
      <c r="O696">
        <v>11.567816463656257</v>
      </c>
      <c r="P696" t="s">
        <v>90</v>
      </c>
      <c r="Q696">
        <v>0</v>
      </c>
      <c r="R696" t="s">
        <v>90</v>
      </c>
      <c r="S696">
        <v>0</v>
      </c>
      <c r="T696" t="s">
        <v>90</v>
      </c>
      <c r="U696">
        <v>0</v>
      </c>
      <c r="V696" t="s">
        <v>90</v>
      </c>
      <c r="W696">
        <v>0</v>
      </c>
      <c r="X696" t="s">
        <v>90</v>
      </c>
      <c r="Y696">
        <v>0</v>
      </c>
      <c r="Z696">
        <v>11.567816463656257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L696">
        <v>1.4607000000000001</v>
      </c>
      <c r="AN696" t="s">
        <v>223</v>
      </c>
      <c r="AO696" t="s">
        <v>92</v>
      </c>
      <c r="AP696">
        <v>200000</v>
      </c>
      <c r="AQ696" t="s">
        <v>92</v>
      </c>
      <c r="AS696">
        <v>10000</v>
      </c>
      <c r="AT696" t="s">
        <v>6007</v>
      </c>
      <c r="AU696" t="s">
        <v>78</v>
      </c>
      <c r="AV696" t="s">
        <v>79</v>
      </c>
      <c r="AY696">
        <v>0</v>
      </c>
    </row>
    <row r="697" spans="1:52" ht="12.75">
      <c r="A697" s="2" t="str">
        <f>HYPERLINK("https://ibp.a2mac1.com/costing(costing:projects/details/8191/assembly/5388914)","Window")</f>
        <v>Window</v>
      </c>
      <c r="B697">
        <v>5388914</v>
      </c>
      <c r="D697">
        <v>5388590</v>
      </c>
      <c r="E697" t="e">
        <v>#VALUE!</v>
      </c>
      <c r="F697">
        <v>1</v>
      </c>
      <c r="G697">
        <v>0</v>
      </c>
      <c r="H697">
        <v>0</v>
      </c>
      <c r="I697">
        <v>0</v>
      </c>
      <c r="J697" t="s">
        <v>90</v>
      </c>
      <c r="K697">
        <v>0</v>
      </c>
      <c r="L697">
        <v>0</v>
      </c>
      <c r="M697">
        <v>0</v>
      </c>
      <c r="N697">
        <v>9.3513496393789612</v>
      </c>
      <c r="O697">
        <v>9.3513496393789612</v>
      </c>
      <c r="P697" t="s">
        <v>90</v>
      </c>
      <c r="Q697">
        <v>0</v>
      </c>
      <c r="R697" t="s">
        <v>90</v>
      </c>
      <c r="S697">
        <v>0</v>
      </c>
      <c r="T697" t="s">
        <v>90</v>
      </c>
      <c r="U697">
        <v>0</v>
      </c>
      <c r="V697" t="s">
        <v>90</v>
      </c>
      <c r="W697">
        <v>0</v>
      </c>
      <c r="X697" t="s">
        <v>90</v>
      </c>
      <c r="Y697">
        <v>0</v>
      </c>
      <c r="Z697">
        <v>9.3513496393789612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930</v>
      </c>
      <c r="AJ697">
        <v>528</v>
      </c>
      <c r="AK697">
        <v>0</v>
      </c>
      <c r="AL697">
        <v>3.4540000000000002</v>
      </c>
      <c r="AN697" t="s">
        <v>223</v>
      </c>
      <c r="AO697" t="s">
        <v>92</v>
      </c>
      <c r="AP697">
        <v>200000</v>
      </c>
      <c r="AQ697" t="s">
        <v>92</v>
      </c>
      <c r="AS697">
        <v>10000</v>
      </c>
      <c r="AT697" t="s">
        <v>9</v>
      </c>
      <c r="AU697" t="s">
        <v>78</v>
      </c>
      <c r="AV697" t="s">
        <v>79</v>
      </c>
      <c r="AY697">
        <v>0</v>
      </c>
    </row>
    <row r="698" spans="1:52" ht="12.75">
      <c r="A698" s="2" t="str">
        <f>HYPERLINK("https://ibp.a2mac1.com/costing(costing:projects/details/8191/assembly/5388590)","Window")</f>
        <v>Window</v>
      </c>
      <c r="B698">
        <v>5388590</v>
      </c>
      <c r="D698">
        <v>5388244</v>
      </c>
      <c r="E698" t="e">
        <v>#VALUE!</v>
      </c>
      <c r="F698">
        <v>1</v>
      </c>
      <c r="G698">
        <v>0</v>
      </c>
      <c r="H698">
        <v>9.3513496393789612</v>
      </c>
      <c r="I698">
        <v>0.04699170673054754</v>
      </c>
      <c r="J698" t="s">
        <v>137</v>
      </c>
      <c r="K698">
        <v>0.32729723737826366</v>
      </c>
      <c r="L698">
        <v>9.7256385834877719</v>
      </c>
      <c r="M698">
        <v>0</v>
      </c>
      <c r="N698">
        <v>0</v>
      </c>
      <c r="O698">
        <v>9.7256385834877719</v>
      </c>
      <c r="P698" t="s">
        <v>138</v>
      </c>
      <c r="Q698">
        <v>0.58353831500926634</v>
      </c>
      <c r="R698" t="s">
        <v>138</v>
      </c>
      <c r="S698">
        <v>0</v>
      </c>
      <c r="T698" t="s">
        <v>139</v>
      </c>
      <c r="U698">
        <v>1.1670766300185327</v>
      </c>
      <c r="V698" t="s">
        <v>90</v>
      </c>
      <c r="W698">
        <v>0</v>
      </c>
      <c r="X698" t="s">
        <v>90</v>
      </c>
      <c r="Y698">
        <v>0</v>
      </c>
      <c r="Z698">
        <v>11.476253528515571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615</v>
      </c>
      <c r="AJ698">
        <v>530</v>
      </c>
      <c r="AK698">
        <v>0</v>
      </c>
      <c r="AL698">
        <v>2.544</v>
      </c>
      <c r="AN698" t="s">
        <v>5825</v>
      </c>
      <c r="AO698" t="s">
        <v>92</v>
      </c>
      <c r="AP698">
        <v>200000</v>
      </c>
      <c r="AQ698" t="s">
        <v>76</v>
      </c>
      <c r="AS698">
        <v>10000</v>
      </c>
      <c r="AT698" t="s">
        <v>9</v>
      </c>
      <c r="AU698" t="s">
        <v>78</v>
      </c>
      <c r="AV698" t="s">
        <v>79</v>
      </c>
      <c r="AY698">
        <v>0</v>
      </c>
    </row>
    <row r="699" spans="1:52" ht="12.75">
      <c r="A699" s="2" t="str">
        <f>HYPERLINK("https://ibp.a2mac1.com/costing(costing:projects/details/8191/assembly/5388591)","Fastners")</f>
        <v>Fastners</v>
      </c>
      <c r="B699">
        <v>5388591</v>
      </c>
      <c r="D699">
        <v>5388244</v>
      </c>
      <c r="F699">
        <v>1</v>
      </c>
      <c r="G699">
        <v>0</v>
      </c>
      <c r="H699">
        <v>0.11999</v>
      </c>
      <c r="I699">
        <v>0</v>
      </c>
      <c r="J699" t="s">
        <v>90</v>
      </c>
      <c r="K699">
        <v>0</v>
      </c>
      <c r="L699">
        <v>0.11999</v>
      </c>
      <c r="M699">
        <v>0</v>
      </c>
      <c r="N699">
        <v>0</v>
      </c>
      <c r="O699">
        <v>0.11999</v>
      </c>
      <c r="P699" t="s">
        <v>90</v>
      </c>
      <c r="Q699">
        <v>0</v>
      </c>
      <c r="R699" t="s">
        <v>90</v>
      </c>
      <c r="S699">
        <v>0</v>
      </c>
      <c r="T699" t="s">
        <v>90</v>
      </c>
      <c r="U699">
        <v>0</v>
      </c>
      <c r="V699" t="s">
        <v>90</v>
      </c>
      <c r="W699">
        <v>0</v>
      </c>
      <c r="X699" t="s">
        <v>90</v>
      </c>
      <c r="Y699">
        <v>0</v>
      </c>
      <c r="Z699">
        <v>0.11999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N699" t="s">
        <v>223</v>
      </c>
      <c r="AO699" t="s">
        <v>92</v>
      </c>
      <c r="AP699">
        <v>200000</v>
      </c>
      <c r="AQ699" t="s">
        <v>92</v>
      </c>
      <c r="AR699">
        <v>0</v>
      </c>
      <c r="AS699">
        <v>10000</v>
      </c>
      <c r="AT699" t="s">
        <v>9</v>
      </c>
      <c r="AU699" t="s">
        <v>78</v>
      </c>
      <c r="AV699" t="s">
        <v>79</v>
      </c>
      <c r="AY699">
        <v>0</v>
      </c>
    </row>
    <row r="700" spans="1:52" ht="12.75">
      <c r="A700" s="2" t="str">
        <f>HYPERLINK("https://ibp.a2mac1.com/costing(costing:projects/details/8191/assembly/5388244)","Window System")</f>
        <v>Window System</v>
      </c>
      <c r="B700">
        <v>5388244</v>
      </c>
      <c r="D700">
        <v>5388139</v>
      </c>
      <c r="F700">
        <v>1</v>
      </c>
      <c r="G700">
        <v>0</v>
      </c>
      <c r="H700">
        <v>31.485054404042234</v>
      </c>
      <c r="I700">
        <v>0</v>
      </c>
      <c r="J700" t="s">
        <v>90</v>
      </c>
      <c r="K700">
        <v>0</v>
      </c>
      <c r="L700">
        <v>31.485054404042234</v>
      </c>
      <c r="M700">
        <v>0</v>
      </c>
      <c r="N700">
        <v>0.39420764387300394</v>
      </c>
      <c r="O700">
        <v>31.87926204791524</v>
      </c>
      <c r="P700" t="s">
        <v>90</v>
      </c>
      <c r="Q700">
        <v>0</v>
      </c>
      <c r="R700" t="s">
        <v>90</v>
      </c>
      <c r="S700">
        <v>0</v>
      </c>
      <c r="T700" t="s">
        <v>90</v>
      </c>
      <c r="U700">
        <v>0</v>
      </c>
      <c r="V700" t="s">
        <v>90</v>
      </c>
      <c r="W700">
        <v>0</v>
      </c>
      <c r="X700" t="s">
        <v>90</v>
      </c>
      <c r="Y700">
        <v>0</v>
      </c>
      <c r="Z700">
        <v>31.87926204791524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L700">
        <v>4.6759000000000004</v>
      </c>
      <c r="AN700" t="s">
        <v>223</v>
      </c>
      <c r="AO700" t="s">
        <v>92</v>
      </c>
      <c r="AP700">
        <v>200000</v>
      </c>
      <c r="AQ700" t="s">
        <v>76</v>
      </c>
      <c r="AS700">
        <v>10000</v>
      </c>
      <c r="AT700" t="s">
        <v>9</v>
      </c>
      <c r="AU700" t="s">
        <v>78</v>
      </c>
      <c r="AV700" t="s">
        <v>79</v>
      </c>
      <c r="AY700">
        <v>0</v>
      </c>
    </row>
    <row r="701" spans="1:52" ht="12.75">
      <c r="A701" s="2" t="str">
        <f>HYPERLINK("https://ibp.a2mac1.com/costing(costing:projects/details/8191/assembly/5388595)","Door Weather Stripping")</f>
        <v>Door Weather Stripping</v>
      </c>
      <c r="B701">
        <v>5388595</v>
      </c>
      <c r="D701">
        <v>5388245</v>
      </c>
      <c r="F701">
        <v>1</v>
      </c>
      <c r="G701">
        <v>0</v>
      </c>
      <c r="H701">
        <v>6.045218164763325</v>
      </c>
      <c r="I701">
        <v>0</v>
      </c>
      <c r="J701" t="s">
        <v>90</v>
      </c>
      <c r="K701">
        <v>0</v>
      </c>
      <c r="L701">
        <v>6.045218164763325</v>
      </c>
      <c r="M701">
        <v>0</v>
      </c>
      <c r="N701">
        <v>0</v>
      </c>
      <c r="O701">
        <v>6.045218164763325</v>
      </c>
      <c r="P701" t="s">
        <v>90</v>
      </c>
      <c r="Q701">
        <v>0</v>
      </c>
      <c r="R701" t="s">
        <v>90</v>
      </c>
      <c r="S701">
        <v>0</v>
      </c>
      <c r="T701" t="s">
        <v>90</v>
      </c>
      <c r="U701">
        <v>0</v>
      </c>
      <c r="V701" t="s">
        <v>90</v>
      </c>
      <c r="W701">
        <v>0</v>
      </c>
      <c r="X701" t="s">
        <v>90</v>
      </c>
      <c r="Y701">
        <v>0</v>
      </c>
      <c r="Z701">
        <v>6.045218164763325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L701">
        <v>1.7130000000000001</v>
      </c>
      <c r="AN701" t="s">
        <v>223</v>
      </c>
      <c r="AO701" t="s">
        <v>92</v>
      </c>
      <c r="AP701">
        <v>200000</v>
      </c>
      <c r="AQ701" t="s">
        <v>92</v>
      </c>
      <c r="AS701">
        <v>10000</v>
      </c>
      <c r="AT701" t="s">
        <v>9</v>
      </c>
      <c r="AU701" t="s">
        <v>78</v>
      </c>
      <c r="AV701" t="s">
        <v>79</v>
      </c>
      <c r="AY701">
        <v>0</v>
      </c>
    </row>
    <row r="702" spans="1:52" ht="12.75">
      <c r="A702" s="2" t="str">
        <f>HYPERLINK("https://ibp.a2mac1.com/costing(costing:projects/details/8191/assembly/5388245)","Sealing System")</f>
        <v>Sealing System</v>
      </c>
      <c r="B702">
        <v>5388245</v>
      </c>
      <c r="D702">
        <v>5388139</v>
      </c>
      <c r="F702">
        <v>1</v>
      </c>
      <c r="G702">
        <v>0</v>
      </c>
      <c r="H702">
        <v>10.321910932297021</v>
      </c>
      <c r="I702">
        <v>0</v>
      </c>
      <c r="J702" t="s">
        <v>90</v>
      </c>
      <c r="K702">
        <v>0</v>
      </c>
      <c r="L702">
        <v>10.321910932297021</v>
      </c>
      <c r="M702">
        <v>0</v>
      </c>
      <c r="N702">
        <v>0</v>
      </c>
      <c r="O702">
        <v>10.321910932297021</v>
      </c>
      <c r="P702" t="s">
        <v>90</v>
      </c>
      <c r="Q702">
        <v>0</v>
      </c>
      <c r="R702" t="s">
        <v>90</v>
      </c>
      <c r="S702">
        <v>0</v>
      </c>
      <c r="T702" t="s">
        <v>90</v>
      </c>
      <c r="U702">
        <v>0</v>
      </c>
      <c r="V702" t="s">
        <v>90</v>
      </c>
      <c r="W702">
        <v>0</v>
      </c>
      <c r="X702" t="s">
        <v>90</v>
      </c>
      <c r="Y702">
        <v>0</v>
      </c>
      <c r="Z702">
        <v>10.321910932297021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L702">
        <v>2.766</v>
      </c>
      <c r="AN702" t="s">
        <v>223</v>
      </c>
      <c r="AO702" t="s">
        <v>92</v>
      </c>
      <c r="AP702">
        <v>200000</v>
      </c>
      <c r="AQ702" t="s">
        <v>92</v>
      </c>
      <c r="AS702">
        <v>10000</v>
      </c>
      <c r="AT702" t="s">
        <v>6030</v>
      </c>
      <c r="AU702" t="s">
        <v>78</v>
      </c>
      <c r="AV702" t="s">
        <v>79</v>
      </c>
      <c r="AY702">
        <v>0</v>
      </c>
    </row>
    <row r="703" spans="1:52" ht="12.75">
      <c r="A703" s="2" t="str">
        <f>HYPERLINK("https://ibp.a2mac1.com/costing(costing:projects/details/8191/assembly/5388917)","On Body")</f>
        <v>On Body</v>
      </c>
      <c r="B703">
        <v>5388917</v>
      </c>
      <c r="D703">
        <v>5388597</v>
      </c>
      <c r="F703">
        <v>1</v>
      </c>
      <c r="G703">
        <v>0</v>
      </c>
      <c r="H703">
        <v>0.15138325000563416</v>
      </c>
      <c r="I703">
        <v>0</v>
      </c>
      <c r="J703" t="s">
        <v>90</v>
      </c>
      <c r="K703">
        <v>0</v>
      </c>
      <c r="L703">
        <v>0.15138325000563416</v>
      </c>
      <c r="M703">
        <v>0</v>
      </c>
      <c r="N703">
        <v>0</v>
      </c>
      <c r="O703">
        <v>0.15138325000563416</v>
      </c>
      <c r="P703" t="s">
        <v>90</v>
      </c>
      <c r="Q703">
        <v>0</v>
      </c>
      <c r="R703" t="s">
        <v>90</v>
      </c>
      <c r="S703">
        <v>0</v>
      </c>
      <c r="T703" t="s">
        <v>90</v>
      </c>
      <c r="U703">
        <v>0</v>
      </c>
      <c r="V703" t="s">
        <v>90</v>
      </c>
      <c r="W703">
        <v>0</v>
      </c>
      <c r="X703" t="s">
        <v>90</v>
      </c>
      <c r="Y703">
        <v>0</v>
      </c>
      <c r="Z703">
        <v>0.15138325000563416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69</v>
      </c>
      <c r="AI703">
        <v>56</v>
      </c>
      <c r="AJ703">
        <v>26</v>
      </c>
      <c r="AL703">
        <v>0.20699999999999999</v>
      </c>
      <c r="AM703" t="s">
        <v>685</v>
      </c>
      <c r="AN703" t="s">
        <v>223</v>
      </c>
      <c r="AO703" t="s">
        <v>92</v>
      </c>
      <c r="AP703">
        <v>200000</v>
      </c>
      <c r="AQ703" t="s">
        <v>92</v>
      </c>
      <c r="AS703">
        <v>10000</v>
      </c>
      <c r="AT703" t="s">
        <v>9</v>
      </c>
      <c r="AU703" t="s">
        <v>78</v>
      </c>
      <c r="AV703" t="s">
        <v>79</v>
      </c>
      <c r="AY703">
        <v>0</v>
      </c>
    </row>
    <row r="704" spans="1:52" ht="12.75">
      <c r="A704" s="2" t="str">
        <f>HYPERLINK("https://ibp.a2mac1.com/costing(costing:projects/details/8191/assembly/5388918)","On Door")</f>
        <v>On Door</v>
      </c>
      <c r="B704">
        <v>5388918</v>
      </c>
      <c r="D704">
        <v>5388597</v>
      </c>
      <c r="F704">
        <v>1</v>
      </c>
      <c r="G704">
        <v>0</v>
      </c>
      <c r="H704">
        <v>0.093955374500634153</v>
      </c>
      <c r="I704">
        <v>0</v>
      </c>
      <c r="J704" t="s">
        <v>90</v>
      </c>
      <c r="K704">
        <v>0</v>
      </c>
      <c r="L704">
        <v>0.093955374500634153</v>
      </c>
      <c r="M704">
        <v>0</v>
      </c>
      <c r="N704">
        <v>0</v>
      </c>
      <c r="O704">
        <v>0.093955374500634153</v>
      </c>
      <c r="P704" t="s">
        <v>90</v>
      </c>
      <c r="Q704">
        <v>0</v>
      </c>
      <c r="R704" t="s">
        <v>90</v>
      </c>
      <c r="S704">
        <v>0</v>
      </c>
      <c r="T704" t="s">
        <v>90</v>
      </c>
      <c r="U704">
        <v>0</v>
      </c>
      <c r="V704" t="s">
        <v>90</v>
      </c>
      <c r="W704">
        <v>0</v>
      </c>
      <c r="X704" t="s">
        <v>90</v>
      </c>
      <c r="Y704">
        <v>0</v>
      </c>
      <c r="Z704">
        <v>0.093955374500634153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34</v>
      </c>
      <c r="AI704">
        <v>50</v>
      </c>
      <c r="AJ704">
        <v>52</v>
      </c>
      <c r="AL704">
        <v>0.111</v>
      </c>
      <c r="AN704" t="s">
        <v>223</v>
      </c>
      <c r="AO704" t="s">
        <v>92</v>
      </c>
      <c r="AP704">
        <v>200000</v>
      </c>
      <c r="AQ704" t="s">
        <v>92</v>
      </c>
      <c r="AS704">
        <v>10000</v>
      </c>
      <c r="AT704" t="s">
        <v>9</v>
      </c>
      <c r="AU704" t="s">
        <v>78</v>
      </c>
      <c r="AV704" t="s">
        <v>79</v>
      </c>
      <c r="AY704">
        <v>0</v>
      </c>
    </row>
    <row r="705" spans="1:52" ht="12.75">
      <c r="A705" s="2" t="str">
        <f>HYPERLINK("https://ibp.a2mac1.com/costing(costing:projects/details/8191/assembly/5388919)","Fastners")</f>
        <v>Fastners</v>
      </c>
      <c r="B705">
        <v>5388919</v>
      </c>
      <c r="D705">
        <v>5388597</v>
      </c>
      <c r="F705">
        <v>1</v>
      </c>
      <c r="G705">
        <v>0</v>
      </c>
      <c r="H705">
        <v>0.018460000000000001</v>
      </c>
      <c r="I705">
        <v>0</v>
      </c>
      <c r="J705" t="s">
        <v>90</v>
      </c>
      <c r="K705">
        <v>0</v>
      </c>
      <c r="L705">
        <v>0.018460000000000001</v>
      </c>
      <c r="M705">
        <v>0</v>
      </c>
      <c r="N705">
        <v>0</v>
      </c>
      <c r="O705">
        <v>0.018460000000000001</v>
      </c>
      <c r="P705" t="s">
        <v>90</v>
      </c>
      <c r="Q705">
        <v>0</v>
      </c>
      <c r="R705" t="s">
        <v>90</v>
      </c>
      <c r="S705">
        <v>0</v>
      </c>
      <c r="T705" t="s">
        <v>90</v>
      </c>
      <c r="U705">
        <v>0</v>
      </c>
      <c r="V705" t="s">
        <v>90</v>
      </c>
      <c r="W705">
        <v>0</v>
      </c>
      <c r="X705" t="s">
        <v>90</v>
      </c>
      <c r="Y705">
        <v>0</v>
      </c>
      <c r="Z705">
        <v>0.018460000000000001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N705" t="s">
        <v>223</v>
      </c>
      <c r="AO705" t="s">
        <v>92</v>
      </c>
      <c r="AP705">
        <v>200000</v>
      </c>
      <c r="AQ705" t="s">
        <v>76</v>
      </c>
      <c r="AR705">
        <v>0</v>
      </c>
      <c r="AS705">
        <v>10000</v>
      </c>
      <c r="AT705" t="s">
        <v>9</v>
      </c>
      <c r="AU705" t="s">
        <v>78</v>
      </c>
      <c r="AV705" t="s">
        <v>79</v>
      </c>
      <c r="AY705">
        <v>0</v>
      </c>
    </row>
    <row r="706" spans="1:52" ht="12.75">
      <c r="A706" s="2" t="str">
        <f>HYPERLINK("https://ibp.a2mac1.com/costing(costing:projects/details/8191/assembly/5388597)","Upper")</f>
        <v>Upper</v>
      </c>
      <c r="B706">
        <v>5388597</v>
      </c>
      <c r="D706">
        <v>5388246</v>
      </c>
      <c r="F706">
        <v>1</v>
      </c>
      <c r="G706">
        <v>0</v>
      </c>
      <c r="H706">
        <v>0.26379862450626834</v>
      </c>
      <c r="I706">
        <v>0.0013256212286747151</v>
      </c>
      <c r="J706" t="s">
        <v>137</v>
      </c>
      <c r="K706">
        <v>0.0092329518577193917</v>
      </c>
      <c r="L706">
        <v>0.27435719759266242</v>
      </c>
      <c r="M706">
        <v>0</v>
      </c>
      <c r="N706">
        <v>0</v>
      </c>
      <c r="O706">
        <v>0.27435719759266242</v>
      </c>
      <c r="P706" t="s">
        <v>138</v>
      </c>
      <c r="Q706">
        <v>0.016461431855559747</v>
      </c>
      <c r="R706" t="s">
        <v>138</v>
      </c>
      <c r="S706">
        <v>0</v>
      </c>
      <c r="T706" t="s">
        <v>139</v>
      </c>
      <c r="U706">
        <v>0.032922863711119493</v>
      </c>
      <c r="V706" t="s">
        <v>90</v>
      </c>
      <c r="W706">
        <v>0</v>
      </c>
      <c r="X706" t="s">
        <v>90</v>
      </c>
      <c r="Y706">
        <v>0</v>
      </c>
      <c r="Z706">
        <v>0.32374149315934164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L706">
        <v>0.34</v>
      </c>
      <c r="AN706" t="s">
        <v>4765</v>
      </c>
      <c r="AO706" t="s">
        <v>92</v>
      </c>
      <c r="AP706">
        <v>200000</v>
      </c>
      <c r="AQ706" t="s">
        <v>76</v>
      </c>
      <c r="AS706">
        <v>10000</v>
      </c>
      <c r="AT706" t="s">
        <v>9</v>
      </c>
      <c r="AU706" t="s">
        <v>78</v>
      </c>
      <c r="AV706" t="s">
        <v>79</v>
      </c>
      <c r="AY706">
        <v>0</v>
      </c>
    </row>
    <row r="707" spans="1:52" ht="12.75">
      <c r="A707" s="2" t="str">
        <f>HYPERLINK("https://ibp.a2mac1.com/costing(costing:projects/details/8191/assembly/5388920)","On Body")</f>
        <v>On Body</v>
      </c>
      <c r="B707">
        <v>5388920</v>
      </c>
      <c r="D707">
        <v>5388598</v>
      </c>
      <c r="F707">
        <v>1</v>
      </c>
      <c r="G707">
        <v>0</v>
      </c>
      <c r="H707">
        <v>0.16107886535063415</v>
      </c>
      <c r="I707">
        <v>0</v>
      </c>
      <c r="J707" t="s">
        <v>90</v>
      </c>
      <c r="K707">
        <v>0</v>
      </c>
      <c r="L707">
        <v>0.16107886535063415</v>
      </c>
      <c r="M707">
        <v>0</v>
      </c>
      <c r="N707">
        <v>0</v>
      </c>
      <c r="O707">
        <v>0.16107886535063415</v>
      </c>
      <c r="P707" t="s">
        <v>90</v>
      </c>
      <c r="Q707">
        <v>0</v>
      </c>
      <c r="R707" t="s">
        <v>90</v>
      </c>
      <c r="S707">
        <v>0</v>
      </c>
      <c r="T707" t="s">
        <v>90</v>
      </c>
      <c r="U707">
        <v>0</v>
      </c>
      <c r="V707" t="s">
        <v>90</v>
      </c>
      <c r="W707">
        <v>0</v>
      </c>
      <c r="X707" t="s">
        <v>90</v>
      </c>
      <c r="Y707">
        <v>0</v>
      </c>
      <c r="Z707">
        <v>0.16107886535063415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69</v>
      </c>
      <c r="AI707">
        <v>56</v>
      </c>
      <c r="AJ707">
        <v>26</v>
      </c>
      <c r="AL707">
        <v>0.187</v>
      </c>
      <c r="AM707" t="s">
        <v>685</v>
      </c>
      <c r="AN707" t="s">
        <v>223</v>
      </c>
      <c r="AO707" t="s">
        <v>92</v>
      </c>
      <c r="AP707">
        <v>200000</v>
      </c>
      <c r="AQ707" t="s">
        <v>92</v>
      </c>
      <c r="AS707">
        <v>10000</v>
      </c>
      <c r="AT707" t="s">
        <v>9</v>
      </c>
      <c r="AU707" t="s">
        <v>78</v>
      </c>
      <c r="AV707" t="s">
        <v>79</v>
      </c>
      <c r="AY707">
        <v>0</v>
      </c>
    </row>
    <row r="708" spans="1:52" ht="12.75">
      <c r="A708" s="2" t="str">
        <f>HYPERLINK("https://ibp.a2mac1.com/costing(costing:projects/details/8191/assembly/5388921)","On Door")</f>
        <v>On Door</v>
      </c>
      <c r="B708">
        <v>5388921</v>
      </c>
      <c r="D708">
        <v>5388598</v>
      </c>
      <c r="F708">
        <v>1</v>
      </c>
      <c r="G708">
        <v>0</v>
      </c>
      <c r="H708">
        <v>0.079039043200634165</v>
      </c>
      <c r="I708">
        <v>0</v>
      </c>
      <c r="J708" t="s">
        <v>90</v>
      </c>
      <c r="K708">
        <v>0</v>
      </c>
      <c r="L708">
        <v>0.079039043200634165</v>
      </c>
      <c r="M708">
        <v>0</v>
      </c>
      <c r="N708">
        <v>0</v>
      </c>
      <c r="O708">
        <v>0.079039043200634165</v>
      </c>
      <c r="P708" t="s">
        <v>90</v>
      </c>
      <c r="Q708">
        <v>0</v>
      </c>
      <c r="R708" t="s">
        <v>90</v>
      </c>
      <c r="S708">
        <v>0</v>
      </c>
      <c r="T708" t="s">
        <v>90</v>
      </c>
      <c r="U708">
        <v>0</v>
      </c>
      <c r="V708" t="s">
        <v>90</v>
      </c>
      <c r="W708">
        <v>0</v>
      </c>
      <c r="X708" t="s">
        <v>90</v>
      </c>
      <c r="Y708">
        <v>0</v>
      </c>
      <c r="Z708">
        <v>0.079039043200634165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34</v>
      </c>
      <c r="AI708">
        <v>50</v>
      </c>
      <c r="AJ708">
        <v>52</v>
      </c>
      <c r="AL708">
        <v>0.11</v>
      </c>
      <c r="AN708" t="s">
        <v>223</v>
      </c>
      <c r="AO708" t="s">
        <v>92</v>
      </c>
      <c r="AP708">
        <v>200000</v>
      </c>
      <c r="AQ708" t="s">
        <v>92</v>
      </c>
      <c r="AS708">
        <v>10000</v>
      </c>
      <c r="AT708" t="s">
        <v>9</v>
      </c>
      <c r="AU708" t="s">
        <v>78</v>
      </c>
      <c r="AV708" t="s">
        <v>79</v>
      </c>
      <c r="AY708">
        <v>0</v>
      </c>
    </row>
    <row r="709" spans="1:52" ht="12.75">
      <c r="A709" s="2" t="str">
        <f>HYPERLINK("https://ibp.a2mac1.com/costing(costing:projects/details/8191/assembly/5388922)","Fastners")</f>
        <v>Fastners</v>
      </c>
      <c r="B709">
        <v>5388922</v>
      </c>
      <c r="D709">
        <v>5388598</v>
      </c>
      <c r="F709">
        <v>1</v>
      </c>
      <c r="G709">
        <v>0</v>
      </c>
      <c r="H709">
        <v>0.018460000000000001</v>
      </c>
      <c r="I709">
        <v>0</v>
      </c>
      <c r="J709" t="s">
        <v>90</v>
      </c>
      <c r="K709">
        <v>0</v>
      </c>
      <c r="L709">
        <v>0.018460000000000001</v>
      </c>
      <c r="M709">
        <v>0</v>
      </c>
      <c r="N709">
        <v>0</v>
      </c>
      <c r="O709">
        <v>0.018460000000000001</v>
      </c>
      <c r="P709" t="s">
        <v>90</v>
      </c>
      <c r="Q709">
        <v>0</v>
      </c>
      <c r="R709" t="s">
        <v>90</v>
      </c>
      <c r="S709">
        <v>0</v>
      </c>
      <c r="T709" t="s">
        <v>90</v>
      </c>
      <c r="U709">
        <v>0</v>
      </c>
      <c r="V709" t="s">
        <v>90</v>
      </c>
      <c r="W709">
        <v>0</v>
      </c>
      <c r="X709" t="s">
        <v>90</v>
      </c>
      <c r="Y709">
        <v>0</v>
      </c>
      <c r="Z709">
        <v>0.018460000000000001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N709" t="s">
        <v>223</v>
      </c>
      <c r="AO709" t="s">
        <v>92</v>
      </c>
      <c r="AP709">
        <v>200000</v>
      </c>
      <c r="AQ709" t="s">
        <v>76</v>
      </c>
      <c r="AR709">
        <v>0</v>
      </c>
      <c r="AS709">
        <v>10000</v>
      </c>
      <c r="AT709" t="s">
        <v>9</v>
      </c>
      <c r="AU709" t="s">
        <v>78</v>
      </c>
      <c r="AV709" t="s">
        <v>79</v>
      </c>
      <c r="AY709">
        <v>0</v>
      </c>
    </row>
    <row r="710" spans="1:52" ht="12.75">
      <c r="A710" s="2" t="str">
        <f>HYPERLINK("https://ibp.a2mac1.com/costing(costing:projects/details/8191/assembly/5388598)","Lower")</f>
        <v>Lower</v>
      </c>
      <c r="B710">
        <v>5388598</v>
      </c>
      <c r="D710">
        <v>5388246</v>
      </c>
      <c r="F710">
        <v>1</v>
      </c>
      <c r="G710">
        <v>0</v>
      </c>
      <c r="H710">
        <v>0.25857790855126833</v>
      </c>
      <c r="I710">
        <v>0.0012993864751320017</v>
      </c>
      <c r="J710" t="s">
        <v>137</v>
      </c>
      <c r="K710">
        <v>0.0090502267992943908</v>
      </c>
      <c r="L710">
        <v>0.26892752182569474</v>
      </c>
      <c r="M710">
        <v>0</v>
      </c>
      <c r="N710">
        <v>0</v>
      </c>
      <c r="O710">
        <v>0.26892752182569474</v>
      </c>
      <c r="P710" t="s">
        <v>138</v>
      </c>
      <c r="Q710">
        <v>0.016135651309541681</v>
      </c>
      <c r="R710" t="s">
        <v>138</v>
      </c>
      <c r="S710">
        <v>0</v>
      </c>
      <c r="T710" t="s">
        <v>139</v>
      </c>
      <c r="U710">
        <v>0.032271302619083363</v>
      </c>
      <c r="V710" t="s">
        <v>90</v>
      </c>
      <c r="W710">
        <v>0</v>
      </c>
      <c r="X710" t="s">
        <v>90</v>
      </c>
      <c r="Y710">
        <v>0</v>
      </c>
      <c r="Z710">
        <v>0.31733447575431978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L710">
        <v>0.31900000000000001</v>
      </c>
      <c r="AN710" t="s">
        <v>4765</v>
      </c>
      <c r="AO710" t="s">
        <v>92</v>
      </c>
      <c r="AP710">
        <v>200000</v>
      </c>
      <c r="AQ710" t="s">
        <v>76</v>
      </c>
      <c r="AS710">
        <v>10000</v>
      </c>
      <c r="AT710" t="s">
        <v>9</v>
      </c>
      <c r="AU710" t="s">
        <v>78</v>
      </c>
      <c r="AV710" t="s">
        <v>79</v>
      </c>
      <c r="AY710">
        <v>0</v>
      </c>
    </row>
    <row r="711" spans="1:52" ht="12.75">
      <c r="A711" s="2" t="str">
        <f>HYPERLINK("https://ibp.a2mac1.com/costing(costing:projects/details/8191/assembly/5388599)","Fastners")</f>
        <v>Fastners</v>
      </c>
      <c r="B711">
        <v>5388599</v>
      </c>
      <c r="D711">
        <v>5388246</v>
      </c>
      <c r="F711">
        <v>1</v>
      </c>
      <c r="G711">
        <v>0</v>
      </c>
      <c r="H711">
        <v>0.03</v>
      </c>
      <c r="I711">
        <v>0</v>
      </c>
      <c r="J711" t="s">
        <v>90</v>
      </c>
      <c r="K711">
        <v>0</v>
      </c>
      <c r="L711">
        <v>0.03</v>
      </c>
      <c r="M711">
        <v>0</v>
      </c>
      <c r="N711">
        <v>0</v>
      </c>
      <c r="O711">
        <v>0.03</v>
      </c>
      <c r="P711" t="s">
        <v>90</v>
      </c>
      <c r="Q711">
        <v>0</v>
      </c>
      <c r="R711" t="s">
        <v>90</v>
      </c>
      <c r="S711">
        <v>0</v>
      </c>
      <c r="T711" t="s">
        <v>90</v>
      </c>
      <c r="U711">
        <v>0</v>
      </c>
      <c r="V711" t="s">
        <v>90</v>
      </c>
      <c r="W711">
        <v>0</v>
      </c>
      <c r="X711" t="s">
        <v>90</v>
      </c>
      <c r="Y711">
        <v>0</v>
      </c>
      <c r="Z711">
        <v>0.03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N711" t="s">
        <v>223</v>
      </c>
      <c r="AO711" t="s">
        <v>92</v>
      </c>
      <c r="AP711">
        <v>200000</v>
      </c>
      <c r="AQ711" t="s">
        <v>76</v>
      </c>
      <c r="AR711">
        <v>0</v>
      </c>
      <c r="AS711">
        <v>10000</v>
      </c>
      <c r="AT711" t="s">
        <v>9</v>
      </c>
      <c r="AU711" t="s">
        <v>78</v>
      </c>
      <c r="AV711" t="s">
        <v>79</v>
      </c>
      <c r="AY711">
        <v>0</v>
      </c>
    </row>
    <row r="712" spans="1:52" ht="12.75">
      <c r="A712" s="2" t="str">
        <f>HYPERLINK("https://ibp.a2mac1.com/costing(costing:projects/details/8191/assembly/5388246)","Hinges")</f>
        <v>Hinges</v>
      </c>
      <c r="B712">
        <v>5388246</v>
      </c>
      <c r="D712">
        <v>5388139</v>
      </c>
      <c r="F712">
        <v>1</v>
      </c>
      <c r="G712">
        <v>0</v>
      </c>
      <c r="H712">
        <v>2.7472459689136612</v>
      </c>
      <c r="I712">
        <v>0</v>
      </c>
      <c r="J712" t="s">
        <v>90</v>
      </c>
      <c r="K712">
        <v>0</v>
      </c>
      <c r="L712">
        <v>2.7472459689136612</v>
      </c>
      <c r="M712">
        <v>0</v>
      </c>
      <c r="N712">
        <v>0</v>
      </c>
      <c r="O712">
        <v>2.7472459689136612</v>
      </c>
      <c r="P712" t="s">
        <v>90</v>
      </c>
      <c r="Q712">
        <v>0</v>
      </c>
      <c r="R712" t="s">
        <v>90</v>
      </c>
      <c r="S712">
        <v>0</v>
      </c>
      <c r="T712" t="s">
        <v>90</v>
      </c>
      <c r="U712">
        <v>0</v>
      </c>
      <c r="V712" t="s">
        <v>90</v>
      </c>
      <c r="W712">
        <v>0</v>
      </c>
      <c r="X712" t="s">
        <v>90</v>
      </c>
      <c r="Y712">
        <v>0</v>
      </c>
      <c r="Z712">
        <v>2.7472459689136612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L712">
        <v>0.83399999999999996</v>
      </c>
      <c r="AN712" t="s">
        <v>223</v>
      </c>
      <c r="AO712" t="s">
        <v>92</v>
      </c>
      <c r="AP712">
        <v>200000</v>
      </c>
      <c r="AQ712" t="s">
        <v>92</v>
      </c>
      <c r="AS712">
        <v>10000</v>
      </c>
      <c r="AT712" t="s">
        <v>6049</v>
      </c>
      <c r="AU712" t="s">
        <v>78</v>
      </c>
      <c r="AV712" t="s">
        <v>79</v>
      </c>
      <c r="AY712">
        <v>0</v>
      </c>
    </row>
    <row r="713" spans="1:52" ht="12.75">
      <c r="A713" s="2" t="str">
        <f>HYPERLINK("https://ibp.a2mac1.com/costing(costing:projects/details/8191/assembly/5388605)","Door ECU")</f>
        <v>Door ECU</v>
      </c>
      <c r="B713">
        <v>5388605</v>
      </c>
      <c r="D713">
        <v>5388247</v>
      </c>
      <c r="F713">
        <v>1</v>
      </c>
      <c r="G713">
        <v>0</v>
      </c>
      <c r="H713">
        <v>7.1756335387435746</v>
      </c>
      <c r="I713">
        <v>0.036058459993686301</v>
      </c>
      <c r="J713" t="s">
        <v>137</v>
      </c>
      <c r="K713">
        <v>0.25114717385602509</v>
      </c>
      <c r="L713">
        <v>7.4628391725932852</v>
      </c>
      <c r="M713">
        <v>0</v>
      </c>
      <c r="N713">
        <v>1.2785334853101133</v>
      </c>
      <c r="O713">
        <v>8.7413726579033995</v>
      </c>
      <c r="P713" t="s">
        <v>138</v>
      </c>
      <c r="Q713">
        <v>0.44777035035559715</v>
      </c>
      <c r="R713" t="s">
        <v>138</v>
      </c>
      <c r="S713">
        <v>0.076712009118606803</v>
      </c>
      <c r="T713" t="s">
        <v>139</v>
      </c>
      <c r="U713">
        <v>1.0489647189484079</v>
      </c>
      <c r="V713" t="s">
        <v>90</v>
      </c>
      <c r="W713">
        <v>0</v>
      </c>
      <c r="X713" t="s">
        <v>90</v>
      </c>
      <c r="Y713">
        <v>0</v>
      </c>
      <c r="Z713">
        <v>10.314819736326012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41</v>
      </c>
      <c r="AI713">
        <v>102</v>
      </c>
      <c r="AJ713">
        <v>104</v>
      </c>
      <c r="AL713">
        <v>0.087999999999999995</v>
      </c>
      <c r="AM713" t="s">
        <v>1355</v>
      </c>
      <c r="AN713" t="s">
        <v>576</v>
      </c>
      <c r="AO713" t="s">
        <v>92</v>
      </c>
      <c r="AP713">
        <v>200000</v>
      </c>
      <c r="AQ713" t="s">
        <v>76</v>
      </c>
      <c r="AS713">
        <v>10000</v>
      </c>
      <c r="AT713" t="s">
        <v>9</v>
      </c>
      <c r="AU713" t="s">
        <v>78</v>
      </c>
      <c r="AV713" t="s">
        <v>79</v>
      </c>
      <c r="AY713">
        <v>0</v>
      </c>
    </row>
    <row r="714" spans="1:52" ht="12.75">
      <c r="A714" s="2" t="str">
        <f>HYPERLINK("https://ibp.a2mac1.com/costing(costing:projects/details/8191/assembly/5388606)","Fastners")</f>
        <v>Fastners</v>
      </c>
      <c r="B714">
        <v>5388606</v>
      </c>
      <c r="D714">
        <v>5388247</v>
      </c>
      <c r="F714">
        <v>1</v>
      </c>
      <c r="G714">
        <v>0</v>
      </c>
      <c r="H714">
        <v>0.018460000000000001</v>
      </c>
      <c r="I714">
        <v>0</v>
      </c>
      <c r="J714" t="s">
        <v>90</v>
      </c>
      <c r="K714">
        <v>0</v>
      </c>
      <c r="L714">
        <v>0.018460000000000001</v>
      </c>
      <c r="M714">
        <v>0</v>
      </c>
      <c r="N714">
        <v>0</v>
      </c>
      <c r="O714">
        <v>0.018460000000000001</v>
      </c>
      <c r="P714" t="s">
        <v>90</v>
      </c>
      <c r="Q714">
        <v>0</v>
      </c>
      <c r="R714" t="s">
        <v>90</v>
      </c>
      <c r="S714">
        <v>0</v>
      </c>
      <c r="T714" t="s">
        <v>90</v>
      </c>
      <c r="U714">
        <v>0</v>
      </c>
      <c r="V714" t="s">
        <v>90</v>
      </c>
      <c r="W714">
        <v>0</v>
      </c>
      <c r="X714" t="s">
        <v>90</v>
      </c>
      <c r="Y714">
        <v>0</v>
      </c>
      <c r="Z714">
        <v>0.018460000000000001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N714" t="s">
        <v>223</v>
      </c>
      <c r="AO714" t="s">
        <v>92</v>
      </c>
      <c r="AP714">
        <v>200000</v>
      </c>
      <c r="AQ714" t="s">
        <v>76</v>
      </c>
      <c r="AR714">
        <v>0</v>
      </c>
      <c r="AS714">
        <v>10000</v>
      </c>
      <c r="AT714" t="s">
        <v>9</v>
      </c>
      <c r="AU714" t="s">
        <v>78</v>
      </c>
      <c r="AV714" t="s">
        <v>79</v>
      </c>
      <c r="AY714">
        <v>0</v>
      </c>
    </row>
    <row r="715" spans="1:52" ht="12.75">
      <c r="A715" s="2" t="str">
        <f>HYPERLINK("https://ibp.a2mac1.com/costing(costing:projects/details/8191/assembly/5388247)","Power System")</f>
        <v>Power System</v>
      </c>
      <c r="B715">
        <v>5388247</v>
      </c>
      <c r="D715">
        <v>5388139</v>
      </c>
      <c r="F715">
        <v>1</v>
      </c>
      <c r="G715">
        <v>0</v>
      </c>
      <c r="H715">
        <v>23.593049736326012</v>
      </c>
      <c r="I715">
        <v>0</v>
      </c>
      <c r="J715" t="s">
        <v>90</v>
      </c>
      <c r="K715">
        <v>0</v>
      </c>
      <c r="L715">
        <v>23.593049736326012</v>
      </c>
      <c r="M715">
        <v>0</v>
      </c>
      <c r="N715">
        <v>0</v>
      </c>
      <c r="O715">
        <v>23.593049736326012</v>
      </c>
      <c r="P715" t="s">
        <v>90</v>
      </c>
      <c r="Q715">
        <v>0</v>
      </c>
      <c r="R715" t="s">
        <v>90</v>
      </c>
      <c r="S715">
        <v>0</v>
      </c>
      <c r="T715" t="s">
        <v>90</v>
      </c>
      <c r="U715">
        <v>0</v>
      </c>
      <c r="V715" t="s">
        <v>90</v>
      </c>
      <c r="W715">
        <v>0</v>
      </c>
      <c r="X715" t="s">
        <v>90</v>
      </c>
      <c r="Y715">
        <v>0</v>
      </c>
      <c r="Z715">
        <v>23.593049736326012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L715">
        <v>0.51900000000000002</v>
      </c>
      <c r="AN715" t="s">
        <v>223</v>
      </c>
      <c r="AO715" t="s">
        <v>92</v>
      </c>
      <c r="AP715">
        <v>200000</v>
      </c>
      <c r="AQ715" t="s">
        <v>92</v>
      </c>
      <c r="AS715">
        <v>10000</v>
      </c>
      <c r="AT715" t="s">
        <v>9</v>
      </c>
      <c r="AU715" t="s">
        <v>78</v>
      </c>
      <c r="AV715" t="s">
        <v>79</v>
      </c>
      <c r="AY715">
        <v>0</v>
      </c>
    </row>
    <row r="716" spans="1:52" ht="12.75">
      <c r="A716" s="2" t="str">
        <f>HYPERLINK("https://ibp.a2mac1.com/costing(costing:projects/details/8191/assembly/5388609)","Fastners")</f>
        <v>Fastners</v>
      </c>
      <c r="B716">
        <v>5388609</v>
      </c>
      <c r="D716">
        <v>5388248</v>
      </c>
      <c r="F716">
        <v>1</v>
      </c>
      <c r="G716">
        <v>0</v>
      </c>
      <c r="H716">
        <v>0.046149999999999997</v>
      </c>
      <c r="I716">
        <v>0</v>
      </c>
      <c r="J716" t="s">
        <v>90</v>
      </c>
      <c r="K716">
        <v>0</v>
      </c>
      <c r="L716">
        <v>0.046149999999999997</v>
      </c>
      <c r="M716">
        <v>0</v>
      </c>
      <c r="N716">
        <v>0</v>
      </c>
      <c r="O716">
        <v>0.046149999999999997</v>
      </c>
      <c r="P716" t="s">
        <v>90</v>
      </c>
      <c r="Q716">
        <v>0</v>
      </c>
      <c r="R716" t="s">
        <v>90</v>
      </c>
      <c r="S716">
        <v>0</v>
      </c>
      <c r="T716" t="s">
        <v>90</v>
      </c>
      <c r="U716">
        <v>0</v>
      </c>
      <c r="V716" t="s">
        <v>90</v>
      </c>
      <c r="W716">
        <v>0</v>
      </c>
      <c r="X716" t="s">
        <v>90</v>
      </c>
      <c r="Y716">
        <v>0</v>
      </c>
      <c r="Z716">
        <v>0.046149999999999997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N716" t="s">
        <v>223</v>
      </c>
      <c r="AO716" t="s">
        <v>92</v>
      </c>
      <c r="AP716">
        <v>200000</v>
      </c>
      <c r="AQ716" t="s">
        <v>76</v>
      </c>
      <c r="AR716">
        <v>0</v>
      </c>
      <c r="AS716">
        <v>10000</v>
      </c>
      <c r="AT716" t="s">
        <v>9</v>
      </c>
      <c r="AU716" t="s">
        <v>78</v>
      </c>
      <c r="AV716" t="s">
        <v>79</v>
      </c>
      <c r="AY716">
        <v>0</v>
      </c>
    </row>
    <row r="717" spans="1:52" ht="12.75">
      <c r="A717" s="2" t="str">
        <f>HYPERLINK("https://ibp.a2mac1.com/costing(costing:projects/details/8191/assembly/5388248)","Molding System")</f>
        <v>Molding System</v>
      </c>
      <c r="B717">
        <v>5388248</v>
      </c>
      <c r="D717">
        <v>5388139</v>
      </c>
      <c r="F717">
        <v>1</v>
      </c>
      <c r="G717">
        <v>0</v>
      </c>
      <c r="H717">
        <v>1.7448444369639686</v>
      </c>
      <c r="I717">
        <v>0</v>
      </c>
      <c r="J717" t="s">
        <v>90</v>
      </c>
      <c r="K717">
        <v>0</v>
      </c>
      <c r="L717">
        <v>1.7448444369639686</v>
      </c>
      <c r="M717">
        <v>0</v>
      </c>
      <c r="N717">
        <v>0</v>
      </c>
      <c r="O717">
        <v>1.7448444369639686</v>
      </c>
      <c r="P717" t="s">
        <v>90</v>
      </c>
      <c r="Q717">
        <v>0</v>
      </c>
      <c r="R717" t="s">
        <v>90</v>
      </c>
      <c r="S717">
        <v>0</v>
      </c>
      <c r="T717" t="s">
        <v>90</v>
      </c>
      <c r="U717">
        <v>0</v>
      </c>
      <c r="V717" t="s">
        <v>90</v>
      </c>
      <c r="W717">
        <v>0</v>
      </c>
      <c r="X717" t="s">
        <v>90</v>
      </c>
      <c r="Y717">
        <v>0</v>
      </c>
      <c r="Z717">
        <v>1.7448444369639686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L717">
        <v>0.65290000000000004</v>
      </c>
      <c r="AN717" t="s">
        <v>223</v>
      </c>
      <c r="AO717" t="s">
        <v>92</v>
      </c>
      <c r="AP717">
        <v>200000</v>
      </c>
      <c r="AQ717" t="s">
        <v>76</v>
      </c>
      <c r="AS717">
        <v>10000</v>
      </c>
      <c r="AT717" t="s">
        <v>9</v>
      </c>
      <c r="AU717" t="s">
        <v>78</v>
      </c>
      <c r="AV717" t="s">
        <v>79</v>
      </c>
      <c r="AY717">
        <v>0</v>
      </c>
    </row>
    <row r="718" spans="1:52" ht="12.75">
      <c r="A718" s="2" t="str">
        <f>HYPERLINK("https://ibp.a2mac1.com/costing(costing:projects/details/8191/assembly/5388249)","Power Controls")</f>
        <v>Power Controls</v>
      </c>
      <c r="B718">
        <v>5388249</v>
      </c>
      <c r="D718">
        <v>5388139</v>
      </c>
      <c r="F718">
        <v>1</v>
      </c>
      <c r="G718">
        <v>0</v>
      </c>
      <c r="H718">
        <v>0.46137</v>
      </c>
      <c r="I718">
        <v>0</v>
      </c>
      <c r="J718" t="s">
        <v>90</v>
      </c>
      <c r="K718">
        <v>0</v>
      </c>
      <c r="L718">
        <v>0.46137</v>
      </c>
      <c r="M718">
        <v>0</v>
      </c>
      <c r="N718">
        <v>0</v>
      </c>
      <c r="O718">
        <v>0.46137</v>
      </c>
      <c r="P718" t="s">
        <v>90</v>
      </c>
      <c r="Q718">
        <v>0</v>
      </c>
      <c r="R718" t="s">
        <v>90</v>
      </c>
      <c r="S718">
        <v>0</v>
      </c>
      <c r="T718" t="s">
        <v>90</v>
      </c>
      <c r="U718">
        <v>0</v>
      </c>
      <c r="V718" t="s">
        <v>90</v>
      </c>
      <c r="W718">
        <v>0</v>
      </c>
      <c r="X718" t="s">
        <v>90</v>
      </c>
      <c r="Y718">
        <v>0</v>
      </c>
      <c r="Z718">
        <v>0.46137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L718">
        <v>0.01</v>
      </c>
      <c r="AN718" t="s">
        <v>223</v>
      </c>
      <c r="AO718" t="s">
        <v>92</v>
      </c>
      <c r="AP718">
        <v>200000</v>
      </c>
      <c r="AQ718" t="s">
        <v>92</v>
      </c>
      <c r="AS718">
        <v>10000</v>
      </c>
      <c r="AT718" t="s">
        <v>9</v>
      </c>
      <c r="AU718" t="s">
        <v>78</v>
      </c>
      <c r="AV718" t="s">
        <v>79</v>
      </c>
      <c r="AY718">
        <v>0</v>
      </c>
    </row>
    <row r="719" spans="1:52" ht="12.75">
      <c r="A719" s="2" t="str">
        <f>HYPERLINK("https://ibp.a2mac1.com/costing(costing:projects/details/8191/assembly/5388250)","Speaker System")</f>
        <v>Speaker System</v>
      </c>
      <c r="B719">
        <v>5388250</v>
      </c>
      <c r="D719">
        <v>5388139</v>
      </c>
      <c r="F719">
        <v>1</v>
      </c>
      <c r="G719">
        <v>0</v>
      </c>
      <c r="H719">
        <v>4.9458900000000003</v>
      </c>
      <c r="I719">
        <v>0</v>
      </c>
      <c r="J719" t="s">
        <v>90</v>
      </c>
      <c r="K719">
        <v>0</v>
      </c>
      <c r="L719">
        <v>4.9458900000000003</v>
      </c>
      <c r="M719">
        <v>0</v>
      </c>
      <c r="N719">
        <v>0</v>
      </c>
      <c r="O719">
        <v>4.9458900000000003</v>
      </c>
      <c r="P719" t="s">
        <v>90</v>
      </c>
      <c r="Q719">
        <v>0</v>
      </c>
      <c r="R719" t="s">
        <v>90</v>
      </c>
      <c r="S719">
        <v>0</v>
      </c>
      <c r="T719" t="s">
        <v>90</v>
      </c>
      <c r="U719">
        <v>0</v>
      </c>
      <c r="V719" t="s">
        <v>90</v>
      </c>
      <c r="W719">
        <v>0</v>
      </c>
      <c r="X719" t="s">
        <v>90</v>
      </c>
      <c r="Y719">
        <v>0</v>
      </c>
      <c r="Z719">
        <v>4.9458900000000003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L719">
        <v>0.61399999999999999</v>
      </c>
      <c r="AN719" t="s">
        <v>223</v>
      </c>
      <c r="AO719" t="s">
        <v>92</v>
      </c>
      <c r="AP719">
        <v>200000</v>
      </c>
      <c r="AQ719" t="s">
        <v>92</v>
      </c>
      <c r="AS719">
        <v>10000</v>
      </c>
      <c r="AT719" t="s">
        <v>9</v>
      </c>
      <c r="AU719" t="s">
        <v>78</v>
      </c>
      <c r="AV719" t="s">
        <v>79</v>
      </c>
      <c r="AY719">
        <v>0</v>
      </c>
    </row>
    <row r="720" spans="1:52" ht="12.75">
      <c r="A720" s="2" t="str">
        <f>HYPERLINK("https://ibp.a2mac1.com/costing(costing:projects/details/8191/assembly/5388251)","Fastners")</f>
        <v>Fastners</v>
      </c>
      <c r="B720">
        <v>5388251</v>
      </c>
      <c r="D720">
        <v>5388139</v>
      </c>
      <c r="F720">
        <v>1</v>
      </c>
      <c r="G720">
        <v>0</v>
      </c>
      <c r="H720">
        <v>0.046149999999999997</v>
      </c>
      <c r="I720">
        <v>0</v>
      </c>
      <c r="J720" t="s">
        <v>90</v>
      </c>
      <c r="K720">
        <v>0</v>
      </c>
      <c r="L720">
        <v>0.046149999999999997</v>
      </c>
      <c r="M720">
        <v>0</v>
      </c>
      <c r="N720">
        <v>0</v>
      </c>
      <c r="O720">
        <v>0.046149999999999997</v>
      </c>
      <c r="P720" t="s">
        <v>90</v>
      </c>
      <c r="Q720">
        <v>0</v>
      </c>
      <c r="R720" t="s">
        <v>90</v>
      </c>
      <c r="S720">
        <v>0</v>
      </c>
      <c r="T720" t="s">
        <v>90</v>
      </c>
      <c r="U720">
        <v>0</v>
      </c>
      <c r="V720" t="s">
        <v>90</v>
      </c>
      <c r="W720">
        <v>0</v>
      </c>
      <c r="X720" t="s">
        <v>90</v>
      </c>
      <c r="Y720">
        <v>0</v>
      </c>
      <c r="Z720">
        <v>0.046149999999999997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N720" t="s">
        <v>223</v>
      </c>
      <c r="AO720" t="s">
        <v>92</v>
      </c>
      <c r="AP720">
        <v>200000</v>
      </c>
      <c r="AQ720" t="s">
        <v>92</v>
      </c>
      <c r="AR720">
        <v>0</v>
      </c>
      <c r="AS720">
        <v>10000</v>
      </c>
      <c r="AT720" t="s">
        <v>9</v>
      </c>
      <c r="AU720" t="s">
        <v>78</v>
      </c>
      <c r="AV720" t="s">
        <v>79</v>
      </c>
      <c r="AY720">
        <v>0</v>
      </c>
    </row>
    <row r="721" spans="1:52" ht="12.75">
      <c r="A721" s="2" t="str">
        <f>HYPERLINK("https://ibp.a2mac1.com/costing(costing:projects/details/8191/assembly/5388139)","Rear Door Right")</f>
        <v>Rear Door Right</v>
      </c>
      <c r="B721">
        <v>5388139</v>
      </c>
      <c r="D721">
        <v>5388127</v>
      </c>
      <c r="F721">
        <v>1</v>
      </c>
      <c r="G721">
        <v>0</v>
      </c>
      <c r="H721">
        <v>117.22423643577196</v>
      </c>
      <c r="I721">
        <v>0</v>
      </c>
      <c r="J721" t="s">
        <v>90</v>
      </c>
      <c r="K721">
        <v>0</v>
      </c>
      <c r="L721">
        <v>117.22423643577196</v>
      </c>
      <c r="M721">
        <v>0</v>
      </c>
      <c r="N721">
        <v>0</v>
      </c>
      <c r="O721">
        <v>117.22423643577196</v>
      </c>
      <c r="P721" t="s">
        <v>90</v>
      </c>
      <c r="Q721">
        <v>0</v>
      </c>
      <c r="R721" t="s">
        <v>90</v>
      </c>
      <c r="S721">
        <v>0</v>
      </c>
      <c r="T721" t="s">
        <v>90</v>
      </c>
      <c r="U721">
        <v>0</v>
      </c>
      <c r="V721" t="s">
        <v>90</v>
      </c>
      <c r="W721">
        <v>0</v>
      </c>
      <c r="X721" t="s">
        <v>90</v>
      </c>
      <c r="Y721">
        <v>0</v>
      </c>
      <c r="Z721">
        <v>117.22423643577196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260</v>
      </c>
      <c r="AI721">
        <v>1105</v>
      </c>
      <c r="AJ721">
        <v>1310</v>
      </c>
      <c r="AL721">
        <v>30.395399999999999</v>
      </c>
      <c r="AN721" t="s">
        <v>223</v>
      </c>
      <c r="AO721" t="s">
        <v>92</v>
      </c>
      <c r="AP721">
        <v>200000</v>
      </c>
      <c r="AQ721" t="s">
        <v>92</v>
      </c>
      <c r="AS721">
        <v>10000</v>
      </c>
      <c r="AT721" t="s">
        <v>6065</v>
      </c>
      <c r="AU721" t="s">
        <v>78</v>
      </c>
      <c r="AV721" t="s">
        <v>79</v>
      </c>
      <c r="AY721">
        <v>0</v>
      </c>
    </row>
    <row r="722" spans="1:52" ht="12.75">
      <c r="A722" s="2" t="str">
        <f>HYPERLINK("https://ibp.a2mac1.com/costing(costing:projects/details/8191/assembly/5388127)","Closures")</f>
        <v>Closures</v>
      </c>
      <c r="B722">
        <v>5388127</v>
      </c>
      <c r="D722">
        <v>5388126</v>
      </c>
      <c r="F722">
        <v>1</v>
      </c>
      <c r="G722">
        <v>0</v>
      </c>
      <c r="H722">
        <v>809.88165400158289</v>
      </c>
      <c r="I722">
        <v>0</v>
      </c>
      <c r="J722" t="s">
        <v>90</v>
      </c>
      <c r="K722">
        <v>0</v>
      </c>
      <c r="L722">
        <v>809.88165400158289</v>
      </c>
      <c r="M722">
        <v>0</v>
      </c>
      <c r="N722">
        <v>0</v>
      </c>
      <c r="O722">
        <v>809.88165400158289</v>
      </c>
      <c r="P722" t="s">
        <v>90</v>
      </c>
      <c r="Q722">
        <v>0</v>
      </c>
      <c r="R722" t="s">
        <v>90</v>
      </c>
      <c r="S722">
        <v>0</v>
      </c>
      <c r="T722" t="s">
        <v>90</v>
      </c>
      <c r="U722">
        <v>0</v>
      </c>
      <c r="V722" t="s">
        <v>90</v>
      </c>
      <c r="W722">
        <v>0</v>
      </c>
      <c r="X722" t="s">
        <v>90</v>
      </c>
      <c r="Y722">
        <v>0</v>
      </c>
      <c r="Z722">
        <v>809.88165400158289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L722">
        <v>201.55359999999999</v>
      </c>
      <c r="AN722" t="s">
        <v>223</v>
      </c>
      <c r="AO722" t="s">
        <v>92</v>
      </c>
      <c r="AP722">
        <v>200000</v>
      </c>
      <c r="AQ722" t="s">
        <v>92</v>
      </c>
      <c r="AS722">
        <v>10000</v>
      </c>
      <c r="AT722" t="s">
        <v>6066</v>
      </c>
      <c r="AU722" t="s">
        <v>78</v>
      </c>
      <c r="AV722" t="s">
        <v>79</v>
      </c>
      <c r="AY722">
        <v>0</v>
      </c>
    </row>
    <row r="723" spans="1:52" ht="12.75">
      <c r="A723" s="2" t="str">
        <f>HYPERLINK("https://ibp.a2mac1.com/costing(costing:projects/details/8191/assembly/5388252)","Upper Cross Member")</f>
        <v>Upper Cross Member</v>
      </c>
      <c r="B723">
        <v>5388252</v>
      </c>
      <c r="D723">
        <v>5388142</v>
      </c>
      <c r="F723">
        <v>1</v>
      </c>
      <c r="G723">
        <v>0</v>
      </c>
      <c r="H723">
        <v>4.5541031349143912</v>
      </c>
      <c r="I723">
        <v>0.022884940376454225</v>
      </c>
      <c r="J723" t="s">
        <v>137</v>
      </c>
      <c r="K723">
        <v>0.1593936097220037</v>
      </c>
      <c r="L723">
        <v>4.7363816850128488</v>
      </c>
      <c r="M723">
        <v>0</v>
      </c>
      <c r="N723">
        <v>0</v>
      </c>
      <c r="O723">
        <v>4.7363816850128488</v>
      </c>
      <c r="P723" t="s">
        <v>138</v>
      </c>
      <c r="Q723">
        <v>0.28418290110077093</v>
      </c>
      <c r="R723" t="s">
        <v>138</v>
      </c>
      <c r="S723">
        <v>0</v>
      </c>
      <c r="T723" t="s">
        <v>139</v>
      </c>
      <c r="U723">
        <v>0.56836580220154187</v>
      </c>
      <c r="V723" t="s">
        <v>90</v>
      </c>
      <c r="W723">
        <v>0</v>
      </c>
      <c r="X723" t="s">
        <v>90</v>
      </c>
      <c r="Y723">
        <v>0</v>
      </c>
      <c r="Z723">
        <v>5.5889303883151618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331</v>
      </c>
      <c r="AI723">
        <v>843</v>
      </c>
      <c r="AJ723">
        <v>140</v>
      </c>
      <c r="AL723">
        <v>2.39</v>
      </c>
      <c r="AM723" t="s">
        <v>4067</v>
      </c>
      <c r="AN723" t="s">
        <v>501</v>
      </c>
      <c r="AO723" t="s">
        <v>92</v>
      </c>
      <c r="AP723">
        <v>200000</v>
      </c>
      <c r="AQ723" t="s">
        <v>76</v>
      </c>
      <c r="AS723">
        <v>10000</v>
      </c>
      <c r="AT723" t="s">
        <v>6075</v>
      </c>
      <c r="AU723" t="s">
        <v>78</v>
      </c>
      <c r="AV723" t="s">
        <v>79</v>
      </c>
      <c r="AY723">
        <v>0</v>
      </c>
    </row>
    <row r="724" spans="1:52" ht="12.75">
      <c r="A724" s="2" t="str">
        <f>HYPERLINK("https://ibp.a2mac1.com/costing(costing:projects/details/8191/assembly/5388142)","Frontend Cooling")</f>
        <v>Frontend Cooling</v>
      </c>
      <c r="B724">
        <v>5388142</v>
      </c>
      <c r="D724">
        <v>5388128</v>
      </c>
      <c r="F724">
        <v>1</v>
      </c>
      <c r="G724">
        <v>0</v>
      </c>
      <c r="H724">
        <v>11.116034208842812</v>
      </c>
      <c r="I724">
        <v>0</v>
      </c>
      <c r="J724" t="s">
        <v>90</v>
      </c>
      <c r="K724">
        <v>0</v>
      </c>
      <c r="L724">
        <v>11.116034208842812</v>
      </c>
      <c r="M724">
        <v>0</v>
      </c>
      <c r="N724">
        <v>0</v>
      </c>
      <c r="O724">
        <v>11.116034208842812</v>
      </c>
      <c r="P724" t="s">
        <v>90</v>
      </c>
      <c r="Q724">
        <v>0</v>
      </c>
      <c r="R724" t="s">
        <v>90</v>
      </c>
      <c r="S724">
        <v>0</v>
      </c>
      <c r="T724" t="s">
        <v>90</v>
      </c>
      <c r="U724">
        <v>0</v>
      </c>
      <c r="V724" t="s">
        <v>90</v>
      </c>
      <c r="W724">
        <v>0</v>
      </c>
      <c r="X724" t="s">
        <v>90</v>
      </c>
      <c r="Y724">
        <v>0</v>
      </c>
      <c r="Z724">
        <v>11.116034208842812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L724">
        <v>6.4024000000000001</v>
      </c>
      <c r="AN724" t="s">
        <v>223</v>
      </c>
      <c r="AO724" t="s">
        <v>92</v>
      </c>
      <c r="AP724">
        <v>200000</v>
      </c>
      <c r="AQ724" t="s">
        <v>92</v>
      </c>
      <c r="AS724">
        <v>10000</v>
      </c>
      <c r="AT724" t="s">
        <v>6098</v>
      </c>
      <c r="AU724" t="s">
        <v>78</v>
      </c>
      <c r="AV724" t="s">
        <v>79</v>
      </c>
      <c r="AY724">
        <v>0</v>
      </c>
    </row>
    <row r="725" spans="1:52" ht="12.75">
      <c r="A725" s="2" t="str">
        <f>HYPERLINK("https://ibp.a2mac1.com/costing(costing:projects/details/8191/assembly/5388260)","Shield Under Front Bumper System")</f>
        <v>Shield Under Front Bumper System</v>
      </c>
      <c r="B725">
        <v>5388260</v>
      </c>
      <c r="D725">
        <v>5388143</v>
      </c>
      <c r="F725">
        <v>1</v>
      </c>
      <c r="G725">
        <v>0</v>
      </c>
      <c r="H725">
        <v>4.5074902289010952</v>
      </c>
      <c r="I725">
        <v>0</v>
      </c>
      <c r="J725" t="s">
        <v>90</v>
      </c>
      <c r="K725">
        <v>0</v>
      </c>
      <c r="L725">
        <v>4.5074902289010952</v>
      </c>
      <c r="M725">
        <v>0</v>
      </c>
      <c r="N725">
        <v>0</v>
      </c>
      <c r="O725">
        <v>4.5074902289010952</v>
      </c>
      <c r="P725" t="s">
        <v>90</v>
      </c>
      <c r="Q725">
        <v>0</v>
      </c>
      <c r="R725" t="s">
        <v>90</v>
      </c>
      <c r="S725">
        <v>0</v>
      </c>
      <c r="T725" t="s">
        <v>90</v>
      </c>
      <c r="U725">
        <v>0</v>
      </c>
      <c r="V725" t="s">
        <v>90</v>
      </c>
      <c r="W725">
        <v>0</v>
      </c>
      <c r="X725" t="s">
        <v>90</v>
      </c>
      <c r="Y725">
        <v>0</v>
      </c>
      <c r="Z725">
        <v>4.5074902289010952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L725">
        <v>1.9379999999999999</v>
      </c>
      <c r="AN725" t="s">
        <v>223</v>
      </c>
      <c r="AO725" t="s">
        <v>92</v>
      </c>
      <c r="AP725">
        <v>200000</v>
      </c>
      <c r="AQ725" t="s">
        <v>92</v>
      </c>
      <c r="AS725">
        <v>10000</v>
      </c>
      <c r="AT725" t="s">
        <v>6118</v>
      </c>
      <c r="AU725" t="s">
        <v>78</v>
      </c>
      <c r="AV725" t="s">
        <v>79</v>
      </c>
      <c r="AY725">
        <v>0</v>
      </c>
    </row>
    <row r="726" spans="1:52" ht="12.75">
      <c r="A726" s="2" t="str">
        <f>HYPERLINK("https://ibp.a2mac1.com/costing(costing:projects/details/8191/assembly/5388261)","Shield Under Engine K-Frame System")</f>
        <v>Shield Under Engine K-Frame System</v>
      </c>
      <c r="B726">
        <v>5388261</v>
      </c>
      <c r="D726">
        <v>5388143</v>
      </c>
      <c r="F726">
        <v>1</v>
      </c>
      <c r="G726">
        <v>0</v>
      </c>
      <c r="H726">
        <v>3.6833018764607122</v>
      </c>
      <c r="I726">
        <v>0</v>
      </c>
      <c r="J726" t="s">
        <v>90</v>
      </c>
      <c r="K726">
        <v>0</v>
      </c>
      <c r="L726">
        <v>3.6833018764607122</v>
      </c>
      <c r="M726">
        <v>0</v>
      </c>
      <c r="N726">
        <v>0</v>
      </c>
      <c r="O726">
        <v>3.6833018764607122</v>
      </c>
      <c r="P726" t="s">
        <v>90</v>
      </c>
      <c r="Q726">
        <v>0</v>
      </c>
      <c r="R726" t="s">
        <v>90</v>
      </c>
      <c r="S726">
        <v>0</v>
      </c>
      <c r="T726" t="s">
        <v>90</v>
      </c>
      <c r="U726">
        <v>0</v>
      </c>
      <c r="V726" t="s">
        <v>90</v>
      </c>
      <c r="W726">
        <v>0</v>
      </c>
      <c r="X726" t="s">
        <v>90</v>
      </c>
      <c r="Y726">
        <v>0</v>
      </c>
      <c r="Z726">
        <v>3.6833018764607122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L726">
        <v>1.8048</v>
      </c>
      <c r="AN726" t="s">
        <v>223</v>
      </c>
      <c r="AO726" t="s">
        <v>92</v>
      </c>
      <c r="AP726">
        <v>200000</v>
      </c>
      <c r="AQ726" t="s">
        <v>92</v>
      </c>
      <c r="AS726">
        <v>10000</v>
      </c>
      <c r="AT726" t="s">
        <v>6125</v>
      </c>
      <c r="AU726" t="s">
        <v>78</v>
      </c>
      <c r="AV726" t="s">
        <v>79</v>
      </c>
      <c r="AY726">
        <v>0</v>
      </c>
    </row>
    <row r="727" spans="1:52" ht="12.75">
      <c r="A727" s="2" t="str">
        <f>HYPERLINK("https://ibp.a2mac1.com/costing(costing:projects/details/8191/assembly/5388143)","Aerodynamic Shield")</f>
        <v>Aerodynamic Shield</v>
      </c>
      <c r="B727">
        <v>5388143</v>
      </c>
      <c r="D727">
        <v>5388128</v>
      </c>
      <c r="F727">
        <v>1</v>
      </c>
      <c r="G727">
        <v>0</v>
      </c>
      <c r="H727">
        <v>26.602428018205565</v>
      </c>
      <c r="I727">
        <v>0</v>
      </c>
      <c r="J727" t="s">
        <v>90</v>
      </c>
      <c r="K727">
        <v>0</v>
      </c>
      <c r="L727">
        <v>26.602428018205565</v>
      </c>
      <c r="M727">
        <v>0</v>
      </c>
      <c r="N727">
        <v>0</v>
      </c>
      <c r="O727">
        <v>26.602428018205565</v>
      </c>
      <c r="P727" t="s">
        <v>90</v>
      </c>
      <c r="Q727">
        <v>0</v>
      </c>
      <c r="R727" t="s">
        <v>90</v>
      </c>
      <c r="S727">
        <v>0</v>
      </c>
      <c r="T727" t="s">
        <v>90</v>
      </c>
      <c r="U727">
        <v>0</v>
      </c>
      <c r="V727" t="s">
        <v>90</v>
      </c>
      <c r="W727">
        <v>0</v>
      </c>
      <c r="X727" t="s">
        <v>90</v>
      </c>
      <c r="Y727">
        <v>0</v>
      </c>
      <c r="Z727">
        <v>26.602428018205565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L727">
        <v>12.370799999999999</v>
      </c>
      <c r="AN727" t="s">
        <v>223</v>
      </c>
      <c r="AO727" t="s">
        <v>92</v>
      </c>
      <c r="AP727">
        <v>200000</v>
      </c>
      <c r="AQ727" t="s">
        <v>92</v>
      </c>
      <c r="AS727">
        <v>10000</v>
      </c>
      <c r="AT727" t="s">
        <v>6142</v>
      </c>
      <c r="AU727" t="s">
        <v>78</v>
      </c>
      <c r="AV727" t="s">
        <v>79</v>
      </c>
      <c r="AY727">
        <v>0</v>
      </c>
    </row>
    <row r="728" spans="1:52" ht="12.75">
      <c r="A728" s="2" t="str">
        <f>HYPERLINK("https://ibp.a2mac1.com/costing(costing:projects/details/8191/assembly/5388617)","Front")</f>
        <v>Front</v>
      </c>
      <c r="B728">
        <v>5388617</v>
      </c>
      <c r="D728">
        <v>5388262</v>
      </c>
      <c r="F728">
        <v>1</v>
      </c>
      <c r="G728">
        <v>0</v>
      </c>
      <c r="H728">
        <v>0.14392351166155246</v>
      </c>
      <c r="I728">
        <v>0</v>
      </c>
      <c r="J728" t="s">
        <v>90</v>
      </c>
      <c r="K728">
        <v>0</v>
      </c>
      <c r="L728">
        <v>0.14392351166155246</v>
      </c>
      <c r="M728">
        <v>0</v>
      </c>
      <c r="N728">
        <v>0</v>
      </c>
      <c r="O728">
        <v>0.14392351166155246</v>
      </c>
      <c r="P728" t="s">
        <v>90</v>
      </c>
      <c r="Q728">
        <v>0</v>
      </c>
      <c r="R728" t="s">
        <v>90</v>
      </c>
      <c r="S728">
        <v>0</v>
      </c>
      <c r="T728" t="s">
        <v>90</v>
      </c>
      <c r="U728">
        <v>0</v>
      </c>
      <c r="V728" t="s">
        <v>90</v>
      </c>
      <c r="W728">
        <v>0</v>
      </c>
      <c r="X728" t="s">
        <v>90</v>
      </c>
      <c r="Y728">
        <v>0</v>
      </c>
      <c r="Z728">
        <v>0.14392351166155246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L728">
        <v>0.083799999999999999</v>
      </c>
      <c r="AN728" t="s">
        <v>223</v>
      </c>
      <c r="AO728" t="s">
        <v>92</v>
      </c>
      <c r="AP728">
        <v>200000</v>
      </c>
      <c r="AQ728" t="s">
        <v>92</v>
      </c>
      <c r="AS728">
        <v>10000</v>
      </c>
      <c r="AT728" t="s">
        <v>6152</v>
      </c>
      <c r="AU728" t="s">
        <v>78</v>
      </c>
      <c r="AV728" t="s">
        <v>79</v>
      </c>
      <c r="AY728">
        <v>0</v>
      </c>
    </row>
    <row r="729" spans="1:52" ht="12.75">
      <c r="A729" s="2" t="str">
        <f>HYPERLINK("https://ibp.a2mac1.com/costing(costing:projects/details/8191/assembly/5388618)","Rear")</f>
        <v>Rear</v>
      </c>
      <c r="B729">
        <v>5388618</v>
      </c>
      <c r="D729">
        <v>5388262</v>
      </c>
      <c r="F729">
        <v>1</v>
      </c>
      <c r="G729">
        <v>0</v>
      </c>
      <c r="H729">
        <v>6.8834939546305387</v>
      </c>
      <c r="I729">
        <v>0</v>
      </c>
      <c r="J729" t="s">
        <v>90</v>
      </c>
      <c r="K729">
        <v>0</v>
      </c>
      <c r="L729">
        <v>6.8834939546305387</v>
      </c>
      <c r="M729">
        <v>0</v>
      </c>
      <c r="N729">
        <v>0</v>
      </c>
      <c r="O729">
        <v>6.8834939546305387</v>
      </c>
      <c r="P729" t="s">
        <v>90</v>
      </c>
      <c r="Q729">
        <v>0</v>
      </c>
      <c r="R729" t="s">
        <v>90</v>
      </c>
      <c r="S729">
        <v>0</v>
      </c>
      <c r="T729" t="s">
        <v>90</v>
      </c>
      <c r="U729">
        <v>0</v>
      </c>
      <c r="V729" t="s">
        <v>90</v>
      </c>
      <c r="W729">
        <v>0</v>
      </c>
      <c r="X729" t="s">
        <v>90</v>
      </c>
      <c r="Y729">
        <v>0</v>
      </c>
      <c r="Z729">
        <v>6.8834939546305387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L729">
        <v>1.145</v>
      </c>
      <c r="AN729" t="s">
        <v>223</v>
      </c>
      <c r="AO729" t="s">
        <v>92</v>
      </c>
      <c r="AP729">
        <v>200000</v>
      </c>
      <c r="AQ729" t="s">
        <v>92</v>
      </c>
      <c r="AS729">
        <v>10000</v>
      </c>
      <c r="AT729" t="s">
        <v>6158</v>
      </c>
      <c r="AU729" t="s">
        <v>78</v>
      </c>
      <c r="AV729" t="s">
        <v>79</v>
      </c>
      <c r="AY729">
        <v>0</v>
      </c>
    </row>
    <row r="730" spans="1:52" ht="12.75">
      <c r="A730" s="2" t="str">
        <f>HYPERLINK("https://ibp.a2mac1.com/costing(costing:projects/details/8191/assembly/5388262)","Side Windows Quarter Glass")</f>
        <v>Side Windows Quarter Glass</v>
      </c>
      <c r="B730">
        <v>5388262</v>
      </c>
      <c r="D730">
        <v>5388144</v>
      </c>
      <c r="F730">
        <v>1</v>
      </c>
      <c r="G730">
        <v>0</v>
      </c>
      <c r="H730">
        <v>7.027417466292091</v>
      </c>
      <c r="I730">
        <v>0</v>
      </c>
      <c r="J730" t="s">
        <v>90</v>
      </c>
      <c r="K730">
        <v>0</v>
      </c>
      <c r="L730">
        <v>7.027417466292091</v>
      </c>
      <c r="M730">
        <v>0</v>
      </c>
      <c r="N730">
        <v>0</v>
      </c>
      <c r="O730">
        <v>7.027417466292091</v>
      </c>
      <c r="P730" t="s">
        <v>90</v>
      </c>
      <c r="Q730">
        <v>0</v>
      </c>
      <c r="R730" t="s">
        <v>90</v>
      </c>
      <c r="S730">
        <v>0</v>
      </c>
      <c r="T730" t="s">
        <v>90</v>
      </c>
      <c r="U730">
        <v>0</v>
      </c>
      <c r="V730" t="s">
        <v>90</v>
      </c>
      <c r="W730">
        <v>0</v>
      </c>
      <c r="X730" t="s">
        <v>90</v>
      </c>
      <c r="Y730">
        <v>0</v>
      </c>
      <c r="Z730">
        <v>7.027417466292091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L730">
        <v>1.2287999999999999</v>
      </c>
      <c r="AN730" t="s">
        <v>223</v>
      </c>
      <c r="AO730" t="s">
        <v>92</v>
      </c>
      <c r="AP730">
        <v>200000</v>
      </c>
      <c r="AQ730" t="s">
        <v>92</v>
      </c>
      <c r="AS730">
        <v>10000</v>
      </c>
      <c r="AT730" t="s">
        <v>6159</v>
      </c>
      <c r="AU730" t="s">
        <v>78</v>
      </c>
      <c r="AV730" t="s">
        <v>79</v>
      </c>
      <c r="AY730">
        <v>0</v>
      </c>
    </row>
    <row r="731" spans="1:52" ht="12.75">
      <c r="A731" s="2" t="str">
        <f>HYPERLINK("https://ibp.a2mac1.com/costing(costing:projects/details/8191/assembly/5388621)","Seal")</f>
        <v>Seal</v>
      </c>
      <c r="B731">
        <v>5388621</v>
      </c>
      <c r="D731">
        <v>5388263</v>
      </c>
      <c r="F731">
        <v>1</v>
      </c>
      <c r="G731">
        <v>0</v>
      </c>
      <c r="H731">
        <v>0.27715456026846275</v>
      </c>
      <c r="I731">
        <v>0</v>
      </c>
      <c r="J731" t="s">
        <v>90</v>
      </c>
      <c r="K731">
        <v>0</v>
      </c>
      <c r="L731">
        <v>0.27715456026846275</v>
      </c>
      <c r="M731">
        <v>0</v>
      </c>
      <c r="N731">
        <v>0</v>
      </c>
      <c r="O731">
        <v>0.27715456026846275</v>
      </c>
      <c r="P731" t="s">
        <v>90</v>
      </c>
      <c r="Q731">
        <v>0</v>
      </c>
      <c r="R731" t="s">
        <v>90</v>
      </c>
      <c r="S731">
        <v>0</v>
      </c>
      <c r="T731" t="s">
        <v>90</v>
      </c>
      <c r="U731">
        <v>0</v>
      </c>
      <c r="V731" t="s">
        <v>90</v>
      </c>
      <c r="W731">
        <v>0</v>
      </c>
      <c r="X731" t="s">
        <v>90</v>
      </c>
      <c r="Y731">
        <v>0</v>
      </c>
      <c r="Z731">
        <v>0.27715456026846275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L731">
        <v>0.11600000000000001</v>
      </c>
      <c r="AN731" t="s">
        <v>223</v>
      </c>
      <c r="AO731" t="s">
        <v>92</v>
      </c>
      <c r="AP731">
        <v>200000</v>
      </c>
      <c r="AQ731" t="s">
        <v>92</v>
      </c>
      <c r="AS731">
        <v>10000</v>
      </c>
      <c r="AT731" t="s">
        <v>6171</v>
      </c>
      <c r="AU731" t="s">
        <v>78</v>
      </c>
      <c r="AV731" t="s">
        <v>79</v>
      </c>
      <c r="AY731">
        <v>0</v>
      </c>
    </row>
    <row r="732" spans="1:52" ht="12.75">
      <c r="A732" s="2" t="str">
        <f>HYPERLINK("https://ibp.a2mac1.com/costing(costing:projects/details/8191/assembly/5388622)","Windshield")</f>
        <v>Windshield</v>
      </c>
      <c r="B732">
        <v>5388622</v>
      </c>
      <c r="D732">
        <v>5388263</v>
      </c>
      <c r="E732" t="e">
        <v>#VALUE!</v>
      </c>
      <c r="F732">
        <v>1</v>
      </c>
      <c r="G732">
        <v>0</v>
      </c>
      <c r="H732">
        <v>13.273392448739477</v>
      </c>
      <c r="I732">
        <v>0.066700464566530032</v>
      </c>
      <c r="J732" t="s">
        <v>137</v>
      </c>
      <c r="K732">
        <v>0.4645687357058817</v>
      </c>
      <c r="L732">
        <v>13.804661649011889</v>
      </c>
      <c r="M732">
        <v>0</v>
      </c>
      <c r="N732">
        <v>0</v>
      </c>
      <c r="O732">
        <v>13.804661649011889</v>
      </c>
      <c r="P732" t="s">
        <v>138</v>
      </c>
      <c r="Q732">
        <v>0.82827969894071329</v>
      </c>
      <c r="R732" t="s">
        <v>138</v>
      </c>
      <c r="S732">
        <v>0</v>
      </c>
      <c r="T732" t="s">
        <v>139</v>
      </c>
      <c r="U732">
        <v>1.6565593978814266</v>
      </c>
      <c r="V732" t="s">
        <v>90</v>
      </c>
      <c r="W732">
        <v>0</v>
      </c>
      <c r="X732" t="s">
        <v>90</v>
      </c>
      <c r="Y732">
        <v>0</v>
      </c>
      <c r="Z732">
        <v>16.28950074583403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1474</v>
      </c>
      <c r="AJ732">
        <v>1060</v>
      </c>
      <c r="AK732">
        <v>0</v>
      </c>
      <c r="AL732">
        <v>14.420999999999999</v>
      </c>
      <c r="AN732" t="s">
        <v>6181</v>
      </c>
      <c r="AO732" t="s">
        <v>92</v>
      </c>
      <c r="AP732">
        <v>200000</v>
      </c>
      <c r="AQ732" t="s">
        <v>76</v>
      </c>
      <c r="AS732">
        <v>10000</v>
      </c>
      <c r="AT732" t="s">
        <v>6182</v>
      </c>
      <c r="AU732" t="s">
        <v>78</v>
      </c>
      <c r="AV732" t="s">
        <v>79</v>
      </c>
      <c r="AY732">
        <v>0</v>
      </c>
    </row>
    <row r="733" spans="1:52" ht="12.75">
      <c r="A733" s="2" t="str">
        <f>HYPERLINK("https://ibp.a2mac1.com/costing(costing:projects/details/8191/assembly/5388263)","Windshield System")</f>
        <v>Windshield System</v>
      </c>
      <c r="B733">
        <v>5388263</v>
      </c>
      <c r="D733">
        <v>5388144</v>
      </c>
      <c r="F733">
        <v>1</v>
      </c>
      <c r="G733">
        <v>0</v>
      </c>
      <c r="H733">
        <v>17.395193392544503</v>
      </c>
      <c r="I733">
        <v>0</v>
      </c>
      <c r="J733" t="s">
        <v>90</v>
      </c>
      <c r="K733">
        <v>0</v>
      </c>
      <c r="L733">
        <v>17.395193392544503</v>
      </c>
      <c r="M733">
        <v>0</v>
      </c>
      <c r="N733">
        <v>0</v>
      </c>
      <c r="O733">
        <v>17.395193392544503</v>
      </c>
      <c r="P733" t="s">
        <v>90</v>
      </c>
      <c r="Q733">
        <v>0</v>
      </c>
      <c r="R733" t="s">
        <v>90</v>
      </c>
      <c r="S733">
        <v>0</v>
      </c>
      <c r="T733" t="s">
        <v>90</v>
      </c>
      <c r="U733">
        <v>0</v>
      </c>
      <c r="V733" t="s">
        <v>90</v>
      </c>
      <c r="W733">
        <v>0</v>
      </c>
      <c r="X733" t="s">
        <v>90</v>
      </c>
      <c r="Y733">
        <v>0</v>
      </c>
      <c r="Z733">
        <v>17.395193392544503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L733">
        <v>14.865</v>
      </c>
      <c r="AN733" t="s">
        <v>223</v>
      </c>
      <c r="AO733" t="s">
        <v>92</v>
      </c>
      <c r="AP733">
        <v>200000</v>
      </c>
      <c r="AQ733" t="s">
        <v>92</v>
      </c>
      <c r="AS733">
        <v>10000</v>
      </c>
      <c r="AT733" t="s">
        <v>6191</v>
      </c>
      <c r="AU733" t="s">
        <v>78</v>
      </c>
      <c r="AV733" t="s">
        <v>79</v>
      </c>
      <c r="AY733">
        <v>0</v>
      </c>
    </row>
    <row r="734" spans="1:52" ht="12.75">
      <c r="A734" s="2" t="str">
        <f>HYPERLINK("https://ibp.a2mac1.com/costing(costing:projects/details/8191/assembly/5388264)","Panoramic Roof")</f>
        <v>Panoramic Roof</v>
      </c>
      <c r="B734">
        <v>5388264</v>
      </c>
      <c r="D734">
        <v>5388144</v>
      </c>
      <c r="F734">
        <v>1</v>
      </c>
      <c r="G734">
        <v>0</v>
      </c>
      <c r="H734">
        <v>122.44093530097327</v>
      </c>
      <c r="I734">
        <v>0</v>
      </c>
      <c r="J734" t="s">
        <v>90</v>
      </c>
      <c r="K734">
        <v>0</v>
      </c>
      <c r="L734">
        <v>122.44093530097327</v>
      </c>
      <c r="M734">
        <v>0</v>
      </c>
      <c r="N734">
        <v>0</v>
      </c>
      <c r="O734">
        <v>122.44093530097327</v>
      </c>
      <c r="P734" t="s">
        <v>90</v>
      </c>
      <c r="Q734">
        <v>0</v>
      </c>
      <c r="R734" t="s">
        <v>90</v>
      </c>
      <c r="S734">
        <v>0</v>
      </c>
      <c r="T734" t="s">
        <v>90</v>
      </c>
      <c r="U734">
        <v>0</v>
      </c>
      <c r="V734" t="s">
        <v>90</v>
      </c>
      <c r="W734">
        <v>0</v>
      </c>
      <c r="X734" t="s">
        <v>90</v>
      </c>
      <c r="Y734">
        <v>0</v>
      </c>
      <c r="Z734">
        <v>122.44093530097327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L734">
        <v>18.26</v>
      </c>
      <c r="AN734" t="s">
        <v>223</v>
      </c>
      <c r="AO734" t="s">
        <v>92</v>
      </c>
      <c r="AP734">
        <v>200000</v>
      </c>
      <c r="AQ734" t="s">
        <v>92</v>
      </c>
      <c r="AS734">
        <v>10000</v>
      </c>
      <c r="AT734" t="s">
        <v>6198</v>
      </c>
      <c r="AU734" t="s">
        <v>78</v>
      </c>
      <c r="AV734" t="s">
        <v>79</v>
      </c>
      <c r="AY734">
        <v>0</v>
      </c>
    </row>
    <row r="735" spans="1:52" ht="12.75">
      <c r="A735" s="2" t="str">
        <f>HYPERLINK("https://ibp.a2mac1.com/costing(costing:projects/details/8191/assembly/5388144)","Windshields Windows")</f>
        <v>Windshields Windows</v>
      </c>
      <c r="B735">
        <v>5388144</v>
      </c>
      <c r="D735">
        <v>5388128</v>
      </c>
      <c r="F735">
        <v>1</v>
      </c>
      <c r="G735">
        <v>0</v>
      </c>
      <c r="H735">
        <v>146.86354615980986</v>
      </c>
      <c r="I735">
        <v>0</v>
      </c>
      <c r="J735" t="s">
        <v>90</v>
      </c>
      <c r="K735">
        <v>0</v>
      </c>
      <c r="L735">
        <v>146.86354615980986</v>
      </c>
      <c r="M735">
        <v>0</v>
      </c>
      <c r="N735">
        <v>0</v>
      </c>
      <c r="O735">
        <v>146.86354615980986</v>
      </c>
      <c r="P735" t="s">
        <v>90</v>
      </c>
      <c r="Q735">
        <v>0</v>
      </c>
      <c r="R735" t="s">
        <v>90</v>
      </c>
      <c r="S735">
        <v>0</v>
      </c>
      <c r="T735" t="s">
        <v>90</v>
      </c>
      <c r="U735">
        <v>0</v>
      </c>
      <c r="V735" t="s">
        <v>90</v>
      </c>
      <c r="W735">
        <v>0</v>
      </c>
      <c r="X735" t="s">
        <v>90</v>
      </c>
      <c r="Y735">
        <v>0</v>
      </c>
      <c r="Z735">
        <v>146.86354615980986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L735">
        <v>34.3538</v>
      </c>
      <c r="AN735" t="s">
        <v>223</v>
      </c>
      <c r="AO735" t="s">
        <v>92</v>
      </c>
      <c r="AP735">
        <v>200000</v>
      </c>
      <c r="AQ735" t="s">
        <v>92</v>
      </c>
      <c r="AS735">
        <v>10000</v>
      </c>
      <c r="AT735" t="s">
        <v>6199</v>
      </c>
      <c r="AU735" t="s">
        <v>78</v>
      </c>
      <c r="AV735" t="s">
        <v>79</v>
      </c>
      <c r="AY735">
        <v>0</v>
      </c>
    </row>
    <row r="736" spans="1:52" ht="12.75">
      <c r="A736" s="2" t="str">
        <f>HYPERLINK("https://ibp.a2mac1.com/costing(costing:projects/details/8191/assembly/5388145)","Scuttle Grille System")</f>
        <v>Scuttle Grille System</v>
      </c>
      <c r="B736">
        <v>5388145</v>
      </c>
      <c r="D736">
        <v>5388128</v>
      </c>
      <c r="F736">
        <v>1</v>
      </c>
      <c r="G736">
        <v>0</v>
      </c>
      <c r="H736">
        <v>1.4968741091673485</v>
      </c>
      <c r="I736">
        <v>0</v>
      </c>
      <c r="J736" t="s">
        <v>90</v>
      </c>
      <c r="K736">
        <v>0</v>
      </c>
      <c r="L736">
        <v>1.4968741091673485</v>
      </c>
      <c r="M736">
        <v>0</v>
      </c>
      <c r="N736">
        <v>0</v>
      </c>
      <c r="O736">
        <v>1.4968741091673485</v>
      </c>
      <c r="P736" t="s">
        <v>90</v>
      </c>
      <c r="Q736">
        <v>0</v>
      </c>
      <c r="R736" t="s">
        <v>90</v>
      </c>
      <c r="S736">
        <v>0</v>
      </c>
      <c r="T736" t="s">
        <v>90</v>
      </c>
      <c r="U736">
        <v>0</v>
      </c>
      <c r="V736" t="s">
        <v>90</v>
      </c>
      <c r="W736">
        <v>0</v>
      </c>
      <c r="X736" t="s">
        <v>90</v>
      </c>
      <c r="Y736">
        <v>0</v>
      </c>
      <c r="Z736">
        <v>1.4968741091673485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L736">
        <v>1.055</v>
      </c>
      <c r="AN736" t="s">
        <v>223</v>
      </c>
      <c r="AO736" t="s">
        <v>92</v>
      </c>
      <c r="AP736">
        <v>200000</v>
      </c>
      <c r="AQ736" t="s">
        <v>92</v>
      </c>
      <c r="AS736">
        <v>10000</v>
      </c>
      <c r="AT736" t="s">
        <v>6216</v>
      </c>
      <c r="AU736" t="s">
        <v>78</v>
      </c>
      <c r="AV736" t="s">
        <v>79</v>
      </c>
      <c r="AY736">
        <v>0</v>
      </c>
    </row>
    <row r="737" spans="1:52" ht="12.75">
      <c r="A737" s="2" t="str">
        <f>HYPERLINK("https://ibp.a2mac1.com/costing(costing:projects/details/8191/assembly/5388270)","Water Drainage Ducts")</f>
        <v>Water Drainage Ducts</v>
      </c>
      <c r="B737">
        <v>5388270</v>
      </c>
      <c r="D737">
        <v>5388146</v>
      </c>
      <c r="F737">
        <v>1</v>
      </c>
      <c r="G737">
        <v>0</v>
      </c>
      <c r="H737">
        <v>0.0097923724633477705</v>
      </c>
      <c r="I737">
        <v>0</v>
      </c>
      <c r="J737" t="s">
        <v>90</v>
      </c>
      <c r="K737">
        <v>0</v>
      </c>
      <c r="L737">
        <v>0.0097923724633477705</v>
      </c>
      <c r="M737">
        <v>0</v>
      </c>
      <c r="N737">
        <v>0</v>
      </c>
      <c r="O737">
        <v>0.0097923724633477705</v>
      </c>
      <c r="P737" t="s">
        <v>90</v>
      </c>
      <c r="Q737">
        <v>0</v>
      </c>
      <c r="R737" t="s">
        <v>90</v>
      </c>
      <c r="S737">
        <v>0</v>
      </c>
      <c r="T737" t="s">
        <v>90</v>
      </c>
      <c r="U737">
        <v>0</v>
      </c>
      <c r="V737" t="s">
        <v>90</v>
      </c>
      <c r="W737">
        <v>0</v>
      </c>
      <c r="X737" t="s">
        <v>90</v>
      </c>
      <c r="Y737">
        <v>0</v>
      </c>
      <c r="Z737">
        <v>0.0097923724633477705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L737">
        <v>0.0060000000000000001</v>
      </c>
      <c r="AN737" t="s">
        <v>223</v>
      </c>
      <c r="AO737" t="s">
        <v>92</v>
      </c>
      <c r="AP737">
        <v>200000</v>
      </c>
      <c r="AQ737" t="s">
        <v>92</v>
      </c>
      <c r="AS737">
        <v>10000</v>
      </c>
      <c r="AT737" t="s">
        <v>6225</v>
      </c>
      <c r="AU737" t="s">
        <v>78</v>
      </c>
      <c r="AV737" t="s">
        <v>79</v>
      </c>
      <c r="AY737">
        <v>0</v>
      </c>
    </row>
    <row r="738" spans="1:52" ht="12.75">
      <c r="A738" s="2" t="str">
        <f>HYPERLINK("https://ibp.a2mac1.com/costing(costing:projects/details/8191/assembly/5388146)","Water Box   Draining System")</f>
        <v>Water Box   Draining System</v>
      </c>
      <c r="B738">
        <v>5388146</v>
      </c>
      <c r="D738">
        <v>5388128</v>
      </c>
      <c r="F738">
        <v>1</v>
      </c>
      <c r="G738">
        <v>0</v>
      </c>
      <c r="H738">
        <v>1.5600991180760269</v>
      </c>
      <c r="I738">
        <v>0</v>
      </c>
      <c r="J738" t="s">
        <v>90</v>
      </c>
      <c r="K738">
        <v>0</v>
      </c>
      <c r="L738">
        <v>1.5600991180760269</v>
      </c>
      <c r="M738">
        <v>0</v>
      </c>
      <c r="N738">
        <v>0</v>
      </c>
      <c r="O738">
        <v>1.5600991180760269</v>
      </c>
      <c r="P738" t="s">
        <v>90</v>
      </c>
      <c r="Q738">
        <v>0</v>
      </c>
      <c r="R738" t="s">
        <v>90</v>
      </c>
      <c r="S738">
        <v>0</v>
      </c>
      <c r="T738" t="s">
        <v>90</v>
      </c>
      <c r="U738">
        <v>0</v>
      </c>
      <c r="V738" t="s">
        <v>90</v>
      </c>
      <c r="W738">
        <v>0</v>
      </c>
      <c r="X738" t="s">
        <v>90</v>
      </c>
      <c r="Y738">
        <v>0</v>
      </c>
      <c r="Z738">
        <v>1.5600991180760269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L738">
        <v>0.865</v>
      </c>
      <c r="AN738" t="s">
        <v>223</v>
      </c>
      <c r="AO738" t="s">
        <v>92</v>
      </c>
      <c r="AP738">
        <v>200000</v>
      </c>
      <c r="AQ738" t="s">
        <v>92</v>
      </c>
      <c r="AS738">
        <v>10000</v>
      </c>
      <c r="AT738" t="s">
        <v>6236</v>
      </c>
      <c r="AU738" t="s">
        <v>78</v>
      </c>
      <c r="AV738" t="s">
        <v>79</v>
      </c>
      <c r="AY738">
        <v>0</v>
      </c>
    </row>
    <row r="739" spans="1:52" ht="12.75">
      <c r="A739" s="2" t="str">
        <f>HYPERLINK("https://ibp.a2mac1.com/costing(costing:projects/details/8191/assembly/5388147)","Rocker Panel Cover")</f>
        <v>Rocker Panel Cover</v>
      </c>
      <c r="B739">
        <v>5388147</v>
      </c>
      <c r="D739">
        <v>5388128</v>
      </c>
      <c r="F739">
        <v>1</v>
      </c>
      <c r="G739">
        <v>0</v>
      </c>
      <c r="H739">
        <v>3.9902239395570174</v>
      </c>
      <c r="I739">
        <v>0</v>
      </c>
      <c r="J739" t="s">
        <v>90</v>
      </c>
      <c r="K739">
        <v>0</v>
      </c>
      <c r="L739">
        <v>3.9902239395570174</v>
      </c>
      <c r="M739">
        <v>0</v>
      </c>
      <c r="N739">
        <v>0</v>
      </c>
      <c r="O739">
        <v>3.9902239395570174</v>
      </c>
      <c r="P739" t="s">
        <v>90</v>
      </c>
      <c r="Q739">
        <v>0</v>
      </c>
      <c r="R739" t="s">
        <v>90</v>
      </c>
      <c r="S739">
        <v>0</v>
      </c>
      <c r="T739" t="s">
        <v>90</v>
      </c>
      <c r="U739">
        <v>0</v>
      </c>
      <c r="V739" t="s">
        <v>90</v>
      </c>
      <c r="W739">
        <v>0</v>
      </c>
      <c r="X739" t="s">
        <v>90</v>
      </c>
      <c r="Y739">
        <v>0</v>
      </c>
      <c r="Z739">
        <v>3.9902239395570174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L739">
        <v>1.7978000000000001</v>
      </c>
      <c r="AN739" t="s">
        <v>223</v>
      </c>
      <c r="AO739" t="s">
        <v>92</v>
      </c>
      <c r="AP739">
        <v>200000</v>
      </c>
      <c r="AQ739" t="s">
        <v>92</v>
      </c>
      <c r="AS739">
        <v>10000</v>
      </c>
      <c r="AT739" t="s">
        <v>6243</v>
      </c>
      <c r="AU739" t="s">
        <v>78</v>
      </c>
      <c r="AV739" t="s">
        <v>79</v>
      </c>
      <c r="AY739">
        <v>0</v>
      </c>
    </row>
    <row r="740" spans="1:52" ht="12.75">
      <c r="A740" s="2" t="str">
        <f>HYPERLINK("https://ibp.a2mac1.com/costing(costing:projects/details/8191/assembly/5388148)","Pillar Trim")</f>
        <v>Pillar Trim</v>
      </c>
      <c r="B740">
        <v>5388148</v>
      </c>
      <c r="D740">
        <v>5388128</v>
      </c>
      <c r="F740">
        <v>1</v>
      </c>
      <c r="G740">
        <v>0</v>
      </c>
      <c r="H740">
        <v>3.6556061367617576</v>
      </c>
      <c r="I740">
        <v>0</v>
      </c>
      <c r="J740" t="s">
        <v>90</v>
      </c>
      <c r="K740">
        <v>0</v>
      </c>
      <c r="L740">
        <v>3.6556061367617576</v>
      </c>
      <c r="M740">
        <v>0</v>
      </c>
      <c r="N740">
        <v>0</v>
      </c>
      <c r="O740">
        <v>3.6556061367617576</v>
      </c>
      <c r="P740" t="s">
        <v>90</v>
      </c>
      <c r="Q740">
        <v>0</v>
      </c>
      <c r="R740" t="s">
        <v>90</v>
      </c>
      <c r="S740">
        <v>0</v>
      </c>
      <c r="T740" t="s">
        <v>90</v>
      </c>
      <c r="U740">
        <v>0</v>
      </c>
      <c r="V740" t="s">
        <v>90</v>
      </c>
      <c r="W740">
        <v>0</v>
      </c>
      <c r="X740" t="s">
        <v>90</v>
      </c>
      <c r="Y740">
        <v>0</v>
      </c>
      <c r="Z740">
        <v>3.6556061367617576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L740">
        <v>1.2148000000000001</v>
      </c>
      <c r="AN740" t="s">
        <v>223</v>
      </c>
      <c r="AO740" t="s">
        <v>92</v>
      </c>
      <c r="AP740">
        <v>200000</v>
      </c>
      <c r="AQ740" t="s">
        <v>92</v>
      </c>
      <c r="AS740">
        <v>10000</v>
      </c>
      <c r="AT740" t="s">
        <v>6259</v>
      </c>
      <c r="AU740" t="s">
        <v>78</v>
      </c>
      <c r="AV740" t="s">
        <v>79</v>
      </c>
      <c r="AY740">
        <v>0</v>
      </c>
    </row>
    <row r="741" spans="1:52" ht="12.75">
      <c r="A741" s="2" t="str">
        <f>HYPERLINK("https://ibp.a2mac1.com/costing(costing:projects/details/8191/assembly/5388149)","Roof Trim")</f>
        <v>Roof Trim</v>
      </c>
      <c r="B741">
        <v>5388149</v>
      </c>
      <c r="D741">
        <v>5388128</v>
      </c>
      <c r="F741">
        <v>1</v>
      </c>
      <c r="G741">
        <v>0</v>
      </c>
      <c r="H741">
        <v>6.5075550924801426</v>
      </c>
      <c r="I741">
        <v>0</v>
      </c>
      <c r="J741" t="s">
        <v>90</v>
      </c>
      <c r="K741">
        <v>0</v>
      </c>
      <c r="L741">
        <v>6.5075550924801426</v>
      </c>
      <c r="M741">
        <v>0</v>
      </c>
      <c r="N741">
        <v>0</v>
      </c>
      <c r="O741">
        <v>6.5075550924801426</v>
      </c>
      <c r="P741" t="s">
        <v>90</v>
      </c>
      <c r="Q741">
        <v>0</v>
      </c>
      <c r="R741" t="s">
        <v>90</v>
      </c>
      <c r="S741">
        <v>0</v>
      </c>
      <c r="T741" t="s">
        <v>90</v>
      </c>
      <c r="U741">
        <v>0</v>
      </c>
      <c r="V741" t="s">
        <v>90</v>
      </c>
      <c r="W741">
        <v>0</v>
      </c>
      <c r="X741" t="s">
        <v>90</v>
      </c>
      <c r="Y741">
        <v>0</v>
      </c>
      <c r="Z741">
        <v>6.5075550924801426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L741">
        <v>0.69120000000000004</v>
      </c>
      <c r="AN741" t="s">
        <v>223</v>
      </c>
      <c r="AO741" t="s">
        <v>92</v>
      </c>
      <c r="AP741">
        <v>200000</v>
      </c>
      <c r="AQ741" t="s">
        <v>92</v>
      </c>
      <c r="AS741">
        <v>10000</v>
      </c>
      <c r="AT741" t="s">
        <v>6269</v>
      </c>
      <c r="AU741" t="s">
        <v>78</v>
      </c>
      <c r="AV741" t="s">
        <v>79</v>
      </c>
      <c r="AY741">
        <v>0</v>
      </c>
    </row>
    <row r="742" spans="1:52" ht="12.75">
      <c r="A742" s="2" t="str">
        <f>HYPERLINK("https://ibp.a2mac1.com/costing(costing:projects/details/8191/assembly/5388150)","Decompression System")</f>
        <v>Decompression System</v>
      </c>
      <c r="B742">
        <v>5388150</v>
      </c>
      <c r="D742">
        <v>5388128</v>
      </c>
      <c r="F742">
        <v>1</v>
      </c>
      <c r="G742">
        <v>0</v>
      </c>
      <c r="H742">
        <v>0.94975002053411217</v>
      </c>
      <c r="I742">
        <v>0</v>
      </c>
      <c r="J742" t="s">
        <v>90</v>
      </c>
      <c r="K742">
        <v>0</v>
      </c>
      <c r="L742">
        <v>0.94975002053411217</v>
      </c>
      <c r="M742">
        <v>0</v>
      </c>
      <c r="N742">
        <v>0</v>
      </c>
      <c r="O742">
        <v>0.94975002053411217</v>
      </c>
      <c r="P742" t="s">
        <v>90</v>
      </c>
      <c r="Q742">
        <v>0</v>
      </c>
      <c r="R742" t="s">
        <v>90</v>
      </c>
      <c r="S742">
        <v>0</v>
      </c>
      <c r="T742" t="s">
        <v>90</v>
      </c>
      <c r="U742">
        <v>0</v>
      </c>
      <c r="V742" t="s">
        <v>90</v>
      </c>
      <c r="W742">
        <v>0</v>
      </c>
      <c r="X742" t="s">
        <v>90</v>
      </c>
      <c r="Y742">
        <v>0</v>
      </c>
      <c r="Z742">
        <v>0.94975002053411217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L742">
        <v>0.113</v>
      </c>
      <c r="AN742" t="s">
        <v>223</v>
      </c>
      <c r="AO742" t="s">
        <v>92</v>
      </c>
      <c r="AP742">
        <v>200000</v>
      </c>
      <c r="AQ742" t="s">
        <v>92</v>
      </c>
      <c r="AS742">
        <v>10000</v>
      </c>
      <c r="AT742" t="s">
        <v>6280</v>
      </c>
      <c r="AU742" t="s">
        <v>78</v>
      </c>
      <c r="AV742" t="s">
        <v>79</v>
      </c>
      <c r="AY742">
        <v>0</v>
      </c>
    </row>
    <row r="743" spans="1:52" ht="12.75">
      <c r="A743" s="2" t="str">
        <f>HYPERLINK("https://ibp.a2mac1.com/costing(costing:projects/details/8191/assembly/5388151)","Hole Plugs")</f>
        <v>Hole Plugs</v>
      </c>
      <c r="B743">
        <v>5388151</v>
      </c>
      <c r="D743">
        <v>5388128</v>
      </c>
      <c r="F743">
        <v>1</v>
      </c>
      <c r="G743">
        <v>0</v>
      </c>
      <c r="H743">
        <v>13.63</v>
      </c>
      <c r="I743">
        <v>0</v>
      </c>
      <c r="J743" t="s">
        <v>90</v>
      </c>
      <c r="K743">
        <v>0</v>
      </c>
      <c r="L743">
        <v>13.63</v>
      </c>
      <c r="M743">
        <v>0</v>
      </c>
      <c r="N743">
        <v>0</v>
      </c>
      <c r="O743">
        <v>13.63</v>
      </c>
      <c r="P743" t="s">
        <v>90</v>
      </c>
      <c r="Q743">
        <v>0</v>
      </c>
      <c r="R743" t="s">
        <v>90</v>
      </c>
      <c r="S743">
        <v>0</v>
      </c>
      <c r="T743" t="s">
        <v>90</v>
      </c>
      <c r="U743">
        <v>0</v>
      </c>
      <c r="V743" t="s">
        <v>90</v>
      </c>
      <c r="W743">
        <v>0</v>
      </c>
      <c r="X743" t="s">
        <v>90</v>
      </c>
      <c r="Y743">
        <v>0</v>
      </c>
      <c r="Z743">
        <v>13.63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L743">
        <v>0.076200000000000004</v>
      </c>
      <c r="AN743" t="s">
        <v>223</v>
      </c>
      <c r="AO743" t="s">
        <v>92</v>
      </c>
      <c r="AP743">
        <v>200000</v>
      </c>
      <c r="AQ743" t="s">
        <v>92</v>
      </c>
      <c r="AS743">
        <v>10000</v>
      </c>
      <c r="AT743" t="s">
        <v>6298</v>
      </c>
      <c r="AU743" t="s">
        <v>78</v>
      </c>
      <c r="AV743" t="s">
        <v>79</v>
      </c>
      <c r="AY743">
        <v>0</v>
      </c>
    </row>
    <row r="744" spans="1:52" ht="12.75">
      <c r="A744" s="2" t="str">
        <f>HYPERLINK("https://ibp.a2mac1.com/costing(costing:projects/details/8191/assembly/5388152)","Roof Member")</f>
        <v>Roof Member</v>
      </c>
      <c r="B744">
        <v>5388152</v>
      </c>
      <c r="D744">
        <v>5388128</v>
      </c>
      <c r="F744">
        <v>1</v>
      </c>
      <c r="G744">
        <v>0</v>
      </c>
      <c r="H744">
        <v>3.1797998443250841</v>
      </c>
      <c r="I744">
        <v>0</v>
      </c>
      <c r="J744" t="s">
        <v>90</v>
      </c>
      <c r="K744">
        <v>0</v>
      </c>
      <c r="L744">
        <v>3.1797998443250841</v>
      </c>
      <c r="M744">
        <v>0</v>
      </c>
      <c r="N744">
        <v>0</v>
      </c>
      <c r="O744">
        <v>3.1797998443250841</v>
      </c>
      <c r="P744" t="s">
        <v>90</v>
      </c>
      <c r="Q744">
        <v>0</v>
      </c>
      <c r="R744" t="s">
        <v>90</v>
      </c>
      <c r="S744">
        <v>0</v>
      </c>
      <c r="T744" t="s">
        <v>90</v>
      </c>
      <c r="U744">
        <v>0</v>
      </c>
      <c r="V744" t="s">
        <v>90</v>
      </c>
      <c r="W744">
        <v>0</v>
      </c>
      <c r="X744" t="s">
        <v>90</v>
      </c>
      <c r="Y744">
        <v>0</v>
      </c>
      <c r="Z744">
        <v>3.1797998443250841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L744">
        <v>2.3584000000000001</v>
      </c>
      <c r="AN744" t="s">
        <v>223</v>
      </c>
      <c r="AO744" t="s">
        <v>92</v>
      </c>
      <c r="AP744">
        <v>200000</v>
      </c>
      <c r="AQ744" t="s">
        <v>92</v>
      </c>
      <c r="AS744">
        <v>10000</v>
      </c>
      <c r="AT744" t="s">
        <v>6307</v>
      </c>
      <c r="AU744" t="s">
        <v>78</v>
      </c>
      <c r="AV744" t="s">
        <v>79</v>
      </c>
      <c r="AY744">
        <v>0</v>
      </c>
    </row>
    <row r="745" spans="1:52" ht="12.75">
      <c r="A745" s="2" t="str">
        <f>HYPERLINK("https://ibp.a2mac1.com/costing(costing:projects/details/8191/assembly/5388288)","Front")</f>
        <v>Front</v>
      </c>
      <c r="B745">
        <v>5388288</v>
      </c>
      <c r="D745">
        <v>5388153</v>
      </c>
      <c r="F745">
        <v>1</v>
      </c>
      <c r="G745">
        <v>0</v>
      </c>
      <c r="H745">
        <v>5.8976424242685708</v>
      </c>
      <c r="I745">
        <v>0.029636394091801865</v>
      </c>
      <c r="J745" t="s">
        <v>137</v>
      </c>
      <c r="K745">
        <v>0.20641748484939998</v>
      </c>
      <c r="L745">
        <v>6.1336963032097724</v>
      </c>
      <c r="M745">
        <v>0</v>
      </c>
      <c r="N745">
        <v>0</v>
      </c>
      <c r="O745">
        <v>6.1336963032097724</v>
      </c>
      <c r="P745" t="s">
        <v>138</v>
      </c>
      <c r="Q745">
        <v>0.36802177819258636</v>
      </c>
      <c r="R745" t="s">
        <v>138</v>
      </c>
      <c r="S745">
        <v>0</v>
      </c>
      <c r="T745" t="s">
        <v>139</v>
      </c>
      <c r="U745">
        <v>0.73604355638517271</v>
      </c>
      <c r="V745" t="s">
        <v>90</v>
      </c>
      <c r="W745">
        <v>0</v>
      </c>
      <c r="X745" t="s">
        <v>90</v>
      </c>
      <c r="Y745">
        <v>0</v>
      </c>
      <c r="Z745">
        <v>7.237761637787532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L745">
        <v>4.1505999999999998</v>
      </c>
      <c r="AN745" t="s">
        <v>6181</v>
      </c>
      <c r="AO745" t="s">
        <v>92</v>
      </c>
      <c r="AP745">
        <v>200000</v>
      </c>
      <c r="AQ745" t="s">
        <v>76</v>
      </c>
      <c r="AS745">
        <v>10000</v>
      </c>
      <c r="AT745" t="s">
        <v>6316</v>
      </c>
      <c r="AU745" t="s">
        <v>78</v>
      </c>
      <c r="AV745" t="s">
        <v>79</v>
      </c>
      <c r="AY745">
        <v>0</v>
      </c>
    </row>
    <row r="746" spans="1:52" ht="12.75">
      <c r="A746" s="2" t="str">
        <f>HYPERLINK("https://ibp.a2mac1.com/costing(costing:projects/details/8191/assembly/5388289)","Sliding Roof Water Outlet System")</f>
        <v>Sliding Roof Water Outlet System</v>
      </c>
      <c r="B746">
        <v>5388289</v>
      </c>
      <c r="D746">
        <v>5388153</v>
      </c>
      <c r="F746">
        <v>1</v>
      </c>
      <c r="G746">
        <v>0</v>
      </c>
      <c r="H746">
        <v>0.48217103948600515</v>
      </c>
      <c r="I746">
        <v>0</v>
      </c>
      <c r="J746" t="s">
        <v>90</v>
      </c>
      <c r="K746">
        <v>0</v>
      </c>
      <c r="L746">
        <v>0.48217103948600515</v>
      </c>
      <c r="M746">
        <v>0</v>
      </c>
      <c r="N746">
        <v>0</v>
      </c>
      <c r="O746">
        <v>0.48217103948600515</v>
      </c>
      <c r="P746" t="s">
        <v>90</v>
      </c>
      <c r="Q746">
        <v>0</v>
      </c>
      <c r="R746" t="s">
        <v>90</v>
      </c>
      <c r="S746">
        <v>0</v>
      </c>
      <c r="T746" t="s">
        <v>90</v>
      </c>
      <c r="U746">
        <v>0</v>
      </c>
      <c r="V746" t="s">
        <v>90</v>
      </c>
      <c r="W746">
        <v>0</v>
      </c>
      <c r="X746" t="s">
        <v>90</v>
      </c>
      <c r="Y746">
        <v>0</v>
      </c>
      <c r="Z746">
        <v>0.48217103948600515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L746">
        <v>0.25</v>
      </c>
      <c r="AN746" t="s">
        <v>223</v>
      </c>
      <c r="AO746" t="s">
        <v>92</v>
      </c>
      <c r="AP746">
        <v>200000</v>
      </c>
      <c r="AQ746" t="s">
        <v>92</v>
      </c>
      <c r="AS746">
        <v>10000</v>
      </c>
      <c r="AT746" t="s">
        <v>6329</v>
      </c>
      <c r="AU746" t="s">
        <v>78</v>
      </c>
      <c r="AV746" t="s">
        <v>79</v>
      </c>
      <c r="AY746">
        <v>0</v>
      </c>
    </row>
    <row r="747" spans="1:52" ht="12.75">
      <c r="A747" s="2" t="str">
        <f>HYPERLINK("https://ibp.a2mac1.com/costing(costing:projects/details/8191/assembly/5388153)","Sliding Roof System")</f>
        <v>Sliding Roof System</v>
      </c>
      <c r="B747">
        <v>5388153</v>
      </c>
      <c r="D747">
        <v>5388128</v>
      </c>
      <c r="F747">
        <v>1</v>
      </c>
      <c r="G747">
        <v>0</v>
      </c>
      <c r="H747">
        <v>7.7199326772735368</v>
      </c>
      <c r="I747">
        <v>0</v>
      </c>
      <c r="J747" t="s">
        <v>90</v>
      </c>
      <c r="K747">
        <v>0</v>
      </c>
      <c r="L747">
        <v>7.7199326772735368</v>
      </c>
      <c r="M747">
        <v>0</v>
      </c>
      <c r="N747">
        <v>0</v>
      </c>
      <c r="O747">
        <v>7.7199326772735368</v>
      </c>
      <c r="P747" t="s">
        <v>90</v>
      </c>
      <c r="Q747">
        <v>0</v>
      </c>
      <c r="R747" t="s">
        <v>90</v>
      </c>
      <c r="S747">
        <v>0</v>
      </c>
      <c r="T747" t="s">
        <v>90</v>
      </c>
      <c r="U747">
        <v>0</v>
      </c>
      <c r="V747" t="s">
        <v>90</v>
      </c>
      <c r="W747">
        <v>0</v>
      </c>
      <c r="X747" t="s">
        <v>90</v>
      </c>
      <c r="Y747">
        <v>0</v>
      </c>
      <c r="Z747">
        <v>7.7199326772735368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L747">
        <v>4.4005999999999998</v>
      </c>
      <c r="AN747" t="s">
        <v>223</v>
      </c>
      <c r="AO747" t="s">
        <v>92</v>
      </c>
      <c r="AP747">
        <v>200000</v>
      </c>
      <c r="AQ747" t="s">
        <v>92</v>
      </c>
      <c r="AS747">
        <v>10000</v>
      </c>
      <c r="AT747" t="s">
        <v>6330</v>
      </c>
      <c r="AU747" t="s">
        <v>78</v>
      </c>
      <c r="AV747" t="s">
        <v>79</v>
      </c>
      <c r="AY747">
        <v>0</v>
      </c>
    </row>
    <row r="748" spans="1:52" ht="12.75">
      <c r="A748" s="2" t="str">
        <f>HYPERLINK("https://ibp.a2mac1.com/costing(costing:projects/details/8191/assembly/5388154)","Engine Compartment Protection System")</f>
        <v>Engine Compartment Protection System</v>
      </c>
      <c r="B748">
        <v>5388154</v>
      </c>
      <c r="D748">
        <v>5388128</v>
      </c>
      <c r="F748">
        <v>1</v>
      </c>
      <c r="G748">
        <v>0</v>
      </c>
      <c r="H748">
        <v>1.2980402000309019</v>
      </c>
      <c r="I748">
        <v>0</v>
      </c>
      <c r="J748" t="s">
        <v>90</v>
      </c>
      <c r="K748">
        <v>0</v>
      </c>
      <c r="L748">
        <v>1.2980402000309019</v>
      </c>
      <c r="M748">
        <v>0</v>
      </c>
      <c r="N748">
        <v>0</v>
      </c>
      <c r="O748">
        <v>1.2980402000309019</v>
      </c>
      <c r="P748" t="s">
        <v>90</v>
      </c>
      <c r="Q748">
        <v>0</v>
      </c>
      <c r="R748" t="s">
        <v>90</v>
      </c>
      <c r="S748">
        <v>0</v>
      </c>
      <c r="T748" t="s">
        <v>90</v>
      </c>
      <c r="U748">
        <v>0</v>
      </c>
      <c r="V748" t="s">
        <v>90</v>
      </c>
      <c r="W748">
        <v>0</v>
      </c>
      <c r="X748" t="s">
        <v>90</v>
      </c>
      <c r="Y748">
        <v>0</v>
      </c>
      <c r="Z748">
        <v>1.2980402000309019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L748">
        <v>0.434</v>
      </c>
      <c r="AN748" t="s">
        <v>223</v>
      </c>
      <c r="AO748" t="s">
        <v>92</v>
      </c>
      <c r="AP748">
        <v>200000</v>
      </c>
      <c r="AQ748" t="s">
        <v>92</v>
      </c>
      <c r="AS748">
        <v>10000</v>
      </c>
      <c r="AT748" t="s">
        <v>6343</v>
      </c>
      <c r="AU748" t="s">
        <v>78</v>
      </c>
      <c r="AV748" t="s">
        <v>79</v>
      </c>
      <c r="AY748">
        <v>0</v>
      </c>
    </row>
    <row r="749" spans="1:52" ht="12.75">
      <c r="A749" s="2" t="str">
        <f>HYPERLINK("https://ibp.a2mac1.com/costing(costing:projects/details/8191/assembly/5389437)","Cross member")</f>
        <v>Cross member</v>
      </c>
      <c r="B749">
        <v>5389437</v>
      </c>
      <c r="D749">
        <v>5389236</v>
      </c>
      <c r="F749">
        <v>1</v>
      </c>
      <c r="G749">
        <v>0</v>
      </c>
      <c r="H749">
        <v>2.0334232515599209</v>
      </c>
      <c r="I749">
        <v>0</v>
      </c>
      <c r="J749" t="s">
        <v>90</v>
      </c>
      <c r="K749">
        <v>0</v>
      </c>
      <c r="L749">
        <v>2.0334232515599209</v>
      </c>
      <c r="M749">
        <v>0</v>
      </c>
      <c r="N749">
        <v>0</v>
      </c>
      <c r="O749">
        <v>2.0334232515599209</v>
      </c>
      <c r="P749" t="s">
        <v>90</v>
      </c>
      <c r="Q749">
        <v>0</v>
      </c>
      <c r="R749" t="s">
        <v>90</v>
      </c>
      <c r="S749">
        <v>0</v>
      </c>
      <c r="T749" t="s">
        <v>90</v>
      </c>
      <c r="U749">
        <v>0</v>
      </c>
      <c r="V749" t="s">
        <v>90</v>
      </c>
      <c r="W749">
        <v>0</v>
      </c>
      <c r="X749" t="s">
        <v>90</v>
      </c>
      <c r="Y749">
        <v>0</v>
      </c>
      <c r="Z749">
        <v>2.0334232515599209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N749" t="s">
        <v>223</v>
      </c>
      <c r="AO749" t="s">
        <v>92</v>
      </c>
      <c r="AP749">
        <v>200000</v>
      </c>
      <c r="AQ749" t="s">
        <v>92</v>
      </c>
      <c r="AS749">
        <v>10000</v>
      </c>
      <c r="AT749" t="s">
        <v>9</v>
      </c>
      <c r="AU749" t="s">
        <v>78</v>
      </c>
      <c r="AV749" t="s">
        <v>79</v>
      </c>
      <c r="AY749">
        <v>0</v>
      </c>
    </row>
    <row r="750" spans="1:52" ht="12.75">
      <c r="A750" s="2" t="str">
        <f>HYPERLINK("https://ibp.a2mac1.com/costing(costing:projects/details/8191/assembly/5389438)","Gussets")</f>
        <v>Gussets</v>
      </c>
      <c r="B750">
        <v>5389438</v>
      </c>
      <c r="D750">
        <v>5389236</v>
      </c>
      <c r="F750">
        <v>1</v>
      </c>
      <c r="G750">
        <v>0</v>
      </c>
      <c r="H750">
        <v>0.47291408925397571</v>
      </c>
      <c r="I750">
        <v>0</v>
      </c>
      <c r="J750" t="s">
        <v>90</v>
      </c>
      <c r="K750">
        <v>0</v>
      </c>
      <c r="L750">
        <v>0.47291408925397571</v>
      </c>
      <c r="M750">
        <v>0</v>
      </c>
      <c r="N750">
        <v>0</v>
      </c>
      <c r="O750">
        <v>0.47291408925397571</v>
      </c>
      <c r="P750" t="s">
        <v>90</v>
      </c>
      <c r="Q750">
        <v>0</v>
      </c>
      <c r="R750" t="s">
        <v>90</v>
      </c>
      <c r="S750">
        <v>0</v>
      </c>
      <c r="T750" t="s">
        <v>90</v>
      </c>
      <c r="U750">
        <v>0</v>
      </c>
      <c r="V750" t="s">
        <v>90</v>
      </c>
      <c r="W750">
        <v>0</v>
      </c>
      <c r="X750" t="s">
        <v>90</v>
      </c>
      <c r="Y750">
        <v>0</v>
      </c>
      <c r="Z750">
        <v>0.47291408925397571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N750" t="s">
        <v>223</v>
      </c>
      <c r="AO750" t="s">
        <v>92</v>
      </c>
      <c r="AP750">
        <v>200000</v>
      </c>
      <c r="AQ750" t="s">
        <v>92</v>
      </c>
      <c r="AS750">
        <v>10000</v>
      </c>
      <c r="AT750" t="s">
        <v>9</v>
      </c>
      <c r="AU750" t="s">
        <v>78</v>
      </c>
      <c r="AV750" t="s">
        <v>79</v>
      </c>
      <c r="AY750">
        <v>0</v>
      </c>
    </row>
    <row r="751" spans="1:52" ht="12.75">
      <c r="A751" s="2" t="str">
        <f>HYPERLINK("https://ibp.a2mac1.com/costing(costing:projects/details/8191/assembly/5389236)","Front cross member assy")</f>
        <v>Front cross member assy</v>
      </c>
      <c r="B751">
        <v>5389236</v>
      </c>
      <c r="D751">
        <v>5388935</v>
      </c>
      <c r="F751">
        <v>1</v>
      </c>
      <c r="G751">
        <v>0</v>
      </c>
      <c r="H751">
        <v>2.5063373408138965</v>
      </c>
      <c r="I751">
        <v>0</v>
      </c>
      <c r="J751" t="s">
        <v>90</v>
      </c>
      <c r="K751">
        <v>0</v>
      </c>
      <c r="L751">
        <v>2.5063373408138965</v>
      </c>
      <c r="M751">
        <v>0</v>
      </c>
      <c r="N751">
        <v>0</v>
      </c>
      <c r="O751">
        <v>2.5063373408138965</v>
      </c>
      <c r="P751" t="s">
        <v>90</v>
      </c>
      <c r="Q751">
        <v>0</v>
      </c>
      <c r="R751" t="s">
        <v>90</v>
      </c>
      <c r="S751">
        <v>0</v>
      </c>
      <c r="T751" t="s">
        <v>90</v>
      </c>
      <c r="U751">
        <v>0</v>
      </c>
      <c r="V751" t="s">
        <v>90</v>
      </c>
      <c r="W751">
        <v>0</v>
      </c>
      <c r="X751" t="s">
        <v>90</v>
      </c>
      <c r="Y751">
        <v>0</v>
      </c>
      <c r="Z751">
        <v>2.5063373408138965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N751" t="s">
        <v>223</v>
      </c>
      <c r="AO751" t="s">
        <v>92</v>
      </c>
      <c r="AP751">
        <v>200000</v>
      </c>
      <c r="AQ751" t="s">
        <v>92</v>
      </c>
      <c r="AS751">
        <v>10000</v>
      </c>
      <c r="AT751" t="s">
        <v>9</v>
      </c>
      <c r="AU751" t="s">
        <v>78</v>
      </c>
      <c r="AV751" t="s">
        <v>79</v>
      </c>
      <c r="AY751">
        <v>0</v>
      </c>
    </row>
    <row r="752" spans="1:52" ht="12.75">
      <c r="A752" s="2" t="str">
        <f>HYPERLINK("https://ibp.a2mac1.com/costing(costing:projects/details/8191/assembly/5389439)","Cross member")</f>
        <v>Cross member</v>
      </c>
      <c r="B752">
        <v>5389439</v>
      </c>
      <c r="D752">
        <v>5389237</v>
      </c>
      <c r="F752">
        <v>1</v>
      </c>
      <c r="G752">
        <v>0</v>
      </c>
      <c r="H752">
        <v>1.4684920934852299</v>
      </c>
      <c r="I752">
        <v>0</v>
      </c>
      <c r="J752" t="s">
        <v>90</v>
      </c>
      <c r="K752">
        <v>0</v>
      </c>
      <c r="L752">
        <v>1.4684920934852299</v>
      </c>
      <c r="M752">
        <v>0</v>
      </c>
      <c r="N752">
        <v>0</v>
      </c>
      <c r="O752">
        <v>1.4684920934852299</v>
      </c>
      <c r="P752" t="s">
        <v>90</v>
      </c>
      <c r="Q752">
        <v>0</v>
      </c>
      <c r="R752" t="s">
        <v>90</v>
      </c>
      <c r="S752">
        <v>0</v>
      </c>
      <c r="T752" t="s">
        <v>90</v>
      </c>
      <c r="U752">
        <v>0</v>
      </c>
      <c r="V752" t="s">
        <v>90</v>
      </c>
      <c r="W752">
        <v>0</v>
      </c>
      <c r="X752" t="s">
        <v>90</v>
      </c>
      <c r="Y752">
        <v>0</v>
      </c>
      <c r="Z752">
        <v>1.4684920934852299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N752" t="s">
        <v>223</v>
      </c>
      <c r="AO752" t="s">
        <v>92</v>
      </c>
      <c r="AP752">
        <v>200000</v>
      </c>
      <c r="AQ752" t="s">
        <v>92</v>
      </c>
      <c r="AS752">
        <v>10000</v>
      </c>
      <c r="AT752" t="s">
        <v>9</v>
      </c>
      <c r="AU752" t="s">
        <v>78</v>
      </c>
      <c r="AV752" t="s">
        <v>79</v>
      </c>
      <c r="AY752">
        <v>0</v>
      </c>
    </row>
    <row r="753" spans="1:52" ht="12.75">
      <c r="A753" s="2" t="str">
        <f>HYPERLINK("https://ibp.a2mac1.com/costing(costing:projects/details/8191/assembly/5389237)","Rear cross member assy")</f>
        <v>Rear cross member assy</v>
      </c>
      <c r="B753">
        <v>5389237</v>
      </c>
      <c r="D753">
        <v>5388935</v>
      </c>
      <c r="F753">
        <v>1</v>
      </c>
      <c r="G753">
        <v>0</v>
      </c>
      <c r="H753">
        <v>1.4684920934852299</v>
      </c>
      <c r="I753">
        <v>0</v>
      </c>
      <c r="J753" t="s">
        <v>90</v>
      </c>
      <c r="K753">
        <v>0</v>
      </c>
      <c r="L753">
        <v>1.4684920934852299</v>
      </c>
      <c r="M753">
        <v>0</v>
      </c>
      <c r="N753">
        <v>0</v>
      </c>
      <c r="O753">
        <v>1.4684920934852299</v>
      </c>
      <c r="P753" t="s">
        <v>90</v>
      </c>
      <c r="Q753">
        <v>0</v>
      </c>
      <c r="R753" t="s">
        <v>90</v>
      </c>
      <c r="S753">
        <v>0</v>
      </c>
      <c r="T753" t="s">
        <v>90</v>
      </c>
      <c r="U753">
        <v>0</v>
      </c>
      <c r="V753" t="s">
        <v>90</v>
      </c>
      <c r="W753">
        <v>0</v>
      </c>
      <c r="X753" t="s">
        <v>90</v>
      </c>
      <c r="Y753">
        <v>0</v>
      </c>
      <c r="Z753">
        <v>1.4684920934852299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N753" t="s">
        <v>223</v>
      </c>
      <c r="AO753" t="s">
        <v>92</v>
      </c>
      <c r="AP753">
        <v>200000</v>
      </c>
      <c r="AQ753" t="s">
        <v>92</v>
      </c>
      <c r="AS753">
        <v>10000</v>
      </c>
      <c r="AT753" t="s">
        <v>9</v>
      </c>
      <c r="AU753" t="s">
        <v>78</v>
      </c>
      <c r="AV753" t="s">
        <v>79</v>
      </c>
      <c r="AY753">
        <v>0</v>
      </c>
    </row>
    <row r="754" spans="1:52" ht="12.75">
      <c r="A754" s="2" t="str">
        <f>HYPERLINK("https://ibp.a2mac1.com/costing(costing:projects/details/8191/assembly/5389719)","Cross member")</f>
        <v>Cross member</v>
      </c>
      <c r="B754">
        <v>5389719</v>
      </c>
      <c r="D754">
        <v>5389440</v>
      </c>
      <c r="F754">
        <v>1</v>
      </c>
      <c r="G754">
        <v>0</v>
      </c>
      <c r="H754">
        <v>0.61097107584156329</v>
      </c>
      <c r="I754">
        <v>0</v>
      </c>
      <c r="J754" t="s">
        <v>90</v>
      </c>
      <c r="K754">
        <v>0</v>
      </c>
      <c r="L754">
        <v>0.61097107584156329</v>
      </c>
      <c r="M754">
        <v>0</v>
      </c>
      <c r="N754">
        <v>0</v>
      </c>
      <c r="O754">
        <v>0.61097107584156329</v>
      </c>
      <c r="P754" t="s">
        <v>90</v>
      </c>
      <c r="Q754">
        <v>0</v>
      </c>
      <c r="R754" t="s">
        <v>90</v>
      </c>
      <c r="S754">
        <v>0</v>
      </c>
      <c r="T754" t="s">
        <v>90</v>
      </c>
      <c r="U754">
        <v>0</v>
      </c>
      <c r="V754" t="s">
        <v>90</v>
      </c>
      <c r="W754">
        <v>0</v>
      </c>
      <c r="X754" t="s">
        <v>90</v>
      </c>
      <c r="Y754">
        <v>0</v>
      </c>
      <c r="Z754">
        <v>0.61097107584156329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N754" t="s">
        <v>223</v>
      </c>
      <c r="AO754" t="s">
        <v>92</v>
      </c>
      <c r="AP754">
        <v>200000</v>
      </c>
      <c r="AQ754" t="s">
        <v>92</v>
      </c>
      <c r="AS754">
        <v>10000</v>
      </c>
      <c r="AT754" t="s">
        <v>9</v>
      </c>
      <c r="AU754" t="s">
        <v>78</v>
      </c>
      <c r="AV754" t="s">
        <v>79</v>
      </c>
      <c r="AY754">
        <v>0</v>
      </c>
    </row>
    <row r="755" spans="1:52" ht="12.75">
      <c r="A755" s="2" t="str">
        <f>HYPERLINK("https://ibp.a2mac1.com/costing(costing:projects/details/8191/assembly/5389440)","Cross member 01 front")</f>
        <v>Cross member 01 front</v>
      </c>
      <c r="B755">
        <v>5389440</v>
      </c>
      <c r="D755">
        <v>5389238</v>
      </c>
      <c r="F755">
        <v>1</v>
      </c>
      <c r="G755">
        <v>0</v>
      </c>
      <c r="H755">
        <v>0.61097107584156329</v>
      </c>
      <c r="I755">
        <v>0</v>
      </c>
      <c r="J755" t="s">
        <v>90</v>
      </c>
      <c r="K755">
        <v>0</v>
      </c>
      <c r="L755">
        <v>0.61097107584156329</v>
      </c>
      <c r="M755">
        <v>0</v>
      </c>
      <c r="N755">
        <v>0</v>
      </c>
      <c r="O755">
        <v>0.61097107584156329</v>
      </c>
      <c r="P755" t="s">
        <v>90</v>
      </c>
      <c r="Q755">
        <v>0</v>
      </c>
      <c r="R755" t="s">
        <v>90</v>
      </c>
      <c r="S755">
        <v>0</v>
      </c>
      <c r="T755" t="s">
        <v>90</v>
      </c>
      <c r="U755">
        <v>0</v>
      </c>
      <c r="V755" t="s">
        <v>90</v>
      </c>
      <c r="W755">
        <v>0</v>
      </c>
      <c r="X755" t="s">
        <v>90</v>
      </c>
      <c r="Y755">
        <v>0</v>
      </c>
      <c r="Z755">
        <v>0.61097107584156329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N755" t="s">
        <v>223</v>
      </c>
      <c r="AO755" t="s">
        <v>92</v>
      </c>
      <c r="AP755">
        <v>200000</v>
      </c>
      <c r="AQ755" t="s">
        <v>92</v>
      </c>
      <c r="AS755">
        <v>10000</v>
      </c>
      <c r="AT755" t="s">
        <v>9</v>
      </c>
      <c r="AU755" t="s">
        <v>78</v>
      </c>
      <c r="AV755" t="s">
        <v>79</v>
      </c>
      <c r="AY755">
        <v>0</v>
      </c>
    </row>
    <row r="756" spans="1:52" ht="12.75">
      <c r="A756" s="2" t="str">
        <f>HYPERLINK("https://ibp.a2mac1.com/costing(costing:projects/details/8191/assembly/5389238)","Intermediate cross members")</f>
        <v>Intermediate cross members</v>
      </c>
      <c r="B756">
        <v>5389238</v>
      </c>
      <c r="D756">
        <v>5388935</v>
      </c>
      <c r="F756">
        <v>1</v>
      </c>
      <c r="G756">
        <v>0</v>
      </c>
      <c r="H756">
        <v>0.61097107584156329</v>
      </c>
      <c r="I756">
        <v>0</v>
      </c>
      <c r="J756" t="s">
        <v>90</v>
      </c>
      <c r="K756">
        <v>0</v>
      </c>
      <c r="L756">
        <v>0.61097107584156329</v>
      </c>
      <c r="M756">
        <v>0</v>
      </c>
      <c r="N756">
        <v>0</v>
      </c>
      <c r="O756">
        <v>0.61097107584156329</v>
      </c>
      <c r="P756" t="s">
        <v>90</v>
      </c>
      <c r="Q756">
        <v>0</v>
      </c>
      <c r="R756" t="s">
        <v>90</v>
      </c>
      <c r="S756">
        <v>0</v>
      </c>
      <c r="T756" t="s">
        <v>90</v>
      </c>
      <c r="U756">
        <v>0</v>
      </c>
      <c r="V756" t="s">
        <v>90</v>
      </c>
      <c r="W756">
        <v>0</v>
      </c>
      <c r="X756" t="s">
        <v>90</v>
      </c>
      <c r="Y756">
        <v>0</v>
      </c>
      <c r="Z756">
        <v>0.61097107584156329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N756" t="s">
        <v>223</v>
      </c>
      <c r="AO756" t="s">
        <v>92</v>
      </c>
      <c r="AP756">
        <v>200000</v>
      </c>
      <c r="AQ756" t="s">
        <v>92</v>
      </c>
      <c r="AS756">
        <v>10000</v>
      </c>
      <c r="AT756" t="s">
        <v>9</v>
      </c>
      <c r="AU756" t="s">
        <v>78</v>
      </c>
      <c r="AV756" t="s">
        <v>79</v>
      </c>
      <c r="AY756">
        <v>0</v>
      </c>
    </row>
    <row r="757" spans="1:52" ht="12.75">
      <c r="A757" s="2" t="str">
        <f>HYPERLINK("https://ibp.a2mac1.com/costing(costing:projects/details/8191/assembly/5388935)","Cross members")</f>
        <v>Cross members</v>
      </c>
      <c r="B757">
        <v>5388935</v>
      </c>
      <c r="D757">
        <v>5388629</v>
      </c>
      <c r="F757">
        <v>1</v>
      </c>
      <c r="G757">
        <v>0</v>
      </c>
      <c r="H757">
        <v>4.5858005101406896</v>
      </c>
      <c r="I757">
        <v>0</v>
      </c>
      <c r="J757" t="s">
        <v>90</v>
      </c>
      <c r="K757">
        <v>0</v>
      </c>
      <c r="L757">
        <v>4.5858005101406896</v>
      </c>
      <c r="M757">
        <v>0</v>
      </c>
      <c r="N757">
        <v>0</v>
      </c>
      <c r="O757">
        <v>4.5858005101406896</v>
      </c>
      <c r="P757" t="s">
        <v>90</v>
      </c>
      <c r="Q757">
        <v>0</v>
      </c>
      <c r="R757" t="s">
        <v>90</v>
      </c>
      <c r="S757">
        <v>0</v>
      </c>
      <c r="T757" t="s">
        <v>90</v>
      </c>
      <c r="U757">
        <v>0</v>
      </c>
      <c r="V757" t="s">
        <v>90</v>
      </c>
      <c r="W757">
        <v>0</v>
      </c>
      <c r="X757" t="s">
        <v>90</v>
      </c>
      <c r="Y757">
        <v>0</v>
      </c>
      <c r="Z757">
        <v>4.5858005101406896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N757" t="s">
        <v>223</v>
      </c>
      <c r="AO757" t="s">
        <v>92</v>
      </c>
      <c r="AP757">
        <v>200000</v>
      </c>
      <c r="AQ757" t="s">
        <v>92</v>
      </c>
      <c r="AS757">
        <v>10000</v>
      </c>
      <c r="AT757" t="s">
        <v>9</v>
      </c>
      <c r="AU757" t="s">
        <v>78</v>
      </c>
      <c r="AV757" t="s">
        <v>79</v>
      </c>
      <c r="AY757">
        <v>0</v>
      </c>
    </row>
    <row r="758" spans="1:52" ht="12.75">
      <c r="A758" s="2" t="str">
        <f>HYPERLINK("https://ibp.a2mac1.com/costing(costing:projects/details/8191/assembly/5389239)","Exterior skin")</f>
        <v>Exterior skin</v>
      </c>
      <c r="B758">
        <v>5389239</v>
      </c>
      <c r="D758">
        <v>5388936</v>
      </c>
      <c r="F758">
        <v>1</v>
      </c>
      <c r="G758">
        <v>0</v>
      </c>
      <c r="H758">
        <v>3.5899982929570529</v>
      </c>
      <c r="I758">
        <v>0</v>
      </c>
      <c r="J758" t="s">
        <v>90</v>
      </c>
      <c r="K758">
        <v>0</v>
      </c>
      <c r="L758">
        <v>3.5899982929570529</v>
      </c>
      <c r="M758">
        <v>0</v>
      </c>
      <c r="N758">
        <v>0</v>
      </c>
      <c r="O758">
        <v>3.5899982929570529</v>
      </c>
      <c r="P758" t="s">
        <v>90</v>
      </c>
      <c r="Q758">
        <v>0</v>
      </c>
      <c r="R758" t="s">
        <v>90</v>
      </c>
      <c r="S758">
        <v>0</v>
      </c>
      <c r="T758" t="s">
        <v>90</v>
      </c>
      <c r="U758">
        <v>0</v>
      </c>
      <c r="V758" t="s">
        <v>90</v>
      </c>
      <c r="W758">
        <v>0</v>
      </c>
      <c r="X758" t="s">
        <v>90</v>
      </c>
      <c r="Y758">
        <v>0</v>
      </c>
      <c r="Z758">
        <v>3.5899982929570529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N758" t="s">
        <v>223</v>
      </c>
      <c r="AO758" t="s">
        <v>92</v>
      </c>
      <c r="AP758">
        <v>200000</v>
      </c>
      <c r="AQ758" t="s">
        <v>92</v>
      </c>
      <c r="AS758">
        <v>10000</v>
      </c>
      <c r="AT758" t="s">
        <v>9</v>
      </c>
      <c r="AU758" t="s">
        <v>78</v>
      </c>
      <c r="AV758" t="s">
        <v>79</v>
      </c>
      <c r="AY758">
        <v>0</v>
      </c>
    </row>
    <row r="759" spans="1:52" ht="12.75">
      <c r="A759" s="2" t="str">
        <f>HYPERLINK("https://ibp.a2mac1.com/costing(costing:projects/details/8191/assembly/5389442)","Frame")</f>
        <v>Frame</v>
      </c>
      <c r="B759">
        <v>5389442</v>
      </c>
      <c r="D759">
        <v>5389240</v>
      </c>
      <c r="F759">
        <v>1</v>
      </c>
      <c r="G759">
        <v>0</v>
      </c>
      <c r="H759">
        <v>2.2807892053045444</v>
      </c>
      <c r="I759">
        <v>0</v>
      </c>
      <c r="J759" t="s">
        <v>90</v>
      </c>
      <c r="K759">
        <v>0</v>
      </c>
      <c r="L759">
        <v>2.2807892053045444</v>
      </c>
      <c r="M759">
        <v>0</v>
      </c>
      <c r="N759">
        <v>0</v>
      </c>
      <c r="O759">
        <v>2.2807892053045444</v>
      </c>
      <c r="P759" t="s">
        <v>90</v>
      </c>
      <c r="Q759">
        <v>0</v>
      </c>
      <c r="R759" t="s">
        <v>90</v>
      </c>
      <c r="S759">
        <v>0</v>
      </c>
      <c r="T759" t="s">
        <v>90</v>
      </c>
      <c r="U759">
        <v>0</v>
      </c>
      <c r="V759" t="s">
        <v>90</v>
      </c>
      <c r="W759">
        <v>0</v>
      </c>
      <c r="X759" t="s">
        <v>90</v>
      </c>
      <c r="Y759">
        <v>0</v>
      </c>
      <c r="Z759">
        <v>2.2807892053045444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N759" t="s">
        <v>223</v>
      </c>
      <c r="AO759" t="s">
        <v>92</v>
      </c>
      <c r="AP759">
        <v>200000</v>
      </c>
      <c r="AQ759" t="s">
        <v>92</v>
      </c>
      <c r="AS759">
        <v>10000</v>
      </c>
      <c r="AT759" t="s">
        <v>9</v>
      </c>
      <c r="AU759" t="s">
        <v>78</v>
      </c>
      <c r="AV759" t="s">
        <v>79</v>
      </c>
      <c r="AY759">
        <v>0</v>
      </c>
    </row>
    <row r="760" spans="1:52" ht="12.75">
      <c r="A760" s="2" t="str">
        <f>HYPERLINK("https://ibp.a2mac1.com/costing(costing:projects/details/8191/assembly/5389240)","Frame assy")</f>
        <v>Frame assy</v>
      </c>
      <c r="B760">
        <v>5389240</v>
      </c>
      <c r="D760">
        <v>5388936</v>
      </c>
      <c r="F760">
        <v>1</v>
      </c>
      <c r="G760">
        <v>0</v>
      </c>
      <c r="H760">
        <v>2.2807892053045444</v>
      </c>
      <c r="I760">
        <v>0</v>
      </c>
      <c r="J760" t="s">
        <v>90</v>
      </c>
      <c r="K760">
        <v>0</v>
      </c>
      <c r="L760">
        <v>2.2807892053045444</v>
      </c>
      <c r="M760">
        <v>0</v>
      </c>
      <c r="N760">
        <v>0</v>
      </c>
      <c r="O760">
        <v>2.2807892053045444</v>
      </c>
      <c r="P760" t="s">
        <v>90</v>
      </c>
      <c r="Q760">
        <v>0</v>
      </c>
      <c r="R760" t="s">
        <v>90</v>
      </c>
      <c r="S760">
        <v>0</v>
      </c>
      <c r="T760" t="s">
        <v>90</v>
      </c>
      <c r="U760">
        <v>0</v>
      </c>
      <c r="V760" t="s">
        <v>90</v>
      </c>
      <c r="W760">
        <v>0</v>
      </c>
      <c r="X760" t="s">
        <v>90</v>
      </c>
      <c r="Y760">
        <v>0</v>
      </c>
      <c r="Z760">
        <v>2.2807892053045444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N760" t="s">
        <v>223</v>
      </c>
      <c r="AO760" t="s">
        <v>92</v>
      </c>
      <c r="AP760">
        <v>200000</v>
      </c>
      <c r="AQ760" t="s">
        <v>92</v>
      </c>
      <c r="AS760">
        <v>10000</v>
      </c>
      <c r="AT760" t="s">
        <v>9</v>
      </c>
      <c r="AU760" t="s">
        <v>78</v>
      </c>
      <c r="AV760" t="s">
        <v>79</v>
      </c>
      <c r="AY760">
        <v>0</v>
      </c>
    </row>
    <row r="761" spans="1:52" ht="12.75">
      <c r="A761" s="2" t="str">
        <f>HYPERLINK("https://ibp.a2mac1.com/costing(costing:projects/details/8191/assembly/5388936)","Roof panel assy")</f>
        <v>Roof panel assy</v>
      </c>
      <c r="B761">
        <v>5388936</v>
      </c>
      <c r="D761">
        <v>5388629</v>
      </c>
      <c r="F761">
        <v>1</v>
      </c>
      <c r="G761">
        <v>0</v>
      </c>
      <c r="H761">
        <v>5.8707874982615973</v>
      </c>
      <c r="I761">
        <v>0</v>
      </c>
      <c r="J761" t="s">
        <v>90</v>
      </c>
      <c r="K761">
        <v>0</v>
      </c>
      <c r="L761">
        <v>5.8707874982615973</v>
      </c>
      <c r="M761">
        <v>0</v>
      </c>
      <c r="N761">
        <v>0</v>
      </c>
      <c r="O761">
        <v>5.8707874982615973</v>
      </c>
      <c r="P761" t="s">
        <v>90</v>
      </c>
      <c r="Q761">
        <v>0</v>
      </c>
      <c r="R761" t="s">
        <v>90</v>
      </c>
      <c r="S761">
        <v>0</v>
      </c>
      <c r="T761" t="s">
        <v>90</v>
      </c>
      <c r="U761">
        <v>0</v>
      </c>
      <c r="V761" t="s">
        <v>90</v>
      </c>
      <c r="W761">
        <v>0</v>
      </c>
      <c r="X761" t="s">
        <v>90</v>
      </c>
      <c r="Y761">
        <v>0</v>
      </c>
      <c r="Z761">
        <v>5.8707874982615973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N761" t="s">
        <v>223</v>
      </c>
      <c r="AO761" t="s">
        <v>92</v>
      </c>
      <c r="AP761">
        <v>200000</v>
      </c>
      <c r="AQ761" t="s">
        <v>92</v>
      </c>
      <c r="AS761">
        <v>10000</v>
      </c>
      <c r="AT761" t="s">
        <v>9</v>
      </c>
      <c r="AU761" t="s">
        <v>78</v>
      </c>
      <c r="AV761" t="s">
        <v>79</v>
      </c>
      <c r="AY761">
        <v>0</v>
      </c>
    </row>
    <row r="762" spans="1:52" ht="12.75">
      <c r="A762" s="2" t="str">
        <f>HYPERLINK("https://ibp.a2mac1.com/costing(costing:projects/details/8191/assembly/5388629)","Roof assy")</f>
        <v>Roof assy</v>
      </c>
      <c r="B762">
        <v>5388629</v>
      </c>
      <c r="D762">
        <v>5388292</v>
      </c>
      <c r="F762">
        <v>1</v>
      </c>
      <c r="G762">
        <v>0</v>
      </c>
      <c r="H762">
        <v>10.456588008402287</v>
      </c>
      <c r="I762">
        <v>0</v>
      </c>
      <c r="J762" t="s">
        <v>90</v>
      </c>
      <c r="K762">
        <v>0</v>
      </c>
      <c r="L762">
        <v>10.456588008402287</v>
      </c>
      <c r="M762">
        <v>0</v>
      </c>
      <c r="N762">
        <v>0</v>
      </c>
      <c r="O762">
        <v>10.456588008402287</v>
      </c>
      <c r="P762" t="s">
        <v>90</v>
      </c>
      <c r="Q762">
        <v>0</v>
      </c>
      <c r="R762" t="s">
        <v>90</v>
      </c>
      <c r="S762">
        <v>0</v>
      </c>
      <c r="T762" t="s">
        <v>90</v>
      </c>
      <c r="U762">
        <v>0</v>
      </c>
      <c r="V762" t="s">
        <v>90</v>
      </c>
      <c r="W762">
        <v>0</v>
      </c>
      <c r="X762" t="s">
        <v>90</v>
      </c>
      <c r="Y762">
        <v>0</v>
      </c>
      <c r="Z762">
        <v>10.456588008402287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N762" t="s">
        <v>223</v>
      </c>
      <c r="AO762" t="s">
        <v>92</v>
      </c>
      <c r="AP762">
        <v>200000</v>
      </c>
      <c r="AQ762" t="s">
        <v>92</v>
      </c>
      <c r="AS762">
        <v>10000</v>
      </c>
      <c r="AT762" t="s">
        <v>9</v>
      </c>
      <c r="AU762" t="s">
        <v>78</v>
      </c>
      <c r="AV762" t="s">
        <v>79</v>
      </c>
      <c r="AY762">
        <v>0</v>
      </c>
    </row>
    <row r="763" spans="1:52" ht="12.75">
      <c r="A763" s="2" t="str">
        <f>HYPERLINK("https://ibp.a2mac1.com/costing(costing:projects/details/8191/assembly/5389241)","Member")</f>
        <v>Member</v>
      </c>
      <c r="B763">
        <v>5389241</v>
      </c>
      <c r="D763">
        <v>5388937</v>
      </c>
      <c r="F763">
        <v>1</v>
      </c>
      <c r="G763">
        <v>0</v>
      </c>
      <c r="H763">
        <v>2.1143690851825352</v>
      </c>
      <c r="I763">
        <v>0</v>
      </c>
      <c r="J763" t="s">
        <v>90</v>
      </c>
      <c r="K763">
        <v>0</v>
      </c>
      <c r="L763">
        <v>2.1143690851825352</v>
      </c>
      <c r="M763">
        <v>0</v>
      </c>
      <c r="N763">
        <v>0</v>
      </c>
      <c r="O763">
        <v>2.1143690851825352</v>
      </c>
      <c r="P763" t="s">
        <v>90</v>
      </c>
      <c r="Q763">
        <v>0</v>
      </c>
      <c r="R763" t="s">
        <v>90</v>
      </c>
      <c r="S763">
        <v>0</v>
      </c>
      <c r="T763" t="s">
        <v>90</v>
      </c>
      <c r="U763">
        <v>0</v>
      </c>
      <c r="V763" t="s">
        <v>90</v>
      </c>
      <c r="W763">
        <v>0</v>
      </c>
      <c r="X763" t="s">
        <v>90</v>
      </c>
      <c r="Y763">
        <v>0</v>
      </c>
      <c r="Z763">
        <v>2.1143690851825352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N763" t="s">
        <v>223</v>
      </c>
      <c r="AO763" t="s">
        <v>92</v>
      </c>
      <c r="AP763">
        <v>200000</v>
      </c>
      <c r="AQ763" t="s">
        <v>92</v>
      </c>
      <c r="AS763">
        <v>10000</v>
      </c>
      <c r="AT763" t="s">
        <v>9</v>
      </c>
      <c r="AU763" t="s">
        <v>78</v>
      </c>
      <c r="AV763" t="s">
        <v>79</v>
      </c>
      <c r="AY763">
        <v>0</v>
      </c>
    </row>
    <row r="764" spans="1:52" ht="12.75">
      <c r="A764" s="2" t="str">
        <f>HYPERLINK("https://ibp.a2mac1.com/costing(costing:projects/details/8191/assembly/5389242)","Reinforcements")</f>
        <v>Reinforcements</v>
      </c>
      <c r="B764">
        <v>5389242</v>
      </c>
      <c r="D764">
        <v>5388937</v>
      </c>
      <c r="F764">
        <v>1</v>
      </c>
      <c r="G764">
        <v>0</v>
      </c>
      <c r="H764">
        <v>1.660677696093698</v>
      </c>
      <c r="I764">
        <v>0</v>
      </c>
      <c r="J764" t="s">
        <v>90</v>
      </c>
      <c r="K764">
        <v>0</v>
      </c>
      <c r="L764">
        <v>1.660677696093698</v>
      </c>
      <c r="M764">
        <v>0</v>
      </c>
      <c r="N764">
        <v>0</v>
      </c>
      <c r="O764">
        <v>1.660677696093698</v>
      </c>
      <c r="P764" t="s">
        <v>90</v>
      </c>
      <c r="Q764">
        <v>0</v>
      </c>
      <c r="R764" t="s">
        <v>90</v>
      </c>
      <c r="S764">
        <v>0</v>
      </c>
      <c r="T764" t="s">
        <v>90</v>
      </c>
      <c r="U764">
        <v>0</v>
      </c>
      <c r="V764" t="s">
        <v>90</v>
      </c>
      <c r="W764">
        <v>0</v>
      </c>
      <c r="X764" t="s">
        <v>90</v>
      </c>
      <c r="Y764">
        <v>0</v>
      </c>
      <c r="Z764">
        <v>1.660677696093698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N764" t="s">
        <v>223</v>
      </c>
      <c r="AO764" t="s">
        <v>92</v>
      </c>
      <c r="AP764">
        <v>200000</v>
      </c>
      <c r="AQ764" t="s">
        <v>92</v>
      </c>
      <c r="AS764">
        <v>10000</v>
      </c>
      <c r="AT764" t="s">
        <v>9</v>
      </c>
      <c r="AU764" t="s">
        <v>78</v>
      </c>
      <c r="AV764" t="s">
        <v>79</v>
      </c>
      <c r="AY764">
        <v>0</v>
      </c>
    </row>
    <row r="765" spans="1:52" ht="12.75">
      <c r="A765" s="2" t="str">
        <f>HYPERLINK("https://ibp.a2mac1.com/costing(costing:projects/details/8191/assembly/5389243)","Fixing parts")</f>
        <v>Fixing parts</v>
      </c>
      <c r="B765">
        <v>5389243</v>
      </c>
      <c r="D765">
        <v>5388937</v>
      </c>
      <c r="F765">
        <v>1</v>
      </c>
      <c r="G765">
        <v>0</v>
      </c>
      <c r="H765">
        <v>0.86689131305469835</v>
      </c>
      <c r="I765">
        <v>0</v>
      </c>
      <c r="J765" t="s">
        <v>90</v>
      </c>
      <c r="K765">
        <v>0</v>
      </c>
      <c r="L765">
        <v>0.86689131305469835</v>
      </c>
      <c r="M765">
        <v>0</v>
      </c>
      <c r="N765">
        <v>0</v>
      </c>
      <c r="O765">
        <v>0.86689131305469835</v>
      </c>
      <c r="P765" t="s">
        <v>90</v>
      </c>
      <c r="Q765">
        <v>0</v>
      </c>
      <c r="R765" t="s">
        <v>90</v>
      </c>
      <c r="S765">
        <v>0</v>
      </c>
      <c r="T765" t="s">
        <v>90</v>
      </c>
      <c r="U765">
        <v>0</v>
      </c>
      <c r="V765" t="s">
        <v>90</v>
      </c>
      <c r="W765">
        <v>0</v>
      </c>
      <c r="X765" t="s">
        <v>90</v>
      </c>
      <c r="Y765">
        <v>0</v>
      </c>
      <c r="Z765">
        <v>0.86689131305469835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N765" t="s">
        <v>223</v>
      </c>
      <c r="AO765" t="s">
        <v>92</v>
      </c>
      <c r="AP765">
        <v>200000</v>
      </c>
      <c r="AQ765" t="s">
        <v>92</v>
      </c>
      <c r="AS765">
        <v>10000</v>
      </c>
      <c r="AT765" t="s">
        <v>9</v>
      </c>
      <c r="AU765" t="s">
        <v>78</v>
      </c>
      <c r="AV765" t="s">
        <v>79</v>
      </c>
      <c r="AY765">
        <v>0</v>
      </c>
    </row>
    <row r="766" spans="1:52" ht="12.75">
      <c r="A766" s="2" t="str">
        <f>HYPERLINK("https://ibp.a2mac1.com/costing(costing:projects/details/8191/assembly/5388937)","Cowl member")</f>
        <v>Cowl member</v>
      </c>
      <c r="B766">
        <v>5388937</v>
      </c>
      <c r="D766">
        <v>5388630</v>
      </c>
      <c r="F766">
        <v>1</v>
      </c>
      <c r="G766">
        <v>0</v>
      </c>
      <c r="H766">
        <v>4.6419380943309321</v>
      </c>
      <c r="I766">
        <v>0</v>
      </c>
      <c r="J766" t="s">
        <v>90</v>
      </c>
      <c r="K766">
        <v>0</v>
      </c>
      <c r="L766">
        <v>4.6419380943309321</v>
      </c>
      <c r="M766">
        <v>0</v>
      </c>
      <c r="N766">
        <v>0</v>
      </c>
      <c r="O766">
        <v>4.6419380943309321</v>
      </c>
      <c r="P766" t="s">
        <v>90</v>
      </c>
      <c r="Q766">
        <v>0</v>
      </c>
      <c r="R766" t="s">
        <v>90</v>
      </c>
      <c r="S766">
        <v>0</v>
      </c>
      <c r="T766" t="s">
        <v>90</v>
      </c>
      <c r="U766">
        <v>0</v>
      </c>
      <c r="V766" t="s">
        <v>90</v>
      </c>
      <c r="W766">
        <v>0</v>
      </c>
      <c r="X766" t="s">
        <v>90</v>
      </c>
      <c r="Y766">
        <v>0</v>
      </c>
      <c r="Z766">
        <v>4.6419380943309321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N766" t="s">
        <v>223</v>
      </c>
      <c r="AO766" t="s">
        <v>92</v>
      </c>
      <c r="AP766">
        <v>200000</v>
      </c>
      <c r="AQ766" t="s">
        <v>92</v>
      </c>
      <c r="AS766">
        <v>10000</v>
      </c>
      <c r="AT766" t="s">
        <v>9</v>
      </c>
      <c r="AU766" t="s">
        <v>78</v>
      </c>
      <c r="AV766" t="s">
        <v>79</v>
      </c>
      <c r="AY766">
        <v>0</v>
      </c>
    </row>
    <row r="767" spans="1:52" ht="12.75">
      <c r="A767" s="2" t="str">
        <f>HYPERLINK("https://ibp.a2mac1.com/costing(costing:projects/details/8191/assembly/5389244)","Panel")</f>
        <v>Panel</v>
      </c>
      <c r="B767">
        <v>5389244</v>
      </c>
      <c r="D767">
        <v>5388938</v>
      </c>
      <c r="F767">
        <v>1</v>
      </c>
      <c r="G767">
        <v>0</v>
      </c>
      <c r="H767">
        <v>3.6021251394057496</v>
      </c>
      <c r="I767">
        <v>0</v>
      </c>
      <c r="J767" t="s">
        <v>90</v>
      </c>
      <c r="K767">
        <v>0</v>
      </c>
      <c r="L767">
        <v>3.6021251394057496</v>
      </c>
      <c r="M767">
        <v>0</v>
      </c>
      <c r="N767">
        <v>0</v>
      </c>
      <c r="O767">
        <v>3.6021251394057496</v>
      </c>
      <c r="P767" t="s">
        <v>90</v>
      </c>
      <c r="Q767">
        <v>0</v>
      </c>
      <c r="R767" t="s">
        <v>90</v>
      </c>
      <c r="S767">
        <v>0</v>
      </c>
      <c r="T767" t="s">
        <v>90</v>
      </c>
      <c r="U767">
        <v>0</v>
      </c>
      <c r="V767" t="s">
        <v>90</v>
      </c>
      <c r="W767">
        <v>0</v>
      </c>
      <c r="X767" t="s">
        <v>90</v>
      </c>
      <c r="Y767">
        <v>0</v>
      </c>
      <c r="Z767">
        <v>3.6021251394057496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N767" t="s">
        <v>223</v>
      </c>
      <c r="AO767" t="s">
        <v>92</v>
      </c>
      <c r="AP767">
        <v>200000</v>
      </c>
      <c r="AQ767" t="s">
        <v>92</v>
      </c>
      <c r="AS767">
        <v>10000</v>
      </c>
      <c r="AT767" t="s">
        <v>9</v>
      </c>
      <c r="AU767" t="s">
        <v>78</v>
      </c>
      <c r="AV767" t="s">
        <v>79</v>
      </c>
      <c r="AY767">
        <v>0</v>
      </c>
    </row>
    <row r="768" spans="1:52" ht="12.75">
      <c r="A768" s="2" t="str">
        <f>HYPERLINK("https://ibp.a2mac1.com/costing(costing:projects/details/8191/assembly/5389245)","Reinforcements")</f>
        <v>Reinforcements</v>
      </c>
      <c r="B768">
        <v>5389245</v>
      </c>
      <c r="D768">
        <v>5388938</v>
      </c>
      <c r="F768">
        <v>1</v>
      </c>
      <c r="G768">
        <v>0</v>
      </c>
      <c r="H768">
        <v>2.4720210054982323</v>
      </c>
      <c r="I768">
        <v>0</v>
      </c>
      <c r="J768" t="s">
        <v>90</v>
      </c>
      <c r="K768">
        <v>0</v>
      </c>
      <c r="L768">
        <v>2.4720210054982323</v>
      </c>
      <c r="M768">
        <v>0</v>
      </c>
      <c r="N768">
        <v>0</v>
      </c>
      <c r="O768">
        <v>2.4720210054982323</v>
      </c>
      <c r="P768" t="s">
        <v>90</v>
      </c>
      <c r="Q768">
        <v>0</v>
      </c>
      <c r="R768" t="s">
        <v>90</v>
      </c>
      <c r="S768">
        <v>0</v>
      </c>
      <c r="T768" t="s">
        <v>90</v>
      </c>
      <c r="U768">
        <v>0</v>
      </c>
      <c r="V768" t="s">
        <v>90</v>
      </c>
      <c r="W768">
        <v>0</v>
      </c>
      <c r="X768" t="s">
        <v>90</v>
      </c>
      <c r="Y768">
        <v>0</v>
      </c>
      <c r="Z768">
        <v>2.4720210054982323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N768" t="s">
        <v>223</v>
      </c>
      <c r="AO768" t="s">
        <v>92</v>
      </c>
      <c r="AP768">
        <v>200000</v>
      </c>
      <c r="AQ768" t="s">
        <v>92</v>
      </c>
      <c r="AS768">
        <v>10000</v>
      </c>
      <c r="AT768" t="s">
        <v>9</v>
      </c>
      <c r="AU768" t="s">
        <v>78</v>
      </c>
      <c r="AV768" t="s">
        <v>79</v>
      </c>
      <c r="AY768">
        <v>0</v>
      </c>
    </row>
    <row r="769" spans="1:52" ht="12.75">
      <c r="A769" s="2" t="str">
        <f>HYPERLINK("https://ibp.a2mac1.com/costing(costing:projects/details/8191/assembly/5389246)","Fixing parts")</f>
        <v>Fixing parts</v>
      </c>
      <c r="B769">
        <v>5389246</v>
      </c>
      <c r="D769">
        <v>5388938</v>
      </c>
      <c r="F769">
        <v>1</v>
      </c>
      <c r="G769">
        <v>0</v>
      </c>
      <c r="H769">
        <v>0.13209464009079067</v>
      </c>
      <c r="I769">
        <v>0</v>
      </c>
      <c r="J769" t="s">
        <v>90</v>
      </c>
      <c r="K769">
        <v>0</v>
      </c>
      <c r="L769">
        <v>0.13209464009079067</v>
      </c>
      <c r="M769">
        <v>0</v>
      </c>
      <c r="N769">
        <v>0</v>
      </c>
      <c r="O769">
        <v>0.13209464009079067</v>
      </c>
      <c r="P769" t="s">
        <v>90</v>
      </c>
      <c r="Q769">
        <v>0</v>
      </c>
      <c r="R769" t="s">
        <v>90</v>
      </c>
      <c r="S769">
        <v>0</v>
      </c>
      <c r="T769" t="s">
        <v>90</v>
      </c>
      <c r="U769">
        <v>0</v>
      </c>
      <c r="V769" t="s">
        <v>90</v>
      </c>
      <c r="W769">
        <v>0</v>
      </c>
      <c r="X769" t="s">
        <v>90</v>
      </c>
      <c r="Y769">
        <v>0</v>
      </c>
      <c r="Z769">
        <v>0.13209464009079067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N769" t="s">
        <v>223</v>
      </c>
      <c r="AO769" t="s">
        <v>92</v>
      </c>
      <c r="AP769">
        <v>200000</v>
      </c>
      <c r="AQ769" t="s">
        <v>92</v>
      </c>
      <c r="AS769">
        <v>10000</v>
      </c>
      <c r="AT769" t="s">
        <v>9</v>
      </c>
      <c r="AU769" t="s">
        <v>78</v>
      </c>
      <c r="AV769" t="s">
        <v>79</v>
      </c>
      <c r="AY769">
        <v>0</v>
      </c>
    </row>
    <row r="770" spans="1:52" ht="12.75">
      <c r="A770" s="2" t="str">
        <f>HYPERLINK("https://ibp.a2mac1.com/costing(costing:projects/details/8191/assembly/5388938)","Cowl panel")</f>
        <v>Cowl panel</v>
      </c>
      <c r="B770">
        <v>5388938</v>
      </c>
      <c r="D770">
        <v>5388630</v>
      </c>
      <c r="F770">
        <v>1</v>
      </c>
      <c r="G770">
        <v>0</v>
      </c>
      <c r="H770">
        <v>6.2062407849947725</v>
      </c>
      <c r="I770">
        <v>0</v>
      </c>
      <c r="J770" t="s">
        <v>90</v>
      </c>
      <c r="K770">
        <v>0</v>
      </c>
      <c r="L770">
        <v>6.2062407849947725</v>
      </c>
      <c r="M770">
        <v>0</v>
      </c>
      <c r="N770">
        <v>0</v>
      </c>
      <c r="O770">
        <v>6.2062407849947725</v>
      </c>
      <c r="P770" t="s">
        <v>90</v>
      </c>
      <c r="Q770">
        <v>0</v>
      </c>
      <c r="R770" t="s">
        <v>90</v>
      </c>
      <c r="S770">
        <v>0</v>
      </c>
      <c r="T770" t="s">
        <v>90</v>
      </c>
      <c r="U770">
        <v>0</v>
      </c>
      <c r="V770" t="s">
        <v>90</v>
      </c>
      <c r="W770">
        <v>0</v>
      </c>
      <c r="X770" t="s">
        <v>90</v>
      </c>
      <c r="Y770">
        <v>0</v>
      </c>
      <c r="Z770">
        <v>6.2062407849947725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N770" t="s">
        <v>223</v>
      </c>
      <c r="AO770" t="s">
        <v>92</v>
      </c>
      <c r="AP770">
        <v>200000</v>
      </c>
      <c r="AQ770" t="s">
        <v>92</v>
      </c>
      <c r="AS770">
        <v>10000</v>
      </c>
      <c r="AT770" t="s">
        <v>9</v>
      </c>
      <c r="AU770" t="s">
        <v>78</v>
      </c>
      <c r="AV770" t="s">
        <v>79</v>
      </c>
      <c r="AY770">
        <v>0</v>
      </c>
    </row>
    <row r="771" spans="1:52" ht="12.75">
      <c r="A771" s="2" t="str">
        <f>HYPERLINK("https://ibp.a2mac1.com/costing(costing:projects/details/8191/assembly/5389454)","Member")</f>
        <v>Member</v>
      </c>
      <c r="B771">
        <v>5389454</v>
      </c>
      <c r="D771">
        <v>5389247</v>
      </c>
      <c r="F771">
        <v>1</v>
      </c>
      <c r="G771">
        <v>0</v>
      </c>
      <c r="H771">
        <v>0.59171354008944255</v>
      </c>
      <c r="I771">
        <v>0</v>
      </c>
      <c r="J771" t="s">
        <v>90</v>
      </c>
      <c r="K771">
        <v>0</v>
      </c>
      <c r="L771">
        <v>0.59171354008944255</v>
      </c>
      <c r="M771">
        <v>0</v>
      </c>
      <c r="N771">
        <v>0</v>
      </c>
      <c r="O771">
        <v>0.59171354008944255</v>
      </c>
      <c r="P771" t="s">
        <v>90</v>
      </c>
      <c r="Q771">
        <v>0</v>
      </c>
      <c r="R771" t="s">
        <v>90</v>
      </c>
      <c r="S771">
        <v>0</v>
      </c>
      <c r="T771" t="s">
        <v>90</v>
      </c>
      <c r="U771">
        <v>0</v>
      </c>
      <c r="V771" t="s">
        <v>90</v>
      </c>
      <c r="W771">
        <v>0</v>
      </c>
      <c r="X771" t="s">
        <v>90</v>
      </c>
      <c r="Y771">
        <v>0</v>
      </c>
      <c r="Z771">
        <v>0.59171354008944255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N771" t="s">
        <v>223</v>
      </c>
      <c r="AO771" t="s">
        <v>92</v>
      </c>
      <c r="AP771">
        <v>200000</v>
      </c>
      <c r="AQ771" t="s">
        <v>92</v>
      </c>
      <c r="AS771">
        <v>10000</v>
      </c>
      <c r="AT771" t="s">
        <v>9</v>
      </c>
      <c r="AU771" t="s">
        <v>78</v>
      </c>
      <c r="AV771" t="s">
        <v>79</v>
      </c>
      <c r="AY771">
        <v>0</v>
      </c>
    </row>
    <row r="772" spans="1:52" ht="12.75">
      <c r="A772" s="2" t="str">
        <f>HYPERLINK("https://ibp.a2mac1.com/costing(costing:projects/details/8191/assembly/5389455)","Gussets")</f>
        <v>Gussets</v>
      </c>
      <c r="B772">
        <v>5389455</v>
      </c>
      <c r="D772">
        <v>5389247</v>
      </c>
      <c r="F772">
        <v>1</v>
      </c>
      <c r="G772">
        <v>0</v>
      </c>
      <c r="H772">
        <v>1.3721667829329416</v>
      </c>
      <c r="I772">
        <v>0</v>
      </c>
      <c r="J772" t="s">
        <v>90</v>
      </c>
      <c r="K772">
        <v>0</v>
      </c>
      <c r="L772">
        <v>1.3721667829329416</v>
      </c>
      <c r="M772">
        <v>0</v>
      </c>
      <c r="N772">
        <v>0</v>
      </c>
      <c r="O772">
        <v>1.3721667829329416</v>
      </c>
      <c r="P772" t="s">
        <v>90</v>
      </c>
      <c r="Q772">
        <v>0</v>
      </c>
      <c r="R772" t="s">
        <v>90</v>
      </c>
      <c r="S772">
        <v>0</v>
      </c>
      <c r="T772" t="s">
        <v>90</v>
      </c>
      <c r="U772">
        <v>0</v>
      </c>
      <c r="V772" t="s">
        <v>90</v>
      </c>
      <c r="W772">
        <v>0</v>
      </c>
      <c r="X772" t="s">
        <v>90</v>
      </c>
      <c r="Y772">
        <v>0</v>
      </c>
      <c r="Z772">
        <v>1.3721667829329416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N772" t="s">
        <v>223</v>
      </c>
      <c r="AO772" t="s">
        <v>92</v>
      </c>
      <c r="AP772">
        <v>200000</v>
      </c>
      <c r="AQ772" t="s">
        <v>92</v>
      </c>
      <c r="AS772">
        <v>10000</v>
      </c>
      <c r="AT772" t="s">
        <v>9</v>
      </c>
      <c r="AU772" t="s">
        <v>78</v>
      </c>
      <c r="AV772" t="s">
        <v>79</v>
      </c>
      <c r="AY772">
        <v>0</v>
      </c>
    </row>
    <row r="773" spans="1:52" ht="12.75">
      <c r="A773" s="2" t="str">
        <f>HYPERLINK("https://ibp.a2mac1.com/costing(costing:projects/details/8191/assembly/5389247)","Cross member 01 main upper")</f>
        <v>Cross member 01 main upper</v>
      </c>
      <c r="B773">
        <v>5389247</v>
      </c>
      <c r="D773">
        <v>5388939</v>
      </c>
      <c r="F773">
        <v>1</v>
      </c>
      <c r="G773">
        <v>0</v>
      </c>
      <c r="H773">
        <v>1.9638803230223842</v>
      </c>
      <c r="I773">
        <v>0</v>
      </c>
      <c r="J773" t="s">
        <v>90</v>
      </c>
      <c r="K773">
        <v>0</v>
      </c>
      <c r="L773">
        <v>1.9638803230223842</v>
      </c>
      <c r="M773">
        <v>0</v>
      </c>
      <c r="N773">
        <v>0</v>
      </c>
      <c r="O773">
        <v>1.9638803230223842</v>
      </c>
      <c r="P773" t="s">
        <v>90</v>
      </c>
      <c r="Q773">
        <v>0</v>
      </c>
      <c r="R773" t="s">
        <v>90</v>
      </c>
      <c r="S773">
        <v>0</v>
      </c>
      <c r="T773" t="s">
        <v>90</v>
      </c>
      <c r="U773">
        <v>0</v>
      </c>
      <c r="V773" t="s">
        <v>90</v>
      </c>
      <c r="W773">
        <v>0</v>
      </c>
      <c r="X773" t="s">
        <v>90</v>
      </c>
      <c r="Y773">
        <v>0</v>
      </c>
      <c r="Z773">
        <v>1.9638803230223842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N773" t="s">
        <v>223</v>
      </c>
      <c r="AO773" t="s">
        <v>92</v>
      </c>
      <c r="AP773">
        <v>200000</v>
      </c>
      <c r="AQ773" t="s">
        <v>92</v>
      </c>
      <c r="AS773">
        <v>10000</v>
      </c>
      <c r="AT773" t="s">
        <v>9</v>
      </c>
      <c r="AU773" t="s">
        <v>78</v>
      </c>
      <c r="AV773" t="s">
        <v>79</v>
      </c>
      <c r="AY773">
        <v>0</v>
      </c>
    </row>
    <row r="774" spans="1:52" ht="12.75">
      <c r="A774" s="2" t="str">
        <f>HYPERLINK("https://ibp.a2mac1.com/costing(costing:projects/details/8191/assembly/5388939)","Other cross members")</f>
        <v>Other cross members</v>
      </c>
      <c r="B774">
        <v>5388939</v>
      </c>
      <c r="D774">
        <v>5388630</v>
      </c>
      <c r="F774">
        <v>1</v>
      </c>
      <c r="G774">
        <v>0</v>
      </c>
      <c r="H774">
        <v>1.9638803230223842</v>
      </c>
      <c r="I774">
        <v>0</v>
      </c>
      <c r="J774" t="s">
        <v>90</v>
      </c>
      <c r="K774">
        <v>0</v>
      </c>
      <c r="L774">
        <v>1.9638803230223842</v>
      </c>
      <c r="M774">
        <v>0</v>
      </c>
      <c r="N774">
        <v>0</v>
      </c>
      <c r="O774">
        <v>1.9638803230223842</v>
      </c>
      <c r="P774" t="s">
        <v>90</v>
      </c>
      <c r="Q774">
        <v>0</v>
      </c>
      <c r="R774" t="s">
        <v>90</v>
      </c>
      <c r="S774">
        <v>0</v>
      </c>
      <c r="T774" t="s">
        <v>90</v>
      </c>
      <c r="U774">
        <v>0</v>
      </c>
      <c r="V774" t="s">
        <v>90</v>
      </c>
      <c r="W774">
        <v>0</v>
      </c>
      <c r="X774" t="s">
        <v>90</v>
      </c>
      <c r="Y774">
        <v>0</v>
      </c>
      <c r="Z774">
        <v>1.9638803230223842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N774" t="s">
        <v>223</v>
      </c>
      <c r="AO774" t="s">
        <v>92</v>
      </c>
      <c r="AP774">
        <v>200000</v>
      </c>
      <c r="AQ774" t="s">
        <v>92</v>
      </c>
      <c r="AS774">
        <v>10000</v>
      </c>
      <c r="AT774" t="s">
        <v>9</v>
      </c>
      <c r="AU774" t="s">
        <v>78</v>
      </c>
      <c r="AV774" t="s">
        <v>79</v>
      </c>
      <c r="AY774">
        <v>0</v>
      </c>
    </row>
    <row r="775" spans="1:52" ht="12.75">
      <c r="A775" s="2" t="str">
        <f>HYPERLINK("https://ibp.a2mac1.com/costing(costing:projects/details/8191/assembly/5388630)","Cowl assy")</f>
        <v>Cowl assy</v>
      </c>
      <c r="B775">
        <v>5388630</v>
      </c>
      <c r="D775">
        <v>5388292</v>
      </c>
      <c r="F775">
        <v>1</v>
      </c>
      <c r="G775">
        <v>0</v>
      </c>
      <c r="H775">
        <v>12.812059202348088</v>
      </c>
      <c r="I775">
        <v>0</v>
      </c>
      <c r="J775" t="s">
        <v>90</v>
      </c>
      <c r="K775">
        <v>0</v>
      </c>
      <c r="L775">
        <v>12.812059202348088</v>
      </c>
      <c r="M775">
        <v>0</v>
      </c>
      <c r="N775">
        <v>0</v>
      </c>
      <c r="O775">
        <v>12.812059202348088</v>
      </c>
      <c r="P775" t="s">
        <v>90</v>
      </c>
      <c r="Q775">
        <v>0</v>
      </c>
      <c r="R775" t="s">
        <v>90</v>
      </c>
      <c r="S775">
        <v>0</v>
      </c>
      <c r="T775" t="s">
        <v>90</v>
      </c>
      <c r="U775">
        <v>0</v>
      </c>
      <c r="V775" t="s">
        <v>90</v>
      </c>
      <c r="W775">
        <v>0</v>
      </c>
      <c r="X775" t="s">
        <v>90</v>
      </c>
      <c r="Y775">
        <v>0</v>
      </c>
      <c r="Z775">
        <v>12.812059202348088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N775" t="s">
        <v>223</v>
      </c>
      <c r="AO775" t="s">
        <v>92</v>
      </c>
      <c r="AP775">
        <v>200000</v>
      </c>
      <c r="AQ775" t="s">
        <v>92</v>
      </c>
      <c r="AS775">
        <v>10000</v>
      </c>
      <c r="AT775" t="s">
        <v>9</v>
      </c>
      <c r="AU775" t="s">
        <v>78</v>
      </c>
      <c r="AV775" t="s">
        <v>79</v>
      </c>
      <c r="AY775">
        <v>0</v>
      </c>
    </row>
    <row r="776" spans="1:52" ht="12.75">
      <c r="A776" s="2" t="str">
        <f>HYPERLINK("https://ibp.a2mac1.com/costing(costing:projects/details/8191/assembly/5388940)","Outer panel")</f>
        <v>Outer panel</v>
      </c>
      <c r="B776">
        <v>5388940</v>
      </c>
      <c r="D776">
        <v>5388631</v>
      </c>
      <c r="F776">
        <v>1</v>
      </c>
      <c r="G776">
        <v>0</v>
      </c>
      <c r="H776">
        <v>1.8284470654817497</v>
      </c>
      <c r="I776">
        <v>0</v>
      </c>
      <c r="J776" t="s">
        <v>90</v>
      </c>
      <c r="K776">
        <v>0</v>
      </c>
      <c r="L776">
        <v>1.8284470654817497</v>
      </c>
      <c r="M776">
        <v>0</v>
      </c>
      <c r="N776">
        <v>0</v>
      </c>
      <c r="O776">
        <v>1.8284470654817497</v>
      </c>
      <c r="P776" t="s">
        <v>90</v>
      </c>
      <c r="Q776">
        <v>0</v>
      </c>
      <c r="R776" t="s">
        <v>90</v>
      </c>
      <c r="S776">
        <v>0</v>
      </c>
      <c r="T776" t="s">
        <v>90</v>
      </c>
      <c r="U776">
        <v>0</v>
      </c>
      <c r="V776" t="s">
        <v>90</v>
      </c>
      <c r="W776">
        <v>0</v>
      </c>
      <c r="X776" t="s">
        <v>90</v>
      </c>
      <c r="Y776">
        <v>0</v>
      </c>
      <c r="Z776">
        <v>1.8284470654817497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N776" t="s">
        <v>223</v>
      </c>
      <c r="AO776" t="s">
        <v>92</v>
      </c>
      <c r="AP776">
        <v>200000</v>
      </c>
      <c r="AQ776" t="s">
        <v>92</v>
      </c>
      <c r="AS776">
        <v>10000</v>
      </c>
      <c r="AT776" t="s">
        <v>9</v>
      </c>
      <c r="AU776" t="s">
        <v>78</v>
      </c>
      <c r="AV776" t="s">
        <v>79</v>
      </c>
      <c r="AY776">
        <v>0</v>
      </c>
    </row>
    <row r="777" spans="1:52" ht="12.75">
      <c r="A777" s="2" t="str">
        <f>HYPERLINK("https://ibp.a2mac1.com/costing(costing:projects/details/8191/assembly/5388941)","Inner panel")</f>
        <v>Inner panel</v>
      </c>
      <c r="B777">
        <v>5388941</v>
      </c>
      <c r="D777">
        <v>5388631</v>
      </c>
      <c r="F777">
        <v>1</v>
      </c>
      <c r="G777">
        <v>0</v>
      </c>
      <c r="H777">
        <v>4.259923812056555</v>
      </c>
      <c r="I777">
        <v>0</v>
      </c>
      <c r="J777" t="s">
        <v>90</v>
      </c>
      <c r="K777">
        <v>0</v>
      </c>
      <c r="L777">
        <v>4.259923812056555</v>
      </c>
      <c r="M777">
        <v>0</v>
      </c>
      <c r="N777">
        <v>0</v>
      </c>
      <c r="O777">
        <v>4.259923812056555</v>
      </c>
      <c r="P777" t="s">
        <v>90</v>
      </c>
      <c r="Q777">
        <v>0</v>
      </c>
      <c r="R777" t="s">
        <v>90</v>
      </c>
      <c r="S777">
        <v>0</v>
      </c>
      <c r="T777" t="s">
        <v>90</v>
      </c>
      <c r="U777">
        <v>0</v>
      </c>
      <c r="V777" t="s">
        <v>90</v>
      </c>
      <c r="W777">
        <v>0</v>
      </c>
      <c r="X777" t="s">
        <v>90</v>
      </c>
      <c r="Y777">
        <v>0</v>
      </c>
      <c r="Z777">
        <v>4.259923812056555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N777" t="s">
        <v>223</v>
      </c>
      <c r="AO777" t="s">
        <v>92</v>
      </c>
      <c r="AP777">
        <v>200000</v>
      </c>
      <c r="AQ777" t="s">
        <v>92</v>
      </c>
      <c r="AS777">
        <v>10000</v>
      </c>
      <c r="AT777" t="s">
        <v>9</v>
      </c>
      <c r="AU777" t="s">
        <v>78</v>
      </c>
      <c r="AV777" t="s">
        <v>79</v>
      </c>
      <c r="AY777">
        <v>0</v>
      </c>
    </row>
    <row r="778" spans="1:52" ht="12.75">
      <c r="A778" s="2" t="str">
        <f>HYPERLINK("https://ibp.a2mac1.com/costing(costing:projects/details/8191/assembly/5388942)","Reinforcements")</f>
        <v>Reinforcements</v>
      </c>
      <c r="B778">
        <v>5388942</v>
      </c>
      <c r="D778">
        <v>5388631</v>
      </c>
      <c r="F778">
        <v>1</v>
      </c>
      <c r="G778">
        <v>0</v>
      </c>
      <c r="H778">
        <v>0.29253411542190366</v>
      </c>
      <c r="I778">
        <v>0</v>
      </c>
      <c r="J778" t="s">
        <v>90</v>
      </c>
      <c r="K778">
        <v>0</v>
      </c>
      <c r="L778">
        <v>0.29253411542190366</v>
      </c>
      <c r="M778">
        <v>0</v>
      </c>
      <c r="N778">
        <v>0</v>
      </c>
      <c r="O778">
        <v>0.29253411542190366</v>
      </c>
      <c r="P778" t="s">
        <v>90</v>
      </c>
      <c r="Q778">
        <v>0</v>
      </c>
      <c r="R778" t="s">
        <v>90</v>
      </c>
      <c r="S778">
        <v>0</v>
      </c>
      <c r="T778" t="s">
        <v>90</v>
      </c>
      <c r="U778">
        <v>0</v>
      </c>
      <c r="V778" t="s">
        <v>90</v>
      </c>
      <c r="W778">
        <v>0</v>
      </c>
      <c r="X778" t="s">
        <v>90</v>
      </c>
      <c r="Y778">
        <v>0</v>
      </c>
      <c r="Z778">
        <v>0.29253411542190366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N778" t="s">
        <v>223</v>
      </c>
      <c r="AO778" t="s">
        <v>92</v>
      </c>
      <c r="AP778">
        <v>200000</v>
      </c>
      <c r="AQ778" t="s">
        <v>92</v>
      </c>
      <c r="AS778">
        <v>10000</v>
      </c>
      <c r="AT778" t="s">
        <v>9</v>
      </c>
      <c r="AU778" t="s">
        <v>78</v>
      </c>
      <c r="AV778" t="s">
        <v>79</v>
      </c>
      <c r="AY778">
        <v>0</v>
      </c>
    </row>
    <row r="779" spans="1:52" ht="12.75">
      <c r="A779" s="2" t="str">
        <f>HYPERLINK("https://ibp.a2mac1.com/costing(costing:projects/details/8191/assembly/5388943)","Spacers")</f>
        <v>Spacers</v>
      </c>
      <c r="B779">
        <v>5388943</v>
      </c>
      <c r="D779">
        <v>5388631</v>
      </c>
      <c r="F779">
        <v>1</v>
      </c>
      <c r="G779">
        <v>0</v>
      </c>
      <c r="H779">
        <v>0.18977868744804824</v>
      </c>
      <c r="I779">
        <v>0</v>
      </c>
      <c r="J779" t="s">
        <v>90</v>
      </c>
      <c r="K779">
        <v>0</v>
      </c>
      <c r="L779">
        <v>0.18977868744804824</v>
      </c>
      <c r="M779">
        <v>0</v>
      </c>
      <c r="N779">
        <v>0</v>
      </c>
      <c r="O779">
        <v>0.18977868744804824</v>
      </c>
      <c r="P779" t="s">
        <v>90</v>
      </c>
      <c r="Q779">
        <v>0</v>
      </c>
      <c r="R779" t="s">
        <v>90</v>
      </c>
      <c r="S779">
        <v>0</v>
      </c>
      <c r="T779" t="s">
        <v>90</v>
      </c>
      <c r="U779">
        <v>0</v>
      </c>
      <c r="V779" t="s">
        <v>90</v>
      </c>
      <c r="W779">
        <v>0</v>
      </c>
      <c r="X779" t="s">
        <v>90</v>
      </c>
      <c r="Y779">
        <v>0</v>
      </c>
      <c r="Z779">
        <v>0.18977868744804824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N779" t="s">
        <v>223</v>
      </c>
      <c r="AO779" t="s">
        <v>92</v>
      </c>
      <c r="AP779">
        <v>200000</v>
      </c>
      <c r="AQ779" t="s">
        <v>92</v>
      </c>
      <c r="AS779">
        <v>10000</v>
      </c>
      <c r="AT779" t="s">
        <v>9</v>
      </c>
      <c r="AU779" t="s">
        <v>78</v>
      </c>
      <c r="AV779" t="s">
        <v>79</v>
      </c>
      <c r="AY779">
        <v>0</v>
      </c>
    </row>
    <row r="780" spans="1:52" ht="12.75">
      <c r="A780" s="2" t="str">
        <f>HYPERLINK("https://ibp.a2mac1.com/costing(costing:projects/details/8191/assembly/5388944)","Fixing parts")</f>
        <v>Fixing parts</v>
      </c>
      <c r="B780">
        <v>5388944</v>
      </c>
      <c r="D780">
        <v>5388631</v>
      </c>
      <c r="F780">
        <v>1</v>
      </c>
      <c r="G780">
        <v>0</v>
      </c>
      <c r="H780">
        <v>0.53267138377225831</v>
      </c>
      <c r="I780">
        <v>0</v>
      </c>
      <c r="J780" t="s">
        <v>90</v>
      </c>
      <c r="K780">
        <v>0</v>
      </c>
      <c r="L780">
        <v>0.53267138377225831</v>
      </c>
      <c r="M780">
        <v>0</v>
      </c>
      <c r="N780">
        <v>0</v>
      </c>
      <c r="O780">
        <v>0.53267138377225831</v>
      </c>
      <c r="P780" t="s">
        <v>90</v>
      </c>
      <c r="Q780">
        <v>0</v>
      </c>
      <c r="R780" t="s">
        <v>90</v>
      </c>
      <c r="S780">
        <v>0</v>
      </c>
      <c r="T780" t="s">
        <v>90</v>
      </c>
      <c r="U780">
        <v>0</v>
      </c>
      <c r="V780" t="s">
        <v>90</v>
      </c>
      <c r="W780">
        <v>0</v>
      </c>
      <c r="X780" t="s">
        <v>90</v>
      </c>
      <c r="Y780">
        <v>0</v>
      </c>
      <c r="Z780">
        <v>0.53267138377225831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N780" t="s">
        <v>223</v>
      </c>
      <c r="AO780" t="s">
        <v>92</v>
      </c>
      <c r="AP780">
        <v>200000</v>
      </c>
      <c r="AQ780" t="s">
        <v>92</v>
      </c>
      <c r="AS780">
        <v>10000</v>
      </c>
      <c r="AT780" t="s">
        <v>9</v>
      </c>
      <c r="AU780" t="s">
        <v>78</v>
      </c>
      <c r="AV780" t="s">
        <v>79</v>
      </c>
      <c r="AY780">
        <v>0</v>
      </c>
    </row>
    <row r="781" spans="1:52" ht="12.75">
      <c r="A781" s="2" t="str">
        <f>HYPERLINK("https://ibp.a2mac1.com/costing(costing:projects/details/8191/assembly/5388631)","Rear panel assy")</f>
        <v>Rear panel assy</v>
      </c>
      <c r="B781">
        <v>5388631</v>
      </c>
      <c r="D781">
        <v>5388292</v>
      </c>
      <c r="F781">
        <v>1</v>
      </c>
      <c r="G781">
        <v>0</v>
      </c>
      <c r="H781">
        <v>7.1033550641805157</v>
      </c>
      <c r="I781">
        <v>0</v>
      </c>
      <c r="J781" t="s">
        <v>90</v>
      </c>
      <c r="K781">
        <v>0</v>
      </c>
      <c r="L781">
        <v>7.1033550641805157</v>
      </c>
      <c r="M781">
        <v>0</v>
      </c>
      <c r="N781">
        <v>0</v>
      </c>
      <c r="O781">
        <v>7.1033550641805157</v>
      </c>
      <c r="P781" t="s">
        <v>90</v>
      </c>
      <c r="Q781">
        <v>0</v>
      </c>
      <c r="R781" t="s">
        <v>90</v>
      </c>
      <c r="S781">
        <v>0</v>
      </c>
      <c r="T781" t="s">
        <v>90</v>
      </c>
      <c r="U781">
        <v>0</v>
      </c>
      <c r="V781" t="s">
        <v>90</v>
      </c>
      <c r="W781">
        <v>0</v>
      </c>
      <c r="X781" t="s">
        <v>90</v>
      </c>
      <c r="Y781">
        <v>0</v>
      </c>
      <c r="Z781">
        <v>7.1033550641805157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N781" t="s">
        <v>223</v>
      </c>
      <c r="AO781" t="s">
        <v>92</v>
      </c>
      <c r="AP781">
        <v>200000</v>
      </c>
      <c r="AQ781" t="s">
        <v>92</v>
      </c>
      <c r="AS781">
        <v>10000</v>
      </c>
      <c r="AT781" t="s">
        <v>9</v>
      </c>
      <c r="AU781" t="s">
        <v>78</v>
      </c>
      <c r="AV781" t="s">
        <v>79</v>
      </c>
      <c r="AY781">
        <v>0</v>
      </c>
    </row>
    <row r="782" spans="1:52" ht="12.75">
      <c r="A782" s="2" t="str">
        <f>HYPERLINK("https://ibp.a2mac1.com/costing(costing:projects/details/8191/assembly/5389257)","Outer skin")</f>
        <v>Outer skin</v>
      </c>
      <c r="B782">
        <v>5389257</v>
      </c>
      <c r="D782">
        <v>5388945</v>
      </c>
      <c r="F782">
        <v>1</v>
      </c>
      <c r="G782">
        <v>0</v>
      </c>
      <c r="H782">
        <v>55.665083008266762</v>
      </c>
      <c r="I782">
        <v>0</v>
      </c>
      <c r="J782" t="s">
        <v>90</v>
      </c>
      <c r="K782">
        <v>0</v>
      </c>
      <c r="L782">
        <v>55.665083008266762</v>
      </c>
      <c r="M782">
        <v>0</v>
      </c>
      <c r="N782">
        <v>0</v>
      </c>
      <c r="O782">
        <v>55.665083008266762</v>
      </c>
      <c r="P782" t="s">
        <v>90</v>
      </c>
      <c r="Q782">
        <v>0</v>
      </c>
      <c r="R782" t="s">
        <v>90</v>
      </c>
      <c r="S782">
        <v>0</v>
      </c>
      <c r="T782" t="s">
        <v>90</v>
      </c>
      <c r="U782">
        <v>0</v>
      </c>
      <c r="V782" t="s">
        <v>90</v>
      </c>
      <c r="W782">
        <v>0</v>
      </c>
      <c r="X782" t="s">
        <v>90</v>
      </c>
      <c r="Y782">
        <v>0</v>
      </c>
      <c r="Z782">
        <v>55.665083008266762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N782" t="s">
        <v>223</v>
      </c>
      <c r="AO782" t="s">
        <v>92</v>
      </c>
      <c r="AP782">
        <v>200000</v>
      </c>
      <c r="AQ782" t="s">
        <v>92</v>
      </c>
      <c r="AS782">
        <v>10000</v>
      </c>
      <c r="AT782" t="s">
        <v>9</v>
      </c>
      <c r="AU782" t="s">
        <v>78</v>
      </c>
      <c r="AV782" t="s">
        <v>79</v>
      </c>
      <c r="AY782">
        <v>0</v>
      </c>
    </row>
    <row r="783" spans="1:52" ht="12.75">
      <c r="A783" s="2" t="str">
        <f>HYPERLINK("https://ibp.a2mac1.com/costing(costing:projects/details/8191/assembly/5389258)","Rear gutter area")</f>
        <v>Rear gutter area</v>
      </c>
      <c r="B783">
        <v>5389258</v>
      </c>
      <c r="D783">
        <v>5388945</v>
      </c>
      <c r="F783">
        <v>1</v>
      </c>
      <c r="G783">
        <v>0</v>
      </c>
      <c r="H783">
        <v>1.5359733874379464</v>
      </c>
      <c r="I783">
        <v>0</v>
      </c>
      <c r="J783" t="s">
        <v>90</v>
      </c>
      <c r="K783">
        <v>0</v>
      </c>
      <c r="L783">
        <v>1.5359733874379464</v>
      </c>
      <c r="M783">
        <v>0</v>
      </c>
      <c r="N783">
        <v>0</v>
      </c>
      <c r="O783">
        <v>1.5359733874379464</v>
      </c>
      <c r="P783" t="s">
        <v>90</v>
      </c>
      <c r="Q783">
        <v>0</v>
      </c>
      <c r="R783" t="s">
        <v>90</v>
      </c>
      <c r="S783">
        <v>0</v>
      </c>
      <c r="T783" t="s">
        <v>90</v>
      </c>
      <c r="U783">
        <v>0</v>
      </c>
      <c r="V783" t="s">
        <v>90</v>
      </c>
      <c r="W783">
        <v>0</v>
      </c>
      <c r="X783" t="s">
        <v>90</v>
      </c>
      <c r="Y783">
        <v>0</v>
      </c>
      <c r="Z783">
        <v>1.5359733874379464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N783" t="s">
        <v>223</v>
      </c>
      <c r="AO783" t="s">
        <v>92</v>
      </c>
      <c r="AP783">
        <v>200000</v>
      </c>
      <c r="AQ783" t="s">
        <v>92</v>
      </c>
      <c r="AS783">
        <v>10000</v>
      </c>
      <c r="AT783" t="s">
        <v>9</v>
      </c>
      <c r="AU783" t="s">
        <v>78</v>
      </c>
      <c r="AV783" t="s">
        <v>79</v>
      </c>
      <c r="AY783">
        <v>0</v>
      </c>
    </row>
    <row r="784" spans="1:52" ht="12.75">
      <c r="A784" s="2" t="str">
        <f>HYPERLINK("https://ibp.a2mac1.com/costing(costing:projects/details/8191/assembly/5389259)","Reinforcements")</f>
        <v>Reinforcements</v>
      </c>
      <c r="B784">
        <v>5389259</v>
      </c>
      <c r="D784">
        <v>5388945</v>
      </c>
      <c r="F784">
        <v>1</v>
      </c>
      <c r="G784">
        <v>0</v>
      </c>
      <c r="H784">
        <v>2.2563288802957135</v>
      </c>
      <c r="I784">
        <v>0</v>
      </c>
      <c r="J784" t="s">
        <v>90</v>
      </c>
      <c r="K784">
        <v>0</v>
      </c>
      <c r="L784">
        <v>2.2563288802957135</v>
      </c>
      <c r="M784">
        <v>0</v>
      </c>
      <c r="N784">
        <v>0</v>
      </c>
      <c r="O784">
        <v>2.2563288802957135</v>
      </c>
      <c r="P784" t="s">
        <v>90</v>
      </c>
      <c r="Q784">
        <v>0</v>
      </c>
      <c r="R784" t="s">
        <v>90</v>
      </c>
      <c r="S784">
        <v>0</v>
      </c>
      <c r="T784" t="s">
        <v>90</v>
      </c>
      <c r="U784">
        <v>0</v>
      </c>
      <c r="V784" t="s">
        <v>90</v>
      </c>
      <c r="W784">
        <v>0</v>
      </c>
      <c r="X784" t="s">
        <v>90</v>
      </c>
      <c r="Y784">
        <v>0</v>
      </c>
      <c r="Z784">
        <v>2.2563288802957135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N784" t="s">
        <v>223</v>
      </c>
      <c r="AO784" t="s">
        <v>92</v>
      </c>
      <c r="AP784">
        <v>200000</v>
      </c>
      <c r="AQ784" t="s">
        <v>92</v>
      </c>
      <c r="AS784">
        <v>10000</v>
      </c>
      <c r="AT784" t="s">
        <v>9</v>
      </c>
      <c r="AU784" t="s">
        <v>78</v>
      </c>
      <c r="AV784" t="s">
        <v>79</v>
      </c>
      <c r="AY784">
        <v>0</v>
      </c>
    </row>
    <row r="785" spans="1:52" ht="12.75">
      <c r="A785" s="2" t="str">
        <f>HYPERLINK("https://ibp.a2mac1.com/costing(costing:projects/details/8191/assembly/5389260)","Fixing parts")</f>
        <v>Fixing parts</v>
      </c>
      <c r="B785">
        <v>5389260</v>
      </c>
      <c r="D785">
        <v>5388945</v>
      </c>
      <c r="F785">
        <v>1</v>
      </c>
      <c r="G785">
        <v>0</v>
      </c>
      <c r="H785">
        <v>1.0772246333338817</v>
      </c>
      <c r="I785">
        <v>0</v>
      </c>
      <c r="J785" t="s">
        <v>90</v>
      </c>
      <c r="K785">
        <v>0</v>
      </c>
      <c r="L785">
        <v>1.0772246333338817</v>
      </c>
      <c r="M785">
        <v>0</v>
      </c>
      <c r="N785">
        <v>0</v>
      </c>
      <c r="O785">
        <v>1.0772246333338817</v>
      </c>
      <c r="P785" t="s">
        <v>90</v>
      </c>
      <c r="Q785">
        <v>0</v>
      </c>
      <c r="R785" t="s">
        <v>90</v>
      </c>
      <c r="S785">
        <v>0</v>
      </c>
      <c r="T785" t="s">
        <v>90</v>
      </c>
      <c r="U785">
        <v>0</v>
      </c>
      <c r="V785" t="s">
        <v>90</v>
      </c>
      <c r="W785">
        <v>0</v>
      </c>
      <c r="X785" t="s">
        <v>90</v>
      </c>
      <c r="Y785">
        <v>0</v>
      </c>
      <c r="Z785">
        <v>1.0772246333338817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N785" t="s">
        <v>223</v>
      </c>
      <c r="AO785" t="s">
        <v>92</v>
      </c>
      <c r="AP785">
        <v>200000</v>
      </c>
      <c r="AQ785" t="s">
        <v>92</v>
      </c>
      <c r="AS785">
        <v>10000</v>
      </c>
      <c r="AT785" t="s">
        <v>9</v>
      </c>
      <c r="AU785" t="s">
        <v>78</v>
      </c>
      <c r="AV785" t="s">
        <v>79</v>
      </c>
      <c r="AY785">
        <v>0</v>
      </c>
    </row>
    <row r="786" spans="1:52" ht="12.75">
      <c r="A786" s="2" t="str">
        <f>HYPERLINK("https://ibp.a2mac1.com/costing(costing:projects/details/8191/assembly/5388945)","Outer skin assy")</f>
        <v>Outer skin assy</v>
      </c>
      <c r="B786">
        <v>5388945</v>
      </c>
      <c r="D786">
        <v>5388632</v>
      </c>
      <c r="F786">
        <v>1</v>
      </c>
      <c r="G786">
        <v>0</v>
      </c>
      <c r="H786">
        <v>60.5346099093343</v>
      </c>
      <c r="I786">
        <v>0</v>
      </c>
      <c r="J786" t="s">
        <v>90</v>
      </c>
      <c r="K786">
        <v>0</v>
      </c>
      <c r="L786">
        <v>60.5346099093343</v>
      </c>
      <c r="M786">
        <v>0</v>
      </c>
      <c r="N786">
        <v>0</v>
      </c>
      <c r="O786">
        <v>60.5346099093343</v>
      </c>
      <c r="P786" t="s">
        <v>90</v>
      </c>
      <c r="Q786">
        <v>0</v>
      </c>
      <c r="R786" t="s">
        <v>90</v>
      </c>
      <c r="S786">
        <v>0</v>
      </c>
      <c r="T786" t="s">
        <v>90</v>
      </c>
      <c r="U786">
        <v>0</v>
      </c>
      <c r="V786" t="s">
        <v>90</v>
      </c>
      <c r="W786">
        <v>0</v>
      </c>
      <c r="X786" t="s">
        <v>90</v>
      </c>
      <c r="Y786">
        <v>0</v>
      </c>
      <c r="Z786">
        <v>60.5346099093343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N786" t="s">
        <v>223</v>
      </c>
      <c r="AO786" t="s">
        <v>92</v>
      </c>
      <c r="AP786">
        <v>200000</v>
      </c>
      <c r="AQ786" t="s">
        <v>92</v>
      </c>
      <c r="AS786">
        <v>10000</v>
      </c>
      <c r="AT786" t="s">
        <v>9</v>
      </c>
      <c r="AU786" t="s">
        <v>78</v>
      </c>
      <c r="AV786" t="s">
        <v>79</v>
      </c>
      <c r="AY786">
        <v>0</v>
      </c>
    </row>
    <row r="787" spans="1:52" ht="12.75">
      <c r="A787" s="2" t="str">
        <f>HYPERLINK("https://ibp.a2mac1.com/costing(costing:projects/details/8191/assembly/5389261)","Frame")</f>
        <v>Frame</v>
      </c>
      <c r="B787">
        <v>5389261</v>
      </c>
      <c r="D787">
        <v>5388946</v>
      </c>
      <c r="F787">
        <v>1</v>
      </c>
      <c r="G787">
        <v>0</v>
      </c>
      <c r="H787">
        <v>47.609090634936614</v>
      </c>
      <c r="I787">
        <v>0</v>
      </c>
      <c r="J787" t="s">
        <v>90</v>
      </c>
      <c r="K787">
        <v>0</v>
      </c>
      <c r="L787">
        <v>47.609090634936614</v>
      </c>
      <c r="M787">
        <v>0</v>
      </c>
      <c r="N787">
        <v>0</v>
      </c>
      <c r="O787">
        <v>47.609090634936614</v>
      </c>
      <c r="P787" t="s">
        <v>90</v>
      </c>
      <c r="Q787">
        <v>0</v>
      </c>
      <c r="R787" t="s">
        <v>90</v>
      </c>
      <c r="S787">
        <v>0</v>
      </c>
      <c r="T787" t="s">
        <v>90</v>
      </c>
      <c r="U787">
        <v>0</v>
      </c>
      <c r="V787" t="s">
        <v>90</v>
      </c>
      <c r="W787">
        <v>0</v>
      </c>
      <c r="X787" t="s">
        <v>90</v>
      </c>
      <c r="Y787">
        <v>0</v>
      </c>
      <c r="Z787">
        <v>47.609090634936614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N787" t="s">
        <v>223</v>
      </c>
      <c r="AO787" t="s">
        <v>92</v>
      </c>
      <c r="AP787">
        <v>200000</v>
      </c>
      <c r="AQ787" t="s">
        <v>92</v>
      </c>
      <c r="AS787">
        <v>10000</v>
      </c>
      <c r="AT787" t="s">
        <v>9</v>
      </c>
      <c r="AU787" t="s">
        <v>78</v>
      </c>
      <c r="AV787" t="s">
        <v>79</v>
      </c>
      <c r="AY787">
        <v>0</v>
      </c>
    </row>
    <row r="788" spans="1:52" ht="12.75">
      <c r="A788" s="2" t="str">
        <f>HYPERLINK("https://ibp.a2mac1.com/costing(costing:projects/details/8191/assembly/5389262)","Inner skin")</f>
        <v>Inner skin</v>
      </c>
      <c r="B788">
        <v>5389262</v>
      </c>
      <c r="D788">
        <v>5388946</v>
      </c>
      <c r="F788">
        <v>1</v>
      </c>
      <c r="G788">
        <v>0</v>
      </c>
      <c r="H788">
        <v>17.877687981653651</v>
      </c>
      <c r="I788">
        <v>0</v>
      </c>
      <c r="J788" t="s">
        <v>90</v>
      </c>
      <c r="K788">
        <v>0</v>
      </c>
      <c r="L788">
        <v>17.877687981653651</v>
      </c>
      <c r="M788">
        <v>0</v>
      </c>
      <c r="N788">
        <v>0</v>
      </c>
      <c r="O788">
        <v>17.877687981653651</v>
      </c>
      <c r="P788" t="s">
        <v>90</v>
      </c>
      <c r="Q788">
        <v>0</v>
      </c>
      <c r="R788" t="s">
        <v>90</v>
      </c>
      <c r="S788">
        <v>0</v>
      </c>
      <c r="T788" t="s">
        <v>90</v>
      </c>
      <c r="U788">
        <v>0</v>
      </c>
      <c r="V788" t="s">
        <v>90</v>
      </c>
      <c r="W788">
        <v>0</v>
      </c>
      <c r="X788" t="s">
        <v>90</v>
      </c>
      <c r="Y788">
        <v>0</v>
      </c>
      <c r="Z788">
        <v>17.877687981653651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N788" t="s">
        <v>223</v>
      </c>
      <c r="AO788" t="s">
        <v>92</v>
      </c>
      <c r="AP788">
        <v>200000</v>
      </c>
      <c r="AQ788" t="s">
        <v>92</v>
      </c>
      <c r="AS788">
        <v>10000</v>
      </c>
      <c r="AT788" t="s">
        <v>9</v>
      </c>
      <c r="AU788" t="s">
        <v>78</v>
      </c>
      <c r="AV788" t="s">
        <v>79</v>
      </c>
      <c r="AY788">
        <v>0</v>
      </c>
    </row>
    <row r="789" spans="1:52" ht="12.75">
      <c r="A789" s="2" t="str">
        <f>HYPERLINK("https://ibp.a2mac1.com/costing(costing:projects/details/8191/assembly/5389263)","Reinforcements")</f>
        <v>Reinforcements</v>
      </c>
      <c r="B789">
        <v>5389263</v>
      </c>
      <c r="D789">
        <v>5388946</v>
      </c>
      <c r="F789">
        <v>1</v>
      </c>
      <c r="G789">
        <v>0</v>
      </c>
      <c r="H789">
        <v>1.6545951150046561</v>
      </c>
      <c r="I789">
        <v>0</v>
      </c>
      <c r="J789" t="s">
        <v>90</v>
      </c>
      <c r="K789">
        <v>0</v>
      </c>
      <c r="L789">
        <v>1.6545951150046561</v>
      </c>
      <c r="M789">
        <v>0</v>
      </c>
      <c r="N789">
        <v>0</v>
      </c>
      <c r="O789">
        <v>1.6545951150046561</v>
      </c>
      <c r="P789" t="s">
        <v>90</v>
      </c>
      <c r="Q789">
        <v>0</v>
      </c>
      <c r="R789" t="s">
        <v>90</v>
      </c>
      <c r="S789">
        <v>0</v>
      </c>
      <c r="T789" t="s">
        <v>90</v>
      </c>
      <c r="U789">
        <v>0</v>
      </c>
      <c r="V789" t="s">
        <v>90</v>
      </c>
      <c r="W789">
        <v>0</v>
      </c>
      <c r="X789" t="s">
        <v>90</v>
      </c>
      <c r="Y789">
        <v>0</v>
      </c>
      <c r="Z789">
        <v>1.6545951150046561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N789" t="s">
        <v>223</v>
      </c>
      <c r="AO789" t="s">
        <v>92</v>
      </c>
      <c r="AP789">
        <v>200000</v>
      </c>
      <c r="AQ789" t="s">
        <v>92</v>
      </c>
      <c r="AS789">
        <v>10000</v>
      </c>
      <c r="AT789" t="s">
        <v>9</v>
      </c>
      <c r="AU789" t="s">
        <v>78</v>
      </c>
      <c r="AV789" t="s">
        <v>79</v>
      </c>
      <c r="AY789">
        <v>0</v>
      </c>
    </row>
    <row r="790" spans="1:52" ht="12.75">
      <c r="A790" s="2" t="str">
        <f>HYPERLINK("https://ibp.a2mac1.com/costing(costing:projects/details/8191/assembly/5389264)","Fixing parts")</f>
        <v>Fixing parts</v>
      </c>
      <c r="B790">
        <v>5389264</v>
      </c>
      <c r="D790">
        <v>5388946</v>
      </c>
      <c r="F790">
        <v>1</v>
      </c>
      <c r="G790">
        <v>0</v>
      </c>
      <c r="H790">
        <v>1.7167130617435304</v>
      </c>
      <c r="I790">
        <v>0</v>
      </c>
      <c r="J790" t="s">
        <v>90</v>
      </c>
      <c r="K790">
        <v>0</v>
      </c>
      <c r="L790">
        <v>1.7167130617435304</v>
      </c>
      <c r="M790">
        <v>0</v>
      </c>
      <c r="N790">
        <v>0</v>
      </c>
      <c r="O790">
        <v>1.7167130617435304</v>
      </c>
      <c r="P790" t="s">
        <v>90</v>
      </c>
      <c r="Q790">
        <v>0</v>
      </c>
      <c r="R790" t="s">
        <v>90</v>
      </c>
      <c r="S790">
        <v>0</v>
      </c>
      <c r="T790" t="s">
        <v>90</v>
      </c>
      <c r="U790">
        <v>0</v>
      </c>
      <c r="V790" t="s">
        <v>90</v>
      </c>
      <c r="W790">
        <v>0</v>
      </c>
      <c r="X790" t="s">
        <v>90</v>
      </c>
      <c r="Y790">
        <v>0</v>
      </c>
      <c r="Z790">
        <v>1.7167130617435304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N790" t="s">
        <v>223</v>
      </c>
      <c r="AO790" t="s">
        <v>92</v>
      </c>
      <c r="AP790">
        <v>200000</v>
      </c>
      <c r="AQ790" t="s">
        <v>92</v>
      </c>
      <c r="AS790">
        <v>10000</v>
      </c>
      <c r="AT790" t="s">
        <v>9</v>
      </c>
      <c r="AU790" t="s">
        <v>78</v>
      </c>
      <c r="AV790" t="s">
        <v>79</v>
      </c>
      <c r="AY790">
        <v>0</v>
      </c>
    </row>
    <row r="791" spans="1:52" ht="12.75">
      <c r="A791" s="2" t="str">
        <f>HYPERLINK("https://ibp.a2mac1.com/costing(costing:projects/details/8191/assembly/5388946)","Roof bow assy")</f>
        <v>Roof bow assy</v>
      </c>
      <c r="B791">
        <v>5388946</v>
      </c>
      <c r="D791">
        <v>5388632</v>
      </c>
      <c r="F791">
        <v>1</v>
      </c>
      <c r="G791">
        <v>0</v>
      </c>
      <c r="H791">
        <v>68.858086793338458</v>
      </c>
      <c r="I791">
        <v>0</v>
      </c>
      <c r="J791" t="s">
        <v>90</v>
      </c>
      <c r="K791">
        <v>0</v>
      </c>
      <c r="L791">
        <v>68.858086793338458</v>
      </c>
      <c r="M791">
        <v>0</v>
      </c>
      <c r="N791">
        <v>0</v>
      </c>
      <c r="O791">
        <v>68.858086793338458</v>
      </c>
      <c r="P791" t="s">
        <v>90</v>
      </c>
      <c r="Q791">
        <v>0</v>
      </c>
      <c r="R791" t="s">
        <v>90</v>
      </c>
      <c r="S791">
        <v>0</v>
      </c>
      <c r="T791" t="s">
        <v>90</v>
      </c>
      <c r="U791">
        <v>0</v>
      </c>
      <c r="V791" t="s">
        <v>90</v>
      </c>
      <c r="W791">
        <v>0</v>
      </c>
      <c r="X791" t="s">
        <v>90</v>
      </c>
      <c r="Y791">
        <v>0</v>
      </c>
      <c r="Z791">
        <v>68.858086793338458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N791" t="s">
        <v>223</v>
      </c>
      <c r="AO791" t="s">
        <v>92</v>
      </c>
      <c r="AP791">
        <v>200000</v>
      </c>
      <c r="AQ791" t="s">
        <v>92</v>
      </c>
      <c r="AS791">
        <v>10000</v>
      </c>
      <c r="AT791" t="s">
        <v>9</v>
      </c>
      <c r="AU791" t="s">
        <v>78</v>
      </c>
      <c r="AV791" t="s">
        <v>79</v>
      </c>
      <c r="AY791">
        <v>0</v>
      </c>
    </row>
    <row r="792" spans="1:52" ht="12.75">
      <c r="A792" s="2" t="str">
        <f>HYPERLINK("https://ibp.a2mac1.com/costing(costing:projects/details/8191/assembly/5389265)","Frame")</f>
        <v>Frame</v>
      </c>
      <c r="B792">
        <v>5389265</v>
      </c>
      <c r="D792">
        <v>5388947</v>
      </c>
      <c r="F792">
        <v>1</v>
      </c>
      <c r="G792">
        <v>0</v>
      </c>
      <c r="H792">
        <v>6.4217149366303978</v>
      </c>
      <c r="I792">
        <v>0</v>
      </c>
      <c r="J792" t="s">
        <v>90</v>
      </c>
      <c r="K792">
        <v>0</v>
      </c>
      <c r="L792">
        <v>6.4217149366303978</v>
      </c>
      <c r="M792">
        <v>0</v>
      </c>
      <c r="N792">
        <v>0</v>
      </c>
      <c r="O792">
        <v>6.4217149366303978</v>
      </c>
      <c r="P792" t="s">
        <v>90</v>
      </c>
      <c r="Q792">
        <v>0</v>
      </c>
      <c r="R792" t="s">
        <v>90</v>
      </c>
      <c r="S792">
        <v>0</v>
      </c>
      <c r="T792" t="s">
        <v>90</v>
      </c>
      <c r="U792">
        <v>0</v>
      </c>
      <c r="V792" t="s">
        <v>90</v>
      </c>
      <c r="W792">
        <v>0</v>
      </c>
      <c r="X792" t="s">
        <v>90</v>
      </c>
      <c r="Y792">
        <v>0</v>
      </c>
      <c r="Z792">
        <v>6.4217149366303978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N792" t="s">
        <v>223</v>
      </c>
      <c r="AO792" t="s">
        <v>92</v>
      </c>
      <c r="AP792">
        <v>200000</v>
      </c>
      <c r="AQ792" t="s">
        <v>92</v>
      </c>
      <c r="AS792">
        <v>10000</v>
      </c>
      <c r="AT792" t="s">
        <v>9</v>
      </c>
      <c r="AU792" t="s">
        <v>78</v>
      </c>
      <c r="AV792" t="s">
        <v>79</v>
      </c>
      <c r="AY792">
        <v>0</v>
      </c>
    </row>
    <row r="793" spans="1:52" ht="12.75">
      <c r="A793" s="2" t="str">
        <f>HYPERLINK("https://ibp.a2mac1.com/costing(costing:projects/details/8191/assembly/5389266)","Spacers")</f>
        <v>Spacers</v>
      </c>
      <c r="B793">
        <v>5389266</v>
      </c>
      <c r="D793">
        <v>5388947</v>
      </c>
      <c r="F793">
        <v>1</v>
      </c>
      <c r="G793">
        <v>0</v>
      </c>
      <c r="H793">
        <v>1.6138910617362323</v>
      </c>
      <c r="I793">
        <v>0</v>
      </c>
      <c r="J793" t="s">
        <v>90</v>
      </c>
      <c r="K793">
        <v>0</v>
      </c>
      <c r="L793">
        <v>1.6138910617362323</v>
      </c>
      <c r="M793">
        <v>0</v>
      </c>
      <c r="N793">
        <v>0</v>
      </c>
      <c r="O793">
        <v>1.6138910617362323</v>
      </c>
      <c r="P793" t="s">
        <v>90</v>
      </c>
      <c r="Q793">
        <v>0</v>
      </c>
      <c r="R793" t="s">
        <v>90</v>
      </c>
      <c r="S793">
        <v>0</v>
      </c>
      <c r="T793" t="s">
        <v>90</v>
      </c>
      <c r="U793">
        <v>0</v>
      </c>
      <c r="V793" t="s">
        <v>90</v>
      </c>
      <c r="W793">
        <v>0</v>
      </c>
      <c r="X793" t="s">
        <v>90</v>
      </c>
      <c r="Y793">
        <v>0</v>
      </c>
      <c r="Z793">
        <v>1.6138910617362323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N793" t="s">
        <v>223</v>
      </c>
      <c r="AO793" t="s">
        <v>92</v>
      </c>
      <c r="AP793">
        <v>200000</v>
      </c>
      <c r="AQ793" t="s">
        <v>92</v>
      </c>
      <c r="AS793">
        <v>10000</v>
      </c>
      <c r="AT793" t="s">
        <v>9</v>
      </c>
      <c r="AU793" t="s">
        <v>78</v>
      </c>
      <c r="AV793" t="s">
        <v>79</v>
      </c>
      <c r="AY793">
        <v>0</v>
      </c>
    </row>
    <row r="794" spans="1:52" ht="12.75">
      <c r="A794" s="2" t="str">
        <f>HYPERLINK("https://ibp.a2mac1.com/costing(costing:projects/details/8191/assembly/5389267)","Fixing parts")</f>
        <v>Fixing parts</v>
      </c>
      <c r="B794">
        <v>5389267</v>
      </c>
      <c r="D794">
        <v>5388947</v>
      </c>
      <c r="F794">
        <v>1</v>
      </c>
      <c r="G794">
        <v>0</v>
      </c>
      <c r="H794">
        <v>2.6141999130364071</v>
      </c>
      <c r="I794">
        <v>0</v>
      </c>
      <c r="J794" t="s">
        <v>90</v>
      </c>
      <c r="K794">
        <v>0</v>
      </c>
      <c r="L794">
        <v>2.6141999130364071</v>
      </c>
      <c r="M794">
        <v>0</v>
      </c>
      <c r="N794">
        <v>0</v>
      </c>
      <c r="O794">
        <v>2.6141999130364071</v>
      </c>
      <c r="P794" t="s">
        <v>90</v>
      </c>
      <c r="Q794">
        <v>0</v>
      </c>
      <c r="R794" t="s">
        <v>90</v>
      </c>
      <c r="S794">
        <v>0</v>
      </c>
      <c r="T794" t="s">
        <v>90</v>
      </c>
      <c r="U794">
        <v>0</v>
      </c>
      <c r="V794" t="s">
        <v>90</v>
      </c>
      <c r="W794">
        <v>0</v>
      </c>
      <c r="X794" t="s">
        <v>90</v>
      </c>
      <c r="Y794">
        <v>0</v>
      </c>
      <c r="Z794">
        <v>2.6141999130364071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N794" t="s">
        <v>223</v>
      </c>
      <c r="AO794" t="s">
        <v>92</v>
      </c>
      <c r="AP794">
        <v>200000</v>
      </c>
      <c r="AQ794" t="s">
        <v>92</v>
      </c>
      <c r="AS794">
        <v>10000</v>
      </c>
      <c r="AT794" t="s">
        <v>9</v>
      </c>
      <c r="AU794" t="s">
        <v>78</v>
      </c>
      <c r="AV794" t="s">
        <v>79</v>
      </c>
      <c r="AY794">
        <v>0</v>
      </c>
    </row>
    <row r="795" spans="1:52" ht="12.75">
      <c r="A795" s="2" t="str">
        <f>HYPERLINK("https://ibp.a2mac1.com/costing(costing:projects/details/8191/assembly/5388947)","A pillar outer frame")</f>
        <v>A pillar outer frame</v>
      </c>
      <c r="B795">
        <v>5388947</v>
      </c>
      <c r="D795">
        <v>5388632</v>
      </c>
      <c r="F795">
        <v>1</v>
      </c>
      <c r="G795">
        <v>0</v>
      </c>
      <c r="H795">
        <v>10.649805911403037</v>
      </c>
      <c r="I795">
        <v>0</v>
      </c>
      <c r="J795" t="s">
        <v>90</v>
      </c>
      <c r="K795">
        <v>0</v>
      </c>
      <c r="L795">
        <v>10.649805911403037</v>
      </c>
      <c r="M795">
        <v>0</v>
      </c>
      <c r="N795">
        <v>0</v>
      </c>
      <c r="O795">
        <v>10.649805911403037</v>
      </c>
      <c r="P795" t="s">
        <v>90</v>
      </c>
      <c r="Q795">
        <v>0</v>
      </c>
      <c r="R795" t="s">
        <v>90</v>
      </c>
      <c r="S795">
        <v>0</v>
      </c>
      <c r="T795" t="s">
        <v>90</v>
      </c>
      <c r="U795">
        <v>0</v>
      </c>
      <c r="V795" t="s">
        <v>90</v>
      </c>
      <c r="W795">
        <v>0</v>
      </c>
      <c r="X795" t="s">
        <v>90</v>
      </c>
      <c r="Y795">
        <v>0</v>
      </c>
      <c r="Z795">
        <v>10.649805911403037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N795" t="s">
        <v>223</v>
      </c>
      <c r="AO795" t="s">
        <v>92</v>
      </c>
      <c r="AP795">
        <v>200000</v>
      </c>
      <c r="AQ795" t="s">
        <v>92</v>
      </c>
      <c r="AS795">
        <v>10000</v>
      </c>
      <c r="AT795" t="s">
        <v>9</v>
      </c>
      <c r="AU795" t="s">
        <v>78</v>
      </c>
      <c r="AV795" t="s">
        <v>79</v>
      </c>
      <c r="AY795">
        <v>0</v>
      </c>
    </row>
    <row r="796" spans="1:52" ht="12.75">
      <c r="A796" s="2" t="str">
        <f>HYPERLINK("https://ibp.a2mac1.com/costing(costing:projects/details/8191/assembly/5389268)","Frame")</f>
        <v>Frame</v>
      </c>
      <c r="B796">
        <v>5389268</v>
      </c>
      <c r="D796">
        <v>5388948</v>
      </c>
      <c r="F796">
        <v>1</v>
      </c>
      <c r="G796">
        <v>0</v>
      </c>
      <c r="H796">
        <v>32.914426296018952</v>
      </c>
      <c r="I796">
        <v>0</v>
      </c>
      <c r="J796" t="s">
        <v>90</v>
      </c>
      <c r="K796">
        <v>0</v>
      </c>
      <c r="L796">
        <v>32.914426296018952</v>
      </c>
      <c r="M796">
        <v>0</v>
      </c>
      <c r="N796">
        <v>0</v>
      </c>
      <c r="O796">
        <v>32.914426296018952</v>
      </c>
      <c r="P796" t="s">
        <v>90</v>
      </c>
      <c r="Q796">
        <v>0</v>
      </c>
      <c r="R796" t="s">
        <v>90</v>
      </c>
      <c r="S796">
        <v>0</v>
      </c>
      <c r="T796" t="s">
        <v>90</v>
      </c>
      <c r="U796">
        <v>0</v>
      </c>
      <c r="V796" t="s">
        <v>90</v>
      </c>
      <c r="W796">
        <v>0</v>
      </c>
      <c r="X796" t="s">
        <v>90</v>
      </c>
      <c r="Y796">
        <v>0</v>
      </c>
      <c r="Z796">
        <v>32.914426296018952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N796" t="s">
        <v>223</v>
      </c>
      <c r="AO796" t="s">
        <v>92</v>
      </c>
      <c r="AP796">
        <v>200000</v>
      </c>
      <c r="AQ796" t="s">
        <v>92</v>
      </c>
      <c r="AS796">
        <v>10000</v>
      </c>
      <c r="AT796" t="s">
        <v>9</v>
      </c>
      <c r="AU796" t="s">
        <v>78</v>
      </c>
      <c r="AV796" t="s">
        <v>79</v>
      </c>
      <c r="AY796">
        <v>0</v>
      </c>
    </row>
    <row r="797" spans="1:52" ht="12.75">
      <c r="A797" s="2" t="str">
        <f>HYPERLINK("https://ibp.a2mac1.com/costing(costing:projects/details/8191/assembly/5389269)","Inner skin")</f>
        <v>Inner skin</v>
      </c>
      <c r="B797">
        <v>5389269</v>
      </c>
      <c r="D797">
        <v>5388948</v>
      </c>
      <c r="F797">
        <v>1</v>
      </c>
      <c r="G797">
        <v>0</v>
      </c>
      <c r="H797">
        <v>5.1070842441450912</v>
      </c>
      <c r="I797">
        <v>0</v>
      </c>
      <c r="J797" t="s">
        <v>90</v>
      </c>
      <c r="K797">
        <v>0</v>
      </c>
      <c r="L797">
        <v>5.1070842441450912</v>
      </c>
      <c r="M797">
        <v>0</v>
      </c>
      <c r="N797">
        <v>0</v>
      </c>
      <c r="O797">
        <v>5.1070842441450912</v>
      </c>
      <c r="P797" t="s">
        <v>90</v>
      </c>
      <c r="Q797">
        <v>0</v>
      </c>
      <c r="R797" t="s">
        <v>90</v>
      </c>
      <c r="S797">
        <v>0</v>
      </c>
      <c r="T797" t="s">
        <v>90</v>
      </c>
      <c r="U797">
        <v>0</v>
      </c>
      <c r="V797" t="s">
        <v>90</v>
      </c>
      <c r="W797">
        <v>0</v>
      </c>
      <c r="X797" t="s">
        <v>90</v>
      </c>
      <c r="Y797">
        <v>0</v>
      </c>
      <c r="Z797">
        <v>5.1070842441450912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N797" t="s">
        <v>223</v>
      </c>
      <c r="AO797" t="s">
        <v>92</v>
      </c>
      <c r="AP797">
        <v>200000</v>
      </c>
      <c r="AQ797" t="s">
        <v>92</v>
      </c>
      <c r="AS797">
        <v>10000</v>
      </c>
      <c r="AT797" t="s">
        <v>9</v>
      </c>
      <c r="AU797" t="s">
        <v>78</v>
      </c>
      <c r="AV797" t="s">
        <v>79</v>
      </c>
      <c r="AY797">
        <v>0</v>
      </c>
    </row>
    <row r="798" spans="1:52" ht="12.75">
      <c r="A798" s="2" t="str">
        <f>HYPERLINK("https://ibp.a2mac1.com/costing(costing:projects/details/8191/assembly/5389270)","Reinforcements")</f>
        <v>Reinforcements</v>
      </c>
      <c r="B798">
        <v>5389270</v>
      </c>
      <c r="D798">
        <v>5388948</v>
      </c>
      <c r="F798">
        <v>1</v>
      </c>
      <c r="G798">
        <v>0</v>
      </c>
      <c r="H798">
        <v>0.68832685178229402</v>
      </c>
      <c r="I798">
        <v>0</v>
      </c>
      <c r="J798" t="s">
        <v>90</v>
      </c>
      <c r="K798">
        <v>0</v>
      </c>
      <c r="L798">
        <v>0.68832685178229402</v>
      </c>
      <c r="M798">
        <v>0</v>
      </c>
      <c r="N798">
        <v>0</v>
      </c>
      <c r="O798">
        <v>0.68832685178229402</v>
      </c>
      <c r="P798" t="s">
        <v>90</v>
      </c>
      <c r="Q798">
        <v>0</v>
      </c>
      <c r="R798" t="s">
        <v>90</v>
      </c>
      <c r="S798">
        <v>0</v>
      </c>
      <c r="T798" t="s">
        <v>90</v>
      </c>
      <c r="U798">
        <v>0</v>
      </c>
      <c r="V798" t="s">
        <v>90</v>
      </c>
      <c r="W798">
        <v>0</v>
      </c>
      <c r="X798" t="s">
        <v>90</v>
      </c>
      <c r="Y798">
        <v>0</v>
      </c>
      <c r="Z798">
        <v>0.68832685178229402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N798" t="s">
        <v>223</v>
      </c>
      <c r="AO798" t="s">
        <v>92</v>
      </c>
      <c r="AP798">
        <v>200000</v>
      </c>
      <c r="AQ798" t="s">
        <v>92</v>
      </c>
      <c r="AS798">
        <v>10000</v>
      </c>
      <c r="AT798" t="s">
        <v>9</v>
      </c>
      <c r="AU798" t="s">
        <v>78</v>
      </c>
      <c r="AV798" t="s">
        <v>79</v>
      </c>
      <c r="AY798">
        <v>0</v>
      </c>
    </row>
    <row r="799" spans="1:52" ht="12.75">
      <c r="A799" s="2" t="str">
        <f>HYPERLINK("https://ibp.a2mac1.com/costing(costing:projects/details/8191/assembly/5389271)","Fixing parts")</f>
        <v>Fixing parts</v>
      </c>
      <c r="B799">
        <v>5389271</v>
      </c>
      <c r="D799">
        <v>5388948</v>
      </c>
      <c r="F799">
        <v>1</v>
      </c>
      <c r="G799">
        <v>0</v>
      </c>
      <c r="H799">
        <v>2.001184664066709</v>
      </c>
      <c r="I799">
        <v>0</v>
      </c>
      <c r="J799" t="s">
        <v>90</v>
      </c>
      <c r="K799">
        <v>0</v>
      </c>
      <c r="L799">
        <v>2.001184664066709</v>
      </c>
      <c r="M799">
        <v>0</v>
      </c>
      <c r="N799">
        <v>0</v>
      </c>
      <c r="O799">
        <v>2.001184664066709</v>
      </c>
      <c r="P799" t="s">
        <v>90</v>
      </c>
      <c r="Q799">
        <v>0</v>
      </c>
      <c r="R799" t="s">
        <v>90</v>
      </c>
      <c r="S799">
        <v>0</v>
      </c>
      <c r="T799" t="s">
        <v>90</v>
      </c>
      <c r="U799">
        <v>0</v>
      </c>
      <c r="V799" t="s">
        <v>90</v>
      </c>
      <c r="W799">
        <v>0</v>
      </c>
      <c r="X799" t="s">
        <v>90</v>
      </c>
      <c r="Y799">
        <v>0</v>
      </c>
      <c r="Z799">
        <v>2.001184664066709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N799" t="s">
        <v>223</v>
      </c>
      <c r="AO799" t="s">
        <v>92</v>
      </c>
      <c r="AP799">
        <v>200000</v>
      </c>
      <c r="AQ799" t="s">
        <v>92</v>
      </c>
      <c r="AS799">
        <v>10000</v>
      </c>
      <c r="AT799" t="s">
        <v>9</v>
      </c>
      <c r="AU799" t="s">
        <v>78</v>
      </c>
      <c r="AV799" t="s">
        <v>79</v>
      </c>
      <c r="AY799">
        <v>0</v>
      </c>
    </row>
    <row r="800" spans="1:52" ht="12.75">
      <c r="A800" s="2" t="str">
        <f>HYPERLINK("https://ibp.a2mac1.com/costing(costing:projects/details/8191/assembly/5388948)","B pillar assy")</f>
        <v>B pillar assy</v>
      </c>
      <c r="B800">
        <v>5388948</v>
      </c>
      <c r="D800">
        <v>5388632</v>
      </c>
      <c r="F800">
        <v>1</v>
      </c>
      <c r="G800">
        <v>0</v>
      </c>
      <c r="H800">
        <v>40.71102205601305</v>
      </c>
      <c r="I800">
        <v>0</v>
      </c>
      <c r="J800" t="s">
        <v>90</v>
      </c>
      <c r="K800">
        <v>0</v>
      </c>
      <c r="L800">
        <v>40.71102205601305</v>
      </c>
      <c r="M800">
        <v>0</v>
      </c>
      <c r="N800">
        <v>0</v>
      </c>
      <c r="O800">
        <v>40.71102205601305</v>
      </c>
      <c r="P800" t="s">
        <v>90</v>
      </c>
      <c r="Q800">
        <v>0</v>
      </c>
      <c r="R800" t="s">
        <v>90</v>
      </c>
      <c r="S800">
        <v>0</v>
      </c>
      <c r="T800" t="s">
        <v>90</v>
      </c>
      <c r="U800">
        <v>0</v>
      </c>
      <c r="V800" t="s">
        <v>90</v>
      </c>
      <c r="W800">
        <v>0</v>
      </c>
      <c r="X800" t="s">
        <v>90</v>
      </c>
      <c r="Y800">
        <v>0</v>
      </c>
      <c r="Z800">
        <v>40.71102205601305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N800" t="s">
        <v>223</v>
      </c>
      <c r="AO800" t="s">
        <v>92</v>
      </c>
      <c r="AP800">
        <v>200000</v>
      </c>
      <c r="AQ800" t="s">
        <v>92</v>
      </c>
      <c r="AS800">
        <v>10000</v>
      </c>
      <c r="AT800" t="s">
        <v>9</v>
      </c>
      <c r="AU800" t="s">
        <v>78</v>
      </c>
      <c r="AV800" t="s">
        <v>79</v>
      </c>
      <c r="AY800">
        <v>0</v>
      </c>
    </row>
    <row r="801" spans="1:52" ht="12.75">
      <c r="A801" s="2" t="str">
        <f>HYPERLINK("https://ibp.a2mac1.com/costing(costing:projects/details/8191/assembly/5389272)","Outer wheel shroud assy")</f>
        <v>Outer wheel shroud assy</v>
      </c>
      <c r="B801">
        <v>5389272</v>
      </c>
      <c r="D801">
        <v>5388949</v>
      </c>
      <c r="F801">
        <v>1</v>
      </c>
      <c r="G801">
        <v>0</v>
      </c>
      <c r="H801">
        <v>5.5920964848544132</v>
      </c>
      <c r="I801">
        <v>0</v>
      </c>
      <c r="J801" t="s">
        <v>90</v>
      </c>
      <c r="K801">
        <v>0</v>
      </c>
      <c r="L801">
        <v>5.5920964848544132</v>
      </c>
      <c r="M801">
        <v>0</v>
      </c>
      <c r="N801">
        <v>0</v>
      </c>
      <c r="O801">
        <v>5.5920964848544132</v>
      </c>
      <c r="P801" t="s">
        <v>90</v>
      </c>
      <c r="Q801">
        <v>0</v>
      </c>
      <c r="R801" t="s">
        <v>90</v>
      </c>
      <c r="S801">
        <v>0</v>
      </c>
      <c r="T801" t="s">
        <v>90</v>
      </c>
      <c r="U801">
        <v>0</v>
      </c>
      <c r="V801" t="s">
        <v>90</v>
      </c>
      <c r="W801">
        <v>0</v>
      </c>
      <c r="X801" t="s">
        <v>90</v>
      </c>
      <c r="Y801">
        <v>0</v>
      </c>
      <c r="Z801">
        <v>5.5920964848544132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N801" t="s">
        <v>223</v>
      </c>
      <c r="AO801" t="s">
        <v>92</v>
      </c>
      <c r="AP801">
        <v>200000</v>
      </c>
      <c r="AQ801" t="s">
        <v>92</v>
      </c>
      <c r="AS801">
        <v>10000</v>
      </c>
      <c r="AT801" t="s">
        <v>9</v>
      </c>
      <c r="AU801" t="s">
        <v>78</v>
      </c>
      <c r="AV801" t="s">
        <v>79</v>
      </c>
      <c r="AY801">
        <v>0</v>
      </c>
    </row>
    <row r="802" spans="1:52" ht="12.75">
      <c r="A802" s="2" t="str">
        <f>HYPERLINK("https://ibp.a2mac1.com/costing(costing:projects/details/8191/assembly/5389273)","Frame")</f>
        <v>Frame</v>
      </c>
      <c r="B802">
        <v>5389273</v>
      </c>
      <c r="D802">
        <v>5388949</v>
      </c>
      <c r="F802">
        <v>1</v>
      </c>
      <c r="G802">
        <v>0</v>
      </c>
      <c r="H802">
        <v>5.5382209140385772</v>
      </c>
      <c r="I802">
        <v>0</v>
      </c>
      <c r="J802" t="s">
        <v>90</v>
      </c>
      <c r="K802">
        <v>0</v>
      </c>
      <c r="L802">
        <v>5.5382209140385772</v>
      </c>
      <c r="M802">
        <v>0</v>
      </c>
      <c r="N802">
        <v>0</v>
      </c>
      <c r="O802">
        <v>5.5382209140385772</v>
      </c>
      <c r="P802" t="s">
        <v>90</v>
      </c>
      <c r="Q802">
        <v>0</v>
      </c>
      <c r="R802" t="s">
        <v>90</v>
      </c>
      <c r="S802">
        <v>0</v>
      </c>
      <c r="T802" t="s">
        <v>90</v>
      </c>
      <c r="U802">
        <v>0</v>
      </c>
      <c r="V802" t="s">
        <v>90</v>
      </c>
      <c r="W802">
        <v>0</v>
      </c>
      <c r="X802" t="s">
        <v>90</v>
      </c>
      <c r="Y802">
        <v>0</v>
      </c>
      <c r="Z802">
        <v>5.5382209140385772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N802" t="s">
        <v>223</v>
      </c>
      <c r="AO802" t="s">
        <v>92</v>
      </c>
      <c r="AP802">
        <v>200000</v>
      </c>
      <c r="AQ802" t="s">
        <v>92</v>
      </c>
      <c r="AS802">
        <v>10000</v>
      </c>
      <c r="AT802" t="s">
        <v>9</v>
      </c>
      <c r="AU802" t="s">
        <v>78</v>
      </c>
      <c r="AV802" t="s">
        <v>79</v>
      </c>
      <c r="AY802">
        <v>0</v>
      </c>
    </row>
    <row r="803" spans="1:52" ht="12.75">
      <c r="A803" s="2" t="str">
        <f>HYPERLINK("https://ibp.a2mac1.com/costing(costing:projects/details/8191/assembly/5389274)","Inner skin")</f>
        <v>Inner skin</v>
      </c>
      <c r="B803">
        <v>5389274</v>
      </c>
      <c r="D803">
        <v>5388949</v>
      </c>
      <c r="F803">
        <v>1</v>
      </c>
      <c r="G803">
        <v>0</v>
      </c>
      <c r="H803">
        <v>9.0047032107021749</v>
      </c>
      <c r="I803">
        <v>0</v>
      </c>
      <c r="J803" t="s">
        <v>90</v>
      </c>
      <c r="K803">
        <v>0</v>
      </c>
      <c r="L803">
        <v>9.0047032107021749</v>
      </c>
      <c r="M803">
        <v>0</v>
      </c>
      <c r="N803">
        <v>0</v>
      </c>
      <c r="O803">
        <v>9.0047032107021749</v>
      </c>
      <c r="P803" t="s">
        <v>90</v>
      </c>
      <c r="Q803">
        <v>0</v>
      </c>
      <c r="R803" t="s">
        <v>90</v>
      </c>
      <c r="S803">
        <v>0</v>
      </c>
      <c r="T803" t="s">
        <v>90</v>
      </c>
      <c r="U803">
        <v>0</v>
      </c>
      <c r="V803" t="s">
        <v>90</v>
      </c>
      <c r="W803">
        <v>0</v>
      </c>
      <c r="X803" t="s">
        <v>90</v>
      </c>
      <c r="Y803">
        <v>0</v>
      </c>
      <c r="Z803">
        <v>9.0047032107021749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N803" t="s">
        <v>223</v>
      </c>
      <c r="AO803" t="s">
        <v>92</v>
      </c>
      <c r="AP803">
        <v>200000</v>
      </c>
      <c r="AQ803" t="s">
        <v>92</v>
      </c>
      <c r="AS803">
        <v>10000</v>
      </c>
      <c r="AT803" t="s">
        <v>9</v>
      </c>
      <c r="AU803" t="s">
        <v>78</v>
      </c>
      <c r="AV803" t="s">
        <v>79</v>
      </c>
      <c r="AY803">
        <v>0</v>
      </c>
    </row>
    <row r="804" spans="1:52" ht="12.75">
      <c r="A804" s="2" t="str">
        <f>HYPERLINK("https://ibp.a2mac1.com/costing(costing:projects/details/8191/assembly/5389275)","Reinforcements")</f>
        <v>Reinforcements</v>
      </c>
      <c r="B804">
        <v>5389275</v>
      </c>
      <c r="D804">
        <v>5388949</v>
      </c>
      <c r="F804">
        <v>1</v>
      </c>
      <c r="G804">
        <v>0</v>
      </c>
      <c r="H804">
        <v>0.72317712152824243</v>
      </c>
      <c r="I804">
        <v>0</v>
      </c>
      <c r="J804" t="s">
        <v>90</v>
      </c>
      <c r="K804">
        <v>0</v>
      </c>
      <c r="L804">
        <v>0.72317712152824243</v>
      </c>
      <c r="M804">
        <v>0</v>
      </c>
      <c r="N804">
        <v>0</v>
      </c>
      <c r="O804">
        <v>0.72317712152824243</v>
      </c>
      <c r="P804" t="s">
        <v>90</v>
      </c>
      <c r="Q804">
        <v>0</v>
      </c>
      <c r="R804" t="s">
        <v>90</v>
      </c>
      <c r="S804">
        <v>0</v>
      </c>
      <c r="T804" t="s">
        <v>90</v>
      </c>
      <c r="U804">
        <v>0</v>
      </c>
      <c r="V804" t="s">
        <v>90</v>
      </c>
      <c r="W804">
        <v>0</v>
      </c>
      <c r="X804" t="s">
        <v>90</v>
      </c>
      <c r="Y804">
        <v>0</v>
      </c>
      <c r="Z804">
        <v>0.72317712152824243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N804" t="s">
        <v>223</v>
      </c>
      <c r="AO804" t="s">
        <v>92</v>
      </c>
      <c r="AP804">
        <v>200000</v>
      </c>
      <c r="AQ804" t="s">
        <v>92</v>
      </c>
      <c r="AS804">
        <v>10000</v>
      </c>
      <c r="AT804" t="s">
        <v>9</v>
      </c>
      <c r="AU804" t="s">
        <v>78</v>
      </c>
      <c r="AV804" t="s">
        <v>79</v>
      </c>
      <c r="AY804">
        <v>0</v>
      </c>
    </row>
    <row r="805" spans="1:52" ht="12.75">
      <c r="A805" s="2" t="str">
        <f>HYPERLINK("https://ibp.a2mac1.com/costing(costing:projects/details/8191/assembly/5389276)","Spacers")</f>
        <v>Spacers</v>
      </c>
      <c r="B805">
        <v>5389276</v>
      </c>
      <c r="D805">
        <v>5388949</v>
      </c>
      <c r="F805">
        <v>1</v>
      </c>
      <c r="G805">
        <v>0</v>
      </c>
      <c r="H805">
        <v>0.28823142612330904</v>
      </c>
      <c r="I805">
        <v>0</v>
      </c>
      <c r="J805" t="s">
        <v>90</v>
      </c>
      <c r="K805">
        <v>0</v>
      </c>
      <c r="L805">
        <v>0.28823142612330904</v>
      </c>
      <c r="M805">
        <v>0</v>
      </c>
      <c r="N805">
        <v>0</v>
      </c>
      <c r="O805">
        <v>0.28823142612330904</v>
      </c>
      <c r="P805" t="s">
        <v>90</v>
      </c>
      <c r="Q805">
        <v>0</v>
      </c>
      <c r="R805" t="s">
        <v>90</v>
      </c>
      <c r="S805">
        <v>0</v>
      </c>
      <c r="T805" t="s">
        <v>90</v>
      </c>
      <c r="U805">
        <v>0</v>
      </c>
      <c r="V805" t="s">
        <v>90</v>
      </c>
      <c r="W805">
        <v>0</v>
      </c>
      <c r="X805" t="s">
        <v>90</v>
      </c>
      <c r="Y805">
        <v>0</v>
      </c>
      <c r="Z805">
        <v>0.28823142612330904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N805" t="s">
        <v>223</v>
      </c>
      <c r="AO805" t="s">
        <v>92</v>
      </c>
      <c r="AP805">
        <v>200000</v>
      </c>
      <c r="AQ805" t="s">
        <v>92</v>
      </c>
      <c r="AS805">
        <v>10000</v>
      </c>
      <c r="AT805" t="s">
        <v>9</v>
      </c>
      <c r="AU805" t="s">
        <v>78</v>
      </c>
      <c r="AV805" t="s">
        <v>79</v>
      </c>
      <c r="AY805">
        <v>0</v>
      </c>
    </row>
    <row r="806" spans="1:52" ht="12.75">
      <c r="A806" s="2" t="str">
        <f>HYPERLINK("https://ibp.a2mac1.com/costing(costing:projects/details/8191/assembly/5389277)","Fixing parts")</f>
        <v>Fixing parts</v>
      </c>
      <c r="B806">
        <v>5389277</v>
      </c>
      <c r="D806">
        <v>5388949</v>
      </c>
      <c r="F806">
        <v>1</v>
      </c>
      <c r="G806">
        <v>0</v>
      </c>
      <c r="H806">
        <v>1.2612800012975454</v>
      </c>
      <c r="I806">
        <v>0</v>
      </c>
      <c r="J806" t="s">
        <v>90</v>
      </c>
      <c r="K806">
        <v>0</v>
      </c>
      <c r="L806">
        <v>1.2612800012975454</v>
      </c>
      <c r="M806">
        <v>0</v>
      </c>
      <c r="N806">
        <v>0</v>
      </c>
      <c r="O806">
        <v>1.2612800012975454</v>
      </c>
      <c r="P806" t="s">
        <v>90</v>
      </c>
      <c r="Q806">
        <v>0</v>
      </c>
      <c r="R806" t="s">
        <v>90</v>
      </c>
      <c r="S806">
        <v>0</v>
      </c>
      <c r="T806" t="s">
        <v>90</v>
      </c>
      <c r="U806">
        <v>0</v>
      </c>
      <c r="V806" t="s">
        <v>90</v>
      </c>
      <c r="W806">
        <v>0</v>
      </c>
      <c r="X806" t="s">
        <v>90</v>
      </c>
      <c r="Y806">
        <v>0</v>
      </c>
      <c r="Z806">
        <v>1.2612800012975454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N806" t="s">
        <v>223</v>
      </c>
      <c r="AO806" t="s">
        <v>92</v>
      </c>
      <c r="AP806">
        <v>200000</v>
      </c>
      <c r="AQ806" t="s">
        <v>92</v>
      </c>
      <c r="AS806">
        <v>10000</v>
      </c>
      <c r="AT806" t="s">
        <v>9</v>
      </c>
      <c r="AU806" t="s">
        <v>78</v>
      </c>
      <c r="AV806" t="s">
        <v>79</v>
      </c>
      <c r="AY806">
        <v>0</v>
      </c>
    </row>
    <row r="807" spans="1:52" ht="12.75">
      <c r="A807" s="2" t="str">
        <f>HYPERLINK("https://ibp.a2mac1.com/costing(costing:projects/details/8191/assembly/5388949)","C&amp;D pillar assy")</f>
        <v>C&amp;D pillar assy</v>
      </c>
      <c r="B807">
        <v>5388949</v>
      </c>
      <c r="D807">
        <v>5388632</v>
      </c>
      <c r="F807">
        <v>1</v>
      </c>
      <c r="G807">
        <v>0</v>
      </c>
      <c r="H807">
        <v>22.407709158544261</v>
      </c>
      <c r="I807">
        <v>0</v>
      </c>
      <c r="J807" t="s">
        <v>90</v>
      </c>
      <c r="K807">
        <v>0</v>
      </c>
      <c r="L807">
        <v>22.407709158544261</v>
      </c>
      <c r="M807">
        <v>0</v>
      </c>
      <c r="N807">
        <v>0</v>
      </c>
      <c r="O807">
        <v>22.407709158544261</v>
      </c>
      <c r="P807" t="s">
        <v>90</v>
      </c>
      <c r="Q807">
        <v>0</v>
      </c>
      <c r="R807" t="s">
        <v>90</v>
      </c>
      <c r="S807">
        <v>0</v>
      </c>
      <c r="T807" t="s">
        <v>90</v>
      </c>
      <c r="U807">
        <v>0</v>
      </c>
      <c r="V807" t="s">
        <v>90</v>
      </c>
      <c r="W807">
        <v>0</v>
      </c>
      <c r="X807" t="s">
        <v>90</v>
      </c>
      <c r="Y807">
        <v>0</v>
      </c>
      <c r="Z807">
        <v>22.407709158544261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N807" t="s">
        <v>223</v>
      </c>
      <c r="AO807" t="s">
        <v>92</v>
      </c>
      <c r="AP807">
        <v>200000</v>
      </c>
      <c r="AQ807" t="s">
        <v>92</v>
      </c>
      <c r="AS807">
        <v>10000</v>
      </c>
      <c r="AT807" t="s">
        <v>9</v>
      </c>
      <c r="AU807" t="s">
        <v>78</v>
      </c>
      <c r="AV807" t="s">
        <v>79</v>
      </c>
      <c r="AY807">
        <v>0</v>
      </c>
    </row>
    <row r="808" spans="1:52" ht="12.75">
      <c r="A808" s="2" t="str">
        <f>HYPERLINK("https://ibp.a2mac1.com/costing(costing:projects/details/8191/assembly/5389278)","Frame")</f>
        <v>Frame</v>
      </c>
      <c r="B808">
        <v>5389278</v>
      </c>
      <c r="D808">
        <v>5388950</v>
      </c>
      <c r="F808">
        <v>1</v>
      </c>
      <c r="G808">
        <v>0</v>
      </c>
      <c r="H808">
        <v>3.1892469857875398</v>
      </c>
      <c r="I808">
        <v>0</v>
      </c>
      <c r="J808" t="s">
        <v>90</v>
      </c>
      <c r="K808">
        <v>0</v>
      </c>
      <c r="L808">
        <v>3.1892469857875398</v>
      </c>
      <c r="M808">
        <v>0</v>
      </c>
      <c r="N808">
        <v>0</v>
      </c>
      <c r="O808">
        <v>3.1892469857875398</v>
      </c>
      <c r="P808" t="s">
        <v>90</v>
      </c>
      <c r="Q808">
        <v>0</v>
      </c>
      <c r="R808" t="s">
        <v>90</v>
      </c>
      <c r="S808">
        <v>0</v>
      </c>
      <c r="T808" t="s">
        <v>90</v>
      </c>
      <c r="U808">
        <v>0</v>
      </c>
      <c r="V808" t="s">
        <v>90</v>
      </c>
      <c r="W808">
        <v>0</v>
      </c>
      <c r="X808" t="s">
        <v>90</v>
      </c>
      <c r="Y808">
        <v>0</v>
      </c>
      <c r="Z808">
        <v>3.1892469857875398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N808" t="s">
        <v>223</v>
      </c>
      <c r="AO808" t="s">
        <v>92</v>
      </c>
      <c r="AP808">
        <v>200000</v>
      </c>
      <c r="AQ808" t="s">
        <v>92</v>
      </c>
      <c r="AS808">
        <v>10000</v>
      </c>
      <c r="AT808" t="s">
        <v>9</v>
      </c>
      <c r="AU808" t="s">
        <v>78</v>
      </c>
      <c r="AV808" t="s">
        <v>79</v>
      </c>
      <c r="AY808">
        <v>0</v>
      </c>
    </row>
    <row r="809" spans="1:52" ht="12.75">
      <c r="A809" s="2" t="str">
        <f>HYPERLINK("https://ibp.a2mac1.com/costing(costing:projects/details/8191/assembly/5389279)","Fixing parts")</f>
        <v>Fixing parts</v>
      </c>
      <c r="B809">
        <v>5389279</v>
      </c>
      <c r="D809">
        <v>5388950</v>
      </c>
      <c r="F809">
        <v>1</v>
      </c>
      <c r="G809">
        <v>0</v>
      </c>
      <c r="H809">
        <v>1.5220873349524955</v>
      </c>
      <c r="I809">
        <v>0</v>
      </c>
      <c r="J809" t="s">
        <v>90</v>
      </c>
      <c r="K809">
        <v>0</v>
      </c>
      <c r="L809">
        <v>1.5220873349524955</v>
      </c>
      <c r="M809">
        <v>0</v>
      </c>
      <c r="N809">
        <v>0</v>
      </c>
      <c r="O809">
        <v>1.5220873349524955</v>
      </c>
      <c r="P809" t="s">
        <v>90</v>
      </c>
      <c r="Q809">
        <v>0</v>
      </c>
      <c r="R809" t="s">
        <v>90</v>
      </c>
      <c r="S809">
        <v>0</v>
      </c>
      <c r="T809" t="s">
        <v>90</v>
      </c>
      <c r="U809">
        <v>0</v>
      </c>
      <c r="V809" t="s">
        <v>90</v>
      </c>
      <c r="W809">
        <v>0</v>
      </c>
      <c r="X809" t="s">
        <v>90</v>
      </c>
      <c r="Y809">
        <v>0</v>
      </c>
      <c r="Z809">
        <v>1.5220873349524955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N809" t="s">
        <v>223</v>
      </c>
      <c r="AO809" t="s">
        <v>92</v>
      </c>
      <c r="AP809">
        <v>200000</v>
      </c>
      <c r="AQ809" t="s">
        <v>92</v>
      </c>
      <c r="AS809">
        <v>10000</v>
      </c>
      <c r="AT809" t="s">
        <v>9</v>
      </c>
      <c r="AU809" t="s">
        <v>78</v>
      </c>
      <c r="AV809" t="s">
        <v>79</v>
      </c>
      <c r="AY809">
        <v>0</v>
      </c>
    </row>
    <row r="810" spans="1:52" ht="12.75">
      <c r="A810" s="2" t="str">
        <f>HYPERLINK("https://ibp.a2mac1.com/costing(costing:projects/details/8191/assembly/5388950)","Outer shotgun assy")</f>
        <v>Outer shotgun assy</v>
      </c>
      <c r="B810">
        <v>5388950</v>
      </c>
      <c r="D810">
        <v>5388632</v>
      </c>
      <c r="F810">
        <v>1</v>
      </c>
      <c r="G810">
        <v>0</v>
      </c>
      <c r="H810">
        <v>4.7113343207400353</v>
      </c>
      <c r="I810">
        <v>0</v>
      </c>
      <c r="J810" t="s">
        <v>90</v>
      </c>
      <c r="K810">
        <v>0</v>
      </c>
      <c r="L810">
        <v>4.7113343207400353</v>
      </c>
      <c r="M810">
        <v>0</v>
      </c>
      <c r="N810">
        <v>0</v>
      </c>
      <c r="O810">
        <v>4.7113343207400353</v>
      </c>
      <c r="P810" t="s">
        <v>90</v>
      </c>
      <c r="Q810">
        <v>0</v>
      </c>
      <c r="R810" t="s">
        <v>90</v>
      </c>
      <c r="S810">
        <v>0</v>
      </c>
      <c r="T810" t="s">
        <v>90</v>
      </c>
      <c r="U810">
        <v>0</v>
      </c>
      <c r="V810" t="s">
        <v>90</v>
      </c>
      <c r="W810">
        <v>0</v>
      </c>
      <c r="X810" t="s">
        <v>90</v>
      </c>
      <c r="Y810">
        <v>0</v>
      </c>
      <c r="Z810">
        <v>4.7113343207400353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N810" t="s">
        <v>223</v>
      </c>
      <c r="AO810" t="s">
        <v>92</v>
      </c>
      <c r="AP810">
        <v>200000</v>
      </c>
      <c r="AQ810" t="s">
        <v>92</v>
      </c>
      <c r="AS810">
        <v>10000</v>
      </c>
      <c r="AT810" t="s">
        <v>9</v>
      </c>
      <c r="AU810" t="s">
        <v>78</v>
      </c>
      <c r="AV810" t="s">
        <v>79</v>
      </c>
      <c r="AY810">
        <v>0</v>
      </c>
    </row>
    <row r="811" spans="1:52" ht="12.75">
      <c r="A811" s="2" t="str">
        <f>HYPERLINK("https://ibp.a2mac1.com/costing(costing:projects/details/8191/assembly/5389280)","Frame")</f>
        <v>Frame</v>
      </c>
      <c r="B811">
        <v>5389280</v>
      </c>
      <c r="D811">
        <v>5388951</v>
      </c>
      <c r="F811">
        <v>1</v>
      </c>
      <c r="G811">
        <v>0</v>
      </c>
      <c r="H811">
        <v>42.280702259991266</v>
      </c>
      <c r="I811">
        <v>0</v>
      </c>
      <c r="J811" t="s">
        <v>90</v>
      </c>
      <c r="K811">
        <v>0</v>
      </c>
      <c r="L811">
        <v>42.280702259991266</v>
      </c>
      <c r="M811">
        <v>0</v>
      </c>
      <c r="N811">
        <v>0</v>
      </c>
      <c r="O811">
        <v>42.280702259991266</v>
      </c>
      <c r="P811" t="s">
        <v>90</v>
      </c>
      <c r="Q811">
        <v>0</v>
      </c>
      <c r="R811" t="s">
        <v>90</v>
      </c>
      <c r="S811">
        <v>0</v>
      </c>
      <c r="T811" t="s">
        <v>90</v>
      </c>
      <c r="U811">
        <v>0</v>
      </c>
      <c r="V811" t="s">
        <v>90</v>
      </c>
      <c r="W811">
        <v>0</v>
      </c>
      <c r="X811" t="s">
        <v>90</v>
      </c>
      <c r="Y811">
        <v>0</v>
      </c>
      <c r="Z811">
        <v>42.280702259991266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N811" t="s">
        <v>223</v>
      </c>
      <c r="AO811" t="s">
        <v>92</v>
      </c>
      <c r="AP811">
        <v>200000</v>
      </c>
      <c r="AQ811" t="s">
        <v>92</v>
      </c>
      <c r="AS811">
        <v>10000</v>
      </c>
      <c r="AT811" t="s">
        <v>9</v>
      </c>
      <c r="AU811" t="s">
        <v>78</v>
      </c>
      <c r="AV811" t="s">
        <v>79</v>
      </c>
      <c r="AY811">
        <v>0</v>
      </c>
    </row>
    <row r="812" spans="1:52" ht="12.75">
      <c r="A812" s="2" t="str">
        <f>HYPERLINK("https://ibp.a2mac1.com/costing(costing:projects/details/8191/assembly/5389281)","Fixing parts")</f>
        <v>Fixing parts</v>
      </c>
      <c r="B812">
        <v>5389281</v>
      </c>
      <c r="D812">
        <v>5388951</v>
      </c>
      <c r="F812">
        <v>1</v>
      </c>
      <c r="G812">
        <v>0</v>
      </c>
      <c r="H812">
        <v>2.9543912476897978</v>
      </c>
      <c r="I812">
        <v>0</v>
      </c>
      <c r="J812" t="s">
        <v>90</v>
      </c>
      <c r="K812">
        <v>0</v>
      </c>
      <c r="L812">
        <v>2.9543912476897978</v>
      </c>
      <c r="M812">
        <v>0</v>
      </c>
      <c r="N812">
        <v>0</v>
      </c>
      <c r="O812">
        <v>2.9543912476897978</v>
      </c>
      <c r="P812" t="s">
        <v>90</v>
      </c>
      <c r="Q812">
        <v>0</v>
      </c>
      <c r="R812" t="s">
        <v>90</v>
      </c>
      <c r="S812">
        <v>0</v>
      </c>
      <c r="T812" t="s">
        <v>90</v>
      </c>
      <c r="U812">
        <v>0</v>
      </c>
      <c r="V812" t="s">
        <v>90</v>
      </c>
      <c r="W812">
        <v>0</v>
      </c>
      <c r="X812" t="s">
        <v>90</v>
      </c>
      <c r="Y812">
        <v>0</v>
      </c>
      <c r="Z812">
        <v>2.9543912476897978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N812" t="s">
        <v>223</v>
      </c>
      <c r="AO812" t="s">
        <v>92</v>
      </c>
      <c r="AP812">
        <v>200000</v>
      </c>
      <c r="AQ812" t="s">
        <v>92</v>
      </c>
      <c r="AS812">
        <v>10000</v>
      </c>
      <c r="AT812" t="s">
        <v>9</v>
      </c>
      <c r="AU812" t="s">
        <v>78</v>
      </c>
      <c r="AV812" t="s">
        <v>79</v>
      </c>
      <c r="AY812">
        <v>0</v>
      </c>
    </row>
    <row r="813" spans="1:52" ht="12.75">
      <c r="A813" s="2" t="str">
        <f>HYPERLINK("https://ibp.a2mac1.com/costing(costing:projects/details/8191/assembly/5388951)","Rocker outer frame")</f>
        <v>Rocker outer frame</v>
      </c>
      <c r="B813">
        <v>5388951</v>
      </c>
      <c r="D813">
        <v>5388632</v>
      </c>
      <c r="F813">
        <v>1</v>
      </c>
      <c r="G813">
        <v>0</v>
      </c>
      <c r="H813">
        <v>45.235093507681064</v>
      </c>
      <c r="I813">
        <v>0</v>
      </c>
      <c r="J813" t="s">
        <v>90</v>
      </c>
      <c r="K813">
        <v>0</v>
      </c>
      <c r="L813">
        <v>45.235093507681064</v>
      </c>
      <c r="M813">
        <v>0</v>
      </c>
      <c r="N813">
        <v>0</v>
      </c>
      <c r="O813">
        <v>45.235093507681064</v>
      </c>
      <c r="P813" t="s">
        <v>90</v>
      </c>
      <c r="Q813">
        <v>0</v>
      </c>
      <c r="R813" t="s">
        <v>90</v>
      </c>
      <c r="S813">
        <v>0</v>
      </c>
      <c r="T813" t="s">
        <v>90</v>
      </c>
      <c r="U813">
        <v>0</v>
      </c>
      <c r="V813" t="s">
        <v>90</v>
      </c>
      <c r="W813">
        <v>0</v>
      </c>
      <c r="X813" t="s">
        <v>90</v>
      </c>
      <c r="Y813">
        <v>0</v>
      </c>
      <c r="Z813">
        <v>45.235093507681064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N813" t="s">
        <v>223</v>
      </c>
      <c r="AO813" t="s">
        <v>92</v>
      </c>
      <c r="AP813">
        <v>200000</v>
      </c>
      <c r="AQ813" t="s">
        <v>92</v>
      </c>
      <c r="AS813">
        <v>10000</v>
      </c>
      <c r="AT813" t="s">
        <v>9</v>
      </c>
      <c r="AU813" t="s">
        <v>78</v>
      </c>
      <c r="AV813" t="s">
        <v>79</v>
      </c>
      <c r="AY813">
        <v>0</v>
      </c>
    </row>
    <row r="814" spans="1:52" ht="12.75">
      <c r="A814" s="2" t="str">
        <f>HYPERLINK("https://ibp.a2mac1.com/costing(costing:projects/details/8191/assembly/5388632)","Body side assy")</f>
        <v>Body side assy</v>
      </c>
      <c r="B814">
        <v>5388632</v>
      </c>
      <c r="D814">
        <v>5388292</v>
      </c>
      <c r="F814">
        <v>1</v>
      </c>
      <c r="G814">
        <v>0</v>
      </c>
      <c r="H814">
        <v>253.10766165705419</v>
      </c>
      <c r="I814">
        <v>0</v>
      </c>
      <c r="J814" t="s">
        <v>90</v>
      </c>
      <c r="K814">
        <v>0</v>
      </c>
      <c r="L814">
        <v>253.10766165705419</v>
      </c>
      <c r="M814">
        <v>0</v>
      </c>
      <c r="N814">
        <v>0</v>
      </c>
      <c r="O814">
        <v>253.10766165705419</v>
      </c>
      <c r="P814" t="s">
        <v>90</v>
      </c>
      <c r="Q814">
        <v>0</v>
      </c>
      <c r="R814" t="s">
        <v>90</v>
      </c>
      <c r="S814">
        <v>0</v>
      </c>
      <c r="T814" t="s">
        <v>90</v>
      </c>
      <c r="U814">
        <v>0</v>
      </c>
      <c r="V814" t="s">
        <v>90</v>
      </c>
      <c r="W814">
        <v>0</v>
      </c>
      <c r="X814" t="s">
        <v>90</v>
      </c>
      <c r="Y814">
        <v>0</v>
      </c>
      <c r="Z814">
        <v>253.10766165705419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N814" t="s">
        <v>223</v>
      </c>
      <c r="AO814" t="s">
        <v>92</v>
      </c>
      <c r="AP814">
        <v>200000</v>
      </c>
      <c r="AQ814" t="s">
        <v>92</v>
      </c>
      <c r="AS814">
        <v>10000</v>
      </c>
      <c r="AT814" t="s">
        <v>9</v>
      </c>
      <c r="AU814" t="s">
        <v>78</v>
      </c>
      <c r="AV814" t="s">
        <v>79</v>
      </c>
      <c r="AY814">
        <v>0</v>
      </c>
    </row>
    <row r="815" spans="1:52" ht="12.75">
      <c r="A815" s="2" t="str">
        <f>HYPERLINK("https://ibp.a2mac1.com/costing(costing:projects/details/8191/assembly/5388292)","Upper body")</f>
        <v>Upper body</v>
      </c>
      <c r="B815">
        <v>5388292</v>
      </c>
      <c r="D815">
        <v>5388155</v>
      </c>
      <c r="F815">
        <v>1</v>
      </c>
      <c r="G815">
        <v>0</v>
      </c>
      <c r="H815">
        <v>283.4796639319851</v>
      </c>
      <c r="I815">
        <v>0</v>
      </c>
      <c r="J815" t="s">
        <v>90</v>
      </c>
      <c r="K815">
        <v>0</v>
      </c>
      <c r="L815">
        <v>283.4796639319851</v>
      </c>
      <c r="M815">
        <v>0</v>
      </c>
      <c r="N815">
        <v>0</v>
      </c>
      <c r="O815">
        <v>283.4796639319851</v>
      </c>
      <c r="P815" t="s">
        <v>90</v>
      </c>
      <c r="Q815">
        <v>0</v>
      </c>
      <c r="R815" t="s">
        <v>90</v>
      </c>
      <c r="S815">
        <v>0</v>
      </c>
      <c r="T815" t="s">
        <v>90</v>
      </c>
      <c r="U815">
        <v>0</v>
      </c>
      <c r="V815" t="s">
        <v>90</v>
      </c>
      <c r="W815">
        <v>0</v>
      </c>
      <c r="X815" t="s">
        <v>90</v>
      </c>
      <c r="Y815">
        <v>0</v>
      </c>
      <c r="Z815">
        <v>283.4796639319851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N815" t="s">
        <v>223</v>
      </c>
      <c r="AO815" t="s">
        <v>92</v>
      </c>
      <c r="AP815">
        <v>200000</v>
      </c>
      <c r="AQ815" t="s">
        <v>92</v>
      </c>
      <c r="AS815">
        <v>10000</v>
      </c>
      <c r="AT815" t="s">
        <v>9</v>
      </c>
      <c r="AU815" t="s">
        <v>78</v>
      </c>
      <c r="AV815" t="s">
        <v>79</v>
      </c>
      <c r="AY815">
        <v>0</v>
      </c>
    </row>
    <row r="816" spans="1:52" ht="12.75">
      <c r="A816" s="2" t="str">
        <f>HYPERLINK("https://ibp.a2mac1.com/costing(costing:projects/details/8191/assembly/5389512)","Frame")</f>
        <v>Frame</v>
      </c>
      <c r="B816">
        <v>5389512</v>
      </c>
      <c r="D816">
        <v>5389282</v>
      </c>
      <c r="F816">
        <v>1</v>
      </c>
      <c r="G816">
        <v>0</v>
      </c>
      <c r="H816">
        <v>1.2379805225352274</v>
      </c>
      <c r="I816">
        <v>0</v>
      </c>
      <c r="J816" t="s">
        <v>90</v>
      </c>
      <c r="K816">
        <v>0</v>
      </c>
      <c r="L816">
        <v>1.2379805225352274</v>
      </c>
      <c r="M816">
        <v>0</v>
      </c>
      <c r="N816">
        <v>0</v>
      </c>
      <c r="O816">
        <v>1.2379805225352274</v>
      </c>
      <c r="P816" t="s">
        <v>90</v>
      </c>
      <c r="Q816">
        <v>0</v>
      </c>
      <c r="R816" t="s">
        <v>90</v>
      </c>
      <c r="S816">
        <v>0</v>
      </c>
      <c r="T816" t="s">
        <v>90</v>
      </c>
      <c r="U816">
        <v>0</v>
      </c>
      <c r="V816" t="s">
        <v>90</v>
      </c>
      <c r="W816">
        <v>0</v>
      </c>
      <c r="X816" t="s">
        <v>90</v>
      </c>
      <c r="Y816">
        <v>0</v>
      </c>
      <c r="Z816">
        <v>1.2379805225352274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N816" t="s">
        <v>223</v>
      </c>
      <c r="AO816" t="s">
        <v>92</v>
      </c>
      <c r="AP816">
        <v>200000</v>
      </c>
      <c r="AQ816" t="s">
        <v>92</v>
      </c>
      <c r="AS816">
        <v>10000</v>
      </c>
      <c r="AT816" t="s">
        <v>9</v>
      </c>
      <c r="AU816" t="s">
        <v>78</v>
      </c>
      <c r="AV816" t="s">
        <v>79</v>
      </c>
      <c r="AY816">
        <v>0</v>
      </c>
    </row>
    <row r="817" spans="1:52" ht="12.75">
      <c r="A817" s="2" t="str">
        <f>HYPERLINK("https://ibp.a2mac1.com/costing(costing:projects/details/8191/assembly/5389282)","Inner shotgun assy")</f>
        <v>Inner shotgun assy</v>
      </c>
      <c r="B817">
        <v>5389282</v>
      </c>
      <c r="D817">
        <v>5388952</v>
      </c>
      <c r="F817">
        <v>1</v>
      </c>
      <c r="G817">
        <v>0</v>
      </c>
      <c r="H817">
        <v>1.2379805225352274</v>
      </c>
      <c r="I817">
        <v>0</v>
      </c>
      <c r="J817" t="s">
        <v>90</v>
      </c>
      <c r="K817">
        <v>0</v>
      </c>
      <c r="L817">
        <v>1.2379805225352274</v>
      </c>
      <c r="M817">
        <v>0</v>
      </c>
      <c r="N817">
        <v>0</v>
      </c>
      <c r="O817">
        <v>1.2379805225352274</v>
      </c>
      <c r="P817" t="s">
        <v>90</v>
      </c>
      <c r="Q817">
        <v>0</v>
      </c>
      <c r="R817" t="s">
        <v>90</v>
      </c>
      <c r="S817">
        <v>0</v>
      </c>
      <c r="T817" t="s">
        <v>90</v>
      </c>
      <c r="U817">
        <v>0</v>
      </c>
      <c r="V817" t="s">
        <v>90</v>
      </c>
      <c r="W817">
        <v>0</v>
      </c>
      <c r="X817" t="s">
        <v>90</v>
      </c>
      <c r="Y817">
        <v>0</v>
      </c>
      <c r="Z817">
        <v>1.2379805225352274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N817" t="s">
        <v>223</v>
      </c>
      <c r="AO817" t="s">
        <v>92</v>
      </c>
      <c r="AP817">
        <v>200000</v>
      </c>
      <c r="AQ817" t="s">
        <v>92</v>
      </c>
      <c r="AS817">
        <v>10000</v>
      </c>
      <c r="AT817" t="s">
        <v>9</v>
      </c>
      <c r="AU817" t="s">
        <v>78</v>
      </c>
      <c r="AV817" t="s">
        <v>79</v>
      </c>
      <c r="AY817">
        <v>0</v>
      </c>
    </row>
    <row r="818" spans="1:52" ht="12.75">
      <c r="A818" s="2" t="str">
        <f>HYPERLINK("https://ibp.a2mac1.com/costing(costing:projects/details/8191/assembly/5389513)","Bowl")</f>
        <v>Bowl</v>
      </c>
      <c r="B818">
        <v>5389513</v>
      </c>
      <c r="D818">
        <v>5389283</v>
      </c>
      <c r="F818">
        <v>1</v>
      </c>
      <c r="G818">
        <v>0</v>
      </c>
      <c r="H818">
        <v>4.1850201541990897</v>
      </c>
      <c r="I818">
        <v>0</v>
      </c>
      <c r="J818" t="s">
        <v>90</v>
      </c>
      <c r="K818">
        <v>0</v>
      </c>
      <c r="L818">
        <v>4.1850201541990897</v>
      </c>
      <c r="M818">
        <v>0</v>
      </c>
      <c r="N818">
        <v>0</v>
      </c>
      <c r="O818">
        <v>4.1850201541990897</v>
      </c>
      <c r="P818" t="s">
        <v>90</v>
      </c>
      <c r="Q818">
        <v>0</v>
      </c>
      <c r="R818" t="s">
        <v>90</v>
      </c>
      <c r="S818">
        <v>0</v>
      </c>
      <c r="T818" t="s">
        <v>90</v>
      </c>
      <c r="U818">
        <v>0</v>
      </c>
      <c r="V818" t="s">
        <v>90</v>
      </c>
      <c r="W818">
        <v>0</v>
      </c>
      <c r="X818" t="s">
        <v>90</v>
      </c>
      <c r="Y818">
        <v>0</v>
      </c>
      <c r="Z818">
        <v>4.1850201541990897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N818" t="s">
        <v>223</v>
      </c>
      <c r="AO818" t="s">
        <v>92</v>
      </c>
      <c r="AP818">
        <v>200000</v>
      </c>
      <c r="AQ818" t="s">
        <v>92</v>
      </c>
      <c r="AS818">
        <v>10000</v>
      </c>
      <c r="AT818" t="s">
        <v>9</v>
      </c>
      <c r="AU818" t="s">
        <v>78</v>
      </c>
      <c r="AV818" t="s">
        <v>79</v>
      </c>
      <c r="AY818">
        <v>0</v>
      </c>
    </row>
    <row r="819" spans="1:52" ht="12.75">
      <c r="A819" s="2" t="str">
        <f>HYPERLINK("https://ibp.a2mac1.com/costing(costing:projects/details/8191/assembly/5389283)","Shock absorber bowl assy")</f>
        <v>Shock absorber bowl assy</v>
      </c>
      <c r="B819">
        <v>5389283</v>
      </c>
      <c r="D819">
        <v>5388952</v>
      </c>
      <c r="F819">
        <v>1</v>
      </c>
      <c r="G819">
        <v>0</v>
      </c>
      <c r="H819">
        <v>4.1850201541990897</v>
      </c>
      <c r="I819">
        <v>0</v>
      </c>
      <c r="J819" t="s">
        <v>90</v>
      </c>
      <c r="K819">
        <v>0</v>
      </c>
      <c r="L819">
        <v>4.1850201541990897</v>
      </c>
      <c r="M819">
        <v>0</v>
      </c>
      <c r="N819">
        <v>0</v>
      </c>
      <c r="O819">
        <v>4.1850201541990897</v>
      </c>
      <c r="P819" t="s">
        <v>90</v>
      </c>
      <c r="Q819">
        <v>0</v>
      </c>
      <c r="R819" t="s">
        <v>90</v>
      </c>
      <c r="S819">
        <v>0</v>
      </c>
      <c r="T819" t="s">
        <v>90</v>
      </c>
      <c r="U819">
        <v>0</v>
      </c>
      <c r="V819" t="s">
        <v>90</v>
      </c>
      <c r="W819">
        <v>0</v>
      </c>
      <c r="X819" t="s">
        <v>90</v>
      </c>
      <c r="Y819">
        <v>0</v>
      </c>
      <c r="Z819">
        <v>4.1850201541990897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N819" t="s">
        <v>223</v>
      </c>
      <c r="AO819" t="s">
        <v>92</v>
      </c>
      <c r="AP819">
        <v>200000</v>
      </c>
      <c r="AQ819" t="s">
        <v>92</v>
      </c>
      <c r="AS819">
        <v>10000</v>
      </c>
      <c r="AT819" t="s">
        <v>9</v>
      </c>
      <c r="AU819" t="s">
        <v>78</v>
      </c>
      <c r="AV819" t="s">
        <v>79</v>
      </c>
      <c r="AY819">
        <v>0</v>
      </c>
    </row>
    <row r="820" spans="1:52" ht="12.75">
      <c r="A820" s="2" t="str">
        <f>HYPERLINK("https://ibp.a2mac1.com/costing(costing:projects/details/8191/assembly/5389514)","Frame")</f>
        <v>Frame</v>
      </c>
      <c r="B820">
        <v>5389514</v>
      </c>
      <c r="D820">
        <v>5389284</v>
      </c>
      <c r="F820">
        <v>1</v>
      </c>
      <c r="G820">
        <v>0</v>
      </c>
      <c r="H820">
        <v>5.73630059546886</v>
      </c>
      <c r="I820">
        <v>0</v>
      </c>
      <c r="J820" t="s">
        <v>90</v>
      </c>
      <c r="K820">
        <v>0</v>
      </c>
      <c r="L820">
        <v>5.73630059546886</v>
      </c>
      <c r="M820">
        <v>0</v>
      </c>
      <c r="N820">
        <v>0</v>
      </c>
      <c r="O820">
        <v>5.73630059546886</v>
      </c>
      <c r="P820" t="s">
        <v>90</v>
      </c>
      <c r="Q820">
        <v>0</v>
      </c>
      <c r="R820" t="s">
        <v>90</v>
      </c>
      <c r="S820">
        <v>0</v>
      </c>
      <c r="T820" t="s">
        <v>90</v>
      </c>
      <c r="U820">
        <v>0</v>
      </c>
      <c r="V820" t="s">
        <v>90</v>
      </c>
      <c r="W820">
        <v>0</v>
      </c>
      <c r="X820" t="s">
        <v>90</v>
      </c>
      <c r="Y820">
        <v>0</v>
      </c>
      <c r="Z820">
        <v>5.73630059546886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N820" t="s">
        <v>223</v>
      </c>
      <c r="AO820" t="s">
        <v>92</v>
      </c>
      <c r="AP820">
        <v>200000</v>
      </c>
      <c r="AQ820" t="s">
        <v>92</v>
      </c>
      <c r="AS820">
        <v>10000</v>
      </c>
      <c r="AT820" t="s">
        <v>9</v>
      </c>
      <c r="AU820" t="s">
        <v>78</v>
      </c>
      <c r="AV820" t="s">
        <v>79</v>
      </c>
      <c r="AY820">
        <v>0</v>
      </c>
    </row>
    <row r="821" spans="1:52" ht="12.75">
      <c r="A821" s="2" t="str">
        <f>HYPERLINK("https://ibp.a2mac1.com/costing(costing:projects/details/8191/assembly/5389515)","Reinforcements")</f>
        <v>Reinforcements</v>
      </c>
      <c r="B821">
        <v>5389515</v>
      </c>
      <c r="D821">
        <v>5389284</v>
      </c>
      <c r="F821">
        <v>1</v>
      </c>
      <c r="G821">
        <v>0</v>
      </c>
      <c r="H821">
        <v>4.4586503142883105</v>
      </c>
      <c r="I821">
        <v>0</v>
      </c>
      <c r="J821" t="s">
        <v>90</v>
      </c>
      <c r="K821">
        <v>0</v>
      </c>
      <c r="L821">
        <v>4.4586503142883105</v>
      </c>
      <c r="M821">
        <v>0</v>
      </c>
      <c r="N821">
        <v>0</v>
      </c>
      <c r="O821">
        <v>4.4586503142883105</v>
      </c>
      <c r="P821" t="s">
        <v>90</v>
      </c>
      <c r="Q821">
        <v>0</v>
      </c>
      <c r="R821" t="s">
        <v>90</v>
      </c>
      <c r="S821">
        <v>0</v>
      </c>
      <c r="T821" t="s">
        <v>90</v>
      </c>
      <c r="U821">
        <v>0</v>
      </c>
      <c r="V821" t="s">
        <v>90</v>
      </c>
      <c r="W821">
        <v>0</v>
      </c>
      <c r="X821" t="s">
        <v>90</v>
      </c>
      <c r="Y821">
        <v>0</v>
      </c>
      <c r="Z821">
        <v>4.4586503142883105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N821" t="s">
        <v>223</v>
      </c>
      <c r="AO821" t="s">
        <v>92</v>
      </c>
      <c r="AP821">
        <v>200000</v>
      </c>
      <c r="AQ821" t="s">
        <v>92</v>
      </c>
      <c r="AS821">
        <v>10000</v>
      </c>
      <c r="AT821" t="s">
        <v>9</v>
      </c>
      <c r="AU821" t="s">
        <v>78</v>
      </c>
      <c r="AV821" t="s">
        <v>79</v>
      </c>
      <c r="AY821">
        <v>0</v>
      </c>
    </row>
    <row r="822" spans="1:52" ht="12.75">
      <c r="A822" s="2" t="str">
        <f>HYPERLINK("https://ibp.a2mac1.com/costing(costing:projects/details/8191/assembly/5389516)","Fixing parts")</f>
        <v>Fixing parts</v>
      </c>
      <c r="B822">
        <v>5389516</v>
      </c>
      <c r="D822">
        <v>5389284</v>
      </c>
      <c r="F822">
        <v>1</v>
      </c>
      <c r="G822">
        <v>0</v>
      </c>
      <c r="H822">
        <v>0.83087070740562552</v>
      </c>
      <c r="I822">
        <v>0</v>
      </c>
      <c r="J822" t="s">
        <v>90</v>
      </c>
      <c r="K822">
        <v>0</v>
      </c>
      <c r="L822">
        <v>0.83087070740562552</v>
      </c>
      <c r="M822">
        <v>0</v>
      </c>
      <c r="N822">
        <v>0</v>
      </c>
      <c r="O822">
        <v>0.83087070740562552</v>
      </c>
      <c r="P822" t="s">
        <v>90</v>
      </c>
      <c r="Q822">
        <v>0</v>
      </c>
      <c r="R822" t="s">
        <v>90</v>
      </c>
      <c r="S822">
        <v>0</v>
      </c>
      <c r="T822" t="s">
        <v>90</v>
      </c>
      <c r="U822">
        <v>0</v>
      </c>
      <c r="V822" t="s">
        <v>90</v>
      </c>
      <c r="W822">
        <v>0</v>
      </c>
      <c r="X822" t="s">
        <v>90</v>
      </c>
      <c r="Y822">
        <v>0</v>
      </c>
      <c r="Z822">
        <v>0.83087070740562552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N822" t="s">
        <v>223</v>
      </c>
      <c r="AO822" t="s">
        <v>92</v>
      </c>
      <c r="AP822">
        <v>200000</v>
      </c>
      <c r="AQ822" t="s">
        <v>92</v>
      </c>
      <c r="AS822">
        <v>10000</v>
      </c>
      <c r="AT822" t="s">
        <v>9</v>
      </c>
      <c r="AU822" t="s">
        <v>78</v>
      </c>
      <c r="AV822" t="s">
        <v>79</v>
      </c>
      <c r="AY822">
        <v>0</v>
      </c>
    </row>
    <row r="823" spans="1:52" ht="12.75">
      <c r="A823" s="2" t="str">
        <f>HYPERLINK("https://ibp.a2mac1.com/costing(costing:projects/details/8191/assembly/5389284)","Wheel shroud assy")</f>
        <v>Wheel shroud assy</v>
      </c>
      <c r="B823">
        <v>5389284</v>
      </c>
      <c r="D823">
        <v>5388952</v>
      </c>
      <c r="F823">
        <v>1</v>
      </c>
      <c r="G823">
        <v>0</v>
      </c>
      <c r="H823">
        <v>11.025821617162796</v>
      </c>
      <c r="I823">
        <v>0</v>
      </c>
      <c r="J823" t="s">
        <v>90</v>
      </c>
      <c r="K823">
        <v>0</v>
      </c>
      <c r="L823">
        <v>11.025821617162796</v>
      </c>
      <c r="M823">
        <v>0</v>
      </c>
      <c r="N823">
        <v>0</v>
      </c>
      <c r="O823">
        <v>11.025821617162796</v>
      </c>
      <c r="P823" t="s">
        <v>90</v>
      </c>
      <c r="Q823">
        <v>0</v>
      </c>
      <c r="R823" t="s">
        <v>90</v>
      </c>
      <c r="S823">
        <v>0</v>
      </c>
      <c r="T823" t="s">
        <v>90</v>
      </c>
      <c r="U823">
        <v>0</v>
      </c>
      <c r="V823" t="s">
        <v>90</v>
      </c>
      <c r="W823">
        <v>0</v>
      </c>
      <c r="X823" t="s">
        <v>90</v>
      </c>
      <c r="Y823">
        <v>0</v>
      </c>
      <c r="Z823">
        <v>11.025821617162796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N823" t="s">
        <v>223</v>
      </c>
      <c r="AO823" t="s">
        <v>92</v>
      </c>
      <c r="AP823">
        <v>200000</v>
      </c>
      <c r="AQ823" t="s">
        <v>92</v>
      </c>
      <c r="AS823">
        <v>10000</v>
      </c>
      <c r="AT823" t="s">
        <v>9</v>
      </c>
      <c r="AU823" t="s">
        <v>78</v>
      </c>
      <c r="AV823" t="s">
        <v>79</v>
      </c>
      <c r="AY823">
        <v>0</v>
      </c>
    </row>
    <row r="824" spans="1:52" ht="12.75">
      <c r="A824" s="2" t="str">
        <f>HYPERLINK("https://ibp.a2mac1.com/costing(costing:projects/details/8191/assembly/5388952)","Front wheel shroud assy")</f>
        <v>Front wheel shroud assy</v>
      </c>
      <c r="B824">
        <v>5388952</v>
      </c>
      <c r="D824">
        <v>5388633</v>
      </c>
      <c r="F824">
        <v>1</v>
      </c>
      <c r="G824">
        <v>0</v>
      </c>
      <c r="H824">
        <v>16.448822293897113</v>
      </c>
      <c r="I824">
        <v>0</v>
      </c>
      <c r="J824" t="s">
        <v>90</v>
      </c>
      <c r="K824">
        <v>0</v>
      </c>
      <c r="L824">
        <v>16.448822293897113</v>
      </c>
      <c r="M824">
        <v>0</v>
      </c>
      <c r="N824">
        <v>0</v>
      </c>
      <c r="O824">
        <v>16.448822293897113</v>
      </c>
      <c r="P824" t="s">
        <v>90</v>
      </c>
      <c r="Q824">
        <v>0</v>
      </c>
      <c r="R824" t="s">
        <v>90</v>
      </c>
      <c r="S824">
        <v>0</v>
      </c>
      <c r="T824" t="s">
        <v>90</v>
      </c>
      <c r="U824">
        <v>0</v>
      </c>
      <c r="V824" t="s">
        <v>90</v>
      </c>
      <c r="W824">
        <v>0</v>
      </c>
      <c r="X824" t="s">
        <v>90</v>
      </c>
      <c r="Y824">
        <v>0</v>
      </c>
      <c r="Z824">
        <v>16.448822293897113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N824" t="s">
        <v>223</v>
      </c>
      <c r="AO824" t="s">
        <v>92</v>
      </c>
      <c r="AP824">
        <v>200000</v>
      </c>
      <c r="AQ824" t="s">
        <v>92</v>
      </c>
      <c r="AS824">
        <v>10000</v>
      </c>
      <c r="AT824" t="s">
        <v>9</v>
      </c>
      <c r="AU824" t="s">
        <v>78</v>
      </c>
      <c r="AV824" t="s">
        <v>79</v>
      </c>
      <c r="AY824">
        <v>0</v>
      </c>
    </row>
    <row r="825" spans="1:52" ht="12.75">
      <c r="A825" s="2" t="str">
        <f>HYPERLINK("https://ibp.a2mac1.com/costing(costing:projects/details/8191/assembly/5389285)","Frame")</f>
        <v>Frame</v>
      </c>
      <c r="B825">
        <v>5389285</v>
      </c>
      <c r="D825">
        <v>5388953</v>
      </c>
      <c r="F825">
        <v>1</v>
      </c>
      <c r="G825">
        <v>0</v>
      </c>
      <c r="H825">
        <v>46.426684498477684</v>
      </c>
      <c r="I825">
        <v>0</v>
      </c>
      <c r="J825" t="s">
        <v>90</v>
      </c>
      <c r="K825">
        <v>0</v>
      </c>
      <c r="L825">
        <v>46.426684498477684</v>
      </c>
      <c r="M825">
        <v>0</v>
      </c>
      <c r="N825">
        <v>0</v>
      </c>
      <c r="O825">
        <v>46.426684498477684</v>
      </c>
      <c r="P825" t="s">
        <v>90</v>
      </c>
      <c r="Q825">
        <v>0</v>
      </c>
      <c r="R825" t="s">
        <v>90</v>
      </c>
      <c r="S825">
        <v>0</v>
      </c>
      <c r="T825" t="s">
        <v>90</v>
      </c>
      <c r="U825">
        <v>0</v>
      </c>
      <c r="V825" t="s">
        <v>90</v>
      </c>
      <c r="W825">
        <v>0</v>
      </c>
      <c r="X825" t="s">
        <v>90</v>
      </c>
      <c r="Y825">
        <v>0</v>
      </c>
      <c r="Z825">
        <v>46.426684498477684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N825" t="s">
        <v>223</v>
      </c>
      <c r="AO825" t="s">
        <v>92</v>
      </c>
      <c r="AP825">
        <v>200000</v>
      </c>
      <c r="AQ825" t="s">
        <v>92</v>
      </c>
      <c r="AS825">
        <v>10000</v>
      </c>
      <c r="AT825" t="s">
        <v>9</v>
      </c>
      <c r="AU825" t="s">
        <v>78</v>
      </c>
      <c r="AV825" t="s">
        <v>79</v>
      </c>
      <c r="AY825">
        <v>0</v>
      </c>
    </row>
    <row r="826" spans="1:52" ht="12.75">
      <c r="A826" s="2" t="str">
        <f>HYPERLINK("https://ibp.a2mac1.com/costing(costing:projects/details/8191/assembly/5389286)","Reinforcements")</f>
        <v>Reinforcements</v>
      </c>
      <c r="B826">
        <v>5389286</v>
      </c>
      <c r="D826">
        <v>5388953</v>
      </c>
      <c r="F826">
        <v>1</v>
      </c>
      <c r="G826">
        <v>0</v>
      </c>
      <c r="H826">
        <v>8.2465344812885508</v>
      </c>
      <c r="I826">
        <v>0</v>
      </c>
      <c r="J826" t="s">
        <v>90</v>
      </c>
      <c r="K826">
        <v>0</v>
      </c>
      <c r="L826">
        <v>8.2465344812885508</v>
      </c>
      <c r="M826">
        <v>0</v>
      </c>
      <c r="N826">
        <v>0</v>
      </c>
      <c r="O826">
        <v>8.2465344812885508</v>
      </c>
      <c r="P826" t="s">
        <v>90</v>
      </c>
      <c r="Q826">
        <v>0</v>
      </c>
      <c r="R826" t="s">
        <v>90</v>
      </c>
      <c r="S826">
        <v>0</v>
      </c>
      <c r="T826" t="s">
        <v>90</v>
      </c>
      <c r="U826">
        <v>0</v>
      </c>
      <c r="V826" t="s">
        <v>90</v>
      </c>
      <c r="W826">
        <v>0</v>
      </c>
      <c r="X826" t="s">
        <v>90</v>
      </c>
      <c r="Y826">
        <v>0</v>
      </c>
      <c r="Z826">
        <v>8.2465344812885508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N826" t="s">
        <v>223</v>
      </c>
      <c r="AO826" t="s">
        <v>92</v>
      </c>
      <c r="AP826">
        <v>200000</v>
      </c>
      <c r="AQ826" t="s">
        <v>92</v>
      </c>
      <c r="AS826">
        <v>10000</v>
      </c>
      <c r="AT826" t="s">
        <v>9</v>
      </c>
      <c r="AU826" t="s">
        <v>78</v>
      </c>
      <c r="AV826" t="s">
        <v>79</v>
      </c>
      <c r="AY826">
        <v>0</v>
      </c>
    </row>
    <row r="827" spans="1:52" ht="12.75">
      <c r="A827" s="2" t="str">
        <f>HYPERLINK("https://ibp.a2mac1.com/costing(costing:projects/details/8191/assembly/5389287)","Spacers")</f>
        <v>Spacers</v>
      </c>
      <c r="B827">
        <v>5389287</v>
      </c>
      <c r="D827">
        <v>5388953</v>
      </c>
      <c r="F827">
        <v>1</v>
      </c>
      <c r="G827">
        <v>0</v>
      </c>
      <c r="H827">
        <v>4.5993420187666754</v>
      </c>
      <c r="I827">
        <v>0</v>
      </c>
      <c r="J827" t="s">
        <v>90</v>
      </c>
      <c r="K827">
        <v>0</v>
      </c>
      <c r="L827">
        <v>4.5993420187666754</v>
      </c>
      <c r="M827">
        <v>0</v>
      </c>
      <c r="N827">
        <v>0</v>
      </c>
      <c r="O827">
        <v>4.5993420187666754</v>
      </c>
      <c r="P827" t="s">
        <v>90</v>
      </c>
      <c r="Q827">
        <v>0</v>
      </c>
      <c r="R827" t="s">
        <v>90</v>
      </c>
      <c r="S827">
        <v>0</v>
      </c>
      <c r="T827" t="s">
        <v>90</v>
      </c>
      <c r="U827">
        <v>0</v>
      </c>
      <c r="V827" t="s">
        <v>90</v>
      </c>
      <c r="W827">
        <v>0</v>
      </c>
      <c r="X827" t="s">
        <v>90</v>
      </c>
      <c r="Y827">
        <v>0</v>
      </c>
      <c r="Z827">
        <v>4.5993420187666754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N827" t="s">
        <v>223</v>
      </c>
      <c r="AO827" t="s">
        <v>92</v>
      </c>
      <c r="AP827">
        <v>200000</v>
      </c>
      <c r="AQ827" t="s">
        <v>92</v>
      </c>
      <c r="AS827">
        <v>10000</v>
      </c>
      <c r="AT827" t="s">
        <v>9</v>
      </c>
      <c r="AU827" t="s">
        <v>78</v>
      </c>
      <c r="AV827" t="s">
        <v>79</v>
      </c>
      <c r="AY827">
        <v>0</v>
      </c>
    </row>
    <row r="828" spans="1:52" ht="12.75">
      <c r="A828" s="2" t="str">
        <f>HYPERLINK("https://ibp.a2mac1.com/costing(costing:projects/details/8191/assembly/5389288)","Front end support 01")</f>
        <v>Front end support 01</v>
      </c>
      <c r="B828">
        <v>5389288</v>
      </c>
      <c r="D828">
        <v>5388953</v>
      </c>
      <c r="F828">
        <v>1</v>
      </c>
      <c r="G828">
        <v>0</v>
      </c>
      <c r="H828">
        <v>1.8524216240100273</v>
      </c>
      <c r="I828">
        <v>0</v>
      </c>
      <c r="J828" t="s">
        <v>90</v>
      </c>
      <c r="K828">
        <v>0</v>
      </c>
      <c r="L828">
        <v>1.8524216240100273</v>
      </c>
      <c r="M828">
        <v>0</v>
      </c>
      <c r="N828">
        <v>0</v>
      </c>
      <c r="O828">
        <v>1.8524216240100273</v>
      </c>
      <c r="P828" t="s">
        <v>90</v>
      </c>
      <c r="Q828">
        <v>0</v>
      </c>
      <c r="R828" t="s">
        <v>90</v>
      </c>
      <c r="S828">
        <v>0</v>
      </c>
      <c r="T828" t="s">
        <v>90</v>
      </c>
      <c r="U828">
        <v>0</v>
      </c>
      <c r="V828" t="s">
        <v>90</v>
      </c>
      <c r="W828">
        <v>0</v>
      </c>
      <c r="X828" t="s">
        <v>90</v>
      </c>
      <c r="Y828">
        <v>0</v>
      </c>
      <c r="Z828">
        <v>1.8524216240100273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N828" t="s">
        <v>223</v>
      </c>
      <c r="AO828" t="s">
        <v>92</v>
      </c>
      <c r="AP828">
        <v>200000</v>
      </c>
      <c r="AQ828" t="s">
        <v>92</v>
      </c>
      <c r="AS828">
        <v>10000</v>
      </c>
      <c r="AT828" t="s">
        <v>9</v>
      </c>
      <c r="AU828" t="s">
        <v>78</v>
      </c>
      <c r="AV828" t="s">
        <v>79</v>
      </c>
      <c r="AY828">
        <v>0</v>
      </c>
    </row>
    <row r="829" spans="1:52" ht="12.75">
      <c r="A829" s="2" t="str">
        <f>HYPERLINK("https://ibp.a2mac1.com/costing(costing:projects/details/8191/assembly/5389289)","Other fixing parts")</f>
        <v>Other fixing parts</v>
      </c>
      <c r="B829">
        <v>5389289</v>
      </c>
      <c r="D829">
        <v>5388953</v>
      </c>
      <c r="F829">
        <v>1</v>
      </c>
      <c r="G829">
        <v>0</v>
      </c>
      <c r="H829">
        <v>7.923842585098047</v>
      </c>
      <c r="I829">
        <v>0</v>
      </c>
      <c r="J829" t="s">
        <v>90</v>
      </c>
      <c r="K829">
        <v>0</v>
      </c>
      <c r="L829">
        <v>7.923842585098047</v>
      </c>
      <c r="M829">
        <v>0</v>
      </c>
      <c r="N829">
        <v>0</v>
      </c>
      <c r="O829">
        <v>7.923842585098047</v>
      </c>
      <c r="P829" t="s">
        <v>90</v>
      </c>
      <c r="Q829">
        <v>0</v>
      </c>
      <c r="R829" t="s">
        <v>90</v>
      </c>
      <c r="S829">
        <v>0</v>
      </c>
      <c r="T829" t="s">
        <v>90</v>
      </c>
      <c r="U829">
        <v>0</v>
      </c>
      <c r="V829" t="s">
        <v>90</v>
      </c>
      <c r="W829">
        <v>0</v>
      </c>
      <c r="X829" t="s">
        <v>90</v>
      </c>
      <c r="Y829">
        <v>0</v>
      </c>
      <c r="Z829">
        <v>7.923842585098047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N829" t="s">
        <v>223</v>
      </c>
      <c r="AO829" t="s">
        <v>92</v>
      </c>
      <c r="AP829">
        <v>200000</v>
      </c>
      <c r="AQ829" t="s">
        <v>92</v>
      </c>
      <c r="AS829">
        <v>10000</v>
      </c>
      <c r="AT829" t="s">
        <v>9</v>
      </c>
      <c r="AU829" t="s">
        <v>78</v>
      </c>
      <c r="AV829" t="s">
        <v>79</v>
      </c>
      <c r="AY829">
        <v>0</v>
      </c>
    </row>
    <row r="830" spans="1:52" ht="12.75">
      <c r="A830" s="2" t="str">
        <f>HYPERLINK("https://ibp.a2mac1.com/costing(costing:projects/details/8191/assembly/5388953)","Front side member assy")</f>
        <v>Front side member assy</v>
      </c>
      <c r="B830">
        <v>5388953</v>
      </c>
      <c r="D830">
        <v>5388633</v>
      </c>
      <c r="F830">
        <v>1</v>
      </c>
      <c r="G830">
        <v>0</v>
      </c>
      <c r="H830">
        <v>69.048825207640988</v>
      </c>
      <c r="I830">
        <v>0</v>
      </c>
      <c r="J830" t="s">
        <v>90</v>
      </c>
      <c r="K830">
        <v>0</v>
      </c>
      <c r="L830">
        <v>69.048825207640988</v>
      </c>
      <c r="M830">
        <v>0</v>
      </c>
      <c r="N830">
        <v>0</v>
      </c>
      <c r="O830">
        <v>69.048825207640988</v>
      </c>
      <c r="P830" t="s">
        <v>90</v>
      </c>
      <c r="Q830">
        <v>0</v>
      </c>
      <c r="R830" t="s">
        <v>90</v>
      </c>
      <c r="S830">
        <v>0</v>
      </c>
      <c r="T830" t="s">
        <v>90</v>
      </c>
      <c r="U830">
        <v>0</v>
      </c>
      <c r="V830" t="s">
        <v>90</v>
      </c>
      <c r="W830">
        <v>0</v>
      </c>
      <c r="X830" t="s">
        <v>90</v>
      </c>
      <c r="Y830">
        <v>0</v>
      </c>
      <c r="Z830">
        <v>69.048825207640988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N830" t="s">
        <v>223</v>
      </c>
      <c r="AO830" t="s">
        <v>92</v>
      </c>
      <c r="AP830">
        <v>200000</v>
      </c>
      <c r="AQ830" t="s">
        <v>92</v>
      </c>
      <c r="AS830">
        <v>10000</v>
      </c>
      <c r="AT830" t="s">
        <v>9</v>
      </c>
      <c r="AU830" t="s">
        <v>78</v>
      </c>
      <c r="AV830" t="s">
        <v>79</v>
      </c>
      <c r="AY830">
        <v>0</v>
      </c>
    </row>
    <row r="831" spans="1:52" ht="12.75">
      <c r="A831" s="2" t="str">
        <f>HYPERLINK("https://ibp.a2mac1.com/costing(costing:projects/details/8191/assembly/5389290)","Dash panel")</f>
        <v>Dash panel</v>
      </c>
      <c r="B831">
        <v>5389290</v>
      </c>
      <c r="D831">
        <v>5388954</v>
      </c>
      <c r="F831">
        <v>1</v>
      </c>
      <c r="G831">
        <v>0</v>
      </c>
      <c r="H831">
        <v>3.6045872928378699</v>
      </c>
      <c r="I831">
        <v>0</v>
      </c>
      <c r="J831" t="s">
        <v>90</v>
      </c>
      <c r="K831">
        <v>0</v>
      </c>
      <c r="L831">
        <v>3.6045872928378699</v>
      </c>
      <c r="M831">
        <v>0</v>
      </c>
      <c r="N831">
        <v>0</v>
      </c>
      <c r="O831">
        <v>3.6045872928378699</v>
      </c>
      <c r="P831" t="s">
        <v>90</v>
      </c>
      <c r="Q831">
        <v>0</v>
      </c>
      <c r="R831" t="s">
        <v>90</v>
      </c>
      <c r="S831">
        <v>0</v>
      </c>
      <c r="T831" t="s">
        <v>90</v>
      </c>
      <c r="U831">
        <v>0</v>
      </c>
      <c r="V831" t="s">
        <v>90</v>
      </c>
      <c r="W831">
        <v>0</v>
      </c>
      <c r="X831" t="s">
        <v>90</v>
      </c>
      <c r="Y831">
        <v>0</v>
      </c>
      <c r="Z831">
        <v>3.6045872928378699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N831" t="s">
        <v>223</v>
      </c>
      <c r="AO831" t="s">
        <v>92</v>
      </c>
      <c r="AP831">
        <v>200000</v>
      </c>
      <c r="AQ831" t="s">
        <v>92</v>
      </c>
      <c r="AS831">
        <v>10000</v>
      </c>
      <c r="AT831" t="s">
        <v>9</v>
      </c>
      <c r="AU831" t="s">
        <v>78</v>
      </c>
      <c r="AV831" t="s">
        <v>79</v>
      </c>
      <c r="AY831">
        <v>0</v>
      </c>
    </row>
    <row r="832" spans="1:52" ht="12.75">
      <c r="A832" s="2" t="str">
        <f>HYPERLINK("https://ibp.a2mac1.com/costing(costing:projects/details/8191/assembly/5389539)","Cross member")</f>
        <v>Cross member</v>
      </c>
      <c r="B832">
        <v>5389539</v>
      </c>
      <c r="D832">
        <v>5389291</v>
      </c>
      <c r="F832">
        <v>1</v>
      </c>
      <c r="G832">
        <v>0</v>
      </c>
      <c r="H832">
        <v>0.94341435846944255</v>
      </c>
      <c r="I832">
        <v>0</v>
      </c>
      <c r="J832" t="s">
        <v>90</v>
      </c>
      <c r="K832">
        <v>0</v>
      </c>
      <c r="L832">
        <v>0.94341435846944255</v>
      </c>
      <c r="M832">
        <v>0</v>
      </c>
      <c r="N832">
        <v>0</v>
      </c>
      <c r="O832">
        <v>0.94341435846944255</v>
      </c>
      <c r="P832" t="s">
        <v>90</v>
      </c>
      <c r="Q832">
        <v>0</v>
      </c>
      <c r="R832" t="s">
        <v>90</v>
      </c>
      <c r="S832">
        <v>0</v>
      </c>
      <c r="T832" t="s">
        <v>90</v>
      </c>
      <c r="U832">
        <v>0</v>
      </c>
      <c r="V832" t="s">
        <v>90</v>
      </c>
      <c r="W832">
        <v>0</v>
      </c>
      <c r="X832" t="s">
        <v>90</v>
      </c>
      <c r="Y832">
        <v>0</v>
      </c>
      <c r="Z832">
        <v>0.94341435846944255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N832" t="s">
        <v>223</v>
      </c>
      <c r="AO832" t="s">
        <v>92</v>
      </c>
      <c r="AP832">
        <v>200000</v>
      </c>
      <c r="AQ832" t="s">
        <v>92</v>
      </c>
      <c r="AS832">
        <v>10000</v>
      </c>
      <c r="AT832" t="s">
        <v>9</v>
      </c>
      <c r="AU832" t="s">
        <v>78</v>
      </c>
      <c r="AV832" t="s">
        <v>79</v>
      </c>
      <c r="AY832">
        <v>0</v>
      </c>
    </row>
    <row r="833" spans="1:52" ht="12.75">
      <c r="A833" s="2" t="str">
        <f>HYPERLINK("https://ibp.a2mac1.com/costing(costing:projects/details/8191/assembly/5389540)","Gussets")</f>
        <v>Gussets</v>
      </c>
      <c r="B833">
        <v>5389540</v>
      </c>
      <c r="D833">
        <v>5389291</v>
      </c>
      <c r="F833">
        <v>1</v>
      </c>
      <c r="G833">
        <v>0</v>
      </c>
      <c r="H833">
        <v>1.3479971819918941</v>
      </c>
      <c r="I833">
        <v>0</v>
      </c>
      <c r="J833" t="s">
        <v>90</v>
      </c>
      <c r="K833">
        <v>0</v>
      </c>
      <c r="L833">
        <v>1.3479971819918941</v>
      </c>
      <c r="M833">
        <v>0</v>
      </c>
      <c r="N833">
        <v>0</v>
      </c>
      <c r="O833">
        <v>1.3479971819918941</v>
      </c>
      <c r="P833" t="s">
        <v>90</v>
      </c>
      <c r="Q833">
        <v>0</v>
      </c>
      <c r="R833" t="s">
        <v>90</v>
      </c>
      <c r="S833">
        <v>0</v>
      </c>
      <c r="T833" t="s">
        <v>90</v>
      </c>
      <c r="U833">
        <v>0</v>
      </c>
      <c r="V833" t="s">
        <v>90</v>
      </c>
      <c r="W833">
        <v>0</v>
      </c>
      <c r="X833" t="s">
        <v>90</v>
      </c>
      <c r="Y833">
        <v>0</v>
      </c>
      <c r="Z833">
        <v>1.3479971819918941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N833" t="s">
        <v>223</v>
      </c>
      <c r="AO833" t="s">
        <v>92</v>
      </c>
      <c r="AP833">
        <v>200000</v>
      </c>
      <c r="AQ833" t="s">
        <v>92</v>
      </c>
      <c r="AS833">
        <v>10000</v>
      </c>
      <c r="AT833" t="s">
        <v>9</v>
      </c>
      <c r="AU833" t="s">
        <v>78</v>
      </c>
      <c r="AV833" t="s">
        <v>79</v>
      </c>
      <c r="AY833">
        <v>0</v>
      </c>
    </row>
    <row r="834" spans="1:52" ht="12.75">
      <c r="A834" s="2" t="str">
        <f>HYPERLINK("https://ibp.a2mac1.com/costing(costing:projects/details/8191/assembly/5389291)","Cross member assy")</f>
        <v>Cross member assy</v>
      </c>
      <c r="B834">
        <v>5389291</v>
      </c>
      <c r="D834">
        <v>5388954</v>
      </c>
      <c r="F834">
        <v>1</v>
      </c>
      <c r="G834">
        <v>0</v>
      </c>
      <c r="H834">
        <v>2.2914115404613367</v>
      </c>
      <c r="I834">
        <v>0</v>
      </c>
      <c r="J834" t="s">
        <v>90</v>
      </c>
      <c r="K834">
        <v>0</v>
      </c>
      <c r="L834">
        <v>2.2914115404613367</v>
      </c>
      <c r="M834">
        <v>0</v>
      </c>
      <c r="N834">
        <v>0</v>
      </c>
      <c r="O834">
        <v>2.2914115404613367</v>
      </c>
      <c r="P834" t="s">
        <v>90</v>
      </c>
      <c r="Q834">
        <v>0</v>
      </c>
      <c r="R834" t="s">
        <v>90</v>
      </c>
      <c r="S834">
        <v>0</v>
      </c>
      <c r="T834" t="s">
        <v>90</v>
      </c>
      <c r="U834">
        <v>0</v>
      </c>
      <c r="V834" t="s">
        <v>90</v>
      </c>
      <c r="W834">
        <v>0</v>
      </c>
      <c r="X834" t="s">
        <v>90</v>
      </c>
      <c r="Y834">
        <v>0</v>
      </c>
      <c r="Z834">
        <v>2.2914115404613367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N834" t="s">
        <v>223</v>
      </c>
      <c r="AO834" t="s">
        <v>92</v>
      </c>
      <c r="AP834">
        <v>200000</v>
      </c>
      <c r="AQ834" t="s">
        <v>92</v>
      </c>
      <c r="AS834">
        <v>10000</v>
      </c>
      <c r="AT834" t="s">
        <v>9</v>
      </c>
      <c r="AU834" t="s">
        <v>78</v>
      </c>
      <c r="AV834" t="s">
        <v>79</v>
      </c>
      <c r="AY834">
        <v>0</v>
      </c>
    </row>
    <row r="835" spans="1:52" ht="12.75">
      <c r="A835" s="2" t="str">
        <f>HYPERLINK("https://ibp.a2mac1.com/costing(costing:projects/details/8191/assembly/5388954)","Dash panel assy")</f>
        <v>Dash panel assy</v>
      </c>
      <c r="B835">
        <v>5388954</v>
      </c>
      <c r="D835">
        <v>5388633</v>
      </c>
      <c r="F835">
        <v>1</v>
      </c>
      <c r="G835">
        <v>0</v>
      </c>
      <c r="H835">
        <v>5.8959988332992062</v>
      </c>
      <c r="I835">
        <v>0</v>
      </c>
      <c r="J835" t="s">
        <v>90</v>
      </c>
      <c r="K835">
        <v>0</v>
      </c>
      <c r="L835">
        <v>5.8959988332992062</v>
      </c>
      <c r="M835">
        <v>0</v>
      </c>
      <c r="N835">
        <v>0</v>
      </c>
      <c r="O835">
        <v>5.8959988332992062</v>
      </c>
      <c r="P835" t="s">
        <v>90</v>
      </c>
      <c r="Q835">
        <v>0</v>
      </c>
      <c r="R835" t="s">
        <v>90</v>
      </c>
      <c r="S835">
        <v>0</v>
      </c>
      <c r="T835" t="s">
        <v>90</v>
      </c>
      <c r="U835">
        <v>0</v>
      </c>
      <c r="V835" t="s">
        <v>90</v>
      </c>
      <c r="W835">
        <v>0</v>
      </c>
      <c r="X835" t="s">
        <v>90</v>
      </c>
      <c r="Y835">
        <v>0</v>
      </c>
      <c r="Z835">
        <v>5.8959988332992062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N835" t="s">
        <v>223</v>
      </c>
      <c r="AO835" t="s">
        <v>92</v>
      </c>
      <c r="AP835">
        <v>200000</v>
      </c>
      <c r="AQ835" t="s">
        <v>92</v>
      </c>
      <c r="AS835">
        <v>10000</v>
      </c>
      <c r="AT835" t="s">
        <v>9</v>
      </c>
      <c r="AU835" t="s">
        <v>78</v>
      </c>
      <c r="AV835" t="s">
        <v>79</v>
      </c>
      <c r="AY835">
        <v>0</v>
      </c>
    </row>
    <row r="836" spans="1:52" ht="12.75">
      <c r="A836" s="2" t="str">
        <f>HYPERLINK("https://ibp.a2mac1.com/costing(costing:projects/details/8191/assembly/5389292)","Inner skin")</f>
        <v>Inner skin</v>
      </c>
      <c r="B836">
        <v>5389292</v>
      </c>
      <c r="D836">
        <v>5388955</v>
      </c>
      <c r="F836">
        <v>1</v>
      </c>
      <c r="G836">
        <v>0</v>
      </c>
      <c r="H836">
        <v>16.13865539850265</v>
      </c>
      <c r="I836">
        <v>0</v>
      </c>
      <c r="J836" t="s">
        <v>90</v>
      </c>
      <c r="K836">
        <v>0</v>
      </c>
      <c r="L836">
        <v>16.13865539850265</v>
      </c>
      <c r="M836">
        <v>0</v>
      </c>
      <c r="N836">
        <v>0</v>
      </c>
      <c r="O836">
        <v>16.13865539850265</v>
      </c>
      <c r="P836" t="s">
        <v>90</v>
      </c>
      <c r="Q836">
        <v>0</v>
      </c>
      <c r="R836" t="s">
        <v>90</v>
      </c>
      <c r="S836">
        <v>0</v>
      </c>
      <c r="T836" t="s">
        <v>90</v>
      </c>
      <c r="U836">
        <v>0</v>
      </c>
      <c r="V836" t="s">
        <v>90</v>
      </c>
      <c r="W836">
        <v>0</v>
      </c>
      <c r="X836" t="s">
        <v>90</v>
      </c>
      <c r="Y836">
        <v>0</v>
      </c>
      <c r="Z836">
        <v>16.13865539850265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N836" t="s">
        <v>223</v>
      </c>
      <c r="AO836" t="s">
        <v>92</v>
      </c>
      <c r="AP836">
        <v>200000</v>
      </c>
      <c r="AQ836" t="s">
        <v>92</v>
      </c>
      <c r="AS836">
        <v>10000</v>
      </c>
      <c r="AT836" t="s">
        <v>9</v>
      </c>
      <c r="AU836" t="s">
        <v>78</v>
      </c>
      <c r="AV836" t="s">
        <v>79</v>
      </c>
      <c r="AY836">
        <v>0</v>
      </c>
    </row>
    <row r="837" spans="1:52" ht="12.75">
      <c r="A837" s="2" t="str">
        <f>HYPERLINK("https://ibp.a2mac1.com/costing(costing:projects/details/8191/assembly/5389293)","Fixing parts")</f>
        <v>Fixing parts</v>
      </c>
      <c r="B837">
        <v>5389293</v>
      </c>
      <c r="D837">
        <v>5388955</v>
      </c>
      <c r="F837">
        <v>1</v>
      </c>
      <c r="G837">
        <v>0</v>
      </c>
      <c r="H837">
        <v>1.7758064316012274</v>
      </c>
      <c r="I837">
        <v>0</v>
      </c>
      <c r="J837" t="s">
        <v>90</v>
      </c>
      <c r="K837">
        <v>0</v>
      </c>
      <c r="L837">
        <v>1.7758064316012274</v>
      </c>
      <c r="M837">
        <v>0</v>
      </c>
      <c r="N837">
        <v>0</v>
      </c>
      <c r="O837">
        <v>1.7758064316012274</v>
      </c>
      <c r="P837" t="s">
        <v>90</v>
      </c>
      <c r="Q837">
        <v>0</v>
      </c>
      <c r="R837" t="s">
        <v>90</v>
      </c>
      <c r="S837">
        <v>0</v>
      </c>
      <c r="T837" t="s">
        <v>90</v>
      </c>
      <c r="U837">
        <v>0</v>
      </c>
      <c r="V837" t="s">
        <v>90</v>
      </c>
      <c r="W837">
        <v>0</v>
      </c>
      <c r="X837" t="s">
        <v>90</v>
      </c>
      <c r="Y837">
        <v>0</v>
      </c>
      <c r="Z837">
        <v>1.7758064316012274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N837" t="s">
        <v>223</v>
      </c>
      <c r="AO837" t="s">
        <v>92</v>
      </c>
      <c r="AP837">
        <v>200000</v>
      </c>
      <c r="AQ837" t="s">
        <v>92</v>
      </c>
      <c r="AS837">
        <v>10000</v>
      </c>
      <c r="AT837" t="s">
        <v>9</v>
      </c>
      <c r="AU837" t="s">
        <v>78</v>
      </c>
      <c r="AV837" t="s">
        <v>79</v>
      </c>
      <c r="AY837">
        <v>0</v>
      </c>
    </row>
    <row r="838" spans="1:52" ht="12.75">
      <c r="A838" s="2" t="str">
        <f>HYPERLINK("https://ibp.a2mac1.com/costing(costing:projects/details/8191/assembly/5388955)","A pillar inner skin")</f>
        <v>A pillar inner skin</v>
      </c>
      <c r="B838">
        <v>5388955</v>
      </c>
      <c r="D838">
        <v>5388633</v>
      </c>
      <c r="F838">
        <v>1</v>
      </c>
      <c r="G838">
        <v>0</v>
      </c>
      <c r="H838">
        <v>17.914461830103875</v>
      </c>
      <c r="I838">
        <v>0</v>
      </c>
      <c r="J838" t="s">
        <v>90</v>
      </c>
      <c r="K838">
        <v>0</v>
      </c>
      <c r="L838">
        <v>17.914461830103875</v>
      </c>
      <c r="M838">
        <v>0</v>
      </c>
      <c r="N838">
        <v>0</v>
      </c>
      <c r="O838">
        <v>17.914461830103875</v>
      </c>
      <c r="P838" t="s">
        <v>90</v>
      </c>
      <c r="Q838">
        <v>0</v>
      </c>
      <c r="R838" t="s">
        <v>90</v>
      </c>
      <c r="S838">
        <v>0</v>
      </c>
      <c r="T838" t="s">
        <v>90</v>
      </c>
      <c r="U838">
        <v>0</v>
      </c>
      <c r="V838" t="s">
        <v>90</v>
      </c>
      <c r="W838">
        <v>0</v>
      </c>
      <c r="X838" t="s">
        <v>90</v>
      </c>
      <c r="Y838">
        <v>0</v>
      </c>
      <c r="Z838">
        <v>17.914461830103875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N838" t="s">
        <v>223</v>
      </c>
      <c r="AO838" t="s">
        <v>92</v>
      </c>
      <c r="AP838">
        <v>200000</v>
      </c>
      <c r="AQ838" t="s">
        <v>92</v>
      </c>
      <c r="AS838">
        <v>10000</v>
      </c>
      <c r="AT838" t="s">
        <v>9</v>
      </c>
      <c r="AU838" t="s">
        <v>78</v>
      </c>
      <c r="AV838" t="s">
        <v>79</v>
      </c>
      <c r="AY838">
        <v>0</v>
      </c>
    </row>
    <row r="839" spans="1:52" ht="12.75">
      <c r="A839" s="2" t="str">
        <f>HYPERLINK("https://ibp.a2mac1.com/costing(costing:projects/details/8191/assembly/5388633)","Front unit")</f>
        <v>Front unit</v>
      </c>
      <c r="B839">
        <v>5388633</v>
      </c>
      <c r="D839">
        <v>5388293</v>
      </c>
      <c r="F839">
        <v>1</v>
      </c>
      <c r="G839">
        <v>0</v>
      </c>
      <c r="H839">
        <v>109.30810816494117</v>
      </c>
      <c r="I839">
        <v>0</v>
      </c>
      <c r="J839" t="s">
        <v>90</v>
      </c>
      <c r="K839">
        <v>0</v>
      </c>
      <c r="L839">
        <v>109.30810816494117</v>
      </c>
      <c r="M839">
        <v>0</v>
      </c>
      <c r="N839">
        <v>0</v>
      </c>
      <c r="O839">
        <v>109.30810816494117</v>
      </c>
      <c r="P839" t="s">
        <v>90</v>
      </c>
      <c r="Q839">
        <v>0</v>
      </c>
      <c r="R839" t="s">
        <v>90</v>
      </c>
      <c r="S839">
        <v>0</v>
      </c>
      <c r="T839" t="s">
        <v>90</v>
      </c>
      <c r="U839">
        <v>0</v>
      </c>
      <c r="V839" t="s">
        <v>90</v>
      </c>
      <c r="W839">
        <v>0</v>
      </c>
      <c r="X839" t="s">
        <v>90</v>
      </c>
      <c r="Y839">
        <v>0</v>
      </c>
      <c r="Z839">
        <v>109.30810816494117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N839" t="s">
        <v>223</v>
      </c>
      <c r="AO839" t="s">
        <v>92</v>
      </c>
      <c r="AP839">
        <v>200000</v>
      </c>
      <c r="AQ839" t="s">
        <v>92</v>
      </c>
      <c r="AS839">
        <v>10000</v>
      </c>
      <c r="AT839" t="s">
        <v>9</v>
      </c>
      <c r="AU839" t="s">
        <v>78</v>
      </c>
      <c r="AV839" t="s">
        <v>79</v>
      </c>
      <c r="AY839">
        <v>0</v>
      </c>
    </row>
    <row r="840" spans="1:52" ht="12.75">
      <c r="A840" s="2" t="str">
        <f>HYPERLINK("https://ibp.a2mac1.com/costing(costing:projects/details/8191/assembly/5389294)","Panel")</f>
        <v>Panel</v>
      </c>
      <c r="B840">
        <v>5389294</v>
      </c>
      <c r="D840">
        <v>5388956</v>
      </c>
      <c r="F840">
        <v>1</v>
      </c>
      <c r="G840">
        <v>0</v>
      </c>
      <c r="H840">
        <v>49.880083038464662</v>
      </c>
      <c r="I840">
        <v>0</v>
      </c>
      <c r="J840" t="s">
        <v>90</v>
      </c>
      <c r="K840">
        <v>0</v>
      </c>
      <c r="L840">
        <v>49.880083038464662</v>
      </c>
      <c r="M840">
        <v>0</v>
      </c>
      <c r="N840">
        <v>0</v>
      </c>
      <c r="O840">
        <v>49.880083038464662</v>
      </c>
      <c r="P840" t="s">
        <v>90</v>
      </c>
      <c r="Q840">
        <v>0</v>
      </c>
      <c r="R840" t="s">
        <v>90</v>
      </c>
      <c r="S840">
        <v>0</v>
      </c>
      <c r="T840" t="s">
        <v>90</v>
      </c>
      <c r="U840">
        <v>0</v>
      </c>
      <c r="V840" t="s">
        <v>90</v>
      </c>
      <c r="W840">
        <v>0</v>
      </c>
      <c r="X840" t="s">
        <v>90</v>
      </c>
      <c r="Y840">
        <v>0</v>
      </c>
      <c r="Z840">
        <v>49.880083038464662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N840" t="s">
        <v>223</v>
      </c>
      <c r="AO840" t="s">
        <v>92</v>
      </c>
      <c r="AP840">
        <v>200000</v>
      </c>
      <c r="AQ840" t="s">
        <v>92</v>
      </c>
      <c r="AS840">
        <v>10000</v>
      </c>
      <c r="AT840" t="s">
        <v>9</v>
      </c>
      <c r="AU840" t="s">
        <v>78</v>
      </c>
      <c r="AV840" t="s">
        <v>79</v>
      </c>
      <c r="AY840">
        <v>0</v>
      </c>
    </row>
    <row r="841" spans="1:52" ht="12.75">
      <c r="A841" s="2" t="str">
        <f>HYPERLINK("https://ibp.a2mac1.com/costing(costing:projects/details/8191/assembly/5389295)","Reinforcements")</f>
        <v>Reinforcements</v>
      </c>
      <c r="B841">
        <v>5389295</v>
      </c>
      <c r="D841">
        <v>5388956</v>
      </c>
      <c r="F841">
        <v>1</v>
      </c>
      <c r="G841">
        <v>0</v>
      </c>
      <c r="H841">
        <v>0.18801165718387192</v>
      </c>
      <c r="I841">
        <v>0</v>
      </c>
      <c r="J841" t="s">
        <v>90</v>
      </c>
      <c r="K841">
        <v>0</v>
      </c>
      <c r="L841">
        <v>0.18801165718387192</v>
      </c>
      <c r="M841">
        <v>0</v>
      </c>
      <c r="N841">
        <v>0</v>
      </c>
      <c r="O841">
        <v>0.18801165718387192</v>
      </c>
      <c r="P841" t="s">
        <v>90</v>
      </c>
      <c r="Q841">
        <v>0</v>
      </c>
      <c r="R841" t="s">
        <v>90</v>
      </c>
      <c r="S841">
        <v>0</v>
      </c>
      <c r="T841" t="s">
        <v>90</v>
      </c>
      <c r="U841">
        <v>0</v>
      </c>
      <c r="V841" t="s">
        <v>90</v>
      </c>
      <c r="W841">
        <v>0</v>
      </c>
      <c r="X841" t="s">
        <v>90</v>
      </c>
      <c r="Y841">
        <v>0</v>
      </c>
      <c r="Z841">
        <v>0.18801165718387192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N841" t="s">
        <v>223</v>
      </c>
      <c r="AO841" t="s">
        <v>92</v>
      </c>
      <c r="AP841">
        <v>200000</v>
      </c>
      <c r="AQ841" t="s">
        <v>92</v>
      </c>
      <c r="AS841">
        <v>10000</v>
      </c>
      <c r="AT841" t="s">
        <v>9</v>
      </c>
      <c r="AU841" t="s">
        <v>78</v>
      </c>
      <c r="AV841" t="s">
        <v>79</v>
      </c>
      <c r="AY841">
        <v>0</v>
      </c>
    </row>
    <row r="842" spans="1:52" ht="12.75">
      <c r="A842" s="2" t="str">
        <f>HYPERLINK("https://ibp.a2mac1.com/costing(costing:projects/details/8191/assembly/5389296)","Fixing parts")</f>
        <v>Fixing parts</v>
      </c>
      <c r="B842">
        <v>5389296</v>
      </c>
      <c r="D842">
        <v>5388956</v>
      </c>
      <c r="F842">
        <v>1</v>
      </c>
      <c r="G842">
        <v>0</v>
      </c>
      <c r="H842">
        <v>0.13978960499446874</v>
      </c>
      <c r="I842">
        <v>0</v>
      </c>
      <c r="J842" t="s">
        <v>90</v>
      </c>
      <c r="K842">
        <v>0</v>
      </c>
      <c r="L842">
        <v>0.13978960499446874</v>
      </c>
      <c r="M842">
        <v>0</v>
      </c>
      <c r="N842">
        <v>0</v>
      </c>
      <c r="O842">
        <v>0.13978960499446874</v>
      </c>
      <c r="P842" t="s">
        <v>90</v>
      </c>
      <c r="Q842">
        <v>0</v>
      </c>
      <c r="R842" t="s">
        <v>90</v>
      </c>
      <c r="S842">
        <v>0</v>
      </c>
      <c r="T842" t="s">
        <v>90</v>
      </c>
      <c r="U842">
        <v>0</v>
      </c>
      <c r="V842" t="s">
        <v>90</v>
      </c>
      <c r="W842">
        <v>0</v>
      </c>
      <c r="X842" t="s">
        <v>90</v>
      </c>
      <c r="Y842">
        <v>0</v>
      </c>
      <c r="Z842">
        <v>0.13978960499446874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N842" t="s">
        <v>223</v>
      </c>
      <c r="AO842" t="s">
        <v>92</v>
      </c>
      <c r="AP842">
        <v>200000</v>
      </c>
      <c r="AQ842" t="s">
        <v>92</v>
      </c>
      <c r="AS842">
        <v>10000</v>
      </c>
      <c r="AT842" t="s">
        <v>9</v>
      </c>
      <c r="AU842" t="s">
        <v>78</v>
      </c>
      <c r="AV842" t="s">
        <v>79</v>
      </c>
      <c r="AY842">
        <v>0</v>
      </c>
    </row>
    <row r="843" spans="1:52" ht="12.75">
      <c r="A843" s="2" t="str">
        <f>HYPERLINK("https://ibp.a2mac1.com/costing(costing:projects/details/8191/assembly/5388956)","Floor panel")</f>
        <v>Floor panel</v>
      </c>
      <c r="B843">
        <v>5388956</v>
      </c>
      <c r="D843">
        <v>5388634</v>
      </c>
      <c r="F843">
        <v>1</v>
      </c>
      <c r="G843">
        <v>0</v>
      </c>
      <c r="H843">
        <v>50.207884300643002</v>
      </c>
      <c r="I843">
        <v>0</v>
      </c>
      <c r="J843" t="s">
        <v>90</v>
      </c>
      <c r="K843">
        <v>0</v>
      </c>
      <c r="L843">
        <v>50.207884300643002</v>
      </c>
      <c r="M843">
        <v>0</v>
      </c>
      <c r="N843">
        <v>0</v>
      </c>
      <c r="O843">
        <v>50.207884300643002</v>
      </c>
      <c r="P843" t="s">
        <v>90</v>
      </c>
      <c r="Q843">
        <v>0</v>
      </c>
      <c r="R843" t="s">
        <v>90</v>
      </c>
      <c r="S843">
        <v>0</v>
      </c>
      <c r="T843" t="s">
        <v>90</v>
      </c>
      <c r="U843">
        <v>0</v>
      </c>
      <c r="V843" t="s">
        <v>90</v>
      </c>
      <c r="W843">
        <v>0</v>
      </c>
      <c r="X843" t="s">
        <v>90</v>
      </c>
      <c r="Y843">
        <v>0</v>
      </c>
      <c r="Z843">
        <v>50.207884300643002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N843" t="s">
        <v>223</v>
      </c>
      <c r="AO843" t="s">
        <v>92</v>
      </c>
      <c r="AP843">
        <v>200000</v>
      </c>
      <c r="AQ843" t="s">
        <v>92</v>
      </c>
      <c r="AS843">
        <v>10000</v>
      </c>
      <c r="AT843" t="s">
        <v>9</v>
      </c>
      <c r="AU843" t="s">
        <v>78</v>
      </c>
      <c r="AV843" t="s">
        <v>79</v>
      </c>
      <c r="AY843">
        <v>0</v>
      </c>
    </row>
    <row r="844" spans="1:52" ht="12.75">
      <c r="A844" s="2" t="str">
        <f>HYPERLINK("https://ibp.a2mac1.com/costing(costing:projects/details/8191/assembly/5389297)","Frame")</f>
        <v>Frame</v>
      </c>
      <c r="B844">
        <v>5389297</v>
      </c>
      <c r="D844">
        <v>5388957</v>
      </c>
      <c r="F844">
        <v>1</v>
      </c>
      <c r="G844">
        <v>0</v>
      </c>
      <c r="H844">
        <v>3.8142969053049773</v>
      </c>
      <c r="I844">
        <v>0</v>
      </c>
      <c r="J844" t="s">
        <v>90</v>
      </c>
      <c r="K844">
        <v>0</v>
      </c>
      <c r="L844">
        <v>3.8142969053049773</v>
      </c>
      <c r="M844">
        <v>0</v>
      </c>
      <c r="N844">
        <v>0</v>
      </c>
      <c r="O844">
        <v>3.8142969053049773</v>
      </c>
      <c r="P844" t="s">
        <v>90</v>
      </c>
      <c r="Q844">
        <v>0</v>
      </c>
      <c r="R844" t="s">
        <v>90</v>
      </c>
      <c r="S844">
        <v>0</v>
      </c>
      <c r="T844" t="s">
        <v>90</v>
      </c>
      <c r="U844">
        <v>0</v>
      </c>
      <c r="V844" t="s">
        <v>90</v>
      </c>
      <c r="W844">
        <v>0</v>
      </c>
      <c r="X844" t="s">
        <v>90</v>
      </c>
      <c r="Y844">
        <v>0</v>
      </c>
      <c r="Z844">
        <v>3.8142969053049773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N844" t="s">
        <v>223</v>
      </c>
      <c r="AO844" t="s">
        <v>92</v>
      </c>
      <c r="AP844">
        <v>200000</v>
      </c>
      <c r="AQ844" t="s">
        <v>92</v>
      </c>
      <c r="AS844">
        <v>10000</v>
      </c>
      <c r="AT844" t="s">
        <v>9</v>
      </c>
      <c r="AU844" t="s">
        <v>78</v>
      </c>
      <c r="AV844" t="s">
        <v>79</v>
      </c>
      <c r="AY844">
        <v>0</v>
      </c>
    </row>
    <row r="845" spans="1:52" ht="12.75">
      <c r="A845" s="2" t="str">
        <f>HYPERLINK("https://ibp.a2mac1.com/costing(costing:projects/details/8191/assembly/5389298)","Reinforcements")</f>
        <v>Reinforcements</v>
      </c>
      <c r="B845">
        <v>5389298</v>
      </c>
      <c r="D845">
        <v>5388957</v>
      </c>
      <c r="F845">
        <v>1</v>
      </c>
      <c r="G845">
        <v>0</v>
      </c>
      <c r="H845">
        <v>2.9401619282857987</v>
      </c>
      <c r="I845">
        <v>0</v>
      </c>
      <c r="J845" t="s">
        <v>90</v>
      </c>
      <c r="K845">
        <v>0</v>
      </c>
      <c r="L845">
        <v>2.9401619282857987</v>
      </c>
      <c r="M845">
        <v>0</v>
      </c>
      <c r="N845">
        <v>0</v>
      </c>
      <c r="O845">
        <v>2.9401619282857987</v>
      </c>
      <c r="P845" t="s">
        <v>90</v>
      </c>
      <c r="Q845">
        <v>0</v>
      </c>
      <c r="R845" t="s">
        <v>90</v>
      </c>
      <c r="S845">
        <v>0</v>
      </c>
      <c r="T845" t="s">
        <v>90</v>
      </c>
      <c r="U845">
        <v>0</v>
      </c>
      <c r="V845" t="s">
        <v>90</v>
      </c>
      <c r="W845">
        <v>0</v>
      </c>
      <c r="X845" t="s">
        <v>90</v>
      </c>
      <c r="Y845">
        <v>0</v>
      </c>
      <c r="Z845">
        <v>2.9401619282857987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N845" t="s">
        <v>223</v>
      </c>
      <c r="AO845" t="s">
        <v>92</v>
      </c>
      <c r="AP845">
        <v>200000</v>
      </c>
      <c r="AQ845" t="s">
        <v>92</v>
      </c>
      <c r="AS845">
        <v>10000</v>
      </c>
      <c r="AT845" t="s">
        <v>9</v>
      </c>
      <c r="AU845" t="s">
        <v>78</v>
      </c>
      <c r="AV845" t="s">
        <v>79</v>
      </c>
      <c r="AY845">
        <v>0</v>
      </c>
    </row>
    <row r="846" spans="1:52" ht="12.75">
      <c r="A846" s="2" t="str">
        <f>HYPERLINK("https://ibp.a2mac1.com/costing(costing:projects/details/8191/assembly/5389299)","Fixing parts")</f>
        <v>Fixing parts</v>
      </c>
      <c r="B846">
        <v>5389299</v>
      </c>
      <c r="D846">
        <v>5388957</v>
      </c>
      <c r="F846">
        <v>1</v>
      </c>
      <c r="G846">
        <v>0</v>
      </c>
      <c r="H846">
        <v>1.3561059758839868</v>
      </c>
      <c r="I846">
        <v>0</v>
      </c>
      <c r="J846" t="s">
        <v>90</v>
      </c>
      <c r="K846">
        <v>0</v>
      </c>
      <c r="L846">
        <v>1.3561059758839868</v>
      </c>
      <c r="M846">
        <v>0</v>
      </c>
      <c r="N846">
        <v>0</v>
      </c>
      <c r="O846">
        <v>1.3561059758839868</v>
      </c>
      <c r="P846" t="s">
        <v>90</v>
      </c>
      <c r="Q846">
        <v>0</v>
      </c>
      <c r="R846" t="s">
        <v>90</v>
      </c>
      <c r="S846">
        <v>0</v>
      </c>
      <c r="T846" t="s">
        <v>90</v>
      </c>
      <c r="U846">
        <v>0</v>
      </c>
      <c r="V846" t="s">
        <v>90</v>
      </c>
      <c r="W846">
        <v>0</v>
      </c>
      <c r="X846" t="s">
        <v>90</v>
      </c>
      <c r="Y846">
        <v>0</v>
      </c>
      <c r="Z846">
        <v>1.3561059758839868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N846" t="s">
        <v>223</v>
      </c>
      <c r="AO846" t="s">
        <v>92</v>
      </c>
      <c r="AP846">
        <v>200000</v>
      </c>
      <c r="AQ846" t="s">
        <v>92</v>
      </c>
      <c r="AS846">
        <v>10000</v>
      </c>
      <c r="AT846" t="s">
        <v>9</v>
      </c>
      <c r="AU846" t="s">
        <v>78</v>
      </c>
      <c r="AV846" t="s">
        <v>79</v>
      </c>
      <c r="AY846">
        <v>0</v>
      </c>
    </row>
    <row r="847" spans="1:52" ht="12.75">
      <c r="A847" s="2" t="str">
        <f>HYPERLINK("https://ibp.a2mac1.com/costing(costing:projects/details/8191/assembly/5388957)","Tunnel assy")</f>
        <v>Tunnel assy</v>
      </c>
      <c r="B847">
        <v>5388957</v>
      </c>
      <c r="D847">
        <v>5388634</v>
      </c>
      <c r="F847">
        <v>1</v>
      </c>
      <c r="G847">
        <v>0</v>
      </c>
      <c r="H847">
        <v>8.1105648094747629</v>
      </c>
      <c r="I847">
        <v>0</v>
      </c>
      <c r="J847" t="s">
        <v>90</v>
      </c>
      <c r="K847">
        <v>0</v>
      </c>
      <c r="L847">
        <v>8.1105648094747629</v>
      </c>
      <c r="M847">
        <v>0</v>
      </c>
      <c r="N847">
        <v>0</v>
      </c>
      <c r="O847">
        <v>8.1105648094747629</v>
      </c>
      <c r="P847" t="s">
        <v>90</v>
      </c>
      <c r="Q847">
        <v>0</v>
      </c>
      <c r="R847" t="s">
        <v>90</v>
      </c>
      <c r="S847">
        <v>0</v>
      </c>
      <c r="T847" t="s">
        <v>90</v>
      </c>
      <c r="U847">
        <v>0</v>
      </c>
      <c r="V847" t="s">
        <v>90</v>
      </c>
      <c r="W847">
        <v>0</v>
      </c>
      <c r="X847" t="s">
        <v>90</v>
      </c>
      <c r="Y847">
        <v>0</v>
      </c>
      <c r="Z847">
        <v>8.1105648094747629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N847" t="s">
        <v>223</v>
      </c>
      <c r="AO847" t="s">
        <v>92</v>
      </c>
      <c r="AP847">
        <v>200000</v>
      </c>
      <c r="AQ847" t="s">
        <v>92</v>
      </c>
      <c r="AS847">
        <v>10000</v>
      </c>
      <c r="AT847" t="s">
        <v>9</v>
      </c>
      <c r="AU847" t="s">
        <v>78</v>
      </c>
      <c r="AV847" t="s">
        <v>79</v>
      </c>
      <c r="AY847">
        <v>0</v>
      </c>
    </row>
    <row r="848" spans="1:52" ht="12.75">
      <c r="A848" s="2" t="str">
        <f>HYPERLINK("https://ibp.a2mac1.com/costing(costing:projects/details/8191/assembly/5389300)","Cross member")</f>
        <v>Cross member</v>
      </c>
      <c r="B848">
        <v>5389300</v>
      </c>
      <c r="D848">
        <v>5388958</v>
      </c>
      <c r="F848">
        <v>1</v>
      </c>
      <c r="G848">
        <v>0</v>
      </c>
      <c r="H848">
        <v>12.915218239211026</v>
      </c>
      <c r="I848">
        <v>0</v>
      </c>
      <c r="J848" t="s">
        <v>90</v>
      </c>
      <c r="K848">
        <v>0</v>
      </c>
      <c r="L848">
        <v>12.915218239211026</v>
      </c>
      <c r="M848">
        <v>0</v>
      </c>
      <c r="N848">
        <v>0</v>
      </c>
      <c r="O848">
        <v>12.915218239211026</v>
      </c>
      <c r="P848" t="s">
        <v>90</v>
      </c>
      <c r="Q848">
        <v>0</v>
      </c>
      <c r="R848" t="s">
        <v>90</v>
      </c>
      <c r="S848">
        <v>0</v>
      </c>
      <c r="T848" t="s">
        <v>90</v>
      </c>
      <c r="U848">
        <v>0</v>
      </c>
      <c r="V848" t="s">
        <v>90</v>
      </c>
      <c r="W848">
        <v>0</v>
      </c>
      <c r="X848" t="s">
        <v>90</v>
      </c>
      <c r="Y848">
        <v>0</v>
      </c>
      <c r="Z848">
        <v>12.915218239211026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N848" t="s">
        <v>223</v>
      </c>
      <c r="AO848" t="s">
        <v>92</v>
      </c>
      <c r="AP848">
        <v>200000</v>
      </c>
      <c r="AQ848" t="s">
        <v>92</v>
      </c>
      <c r="AS848">
        <v>10000</v>
      </c>
      <c r="AT848" t="s">
        <v>9</v>
      </c>
      <c r="AU848" t="s">
        <v>78</v>
      </c>
      <c r="AV848" t="s">
        <v>79</v>
      </c>
      <c r="AY848">
        <v>0</v>
      </c>
    </row>
    <row r="849" spans="1:52" ht="12.75">
      <c r="A849" s="2" t="str">
        <f>HYPERLINK("https://ibp.a2mac1.com/costing(costing:projects/details/8191/assembly/5389301)","Seat front left attachment")</f>
        <v>Seat front left attachment</v>
      </c>
      <c r="B849">
        <v>5389301</v>
      </c>
      <c r="D849">
        <v>5388958</v>
      </c>
      <c r="F849">
        <v>1</v>
      </c>
      <c r="G849">
        <v>0</v>
      </c>
      <c r="H849">
        <v>0.73305735895508273</v>
      </c>
      <c r="I849">
        <v>0</v>
      </c>
      <c r="J849" t="s">
        <v>90</v>
      </c>
      <c r="K849">
        <v>0</v>
      </c>
      <c r="L849">
        <v>0.73305735895508273</v>
      </c>
      <c r="M849">
        <v>0</v>
      </c>
      <c r="N849">
        <v>0</v>
      </c>
      <c r="O849">
        <v>0.73305735895508273</v>
      </c>
      <c r="P849" t="s">
        <v>90</v>
      </c>
      <c r="Q849">
        <v>0</v>
      </c>
      <c r="R849" t="s">
        <v>90</v>
      </c>
      <c r="S849">
        <v>0</v>
      </c>
      <c r="T849" t="s">
        <v>90</v>
      </c>
      <c r="U849">
        <v>0</v>
      </c>
      <c r="V849" t="s">
        <v>90</v>
      </c>
      <c r="W849">
        <v>0</v>
      </c>
      <c r="X849" t="s">
        <v>90</v>
      </c>
      <c r="Y849">
        <v>0</v>
      </c>
      <c r="Z849">
        <v>0.73305735895508273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N849" t="s">
        <v>223</v>
      </c>
      <c r="AO849" t="s">
        <v>92</v>
      </c>
      <c r="AP849">
        <v>200000</v>
      </c>
      <c r="AQ849" t="s">
        <v>92</v>
      </c>
      <c r="AS849">
        <v>10000</v>
      </c>
      <c r="AT849" t="s">
        <v>9</v>
      </c>
      <c r="AU849" t="s">
        <v>78</v>
      </c>
      <c r="AV849" t="s">
        <v>79</v>
      </c>
      <c r="AY849">
        <v>0</v>
      </c>
    </row>
    <row r="850" spans="1:52" ht="12.75">
      <c r="A850" s="2" t="str">
        <f>HYPERLINK("https://ibp.a2mac1.com/costing(costing:projects/details/8191/assembly/5389302)","Seat front right attachment")</f>
        <v>Seat front right attachment</v>
      </c>
      <c r="B850">
        <v>5389302</v>
      </c>
      <c r="D850">
        <v>5388958</v>
      </c>
      <c r="F850">
        <v>1</v>
      </c>
      <c r="G850">
        <v>0</v>
      </c>
      <c r="H850">
        <v>0.60469812973033554</v>
      </c>
      <c r="I850">
        <v>0</v>
      </c>
      <c r="J850" t="s">
        <v>90</v>
      </c>
      <c r="K850">
        <v>0</v>
      </c>
      <c r="L850">
        <v>0.60469812973033554</v>
      </c>
      <c r="M850">
        <v>0</v>
      </c>
      <c r="N850">
        <v>0</v>
      </c>
      <c r="O850">
        <v>0.60469812973033554</v>
      </c>
      <c r="P850" t="s">
        <v>90</v>
      </c>
      <c r="Q850">
        <v>0</v>
      </c>
      <c r="R850" t="s">
        <v>90</v>
      </c>
      <c r="S850">
        <v>0</v>
      </c>
      <c r="T850" t="s">
        <v>90</v>
      </c>
      <c r="U850">
        <v>0</v>
      </c>
      <c r="V850" t="s">
        <v>90</v>
      </c>
      <c r="W850">
        <v>0</v>
      </c>
      <c r="X850" t="s">
        <v>90</v>
      </c>
      <c r="Y850">
        <v>0</v>
      </c>
      <c r="Z850">
        <v>0.60469812973033554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N850" t="s">
        <v>223</v>
      </c>
      <c r="AO850" t="s">
        <v>92</v>
      </c>
      <c r="AP850">
        <v>200000</v>
      </c>
      <c r="AQ850" t="s">
        <v>92</v>
      </c>
      <c r="AS850">
        <v>10000</v>
      </c>
      <c r="AT850" t="s">
        <v>9</v>
      </c>
      <c r="AU850" t="s">
        <v>78</v>
      </c>
      <c r="AV850" t="s">
        <v>79</v>
      </c>
      <c r="AY850">
        <v>0</v>
      </c>
    </row>
    <row r="851" spans="1:52" ht="12.75">
      <c r="A851" s="2" t="str">
        <f>HYPERLINK("https://ibp.a2mac1.com/costing(costing:projects/details/8191/assembly/5389303)","Other fixing parts")</f>
        <v>Other fixing parts</v>
      </c>
      <c r="B851">
        <v>5389303</v>
      </c>
      <c r="D851">
        <v>5388958</v>
      </c>
      <c r="F851">
        <v>1</v>
      </c>
      <c r="G851">
        <v>0</v>
      </c>
      <c r="H851">
        <v>0.29652908747243156</v>
      </c>
      <c r="I851">
        <v>0</v>
      </c>
      <c r="J851" t="s">
        <v>90</v>
      </c>
      <c r="K851">
        <v>0</v>
      </c>
      <c r="L851">
        <v>0.29652908747243156</v>
      </c>
      <c r="M851">
        <v>0</v>
      </c>
      <c r="N851">
        <v>0</v>
      </c>
      <c r="O851">
        <v>0.29652908747243156</v>
      </c>
      <c r="P851" t="s">
        <v>90</v>
      </c>
      <c r="Q851">
        <v>0</v>
      </c>
      <c r="R851" t="s">
        <v>90</v>
      </c>
      <c r="S851">
        <v>0</v>
      </c>
      <c r="T851" t="s">
        <v>90</v>
      </c>
      <c r="U851">
        <v>0</v>
      </c>
      <c r="V851" t="s">
        <v>90</v>
      </c>
      <c r="W851">
        <v>0</v>
      </c>
      <c r="X851" t="s">
        <v>90</v>
      </c>
      <c r="Y851">
        <v>0</v>
      </c>
      <c r="Z851">
        <v>0.29652908747243156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N851" t="s">
        <v>223</v>
      </c>
      <c r="AO851" t="s">
        <v>92</v>
      </c>
      <c r="AP851">
        <v>200000</v>
      </c>
      <c r="AQ851" t="s">
        <v>92</v>
      </c>
      <c r="AS851">
        <v>10000</v>
      </c>
      <c r="AT851" t="s">
        <v>9</v>
      </c>
      <c r="AU851" t="s">
        <v>78</v>
      </c>
      <c r="AV851" t="s">
        <v>79</v>
      </c>
      <c r="AY851">
        <v>0</v>
      </c>
    </row>
    <row r="852" spans="1:52" ht="12.75">
      <c r="A852" s="2" t="str">
        <f>HYPERLINK("https://ibp.a2mac1.com/costing(costing:projects/details/8191/assembly/5388958)","Front cross member")</f>
        <v>Front cross member</v>
      </c>
      <c r="B852">
        <v>5388958</v>
      </c>
      <c r="D852">
        <v>5388634</v>
      </c>
      <c r="F852">
        <v>1</v>
      </c>
      <c r="G852">
        <v>0</v>
      </c>
      <c r="H852">
        <v>14.549502815368875</v>
      </c>
      <c r="I852">
        <v>0</v>
      </c>
      <c r="J852" t="s">
        <v>90</v>
      </c>
      <c r="K852">
        <v>0</v>
      </c>
      <c r="L852">
        <v>14.549502815368875</v>
      </c>
      <c r="M852">
        <v>0</v>
      </c>
      <c r="N852">
        <v>0</v>
      </c>
      <c r="O852">
        <v>14.549502815368875</v>
      </c>
      <c r="P852" t="s">
        <v>90</v>
      </c>
      <c r="Q852">
        <v>0</v>
      </c>
      <c r="R852" t="s">
        <v>90</v>
      </c>
      <c r="S852">
        <v>0</v>
      </c>
      <c r="T852" t="s">
        <v>90</v>
      </c>
      <c r="U852">
        <v>0</v>
      </c>
      <c r="V852" t="s">
        <v>90</v>
      </c>
      <c r="W852">
        <v>0</v>
      </c>
      <c r="X852" t="s">
        <v>90</v>
      </c>
      <c r="Y852">
        <v>0</v>
      </c>
      <c r="Z852">
        <v>14.549502815368875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N852" t="s">
        <v>223</v>
      </c>
      <c r="AO852" t="s">
        <v>92</v>
      </c>
      <c r="AP852">
        <v>200000</v>
      </c>
      <c r="AQ852" t="s">
        <v>92</v>
      </c>
      <c r="AS852">
        <v>10000</v>
      </c>
      <c r="AT852" t="s">
        <v>9</v>
      </c>
      <c r="AU852" t="s">
        <v>78</v>
      </c>
      <c r="AV852" t="s">
        <v>79</v>
      </c>
      <c r="AY852">
        <v>0</v>
      </c>
    </row>
    <row r="853" spans="1:52" ht="12.75">
      <c r="A853" s="2" t="str">
        <f>HYPERLINK("https://ibp.a2mac1.com/costing(costing:projects/details/8191/assembly/5389304)","Cross member")</f>
        <v>Cross member</v>
      </c>
      <c r="B853">
        <v>5389304</v>
      </c>
      <c r="D853">
        <v>5388959</v>
      </c>
      <c r="F853">
        <v>1</v>
      </c>
      <c r="G853">
        <v>0</v>
      </c>
      <c r="H853">
        <v>10.892679766200892</v>
      </c>
      <c r="I853">
        <v>0</v>
      </c>
      <c r="J853" t="s">
        <v>90</v>
      </c>
      <c r="K853">
        <v>0</v>
      </c>
      <c r="L853">
        <v>10.892679766200892</v>
      </c>
      <c r="M853">
        <v>0</v>
      </c>
      <c r="N853">
        <v>0</v>
      </c>
      <c r="O853">
        <v>10.892679766200892</v>
      </c>
      <c r="P853" t="s">
        <v>90</v>
      </c>
      <c r="Q853">
        <v>0</v>
      </c>
      <c r="R853" t="s">
        <v>90</v>
      </c>
      <c r="S853">
        <v>0</v>
      </c>
      <c r="T853" t="s">
        <v>90</v>
      </c>
      <c r="U853">
        <v>0</v>
      </c>
      <c r="V853" t="s">
        <v>90</v>
      </c>
      <c r="W853">
        <v>0</v>
      </c>
      <c r="X853" t="s">
        <v>90</v>
      </c>
      <c r="Y853">
        <v>0</v>
      </c>
      <c r="Z853">
        <v>10.892679766200892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N853" t="s">
        <v>223</v>
      </c>
      <c r="AO853" t="s">
        <v>92</v>
      </c>
      <c r="AP853">
        <v>200000</v>
      </c>
      <c r="AQ853" t="s">
        <v>92</v>
      </c>
      <c r="AS853">
        <v>10000</v>
      </c>
      <c r="AT853" t="s">
        <v>9</v>
      </c>
      <c r="AU853" t="s">
        <v>78</v>
      </c>
      <c r="AV853" t="s">
        <v>79</v>
      </c>
      <c r="AY853">
        <v>0</v>
      </c>
    </row>
    <row r="854" spans="1:52" ht="12.75">
      <c r="A854" s="2" t="str">
        <f>HYPERLINK("https://ibp.a2mac1.com/costing(costing:projects/details/8191/assembly/5389305)","Seat rear left attachment")</f>
        <v>Seat rear left attachment</v>
      </c>
      <c r="B854">
        <v>5389305</v>
      </c>
      <c r="D854">
        <v>5388959</v>
      </c>
      <c r="F854">
        <v>1</v>
      </c>
      <c r="G854">
        <v>0</v>
      </c>
      <c r="H854">
        <v>1.6997491290417042</v>
      </c>
      <c r="I854">
        <v>0</v>
      </c>
      <c r="J854" t="s">
        <v>90</v>
      </c>
      <c r="K854">
        <v>0</v>
      </c>
      <c r="L854">
        <v>1.6997491290417042</v>
      </c>
      <c r="M854">
        <v>0</v>
      </c>
      <c r="N854">
        <v>0</v>
      </c>
      <c r="O854">
        <v>1.6997491290417042</v>
      </c>
      <c r="P854" t="s">
        <v>90</v>
      </c>
      <c r="Q854">
        <v>0</v>
      </c>
      <c r="R854" t="s">
        <v>90</v>
      </c>
      <c r="S854">
        <v>0</v>
      </c>
      <c r="T854" t="s">
        <v>90</v>
      </c>
      <c r="U854">
        <v>0</v>
      </c>
      <c r="V854" t="s">
        <v>90</v>
      </c>
      <c r="W854">
        <v>0</v>
      </c>
      <c r="X854" t="s">
        <v>90</v>
      </c>
      <c r="Y854">
        <v>0</v>
      </c>
      <c r="Z854">
        <v>1.6997491290417042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N854" t="s">
        <v>223</v>
      </c>
      <c r="AO854" t="s">
        <v>92</v>
      </c>
      <c r="AP854">
        <v>200000</v>
      </c>
      <c r="AQ854" t="s">
        <v>92</v>
      </c>
      <c r="AS854">
        <v>10000</v>
      </c>
      <c r="AT854" t="s">
        <v>9</v>
      </c>
      <c r="AU854" t="s">
        <v>78</v>
      </c>
      <c r="AV854" t="s">
        <v>79</v>
      </c>
      <c r="AY854">
        <v>0</v>
      </c>
    </row>
    <row r="855" spans="1:52" ht="12.75">
      <c r="A855" s="2" t="str">
        <f>HYPERLINK("https://ibp.a2mac1.com/costing(costing:projects/details/8191/assembly/5389306)","Seat rear right attachment")</f>
        <v>Seat rear right attachment</v>
      </c>
      <c r="B855">
        <v>5389306</v>
      </c>
      <c r="D855">
        <v>5388959</v>
      </c>
      <c r="F855">
        <v>1</v>
      </c>
      <c r="G855">
        <v>0</v>
      </c>
      <c r="H855">
        <v>3.6840606203219322</v>
      </c>
      <c r="I855">
        <v>0</v>
      </c>
      <c r="J855" t="s">
        <v>90</v>
      </c>
      <c r="K855">
        <v>0</v>
      </c>
      <c r="L855">
        <v>3.6840606203219322</v>
      </c>
      <c r="M855">
        <v>0</v>
      </c>
      <c r="N855">
        <v>0</v>
      </c>
      <c r="O855">
        <v>3.6840606203219322</v>
      </c>
      <c r="P855" t="s">
        <v>90</v>
      </c>
      <c r="Q855">
        <v>0</v>
      </c>
      <c r="R855" t="s">
        <v>90</v>
      </c>
      <c r="S855">
        <v>0</v>
      </c>
      <c r="T855" t="s">
        <v>90</v>
      </c>
      <c r="U855">
        <v>0</v>
      </c>
      <c r="V855" t="s">
        <v>90</v>
      </c>
      <c r="W855">
        <v>0</v>
      </c>
      <c r="X855" t="s">
        <v>90</v>
      </c>
      <c r="Y855">
        <v>0</v>
      </c>
      <c r="Z855">
        <v>3.6840606203219322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N855" t="s">
        <v>223</v>
      </c>
      <c r="AO855" t="s">
        <v>92</v>
      </c>
      <c r="AP855">
        <v>200000</v>
      </c>
      <c r="AQ855" t="s">
        <v>92</v>
      </c>
      <c r="AS855">
        <v>10000</v>
      </c>
      <c r="AT855" t="s">
        <v>9</v>
      </c>
      <c r="AU855" t="s">
        <v>78</v>
      </c>
      <c r="AV855" t="s">
        <v>79</v>
      </c>
      <c r="AY855">
        <v>0</v>
      </c>
    </row>
    <row r="856" spans="1:52" ht="12.75">
      <c r="A856" s="2" t="str">
        <f>HYPERLINK("https://ibp.a2mac1.com/costing(costing:projects/details/8191/assembly/5389307)","Other fixing parts")</f>
        <v>Other fixing parts</v>
      </c>
      <c r="B856">
        <v>5389307</v>
      </c>
      <c r="D856">
        <v>5388959</v>
      </c>
      <c r="F856">
        <v>1</v>
      </c>
      <c r="G856">
        <v>0</v>
      </c>
      <c r="H856">
        <v>1.9623888569544001</v>
      </c>
      <c r="I856">
        <v>0</v>
      </c>
      <c r="J856" t="s">
        <v>90</v>
      </c>
      <c r="K856">
        <v>0</v>
      </c>
      <c r="L856">
        <v>1.9623888569544001</v>
      </c>
      <c r="M856">
        <v>0</v>
      </c>
      <c r="N856">
        <v>0</v>
      </c>
      <c r="O856">
        <v>1.9623888569544001</v>
      </c>
      <c r="P856" t="s">
        <v>90</v>
      </c>
      <c r="Q856">
        <v>0</v>
      </c>
      <c r="R856" t="s">
        <v>90</v>
      </c>
      <c r="S856">
        <v>0</v>
      </c>
      <c r="T856" t="s">
        <v>90</v>
      </c>
      <c r="U856">
        <v>0</v>
      </c>
      <c r="V856" t="s">
        <v>90</v>
      </c>
      <c r="W856">
        <v>0</v>
      </c>
      <c r="X856" t="s">
        <v>90</v>
      </c>
      <c r="Y856">
        <v>0</v>
      </c>
      <c r="Z856">
        <v>1.9623888569544001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N856" t="s">
        <v>223</v>
      </c>
      <c r="AO856" t="s">
        <v>92</v>
      </c>
      <c r="AP856">
        <v>200000</v>
      </c>
      <c r="AQ856" t="s">
        <v>92</v>
      </c>
      <c r="AS856">
        <v>10000</v>
      </c>
      <c r="AT856" t="s">
        <v>9</v>
      </c>
      <c r="AU856" t="s">
        <v>78</v>
      </c>
      <c r="AV856" t="s">
        <v>79</v>
      </c>
      <c r="AY856">
        <v>0</v>
      </c>
    </row>
    <row r="857" spans="1:52" ht="12.75">
      <c r="A857" s="2" t="str">
        <f>HYPERLINK("https://ibp.a2mac1.com/costing(costing:projects/details/8191/assembly/5388959)","Rear cross member")</f>
        <v>Rear cross member</v>
      </c>
      <c r="B857">
        <v>5388959</v>
      </c>
      <c r="D857">
        <v>5388634</v>
      </c>
      <c r="F857">
        <v>1</v>
      </c>
      <c r="G857">
        <v>0</v>
      </c>
      <c r="H857">
        <v>18.238878372518929</v>
      </c>
      <c r="I857">
        <v>0</v>
      </c>
      <c r="J857" t="s">
        <v>90</v>
      </c>
      <c r="K857">
        <v>0</v>
      </c>
      <c r="L857">
        <v>18.238878372518929</v>
      </c>
      <c r="M857">
        <v>0</v>
      </c>
      <c r="N857">
        <v>0</v>
      </c>
      <c r="O857">
        <v>18.238878372518929</v>
      </c>
      <c r="P857" t="s">
        <v>90</v>
      </c>
      <c r="Q857">
        <v>0</v>
      </c>
      <c r="R857" t="s">
        <v>90</v>
      </c>
      <c r="S857">
        <v>0</v>
      </c>
      <c r="T857" t="s">
        <v>90</v>
      </c>
      <c r="U857">
        <v>0</v>
      </c>
      <c r="V857" t="s">
        <v>90</v>
      </c>
      <c r="W857">
        <v>0</v>
      </c>
      <c r="X857" t="s">
        <v>90</v>
      </c>
      <c r="Y857">
        <v>0</v>
      </c>
      <c r="Z857">
        <v>18.238878372518929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N857" t="s">
        <v>223</v>
      </c>
      <c r="AO857" t="s">
        <v>92</v>
      </c>
      <c r="AP857">
        <v>200000</v>
      </c>
      <c r="AQ857" t="s">
        <v>92</v>
      </c>
      <c r="AS857">
        <v>10000</v>
      </c>
      <c r="AT857" t="s">
        <v>9</v>
      </c>
      <c r="AU857" t="s">
        <v>78</v>
      </c>
      <c r="AV857" t="s">
        <v>79</v>
      </c>
      <c r="AY857">
        <v>0</v>
      </c>
    </row>
    <row r="858" spans="1:52" ht="12.75">
      <c r="A858" s="2" t="str">
        <f>HYPERLINK("https://ibp.a2mac1.com/costing(costing:projects/details/8191/assembly/5389308)","Frame")</f>
        <v>Frame</v>
      </c>
      <c r="B858">
        <v>5389308</v>
      </c>
      <c r="D858">
        <v>5388960</v>
      </c>
      <c r="F858">
        <v>1</v>
      </c>
      <c r="G858">
        <v>0</v>
      </c>
      <c r="H858">
        <v>57.270057888608079</v>
      </c>
      <c r="I858">
        <v>0</v>
      </c>
      <c r="J858" t="s">
        <v>90</v>
      </c>
      <c r="K858">
        <v>0</v>
      </c>
      <c r="L858">
        <v>57.270057888608079</v>
      </c>
      <c r="M858">
        <v>0</v>
      </c>
      <c r="N858">
        <v>0</v>
      </c>
      <c r="O858">
        <v>57.270057888608079</v>
      </c>
      <c r="P858" t="s">
        <v>90</v>
      </c>
      <c r="Q858">
        <v>0</v>
      </c>
      <c r="R858" t="s">
        <v>90</v>
      </c>
      <c r="S858">
        <v>0</v>
      </c>
      <c r="T858" t="s">
        <v>90</v>
      </c>
      <c r="U858">
        <v>0</v>
      </c>
      <c r="V858" t="s">
        <v>90</v>
      </c>
      <c r="W858">
        <v>0</v>
      </c>
      <c r="X858" t="s">
        <v>90</v>
      </c>
      <c r="Y858">
        <v>0</v>
      </c>
      <c r="Z858">
        <v>57.270057888608079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N858" t="s">
        <v>223</v>
      </c>
      <c r="AO858" t="s">
        <v>92</v>
      </c>
      <c r="AP858">
        <v>200000</v>
      </c>
      <c r="AQ858" t="s">
        <v>92</v>
      </c>
      <c r="AS858">
        <v>10000</v>
      </c>
      <c r="AT858" t="s">
        <v>9</v>
      </c>
      <c r="AU858" t="s">
        <v>78</v>
      </c>
      <c r="AV858" t="s">
        <v>79</v>
      </c>
      <c r="AY858">
        <v>0</v>
      </c>
    </row>
    <row r="859" spans="1:52" ht="12.75">
      <c r="A859" s="2" t="str">
        <f>HYPERLINK("https://ibp.a2mac1.com/costing(costing:projects/details/8191/assembly/5389309)","Reinforcements")</f>
        <v>Reinforcements</v>
      </c>
      <c r="B859">
        <v>5389309</v>
      </c>
      <c r="D859">
        <v>5388960</v>
      </c>
      <c r="F859">
        <v>1</v>
      </c>
      <c r="G859">
        <v>0</v>
      </c>
      <c r="H859">
        <v>190.63191344479588</v>
      </c>
      <c r="I859">
        <v>0</v>
      </c>
      <c r="J859" t="s">
        <v>90</v>
      </c>
      <c r="K859">
        <v>0</v>
      </c>
      <c r="L859">
        <v>190.63191344479588</v>
      </c>
      <c r="M859">
        <v>0</v>
      </c>
      <c r="N859">
        <v>0</v>
      </c>
      <c r="O859">
        <v>190.63191344479588</v>
      </c>
      <c r="P859" t="s">
        <v>90</v>
      </c>
      <c r="Q859">
        <v>0</v>
      </c>
      <c r="R859" t="s">
        <v>90</v>
      </c>
      <c r="S859">
        <v>0</v>
      </c>
      <c r="T859" t="s">
        <v>90</v>
      </c>
      <c r="U859">
        <v>0</v>
      </c>
      <c r="V859" t="s">
        <v>90</v>
      </c>
      <c r="W859">
        <v>0</v>
      </c>
      <c r="X859" t="s">
        <v>90</v>
      </c>
      <c r="Y859">
        <v>0</v>
      </c>
      <c r="Z859">
        <v>190.63191344479588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N859" t="s">
        <v>223</v>
      </c>
      <c r="AO859" t="s">
        <v>92</v>
      </c>
      <c r="AP859">
        <v>200000</v>
      </c>
      <c r="AQ859" t="s">
        <v>92</v>
      </c>
      <c r="AS859">
        <v>10000</v>
      </c>
      <c r="AT859" t="s">
        <v>9</v>
      </c>
      <c r="AU859" t="s">
        <v>78</v>
      </c>
      <c r="AV859" t="s">
        <v>79</v>
      </c>
      <c r="AY859">
        <v>0</v>
      </c>
    </row>
    <row r="860" spans="1:52" ht="12.75">
      <c r="A860" s="2" t="str">
        <f>HYPERLINK("https://ibp.a2mac1.com/costing(costing:projects/details/8191/assembly/5389310)","Fixing parts")</f>
        <v>Fixing parts</v>
      </c>
      <c r="B860">
        <v>5389310</v>
      </c>
      <c r="D860">
        <v>5388960</v>
      </c>
      <c r="F860">
        <v>1</v>
      </c>
      <c r="G860">
        <v>0</v>
      </c>
      <c r="H860">
        <v>0.90665667006667439</v>
      </c>
      <c r="I860">
        <v>0</v>
      </c>
      <c r="J860" t="s">
        <v>90</v>
      </c>
      <c r="K860">
        <v>0</v>
      </c>
      <c r="L860">
        <v>0.90665667006667439</v>
      </c>
      <c r="M860">
        <v>0</v>
      </c>
      <c r="N860">
        <v>0</v>
      </c>
      <c r="O860">
        <v>0.90665667006667439</v>
      </c>
      <c r="P860" t="s">
        <v>90</v>
      </c>
      <c r="Q860">
        <v>0</v>
      </c>
      <c r="R860" t="s">
        <v>90</v>
      </c>
      <c r="S860">
        <v>0</v>
      </c>
      <c r="T860" t="s">
        <v>90</v>
      </c>
      <c r="U860">
        <v>0</v>
      </c>
      <c r="V860" t="s">
        <v>90</v>
      </c>
      <c r="W860">
        <v>0</v>
      </c>
      <c r="X860" t="s">
        <v>90</v>
      </c>
      <c r="Y860">
        <v>0</v>
      </c>
      <c r="Z860">
        <v>0.90665667006667439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N860" t="s">
        <v>223</v>
      </c>
      <c r="AO860" t="s">
        <v>92</v>
      </c>
      <c r="AP860">
        <v>200000</v>
      </c>
      <c r="AQ860" t="s">
        <v>92</v>
      </c>
      <c r="AS860">
        <v>10000</v>
      </c>
      <c r="AT860" t="s">
        <v>9</v>
      </c>
      <c r="AU860" t="s">
        <v>78</v>
      </c>
      <c r="AV860" t="s">
        <v>79</v>
      </c>
      <c r="AY860">
        <v>0</v>
      </c>
    </row>
    <row r="861" spans="1:52" ht="12.75">
      <c r="A861" s="2" t="str">
        <f>HYPERLINK("https://ibp.a2mac1.com/costing(costing:projects/details/8191/assembly/5389311)","Brackets")</f>
        <v>Brackets</v>
      </c>
      <c r="B861">
        <v>5389311</v>
      </c>
      <c r="D861">
        <v>5388960</v>
      </c>
      <c r="F861">
        <v>1</v>
      </c>
      <c r="G861">
        <v>0</v>
      </c>
      <c r="H861">
        <v>1.6993716077021395</v>
      </c>
      <c r="I861">
        <v>0</v>
      </c>
      <c r="J861" t="s">
        <v>90</v>
      </c>
      <c r="K861">
        <v>0</v>
      </c>
      <c r="L861">
        <v>1.6993716077021395</v>
      </c>
      <c r="M861">
        <v>0</v>
      </c>
      <c r="N861">
        <v>0</v>
      </c>
      <c r="O861">
        <v>1.6993716077021395</v>
      </c>
      <c r="P861" t="s">
        <v>90</v>
      </c>
      <c r="Q861">
        <v>0</v>
      </c>
      <c r="R861" t="s">
        <v>90</v>
      </c>
      <c r="S861">
        <v>0</v>
      </c>
      <c r="T861" t="s">
        <v>90</v>
      </c>
      <c r="U861">
        <v>0</v>
      </c>
      <c r="V861" t="s">
        <v>90</v>
      </c>
      <c r="W861">
        <v>0</v>
      </c>
      <c r="X861" t="s">
        <v>90</v>
      </c>
      <c r="Y861">
        <v>0</v>
      </c>
      <c r="Z861">
        <v>1.6993716077021395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N861" t="s">
        <v>223</v>
      </c>
      <c r="AO861" t="s">
        <v>92</v>
      </c>
      <c r="AP861">
        <v>200000</v>
      </c>
      <c r="AQ861" t="s">
        <v>92</v>
      </c>
      <c r="AS861">
        <v>10000</v>
      </c>
      <c r="AT861" t="s">
        <v>9</v>
      </c>
      <c r="AU861" t="s">
        <v>78</v>
      </c>
      <c r="AV861" t="s">
        <v>79</v>
      </c>
      <c r="AY861">
        <v>0</v>
      </c>
    </row>
    <row r="862" spans="1:52" ht="12.75">
      <c r="A862" s="2" t="str">
        <f>HYPERLINK("https://ibp.a2mac1.com/costing(costing:projects/details/8191/assembly/5388960)","Rocker inner frame")</f>
        <v>Rocker inner frame</v>
      </c>
      <c r="B862">
        <v>5388960</v>
      </c>
      <c r="D862">
        <v>5388634</v>
      </c>
      <c r="F862">
        <v>1</v>
      </c>
      <c r="G862">
        <v>0</v>
      </c>
      <c r="H862">
        <v>250.50799961117278</v>
      </c>
      <c r="I862">
        <v>0</v>
      </c>
      <c r="J862" t="s">
        <v>90</v>
      </c>
      <c r="K862">
        <v>0</v>
      </c>
      <c r="L862">
        <v>250.50799961117278</v>
      </c>
      <c r="M862">
        <v>0</v>
      </c>
      <c r="N862">
        <v>0</v>
      </c>
      <c r="O862">
        <v>250.50799961117278</v>
      </c>
      <c r="P862" t="s">
        <v>90</v>
      </c>
      <c r="Q862">
        <v>0</v>
      </c>
      <c r="R862" t="s">
        <v>90</v>
      </c>
      <c r="S862">
        <v>0</v>
      </c>
      <c r="T862" t="s">
        <v>90</v>
      </c>
      <c r="U862">
        <v>0</v>
      </c>
      <c r="V862" t="s">
        <v>90</v>
      </c>
      <c r="W862">
        <v>0</v>
      </c>
      <c r="X862" t="s">
        <v>90</v>
      </c>
      <c r="Y862">
        <v>0</v>
      </c>
      <c r="Z862">
        <v>250.50799961117278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N862" t="s">
        <v>223</v>
      </c>
      <c r="AO862" t="s">
        <v>92</v>
      </c>
      <c r="AP862">
        <v>200000</v>
      </c>
      <c r="AQ862" t="s">
        <v>92</v>
      </c>
      <c r="AS862">
        <v>10000</v>
      </c>
      <c r="AT862" t="s">
        <v>9</v>
      </c>
      <c r="AU862" t="s">
        <v>78</v>
      </c>
      <c r="AV862" t="s">
        <v>79</v>
      </c>
      <c r="AY862">
        <v>0</v>
      </c>
    </row>
    <row r="863" spans="1:52" ht="12.75">
      <c r="A863" s="2" t="str">
        <f>HYPERLINK("https://ibp.a2mac1.com/costing(costing:projects/details/8191/assembly/5388634)","Central unit")</f>
        <v>Central unit</v>
      </c>
      <c r="B863">
        <v>5388634</v>
      </c>
      <c r="D863">
        <v>5388293</v>
      </c>
      <c r="F863">
        <v>1</v>
      </c>
      <c r="G863">
        <v>0</v>
      </c>
      <c r="H863">
        <v>341.61482990917835</v>
      </c>
      <c r="I863">
        <v>0</v>
      </c>
      <c r="J863" t="s">
        <v>90</v>
      </c>
      <c r="K863">
        <v>0</v>
      </c>
      <c r="L863">
        <v>341.61482990917835</v>
      </c>
      <c r="M863">
        <v>0</v>
      </c>
      <c r="N863">
        <v>0</v>
      </c>
      <c r="O863">
        <v>341.61482990917835</v>
      </c>
      <c r="P863" t="s">
        <v>90</v>
      </c>
      <c r="Q863">
        <v>0</v>
      </c>
      <c r="R863" t="s">
        <v>90</v>
      </c>
      <c r="S863">
        <v>0</v>
      </c>
      <c r="T863" t="s">
        <v>90</v>
      </c>
      <c r="U863">
        <v>0</v>
      </c>
      <c r="V863" t="s">
        <v>90</v>
      </c>
      <c r="W863">
        <v>0</v>
      </c>
      <c r="X863" t="s">
        <v>90</v>
      </c>
      <c r="Y863">
        <v>0</v>
      </c>
      <c r="Z863">
        <v>341.61482990917835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N863" t="s">
        <v>223</v>
      </c>
      <c r="AO863" t="s">
        <v>92</v>
      </c>
      <c r="AP863">
        <v>200000</v>
      </c>
      <c r="AQ863" t="s">
        <v>92</v>
      </c>
      <c r="AS863">
        <v>10000</v>
      </c>
      <c r="AT863" t="s">
        <v>9</v>
      </c>
      <c r="AU863" t="s">
        <v>78</v>
      </c>
      <c r="AV863" t="s">
        <v>79</v>
      </c>
      <c r="AY863">
        <v>0</v>
      </c>
    </row>
    <row r="864" spans="1:52" ht="12.75">
      <c r="A864" s="2" t="str">
        <f>HYPERLINK("https://ibp.a2mac1.com/costing(costing:projects/details/8191/assembly/5389312)","Frame")</f>
        <v>Frame</v>
      </c>
      <c r="B864">
        <v>5389312</v>
      </c>
      <c r="D864">
        <v>5388961</v>
      </c>
      <c r="F864">
        <v>1</v>
      </c>
      <c r="G864">
        <v>0</v>
      </c>
      <c r="H864">
        <v>9.2441614905633465</v>
      </c>
      <c r="I864">
        <v>0</v>
      </c>
      <c r="J864" t="s">
        <v>90</v>
      </c>
      <c r="K864">
        <v>0</v>
      </c>
      <c r="L864">
        <v>9.2441614905633465</v>
      </c>
      <c r="M864">
        <v>0</v>
      </c>
      <c r="N864">
        <v>0</v>
      </c>
      <c r="O864">
        <v>9.2441614905633465</v>
      </c>
      <c r="P864" t="s">
        <v>90</v>
      </c>
      <c r="Q864">
        <v>0</v>
      </c>
      <c r="R864" t="s">
        <v>90</v>
      </c>
      <c r="S864">
        <v>0</v>
      </c>
      <c r="T864" t="s">
        <v>90</v>
      </c>
      <c r="U864">
        <v>0</v>
      </c>
      <c r="V864" t="s">
        <v>90</v>
      </c>
      <c r="W864">
        <v>0</v>
      </c>
      <c r="X864" t="s">
        <v>90</v>
      </c>
      <c r="Y864">
        <v>0</v>
      </c>
      <c r="Z864">
        <v>9.2441614905633465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N864" t="s">
        <v>223</v>
      </c>
      <c r="AO864" t="s">
        <v>92</v>
      </c>
      <c r="AP864">
        <v>200000</v>
      </c>
      <c r="AQ864" t="s">
        <v>92</v>
      </c>
      <c r="AS864">
        <v>10000</v>
      </c>
      <c r="AT864" t="s">
        <v>9</v>
      </c>
      <c r="AU864" t="s">
        <v>78</v>
      </c>
      <c r="AV864" t="s">
        <v>79</v>
      </c>
      <c r="AY864">
        <v>0</v>
      </c>
    </row>
    <row r="865" spans="1:52" ht="12.75">
      <c r="A865" s="2" t="str">
        <f>HYPERLINK("https://ibp.a2mac1.com/costing(costing:projects/details/8191/assembly/5389313)","Reinforcements")</f>
        <v>Reinforcements</v>
      </c>
      <c r="B865">
        <v>5389313</v>
      </c>
      <c r="D865">
        <v>5388961</v>
      </c>
      <c r="F865">
        <v>1</v>
      </c>
      <c r="G865">
        <v>0</v>
      </c>
      <c r="H865">
        <v>6.1122273473231896</v>
      </c>
      <c r="I865">
        <v>0</v>
      </c>
      <c r="J865" t="s">
        <v>90</v>
      </c>
      <c r="K865">
        <v>0</v>
      </c>
      <c r="L865">
        <v>6.1122273473231896</v>
      </c>
      <c r="M865">
        <v>0</v>
      </c>
      <c r="N865">
        <v>0</v>
      </c>
      <c r="O865">
        <v>6.1122273473231896</v>
      </c>
      <c r="P865" t="s">
        <v>90</v>
      </c>
      <c r="Q865">
        <v>0</v>
      </c>
      <c r="R865" t="s">
        <v>90</v>
      </c>
      <c r="S865">
        <v>0</v>
      </c>
      <c r="T865" t="s">
        <v>90</v>
      </c>
      <c r="U865">
        <v>0</v>
      </c>
      <c r="V865" t="s">
        <v>90</v>
      </c>
      <c r="W865">
        <v>0</v>
      </c>
      <c r="X865" t="s">
        <v>90</v>
      </c>
      <c r="Y865">
        <v>0</v>
      </c>
      <c r="Z865">
        <v>6.1122273473231896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N865" t="s">
        <v>223</v>
      </c>
      <c r="AO865" t="s">
        <v>92</v>
      </c>
      <c r="AP865">
        <v>200000</v>
      </c>
      <c r="AQ865" t="s">
        <v>92</v>
      </c>
      <c r="AS865">
        <v>10000</v>
      </c>
      <c r="AT865" t="s">
        <v>9</v>
      </c>
      <c r="AU865" t="s">
        <v>78</v>
      </c>
      <c r="AV865" t="s">
        <v>79</v>
      </c>
      <c r="AY865">
        <v>0</v>
      </c>
    </row>
    <row r="866" spans="1:52" ht="12.75">
      <c r="A866" s="2" t="str">
        <f>HYPERLINK("https://ibp.a2mac1.com/costing(costing:projects/details/8191/assembly/5389314)","Fixing parts")</f>
        <v>Fixing parts</v>
      </c>
      <c r="B866">
        <v>5389314</v>
      </c>
      <c r="D866">
        <v>5388961</v>
      </c>
      <c r="F866">
        <v>1</v>
      </c>
      <c r="G866">
        <v>0</v>
      </c>
      <c r="H866">
        <v>8.2145987889279386</v>
      </c>
      <c r="I866">
        <v>0</v>
      </c>
      <c r="J866" t="s">
        <v>90</v>
      </c>
      <c r="K866">
        <v>0</v>
      </c>
      <c r="L866">
        <v>8.2145987889279386</v>
      </c>
      <c r="M866">
        <v>0</v>
      </c>
      <c r="N866">
        <v>0</v>
      </c>
      <c r="O866">
        <v>8.2145987889279386</v>
      </c>
      <c r="P866" t="s">
        <v>90</v>
      </c>
      <c r="Q866">
        <v>0</v>
      </c>
      <c r="R866" t="s">
        <v>90</v>
      </c>
      <c r="S866">
        <v>0</v>
      </c>
      <c r="T866" t="s">
        <v>90</v>
      </c>
      <c r="U866">
        <v>0</v>
      </c>
      <c r="V866" t="s">
        <v>90</v>
      </c>
      <c r="W866">
        <v>0</v>
      </c>
      <c r="X866" t="s">
        <v>90</v>
      </c>
      <c r="Y866">
        <v>0</v>
      </c>
      <c r="Z866">
        <v>8.2145987889279386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N866" t="s">
        <v>223</v>
      </c>
      <c r="AO866" t="s">
        <v>92</v>
      </c>
      <c r="AP866">
        <v>200000</v>
      </c>
      <c r="AQ866" t="s">
        <v>92</v>
      </c>
      <c r="AS866">
        <v>10000</v>
      </c>
      <c r="AT866" t="s">
        <v>9</v>
      </c>
      <c r="AU866" t="s">
        <v>78</v>
      </c>
      <c r="AV866" t="s">
        <v>79</v>
      </c>
      <c r="AY866">
        <v>0</v>
      </c>
    </row>
    <row r="867" spans="1:52" ht="12.75">
      <c r="A867" s="2" t="str">
        <f>HYPERLINK("https://ibp.a2mac1.com/costing(costing:projects/details/8191/assembly/5388961)","Inner wheel shroud assy")</f>
        <v>Inner wheel shroud assy</v>
      </c>
      <c r="B867">
        <v>5388961</v>
      </c>
      <c r="D867">
        <v>5388635</v>
      </c>
      <c r="F867">
        <v>1</v>
      </c>
      <c r="G867">
        <v>0</v>
      </c>
      <c r="H867">
        <v>23.570987626814475</v>
      </c>
      <c r="I867">
        <v>0</v>
      </c>
      <c r="J867" t="s">
        <v>90</v>
      </c>
      <c r="K867">
        <v>0</v>
      </c>
      <c r="L867">
        <v>23.570987626814475</v>
      </c>
      <c r="M867">
        <v>0</v>
      </c>
      <c r="N867">
        <v>0</v>
      </c>
      <c r="O867">
        <v>23.570987626814475</v>
      </c>
      <c r="P867" t="s">
        <v>90</v>
      </c>
      <c r="Q867">
        <v>0</v>
      </c>
      <c r="R867" t="s">
        <v>90</v>
      </c>
      <c r="S867">
        <v>0</v>
      </c>
      <c r="T867" t="s">
        <v>90</v>
      </c>
      <c r="U867">
        <v>0</v>
      </c>
      <c r="V867" t="s">
        <v>90</v>
      </c>
      <c r="W867">
        <v>0</v>
      </c>
      <c r="X867" t="s">
        <v>90</v>
      </c>
      <c r="Y867">
        <v>0</v>
      </c>
      <c r="Z867">
        <v>23.570987626814475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N867" t="s">
        <v>223</v>
      </c>
      <c r="AO867" t="s">
        <v>92</v>
      </c>
      <c r="AP867">
        <v>200000</v>
      </c>
      <c r="AQ867" t="s">
        <v>92</v>
      </c>
      <c r="AS867">
        <v>10000</v>
      </c>
      <c r="AT867" t="s">
        <v>9</v>
      </c>
      <c r="AU867" t="s">
        <v>78</v>
      </c>
      <c r="AV867" t="s">
        <v>79</v>
      </c>
      <c r="AY867">
        <v>0</v>
      </c>
    </row>
    <row r="868" spans="1:52" ht="12.75">
      <c r="A868" s="2" t="str">
        <f>HYPERLINK("https://ibp.a2mac1.com/costing(costing:projects/details/8191/assembly/5389620)","Frame")</f>
        <v>Frame</v>
      </c>
      <c r="B868">
        <v>5389620</v>
      </c>
      <c r="D868">
        <v>5389315</v>
      </c>
      <c r="F868">
        <v>1</v>
      </c>
      <c r="G868">
        <v>0</v>
      </c>
      <c r="H868">
        <v>3.50363275237775</v>
      </c>
      <c r="I868">
        <v>0</v>
      </c>
      <c r="J868" t="s">
        <v>90</v>
      </c>
      <c r="K868">
        <v>0</v>
      </c>
      <c r="L868">
        <v>3.50363275237775</v>
      </c>
      <c r="M868">
        <v>0</v>
      </c>
      <c r="N868">
        <v>0</v>
      </c>
      <c r="O868">
        <v>3.50363275237775</v>
      </c>
      <c r="P868" t="s">
        <v>90</v>
      </c>
      <c r="Q868">
        <v>0</v>
      </c>
      <c r="R868" t="s">
        <v>90</v>
      </c>
      <c r="S868">
        <v>0</v>
      </c>
      <c r="T868" t="s">
        <v>90</v>
      </c>
      <c r="U868">
        <v>0</v>
      </c>
      <c r="V868" t="s">
        <v>90</v>
      </c>
      <c r="W868">
        <v>0</v>
      </c>
      <c r="X868" t="s">
        <v>90</v>
      </c>
      <c r="Y868">
        <v>0</v>
      </c>
      <c r="Z868">
        <v>3.50363275237775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N868" t="s">
        <v>223</v>
      </c>
      <c r="AO868" t="s">
        <v>92</v>
      </c>
      <c r="AP868">
        <v>200000</v>
      </c>
      <c r="AQ868" t="s">
        <v>92</v>
      </c>
      <c r="AS868">
        <v>10000</v>
      </c>
      <c r="AT868" t="s">
        <v>9</v>
      </c>
      <c r="AU868" t="s">
        <v>78</v>
      </c>
      <c r="AV868" t="s">
        <v>79</v>
      </c>
      <c r="AY868">
        <v>0</v>
      </c>
    </row>
    <row r="869" spans="1:52" ht="12.75">
      <c r="A869" s="2" t="str">
        <f>HYPERLINK("https://ibp.a2mac1.com/costing(costing:projects/details/8191/assembly/5389621)","Reinforcements")</f>
        <v>Reinforcements</v>
      </c>
      <c r="B869">
        <v>5389621</v>
      </c>
      <c r="D869">
        <v>5389315</v>
      </c>
      <c r="F869">
        <v>1</v>
      </c>
      <c r="G869">
        <v>0</v>
      </c>
      <c r="H869">
        <v>1.1812309912326087</v>
      </c>
      <c r="I869">
        <v>0</v>
      </c>
      <c r="J869" t="s">
        <v>90</v>
      </c>
      <c r="K869">
        <v>0</v>
      </c>
      <c r="L869">
        <v>1.1812309912326087</v>
      </c>
      <c r="M869">
        <v>0</v>
      </c>
      <c r="N869">
        <v>0</v>
      </c>
      <c r="O869">
        <v>1.1812309912326087</v>
      </c>
      <c r="P869" t="s">
        <v>90</v>
      </c>
      <c r="Q869">
        <v>0</v>
      </c>
      <c r="R869" t="s">
        <v>90</v>
      </c>
      <c r="S869">
        <v>0</v>
      </c>
      <c r="T869" t="s">
        <v>90</v>
      </c>
      <c r="U869">
        <v>0</v>
      </c>
      <c r="V869" t="s">
        <v>90</v>
      </c>
      <c r="W869">
        <v>0</v>
      </c>
      <c r="X869" t="s">
        <v>90</v>
      </c>
      <c r="Y869">
        <v>0</v>
      </c>
      <c r="Z869">
        <v>1.1812309912326087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N869" t="s">
        <v>223</v>
      </c>
      <c r="AO869" t="s">
        <v>92</v>
      </c>
      <c r="AP869">
        <v>200000</v>
      </c>
      <c r="AQ869" t="s">
        <v>92</v>
      </c>
      <c r="AS869">
        <v>10000</v>
      </c>
      <c r="AT869" t="s">
        <v>9</v>
      </c>
      <c r="AU869" t="s">
        <v>78</v>
      </c>
      <c r="AV869" t="s">
        <v>79</v>
      </c>
      <c r="AY869">
        <v>0</v>
      </c>
    </row>
    <row r="870" spans="1:52" ht="12.75">
      <c r="A870" s="2" t="str">
        <f>HYPERLINK("https://ibp.a2mac1.com/costing(costing:projects/details/8191/assembly/5389315)","Heel board")</f>
        <v>Heel board</v>
      </c>
      <c r="B870">
        <v>5389315</v>
      </c>
      <c r="D870">
        <v>5388962</v>
      </c>
      <c r="F870">
        <v>1</v>
      </c>
      <c r="G870">
        <v>0</v>
      </c>
      <c r="H870">
        <v>4.6848637436103582</v>
      </c>
      <c r="I870">
        <v>0</v>
      </c>
      <c r="J870" t="s">
        <v>90</v>
      </c>
      <c r="K870">
        <v>0</v>
      </c>
      <c r="L870">
        <v>4.6848637436103582</v>
      </c>
      <c r="M870">
        <v>0</v>
      </c>
      <c r="N870">
        <v>0</v>
      </c>
      <c r="O870">
        <v>4.6848637436103582</v>
      </c>
      <c r="P870" t="s">
        <v>90</v>
      </c>
      <c r="Q870">
        <v>0</v>
      </c>
      <c r="R870" t="s">
        <v>90</v>
      </c>
      <c r="S870">
        <v>0</v>
      </c>
      <c r="T870" t="s">
        <v>90</v>
      </c>
      <c r="U870">
        <v>0</v>
      </c>
      <c r="V870" t="s">
        <v>90</v>
      </c>
      <c r="W870">
        <v>0</v>
      </c>
      <c r="X870" t="s">
        <v>90</v>
      </c>
      <c r="Y870">
        <v>0</v>
      </c>
      <c r="Z870">
        <v>4.6848637436103582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N870" t="s">
        <v>223</v>
      </c>
      <c r="AO870" t="s">
        <v>92</v>
      </c>
      <c r="AP870">
        <v>200000</v>
      </c>
      <c r="AQ870" t="s">
        <v>92</v>
      </c>
      <c r="AS870">
        <v>10000</v>
      </c>
      <c r="AT870" t="s">
        <v>9</v>
      </c>
      <c r="AU870" t="s">
        <v>78</v>
      </c>
      <c r="AV870" t="s">
        <v>79</v>
      </c>
      <c r="AY870">
        <v>0</v>
      </c>
    </row>
    <row r="871" spans="1:52" ht="12.75">
      <c r="A871" s="2" t="str">
        <f>HYPERLINK("https://ibp.a2mac1.com/costing(costing:projects/details/8191/assembly/5389622)","Panel")</f>
        <v>Panel</v>
      </c>
      <c r="B871">
        <v>5389622</v>
      </c>
      <c r="D871">
        <v>5389316</v>
      </c>
      <c r="F871">
        <v>1</v>
      </c>
      <c r="G871">
        <v>0</v>
      </c>
      <c r="H871">
        <v>11.906527015066452</v>
      </c>
      <c r="I871">
        <v>0</v>
      </c>
      <c r="J871" t="s">
        <v>90</v>
      </c>
      <c r="K871">
        <v>0</v>
      </c>
      <c r="L871">
        <v>11.906527015066452</v>
      </c>
      <c r="M871">
        <v>0</v>
      </c>
      <c r="N871">
        <v>0</v>
      </c>
      <c r="O871">
        <v>11.906527015066452</v>
      </c>
      <c r="P871" t="s">
        <v>90</v>
      </c>
      <c r="Q871">
        <v>0</v>
      </c>
      <c r="R871" t="s">
        <v>90</v>
      </c>
      <c r="S871">
        <v>0</v>
      </c>
      <c r="T871" t="s">
        <v>90</v>
      </c>
      <c r="U871">
        <v>0</v>
      </c>
      <c r="V871" t="s">
        <v>90</v>
      </c>
      <c r="W871">
        <v>0</v>
      </c>
      <c r="X871" t="s">
        <v>90</v>
      </c>
      <c r="Y871">
        <v>0</v>
      </c>
      <c r="Z871">
        <v>11.906527015066452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N871" t="s">
        <v>223</v>
      </c>
      <c r="AO871" t="s">
        <v>92</v>
      </c>
      <c r="AP871">
        <v>200000</v>
      </c>
      <c r="AQ871" t="s">
        <v>92</v>
      </c>
      <c r="AS871">
        <v>10000</v>
      </c>
      <c r="AT871" t="s">
        <v>9</v>
      </c>
      <c r="AU871" t="s">
        <v>78</v>
      </c>
      <c r="AV871" t="s">
        <v>79</v>
      </c>
      <c r="AY871">
        <v>0</v>
      </c>
    </row>
    <row r="872" spans="1:52" ht="12.75">
      <c r="A872" s="2" t="str">
        <f>HYPERLINK("https://ibp.a2mac1.com/costing(costing:projects/details/8191/assembly/5389623)","Reinforcements")</f>
        <v>Reinforcements</v>
      </c>
      <c r="B872">
        <v>5389623</v>
      </c>
      <c r="D872">
        <v>5389316</v>
      </c>
      <c r="F872">
        <v>1</v>
      </c>
      <c r="G872">
        <v>0</v>
      </c>
      <c r="H872">
        <v>0.43602324851280649</v>
      </c>
      <c r="I872">
        <v>0</v>
      </c>
      <c r="J872" t="s">
        <v>90</v>
      </c>
      <c r="K872">
        <v>0</v>
      </c>
      <c r="L872">
        <v>0.43602324851280649</v>
      </c>
      <c r="M872">
        <v>0</v>
      </c>
      <c r="N872">
        <v>0</v>
      </c>
      <c r="O872">
        <v>0.43602324851280649</v>
      </c>
      <c r="P872" t="s">
        <v>90</v>
      </c>
      <c r="Q872">
        <v>0</v>
      </c>
      <c r="R872" t="s">
        <v>90</v>
      </c>
      <c r="S872">
        <v>0</v>
      </c>
      <c r="T872" t="s">
        <v>90</v>
      </c>
      <c r="U872">
        <v>0</v>
      </c>
      <c r="V872" t="s">
        <v>90</v>
      </c>
      <c r="W872">
        <v>0</v>
      </c>
      <c r="X872" t="s">
        <v>90</v>
      </c>
      <c r="Y872">
        <v>0</v>
      </c>
      <c r="Z872">
        <v>0.43602324851280649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N872" t="s">
        <v>223</v>
      </c>
      <c r="AO872" t="s">
        <v>92</v>
      </c>
      <c r="AP872">
        <v>200000</v>
      </c>
      <c r="AQ872" t="s">
        <v>92</v>
      </c>
      <c r="AS872">
        <v>10000</v>
      </c>
      <c r="AT872" t="s">
        <v>9</v>
      </c>
      <c r="AU872" t="s">
        <v>78</v>
      </c>
      <c r="AV872" t="s">
        <v>79</v>
      </c>
      <c r="AY872">
        <v>0</v>
      </c>
    </row>
    <row r="873" spans="1:52" ht="12.75">
      <c r="A873" s="2" t="str">
        <f>HYPERLINK("https://ibp.a2mac1.com/costing(costing:projects/details/8191/assembly/5389316)","Rear floor panel")</f>
        <v>Rear floor panel</v>
      </c>
      <c r="B873">
        <v>5389316</v>
      </c>
      <c r="D873">
        <v>5388962</v>
      </c>
      <c r="F873">
        <v>1</v>
      </c>
      <c r="G873">
        <v>0</v>
      </c>
      <c r="H873">
        <v>12.342550263579257</v>
      </c>
      <c r="I873">
        <v>0</v>
      </c>
      <c r="J873" t="s">
        <v>90</v>
      </c>
      <c r="K873">
        <v>0</v>
      </c>
      <c r="L873">
        <v>12.342550263579257</v>
      </c>
      <c r="M873">
        <v>0</v>
      </c>
      <c r="N873">
        <v>0</v>
      </c>
      <c r="O873">
        <v>12.342550263579257</v>
      </c>
      <c r="P873" t="s">
        <v>90</v>
      </c>
      <c r="Q873">
        <v>0</v>
      </c>
      <c r="R873" t="s">
        <v>90</v>
      </c>
      <c r="S873">
        <v>0</v>
      </c>
      <c r="T873" t="s">
        <v>90</v>
      </c>
      <c r="U873">
        <v>0</v>
      </c>
      <c r="V873" t="s">
        <v>90</v>
      </c>
      <c r="W873">
        <v>0</v>
      </c>
      <c r="X873" t="s">
        <v>90</v>
      </c>
      <c r="Y873">
        <v>0</v>
      </c>
      <c r="Z873">
        <v>12.342550263579257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N873" t="s">
        <v>223</v>
      </c>
      <c r="AO873" t="s">
        <v>92</v>
      </c>
      <c r="AP873">
        <v>200000</v>
      </c>
      <c r="AQ873" t="s">
        <v>92</v>
      </c>
      <c r="AS873">
        <v>10000</v>
      </c>
      <c r="AT873" t="s">
        <v>9</v>
      </c>
      <c r="AU873" t="s">
        <v>78</v>
      </c>
      <c r="AV873" t="s">
        <v>79</v>
      </c>
      <c r="AY873">
        <v>0</v>
      </c>
    </row>
    <row r="874" spans="1:52" ht="12.75">
      <c r="A874" s="2" t="str">
        <f>HYPERLINK("https://ibp.a2mac1.com/costing(costing:projects/details/8191/assembly/5388962)","Rear floor assy")</f>
        <v>Rear floor assy</v>
      </c>
      <c r="B874">
        <v>5388962</v>
      </c>
      <c r="D874">
        <v>5388635</v>
      </c>
      <c r="F874">
        <v>1</v>
      </c>
      <c r="G874">
        <v>0</v>
      </c>
      <c r="H874">
        <v>17.027414007189616</v>
      </c>
      <c r="I874">
        <v>0</v>
      </c>
      <c r="J874" t="s">
        <v>90</v>
      </c>
      <c r="K874">
        <v>0</v>
      </c>
      <c r="L874">
        <v>17.027414007189616</v>
      </c>
      <c r="M874">
        <v>0</v>
      </c>
      <c r="N874">
        <v>0</v>
      </c>
      <c r="O874">
        <v>17.027414007189616</v>
      </c>
      <c r="P874" t="s">
        <v>90</v>
      </c>
      <c r="Q874">
        <v>0</v>
      </c>
      <c r="R874" t="s">
        <v>90</v>
      </c>
      <c r="S874">
        <v>0</v>
      </c>
      <c r="T874" t="s">
        <v>90</v>
      </c>
      <c r="U874">
        <v>0</v>
      </c>
      <c r="V874" t="s">
        <v>90</v>
      </c>
      <c r="W874">
        <v>0</v>
      </c>
      <c r="X874" t="s">
        <v>90</v>
      </c>
      <c r="Y874">
        <v>0</v>
      </c>
      <c r="Z874">
        <v>17.027414007189616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N874" t="s">
        <v>223</v>
      </c>
      <c r="AO874" t="s">
        <v>92</v>
      </c>
      <c r="AP874">
        <v>200000</v>
      </c>
      <c r="AQ874" t="s">
        <v>92</v>
      </c>
      <c r="AS874">
        <v>10000</v>
      </c>
      <c r="AT874" t="s">
        <v>9</v>
      </c>
      <c r="AU874" t="s">
        <v>78</v>
      </c>
      <c r="AV874" t="s">
        <v>79</v>
      </c>
      <c r="AY874">
        <v>0</v>
      </c>
    </row>
    <row r="875" spans="1:52" ht="12.75">
      <c r="A875" s="2" t="str">
        <f>HYPERLINK("https://ibp.a2mac1.com/costing(costing:projects/details/8191/assembly/5389317)","Frame")</f>
        <v>Frame</v>
      </c>
      <c r="B875">
        <v>5389317</v>
      </c>
      <c r="D875">
        <v>5388963</v>
      </c>
      <c r="F875">
        <v>1</v>
      </c>
      <c r="G875">
        <v>0</v>
      </c>
      <c r="H875">
        <v>35.632568790435236</v>
      </c>
      <c r="I875">
        <v>0</v>
      </c>
      <c r="J875" t="s">
        <v>90</v>
      </c>
      <c r="K875">
        <v>0</v>
      </c>
      <c r="L875">
        <v>35.632568790435236</v>
      </c>
      <c r="M875">
        <v>0</v>
      </c>
      <c r="N875">
        <v>0</v>
      </c>
      <c r="O875">
        <v>35.632568790435236</v>
      </c>
      <c r="P875" t="s">
        <v>90</v>
      </c>
      <c r="Q875">
        <v>0</v>
      </c>
      <c r="R875" t="s">
        <v>90</v>
      </c>
      <c r="S875">
        <v>0</v>
      </c>
      <c r="T875" t="s">
        <v>90</v>
      </c>
      <c r="U875">
        <v>0</v>
      </c>
      <c r="V875" t="s">
        <v>90</v>
      </c>
      <c r="W875">
        <v>0</v>
      </c>
      <c r="X875" t="s">
        <v>90</v>
      </c>
      <c r="Y875">
        <v>0</v>
      </c>
      <c r="Z875">
        <v>35.632568790435236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N875" t="s">
        <v>223</v>
      </c>
      <c r="AO875" t="s">
        <v>92</v>
      </c>
      <c r="AP875">
        <v>200000</v>
      </c>
      <c r="AQ875" t="s">
        <v>92</v>
      </c>
      <c r="AS875">
        <v>10000</v>
      </c>
      <c r="AT875" t="s">
        <v>9</v>
      </c>
      <c r="AU875" t="s">
        <v>78</v>
      </c>
      <c r="AV875" t="s">
        <v>79</v>
      </c>
      <c r="AY875">
        <v>0</v>
      </c>
    </row>
    <row r="876" spans="1:52" ht="12.75">
      <c r="A876" s="2" t="str">
        <f>HYPERLINK("https://ibp.a2mac1.com/costing(costing:projects/details/8191/assembly/5389318)","Reinforcements")</f>
        <v>Reinforcements</v>
      </c>
      <c r="B876">
        <v>5389318</v>
      </c>
      <c r="D876">
        <v>5388963</v>
      </c>
      <c r="F876">
        <v>1</v>
      </c>
      <c r="G876">
        <v>0</v>
      </c>
      <c r="H876">
        <v>8.0586070048634042</v>
      </c>
      <c r="I876">
        <v>0</v>
      </c>
      <c r="J876" t="s">
        <v>90</v>
      </c>
      <c r="K876">
        <v>0</v>
      </c>
      <c r="L876">
        <v>8.0586070048634042</v>
      </c>
      <c r="M876">
        <v>0</v>
      </c>
      <c r="N876">
        <v>0</v>
      </c>
      <c r="O876">
        <v>8.0586070048634042</v>
      </c>
      <c r="P876" t="s">
        <v>90</v>
      </c>
      <c r="Q876">
        <v>0</v>
      </c>
      <c r="R876" t="s">
        <v>90</v>
      </c>
      <c r="S876">
        <v>0</v>
      </c>
      <c r="T876" t="s">
        <v>90</v>
      </c>
      <c r="U876">
        <v>0</v>
      </c>
      <c r="V876" t="s">
        <v>90</v>
      </c>
      <c r="W876">
        <v>0</v>
      </c>
      <c r="X876" t="s">
        <v>90</v>
      </c>
      <c r="Y876">
        <v>0</v>
      </c>
      <c r="Z876">
        <v>8.0586070048634042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N876" t="s">
        <v>223</v>
      </c>
      <c r="AO876" t="s">
        <v>92</v>
      </c>
      <c r="AP876">
        <v>200000</v>
      </c>
      <c r="AQ876" t="s">
        <v>92</v>
      </c>
      <c r="AS876">
        <v>10000</v>
      </c>
      <c r="AT876" t="s">
        <v>9</v>
      </c>
      <c r="AU876" t="s">
        <v>78</v>
      </c>
      <c r="AV876" t="s">
        <v>79</v>
      </c>
      <c r="AY876">
        <v>0</v>
      </c>
    </row>
    <row r="877" spans="1:52" ht="12.75">
      <c r="A877" s="2" t="str">
        <f>HYPERLINK("https://ibp.a2mac1.com/costing(costing:projects/details/8191/assembly/5389319)","Spacers")</f>
        <v>Spacers</v>
      </c>
      <c r="B877">
        <v>5389319</v>
      </c>
      <c r="D877">
        <v>5388963</v>
      </c>
      <c r="F877">
        <v>1</v>
      </c>
      <c r="G877">
        <v>0</v>
      </c>
      <c r="H877">
        <v>0.81134607534070091</v>
      </c>
      <c r="I877">
        <v>0</v>
      </c>
      <c r="J877" t="s">
        <v>90</v>
      </c>
      <c r="K877">
        <v>0</v>
      </c>
      <c r="L877">
        <v>0.81134607534070091</v>
      </c>
      <c r="M877">
        <v>0</v>
      </c>
      <c r="N877">
        <v>0</v>
      </c>
      <c r="O877">
        <v>0.81134607534070091</v>
      </c>
      <c r="P877" t="s">
        <v>90</v>
      </c>
      <c r="Q877">
        <v>0</v>
      </c>
      <c r="R877" t="s">
        <v>90</v>
      </c>
      <c r="S877">
        <v>0</v>
      </c>
      <c r="T877" t="s">
        <v>90</v>
      </c>
      <c r="U877">
        <v>0</v>
      </c>
      <c r="V877" t="s">
        <v>90</v>
      </c>
      <c r="W877">
        <v>0</v>
      </c>
      <c r="X877" t="s">
        <v>90</v>
      </c>
      <c r="Y877">
        <v>0</v>
      </c>
      <c r="Z877">
        <v>0.81134607534070091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N877" t="s">
        <v>223</v>
      </c>
      <c r="AO877" t="s">
        <v>92</v>
      </c>
      <c r="AP877">
        <v>200000</v>
      </c>
      <c r="AQ877" t="s">
        <v>92</v>
      </c>
      <c r="AS877">
        <v>10000</v>
      </c>
      <c r="AT877" t="s">
        <v>9</v>
      </c>
      <c r="AU877" t="s">
        <v>78</v>
      </c>
      <c r="AV877" t="s">
        <v>79</v>
      </c>
      <c r="AY877">
        <v>0</v>
      </c>
    </row>
    <row r="878" spans="1:52" ht="12.75">
      <c r="A878" s="2" t="str">
        <f>HYPERLINK("https://ibp.a2mac1.com/costing(costing:projects/details/8191/assembly/5389320)","Closures")</f>
        <v>Closures</v>
      </c>
      <c r="B878">
        <v>5389320</v>
      </c>
      <c r="D878">
        <v>5388963</v>
      </c>
      <c r="F878">
        <v>1</v>
      </c>
      <c r="G878">
        <v>0</v>
      </c>
      <c r="H878">
        <v>4.0132021729366825</v>
      </c>
      <c r="I878">
        <v>0</v>
      </c>
      <c r="J878" t="s">
        <v>90</v>
      </c>
      <c r="K878">
        <v>0</v>
      </c>
      <c r="L878">
        <v>4.0132021729366825</v>
      </c>
      <c r="M878">
        <v>0</v>
      </c>
      <c r="N878">
        <v>0</v>
      </c>
      <c r="O878">
        <v>4.0132021729366825</v>
      </c>
      <c r="P878" t="s">
        <v>90</v>
      </c>
      <c r="Q878">
        <v>0</v>
      </c>
      <c r="R878" t="s">
        <v>90</v>
      </c>
      <c r="S878">
        <v>0</v>
      </c>
      <c r="T878" t="s">
        <v>90</v>
      </c>
      <c r="U878">
        <v>0</v>
      </c>
      <c r="V878" t="s">
        <v>90</v>
      </c>
      <c r="W878">
        <v>0</v>
      </c>
      <c r="X878" t="s">
        <v>90</v>
      </c>
      <c r="Y878">
        <v>0</v>
      </c>
      <c r="Z878">
        <v>4.0132021729366825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N878" t="s">
        <v>223</v>
      </c>
      <c r="AO878" t="s">
        <v>92</v>
      </c>
      <c r="AP878">
        <v>200000</v>
      </c>
      <c r="AQ878" t="s">
        <v>92</v>
      </c>
      <c r="AS878">
        <v>10000</v>
      </c>
      <c r="AT878" t="s">
        <v>9</v>
      </c>
      <c r="AU878" t="s">
        <v>78</v>
      </c>
      <c r="AV878" t="s">
        <v>79</v>
      </c>
      <c r="AY878">
        <v>0</v>
      </c>
    </row>
    <row r="879" spans="1:52" ht="12.75">
      <c r="A879" s="2" t="str">
        <f>HYPERLINK("https://ibp.a2mac1.com/costing(costing:projects/details/8191/assembly/5389321)","Fixing parts")</f>
        <v>Fixing parts</v>
      </c>
      <c r="B879">
        <v>5389321</v>
      </c>
      <c r="D879">
        <v>5388963</v>
      </c>
      <c r="F879">
        <v>1</v>
      </c>
      <c r="G879">
        <v>0</v>
      </c>
      <c r="H879">
        <v>8.0590044117030963</v>
      </c>
      <c r="I879">
        <v>0</v>
      </c>
      <c r="J879" t="s">
        <v>90</v>
      </c>
      <c r="K879">
        <v>0</v>
      </c>
      <c r="L879">
        <v>8.0590044117030963</v>
      </c>
      <c r="M879">
        <v>0</v>
      </c>
      <c r="N879">
        <v>0</v>
      </c>
      <c r="O879">
        <v>8.0590044117030963</v>
      </c>
      <c r="P879" t="s">
        <v>90</v>
      </c>
      <c r="Q879">
        <v>0</v>
      </c>
      <c r="R879" t="s">
        <v>90</v>
      </c>
      <c r="S879">
        <v>0</v>
      </c>
      <c r="T879" t="s">
        <v>90</v>
      </c>
      <c r="U879">
        <v>0</v>
      </c>
      <c r="V879" t="s">
        <v>90</v>
      </c>
      <c r="W879">
        <v>0</v>
      </c>
      <c r="X879" t="s">
        <v>90</v>
      </c>
      <c r="Y879">
        <v>0</v>
      </c>
      <c r="Z879">
        <v>8.0590044117030963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N879" t="s">
        <v>223</v>
      </c>
      <c r="AO879" t="s">
        <v>92</v>
      </c>
      <c r="AP879">
        <v>200000</v>
      </c>
      <c r="AQ879" t="s">
        <v>92</v>
      </c>
      <c r="AS879">
        <v>10000</v>
      </c>
      <c r="AT879" t="s">
        <v>9</v>
      </c>
      <c r="AU879" t="s">
        <v>78</v>
      </c>
      <c r="AV879" t="s">
        <v>79</v>
      </c>
      <c r="AY879">
        <v>0</v>
      </c>
    </row>
    <row r="880" spans="1:52" ht="12.75">
      <c r="A880" s="2" t="str">
        <f>HYPERLINK("https://ibp.a2mac1.com/costing(costing:projects/details/8191/assembly/5388963)","Rear side member assy")</f>
        <v>Rear side member assy</v>
      </c>
      <c r="B880">
        <v>5388963</v>
      </c>
      <c r="D880">
        <v>5388635</v>
      </c>
      <c r="F880">
        <v>1</v>
      </c>
      <c r="G880">
        <v>0</v>
      </c>
      <c r="H880">
        <v>56.574728455279121</v>
      </c>
      <c r="I880">
        <v>0</v>
      </c>
      <c r="J880" t="s">
        <v>90</v>
      </c>
      <c r="K880">
        <v>0</v>
      </c>
      <c r="L880">
        <v>56.574728455279121</v>
      </c>
      <c r="M880">
        <v>0</v>
      </c>
      <c r="N880">
        <v>0</v>
      </c>
      <c r="O880">
        <v>56.574728455279121</v>
      </c>
      <c r="P880" t="s">
        <v>90</v>
      </c>
      <c r="Q880">
        <v>0</v>
      </c>
      <c r="R880" t="s">
        <v>90</v>
      </c>
      <c r="S880">
        <v>0</v>
      </c>
      <c r="T880" t="s">
        <v>90</v>
      </c>
      <c r="U880">
        <v>0</v>
      </c>
      <c r="V880" t="s">
        <v>90</v>
      </c>
      <c r="W880">
        <v>0</v>
      </c>
      <c r="X880" t="s">
        <v>90</v>
      </c>
      <c r="Y880">
        <v>0</v>
      </c>
      <c r="Z880">
        <v>56.574728455279121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N880" t="s">
        <v>223</v>
      </c>
      <c r="AO880" t="s">
        <v>92</v>
      </c>
      <c r="AP880">
        <v>200000</v>
      </c>
      <c r="AQ880" t="s">
        <v>92</v>
      </c>
      <c r="AS880">
        <v>10000</v>
      </c>
      <c r="AT880" t="s">
        <v>9</v>
      </c>
      <c r="AU880" t="s">
        <v>78</v>
      </c>
      <c r="AV880" t="s">
        <v>79</v>
      </c>
      <c r="AY880">
        <v>0</v>
      </c>
    </row>
    <row r="881" spans="1:52" ht="12.75">
      <c r="A881" s="2" t="str">
        <f>HYPERLINK("https://ibp.a2mac1.com/costing(costing:projects/details/8191/assembly/5389648)","Cross member")</f>
        <v>Cross member</v>
      </c>
      <c r="B881">
        <v>5389648</v>
      </c>
      <c r="D881">
        <v>5389322</v>
      </c>
      <c r="F881">
        <v>1</v>
      </c>
      <c r="G881">
        <v>0</v>
      </c>
      <c r="H881">
        <v>2.1059598214994688</v>
      </c>
      <c r="I881">
        <v>0</v>
      </c>
      <c r="J881" t="s">
        <v>90</v>
      </c>
      <c r="K881">
        <v>0</v>
      </c>
      <c r="L881">
        <v>2.1059598214994688</v>
      </c>
      <c r="M881">
        <v>0</v>
      </c>
      <c r="N881">
        <v>0</v>
      </c>
      <c r="O881">
        <v>2.1059598214994688</v>
      </c>
      <c r="P881" t="s">
        <v>90</v>
      </c>
      <c r="Q881">
        <v>0</v>
      </c>
      <c r="R881" t="s">
        <v>90</v>
      </c>
      <c r="S881">
        <v>0</v>
      </c>
      <c r="T881" t="s">
        <v>90</v>
      </c>
      <c r="U881">
        <v>0</v>
      </c>
      <c r="V881" t="s">
        <v>90</v>
      </c>
      <c r="W881">
        <v>0</v>
      </c>
      <c r="X881" t="s">
        <v>90</v>
      </c>
      <c r="Y881">
        <v>0</v>
      </c>
      <c r="Z881">
        <v>2.1059598214994688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N881" t="s">
        <v>223</v>
      </c>
      <c r="AO881" t="s">
        <v>92</v>
      </c>
      <c r="AP881">
        <v>200000</v>
      </c>
      <c r="AQ881" t="s">
        <v>92</v>
      </c>
      <c r="AS881">
        <v>10000</v>
      </c>
      <c r="AT881" t="s">
        <v>9</v>
      </c>
      <c r="AU881" t="s">
        <v>78</v>
      </c>
      <c r="AV881" t="s">
        <v>79</v>
      </c>
      <c r="AY881">
        <v>0</v>
      </c>
    </row>
    <row r="882" spans="1:52" ht="12.75">
      <c r="A882" s="2" t="str">
        <f>HYPERLINK("https://ibp.a2mac1.com/costing(costing:projects/details/8191/assembly/5389649)","Fixing parts")</f>
        <v>Fixing parts</v>
      </c>
      <c r="B882">
        <v>5389649</v>
      </c>
      <c r="D882">
        <v>5389322</v>
      </c>
      <c r="F882">
        <v>1</v>
      </c>
      <c r="G882">
        <v>0</v>
      </c>
      <c r="H882">
        <v>0.90886239357938015</v>
      </c>
      <c r="I882">
        <v>0</v>
      </c>
      <c r="J882" t="s">
        <v>90</v>
      </c>
      <c r="K882">
        <v>0</v>
      </c>
      <c r="L882">
        <v>0.90886239357938015</v>
      </c>
      <c r="M882">
        <v>0</v>
      </c>
      <c r="N882">
        <v>0</v>
      </c>
      <c r="O882">
        <v>0.90886239357938015</v>
      </c>
      <c r="P882" t="s">
        <v>90</v>
      </c>
      <c r="Q882">
        <v>0</v>
      </c>
      <c r="R882" t="s">
        <v>90</v>
      </c>
      <c r="S882">
        <v>0</v>
      </c>
      <c r="T882" t="s">
        <v>90</v>
      </c>
      <c r="U882">
        <v>0</v>
      </c>
      <c r="V882" t="s">
        <v>90</v>
      </c>
      <c r="W882">
        <v>0</v>
      </c>
      <c r="X882" t="s">
        <v>90</v>
      </c>
      <c r="Y882">
        <v>0</v>
      </c>
      <c r="Z882">
        <v>0.90886239357938015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N882" t="s">
        <v>223</v>
      </c>
      <c r="AO882" t="s">
        <v>92</v>
      </c>
      <c r="AP882">
        <v>200000</v>
      </c>
      <c r="AQ882" t="s">
        <v>92</v>
      </c>
      <c r="AS882">
        <v>10000</v>
      </c>
      <c r="AT882" t="s">
        <v>9</v>
      </c>
      <c r="AU882" t="s">
        <v>78</v>
      </c>
      <c r="AV882" t="s">
        <v>79</v>
      </c>
      <c r="AY882">
        <v>0</v>
      </c>
    </row>
    <row r="883" spans="1:52" ht="12.75">
      <c r="A883" s="2" t="str">
        <f>HYPERLINK("https://ibp.a2mac1.com/costing(costing:projects/details/8191/assembly/5389322)","Cross member 01 single main front")</f>
        <v>Cross member 01 single main front</v>
      </c>
      <c r="B883">
        <v>5389322</v>
      </c>
      <c r="D883">
        <v>5388964</v>
      </c>
      <c r="F883">
        <v>1</v>
      </c>
      <c r="G883">
        <v>0</v>
      </c>
      <c r="H883">
        <v>3.0148222150788486</v>
      </c>
      <c r="I883">
        <v>0</v>
      </c>
      <c r="J883" t="s">
        <v>90</v>
      </c>
      <c r="K883">
        <v>0</v>
      </c>
      <c r="L883">
        <v>3.0148222150788486</v>
      </c>
      <c r="M883">
        <v>0</v>
      </c>
      <c r="N883">
        <v>0</v>
      </c>
      <c r="O883">
        <v>3.0148222150788486</v>
      </c>
      <c r="P883" t="s">
        <v>90</v>
      </c>
      <c r="Q883">
        <v>0</v>
      </c>
      <c r="R883" t="s">
        <v>90</v>
      </c>
      <c r="S883">
        <v>0</v>
      </c>
      <c r="T883" t="s">
        <v>90</v>
      </c>
      <c r="U883">
        <v>0</v>
      </c>
      <c r="V883" t="s">
        <v>90</v>
      </c>
      <c r="W883">
        <v>0</v>
      </c>
      <c r="X883" t="s">
        <v>90</v>
      </c>
      <c r="Y883">
        <v>0</v>
      </c>
      <c r="Z883">
        <v>3.0148222150788486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N883" t="s">
        <v>223</v>
      </c>
      <c r="AO883" t="s">
        <v>92</v>
      </c>
      <c r="AP883">
        <v>200000</v>
      </c>
      <c r="AQ883" t="s">
        <v>92</v>
      </c>
      <c r="AS883">
        <v>10000</v>
      </c>
      <c r="AT883" t="s">
        <v>9</v>
      </c>
      <c r="AU883" t="s">
        <v>78</v>
      </c>
      <c r="AV883" t="s">
        <v>79</v>
      </c>
      <c r="AY883">
        <v>0</v>
      </c>
    </row>
    <row r="884" spans="1:52" ht="12.75">
      <c r="A884" s="2" t="str">
        <f>HYPERLINK("https://ibp.a2mac1.com/costing(costing:projects/details/8191/assembly/5388964)","Seat floor reinforcements")</f>
        <v>Seat floor reinforcements</v>
      </c>
      <c r="B884">
        <v>5388964</v>
      </c>
      <c r="D884">
        <v>5388635</v>
      </c>
      <c r="F884">
        <v>1</v>
      </c>
      <c r="G884">
        <v>0</v>
      </c>
      <c r="H884">
        <v>3.0148222150788486</v>
      </c>
      <c r="I884">
        <v>0</v>
      </c>
      <c r="J884" t="s">
        <v>90</v>
      </c>
      <c r="K884">
        <v>0</v>
      </c>
      <c r="L884">
        <v>3.0148222150788486</v>
      </c>
      <c r="M884">
        <v>0</v>
      </c>
      <c r="N884">
        <v>0</v>
      </c>
      <c r="O884">
        <v>3.0148222150788486</v>
      </c>
      <c r="P884" t="s">
        <v>90</v>
      </c>
      <c r="Q884">
        <v>0</v>
      </c>
      <c r="R884" t="s">
        <v>90</v>
      </c>
      <c r="S884">
        <v>0</v>
      </c>
      <c r="T884" t="s">
        <v>90</v>
      </c>
      <c r="U884">
        <v>0</v>
      </c>
      <c r="V884" t="s">
        <v>90</v>
      </c>
      <c r="W884">
        <v>0</v>
      </c>
      <c r="X884" t="s">
        <v>90</v>
      </c>
      <c r="Y884">
        <v>0</v>
      </c>
      <c r="Z884">
        <v>3.0148222150788486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N884" t="s">
        <v>223</v>
      </c>
      <c r="AO884" t="s">
        <v>92</v>
      </c>
      <c r="AP884">
        <v>200000</v>
      </c>
      <c r="AQ884" t="s">
        <v>92</v>
      </c>
      <c r="AS884">
        <v>10000</v>
      </c>
      <c r="AT884" t="s">
        <v>9</v>
      </c>
      <c r="AU884" t="s">
        <v>78</v>
      </c>
      <c r="AV884" t="s">
        <v>79</v>
      </c>
      <c r="AY884">
        <v>0</v>
      </c>
    </row>
    <row r="885" spans="1:52" ht="12.75">
      <c r="A885" s="2" t="str">
        <f>HYPERLINK("https://ibp.a2mac1.com/costing(costing:projects/details/8191/assembly/5389650)","Cross member")</f>
        <v>Cross member</v>
      </c>
      <c r="B885">
        <v>5389650</v>
      </c>
      <c r="D885">
        <v>5389323</v>
      </c>
      <c r="F885">
        <v>1</v>
      </c>
      <c r="G885">
        <v>0</v>
      </c>
      <c r="H885">
        <v>2.0161018545284426</v>
      </c>
      <c r="I885">
        <v>0</v>
      </c>
      <c r="J885" t="s">
        <v>90</v>
      </c>
      <c r="K885">
        <v>0</v>
      </c>
      <c r="L885">
        <v>2.0161018545284426</v>
      </c>
      <c r="M885">
        <v>0</v>
      </c>
      <c r="N885">
        <v>0</v>
      </c>
      <c r="O885">
        <v>2.0161018545284426</v>
      </c>
      <c r="P885" t="s">
        <v>90</v>
      </c>
      <c r="Q885">
        <v>0</v>
      </c>
      <c r="R885" t="s">
        <v>90</v>
      </c>
      <c r="S885">
        <v>0</v>
      </c>
      <c r="T885" t="s">
        <v>90</v>
      </c>
      <c r="U885">
        <v>0</v>
      </c>
      <c r="V885" t="s">
        <v>90</v>
      </c>
      <c r="W885">
        <v>0</v>
      </c>
      <c r="X885" t="s">
        <v>90</v>
      </c>
      <c r="Y885">
        <v>0</v>
      </c>
      <c r="Z885">
        <v>2.0161018545284426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N885" t="s">
        <v>223</v>
      </c>
      <c r="AO885" t="s">
        <v>92</v>
      </c>
      <c r="AP885">
        <v>200000</v>
      </c>
      <c r="AQ885" t="s">
        <v>92</v>
      </c>
      <c r="AS885">
        <v>10000</v>
      </c>
      <c r="AT885" t="s">
        <v>9</v>
      </c>
      <c r="AU885" t="s">
        <v>78</v>
      </c>
      <c r="AV885" t="s">
        <v>79</v>
      </c>
      <c r="AY885">
        <v>0</v>
      </c>
    </row>
    <row r="886" spans="1:52" ht="12.75">
      <c r="A886" s="2" t="str">
        <f>HYPERLINK("https://ibp.a2mac1.com/costing(costing:projects/details/8191/assembly/5389651)","Gussets")</f>
        <v>Gussets</v>
      </c>
      <c r="B886">
        <v>5389651</v>
      </c>
      <c r="D886">
        <v>5389323</v>
      </c>
      <c r="F886">
        <v>1</v>
      </c>
      <c r="G886">
        <v>0</v>
      </c>
      <c r="H886">
        <v>4.9537714730051166</v>
      </c>
      <c r="I886">
        <v>0</v>
      </c>
      <c r="J886" t="s">
        <v>90</v>
      </c>
      <c r="K886">
        <v>0</v>
      </c>
      <c r="L886">
        <v>4.9537714730051166</v>
      </c>
      <c r="M886">
        <v>0</v>
      </c>
      <c r="N886">
        <v>0</v>
      </c>
      <c r="O886">
        <v>4.9537714730051166</v>
      </c>
      <c r="P886" t="s">
        <v>90</v>
      </c>
      <c r="Q886">
        <v>0</v>
      </c>
      <c r="R886" t="s">
        <v>90</v>
      </c>
      <c r="S886">
        <v>0</v>
      </c>
      <c r="T886" t="s">
        <v>90</v>
      </c>
      <c r="U886">
        <v>0</v>
      </c>
      <c r="V886" t="s">
        <v>90</v>
      </c>
      <c r="W886">
        <v>0</v>
      </c>
      <c r="X886" t="s">
        <v>90</v>
      </c>
      <c r="Y886">
        <v>0</v>
      </c>
      <c r="Z886">
        <v>4.9537714730051166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N886" t="s">
        <v>223</v>
      </c>
      <c r="AO886" t="s">
        <v>92</v>
      </c>
      <c r="AP886">
        <v>200000</v>
      </c>
      <c r="AQ886" t="s">
        <v>92</v>
      </c>
      <c r="AS886">
        <v>10000</v>
      </c>
      <c r="AT886" t="s">
        <v>9</v>
      </c>
      <c r="AU886" t="s">
        <v>78</v>
      </c>
      <c r="AV886" t="s">
        <v>79</v>
      </c>
      <c r="AY886">
        <v>0</v>
      </c>
    </row>
    <row r="887" spans="1:52" ht="12.75">
      <c r="A887" s="2" t="str">
        <f>HYPERLINK("https://ibp.a2mac1.com/costing(costing:projects/details/8191/assembly/5389652)","Spacers")</f>
        <v>Spacers</v>
      </c>
      <c r="B887">
        <v>5389652</v>
      </c>
      <c r="D887">
        <v>5389323</v>
      </c>
      <c r="F887">
        <v>1</v>
      </c>
      <c r="G887">
        <v>0</v>
      </c>
      <c r="H887">
        <v>1.5541247165260847</v>
      </c>
      <c r="I887">
        <v>0</v>
      </c>
      <c r="J887" t="s">
        <v>90</v>
      </c>
      <c r="K887">
        <v>0</v>
      </c>
      <c r="L887">
        <v>1.5541247165260847</v>
      </c>
      <c r="M887">
        <v>0</v>
      </c>
      <c r="N887">
        <v>0</v>
      </c>
      <c r="O887">
        <v>1.5541247165260847</v>
      </c>
      <c r="P887" t="s">
        <v>90</v>
      </c>
      <c r="Q887">
        <v>0</v>
      </c>
      <c r="R887" t="s">
        <v>90</v>
      </c>
      <c r="S887">
        <v>0</v>
      </c>
      <c r="T887" t="s">
        <v>90</v>
      </c>
      <c r="U887">
        <v>0</v>
      </c>
      <c r="V887" t="s">
        <v>90</v>
      </c>
      <c r="W887">
        <v>0</v>
      </c>
      <c r="X887" t="s">
        <v>90</v>
      </c>
      <c r="Y887">
        <v>0</v>
      </c>
      <c r="Z887">
        <v>1.5541247165260847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N887" t="s">
        <v>223</v>
      </c>
      <c r="AO887" t="s">
        <v>92</v>
      </c>
      <c r="AP887">
        <v>200000</v>
      </c>
      <c r="AQ887" t="s">
        <v>92</v>
      </c>
      <c r="AS887">
        <v>10000</v>
      </c>
      <c r="AT887" t="s">
        <v>9</v>
      </c>
      <c r="AU887" t="s">
        <v>78</v>
      </c>
      <c r="AV887" t="s">
        <v>79</v>
      </c>
      <c r="AY887">
        <v>0</v>
      </c>
    </row>
    <row r="888" spans="1:52" ht="12.75">
      <c r="A888" s="2" t="str">
        <f>HYPERLINK("https://ibp.a2mac1.com/costing(costing:projects/details/8191/assembly/5389323)","Cross member 01 single main front")</f>
        <v>Cross member 01 single main front</v>
      </c>
      <c r="B888">
        <v>5389323</v>
      </c>
      <c r="D888">
        <v>5388965</v>
      </c>
      <c r="F888">
        <v>1</v>
      </c>
      <c r="G888">
        <v>0</v>
      </c>
      <c r="H888">
        <v>8.5239980440596437</v>
      </c>
      <c r="I888">
        <v>0</v>
      </c>
      <c r="J888" t="s">
        <v>90</v>
      </c>
      <c r="K888">
        <v>0</v>
      </c>
      <c r="L888">
        <v>8.5239980440596437</v>
      </c>
      <c r="M888">
        <v>0</v>
      </c>
      <c r="N888">
        <v>0</v>
      </c>
      <c r="O888">
        <v>8.5239980440596437</v>
      </c>
      <c r="P888" t="s">
        <v>90</v>
      </c>
      <c r="Q888">
        <v>0</v>
      </c>
      <c r="R888" t="s">
        <v>90</v>
      </c>
      <c r="S888">
        <v>0</v>
      </c>
      <c r="T888" t="s">
        <v>90</v>
      </c>
      <c r="U888">
        <v>0</v>
      </c>
      <c r="V888" t="s">
        <v>90</v>
      </c>
      <c r="W888">
        <v>0</v>
      </c>
      <c r="X888" t="s">
        <v>90</v>
      </c>
      <c r="Y888">
        <v>0</v>
      </c>
      <c r="Z888">
        <v>8.5239980440596437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N888" t="s">
        <v>223</v>
      </c>
      <c r="AO888" t="s">
        <v>92</v>
      </c>
      <c r="AP888">
        <v>200000</v>
      </c>
      <c r="AQ888" t="s">
        <v>92</v>
      </c>
      <c r="AS888">
        <v>10000</v>
      </c>
      <c r="AT888" t="s">
        <v>9</v>
      </c>
      <c r="AU888" t="s">
        <v>78</v>
      </c>
      <c r="AV888" t="s">
        <v>79</v>
      </c>
      <c r="AY888">
        <v>0</v>
      </c>
    </row>
    <row r="889" spans="1:52" ht="12.75">
      <c r="A889" s="2" t="str">
        <f>HYPERLINK("https://ibp.a2mac1.com/costing(costing:projects/details/8191/assembly/5389653)","Cross member")</f>
        <v>Cross member</v>
      </c>
      <c r="B889">
        <v>5389653</v>
      </c>
      <c r="D889">
        <v>5389324</v>
      </c>
      <c r="F889">
        <v>1</v>
      </c>
      <c r="G889">
        <v>0</v>
      </c>
      <c r="H889">
        <v>2.0137187673629979</v>
      </c>
      <c r="I889">
        <v>0</v>
      </c>
      <c r="J889" t="s">
        <v>90</v>
      </c>
      <c r="K889">
        <v>0</v>
      </c>
      <c r="L889">
        <v>2.0137187673629979</v>
      </c>
      <c r="M889">
        <v>0</v>
      </c>
      <c r="N889">
        <v>0</v>
      </c>
      <c r="O889">
        <v>2.0137187673629979</v>
      </c>
      <c r="P889" t="s">
        <v>90</v>
      </c>
      <c r="Q889">
        <v>0</v>
      </c>
      <c r="R889" t="s">
        <v>90</v>
      </c>
      <c r="S889">
        <v>0</v>
      </c>
      <c r="T889" t="s">
        <v>90</v>
      </c>
      <c r="U889">
        <v>0</v>
      </c>
      <c r="V889" t="s">
        <v>90</v>
      </c>
      <c r="W889">
        <v>0</v>
      </c>
      <c r="X889" t="s">
        <v>90</v>
      </c>
      <c r="Y889">
        <v>0</v>
      </c>
      <c r="Z889">
        <v>2.0137187673629979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N889" t="s">
        <v>223</v>
      </c>
      <c r="AO889" t="s">
        <v>92</v>
      </c>
      <c r="AP889">
        <v>200000</v>
      </c>
      <c r="AQ889" t="s">
        <v>92</v>
      </c>
      <c r="AS889">
        <v>10000</v>
      </c>
      <c r="AT889" t="s">
        <v>9</v>
      </c>
      <c r="AU889" t="s">
        <v>78</v>
      </c>
      <c r="AV889" t="s">
        <v>79</v>
      </c>
      <c r="AY889">
        <v>0</v>
      </c>
    </row>
    <row r="890" spans="1:52" ht="12.75">
      <c r="A890" s="2" t="str">
        <f>HYPERLINK("https://ibp.a2mac1.com/costing(costing:projects/details/8191/assembly/5389654)","Gussets")</f>
        <v>Gussets</v>
      </c>
      <c r="B890">
        <v>5389654</v>
      </c>
      <c r="D890">
        <v>5389324</v>
      </c>
      <c r="F890">
        <v>1</v>
      </c>
      <c r="G890">
        <v>0</v>
      </c>
      <c r="H890">
        <v>0.47026482648344958</v>
      </c>
      <c r="I890">
        <v>0</v>
      </c>
      <c r="J890" t="s">
        <v>90</v>
      </c>
      <c r="K890">
        <v>0</v>
      </c>
      <c r="L890">
        <v>0.47026482648344958</v>
      </c>
      <c r="M890">
        <v>0</v>
      </c>
      <c r="N890">
        <v>0</v>
      </c>
      <c r="O890">
        <v>0.47026482648344958</v>
      </c>
      <c r="P890" t="s">
        <v>90</v>
      </c>
      <c r="Q890">
        <v>0</v>
      </c>
      <c r="R890" t="s">
        <v>90</v>
      </c>
      <c r="S890">
        <v>0</v>
      </c>
      <c r="T890" t="s">
        <v>90</v>
      </c>
      <c r="U890">
        <v>0</v>
      </c>
      <c r="V890" t="s">
        <v>90</v>
      </c>
      <c r="W890">
        <v>0</v>
      </c>
      <c r="X890" t="s">
        <v>90</v>
      </c>
      <c r="Y890">
        <v>0</v>
      </c>
      <c r="Z890">
        <v>0.47026482648344958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N890" t="s">
        <v>223</v>
      </c>
      <c r="AO890" t="s">
        <v>92</v>
      </c>
      <c r="AP890">
        <v>200000</v>
      </c>
      <c r="AQ890" t="s">
        <v>92</v>
      </c>
      <c r="AS890">
        <v>10000</v>
      </c>
      <c r="AT890" t="s">
        <v>9</v>
      </c>
      <c r="AU890" t="s">
        <v>78</v>
      </c>
      <c r="AV890" t="s">
        <v>79</v>
      </c>
      <c r="AY890">
        <v>0</v>
      </c>
    </row>
    <row r="891" spans="1:52" ht="12.75">
      <c r="A891" s="2" t="str">
        <f>HYPERLINK("https://ibp.a2mac1.com/costing(costing:projects/details/8191/assembly/5389655)","Fixing parts")</f>
        <v>Fixing parts</v>
      </c>
      <c r="B891">
        <v>5389655</v>
      </c>
      <c r="D891">
        <v>5389324</v>
      </c>
      <c r="F891">
        <v>1</v>
      </c>
      <c r="G891">
        <v>0</v>
      </c>
      <c r="H891">
        <v>3.344015242129752</v>
      </c>
      <c r="I891">
        <v>0</v>
      </c>
      <c r="J891" t="s">
        <v>90</v>
      </c>
      <c r="K891">
        <v>0</v>
      </c>
      <c r="L891">
        <v>3.344015242129752</v>
      </c>
      <c r="M891">
        <v>0</v>
      </c>
      <c r="N891">
        <v>0</v>
      </c>
      <c r="O891">
        <v>3.344015242129752</v>
      </c>
      <c r="P891" t="s">
        <v>90</v>
      </c>
      <c r="Q891">
        <v>0</v>
      </c>
      <c r="R891" t="s">
        <v>90</v>
      </c>
      <c r="S891">
        <v>0</v>
      </c>
      <c r="T891" t="s">
        <v>90</v>
      </c>
      <c r="U891">
        <v>0</v>
      </c>
      <c r="V891" t="s">
        <v>90</v>
      </c>
      <c r="W891">
        <v>0</v>
      </c>
      <c r="X891" t="s">
        <v>90</v>
      </c>
      <c r="Y891">
        <v>0</v>
      </c>
      <c r="Z891">
        <v>3.344015242129752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N891" t="s">
        <v>223</v>
      </c>
      <c r="AO891" t="s">
        <v>92</v>
      </c>
      <c r="AP891">
        <v>200000</v>
      </c>
      <c r="AQ891" t="s">
        <v>92</v>
      </c>
      <c r="AS891">
        <v>10000</v>
      </c>
      <c r="AT891" t="s">
        <v>9</v>
      </c>
      <c r="AU891" t="s">
        <v>78</v>
      </c>
      <c r="AV891" t="s">
        <v>79</v>
      </c>
      <c r="AY891">
        <v>0</v>
      </c>
    </row>
    <row r="892" spans="1:52" ht="12.75">
      <c r="A892" s="2" t="str">
        <f>HYPERLINK("https://ibp.a2mac1.com/costing(costing:projects/details/8191/assembly/5389324)","Cross member 02")</f>
        <v>Cross member 02</v>
      </c>
      <c r="B892">
        <v>5389324</v>
      </c>
      <c r="D892">
        <v>5388965</v>
      </c>
      <c r="F892">
        <v>1</v>
      </c>
      <c r="G892">
        <v>0</v>
      </c>
      <c r="H892">
        <v>5.8279988359761994</v>
      </c>
      <c r="I892">
        <v>0</v>
      </c>
      <c r="J892" t="s">
        <v>90</v>
      </c>
      <c r="K892">
        <v>0</v>
      </c>
      <c r="L892">
        <v>5.8279988359761994</v>
      </c>
      <c r="M892">
        <v>0</v>
      </c>
      <c r="N892">
        <v>0</v>
      </c>
      <c r="O892">
        <v>5.8279988359761994</v>
      </c>
      <c r="P892" t="s">
        <v>90</v>
      </c>
      <c r="Q892">
        <v>0</v>
      </c>
      <c r="R892" t="s">
        <v>90</v>
      </c>
      <c r="S892">
        <v>0</v>
      </c>
      <c r="T892" t="s">
        <v>90</v>
      </c>
      <c r="U892">
        <v>0</v>
      </c>
      <c r="V892" t="s">
        <v>90</v>
      </c>
      <c r="W892">
        <v>0</v>
      </c>
      <c r="X892" t="s">
        <v>90</v>
      </c>
      <c r="Y892">
        <v>0</v>
      </c>
      <c r="Z892">
        <v>5.8279988359761994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N892" t="s">
        <v>223</v>
      </c>
      <c r="AO892" t="s">
        <v>92</v>
      </c>
      <c r="AP892">
        <v>200000</v>
      </c>
      <c r="AQ892" t="s">
        <v>92</v>
      </c>
      <c r="AS892">
        <v>10000</v>
      </c>
      <c r="AT892" t="s">
        <v>9</v>
      </c>
      <c r="AU892" t="s">
        <v>78</v>
      </c>
      <c r="AV892" t="s">
        <v>79</v>
      </c>
      <c r="AY892">
        <v>0</v>
      </c>
    </row>
    <row r="893" spans="1:52" ht="12.75">
      <c r="A893" s="2" t="str">
        <f>HYPERLINK("https://ibp.a2mac1.com/costing(costing:projects/details/8191/assembly/5389656)","Cross member")</f>
        <v>Cross member</v>
      </c>
      <c r="B893">
        <v>5389656</v>
      </c>
      <c r="D893">
        <v>5389325</v>
      </c>
      <c r="F893">
        <v>1</v>
      </c>
      <c r="G893">
        <v>0</v>
      </c>
      <c r="H893">
        <v>0.95483871906720719</v>
      </c>
      <c r="I893">
        <v>0</v>
      </c>
      <c r="J893" t="s">
        <v>90</v>
      </c>
      <c r="K893">
        <v>0</v>
      </c>
      <c r="L893">
        <v>0.95483871906720719</v>
      </c>
      <c r="M893">
        <v>0</v>
      </c>
      <c r="N893">
        <v>0</v>
      </c>
      <c r="O893">
        <v>0.95483871906720719</v>
      </c>
      <c r="P893" t="s">
        <v>90</v>
      </c>
      <c r="Q893">
        <v>0</v>
      </c>
      <c r="R893" t="s">
        <v>90</v>
      </c>
      <c r="S893">
        <v>0</v>
      </c>
      <c r="T893" t="s">
        <v>90</v>
      </c>
      <c r="U893">
        <v>0</v>
      </c>
      <c r="V893" t="s">
        <v>90</v>
      </c>
      <c r="W893">
        <v>0</v>
      </c>
      <c r="X893" t="s">
        <v>90</v>
      </c>
      <c r="Y893">
        <v>0</v>
      </c>
      <c r="Z893">
        <v>0.95483871906720719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N893" t="s">
        <v>223</v>
      </c>
      <c r="AO893" t="s">
        <v>92</v>
      </c>
      <c r="AP893">
        <v>200000</v>
      </c>
      <c r="AQ893" t="s">
        <v>92</v>
      </c>
      <c r="AS893">
        <v>10000</v>
      </c>
      <c r="AT893" t="s">
        <v>9</v>
      </c>
      <c r="AU893" t="s">
        <v>78</v>
      </c>
      <c r="AV893" t="s">
        <v>79</v>
      </c>
      <c r="AY893">
        <v>0</v>
      </c>
    </row>
    <row r="894" spans="1:52" ht="12.75">
      <c r="A894" s="2" t="str">
        <f>HYPERLINK("https://ibp.a2mac1.com/costing(costing:projects/details/8191/assembly/5389657)","Gussets")</f>
        <v>Gussets</v>
      </c>
      <c r="B894">
        <v>5389657</v>
      </c>
      <c r="D894">
        <v>5389325</v>
      </c>
      <c r="F894">
        <v>1</v>
      </c>
      <c r="G894">
        <v>0</v>
      </c>
      <c r="H894">
        <v>0.36643249537557571</v>
      </c>
      <c r="I894">
        <v>0</v>
      </c>
      <c r="J894" t="s">
        <v>90</v>
      </c>
      <c r="K894">
        <v>0</v>
      </c>
      <c r="L894">
        <v>0.36643249537557571</v>
      </c>
      <c r="M894">
        <v>0</v>
      </c>
      <c r="N894">
        <v>0</v>
      </c>
      <c r="O894">
        <v>0.36643249537557571</v>
      </c>
      <c r="P894" t="s">
        <v>90</v>
      </c>
      <c r="Q894">
        <v>0</v>
      </c>
      <c r="R894" t="s">
        <v>90</v>
      </c>
      <c r="S894">
        <v>0</v>
      </c>
      <c r="T894" t="s">
        <v>90</v>
      </c>
      <c r="U894">
        <v>0</v>
      </c>
      <c r="V894" t="s">
        <v>90</v>
      </c>
      <c r="W894">
        <v>0</v>
      </c>
      <c r="X894" t="s">
        <v>90</v>
      </c>
      <c r="Y894">
        <v>0</v>
      </c>
      <c r="Z894">
        <v>0.36643249537557571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N894" t="s">
        <v>223</v>
      </c>
      <c r="AO894" t="s">
        <v>92</v>
      </c>
      <c r="AP894">
        <v>200000</v>
      </c>
      <c r="AQ894" t="s">
        <v>92</v>
      </c>
      <c r="AS894">
        <v>10000</v>
      </c>
      <c r="AT894" t="s">
        <v>9</v>
      </c>
      <c r="AU894" t="s">
        <v>78</v>
      </c>
      <c r="AV894" t="s">
        <v>79</v>
      </c>
      <c r="AY894">
        <v>0</v>
      </c>
    </row>
    <row r="895" spans="1:52" ht="12.75">
      <c r="A895" s="2" t="str">
        <f>HYPERLINK("https://ibp.a2mac1.com/costing(costing:projects/details/8191/assembly/5389325)","Cross member 03")</f>
        <v>Cross member 03</v>
      </c>
      <c r="B895">
        <v>5389325</v>
      </c>
      <c r="D895">
        <v>5388965</v>
      </c>
      <c r="F895">
        <v>1</v>
      </c>
      <c r="G895">
        <v>0</v>
      </c>
      <c r="H895">
        <v>1.3212712144427829</v>
      </c>
      <c r="I895">
        <v>0</v>
      </c>
      <c r="J895" t="s">
        <v>90</v>
      </c>
      <c r="K895">
        <v>0</v>
      </c>
      <c r="L895">
        <v>1.3212712144427829</v>
      </c>
      <c r="M895">
        <v>0</v>
      </c>
      <c r="N895">
        <v>0</v>
      </c>
      <c r="O895">
        <v>1.3212712144427829</v>
      </c>
      <c r="P895" t="s">
        <v>90</v>
      </c>
      <c r="Q895">
        <v>0</v>
      </c>
      <c r="R895" t="s">
        <v>90</v>
      </c>
      <c r="S895">
        <v>0</v>
      </c>
      <c r="T895" t="s">
        <v>90</v>
      </c>
      <c r="U895">
        <v>0</v>
      </c>
      <c r="V895" t="s">
        <v>90</v>
      </c>
      <c r="W895">
        <v>0</v>
      </c>
      <c r="X895" t="s">
        <v>90</v>
      </c>
      <c r="Y895">
        <v>0</v>
      </c>
      <c r="Z895">
        <v>1.3212712144427829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N895" t="s">
        <v>223</v>
      </c>
      <c r="AO895" t="s">
        <v>92</v>
      </c>
      <c r="AP895">
        <v>200000</v>
      </c>
      <c r="AQ895" t="s">
        <v>92</v>
      </c>
      <c r="AS895">
        <v>10000</v>
      </c>
      <c r="AT895" t="s">
        <v>9</v>
      </c>
      <c r="AU895" t="s">
        <v>78</v>
      </c>
      <c r="AV895" t="s">
        <v>79</v>
      </c>
      <c r="AY895">
        <v>0</v>
      </c>
    </row>
    <row r="896" spans="1:52" ht="12.75">
      <c r="A896" s="2" t="str">
        <f>HYPERLINK("https://ibp.a2mac1.com/costing(costing:projects/details/8191/assembly/5388965)","Load floor reinforcements")</f>
        <v>Load floor reinforcements</v>
      </c>
      <c r="B896">
        <v>5388965</v>
      </c>
      <c r="D896">
        <v>5388635</v>
      </c>
      <c r="F896">
        <v>1</v>
      </c>
      <c r="G896">
        <v>0</v>
      </c>
      <c r="H896">
        <v>15.673268094478626</v>
      </c>
      <c r="I896">
        <v>0</v>
      </c>
      <c r="J896" t="s">
        <v>90</v>
      </c>
      <c r="K896">
        <v>0</v>
      </c>
      <c r="L896">
        <v>15.673268094478626</v>
      </c>
      <c r="M896">
        <v>0</v>
      </c>
      <c r="N896">
        <v>0</v>
      </c>
      <c r="O896">
        <v>15.673268094478626</v>
      </c>
      <c r="P896" t="s">
        <v>90</v>
      </c>
      <c r="Q896">
        <v>0</v>
      </c>
      <c r="R896" t="s">
        <v>90</v>
      </c>
      <c r="S896">
        <v>0</v>
      </c>
      <c r="T896" t="s">
        <v>90</v>
      </c>
      <c r="U896">
        <v>0</v>
      </c>
      <c r="V896" t="s">
        <v>90</v>
      </c>
      <c r="W896">
        <v>0</v>
      </c>
      <c r="X896" t="s">
        <v>90</v>
      </c>
      <c r="Y896">
        <v>0</v>
      </c>
      <c r="Z896">
        <v>15.673268094478626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N896" t="s">
        <v>223</v>
      </c>
      <c r="AO896" t="s">
        <v>92</v>
      </c>
      <c r="AP896">
        <v>200000</v>
      </c>
      <c r="AQ896" t="s">
        <v>92</v>
      </c>
      <c r="AS896">
        <v>10000</v>
      </c>
      <c r="AT896" t="s">
        <v>9</v>
      </c>
      <c r="AU896" t="s">
        <v>78</v>
      </c>
      <c r="AV896" t="s">
        <v>79</v>
      </c>
      <c r="AY896">
        <v>0</v>
      </c>
    </row>
    <row r="897" spans="1:52" ht="12.75">
      <c r="A897" s="2" t="str">
        <f>HYPERLINK("https://ibp.a2mac1.com/costing(costing:projects/details/8191/assembly/5388635)","Rear unit")</f>
        <v>Rear unit</v>
      </c>
      <c r="B897">
        <v>5388635</v>
      </c>
      <c r="D897">
        <v>5388293</v>
      </c>
      <c r="F897">
        <v>1</v>
      </c>
      <c r="G897">
        <v>0</v>
      </c>
      <c r="H897">
        <v>115.86122039884069</v>
      </c>
      <c r="I897">
        <v>0</v>
      </c>
      <c r="J897" t="s">
        <v>90</v>
      </c>
      <c r="K897">
        <v>0</v>
      </c>
      <c r="L897">
        <v>115.86122039884069</v>
      </c>
      <c r="M897">
        <v>0</v>
      </c>
      <c r="N897">
        <v>0</v>
      </c>
      <c r="O897">
        <v>115.86122039884069</v>
      </c>
      <c r="P897" t="s">
        <v>90</v>
      </c>
      <c r="Q897">
        <v>0</v>
      </c>
      <c r="R897" t="s">
        <v>90</v>
      </c>
      <c r="S897">
        <v>0</v>
      </c>
      <c r="T897" t="s">
        <v>90</v>
      </c>
      <c r="U897">
        <v>0</v>
      </c>
      <c r="V897" t="s">
        <v>90</v>
      </c>
      <c r="W897">
        <v>0</v>
      </c>
      <c r="X897" t="s">
        <v>90</v>
      </c>
      <c r="Y897">
        <v>0</v>
      </c>
      <c r="Z897">
        <v>115.86122039884069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N897" t="s">
        <v>223</v>
      </c>
      <c r="AO897" t="s">
        <v>92</v>
      </c>
      <c r="AP897">
        <v>200000</v>
      </c>
      <c r="AQ897" t="s">
        <v>92</v>
      </c>
      <c r="AS897">
        <v>10000</v>
      </c>
      <c r="AT897" t="s">
        <v>9</v>
      </c>
      <c r="AU897" t="s">
        <v>78</v>
      </c>
      <c r="AV897" t="s">
        <v>79</v>
      </c>
      <c r="AY897">
        <v>0</v>
      </c>
    </row>
    <row r="898" spans="1:52" ht="12.75">
      <c r="A898" s="2" t="str">
        <f>HYPERLINK("https://ibp.a2mac1.com/costing(costing:projects/details/8191/assembly/5388293)","Underbody")</f>
        <v>Underbody</v>
      </c>
      <c r="B898">
        <v>5388293</v>
      </c>
      <c r="D898">
        <v>5388155</v>
      </c>
      <c r="F898">
        <v>1</v>
      </c>
      <c r="G898">
        <v>0</v>
      </c>
      <c r="H898">
        <v>566.78415847296026</v>
      </c>
      <c r="I898">
        <v>0</v>
      </c>
      <c r="J898" t="s">
        <v>90</v>
      </c>
      <c r="K898">
        <v>0</v>
      </c>
      <c r="L898">
        <v>566.78415847296026</v>
      </c>
      <c r="M898">
        <v>0</v>
      </c>
      <c r="N898">
        <v>0</v>
      </c>
      <c r="O898">
        <v>566.78415847296026</v>
      </c>
      <c r="P898" t="s">
        <v>90</v>
      </c>
      <c r="Q898">
        <v>0</v>
      </c>
      <c r="R898" t="s">
        <v>90</v>
      </c>
      <c r="S898">
        <v>0</v>
      </c>
      <c r="T898" t="s">
        <v>90</v>
      </c>
      <c r="U898">
        <v>0</v>
      </c>
      <c r="V898" t="s">
        <v>90</v>
      </c>
      <c r="W898">
        <v>0</v>
      </c>
      <c r="X898" t="s">
        <v>90</v>
      </c>
      <c r="Y898">
        <v>0</v>
      </c>
      <c r="Z898">
        <v>566.78415847296026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N898" t="s">
        <v>223</v>
      </c>
      <c r="AO898" t="s">
        <v>92</v>
      </c>
      <c r="AP898">
        <v>200000</v>
      </c>
      <c r="AQ898" t="s">
        <v>92</v>
      </c>
      <c r="AS898">
        <v>10000</v>
      </c>
      <c r="AT898" t="s">
        <v>9</v>
      </c>
      <c r="AU898" t="s">
        <v>78</v>
      </c>
      <c r="AV898" t="s">
        <v>79</v>
      </c>
      <c r="AY898">
        <v>0</v>
      </c>
    </row>
    <row r="899" spans="1:52" ht="12.75">
      <c r="A899" s="2" t="str">
        <f>HYPERLINK("https://ibp.a2mac1.com/costing(costing:projects/details/8191/assembly/5388155)","Body In White (With Paint)")</f>
        <v>Body In White (With Paint)</v>
      </c>
      <c r="B899">
        <v>5388155</v>
      </c>
      <c r="D899">
        <v>5388128</v>
      </c>
      <c r="F899">
        <v>1</v>
      </c>
      <c r="G899">
        <v>0</v>
      </c>
      <c r="H899">
        <v>850.26382240494536</v>
      </c>
      <c r="I899">
        <v>4.2726825246479665</v>
      </c>
      <c r="J899" t="s">
        <v>137</v>
      </c>
      <c r="K899">
        <v>29.759233784173084</v>
      </c>
      <c r="L899">
        <v>884.29573871376635</v>
      </c>
      <c r="M899">
        <v>0</v>
      </c>
      <c r="N899">
        <v>401.65535409873684</v>
      </c>
      <c r="O899">
        <v>1285.9510928125032</v>
      </c>
      <c r="P899" t="s">
        <v>90</v>
      </c>
      <c r="Q899">
        <v>0</v>
      </c>
      <c r="R899" t="s">
        <v>90</v>
      </c>
      <c r="S899">
        <v>0</v>
      </c>
      <c r="T899" t="s">
        <v>90</v>
      </c>
      <c r="U899">
        <v>0</v>
      </c>
      <c r="V899" t="s">
        <v>90</v>
      </c>
      <c r="W899">
        <v>0</v>
      </c>
      <c r="X899" t="s">
        <v>90</v>
      </c>
      <c r="Y899">
        <v>0</v>
      </c>
      <c r="Z899">
        <v>1285.9510928125032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N899" t="s">
        <v>7189</v>
      </c>
      <c r="AO899" t="s">
        <v>92</v>
      </c>
      <c r="AP899">
        <v>200000</v>
      </c>
      <c r="AQ899" t="s">
        <v>92</v>
      </c>
      <c r="AS899">
        <v>10000</v>
      </c>
      <c r="AT899" t="s">
        <v>9</v>
      </c>
      <c r="AU899" t="s">
        <v>78</v>
      </c>
      <c r="AV899" t="s">
        <v>79</v>
      </c>
      <c r="AY899">
        <v>0</v>
      </c>
    </row>
    <row r="900" spans="1:52" ht="12.75">
      <c r="A900" s="2" t="str">
        <f>HYPERLINK("https://ibp.a2mac1.com/costing(costing:projects/details/8191/assembly/5388128)","Frame")</f>
        <v>Frame</v>
      </c>
      <c r="B900">
        <v>5388128</v>
      </c>
      <c r="D900">
        <v>5388126</v>
      </c>
      <c r="F900">
        <v>1</v>
      </c>
      <c r="G900">
        <v>0</v>
      </c>
      <c r="H900">
        <v>1514.9254597038239</v>
      </c>
      <c r="I900">
        <v>0</v>
      </c>
      <c r="J900" t="s">
        <v>90</v>
      </c>
      <c r="K900">
        <v>0</v>
      </c>
      <c r="L900">
        <v>1514.9254597038239</v>
      </c>
      <c r="M900">
        <v>0</v>
      </c>
      <c r="N900">
        <v>0</v>
      </c>
      <c r="O900">
        <v>1514.9254597038239</v>
      </c>
      <c r="P900" t="s">
        <v>90</v>
      </c>
      <c r="Q900">
        <v>0</v>
      </c>
      <c r="R900" t="s">
        <v>90</v>
      </c>
      <c r="S900">
        <v>0</v>
      </c>
      <c r="T900" t="s">
        <v>90</v>
      </c>
      <c r="U900">
        <v>0</v>
      </c>
      <c r="V900" t="s">
        <v>90</v>
      </c>
      <c r="W900">
        <v>0</v>
      </c>
      <c r="X900" t="s">
        <v>90</v>
      </c>
      <c r="Y900">
        <v>0</v>
      </c>
      <c r="Z900">
        <v>1514.9254597038239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L900">
        <v>523.70799999999997</v>
      </c>
      <c r="AN900" t="s">
        <v>223</v>
      </c>
      <c r="AO900" t="s">
        <v>92</v>
      </c>
      <c r="AP900">
        <v>200000</v>
      </c>
      <c r="AQ900" t="s">
        <v>92</v>
      </c>
      <c r="AS900">
        <v>10000</v>
      </c>
      <c r="AT900" t="s">
        <v>7199</v>
      </c>
      <c r="AU900" t="s">
        <v>78</v>
      </c>
      <c r="AV900" t="s">
        <v>79</v>
      </c>
      <c r="AY900">
        <v>0</v>
      </c>
    </row>
    <row r="901" spans="1:52" ht="12.75">
      <c r="A901" s="2" t="str">
        <f>HYPERLINK("https://ibp.a2mac1.com/costing(costing:projects/details/8191/assembly/5388636)","Panel")</f>
        <v>Panel</v>
      </c>
      <c r="B901">
        <v>5388636</v>
      </c>
      <c r="D901">
        <v>5388300</v>
      </c>
      <c r="F901">
        <v>1</v>
      </c>
      <c r="G901">
        <v>0</v>
      </c>
      <c r="H901">
        <v>3.9451450078402304</v>
      </c>
      <c r="I901">
        <v>0</v>
      </c>
      <c r="J901" t="s">
        <v>90</v>
      </c>
      <c r="K901">
        <v>0</v>
      </c>
      <c r="L901">
        <v>3.9451450078402304</v>
      </c>
      <c r="M901">
        <v>0</v>
      </c>
      <c r="N901">
        <v>0</v>
      </c>
      <c r="O901">
        <v>3.9451450078402304</v>
      </c>
      <c r="P901" t="s">
        <v>90</v>
      </c>
      <c r="Q901">
        <v>0</v>
      </c>
      <c r="R901" t="s">
        <v>90</v>
      </c>
      <c r="S901">
        <v>0</v>
      </c>
      <c r="T901" t="s">
        <v>90</v>
      </c>
      <c r="U901">
        <v>0</v>
      </c>
      <c r="V901" t="s">
        <v>90</v>
      </c>
      <c r="W901">
        <v>0</v>
      </c>
      <c r="X901" t="s">
        <v>90</v>
      </c>
      <c r="Y901">
        <v>0</v>
      </c>
      <c r="Z901">
        <v>3.9451450078402304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N901" t="s">
        <v>223</v>
      </c>
      <c r="AO901" t="s">
        <v>92</v>
      </c>
      <c r="AP901">
        <v>200000</v>
      </c>
      <c r="AQ901" t="s">
        <v>76</v>
      </c>
      <c r="AR901">
        <v>0</v>
      </c>
      <c r="AS901">
        <v>10000</v>
      </c>
      <c r="AT901" t="s">
        <v>9</v>
      </c>
      <c r="AU901" t="s">
        <v>78</v>
      </c>
      <c r="AV901" t="s">
        <v>79</v>
      </c>
      <c r="AY901">
        <v>0</v>
      </c>
    </row>
    <row r="902" spans="1:52" ht="12.75">
      <c r="A902" s="2" t="str">
        <f>HYPERLINK("https://ibp.a2mac1.com/costing(costing:projects/details/8191/assembly/5388637)","Brackets")</f>
        <v>Brackets</v>
      </c>
      <c r="B902">
        <v>5388637</v>
      </c>
      <c r="D902">
        <v>5388300</v>
      </c>
      <c r="F902">
        <v>1</v>
      </c>
      <c r="G902">
        <v>0</v>
      </c>
      <c r="H902">
        <v>1.4492960921467777</v>
      </c>
      <c r="I902">
        <v>0</v>
      </c>
      <c r="J902" t="s">
        <v>90</v>
      </c>
      <c r="K902">
        <v>0</v>
      </c>
      <c r="L902">
        <v>1.4492960921467777</v>
      </c>
      <c r="M902">
        <v>0</v>
      </c>
      <c r="N902">
        <v>0</v>
      </c>
      <c r="O902">
        <v>1.4492960921467777</v>
      </c>
      <c r="P902" t="s">
        <v>90</v>
      </c>
      <c r="Q902">
        <v>0</v>
      </c>
      <c r="R902" t="s">
        <v>90</v>
      </c>
      <c r="S902">
        <v>0</v>
      </c>
      <c r="T902" t="s">
        <v>90</v>
      </c>
      <c r="U902">
        <v>0</v>
      </c>
      <c r="V902" t="s">
        <v>90</v>
      </c>
      <c r="W902">
        <v>0</v>
      </c>
      <c r="X902" t="s">
        <v>90</v>
      </c>
      <c r="Y902">
        <v>0</v>
      </c>
      <c r="Z902">
        <v>1.4492960921467777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N902" t="s">
        <v>223</v>
      </c>
      <c r="AO902" t="s">
        <v>92</v>
      </c>
      <c r="AP902">
        <v>200000</v>
      </c>
      <c r="AQ902" t="s">
        <v>76</v>
      </c>
      <c r="AR902">
        <v>0</v>
      </c>
      <c r="AS902">
        <v>10000</v>
      </c>
      <c r="AT902" t="s">
        <v>9</v>
      </c>
      <c r="AU902" t="s">
        <v>78</v>
      </c>
      <c r="AV902" t="s">
        <v>79</v>
      </c>
      <c r="AY902">
        <v>0</v>
      </c>
    </row>
    <row r="903" spans="1:52" ht="12.75">
      <c r="A903" s="2" t="str">
        <f>HYPERLINK("https://ibp.a2mac1.com/costing(costing:projects/details/8191/assembly/5388300)","Fender")</f>
        <v>Fender</v>
      </c>
      <c r="B903">
        <v>5388300</v>
      </c>
      <c r="D903">
        <v>5388156</v>
      </c>
      <c r="F903">
        <v>1</v>
      </c>
      <c r="G903">
        <v>0</v>
      </c>
      <c r="H903">
        <v>5.3944410999870076</v>
      </c>
      <c r="I903">
        <v>0.027107744221040241</v>
      </c>
      <c r="J903" t="s">
        <v>137</v>
      </c>
      <c r="K903">
        <v>0.18880543849954529</v>
      </c>
      <c r="L903">
        <v>5.6103542827075934</v>
      </c>
      <c r="M903">
        <v>0</v>
      </c>
      <c r="N903">
        <v>0</v>
      </c>
      <c r="O903">
        <v>5.6103542827075934</v>
      </c>
      <c r="P903" t="s">
        <v>90</v>
      </c>
      <c r="Q903">
        <v>0</v>
      </c>
      <c r="R903" t="s">
        <v>90</v>
      </c>
      <c r="S903">
        <v>0</v>
      </c>
      <c r="T903" t="s">
        <v>90</v>
      </c>
      <c r="U903">
        <v>0</v>
      </c>
      <c r="V903" t="s">
        <v>90</v>
      </c>
      <c r="W903">
        <v>0</v>
      </c>
      <c r="X903" t="s">
        <v>90</v>
      </c>
      <c r="Y903">
        <v>0</v>
      </c>
      <c r="Z903">
        <v>5.6103542827075934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N903" t="s">
        <v>7220</v>
      </c>
      <c r="AO903" t="s">
        <v>92</v>
      </c>
      <c r="AP903">
        <v>200000</v>
      </c>
      <c r="AQ903" t="s">
        <v>92</v>
      </c>
      <c r="AR903">
        <v>0</v>
      </c>
      <c r="AS903">
        <v>10000</v>
      </c>
      <c r="AT903" t="s">
        <v>7221</v>
      </c>
      <c r="AU903" t="s">
        <v>78</v>
      </c>
      <c r="AV903" t="s">
        <v>79</v>
      </c>
      <c r="AY903">
        <v>0</v>
      </c>
    </row>
    <row r="904" spans="1:52" ht="12.75">
      <c r="A904" s="2" t="str">
        <f>HYPERLINK("https://ibp.a2mac1.com/costing(costing:projects/details/8191/assembly/5388301)","Fastners")</f>
        <v>Fastners</v>
      </c>
      <c r="B904">
        <v>5388301</v>
      </c>
      <c r="D904">
        <v>5388156</v>
      </c>
      <c r="F904">
        <v>1</v>
      </c>
      <c r="G904">
        <v>0</v>
      </c>
      <c r="H904">
        <v>0.38</v>
      </c>
      <c r="I904">
        <v>0</v>
      </c>
      <c r="J904" t="s">
        <v>90</v>
      </c>
      <c r="K904">
        <v>0</v>
      </c>
      <c r="L904">
        <v>0.38</v>
      </c>
      <c r="M904">
        <v>0</v>
      </c>
      <c r="N904">
        <v>0</v>
      </c>
      <c r="O904">
        <v>0.38</v>
      </c>
      <c r="P904" t="s">
        <v>90</v>
      </c>
      <c r="Q904">
        <v>0</v>
      </c>
      <c r="R904" t="s">
        <v>90</v>
      </c>
      <c r="S904">
        <v>0</v>
      </c>
      <c r="T904" t="s">
        <v>90</v>
      </c>
      <c r="U904">
        <v>0</v>
      </c>
      <c r="V904" t="s">
        <v>90</v>
      </c>
      <c r="W904">
        <v>0</v>
      </c>
      <c r="X904" t="s">
        <v>90</v>
      </c>
      <c r="Y904">
        <v>0</v>
      </c>
      <c r="Z904">
        <v>0.38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N904" t="s">
        <v>223</v>
      </c>
      <c r="AO904" t="s">
        <v>92</v>
      </c>
      <c r="AP904">
        <v>200000</v>
      </c>
      <c r="AQ904" t="s">
        <v>76</v>
      </c>
      <c r="AR904">
        <v>0</v>
      </c>
      <c r="AS904">
        <v>10000</v>
      </c>
      <c r="AT904" t="s">
        <v>9</v>
      </c>
      <c r="AU904" t="s">
        <v>78</v>
      </c>
      <c r="AV904" t="s">
        <v>79</v>
      </c>
      <c r="AY904">
        <v>0</v>
      </c>
    </row>
    <row r="905" spans="1:52" ht="12.75">
      <c r="A905" s="2" t="str">
        <f>HYPERLINK("https://ibp.a2mac1.com/costing(costing:projects/details/8191/assembly/5388156)","Front Fenders")</f>
        <v>Front Fenders</v>
      </c>
      <c r="B905">
        <v>5388156</v>
      </c>
      <c r="D905">
        <v>5388129</v>
      </c>
      <c r="F905">
        <v>1</v>
      </c>
      <c r="G905">
        <v>0</v>
      </c>
      <c r="H905">
        <v>11.889113558754641</v>
      </c>
      <c r="I905">
        <v>0.059744289239973068</v>
      </c>
      <c r="J905" t="s">
        <v>137</v>
      </c>
      <c r="K905">
        <v>0.41611897455641239</v>
      </c>
      <c r="L905">
        <v>12.364976822551025</v>
      </c>
      <c r="M905">
        <v>0</v>
      </c>
      <c r="N905">
        <v>0</v>
      </c>
      <c r="O905">
        <v>12.364976822551025</v>
      </c>
      <c r="P905" t="s">
        <v>90</v>
      </c>
      <c r="Q905">
        <v>0</v>
      </c>
      <c r="R905" t="s">
        <v>90</v>
      </c>
      <c r="S905">
        <v>0</v>
      </c>
      <c r="T905" t="s">
        <v>90</v>
      </c>
      <c r="U905">
        <v>0</v>
      </c>
      <c r="V905" t="s">
        <v>90</v>
      </c>
      <c r="W905">
        <v>0</v>
      </c>
      <c r="X905" t="s">
        <v>90</v>
      </c>
      <c r="Y905">
        <v>0</v>
      </c>
      <c r="Z905">
        <v>12.364976822551025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L905">
        <v>7.6623999999999999</v>
      </c>
      <c r="AN905" t="s">
        <v>6175</v>
      </c>
      <c r="AO905" t="s">
        <v>92</v>
      </c>
      <c r="AP905">
        <v>200000</v>
      </c>
      <c r="AQ905" t="s">
        <v>92</v>
      </c>
      <c r="AS905">
        <v>10000</v>
      </c>
      <c r="AT905" t="s">
        <v>7259</v>
      </c>
      <c r="AU905" t="s">
        <v>78</v>
      </c>
      <c r="AV905" t="s">
        <v>79</v>
      </c>
      <c r="AY905">
        <v>0</v>
      </c>
    </row>
    <row r="906" spans="1:52" ht="12.75">
      <c r="A906" s="2" t="str">
        <f>HYPERLINK("https://ibp.a2mac1.com/costing(costing:projects/details/8191/assembly/5388303)","Fastners")</f>
        <v>Fastners</v>
      </c>
      <c r="B906">
        <v>5388303</v>
      </c>
      <c r="D906">
        <v>5388157</v>
      </c>
      <c r="F906">
        <v>1</v>
      </c>
      <c r="G906">
        <v>0</v>
      </c>
      <c r="H906">
        <v>0.20</v>
      </c>
      <c r="I906">
        <v>0</v>
      </c>
      <c r="J906" t="s">
        <v>90</v>
      </c>
      <c r="K906">
        <v>0</v>
      </c>
      <c r="L906">
        <v>0.20</v>
      </c>
      <c r="M906">
        <v>0</v>
      </c>
      <c r="N906">
        <v>0</v>
      </c>
      <c r="O906">
        <v>0.20</v>
      </c>
      <c r="P906" t="s">
        <v>90</v>
      </c>
      <c r="Q906">
        <v>0</v>
      </c>
      <c r="R906" t="s">
        <v>90</v>
      </c>
      <c r="S906">
        <v>0</v>
      </c>
      <c r="T906" t="s">
        <v>90</v>
      </c>
      <c r="U906">
        <v>0</v>
      </c>
      <c r="V906" t="s">
        <v>90</v>
      </c>
      <c r="W906">
        <v>0</v>
      </c>
      <c r="X906" t="s">
        <v>90</v>
      </c>
      <c r="Y906">
        <v>0</v>
      </c>
      <c r="Z906">
        <v>0.20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N906" t="s">
        <v>223</v>
      </c>
      <c r="AO906" t="s">
        <v>92</v>
      </c>
      <c r="AP906">
        <v>200000</v>
      </c>
      <c r="AQ906" t="s">
        <v>76</v>
      </c>
      <c r="AR906">
        <v>0</v>
      </c>
      <c r="AS906">
        <v>10000</v>
      </c>
      <c r="AT906" t="s">
        <v>9</v>
      </c>
      <c r="AU906" t="s">
        <v>78</v>
      </c>
      <c r="AV906" t="s">
        <v>79</v>
      </c>
      <c r="AY906">
        <v>0</v>
      </c>
    </row>
    <row r="907" spans="1:52" ht="12.75">
      <c r="A907" s="2" t="str">
        <f>HYPERLINK("https://ibp.a2mac1.com/costing(costing:projects/details/8191/assembly/5388157)","Rear fenders")</f>
        <v>Rear fenders</v>
      </c>
      <c r="B907">
        <v>5388157</v>
      </c>
      <c r="D907">
        <v>5388129</v>
      </c>
      <c r="F907">
        <v>1</v>
      </c>
      <c r="G907">
        <v>0</v>
      </c>
      <c r="H907">
        <v>2.6299313569152103</v>
      </c>
      <c r="I907">
        <v>0</v>
      </c>
      <c r="J907" t="s">
        <v>90</v>
      </c>
      <c r="K907">
        <v>0</v>
      </c>
      <c r="L907">
        <v>2.6299313569152103</v>
      </c>
      <c r="M907">
        <v>0</v>
      </c>
      <c r="N907">
        <v>0</v>
      </c>
      <c r="O907">
        <v>2.6299313569152103</v>
      </c>
      <c r="P907" t="s">
        <v>90</v>
      </c>
      <c r="Q907">
        <v>0</v>
      </c>
      <c r="R907" t="s">
        <v>90</v>
      </c>
      <c r="S907">
        <v>0</v>
      </c>
      <c r="T907" t="s">
        <v>90</v>
      </c>
      <c r="U907">
        <v>0</v>
      </c>
      <c r="V907" t="s">
        <v>90</v>
      </c>
      <c r="W907">
        <v>0</v>
      </c>
      <c r="X907" t="s">
        <v>90</v>
      </c>
      <c r="Y907">
        <v>0</v>
      </c>
      <c r="Z907">
        <v>2.6299313569152103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L907">
        <v>0.92900000000000005</v>
      </c>
      <c r="AN907" t="s">
        <v>223</v>
      </c>
      <c r="AO907" t="s">
        <v>92</v>
      </c>
      <c r="AP907">
        <v>200000</v>
      </c>
      <c r="AQ907" t="s">
        <v>92</v>
      </c>
      <c r="AS907">
        <v>10000</v>
      </c>
      <c r="AT907" t="s">
        <v>7268</v>
      </c>
      <c r="AU907" t="s">
        <v>78</v>
      </c>
      <c r="AV907" t="s">
        <v>79</v>
      </c>
      <c r="AY907">
        <v>0</v>
      </c>
    </row>
    <row r="908" spans="1:52" ht="12.75">
      <c r="A908" s="2" t="str">
        <f>HYPERLINK("https://ibp.a2mac1.com/costing(costing:projects/details/8191/assembly/5388129)","Fenders")</f>
        <v>Fenders</v>
      </c>
      <c r="B908">
        <v>5388129</v>
      </c>
      <c r="D908">
        <v>5388126</v>
      </c>
      <c r="F908">
        <v>1</v>
      </c>
      <c r="G908">
        <v>0</v>
      </c>
      <c r="H908">
        <v>14.994908179466236</v>
      </c>
      <c r="I908">
        <v>0</v>
      </c>
      <c r="J908" t="s">
        <v>90</v>
      </c>
      <c r="K908">
        <v>0</v>
      </c>
      <c r="L908">
        <v>14.994908179466236</v>
      </c>
      <c r="M908">
        <v>0</v>
      </c>
      <c r="N908">
        <v>0</v>
      </c>
      <c r="O908">
        <v>14.994908179466236</v>
      </c>
      <c r="P908" t="s">
        <v>90</v>
      </c>
      <c r="Q908">
        <v>0</v>
      </c>
      <c r="R908" t="s">
        <v>90</v>
      </c>
      <c r="S908">
        <v>0</v>
      </c>
      <c r="T908" t="s">
        <v>90</v>
      </c>
      <c r="U908">
        <v>0</v>
      </c>
      <c r="V908" t="s">
        <v>90</v>
      </c>
      <c r="W908">
        <v>0</v>
      </c>
      <c r="X908" t="s">
        <v>90</v>
      </c>
      <c r="Y908">
        <v>0</v>
      </c>
      <c r="Z908">
        <v>14.994908179466236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L908">
        <v>8.5914000000000001</v>
      </c>
      <c r="AN908" t="s">
        <v>223</v>
      </c>
      <c r="AO908" t="s">
        <v>92</v>
      </c>
      <c r="AP908">
        <v>200000</v>
      </c>
      <c r="AQ908" t="s">
        <v>92</v>
      </c>
      <c r="AS908">
        <v>10000</v>
      </c>
      <c r="AT908" t="s">
        <v>7269</v>
      </c>
      <c r="AU908" t="s">
        <v>78</v>
      </c>
      <c r="AV908" t="s">
        <v>79</v>
      </c>
      <c r="AY908">
        <v>0</v>
      </c>
    </row>
    <row r="909" spans="1:52" ht="12.75">
      <c r="A909" s="2" t="str">
        <f>HYPERLINK("https://ibp.a2mac1.com/costing(costing:projects/details/8191/assembly/5388644)","Grilles")</f>
        <v>Grilles</v>
      </c>
      <c r="B909">
        <v>5388644</v>
      </c>
      <c r="D909">
        <v>5388304</v>
      </c>
      <c r="F909">
        <v>1</v>
      </c>
      <c r="G909">
        <v>0</v>
      </c>
      <c r="H909">
        <v>2.2772913348063351</v>
      </c>
      <c r="I909">
        <v>0</v>
      </c>
      <c r="J909" t="s">
        <v>90</v>
      </c>
      <c r="K909">
        <v>0</v>
      </c>
      <c r="L909">
        <v>2.2772913348063351</v>
      </c>
      <c r="M909">
        <v>0</v>
      </c>
      <c r="N909">
        <v>0</v>
      </c>
      <c r="O909">
        <v>2.2772913348063351</v>
      </c>
      <c r="P909" t="s">
        <v>90</v>
      </c>
      <c r="Q909">
        <v>0</v>
      </c>
      <c r="R909" t="s">
        <v>90</v>
      </c>
      <c r="S909">
        <v>0</v>
      </c>
      <c r="T909" t="s">
        <v>90</v>
      </c>
      <c r="U909">
        <v>0</v>
      </c>
      <c r="V909" t="s">
        <v>90</v>
      </c>
      <c r="W909">
        <v>0</v>
      </c>
      <c r="X909" t="s">
        <v>90</v>
      </c>
      <c r="Y909">
        <v>0</v>
      </c>
      <c r="Z909">
        <v>2.2772913348063351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L909">
        <v>1.0089999999999999</v>
      </c>
      <c r="AN909" t="s">
        <v>223</v>
      </c>
      <c r="AO909" t="s">
        <v>92</v>
      </c>
      <c r="AP909">
        <v>200000</v>
      </c>
      <c r="AQ909" t="s">
        <v>92</v>
      </c>
      <c r="AS909">
        <v>10000</v>
      </c>
      <c r="AT909" t="s">
        <v>7279</v>
      </c>
      <c r="AU909" t="s">
        <v>78</v>
      </c>
      <c r="AV909" t="s">
        <v>79</v>
      </c>
      <c r="AY909">
        <v>0</v>
      </c>
    </row>
    <row r="910" spans="1:52" ht="12.75">
      <c r="A910" s="2" t="str">
        <f>HYPERLINK("https://ibp.a2mac1.com/costing(costing:projects/details/8191/assembly/5388645)","Bezel System")</f>
        <v>Bezel System</v>
      </c>
      <c r="B910">
        <v>5388645</v>
      </c>
      <c r="D910">
        <v>5388304</v>
      </c>
      <c r="F910">
        <v>1</v>
      </c>
      <c r="G910">
        <v>0</v>
      </c>
      <c r="H910">
        <v>4.6491622805262818</v>
      </c>
      <c r="I910">
        <v>0</v>
      </c>
      <c r="J910" t="s">
        <v>90</v>
      </c>
      <c r="K910">
        <v>0</v>
      </c>
      <c r="L910">
        <v>4.6491622805262818</v>
      </c>
      <c r="M910">
        <v>0</v>
      </c>
      <c r="N910">
        <v>0</v>
      </c>
      <c r="O910">
        <v>4.6491622805262818</v>
      </c>
      <c r="P910" t="s">
        <v>90</v>
      </c>
      <c r="Q910">
        <v>0</v>
      </c>
      <c r="R910" t="s">
        <v>90</v>
      </c>
      <c r="S910">
        <v>0</v>
      </c>
      <c r="T910" t="s">
        <v>90</v>
      </c>
      <c r="U910">
        <v>0</v>
      </c>
      <c r="V910" t="s">
        <v>90</v>
      </c>
      <c r="W910">
        <v>0</v>
      </c>
      <c r="X910" t="s">
        <v>90</v>
      </c>
      <c r="Y910">
        <v>0</v>
      </c>
      <c r="Z910">
        <v>4.6491622805262818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L910">
        <v>2.2309999999999999</v>
      </c>
      <c r="AN910" t="s">
        <v>223</v>
      </c>
      <c r="AO910" t="s">
        <v>92</v>
      </c>
      <c r="AP910">
        <v>200000</v>
      </c>
      <c r="AQ910" t="s">
        <v>92</v>
      </c>
      <c r="AS910">
        <v>10000</v>
      </c>
      <c r="AT910" t="s">
        <v>7303</v>
      </c>
      <c r="AU910" t="s">
        <v>78</v>
      </c>
      <c r="AV910" t="s">
        <v>79</v>
      </c>
      <c r="AY910">
        <v>0</v>
      </c>
    </row>
    <row r="911" spans="1:52" ht="12.75">
      <c r="A911" s="2" t="str">
        <f>HYPERLINK("https://ibp.a2mac1.com/costing(costing:projects/details/8191/assembly/5388646)","Mounting Bracket")</f>
        <v>Mounting Bracket</v>
      </c>
      <c r="B911">
        <v>5388646</v>
      </c>
      <c r="D911">
        <v>5388304</v>
      </c>
      <c r="F911">
        <v>1</v>
      </c>
      <c r="G911">
        <v>0</v>
      </c>
      <c r="H911">
        <v>0.11166425584297469</v>
      </c>
      <c r="I911">
        <v>0</v>
      </c>
      <c r="J911" t="s">
        <v>90</v>
      </c>
      <c r="K911">
        <v>0</v>
      </c>
      <c r="L911">
        <v>0.11166425584297469</v>
      </c>
      <c r="M911">
        <v>0</v>
      </c>
      <c r="N911">
        <v>0</v>
      </c>
      <c r="O911">
        <v>0.11166425584297469</v>
      </c>
      <c r="P911" t="s">
        <v>90</v>
      </c>
      <c r="Q911">
        <v>0</v>
      </c>
      <c r="R911" t="s">
        <v>90</v>
      </c>
      <c r="S911">
        <v>0</v>
      </c>
      <c r="T911" t="s">
        <v>90</v>
      </c>
      <c r="U911">
        <v>0</v>
      </c>
      <c r="V911" t="s">
        <v>90</v>
      </c>
      <c r="W911">
        <v>0</v>
      </c>
      <c r="X911" t="s">
        <v>90</v>
      </c>
      <c r="Y911">
        <v>0</v>
      </c>
      <c r="Z911">
        <v>0.11166425584297469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L911">
        <v>0.042999999999999997</v>
      </c>
      <c r="AN911" t="s">
        <v>223</v>
      </c>
      <c r="AO911" t="s">
        <v>92</v>
      </c>
      <c r="AP911">
        <v>200000</v>
      </c>
      <c r="AQ911" t="s">
        <v>92</v>
      </c>
      <c r="AS911">
        <v>10000</v>
      </c>
      <c r="AT911" t="s">
        <v>7310</v>
      </c>
      <c r="AU911" t="s">
        <v>78</v>
      </c>
      <c r="AV911" t="s">
        <v>79</v>
      </c>
      <c r="AY911">
        <v>0</v>
      </c>
    </row>
    <row r="912" spans="1:52" ht="12.75">
      <c r="A912" s="2" t="str">
        <f>HYPERLINK("https://ibp.a2mac1.com/costing(costing:projects/details/8191/assembly/5388647)","Air Guide")</f>
        <v>Air Guide</v>
      </c>
      <c r="B912">
        <v>5388647</v>
      </c>
      <c r="D912">
        <v>5388304</v>
      </c>
      <c r="F912">
        <v>1</v>
      </c>
      <c r="G912">
        <v>0</v>
      </c>
      <c r="H912">
        <v>0.3193390318115476</v>
      </c>
      <c r="I912">
        <v>0</v>
      </c>
      <c r="J912" t="s">
        <v>90</v>
      </c>
      <c r="K912">
        <v>0</v>
      </c>
      <c r="L912">
        <v>0.3193390318115476</v>
      </c>
      <c r="M912">
        <v>0</v>
      </c>
      <c r="N912">
        <v>0</v>
      </c>
      <c r="O912">
        <v>0.3193390318115476</v>
      </c>
      <c r="P912" t="s">
        <v>90</v>
      </c>
      <c r="Q912">
        <v>0</v>
      </c>
      <c r="R912" t="s">
        <v>90</v>
      </c>
      <c r="S912">
        <v>0</v>
      </c>
      <c r="T912" t="s">
        <v>90</v>
      </c>
      <c r="U912">
        <v>0</v>
      </c>
      <c r="V912" t="s">
        <v>90</v>
      </c>
      <c r="W912">
        <v>0</v>
      </c>
      <c r="X912" t="s">
        <v>90</v>
      </c>
      <c r="Y912">
        <v>0</v>
      </c>
      <c r="Z912">
        <v>0.3193390318115476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L912">
        <v>0.23100000000000001</v>
      </c>
      <c r="AN912" t="s">
        <v>223</v>
      </c>
      <c r="AO912" t="s">
        <v>92</v>
      </c>
      <c r="AP912">
        <v>200000</v>
      </c>
      <c r="AQ912" t="s">
        <v>92</v>
      </c>
      <c r="AS912">
        <v>10000</v>
      </c>
      <c r="AT912" t="s">
        <v>7317</v>
      </c>
      <c r="AU912" t="s">
        <v>78</v>
      </c>
      <c r="AV912" t="s">
        <v>79</v>
      </c>
      <c r="AY912">
        <v>0</v>
      </c>
    </row>
    <row r="913" spans="1:52" ht="12.75">
      <c r="A913" s="2" t="str">
        <f>HYPERLINK("https://ibp.a2mac1.com/costing(costing:projects/details/8191/assembly/5388648)","Frame")</f>
        <v>Frame</v>
      </c>
      <c r="B913">
        <v>5388648</v>
      </c>
      <c r="D913">
        <v>5388304</v>
      </c>
      <c r="F913">
        <v>1</v>
      </c>
      <c r="G913">
        <v>0</v>
      </c>
      <c r="H913">
        <v>2.346377763392268</v>
      </c>
      <c r="I913">
        <v>0</v>
      </c>
      <c r="J913" t="s">
        <v>90</v>
      </c>
      <c r="K913">
        <v>0</v>
      </c>
      <c r="L913">
        <v>2.346377763392268</v>
      </c>
      <c r="M913">
        <v>0</v>
      </c>
      <c r="N913">
        <v>0</v>
      </c>
      <c r="O913">
        <v>2.346377763392268</v>
      </c>
      <c r="P913" t="s">
        <v>90</v>
      </c>
      <c r="Q913">
        <v>0</v>
      </c>
      <c r="R913" t="s">
        <v>90</v>
      </c>
      <c r="S913">
        <v>0</v>
      </c>
      <c r="T913" t="s">
        <v>90</v>
      </c>
      <c r="U913">
        <v>0</v>
      </c>
      <c r="V913" t="s">
        <v>90</v>
      </c>
      <c r="W913">
        <v>0</v>
      </c>
      <c r="X913" t="s">
        <v>90</v>
      </c>
      <c r="Y913">
        <v>0</v>
      </c>
      <c r="Z913">
        <v>2.346377763392268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L913">
        <v>1.7270000000000001</v>
      </c>
      <c r="AN913" t="s">
        <v>223</v>
      </c>
      <c r="AO913" t="s">
        <v>92</v>
      </c>
      <c r="AP913">
        <v>200000</v>
      </c>
      <c r="AQ913" t="s">
        <v>92</v>
      </c>
      <c r="AS913">
        <v>10000</v>
      </c>
      <c r="AT913" t="s">
        <v>7324</v>
      </c>
      <c r="AU913" t="s">
        <v>78</v>
      </c>
      <c r="AV913" t="s">
        <v>79</v>
      </c>
      <c r="AY913">
        <v>0</v>
      </c>
    </row>
    <row r="914" spans="1:52" ht="12.75">
      <c r="A914" s="2" t="str">
        <f>HYPERLINK("https://ibp.a2mac1.com/costing(costing:projects/details/8191/assembly/5388304)","Bumper")</f>
        <v>Bumper</v>
      </c>
      <c r="B914">
        <v>5388304</v>
      </c>
      <c r="D914">
        <v>5388158</v>
      </c>
      <c r="F914">
        <v>1</v>
      </c>
      <c r="G914">
        <v>0</v>
      </c>
      <c r="H914">
        <v>35.725833315760937</v>
      </c>
      <c r="I914">
        <v>0.17952680058171325</v>
      </c>
      <c r="J914" t="s">
        <v>137</v>
      </c>
      <c r="K914">
        <v>1.2504041660516327</v>
      </c>
      <c r="L914">
        <v>37.15576428239428</v>
      </c>
      <c r="M914">
        <v>0</v>
      </c>
      <c r="N914">
        <v>0</v>
      </c>
      <c r="O914">
        <v>37.15576428239428</v>
      </c>
      <c r="P914" t="s">
        <v>138</v>
      </c>
      <c r="Q914">
        <v>2.2293458569436568</v>
      </c>
      <c r="R914" t="s">
        <v>138</v>
      </c>
      <c r="S914">
        <v>0</v>
      </c>
      <c r="T914" t="s">
        <v>139</v>
      </c>
      <c r="U914">
        <v>4.4586917138873137</v>
      </c>
      <c r="V914" t="s">
        <v>90</v>
      </c>
      <c r="W914">
        <v>0</v>
      </c>
      <c r="X914" t="s">
        <v>90</v>
      </c>
      <c r="Y914">
        <v>0</v>
      </c>
      <c r="Z914">
        <v>43.843801853225251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550</v>
      </c>
      <c r="AI914">
        <v>1860</v>
      </c>
      <c r="AJ914">
        <v>830</v>
      </c>
      <c r="AL914">
        <v>10.674200000000001</v>
      </c>
      <c r="AN914" t="s">
        <v>661</v>
      </c>
      <c r="AO914" t="s">
        <v>92</v>
      </c>
      <c r="AP914">
        <v>200000</v>
      </c>
      <c r="AQ914" t="s">
        <v>76</v>
      </c>
      <c r="AS914">
        <v>10000</v>
      </c>
      <c r="AT914" t="s">
        <v>7352</v>
      </c>
      <c r="AU914" t="s">
        <v>78</v>
      </c>
      <c r="AV914" t="s">
        <v>79</v>
      </c>
      <c r="AY914">
        <v>0</v>
      </c>
    </row>
    <row r="915" spans="1:52" ht="12.75">
      <c r="A915" s="2" t="str">
        <f>HYPERLINK("https://ibp.a2mac1.com/costing(costing:projects/details/8191/assembly/5388649)","Left")</f>
        <v>Left</v>
      </c>
      <c r="B915">
        <v>5388649</v>
      </c>
      <c r="D915">
        <v>5388305</v>
      </c>
      <c r="F915">
        <v>1</v>
      </c>
      <c r="G915">
        <v>0</v>
      </c>
      <c r="H915">
        <v>1.6477395657259253</v>
      </c>
      <c r="I915">
        <v>0</v>
      </c>
      <c r="J915" t="s">
        <v>90</v>
      </c>
      <c r="K915">
        <v>0</v>
      </c>
      <c r="L915">
        <v>1.6477395657259253</v>
      </c>
      <c r="M915">
        <v>0</v>
      </c>
      <c r="N915">
        <v>0</v>
      </c>
      <c r="O915">
        <v>1.6477395657259253</v>
      </c>
      <c r="P915" t="s">
        <v>90</v>
      </c>
      <c r="Q915">
        <v>0</v>
      </c>
      <c r="R915" t="s">
        <v>90</v>
      </c>
      <c r="S915">
        <v>0</v>
      </c>
      <c r="T915" t="s">
        <v>90</v>
      </c>
      <c r="U915">
        <v>0</v>
      </c>
      <c r="V915" t="s">
        <v>90</v>
      </c>
      <c r="W915">
        <v>0</v>
      </c>
      <c r="X915" t="s">
        <v>90</v>
      </c>
      <c r="Y915">
        <v>0</v>
      </c>
      <c r="Z915">
        <v>1.6477395657259253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L915">
        <v>1.5998000000000001</v>
      </c>
      <c r="AN915" t="s">
        <v>223</v>
      </c>
      <c r="AO915" t="s">
        <v>92</v>
      </c>
      <c r="AP915">
        <v>200000</v>
      </c>
      <c r="AQ915" t="s">
        <v>92</v>
      </c>
      <c r="AS915">
        <v>10000</v>
      </c>
      <c r="AT915" t="s">
        <v>7361</v>
      </c>
      <c r="AU915" t="s">
        <v>78</v>
      </c>
      <c r="AV915" t="s">
        <v>79</v>
      </c>
      <c r="AY915">
        <v>0</v>
      </c>
    </row>
    <row r="916" spans="1:52" ht="12.75">
      <c r="A916" s="2" t="str">
        <f>HYPERLINK("https://ibp.a2mac1.com/costing(costing:projects/details/8191/assembly/5388650)","Right")</f>
        <v>Right</v>
      </c>
      <c r="B916">
        <v>5388650</v>
      </c>
      <c r="D916">
        <v>5388305</v>
      </c>
      <c r="F916">
        <v>1</v>
      </c>
      <c r="G916">
        <v>0</v>
      </c>
      <c r="H916">
        <v>1.6477395657259253</v>
      </c>
      <c r="I916">
        <v>0</v>
      </c>
      <c r="J916" t="s">
        <v>90</v>
      </c>
      <c r="K916">
        <v>0</v>
      </c>
      <c r="L916">
        <v>1.6477395657259253</v>
      </c>
      <c r="M916">
        <v>0</v>
      </c>
      <c r="N916">
        <v>0</v>
      </c>
      <c r="O916">
        <v>1.6477395657259253</v>
      </c>
      <c r="P916" t="s">
        <v>90</v>
      </c>
      <c r="Q916">
        <v>0</v>
      </c>
      <c r="R916" t="s">
        <v>90</v>
      </c>
      <c r="S916">
        <v>0</v>
      </c>
      <c r="T916" t="s">
        <v>90</v>
      </c>
      <c r="U916">
        <v>0</v>
      </c>
      <c r="V916" t="s">
        <v>90</v>
      </c>
      <c r="W916">
        <v>0</v>
      </c>
      <c r="X916" t="s">
        <v>90</v>
      </c>
      <c r="Y916">
        <v>0</v>
      </c>
      <c r="Z916">
        <v>1.6477395657259253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L916">
        <v>1.6037999999999999</v>
      </c>
      <c r="AN916" t="s">
        <v>223</v>
      </c>
      <c r="AO916" t="s">
        <v>92</v>
      </c>
      <c r="AP916">
        <v>200000</v>
      </c>
      <c r="AQ916" t="s">
        <v>92</v>
      </c>
      <c r="AS916">
        <v>10000</v>
      </c>
      <c r="AT916" t="s">
        <v>7366</v>
      </c>
      <c r="AU916" t="s">
        <v>78</v>
      </c>
      <c r="AV916" t="s">
        <v>79</v>
      </c>
      <c r="AY916">
        <v>0</v>
      </c>
    </row>
    <row r="917" spans="1:52" ht="12.75">
      <c r="A917" s="2" t="str">
        <f>HYPERLINK("https://ibp.a2mac1.com/costing(costing:projects/details/8191/assembly/5388305)","Wheel Arch Liner")</f>
        <v>Wheel Arch Liner</v>
      </c>
      <c r="B917">
        <v>5388305</v>
      </c>
      <c r="D917">
        <v>5388158</v>
      </c>
      <c r="F917">
        <v>1</v>
      </c>
      <c r="G917">
        <v>0</v>
      </c>
      <c r="H917">
        <v>3.2954791314518506</v>
      </c>
      <c r="I917">
        <v>0</v>
      </c>
      <c r="J917" t="s">
        <v>90</v>
      </c>
      <c r="K917">
        <v>0</v>
      </c>
      <c r="L917">
        <v>3.2954791314518506</v>
      </c>
      <c r="M917">
        <v>0</v>
      </c>
      <c r="N917">
        <v>0</v>
      </c>
      <c r="O917">
        <v>3.2954791314518506</v>
      </c>
      <c r="P917" t="s">
        <v>90</v>
      </c>
      <c r="Q917">
        <v>0</v>
      </c>
      <c r="R917" t="s">
        <v>90</v>
      </c>
      <c r="S917">
        <v>0</v>
      </c>
      <c r="T917" t="s">
        <v>90</v>
      </c>
      <c r="U917">
        <v>0</v>
      </c>
      <c r="V917" t="s">
        <v>90</v>
      </c>
      <c r="W917">
        <v>0</v>
      </c>
      <c r="X917" t="s">
        <v>90</v>
      </c>
      <c r="Y917">
        <v>0</v>
      </c>
      <c r="Z917">
        <v>3.2954791314518506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L917">
        <v>3.2035999999999998</v>
      </c>
      <c r="AN917" t="s">
        <v>223</v>
      </c>
      <c r="AO917" t="s">
        <v>92</v>
      </c>
      <c r="AP917">
        <v>200000</v>
      </c>
      <c r="AQ917" t="s">
        <v>92</v>
      </c>
      <c r="AS917">
        <v>10000</v>
      </c>
      <c r="AT917" t="s">
        <v>7367</v>
      </c>
      <c r="AU917" t="s">
        <v>78</v>
      </c>
      <c r="AV917" t="s">
        <v>79</v>
      </c>
      <c r="AY917">
        <v>0</v>
      </c>
    </row>
    <row r="918" spans="1:52" ht="12.75">
      <c r="A918" s="2" t="str">
        <f>HYPERLINK("https://ibp.a2mac1.com/costing(costing:projects/details/8191/assembly/5388306)","Energy Absorbers System")</f>
        <v>Energy Absorbers System</v>
      </c>
      <c r="B918">
        <v>5388306</v>
      </c>
      <c r="D918">
        <v>5388158</v>
      </c>
      <c r="F918">
        <v>1</v>
      </c>
      <c r="G918">
        <v>0</v>
      </c>
      <c r="H918">
        <v>1.0914001774668929</v>
      </c>
      <c r="I918">
        <v>0</v>
      </c>
      <c r="J918" t="s">
        <v>90</v>
      </c>
      <c r="K918">
        <v>0</v>
      </c>
      <c r="L918">
        <v>1.0914001774668929</v>
      </c>
      <c r="M918">
        <v>0</v>
      </c>
      <c r="N918">
        <v>0</v>
      </c>
      <c r="O918">
        <v>1.0914001774668929</v>
      </c>
      <c r="P918" t="s">
        <v>90</v>
      </c>
      <c r="Q918">
        <v>0</v>
      </c>
      <c r="R918" t="s">
        <v>90</v>
      </c>
      <c r="S918">
        <v>0</v>
      </c>
      <c r="T918" t="s">
        <v>90</v>
      </c>
      <c r="U918">
        <v>0</v>
      </c>
      <c r="V918" t="s">
        <v>90</v>
      </c>
      <c r="W918">
        <v>0</v>
      </c>
      <c r="X918" t="s">
        <v>90</v>
      </c>
      <c r="Y918">
        <v>0</v>
      </c>
      <c r="Z918">
        <v>1.0914001774668929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L918">
        <v>0.22700000000000001</v>
      </c>
      <c r="AN918" t="s">
        <v>223</v>
      </c>
      <c r="AO918" t="s">
        <v>92</v>
      </c>
      <c r="AP918">
        <v>200000</v>
      </c>
      <c r="AQ918" t="s">
        <v>92</v>
      </c>
      <c r="AS918">
        <v>10000</v>
      </c>
      <c r="AT918" t="s">
        <v>7376</v>
      </c>
      <c r="AU918" t="s">
        <v>78</v>
      </c>
      <c r="AV918" t="s">
        <v>79</v>
      </c>
      <c r="AY918">
        <v>0</v>
      </c>
    </row>
    <row r="919" spans="1:52" ht="12.75">
      <c r="A919" s="2" t="str">
        <f>HYPERLINK("https://ibp.a2mac1.com/costing(costing:projects/details/8191/assembly/5388307)","Upper Cross Member System")</f>
        <v>Upper Cross Member System</v>
      </c>
      <c r="B919">
        <v>5388307</v>
      </c>
      <c r="D919">
        <v>5388158</v>
      </c>
      <c r="F919">
        <v>1</v>
      </c>
      <c r="G919">
        <v>0</v>
      </c>
      <c r="H919">
        <v>49.675375698051219</v>
      </c>
      <c r="I919">
        <v>0</v>
      </c>
      <c r="J919" t="s">
        <v>90</v>
      </c>
      <c r="K919">
        <v>0</v>
      </c>
      <c r="L919">
        <v>49.675375698051219</v>
      </c>
      <c r="M919">
        <v>0</v>
      </c>
      <c r="N919">
        <v>0</v>
      </c>
      <c r="O919">
        <v>49.675375698051219</v>
      </c>
      <c r="P919" t="s">
        <v>90</v>
      </c>
      <c r="Q919">
        <v>0</v>
      </c>
      <c r="R919" t="s">
        <v>90</v>
      </c>
      <c r="S919">
        <v>0</v>
      </c>
      <c r="T919" t="s">
        <v>90</v>
      </c>
      <c r="U919">
        <v>0</v>
      </c>
      <c r="V919" t="s">
        <v>90</v>
      </c>
      <c r="W919">
        <v>0</v>
      </c>
      <c r="X919" t="s">
        <v>90</v>
      </c>
      <c r="Y919">
        <v>0</v>
      </c>
      <c r="Z919">
        <v>49.675375698051219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L919">
        <v>19.5688</v>
      </c>
      <c r="AN919" t="s">
        <v>223</v>
      </c>
      <c r="AO919" t="s">
        <v>92</v>
      </c>
      <c r="AP919">
        <v>200000</v>
      </c>
      <c r="AQ919" t="s">
        <v>92</v>
      </c>
      <c r="AS919">
        <v>10000</v>
      </c>
      <c r="AT919" t="s">
        <v>7383</v>
      </c>
      <c r="AU919" t="s">
        <v>78</v>
      </c>
      <c r="AV919" t="s">
        <v>79</v>
      </c>
      <c r="AY919">
        <v>0</v>
      </c>
    </row>
    <row r="920" spans="1:52" ht="12.75">
      <c r="A920" s="2" t="str">
        <f>HYPERLINK("https://ibp.a2mac1.com/costing(costing:projects/details/8191/assembly/5388308)","Support")</f>
        <v>Support</v>
      </c>
      <c r="B920">
        <v>5388308</v>
      </c>
      <c r="D920">
        <v>5388158</v>
      </c>
      <c r="F920">
        <v>1</v>
      </c>
      <c r="G920">
        <v>0</v>
      </c>
      <c r="H920">
        <v>0.39073718420989473</v>
      </c>
      <c r="I920">
        <v>0</v>
      </c>
      <c r="J920" t="s">
        <v>90</v>
      </c>
      <c r="K920">
        <v>0</v>
      </c>
      <c r="L920">
        <v>0.39073718420989473</v>
      </c>
      <c r="M920">
        <v>0</v>
      </c>
      <c r="N920">
        <v>0</v>
      </c>
      <c r="O920">
        <v>0.39073718420989473</v>
      </c>
      <c r="P920" t="s">
        <v>90</v>
      </c>
      <c r="Q920">
        <v>0</v>
      </c>
      <c r="R920" t="s">
        <v>90</v>
      </c>
      <c r="S920">
        <v>0</v>
      </c>
      <c r="T920" t="s">
        <v>90</v>
      </c>
      <c r="U920">
        <v>0</v>
      </c>
      <c r="V920" t="s">
        <v>90</v>
      </c>
      <c r="W920">
        <v>0</v>
      </c>
      <c r="X920" t="s">
        <v>90</v>
      </c>
      <c r="Y920">
        <v>0</v>
      </c>
      <c r="Z920">
        <v>0.39073718420989473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L920">
        <v>0.14599999999999999</v>
      </c>
      <c r="AN920" t="s">
        <v>223</v>
      </c>
      <c r="AO920" t="s">
        <v>92</v>
      </c>
      <c r="AP920">
        <v>200000</v>
      </c>
      <c r="AQ920" t="s">
        <v>92</v>
      </c>
      <c r="AS920">
        <v>10000</v>
      </c>
      <c r="AT920" t="s">
        <v>7391</v>
      </c>
      <c r="AU920" t="s">
        <v>78</v>
      </c>
      <c r="AV920" t="s">
        <v>79</v>
      </c>
      <c r="AY920">
        <v>0</v>
      </c>
    </row>
    <row r="921" spans="1:52" ht="12.75">
      <c r="A921" s="2" t="str">
        <f>HYPERLINK("https://ibp.a2mac1.com/costing(costing:projects/details/8191/assembly/5388158)","Front Bumper")</f>
        <v>Front Bumper</v>
      </c>
      <c r="B921">
        <v>5388158</v>
      </c>
      <c r="D921">
        <v>5388130</v>
      </c>
      <c r="F921">
        <v>1</v>
      </c>
      <c r="G921">
        <v>0</v>
      </c>
      <c r="H921">
        <v>98.296794044405118</v>
      </c>
      <c r="I921">
        <v>0</v>
      </c>
      <c r="J921" t="s">
        <v>90</v>
      </c>
      <c r="K921">
        <v>0</v>
      </c>
      <c r="L921">
        <v>98.296794044405118</v>
      </c>
      <c r="M921">
        <v>0</v>
      </c>
      <c r="N921">
        <v>0</v>
      </c>
      <c r="O921">
        <v>98.296794044405118</v>
      </c>
      <c r="P921" t="s">
        <v>90</v>
      </c>
      <c r="Q921">
        <v>0</v>
      </c>
      <c r="R921" t="s">
        <v>90</v>
      </c>
      <c r="S921">
        <v>0</v>
      </c>
      <c r="T921" t="s">
        <v>90</v>
      </c>
      <c r="U921">
        <v>0</v>
      </c>
      <c r="V921" t="s">
        <v>90</v>
      </c>
      <c r="W921">
        <v>0</v>
      </c>
      <c r="X921" t="s">
        <v>90</v>
      </c>
      <c r="Y921">
        <v>0</v>
      </c>
      <c r="Z921">
        <v>98.296794044405118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L921">
        <v>33.819600000000001</v>
      </c>
      <c r="AN921" t="s">
        <v>223</v>
      </c>
      <c r="AO921" t="s">
        <v>92</v>
      </c>
      <c r="AP921">
        <v>200000</v>
      </c>
      <c r="AQ921" t="s">
        <v>92</v>
      </c>
      <c r="AS921">
        <v>10000</v>
      </c>
      <c r="AT921" t="s">
        <v>7392</v>
      </c>
      <c r="AU921" t="s">
        <v>78</v>
      </c>
      <c r="AV921" t="s">
        <v>79</v>
      </c>
      <c r="AY921">
        <v>0</v>
      </c>
    </row>
    <row r="922" spans="1:52" ht="12.75">
      <c r="A922" s="2" t="str">
        <f>HYPERLINK("https://ibp.a2mac1.com/costing(costing:projects/details/8191/assembly/5388661)","Bumper Upper Trim")</f>
        <v>Bumper Upper Trim</v>
      </c>
      <c r="B922">
        <v>5388661</v>
      </c>
      <c r="D922">
        <v>5388310</v>
      </c>
      <c r="F922">
        <v>1</v>
      </c>
      <c r="G922">
        <v>0</v>
      </c>
      <c r="H922">
        <v>0.86627305900070029</v>
      </c>
      <c r="I922">
        <v>0</v>
      </c>
      <c r="J922" t="s">
        <v>90</v>
      </c>
      <c r="K922">
        <v>0</v>
      </c>
      <c r="L922">
        <v>0.86627305900070029</v>
      </c>
      <c r="M922">
        <v>0</v>
      </c>
      <c r="N922">
        <v>0</v>
      </c>
      <c r="O922">
        <v>0.86627305900070029</v>
      </c>
      <c r="P922" t="s">
        <v>90</v>
      </c>
      <c r="Q922">
        <v>0</v>
      </c>
      <c r="R922" t="s">
        <v>90</v>
      </c>
      <c r="S922">
        <v>0</v>
      </c>
      <c r="T922" t="s">
        <v>90</v>
      </c>
      <c r="U922">
        <v>0</v>
      </c>
      <c r="V922" t="s">
        <v>90</v>
      </c>
      <c r="W922">
        <v>0</v>
      </c>
      <c r="X922" t="s">
        <v>90</v>
      </c>
      <c r="Y922">
        <v>0</v>
      </c>
      <c r="Z922">
        <v>0.86627305900070029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L922">
        <v>0.45300000000000001</v>
      </c>
      <c r="AN922" t="s">
        <v>223</v>
      </c>
      <c r="AO922" t="s">
        <v>92</v>
      </c>
      <c r="AP922">
        <v>200000</v>
      </c>
      <c r="AQ922" t="s">
        <v>92</v>
      </c>
      <c r="AS922">
        <v>10000</v>
      </c>
      <c r="AT922" t="s">
        <v>7401</v>
      </c>
      <c r="AU922" t="s">
        <v>78</v>
      </c>
      <c r="AV922" t="s">
        <v>79</v>
      </c>
      <c r="AY922">
        <v>0</v>
      </c>
    </row>
    <row r="923" spans="1:52" ht="12.75">
      <c r="A923" s="2" t="str">
        <f>HYPERLINK("https://ibp.a2mac1.com/costing(costing:projects/details/8191/assembly/5388662)","Bumper Lower Trim")</f>
        <v>Bumper Lower Trim</v>
      </c>
      <c r="B923">
        <v>5388662</v>
      </c>
      <c r="D923">
        <v>5388310</v>
      </c>
      <c r="F923">
        <v>1</v>
      </c>
      <c r="G923">
        <v>0</v>
      </c>
      <c r="H923">
        <v>2.8944419245007342</v>
      </c>
      <c r="I923">
        <v>0</v>
      </c>
      <c r="J923" t="s">
        <v>90</v>
      </c>
      <c r="K923">
        <v>0</v>
      </c>
      <c r="L923">
        <v>2.8944419245007342</v>
      </c>
      <c r="M923">
        <v>0</v>
      </c>
      <c r="N923">
        <v>0</v>
      </c>
      <c r="O923">
        <v>2.8944419245007342</v>
      </c>
      <c r="P923" t="s">
        <v>90</v>
      </c>
      <c r="Q923">
        <v>0</v>
      </c>
      <c r="R923" t="s">
        <v>90</v>
      </c>
      <c r="S923">
        <v>0</v>
      </c>
      <c r="T923" t="s">
        <v>90</v>
      </c>
      <c r="U923">
        <v>0</v>
      </c>
      <c r="V923" t="s">
        <v>90</v>
      </c>
      <c r="W923">
        <v>0</v>
      </c>
      <c r="X923" t="s">
        <v>90</v>
      </c>
      <c r="Y923">
        <v>0</v>
      </c>
      <c r="Z923">
        <v>2.8944419245007342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L923">
        <v>1.5129999999999999</v>
      </c>
      <c r="AN923" t="s">
        <v>223</v>
      </c>
      <c r="AO923" t="s">
        <v>92</v>
      </c>
      <c r="AP923">
        <v>200000</v>
      </c>
      <c r="AQ923" t="s">
        <v>92</v>
      </c>
      <c r="AS923">
        <v>10000</v>
      </c>
      <c r="AT923" t="s">
        <v>7407</v>
      </c>
      <c r="AU923" t="s">
        <v>78</v>
      </c>
      <c r="AV923" t="s">
        <v>79</v>
      </c>
      <c r="AY923">
        <v>0</v>
      </c>
    </row>
    <row r="924" spans="1:52" ht="12.75">
      <c r="A924" s="2" t="str">
        <f>HYPERLINK("https://ibp.a2mac1.com/costing(costing:projects/details/8191/assembly/5388310)","Bumper")</f>
        <v>Bumper</v>
      </c>
      <c r="B924">
        <v>5388310</v>
      </c>
      <c r="D924">
        <v>5388159</v>
      </c>
      <c r="F924">
        <v>1</v>
      </c>
      <c r="G924">
        <v>0</v>
      </c>
      <c r="H924">
        <v>19.704104562733438</v>
      </c>
      <c r="I924">
        <v>0.099015600817755969</v>
      </c>
      <c r="J924" t="s">
        <v>137</v>
      </c>
      <c r="K924">
        <v>0.68964365969567032</v>
      </c>
      <c r="L924">
        <v>20.492763823246865</v>
      </c>
      <c r="M924">
        <v>0</v>
      </c>
      <c r="N924">
        <v>0</v>
      </c>
      <c r="O924">
        <v>20.492763823246865</v>
      </c>
      <c r="P924" t="s">
        <v>138</v>
      </c>
      <c r="Q924">
        <v>1.229565829394812</v>
      </c>
      <c r="R924" t="s">
        <v>138</v>
      </c>
      <c r="S924">
        <v>0</v>
      </c>
      <c r="T924" t="s">
        <v>139</v>
      </c>
      <c r="U924">
        <v>2.4591316587896239</v>
      </c>
      <c r="V924" t="s">
        <v>90</v>
      </c>
      <c r="W924">
        <v>0</v>
      </c>
      <c r="X924" t="s">
        <v>90</v>
      </c>
      <c r="Y924">
        <v>0</v>
      </c>
      <c r="Z924">
        <v>24.181461311431299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556</v>
      </c>
      <c r="AI924">
        <v>1875</v>
      </c>
      <c r="AJ924">
        <v>895</v>
      </c>
      <c r="AL924">
        <v>6.7058999999999997</v>
      </c>
      <c r="AN924" t="s">
        <v>661</v>
      </c>
      <c r="AO924" t="s">
        <v>92</v>
      </c>
      <c r="AP924">
        <v>200000</v>
      </c>
      <c r="AQ924" t="s">
        <v>76</v>
      </c>
      <c r="AS924">
        <v>10000</v>
      </c>
      <c r="AT924" t="s">
        <v>7431</v>
      </c>
      <c r="AU924" t="s">
        <v>78</v>
      </c>
      <c r="AV924" t="s">
        <v>79</v>
      </c>
      <c r="AY924">
        <v>0</v>
      </c>
    </row>
    <row r="925" spans="1:52" ht="12.75">
      <c r="A925" s="2" t="str">
        <f>HYPERLINK("https://ibp.a2mac1.com/costing(costing:projects/details/8191/assembly/5388311)","Bumper Bracket on Body")</f>
        <v>Bumper Bracket on Body</v>
      </c>
      <c r="B925">
        <v>5388311</v>
      </c>
      <c r="D925">
        <v>5388159</v>
      </c>
      <c r="F925">
        <v>1</v>
      </c>
      <c r="G925">
        <v>0</v>
      </c>
      <c r="H925">
        <v>2.1727378395511443</v>
      </c>
      <c r="I925">
        <v>0</v>
      </c>
      <c r="J925" t="s">
        <v>90</v>
      </c>
      <c r="K925">
        <v>0</v>
      </c>
      <c r="L925">
        <v>2.1727378395511443</v>
      </c>
      <c r="M925">
        <v>0</v>
      </c>
      <c r="N925">
        <v>0</v>
      </c>
      <c r="O925">
        <v>2.1727378395511443</v>
      </c>
      <c r="P925" t="s">
        <v>90</v>
      </c>
      <c r="Q925">
        <v>0</v>
      </c>
      <c r="R925" t="s">
        <v>90</v>
      </c>
      <c r="S925">
        <v>0</v>
      </c>
      <c r="T925" t="s">
        <v>90</v>
      </c>
      <c r="U925">
        <v>0</v>
      </c>
      <c r="V925" t="s">
        <v>90</v>
      </c>
      <c r="W925">
        <v>0</v>
      </c>
      <c r="X925" t="s">
        <v>90</v>
      </c>
      <c r="Y925">
        <v>0</v>
      </c>
      <c r="Z925">
        <v>2.1727378395511443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L925">
        <v>0.78</v>
      </c>
      <c r="AN925" t="s">
        <v>223</v>
      </c>
      <c r="AO925" t="s">
        <v>92</v>
      </c>
      <c r="AP925">
        <v>200000</v>
      </c>
      <c r="AQ925" t="s">
        <v>92</v>
      </c>
      <c r="AS925">
        <v>10000</v>
      </c>
      <c r="AT925" t="s">
        <v>7451</v>
      </c>
      <c r="AU925" t="s">
        <v>78</v>
      </c>
      <c r="AV925" t="s">
        <v>79</v>
      </c>
      <c r="AY925">
        <v>0</v>
      </c>
    </row>
    <row r="926" spans="1:52" ht="12.75">
      <c r="A926" s="2" t="str">
        <f>HYPERLINK("https://ibp.a2mac1.com/costing(costing:projects/details/8191/assembly/5388668)","Left Side")</f>
        <v>Left Side</v>
      </c>
      <c r="B926">
        <v>5388668</v>
      </c>
      <c r="D926">
        <v>5388312</v>
      </c>
      <c r="F926">
        <v>1</v>
      </c>
      <c r="G926">
        <v>0</v>
      </c>
      <c r="H926">
        <v>3.7505692277109741</v>
      </c>
      <c r="I926">
        <v>0</v>
      </c>
      <c r="J926" t="s">
        <v>90</v>
      </c>
      <c r="K926">
        <v>0</v>
      </c>
      <c r="L926">
        <v>3.7505692277109741</v>
      </c>
      <c r="M926">
        <v>0</v>
      </c>
      <c r="N926">
        <v>0</v>
      </c>
      <c r="O926">
        <v>3.7505692277109741</v>
      </c>
      <c r="P926" t="s">
        <v>90</v>
      </c>
      <c r="Q926">
        <v>0</v>
      </c>
      <c r="R926" t="s">
        <v>90</v>
      </c>
      <c r="S926">
        <v>0</v>
      </c>
      <c r="T926" t="s">
        <v>90</v>
      </c>
      <c r="U926">
        <v>0</v>
      </c>
      <c r="V926" t="s">
        <v>90</v>
      </c>
      <c r="W926">
        <v>0</v>
      </c>
      <c r="X926" t="s">
        <v>90</v>
      </c>
      <c r="Y926">
        <v>0</v>
      </c>
      <c r="Z926">
        <v>3.7505692277109741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L926">
        <v>0.71009999999999995</v>
      </c>
      <c r="AN926" t="s">
        <v>223</v>
      </c>
      <c r="AO926" t="s">
        <v>92</v>
      </c>
      <c r="AP926">
        <v>200000</v>
      </c>
      <c r="AQ926" t="s">
        <v>92</v>
      </c>
      <c r="AS926">
        <v>10000</v>
      </c>
      <c r="AT926" t="s">
        <v>7458</v>
      </c>
      <c r="AU926" t="s">
        <v>78</v>
      </c>
      <c r="AV926" t="s">
        <v>79</v>
      </c>
      <c r="AY926">
        <v>0</v>
      </c>
    </row>
    <row r="927" spans="1:52" ht="12.75">
      <c r="A927" s="2" t="str">
        <f>HYPERLINK("https://ibp.a2mac1.com/costing(costing:projects/details/8191/assembly/5388669)","Right Side")</f>
        <v>Right Side</v>
      </c>
      <c r="B927">
        <v>5388669</v>
      </c>
      <c r="D927">
        <v>5388312</v>
      </c>
      <c r="F927">
        <v>1</v>
      </c>
      <c r="G927">
        <v>0</v>
      </c>
      <c r="H927">
        <v>3.7505692277109741</v>
      </c>
      <c r="I927">
        <v>0</v>
      </c>
      <c r="J927" t="s">
        <v>90</v>
      </c>
      <c r="K927">
        <v>0</v>
      </c>
      <c r="L927">
        <v>3.7505692277109741</v>
      </c>
      <c r="M927">
        <v>0</v>
      </c>
      <c r="N927">
        <v>0</v>
      </c>
      <c r="O927">
        <v>3.7505692277109741</v>
      </c>
      <c r="P927" t="s">
        <v>90</v>
      </c>
      <c r="Q927">
        <v>0</v>
      </c>
      <c r="R927" t="s">
        <v>90</v>
      </c>
      <c r="S927">
        <v>0</v>
      </c>
      <c r="T927" t="s">
        <v>90</v>
      </c>
      <c r="U927">
        <v>0</v>
      </c>
      <c r="V927" t="s">
        <v>90</v>
      </c>
      <c r="W927">
        <v>0</v>
      </c>
      <c r="X927" t="s">
        <v>90</v>
      </c>
      <c r="Y927">
        <v>0</v>
      </c>
      <c r="Z927">
        <v>3.7505692277109741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L927">
        <v>0.89710000000000001</v>
      </c>
      <c r="AN927" t="s">
        <v>223</v>
      </c>
      <c r="AO927" t="s">
        <v>92</v>
      </c>
      <c r="AP927">
        <v>200000</v>
      </c>
      <c r="AQ927" t="s">
        <v>92</v>
      </c>
      <c r="AS927">
        <v>10000</v>
      </c>
      <c r="AT927" t="s">
        <v>7463</v>
      </c>
      <c r="AU927" t="s">
        <v>78</v>
      </c>
      <c r="AV927" t="s">
        <v>79</v>
      </c>
      <c r="AY927">
        <v>0</v>
      </c>
    </row>
    <row r="928" spans="1:52" ht="12.75">
      <c r="A928" s="2" t="str">
        <f>HYPERLINK("https://ibp.a2mac1.com/costing(costing:projects/details/8191/assembly/5388312)","Wheel Arch Liner")</f>
        <v>Wheel Arch Liner</v>
      </c>
      <c r="B928">
        <v>5388312</v>
      </c>
      <c r="D928">
        <v>5388159</v>
      </c>
      <c r="F928">
        <v>1</v>
      </c>
      <c r="G928">
        <v>0</v>
      </c>
      <c r="H928">
        <v>8.1122228065461588</v>
      </c>
      <c r="I928">
        <v>0</v>
      </c>
      <c r="J928" t="s">
        <v>90</v>
      </c>
      <c r="K928">
        <v>0</v>
      </c>
      <c r="L928">
        <v>8.1122228065461588</v>
      </c>
      <c r="M928">
        <v>0</v>
      </c>
      <c r="N928">
        <v>0</v>
      </c>
      <c r="O928">
        <v>8.1122228065461588</v>
      </c>
      <c r="P928" t="s">
        <v>90</v>
      </c>
      <c r="Q928">
        <v>0</v>
      </c>
      <c r="R928" t="s">
        <v>90</v>
      </c>
      <c r="S928">
        <v>0</v>
      </c>
      <c r="T928" t="s">
        <v>90</v>
      </c>
      <c r="U928">
        <v>0</v>
      </c>
      <c r="V928" t="s">
        <v>90</v>
      </c>
      <c r="W928">
        <v>0</v>
      </c>
      <c r="X928" t="s">
        <v>90</v>
      </c>
      <c r="Y928">
        <v>0</v>
      </c>
      <c r="Z928">
        <v>8.1122228065461588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L928">
        <v>1.8411999999999999</v>
      </c>
      <c r="AN928" t="s">
        <v>223</v>
      </c>
      <c r="AO928" t="s">
        <v>92</v>
      </c>
      <c r="AP928">
        <v>200000</v>
      </c>
      <c r="AQ928" t="s">
        <v>92</v>
      </c>
      <c r="AS928">
        <v>10000</v>
      </c>
      <c r="AT928" t="s">
        <v>7469</v>
      </c>
      <c r="AU928" t="s">
        <v>78</v>
      </c>
      <c r="AV928" t="s">
        <v>79</v>
      </c>
      <c r="AY928">
        <v>0</v>
      </c>
    </row>
    <row r="929" spans="1:52" ht="12.75">
      <c r="A929" s="2" t="str">
        <f>HYPERLINK("https://ibp.a2mac1.com/costing(costing:projects/details/8191/assembly/5388159)","Rear bumper")</f>
        <v>Rear bumper</v>
      </c>
      <c r="B929">
        <v>5388159</v>
      </c>
      <c r="D929">
        <v>5388130</v>
      </c>
      <c r="F929">
        <v>1</v>
      </c>
      <c r="G929">
        <v>0</v>
      </c>
      <c r="H929">
        <v>85.28212298577391</v>
      </c>
      <c r="I929">
        <v>0</v>
      </c>
      <c r="J929" t="s">
        <v>90</v>
      </c>
      <c r="K929">
        <v>0</v>
      </c>
      <c r="L929">
        <v>85.28212298577391</v>
      </c>
      <c r="M929">
        <v>0</v>
      </c>
      <c r="N929">
        <v>0</v>
      </c>
      <c r="O929">
        <v>85.28212298577391</v>
      </c>
      <c r="P929" t="s">
        <v>90</v>
      </c>
      <c r="Q929">
        <v>0</v>
      </c>
      <c r="R929" t="s">
        <v>90</v>
      </c>
      <c r="S929">
        <v>0</v>
      </c>
      <c r="T929" t="s">
        <v>90</v>
      </c>
      <c r="U929">
        <v>0</v>
      </c>
      <c r="V929" t="s">
        <v>90</v>
      </c>
      <c r="W929">
        <v>0</v>
      </c>
      <c r="X929" t="s">
        <v>90</v>
      </c>
      <c r="Y929">
        <v>0</v>
      </c>
      <c r="Z929">
        <v>85.28212298577391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L929">
        <v>29.2469</v>
      </c>
      <c r="AN929" t="s">
        <v>223</v>
      </c>
      <c r="AO929" t="s">
        <v>92</v>
      </c>
      <c r="AP929">
        <v>200000</v>
      </c>
      <c r="AQ929" t="s">
        <v>92</v>
      </c>
      <c r="AS929">
        <v>10000</v>
      </c>
      <c r="AT929" t="s">
        <v>7476</v>
      </c>
      <c r="AU929" t="s">
        <v>78</v>
      </c>
      <c r="AV929" t="s">
        <v>79</v>
      </c>
      <c r="AY929">
        <v>0</v>
      </c>
    </row>
    <row r="930" spans="1:52" ht="12.75">
      <c r="A930" s="2" t="str">
        <f>HYPERLINK("https://ibp.a2mac1.com/costing(costing:projects/details/8191/assembly/5388130)","Bumpers")</f>
        <v>Bumpers</v>
      </c>
      <c r="B930">
        <v>5388130</v>
      </c>
      <c r="D930">
        <v>5388126</v>
      </c>
      <c r="F930">
        <v>1</v>
      </c>
      <c r="G930">
        <v>0</v>
      </c>
      <c r="H930">
        <v>183.57891703017901</v>
      </c>
      <c r="I930">
        <v>0</v>
      </c>
      <c r="J930" t="s">
        <v>90</v>
      </c>
      <c r="K930">
        <v>0</v>
      </c>
      <c r="L930">
        <v>183.57891703017901</v>
      </c>
      <c r="M930">
        <v>0</v>
      </c>
      <c r="N930">
        <v>0</v>
      </c>
      <c r="O930">
        <v>183.57891703017901</v>
      </c>
      <c r="P930" t="s">
        <v>90</v>
      </c>
      <c r="Q930">
        <v>0</v>
      </c>
      <c r="R930" t="s">
        <v>90</v>
      </c>
      <c r="S930">
        <v>0</v>
      </c>
      <c r="T930" t="s">
        <v>90</v>
      </c>
      <c r="U930">
        <v>0</v>
      </c>
      <c r="V930" t="s">
        <v>90</v>
      </c>
      <c r="W930">
        <v>0</v>
      </c>
      <c r="X930" t="s">
        <v>90</v>
      </c>
      <c r="Y930">
        <v>0</v>
      </c>
      <c r="Z930">
        <v>183.57891703017901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L930">
        <v>63.066499999999998</v>
      </c>
      <c r="AN930" t="s">
        <v>223</v>
      </c>
      <c r="AO930" t="s">
        <v>92</v>
      </c>
      <c r="AP930">
        <v>200000</v>
      </c>
      <c r="AQ930" t="s">
        <v>92</v>
      </c>
      <c r="AS930">
        <v>10000</v>
      </c>
      <c r="AT930" t="s">
        <v>7477</v>
      </c>
      <c r="AU930" t="s">
        <v>78</v>
      </c>
      <c r="AV930" t="s">
        <v>79</v>
      </c>
      <c r="AY930">
        <v>0</v>
      </c>
    </row>
    <row r="931" spans="1:52" ht="12.75">
      <c r="A931" s="2" t="str">
        <f>HYPERLINK("https://ibp.a2mac1.com/costing(costing:projects/details/8191/assembly/5388313)","Headlamp")</f>
        <v>Headlamp</v>
      </c>
      <c r="B931">
        <v>5388313</v>
      </c>
      <c r="D931">
        <v>5388162</v>
      </c>
      <c r="F931">
        <v>2</v>
      </c>
      <c r="G931">
        <v>0</v>
      </c>
      <c r="H931">
        <v>171.02477921879174</v>
      </c>
      <c r="I931">
        <v>0.85942100109945596</v>
      </c>
      <c r="J931" t="s">
        <v>137</v>
      </c>
      <c r="K931">
        <v>5.9858672726577113</v>
      </c>
      <c r="L931">
        <v>177.87006749254891</v>
      </c>
      <c r="M931">
        <v>0</v>
      </c>
      <c r="N931">
        <v>13.394278953256977</v>
      </c>
      <c r="O931">
        <v>191.2643464458059</v>
      </c>
      <c r="P931" t="s">
        <v>138</v>
      </c>
      <c r="Q931">
        <v>10.672204049552935</v>
      </c>
      <c r="R931" t="s">
        <v>138</v>
      </c>
      <c r="S931">
        <v>0.80365673719541864</v>
      </c>
      <c r="T931" t="s">
        <v>139</v>
      </c>
      <c r="U931">
        <v>22.951721573496705</v>
      </c>
      <c r="V931" t="s">
        <v>90</v>
      </c>
      <c r="W931">
        <v>0</v>
      </c>
      <c r="X931" t="s">
        <v>90</v>
      </c>
      <c r="Y931">
        <v>0</v>
      </c>
      <c r="Z931">
        <v>225.69192880605095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512</v>
      </c>
      <c r="AI931">
        <v>518</v>
      </c>
      <c r="AJ931">
        <v>280</v>
      </c>
      <c r="AL931">
        <v>4.80</v>
      </c>
      <c r="AM931" t="s">
        <v>7482</v>
      </c>
      <c r="AN931" t="s">
        <v>576</v>
      </c>
      <c r="AO931" t="s">
        <v>92</v>
      </c>
      <c r="AP931">
        <v>400000</v>
      </c>
      <c r="AQ931" t="s">
        <v>76</v>
      </c>
      <c r="AS931">
        <v>20000</v>
      </c>
      <c r="AT931" t="s">
        <v>7483</v>
      </c>
      <c r="AU931" t="s">
        <v>78</v>
      </c>
      <c r="AV931" t="s">
        <v>79</v>
      </c>
      <c r="AY931">
        <v>0</v>
      </c>
    </row>
    <row r="932" spans="1:52" ht="12.75">
      <c r="A932" s="2" t="str">
        <f>HYPERLINK("https://ibp.a2mac1.com/costing(costing:projects/details/8191/assembly/5388315)","Headlight Support")</f>
        <v>Headlight Support</v>
      </c>
      <c r="B932">
        <v>5388315</v>
      </c>
      <c r="D932">
        <v>5388162</v>
      </c>
      <c r="F932">
        <v>1</v>
      </c>
      <c r="G932">
        <v>0</v>
      </c>
      <c r="H932">
        <v>0.46137</v>
      </c>
      <c r="I932">
        <v>0</v>
      </c>
      <c r="J932" t="s">
        <v>74</v>
      </c>
      <c r="K932">
        <v>0</v>
      </c>
      <c r="L932">
        <v>0.46137</v>
      </c>
      <c r="M932">
        <v>0</v>
      </c>
      <c r="N932">
        <v>0</v>
      </c>
      <c r="O932">
        <v>0.46137</v>
      </c>
      <c r="P932" t="s">
        <v>74</v>
      </c>
      <c r="Q932">
        <v>0</v>
      </c>
      <c r="R932" t="s">
        <v>74</v>
      </c>
      <c r="S932">
        <v>0</v>
      </c>
      <c r="T932" t="s">
        <v>74</v>
      </c>
      <c r="U932">
        <v>0</v>
      </c>
      <c r="V932" t="s">
        <v>74</v>
      </c>
      <c r="W932">
        <v>0</v>
      </c>
      <c r="X932" t="s">
        <v>74</v>
      </c>
      <c r="Y932">
        <v>0</v>
      </c>
      <c r="Z932">
        <v>0.46137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L932">
        <v>0.053999999999999999</v>
      </c>
      <c r="AN932" t="s">
        <v>223</v>
      </c>
      <c r="AO932" t="s">
        <v>92</v>
      </c>
      <c r="AP932">
        <v>200000</v>
      </c>
      <c r="AQ932" t="s">
        <v>92</v>
      </c>
      <c r="AS932">
        <v>10000</v>
      </c>
      <c r="AT932" t="s">
        <v>7484</v>
      </c>
      <c r="AU932" t="s">
        <v>78</v>
      </c>
      <c r="AV932" t="s">
        <v>79</v>
      </c>
      <c r="AX932">
        <v>0.46137</v>
      </c>
      <c r="AY932">
        <v>0</v>
      </c>
    </row>
    <row r="933" spans="1:52" ht="12.75">
      <c r="A933" s="2" t="str">
        <f>HYPERLINK("https://ibp.a2mac1.com/costing(costing:projects/details/8191/assembly/5388316)","Headlamp ECU")</f>
        <v>Headlamp ECU</v>
      </c>
      <c r="B933">
        <v>5388316</v>
      </c>
      <c r="D933">
        <v>5388162</v>
      </c>
      <c r="F933">
        <v>1</v>
      </c>
      <c r="G933">
        <v>0</v>
      </c>
      <c r="H933">
        <v>39.525641823230615</v>
      </c>
      <c r="I933">
        <v>0</v>
      </c>
      <c r="J933" t="s">
        <v>90</v>
      </c>
      <c r="K933">
        <v>0</v>
      </c>
      <c r="L933">
        <v>39.525641823230615</v>
      </c>
      <c r="M933">
        <v>0</v>
      </c>
      <c r="N933">
        <v>0</v>
      </c>
      <c r="O933">
        <v>39.525641823230615</v>
      </c>
      <c r="P933" t="s">
        <v>90</v>
      </c>
      <c r="Q933">
        <v>0</v>
      </c>
      <c r="R933" t="s">
        <v>90</v>
      </c>
      <c r="S933">
        <v>0</v>
      </c>
      <c r="T933" t="s">
        <v>90</v>
      </c>
      <c r="U933">
        <v>0</v>
      </c>
      <c r="V933" t="s">
        <v>90</v>
      </c>
      <c r="W933">
        <v>0</v>
      </c>
      <c r="X933" t="s">
        <v>90</v>
      </c>
      <c r="Y933">
        <v>0</v>
      </c>
      <c r="Z933">
        <v>39.525641823230615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L933">
        <v>0.64080000000000004</v>
      </c>
      <c r="AN933" t="s">
        <v>223</v>
      </c>
      <c r="AO933" t="s">
        <v>92</v>
      </c>
      <c r="AP933">
        <v>200000</v>
      </c>
      <c r="AQ933" t="s">
        <v>92</v>
      </c>
      <c r="AS933">
        <v>10000</v>
      </c>
      <c r="AT933" t="s">
        <v>7495</v>
      </c>
      <c r="AU933" t="s">
        <v>78</v>
      </c>
      <c r="AV933" t="s">
        <v>79</v>
      </c>
      <c r="AY933">
        <v>0</v>
      </c>
    </row>
    <row r="934" spans="1:52" ht="12.75">
      <c r="A934" s="2" t="str">
        <f>HYPERLINK("https://ibp.a2mac1.com/costing(costing:projects/details/8191/assembly/5388162)","Headlamp System")</f>
        <v>Headlamp System</v>
      </c>
      <c r="B934">
        <v>5388162</v>
      </c>
      <c r="D934">
        <v>5388131</v>
      </c>
      <c r="F934">
        <v>1</v>
      </c>
      <c r="G934">
        <v>0</v>
      </c>
      <c r="H934">
        <v>265.86348062928158</v>
      </c>
      <c r="I934">
        <v>0</v>
      </c>
      <c r="J934" t="s">
        <v>90</v>
      </c>
      <c r="K934">
        <v>0</v>
      </c>
      <c r="L934">
        <v>265.86348062928158</v>
      </c>
      <c r="M934">
        <v>0</v>
      </c>
      <c r="N934">
        <v>0</v>
      </c>
      <c r="O934">
        <v>265.86348062928158</v>
      </c>
      <c r="P934" t="s">
        <v>90</v>
      </c>
      <c r="Q934">
        <v>0</v>
      </c>
      <c r="R934" t="s">
        <v>90</v>
      </c>
      <c r="S934">
        <v>0</v>
      </c>
      <c r="T934" t="s">
        <v>90</v>
      </c>
      <c r="U934">
        <v>0</v>
      </c>
      <c r="V934" t="s">
        <v>90</v>
      </c>
      <c r="W934">
        <v>0</v>
      </c>
      <c r="X934" t="s">
        <v>90</v>
      </c>
      <c r="Y934">
        <v>0</v>
      </c>
      <c r="Z934">
        <v>265.86348062928158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L934">
        <v>10.315799999999999</v>
      </c>
      <c r="AN934" t="s">
        <v>223</v>
      </c>
      <c r="AO934" t="s">
        <v>92</v>
      </c>
      <c r="AP934">
        <v>200000</v>
      </c>
      <c r="AQ934" t="s">
        <v>92</v>
      </c>
      <c r="AS934">
        <v>10000</v>
      </c>
      <c r="AT934" t="s">
        <v>7497</v>
      </c>
      <c r="AU934" t="s">
        <v>78</v>
      </c>
      <c r="AV934" t="s">
        <v>79</v>
      </c>
      <c r="AY934">
        <v>0</v>
      </c>
    </row>
    <row r="935" spans="1:52" ht="12.75">
      <c r="A935" s="2" t="str">
        <f>HYPERLINK("https://ibp.a2mac1.com/costing(costing:projects/details/8191/assembly/5388163)","Rear Lamp System")</f>
        <v>Rear Lamp System</v>
      </c>
      <c r="B935">
        <v>5388163</v>
      </c>
      <c r="D935">
        <v>5388131</v>
      </c>
      <c r="F935">
        <v>1</v>
      </c>
      <c r="G935">
        <v>0</v>
      </c>
      <c r="H935">
        <v>93.900321735782825</v>
      </c>
      <c r="I935">
        <v>0</v>
      </c>
      <c r="J935" t="s">
        <v>90</v>
      </c>
      <c r="K935">
        <v>0</v>
      </c>
      <c r="L935">
        <v>93.900321735782825</v>
      </c>
      <c r="M935">
        <v>0</v>
      </c>
      <c r="N935">
        <v>0</v>
      </c>
      <c r="O935">
        <v>93.900321735782825</v>
      </c>
      <c r="P935" t="s">
        <v>90</v>
      </c>
      <c r="Q935">
        <v>0</v>
      </c>
      <c r="R935" t="s">
        <v>90</v>
      </c>
      <c r="S935">
        <v>0</v>
      </c>
      <c r="T935" t="s">
        <v>90</v>
      </c>
      <c r="U935">
        <v>0</v>
      </c>
      <c r="V935" t="s">
        <v>90</v>
      </c>
      <c r="W935">
        <v>0</v>
      </c>
      <c r="X935" t="s">
        <v>90</v>
      </c>
      <c r="Y935">
        <v>0</v>
      </c>
      <c r="Z935">
        <v>93.900321735782825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L935">
        <v>4.4908000000000001</v>
      </c>
      <c r="AN935" t="s">
        <v>223</v>
      </c>
      <c r="AO935" t="s">
        <v>92</v>
      </c>
      <c r="AP935">
        <v>200000</v>
      </c>
      <c r="AQ935" t="s">
        <v>92</v>
      </c>
      <c r="AS935">
        <v>10000</v>
      </c>
      <c r="AT935" t="s">
        <v>7507</v>
      </c>
      <c r="AU935" t="s">
        <v>78</v>
      </c>
      <c r="AV935" t="s">
        <v>79</v>
      </c>
      <c r="AY935">
        <v>0</v>
      </c>
    </row>
    <row r="936" spans="1:52" ht="12.75">
      <c r="A936" s="2" t="str">
        <f>HYPERLINK("https://ibp.a2mac1.com/costing(costing:projects/details/8191/assembly/5388164)","Third Stop Lamp System")</f>
        <v>Third Stop Lamp System</v>
      </c>
      <c r="B936">
        <v>5388164</v>
      </c>
      <c r="D936">
        <v>5388131</v>
      </c>
      <c r="F936">
        <v>1</v>
      </c>
      <c r="G936">
        <v>0</v>
      </c>
      <c r="H936">
        <v>18.396041617575623</v>
      </c>
      <c r="I936">
        <v>0</v>
      </c>
      <c r="J936" t="s">
        <v>90</v>
      </c>
      <c r="K936">
        <v>0</v>
      </c>
      <c r="L936">
        <v>18.396041617575623</v>
      </c>
      <c r="M936">
        <v>0</v>
      </c>
      <c r="N936">
        <v>0</v>
      </c>
      <c r="O936">
        <v>18.396041617575623</v>
      </c>
      <c r="P936" t="s">
        <v>90</v>
      </c>
      <c r="Q936">
        <v>0</v>
      </c>
      <c r="R936" t="s">
        <v>90</v>
      </c>
      <c r="S936">
        <v>0</v>
      </c>
      <c r="T936" t="s">
        <v>90</v>
      </c>
      <c r="U936">
        <v>0</v>
      </c>
      <c r="V936" t="s">
        <v>90</v>
      </c>
      <c r="W936">
        <v>0</v>
      </c>
      <c r="X936" t="s">
        <v>90</v>
      </c>
      <c r="Y936">
        <v>0</v>
      </c>
      <c r="Z936">
        <v>18.396041617575623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L936">
        <v>0.16200000000000001</v>
      </c>
      <c r="AN936" t="s">
        <v>223</v>
      </c>
      <c r="AO936" t="s">
        <v>92</v>
      </c>
      <c r="AP936">
        <v>200000</v>
      </c>
      <c r="AQ936" t="s">
        <v>92</v>
      </c>
      <c r="AS936">
        <v>10000</v>
      </c>
      <c r="AT936" t="s">
        <v>7515</v>
      </c>
      <c r="AU936" t="s">
        <v>78</v>
      </c>
      <c r="AV936" t="s">
        <v>79</v>
      </c>
      <c r="AY936">
        <v>0</v>
      </c>
    </row>
    <row r="937" spans="1:52" ht="12.75">
      <c r="A937" s="2" t="str">
        <f>HYPERLINK("https://ibp.a2mac1.com/costing(costing:projects/details/8191/assembly/5388165)","License Plate Light System")</f>
        <v>License Plate Light System</v>
      </c>
      <c r="B937">
        <v>5388165</v>
      </c>
      <c r="D937">
        <v>5388131</v>
      </c>
      <c r="F937">
        <v>1</v>
      </c>
      <c r="G937">
        <v>0</v>
      </c>
      <c r="H937">
        <v>2.4175800000000001</v>
      </c>
      <c r="I937">
        <v>0</v>
      </c>
      <c r="J937" t="s">
        <v>90</v>
      </c>
      <c r="K937">
        <v>0</v>
      </c>
      <c r="L937">
        <v>2.4175800000000001</v>
      </c>
      <c r="M937">
        <v>0</v>
      </c>
      <c r="N937">
        <v>0</v>
      </c>
      <c r="O937">
        <v>2.4175800000000001</v>
      </c>
      <c r="P937" t="s">
        <v>90</v>
      </c>
      <c r="Q937">
        <v>0</v>
      </c>
      <c r="R937" t="s">
        <v>90</v>
      </c>
      <c r="S937">
        <v>0</v>
      </c>
      <c r="T937" t="s">
        <v>90</v>
      </c>
      <c r="U937">
        <v>0</v>
      </c>
      <c r="V937" t="s">
        <v>90</v>
      </c>
      <c r="W937">
        <v>0</v>
      </c>
      <c r="X937" t="s">
        <v>90</v>
      </c>
      <c r="Y937">
        <v>0</v>
      </c>
      <c r="Z937">
        <v>2.4175800000000001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L937">
        <v>0.033000000000000002</v>
      </c>
      <c r="AN937" t="s">
        <v>223</v>
      </c>
      <c r="AO937" t="s">
        <v>92</v>
      </c>
      <c r="AP937">
        <v>200000</v>
      </c>
      <c r="AQ937" t="s">
        <v>92</v>
      </c>
      <c r="AS937">
        <v>10000</v>
      </c>
      <c r="AT937" t="s">
        <v>7519</v>
      </c>
      <c r="AU937" t="s">
        <v>78</v>
      </c>
      <c r="AV937" t="s">
        <v>79</v>
      </c>
      <c r="AY937">
        <v>0</v>
      </c>
    </row>
    <row r="938" spans="1:52" ht="12.75">
      <c r="A938" s="2" t="str">
        <f>HYPERLINK("https://ibp.a2mac1.com/costing(costing:projects/details/8191/assembly/5388166)","Daytime Running Lamp System")</f>
        <v>Daytime Running Lamp System</v>
      </c>
      <c r="B938">
        <v>5388166</v>
      </c>
      <c r="D938">
        <v>5388131</v>
      </c>
      <c r="F938">
        <v>1</v>
      </c>
      <c r="G938">
        <v>0</v>
      </c>
      <c r="H938">
        <v>15.114139394196494</v>
      </c>
      <c r="I938">
        <v>0</v>
      </c>
      <c r="J938" t="s">
        <v>90</v>
      </c>
      <c r="K938">
        <v>0</v>
      </c>
      <c r="L938">
        <v>15.114139394196494</v>
      </c>
      <c r="M938">
        <v>0</v>
      </c>
      <c r="N938">
        <v>0</v>
      </c>
      <c r="O938">
        <v>15.114139394196494</v>
      </c>
      <c r="P938" t="s">
        <v>90</v>
      </c>
      <c r="Q938">
        <v>0</v>
      </c>
      <c r="R938" t="s">
        <v>90</v>
      </c>
      <c r="S938">
        <v>0</v>
      </c>
      <c r="T938" t="s">
        <v>90</v>
      </c>
      <c r="U938">
        <v>0</v>
      </c>
      <c r="V938" t="s">
        <v>90</v>
      </c>
      <c r="W938">
        <v>0</v>
      </c>
      <c r="X938" t="s">
        <v>90</v>
      </c>
      <c r="Y938">
        <v>0</v>
      </c>
      <c r="Z938">
        <v>15.114139394196494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L938">
        <v>0.81</v>
      </c>
      <c r="AN938" t="s">
        <v>223</v>
      </c>
      <c r="AO938" t="s">
        <v>92</v>
      </c>
      <c r="AP938">
        <v>200000</v>
      </c>
      <c r="AQ938" t="s">
        <v>92</v>
      </c>
      <c r="AS938">
        <v>10000</v>
      </c>
      <c r="AT938" t="s">
        <v>7524</v>
      </c>
      <c r="AU938" t="s">
        <v>78</v>
      </c>
      <c r="AV938" t="s">
        <v>79</v>
      </c>
      <c r="AY938">
        <v>0</v>
      </c>
    </row>
    <row r="939" spans="1:52" ht="12.75">
      <c r="A939" s="2" t="str">
        <f>HYPERLINK("https://ibp.a2mac1.com/costing(costing:projects/details/8191/assembly/5388323)","Dynamic Adjustment on Front Axle")</f>
        <v>Dynamic Adjustment on Front Axle</v>
      </c>
      <c r="B939">
        <v>5388323</v>
      </c>
      <c r="D939">
        <v>5388167</v>
      </c>
      <c r="F939">
        <v>1</v>
      </c>
      <c r="G939">
        <v>0</v>
      </c>
      <c r="H939">
        <v>4.8443800000000001</v>
      </c>
      <c r="I939">
        <v>0</v>
      </c>
      <c r="J939" t="s">
        <v>90</v>
      </c>
      <c r="K939">
        <v>0</v>
      </c>
      <c r="L939">
        <v>4.8443800000000001</v>
      </c>
      <c r="M939">
        <v>0</v>
      </c>
      <c r="N939">
        <v>0</v>
      </c>
      <c r="O939">
        <v>4.8443800000000001</v>
      </c>
      <c r="P939" t="s">
        <v>90</v>
      </c>
      <c r="Q939">
        <v>0</v>
      </c>
      <c r="R939" t="s">
        <v>90</v>
      </c>
      <c r="S939">
        <v>0</v>
      </c>
      <c r="T939" t="s">
        <v>90</v>
      </c>
      <c r="U939">
        <v>0</v>
      </c>
      <c r="V939" t="s">
        <v>90</v>
      </c>
      <c r="W939">
        <v>0</v>
      </c>
      <c r="X939" t="s">
        <v>90</v>
      </c>
      <c r="Y939">
        <v>0</v>
      </c>
      <c r="Z939">
        <v>4.8443800000000001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L939">
        <v>0.23</v>
      </c>
      <c r="AN939" t="s">
        <v>223</v>
      </c>
      <c r="AO939" t="s">
        <v>92</v>
      </c>
      <c r="AP939">
        <v>200000</v>
      </c>
      <c r="AQ939" t="s">
        <v>92</v>
      </c>
      <c r="AS939">
        <v>10000</v>
      </c>
      <c r="AT939" t="s">
        <v>7532</v>
      </c>
      <c r="AU939" t="s">
        <v>78</v>
      </c>
      <c r="AV939" t="s">
        <v>79</v>
      </c>
      <c r="AY939">
        <v>0</v>
      </c>
    </row>
    <row r="940" spans="1:52" ht="12.75">
      <c r="A940" s="2" t="str">
        <f>HYPERLINK("https://ibp.a2mac1.com/costing(costing:projects/details/8191/assembly/5388324)","Dynamic Adjustment on Rear Axle")</f>
        <v>Dynamic Adjustment on Rear Axle</v>
      </c>
      <c r="B940">
        <v>5388324</v>
      </c>
      <c r="D940">
        <v>5388167</v>
      </c>
      <c r="F940">
        <v>1</v>
      </c>
      <c r="G940">
        <v>0</v>
      </c>
      <c r="H940">
        <v>4.8443800000000001</v>
      </c>
      <c r="I940">
        <v>0</v>
      </c>
      <c r="J940" t="s">
        <v>90</v>
      </c>
      <c r="K940">
        <v>0</v>
      </c>
      <c r="L940">
        <v>4.8443800000000001</v>
      </c>
      <c r="M940">
        <v>0</v>
      </c>
      <c r="N940">
        <v>0</v>
      </c>
      <c r="O940">
        <v>4.8443800000000001</v>
      </c>
      <c r="P940" t="s">
        <v>90</v>
      </c>
      <c r="Q940">
        <v>0</v>
      </c>
      <c r="R940" t="s">
        <v>90</v>
      </c>
      <c r="S940">
        <v>0</v>
      </c>
      <c r="T940" t="s">
        <v>90</v>
      </c>
      <c r="U940">
        <v>0</v>
      </c>
      <c r="V940" t="s">
        <v>90</v>
      </c>
      <c r="W940">
        <v>0</v>
      </c>
      <c r="X940" t="s">
        <v>90</v>
      </c>
      <c r="Y940">
        <v>0</v>
      </c>
      <c r="Z940">
        <v>4.8443800000000001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L940">
        <v>0.108</v>
      </c>
      <c r="AN940" t="s">
        <v>223</v>
      </c>
      <c r="AO940" t="s">
        <v>92</v>
      </c>
      <c r="AP940">
        <v>200000</v>
      </c>
      <c r="AQ940" t="s">
        <v>92</v>
      </c>
      <c r="AS940">
        <v>10000</v>
      </c>
      <c r="AT940" t="s">
        <v>7539</v>
      </c>
      <c r="AU940" t="s">
        <v>78</v>
      </c>
      <c r="AV940" t="s">
        <v>79</v>
      </c>
      <c r="AY940">
        <v>0</v>
      </c>
    </row>
    <row r="941" spans="1:52" ht="12.75">
      <c r="A941" s="2" t="str">
        <f>HYPERLINK("https://ibp.a2mac1.com/costing(costing:projects/details/8191/assembly/5388167)","Dynamic Adjustment Bar")</f>
        <v>Dynamic Adjustment Bar</v>
      </c>
      <c r="B941">
        <v>5388167</v>
      </c>
      <c r="D941">
        <v>5388131</v>
      </c>
      <c r="F941">
        <v>1</v>
      </c>
      <c r="G941">
        <v>0</v>
      </c>
      <c r="H941">
        <v>9.6887600000000003</v>
      </c>
      <c r="I941">
        <v>0</v>
      </c>
      <c r="J941" t="s">
        <v>90</v>
      </c>
      <c r="K941">
        <v>0</v>
      </c>
      <c r="L941">
        <v>9.6887600000000003</v>
      </c>
      <c r="M941">
        <v>0</v>
      </c>
      <c r="N941">
        <v>0</v>
      </c>
      <c r="O941">
        <v>9.6887600000000003</v>
      </c>
      <c r="P941" t="s">
        <v>90</v>
      </c>
      <c r="Q941">
        <v>0</v>
      </c>
      <c r="R941" t="s">
        <v>90</v>
      </c>
      <c r="S941">
        <v>0</v>
      </c>
      <c r="T941" t="s">
        <v>90</v>
      </c>
      <c r="U941">
        <v>0</v>
      </c>
      <c r="V941" t="s">
        <v>90</v>
      </c>
      <c r="W941">
        <v>0</v>
      </c>
      <c r="X941" t="s">
        <v>90</v>
      </c>
      <c r="Y941">
        <v>0</v>
      </c>
      <c r="Z941">
        <v>9.6887600000000003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L941">
        <v>0.33800000000000002</v>
      </c>
      <c r="AN941" t="s">
        <v>223</v>
      </c>
      <c r="AO941" t="s">
        <v>92</v>
      </c>
      <c r="AP941">
        <v>200000</v>
      </c>
      <c r="AQ941" t="s">
        <v>92</v>
      </c>
      <c r="AS941">
        <v>10000</v>
      </c>
      <c r="AT941" t="s">
        <v>7540</v>
      </c>
      <c r="AU941" t="s">
        <v>78</v>
      </c>
      <c r="AV941" t="s">
        <v>79</v>
      </c>
      <c r="AY941">
        <v>0</v>
      </c>
    </row>
    <row r="942" spans="1:52" ht="12.75">
      <c r="A942" s="2" t="str">
        <f>HYPERLINK("https://ibp.a2mac1.com/costing(costing:projects/details/8191/assembly/5388131)","Exterior Lighting")</f>
        <v>Exterior Lighting</v>
      </c>
      <c r="B942">
        <v>5388131</v>
      </c>
      <c r="D942">
        <v>5388126</v>
      </c>
      <c r="F942">
        <v>1</v>
      </c>
      <c r="G942">
        <v>0</v>
      </c>
      <c r="H942">
        <v>407.46572337683648</v>
      </c>
      <c r="I942">
        <v>0</v>
      </c>
      <c r="J942" t="s">
        <v>90</v>
      </c>
      <c r="K942">
        <v>0</v>
      </c>
      <c r="L942">
        <v>407.46572337683648</v>
      </c>
      <c r="M942">
        <v>0</v>
      </c>
      <c r="N942">
        <v>0</v>
      </c>
      <c r="O942">
        <v>407.46572337683648</v>
      </c>
      <c r="P942" t="s">
        <v>90</v>
      </c>
      <c r="Q942">
        <v>0</v>
      </c>
      <c r="R942" t="s">
        <v>90</v>
      </c>
      <c r="S942">
        <v>0</v>
      </c>
      <c r="T942" t="s">
        <v>90</v>
      </c>
      <c r="U942">
        <v>0</v>
      </c>
      <c r="V942" t="s">
        <v>90</v>
      </c>
      <c r="W942">
        <v>0</v>
      </c>
      <c r="X942" t="s">
        <v>90</v>
      </c>
      <c r="Y942">
        <v>0</v>
      </c>
      <c r="Z942">
        <v>407.46572337683648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L942">
        <v>16.320599999999999</v>
      </c>
      <c r="AN942" t="s">
        <v>223</v>
      </c>
      <c r="AO942" t="s">
        <v>92</v>
      </c>
      <c r="AP942">
        <v>200000</v>
      </c>
      <c r="AQ942" t="s">
        <v>92</v>
      </c>
      <c r="AS942">
        <v>10000</v>
      </c>
      <c r="AT942" t="s">
        <v>7545</v>
      </c>
      <c r="AU942" t="s">
        <v>78</v>
      </c>
      <c r="AV942" t="s">
        <v>79</v>
      </c>
      <c r="AY942">
        <v>0</v>
      </c>
    </row>
    <row r="943" spans="1:52" ht="12.75">
      <c r="A943" s="2" t="str">
        <f>HYPERLINK("https://ibp.a2mac1.com/costing(costing:projects/details/8191/assembly/5388329)","Wiper Blades")</f>
        <v>Wiper Blades</v>
      </c>
      <c r="B943">
        <v>5388329</v>
      </c>
      <c r="D943">
        <v>5388168</v>
      </c>
      <c r="F943">
        <v>1</v>
      </c>
      <c r="G943">
        <v>0</v>
      </c>
      <c r="H943">
        <v>0.55364000000000002</v>
      </c>
      <c r="I943">
        <v>0</v>
      </c>
      <c r="J943" t="s">
        <v>90</v>
      </c>
      <c r="K943">
        <v>0</v>
      </c>
      <c r="L943">
        <v>0.55364000000000002</v>
      </c>
      <c r="M943">
        <v>0</v>
      </c>
      <c r="N943">
        <v>0</v>
      </c>
      <c r="O943">
        <v>0.55364000000000002</v>
      </c>
      <c r="P943" t="s">
        <v>90</v>
      </c>
      <c r="Q943">
        <v>0</v>
      </c>
      <c r="R943" t="s">
        <v>90</v>
      </c>
      <c r="S943">
        <v>0</v>
      </c>
      <c r="T943" t="s">
        <v>90</v>
      </c>
      <c r="U943">
        <v>0</v>
      </c>
      <c r="V943" t="s">
        <v>90</v>
      </c>
      <c r="W943">
        <v>0</v>
      </c>
      <c r="X943" t="s">
        <v>90</v>
      </c>
      <c r="Y943">
        <v>0</v>
      </c>
      <c r="Z943">
        <v>0.55364000000000002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L943">
        <v>0.23200000000000001</v>
      </c>
      <c r="AN943" t="s">
        <v>223</v>
      </c>
      <c r="AO943" t="s">
        <v>92</v>
      </c>
      <c r="AP943">
        <v>200000</v>
      </c>
      <c r="AQ943" t="s">
        <v>92</v>
      </c>
      <c r="AS943">
        <v>10000</v>
      </c>
      <c r="AT943" t="s">
        <v>7553</v>
      </c>
      <c r="AU943" t="s">
        <v>78</v>
      </c>
      <c r="AV943" t="s">
        <v>79</v>
      </c>
      <c r="AY943">
        <v>0</v>
      </c>
    </row>
    <row r="944" spans="1:52" ht="12.75">
      <c r="A944" s="2" t="str">
        <f>HYPERLINK("https://ibp.a2mac1.com/costing(costing:projects/details/8191/assembly/5388684)","Fastners")</f>
        <v>Fastners</v>
      </c>
      <c r="B944">
        <v>5388684</v>
      </c>
      <c r="D944">
        <v>5388330</v>
      </c>
      <c r="F944">
        <v>1</v>
      </c>
      <c r="G944">
        <v>0</v>
      </c>
      <c r="H944">
        <v>0.06</v>
      </c>
      <c r="I944">
        <v>0</v>
      </c>
      <c r="J944" t="s">
        <v>90</v>
      </c>
      <c r="K944">
        <v>0</v>
      </c>
      <c r="L944">
        <v>0.06</v>
      </c>
      <c r="M944">
        <v>0</v>
      </c>
      <c r="N944">
        <v>0</v>
      </c>
      <c r="O944">
        <v>0.06</v>
      </c>
      <c r="P944" t="s">
        <v>90</v>
      </c>
      <c r="Q944">
        <v>0</v>
      </c>
      <c r="R944" t="s">
        <v>90</v>
      </c>
      <c r="S944">
        <v>0</v>
      </c>
      <c r="T944" t="s">
        <v>90</v>
      </c>
      <c r="U944">
        <v>0</v>
      </c>
      <c r="V944" t="s">
        <v>90</v>
      </c>
      <c r="W944">
        <v>0</v>
      </c>
      <c r="X944" t="s">
        <v>90</v>
      </c>
      <c r="Y944">
        <v>0</v>
      </c>
      <c r="Z944">
        <v>0.06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N944" t="s">
        <v>223</v>
      </c>
      <c r="AO944" t="s">
        <v>92</v>
      </c>
      <c r="AP944">
        <v>200000</v>
      </c>
      <c r="AQ944" t="s">
        <v>76</v>
      </c>
      <c r="AR944">
        <v>0</v>
      </c>
      <c r="AS944">
        <v>10000</v>
      </c>
      <c r="AT944" t="s">
        <v>9</v>
      </c>
      <c r="AU944" t="s">
        <v>78</v>
      </c>
      <c r="AV944" t="s">
        <v>79</v>
      </c>
      <c r="AY944">
        <v>0</v>
      </c>
    </row>
    <row r="945" spans="1:52" ht="12.75">
      <c r="A945" s="2" t="str">
        <f>HYPERLINK("https://ibp.a2mac1.com/costing(costing:projects/details/8191/assembly/5388330)","Wiper Arm")</f>
        <v>Wiper Arm</v>
      </c>
      <c r="B945">
        <v>5388330</v>
      </c>
      <c r="D945">
        <v>5388168</v>
      </c>
      <c r="F945">
        <v>1</v>
      </c>
      <c r="G945">
        <v>0</v>
      </c>
      <c r="H945">
        <v>5.6352284974581242</v>
      </c>
      <c r="I945">
        <v>0</v>
      </c>
      <c r="J945" t="s">
        <v>90</v>
      </c>
      <c r="K945">
        <v>0</v>
      </c>
      <c r="L945">
        <v>5.6352284974581242</v>
      </c>
      <c r="M945">
        <v>0</v>
      </c>
      <c r="N945">
        <v>0</v>
      </c>
      <c r="O945">
        <v>5.6352284974581242</v>
      </c>
      <c r="P945" t="s">
        <v>90</v>
      </c>
      <c r="Q945">
        <v>0</v>
      </c>
      <c r="R945" t="s">
        <v>90</v>
      </c>
      <c r="S945">
        <v>0</v>
      </c>
      <c r="T945" t="s">
        <v>90</v>
      </c>
      <c r="U945">
        <v>0</v>
      </c>
      <c r="V945" t="s">
        <v>90</v>
      </c>
      <c r="W945">
        <v>0</v>
      </c>
      <c r="X945" t="s">
        <v>90</v>
      </c>
      <c r="Y945">
        <v>0</v>
      </c>
      <c r="Z945">
        <v>5.6352284974581242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L945">
        <v>1.0640000000000001</v>
      </c>
      <c r="AN945" t="s">
        <v>223</v>
      </c>
      <c r="AO945" t="s">
        <v>92</v>
      </c>
      <c r="AP945">
        <v>200000</v>
      </c>
      <c r="AQ945" t="s">
        <v>92</v>
      </c>
      <c r="AS945">
        <v>10000</v>
      </c>
      <c r="AT945" t="s">
        <v>7567</v>
      </c>
      <c r="AU945" t="s">
        <v>78</v>
      </c>
      <c r="AV945" t="s">
        <v>79</v>
      </c>
      <c r="AY945">
        <v>0</v>
      </c>
    </row>
    <row r="946" spans="1:52" ht="12.75">
      <c r="A946" s="2" t="str">
        <f>HYPERLINK("https://ibp.a2mac1.com/costing(costing:projects/details/8191/assembly/5388331)","Fastners")</f>
        <v>Fastners</v>
      </c>
      <c r="B946">
        <v>5388331</v>
      </c>
      <c r="D946">
        <v>5388168</v>
      </c>
      <c r="F946">
        <v>1</v>
      </c>
      <c r="G946">
        <v>0</v>
      </c>
      <c r="H946">
        <v>0.18</v>
      </c>
      <c r="I946">
        <v>0</v>
      </c>
      <c r="J946" t="s">
        <v>90</v>
      </c>
      <c r="K946">
        <v>0</v>
      </c>
      <c r="L946">
        <v>0.18</v>
      </c>
      <c r="M946">
        <v>0</v>
      </c>
      <c r="N946">
        <v>0</v>
      </c>
      <c r="O946">
        <v>0.18</v>
      </c>
      <c r="P946" t="s">
        <v>90</v>
      </c>
      <c r="Q946">
        <v>0</v>
      </c>
      <c r="R946" t="s">
        <v>90</v>
      </c>
      <c r="S946">
        <v>0</v>
      </c>
      <c r="T946" t="s">
        <v>90</v>
      </c>
      <c r="U946">
        <v>0</v>
      </c>
      <c r="V946" t="s">
        <v>90</v>
      </c>
      <c r="W946">
        <v>0</v>
      </c>
      <c r="X946" t="s">
        <v>90</v>
      </c>
      <c r="Y946">
        <v>0</v>
      </c>
      <c r="Z946">
        <v>0.18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N946" t="s">
        <v>223</v>
      </c>
      <c r="AO946" t="s">
        <v>92</v>
      </c>
      <c r="AP946">
        <v>200000</v>
      </c>
      <c r="AQ946" t="s">
        <v>76</v>
      </c>
      <c r="AR946">
        <v>0</v>
      </c>
      <c r="AS946">
        <v>10000</v>
      </c>
      <c r="AT946" t="s">
        <v>9</v>
      </c>
      <c r="AU946" t="s">
        <v>78</v>
      </c>
      <c r="AV946" t="s">
        <v>79</v>
      </c>
      <c r="AY946">
        <v>0</v>
      </c>
    </row>
    <row r="947" spans="1:52" ht="12.75">
      <c r="A947" s="2" t="str">
        <f>HYPERLINK("https://ibp.a2mac1.com/costing(costing:projects/details/8191/assembly/5388168)","Front")</f>
        <v>Front</v>
      </c>
      <c r="B947">
        <v>5388168</v>
      </c>
      <c r="D947">
        <v>5388132</v>
      </c>
      <c r="F947">
        <v>1</v>
      </c>
      <c r="G947">
        <v>0</v>
      </c>
      <c r="H947">
        <v>31.577706902248785</v>
      </c>
      <c r="I947">
        <v>0</v>
      </c>
      <c r="J947" t="s">
        <v>90</v>
      </c>
      <c r="K947">
        <v>0</v>
      </c>
      <c r="L947">
        <v>31.577706902248785</v>
      </c>
      <c r="M947">
        <v>0</v>
      </c>
      <c r="N947">
        <v>0</v>
      </c>
      <c r="O947">
        <v>31.577706902248785</v>
      </c>
      <c r="P947" t="s">
        <v>90</v>
      </c>
      <c r="Q947">
        <v>0</v>
      </c>
      <c r="R947" t="s">
        <v>90</v>
      </c>
      <c r="S947">
        <v>0</v>
      </c>
      <c r="T947" t="s">
        <v>90</v>
      </c>
      <c r="U947">
        <v>0</v>
      </c>
      <c r="V947" t="s">
        <v>90</v>
      </c>
      <c r="W947">
        <v>0</v>
      </c>
      <c r="X947" t="s">
        <v>90</v>
      </c>
      <c r="Y947">
        <v>0</v>
      </c>
      <c r="Z947">
        <v>31.577706902248785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L947">
        <v>3.5880000000000001</v>
      </c>
      <c r="AN947" t="s">
        <v>223</v>
      </c>
      <c r="AO947" t="s">
        <v>92</v>
      </c>
      <c r="AP947">
        <v>200000</v>
      </c>
      <c r="AQ947" t="s">
        <v>92</v>
      </c>
      <c r="AS947">
        <v>10000</v>
      </c>
      <c r="AT947" t="s">
        <v>7584</v>
      </c>
      <c r="AU947" t="s">
        <v>78</v>
      </c>
      <c r="AV947" t="s">
        <v>79</v>
      </c>
      <c r="AY947">
        <v>0</v>
      </c>
    </row>
    <row r="948" spans="1:52" ht="12.75">
      <c r="A948" s="2" t="str">
        <f>HYPERLINK("https://ibp.a2mac1.com/costing(costing:projects/details/8191/assembly/5388688)","Fastners")</f>
        <v>Fastners</v>
      </c>
      <c r="B948">
        <v>5388688</v>
      </c>
      <c r="D948">
        <v>5388334</v>
      </c>
      <c r="F948">
        <v>1</v>
      </c>
      <c r="G948">
        <v>0</v>
      </c>
      <c r="H948">
        <v>0.03</v>
      </c>
      <c r="I948">
        <v>0</v>
      </c>
      <c r="J948" t="s">
        <v>90</v>
      </c>
      <c r="K948">
        <v>0</v>
      </c>
      <c r="L948">
        <v>0.03</v>
      </c>
      <c r="M948">
        <v>0</v>
      </c>
      <c r="N948">
        <v>0</v>
      </c>
      <c r="O948">
        <v>0.03</v>
      </c>
      <c r="P948" t="s">
        <v>90</v>
      </c>
      <c r="Q948">
        <v>0</v>
      </c>
      <c r="R948" t="s">
        <v>90</v>
      </c>
      <c r="S948">
        <v>0</v>
      </c>
      <c r="T948" t="s">
        <v>90</v>
      </c>
      <c r="U948">
        <v>0</v>
      </c>
      <c r="V948" t="s">
        <v>90</v>
      </c>
      <c r="W948">
        <v>0</v>
      </c>
      <c r="X948" t="s">
        <v>90</v>
      </c>
      <c r="Y948">
        <v>0</v>
      </c>
      <c r="Z948">
        <v>0.03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N948" t="s">
        <v>223</v>
      </c>
      <c r="AO948" t="s">
        <v>92</v>
      </c>
      <c r="AP948">
        <v>200000</v>
      </c>
      <c r="AQ948" t="s">
        <v>76</v>
      </c>
      <c r="AR948">
        <v>0</v>
      </c>
      <c r="AS948">
        <v>10000</v>
      </c>
      <c r="AT948" t="s">
        <v>9</v>
      </c>
      <c r="AU948" t="s">
        <v>78</v>
      </c>
      <c r="AV948" t="s">
        <v>79</v>
      </c>
      <c r="AY948">
        <v>0</v>
      </c>
    </row>
    <row r="949" spans="1:52" ht="12.75">
      <c r="A949" s="2" t="str">
        <f>HYPERLINK("https://ibp.a2mac1.com/costing(costing:projects/details/8191/assembly/5388334)","Wiper System")</f>
        <v>Wiper System</v>
      </c>
      <c r="B949">
        <v>5388334</v>
      </c>
      <c r="D949">
        <v>5388169</v>
      </c>
      <c r="F949">
        <v>1</v>
      </c>
      <c r="G949">
        <v>0</v>
      </c>
      <c r="H949">
        <v>0.58478769478405612</v>
      </c>
      <c r="I949">
        <v>0.0029386316320806844</v>
      </c>
      <c r="J949" t="s">
        <v>137</v>
      </c>
      <c r="K949">
        <v>0.020467569317441967</v>
      </c>
      <c r="L949">
        <v>0.60819389573357885</v>
      </c>
      <c r="M949">
        <v>0</v>
      </c>
      <c r="N949">
        <v>0</v>
      </c>
      <c r="O949">
        <v>0.60819389573357885</v>
      </c>
      <c r="P949" t="s">
        <v>138</v>
      </c>
      <c r="Q949">
        <v>0.036491633744014727</v>
      </c>
      <c r="R949" t="s">
        <v>138</v>
      </c>
      <c r="S949">
        <v>0</v>
      </c>
      <c r="T949" t="s">
        <v>139</v>
      </c>
      <c r="U949">
        <v>0.072983267488029455</v>
      </c>
      <c r="V949" t="s">
        <v>90</v>
      </c>
      <c r="W949">
        <v>0</v>
      </c>
      <c r="X949" t="s">
        <v>90</v>
      </c>
      <c r="Y949">
        <v>0</v>
      </c>
      <c r="Z949">
        <v>0.71766879696562302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L949">
        <v>0.13900000000000001</v>
      </c>
      <c r="AN949" t="s">
        <v>6181</v>
      </c>
      <c r="AO949" t="s">
        <v>92</v>
      </c>
      <c r="AP949">
        <v>200000</v>
      </c>
      <c r="AQ949" t="s">
        <v>76</v>
      </c>
      <c r="AS949">
        <v>10000</v>
      </c>
      <c r="AT949" t="s">
        <v>7604</v>
      </c>
      <c r="AU949" t="s">
        <v>78</v>
      </c>
      <c r="AV949" t="s">
        <v>79</v>
      </c>
      <c r="AY949">
        <v>0</v>
      </c>
    </row>
    <row r="950" spans="1:52" ht="12.75">
      <c r="A950" s="2" t="str">
        <f>HYPERLINK("https://ibp.a2mac1.com/costing(costing:projects/details/8191/assembly/5388335)","Window Washer System")</f>
        <v>Window Washer System</v>
      </c>
      <c r="B950">
        <v>5388335</v>
      </c>
      <c r="D950">
        <v>5388169</v>
      </c>
      <c r="F950">
        <v>1</v>
      </c>
      <c r="G950">
        <v>0</v>
      </c>
      <c r="H950">
        <v>0.014617739872012305</v>
      </c>
      <c r="I950">
        <v>0</v>
      </c>
      <c r="J950" t="s">
        <v>90</v>
      </c>
      <c r="K950">
        <v>0</v>
      </c>
      <c r="L950">
        <v>0.014617739872012305</v>
      </c>
      <c r="M950">
        <v>0</v>
      </c>
      <c r="N950">
        <v>0</v>
      </c>
      <c r="O950">
        <v>0.014617739872012305</v>
      </c>
      <c r="P950" t="s">
        <v>90</v>
      </c>
      <c r="Q950">
        <v>0</v>
      </c>
      <c r="R950" t="s">
        <v>90</v>
      </c>
      <c r="S950">
        <v>0</v>
      </c>
      <c r="T950" t="s">
        <v>90</v>
      </c>
      <c r="U950">
        <v>0</v>
      </c>
      <c r="V950" t="s">
        <v>90</v>
      </c>
      <c r="W950">
        <v>0</v>
      </c>
      <c r="X950" t="s">
        <v>90</v>
      </c>
      <c r="Y950">
        <v>0</v>
      </c>
      <c r="Z950">
        <v>0.014617739872012305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L950">
        <v>0.0030000000000000001</v>
      </c>
      <c r="AN950" t="s">
        <v>223</v>
      </c>
      <c r="AO950" t="s">
        <v>92</v>
      </c>
      <c r="AP950">
        <v>200000</v>
      </c>
      <c r="AQ950" t="s">
        <v>92</v>
      </c>
      <c r="AS950">
        <v>10000</v>
      </c>
      <c r="AT950" t="s">
        <v>7612</v>
      </c>
      <c r="AU950" t="s">
        <v>78</v>
      </c>
      <c r="AV950" t="s">
        <v>79</v>
      </c>
      <c r="AY950">
        <v>0</v>
      </c>
    </row>
    <row r="951" spans="1:52" ht="12.75">
      <c r="A951" s="2" t="str">
        <f>HYPERLINK("https://ibp.a2mac1.com/costing(costing:projects/details/8191/assembly/5388336)","Fastners")</f>
        <v>Fastners</v>
      </c>
      <c r="B951">
        <v>5388336</v>
      </c>
      <c r="D951">
        <v>5388169</v>
      </c>
      <c r="F951">
        <v>1</v>
      </c>
      <c r="G951">
        <v>0</v>
      </c>
      <c r="H951">
        <v>0.15</v>
      </c>
      <c r="I951">
        <v>0</v>
      </c>
      <c r="J951" t="s">
        <v>90</v>
      </c>
      <c r="K951">
        <v>0</v>
      </c>
      <c r="L951">
        <v>0.15</v>
      </c>
      <c r="M951">
        <v>0</v>
      </c>
      <c r="N951">
        <v>0</v>
      </c>
      <c r="O951">
        <v>0.15</v>
      </c>
      <c r="P951" t="s">
        <v>90</v>
      </c>
      <c r="Q951">
        <v>0</v>
      </c>
      <c r="R951" t="s">
        <v>90</v>
      </c>
      <c r="S951">
        <v>0</v>
      </c>
      <c r="T951" t="s">
        <v>90</v>
      </c>
      <c r="U951">
        <v>0</v>
      </c>
      <c r="V951" t="s">
        <v>90</v>
      </c>
      <c r="W951">
        <v>0</v>
      </c>
      <c r="X951" t="s">
        <v>90</v>
      </c>
      <c r="Y951">
        <v>0</v>
      </c>
      <c r="Z951">
        <v>0.15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N951" t="s">
        <v>223</v>
      </c>
      <c r="AO951" t="s">
        <v>92</v>
      </c>
      <c r="AP951">
        <v>200000</v>
      </c>
      <c r="AQ951" t="s">
        <v>92</v>
      </c>
      <c r="AR951">
        <v>0</v>
      </c>
      <c r="AS951">
        <v>10000</v>
      </c>
      <c r="AT951" t="s">
        <v>9</v>
      </c>
      <c r="AU951" t="s">
        <v>78</v>
      </c>
      <c r="AV951" t="s">
        <v>79</v>
      </c>
      <c r="AY951">
        <v>0</v>
      </c>
    </row>
    <row r="952" spans="1:52" ht="12.75">
      <c r="A952" s="2" t="str">
        <f>HYPERLINK("https://ibp.a2mac1.com/costing(costing:projects/details/8191/assembly/5388169)","Rear")</f>
        <v>Rear</v>
      </c>
      <c r="B952">
        <v>5388169</v>
      </c>
      <c r="D952">
        <v>5388132</v>
      </c>
      <c r="F952">
        <v>1</v>
      </c>
      <c r="G952">
        <v>0</v>
      </c>
      <c r="H952">
        <v>8.9699639507375064</v>
      </c>
      <c r="I952">
        <v>0</v>
      </c>
      <c r="J952" t="s">
        <v>90</v>
      </c>
      <c r="K952">
        <v>0</v>
      </c>
      <c r="L952">
        <v>8.9699639507375064</v>
      </c>
      <c r="M952">
        <v>0</v>
      </c>
      <c r="N952">
        <v>0</v>
      </c>
      <c r="O952">
        <v>8.9699639507375064</v>
      </c>
      <c r="P952" t="s">
        <v>90</v>
      </c>
      <c r="Q952">
        <v>0</v>
      </c>
      <c r="R952" t="s">
        <v>90</v>
      </c>
      <c r="S952">
        <v>0</v>
      </c>
      <c r="T952" t="s">
        <v>90</v>
      </c>
      <c r="U952">
        <v>0</v>
      </c>
      <c r="V952" t="s">
        <v>90</v>
      </c>
      <c r="W952">
        <v>0</v>
      </c>
      <c r="X952" t="s">
        <v>90</v>
      </c>
      <c r="Y952">
        <v>0</v>
      </c>
      <c r="Z952">
        <v>8.9699639507375064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L952">
        <v>0.92589999999999995</v>
      </c>
      <c r="AN952" t="s">
        <v>223</v>
      </c>
      <c r="AO952" t="s">
        <v>92</v>
      </c>
      <c r="AP952">
        <v>200000</v>
      </c>
      <c r="AQ952" t="s">
        <v>92</v>
      </c>
      <c r="AS952">
        <v>10000</v>
      </c>
      <c r="AT952" t="s">
        <v>7621</v>
      </c>
      <c r="AU952" t="s">
        <v>78</v>
      </c>
      <c r="AV952" t="s">
        <v>79</v>
      </c>
      <c r="AY952">
        <v>0</v>
      </c>
    </row>
    <row r="953" spans="1:52" ht="12.75">
      <c r="A953" s="2" t="str">
        <f>HYPERLINK("https://ibp.a2mac1.com/costing(costing:projects/details/8191/assembly/5388170)","Washer")</f>
        <v>Washer</v>
      </c>
      <c r="B953">
        <v>5388170</v>
      </c>
      <c r="D953">
        <v>5388132</v>
      </c>
      <c r="F953">
        <v>1</v>
      </c>
      <c r="G953">
        <v>0</v>
      </c>
      <c r="H953">
        <v>0.93884162513920488</v>
      </c>
      <c r="I953">
        <v>0</v>
      </c>
      <c r="J953" t="s">
        <v>90</v>
      </c>
      <c r="K953">
        <v>0</v>
      </c>
      <c r="L953">
        <v>0.93884162513920488</v>
      </c>
      <c r="M953">
        <v>0</v>
      </c>
      <c r="N953">
        <v>0</v>
      </c>
      <c r="O953">
        <v>0.93884162513920488</v>
      </c>
      <c r="P953" t="s">
        <v>90</v>
      </c>
      <c r="Q953">
        <v>0</v>
      </c>
      <c r="R953" t="s">
        <v>90</v>
      </c>
      <c r="S953">
        <v>0</v>
      </c>
      <c r="T953" t="s">
        <v>90</v>
      </c>
      <c r="U953">
        <v>0</v>
      </c>
      <c r="V953" t="s">
        <v>90</v>
      </c>
      <c r="W953">
        <v>0</v>
      </c>
      <c r="X953" t="s">
        <v>90</v>
      </c>
      <c r="Y953">
        <v>0</v>
      </c>
      <c r="Z953">
        <v>0.93884162513920488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L953">
        <v>0.65590000000000004</v>
      </c>
      <c r="AN953" t="s">
        <v>223</v>
      </c>
      <c r="AO953" t="s">
        <v>92</v>
      </c>
      <c r="AP953">
        <v>200000</v>
      </c>
      <c r="AQ953" t="s">
        <v>92</v>
      </c>
      <c r="AS953">
        <v>10000</v>
      </c>
      <c r="AT953" t="s">
        <v>7656</v>
      </c>
      <c r="AU953" t="s">
        <v>78</v>
      </c>
      <c r="AV953" t="s">
        <v>79</v>
      </c>
      <c r="AY953">
        <v>0</v>
      </c>
    </row>
    <row r="954" spans="1:52" ht="12.75">
      <c r="A954" s="2" t="str">
        <f>HYPERLINK("https://ibp.a2mac1.com/costing(costing:projects/details/8191/assembly/5388132)","Windshield Wiper")</f>
        <v>Windshield Wiper</v>
      </c>
      <c r="B954">
        <v>5388132</v>
      </c>
      <c r="D954">
        <v>5388126</v>
      </c>
      <c r="F954">
        <v>1</v>
      </c>
      <c r="G954">
        <v>0</v>
      </c>
      <c r="H954">
        <v>41.486512478125498</v>
      </c>
      <c r="I954">
        <v>0</v>
      </c>
      <c r="J954" t="s">
        <v>90</v>
      </c>
      <c r="K954">
        <v>0</v>
      </c>
      <c r="L954">
        <v>41.486512478125498</v>
      </c>
      <c r="M954">
        <v>0</v>
      </c>
      <c r="N954">
        <v>0</v>
      </c>
      <c r="O954">
        <v>41.486512478125498</v>
      </c>
      <c r="P954" t="s">
        <v>90</v>
      </c>
      <c r="Q954">
        <v>0</v>
      </c>
      <c r="R954" t="s">
        <v>90</v>
      </c>
      <c r="S954">
        <v>0</v>
      </c>
      <c r="T954" t="s">
        <v>90</v>
      </c>
      <c r="U954">
        <v>0</v>
      </c>
      <c r="V954" t="s">
        <v>90</v>
      </c>
      <c r="W954">
        <v>0</v>
      </c>
      <c r="X954" t="s">
        <v>90</v>
      </c>
      <c r="Y954">
        <v>0</v>
      </c>
      <c r="Z954">
        <v>41.486512478125498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L954">
        <v>5.1698000000000004</v>
      </c>
      <c r="AN954" t="s">
        <v>223</v>
      </c>
      <c r="AO954" t="s">
        <v>92</v>
      </c>
      <c r="AP954">
        <v>200000</v>
      </c>
      <c r="AQ954" t="s">
        <v>92</v>
      </c>
      <c r="AS954">
        <v>10000</v>
      </c>
      <c r="AT954" t="s">
        <v>7657</v>
      </c>
      <c r="AU954" t="s">
        <v>78</v>
      </c>
      <c r="AV954" t="s">
        <v>79</v>
      </c>
      <c r="AY954">
        <v>0</v>
      </c>
    </row>
    <row r="955" spans="1:52" ht="12.75">
      <c r="A955" s="2" t="str">
        <f>HYPERLINK("https://ibp.a2mac1.com/costing(costing:projects/details/8191/assembly/5388126)","Body")</f>
        <v>Body</v>
      </c>
      <c r="B955">
        <v>5388126</v>
      </c>
      <c r="C955">
        <v>8191</v>
      </c>
      <c r="F955">
        <v>1</v>
      </c>
      <c r="G955">
        <v>0</v>
      </c>
      <c r="H955">
        <v>2972.333174770014</v>
      </c>
      <c r="I955">
        <v>0</v>
      </c>
      <c r="J955" t="s">
        <v>90</v>
      </c>
      <c r="K955">
        <v>0</v>
      </c>
      <c r="L955">
        <v>2972.333174770014</v>
      </c>
      <c r="M955">
        <v>0</v>
      </c>
      <c r="N955">
        <v>0</v>
      </c>
      <c r="O955">
        <v>2972.333174770014</v>
      </c>
      <c r="P955" t="s">
        <v>90</v>
      </c>
      <c r="Q955">
        <v>0</v>
      </c>
      <c r="R955" t="s">
        <v>90</v>
      </c>
      <c r="S955">
        <v>0</v>
      </c>
      <c r="T955" t="s">
        <v>90</v>
      </c>
      <c r="U955">
        <v>0</v>
      </c>
      <c r="V955" t="s">
        <v>90</v>
      </c>
      <c r="W955">
        <v>0</v>
      </c>
      <c r="X955" t="s">
        <v>90</v>
      </c>
      <c r="Y955">
        <v>0</v>
      </c>
      <c r="Z955">
        <v>2972.333174770014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L955">
        <v>818.40989999999999</v>
      </c>
      <c r="AN955" t="s">
        <v>223</v>
      </c>
      <c r="AO955" t="s">
        <v>92</v>
      </c>
      <c r="AP955">
        <v>200000</v>
      </c>
      <c r="AQ955" t="s">
        <v>92</v>
      </c>
      <c r="AS955">
        <v>10000</v>
      </c>
      <c r="AT955" t="s">
        <v>7658</v>
      </c>
      <c r="AU955" t="s">
        <v>78</v>
      </c>
      <c r="AV955" t="s">
        <v>79</v>
      </c>
      <c r="AY955">
        <v>0</v>
      </c>
    </row>
  </sheetData>
  <mergeCells count="15">
    <mergeCell ref="A1:G2"/>
    <mergeCell ref="H1:Z1"/>
    <mergeCell ref="H2:L2"/>
    <mergeCell ref="J3:K3"/>
    <mergeCell ref="M2:N2"/>
    <mergeCell ref="P2:Y2"/>
    <mergeCell ref="P3:Q3"/>
    <mergeCell ref="R3:S3"/>
    <mergeCell ref="T3:U3"/>
    <mergeCell ref="V3:W3"/>
    <mergeCell ref="X3:Y3"/>
    <mergeCell ref="AA1:AG1"/>
    <mergeCell ref="AA2:AE2"/>
    <mergeCell ref="AH1:AL2"/>
    <mergeCell ref="AM1:A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5cd8e6-bfe2-4a62-9263-47dddec8d433}">
  <dimension ref="A1:AS1164"/>
  <sheetViews>
    <sheetView workbookViewId="0" topLeftCell="A1"/>
  </sheetViews>
  <sheetFormatPr defaultRowHeight="12.75"/>
  <cols>
    <col min="1" max="1" width="6.57142857142857" customWidth="1"/>
    <col min="2" max="2" width="3.14285714285714" customWidth="1"/>
    <col min="3" max="3" width="17.1428571428571" customWidth="1"/>
    <col min="4" max="4" width="11.4285714285714" customWidth="1"/>
    <col min="5" max="5" width="7.57142857142857" customWidth="1"/>
    <col min="6" max="6" width="17.4285714285714" customWidth="1"/>
    <col min="7" max="7" width="9" customWidth="1"/>
    <col min="8" max="8" width="19.4285714285714" customWidth="1"/>
    <col min="9" max="9" width="20.8571428571429" customWidth="1"/>
    <col min="10" max="10" width="14.8571428571429" customWidth="1"/>
    <col min="11" max="11" width="13.5714285714286" customWidth="1"/>
    <col min="12" max="12" width="15.4285714285714" customWidth="1"/>
    <col min="13" max="13" width="29.5714285714286" customWidth="1"/>
    <col min="14" max="14" width="6.85714285714286" customWidth="1"/>
    <col min="15" max="15" width="31.8571428571429" customWidth="1"/>
    <col min="16" max="16" width="8.28571428571429" customWidth="1"/>
    <col min="17" max="17" width="6.85714285714286" customWidth="1"/>
    <col min="18" max="18" width="12" customWidth="1"/>
    <col min="19" max="19" width="15.7142857142857" customWidth="1"/>
    <col min="20" max="20" width="16.8571428571429" customWidth="1"/>
    <col min="21" max="22" width="10.4285714285714" customWidth="1"/>
    <col min="23" max="23" width="20.8571428571429" customWidth="1"/>
    <col min="24" max="25" width="9.28571428571429" customWidth="1"/>
    <col min="26" max="26" width="20.8571428571429" customWidth="1"/>
    <col min="27" max="28" width="10.4285714285714" customWidth="1"/>
    <col min="29" max="29" width="13" customWidth="1"/>
    <col min="30" max="30" width="29.8571428571429" customWidth="1"/>
    <col min="31" max="31" width="37.4285714285714" customWidth="1"/>
    <col min="32" max="32" width="39" customWidth="1"/>
    <col min="33" max="33" width="33.7142857142857" customWidth="1"/>
    <col min="34" max="34" width="26.7142857142857" customWidth="1"/>
    <col min="35" max="35" width="23.2857142857143" customWidth="1"/>
    <col min="36" max="36" width="24.8571428571429" customWidth="1"/>
    <col min="37" max="37" width="24.4285714285714" customWidth="1"/>
    <col min="38" max="38" width="15.8571428571429" customWidth="1"/>
    <col min="39" max="39" width="7.71428571428571" customWidth="1"/>
    <col min="40" max="40" width="13.2857142857143" customWidth="1"/>
    <col min="41" max="41" width="6.57142857142857" customWidth="1"/>
    <col min="42" max="42" width="6.28571428571429" customWidth="1"/>
    <col min="43" max="43" width="13.5714285714286" customWidth="1"/>
    <col min="44" max="44" width="9.14285714285714" customWidth="1"/>
    <col min="45" max="45" width="21.4285714285714" customWidth="1"/>
  </cols>
  <sheetData>
    <row r="1" spans="1:45" ht="12.75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 t="s">
        <v>116</v>
      </c>
      <c r="AE1" s="1"/>
      <c r="AF1" s="1"/>
      <c r="AG1" s="1"/>
      <c r="AH1" s="1"/>
      <c r="AI1" s="1" t="s">
        <v>122</v>
      </c>
      <c r="AJ1" s="1"/>
      <c r="AK1" s="1"/>
      <c r="AL1" s="1" t="s">
        <v>126</v>
      </c>
      <c r="AM1" s="1"/>
      <c r="AN1" s="1"/>
      <c r="AO1" s="1"/>
      <c r="AP1" s="1"/>
      <c r="AQ1" s="1" t="s">
        <v>66</v>
      </c>
      <c r="AR1" s="1"/>
      <c r="AS1" s="1"/>
    </row>
    <row r="2" spans="1:45" ht="12.7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24</v>
      </c>
      <c r="T2" s="3"/>
      <c r="U2" s="3"/>
      <c r="V2" s="3"/>
      <c r="W2" s="3"/>
      <c r="X2" s="3" t="s">
        <v>35</v>
      </c>
      <c r="Y2" s="3"/>
      <c r="Z2" s="3"/>
      <c r="AA2" s="3"/>
      <c r="AB2" s="3"/>
      <c r="AC2" s="3" t="s">
        <v>36</v>
      </c>
      <c r="AD2" s="3" t="s">
        <v>24</v>
      </c>
      <c r="AE2" s="3"/>
      <c r="AF2" s="3"/>
      <c r="AG2" s="3"/>
      <c r="AH2" s="3" t="s">
        <v>36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12.75">
      <c r="A3" s="4" t="s">
        <v>4</v>
      </c>
      <c r="B3" s="4" t="s">
        <v>14</v>
      </c>
      <c r="C3" s="4" t="s">
        <v>101</v>
      </c>
      <c r="D3" s="4" t="s">
        <v>16</v>
      </c>
      <c r="E3" s="4" t="s">
        <v>102</v>
      </c>
      <c r="F3" s="4" t="s">
        <v>103</v>
      </c>
      <c r="G3" s="4" t="s">
        <v>104</v>
      </c>
      <c r="H3" s="4" t="s">
        <v>105</v>
      </c>
      <c r="I3" s="4" t="s">
        <v>106</v>
      </c>
      <c r="J3" s="4" t="s">
        <v>107</v>
      </c>
      <c r="K3" s="4" t="s">
        <v>108</v>
      </c>
      <c r="L3" s="4" t="s">
        <v>109</v>
      </c>
      <c r="M3" s="4" t="s">
        <v>110</v>
      </c>
      <c r="N3" s="4" t="s">
        <v>111</v>
      </c>
      <c r="O3" s="4" t="s">
        <v>54</v>
      </c>
      <c r="P3" s="4" t="s">
        <v>112</v>
      </c>
      <c r="Q3" s="4" t="s">
        <v>113</v>
      </c>
      <c r="R3" s="4" t="s">
        <v>65</v>
      </c>
      <c r="S3" s="4" t="s">
        <v>115</v>
      </c>
      <c r="T3" s="4" t="s">
        <v>21</v>
      </c>
      <c r="U3" s="4" t="s">
        <v>22</v>
      </c>
      <c r="V3" s="4"/>
      <c r="W3" s="4" t="s">
        <v>23</v>
      </c>
      <c r="X3" s="4" t="s">
        <v>30</v>
      </c>
      <c r="Y3" s="4"/>
      <c r="Z3" s="4" t="s">
        <v>31</v>
      </c>
      <c r="AA3" s="4" t="s">
        <v>32</v>
      </c>
      <c r="AB3" s="4"/>
      <c r="AC3" s="4" t="s">
        <v>37</v>
      </c>
      <c r="AD3" s="4" t="s">
        <v>117</v>
      </c>
      <c r="AE3" s="4" t="s">
        <v>118</v>
      </c>
      <c r="AF3" s="4" t="s">
        <v>119</v>
      </c>
      <c r="AG3" s="4" t="s">
        <v>120</v>
      </c>
      <c r="AH3" s="4" t="s">
        <v>121</v>
      </c>
      <c r="AI3" s="4" t="s">
        <v>123</v>
      </c>
      <c r="AJ3" s="4" t="s">
        <v>124</v>
      </c>
      <c r="AK3" s="4" t="s">
        <v>125</v>
      </c>
      <c r="AL3" s="4" t="s">
        <v>127</v>
      </c>
      <c r="AM3" s="4" t="s">
        <v>128</v>
      </c>
      <c r="AN3" s="4" t="s">
        <v>129</v>
      </c>
      <c r="AO3" s="4" t="s">
        <v>78</v>
      </c>
      <c r="AP3" s="4" t="s">
        <v>130</v>
      </c>
      <c r="AQ3" s="4" t="s">
        <v>131</v>
      </c>
      <c r="AR3" s="4" t="s">
        <v>132</v>
      </c>
      <c r="AS3" s="4" t="s">
        <v>133</v>
      </c>
    </row>
    <row r="4" spans="1:45" ht="12.75">
      <c r="A4" s="2" t="str">
        <f>HYPERLINK("https://ibp.a2mac1.com/costing(costing:projects/details/8191/material/5314948)","PUR")</f>
        <v>PUR</v>
      </c>
      <c r="B4">
        <v>5314948</v>
      </c>
      <c r="C4">
        <v>6969755</v>
      </c>
      <c r="E4">
        <v>3.37662</v>
      </c>
      <c r="F4" t="s">
        <v>134</v>
      </c>
      <c r="G4">
        <v>88</v>
      </c>
      <c r="H4" t="s">
        <v>135</v>
      </c>
      <c r="I4">
        <v>5</v>
      </c>
      <c r="J4">
        <v>0.50345253019720215</v>
      </c>
      <c r="K4">
        <v>0</v>
      </c>
      <c r="M4">
        <v>0</v>
      </c>
      <c r="O4">
        <v>200000</v>
      </c>
      <c r="R4" t="s">
        <v>136</v>
      </c>
      <c r="S4">
        <v>0.011050756363636364</v>
      </c>
      <c r="T4">
        <v>0.0093194712000000002</v>
      </c>
      <c r="U4" t="s">
        <v>137</v>
      </c>
      <c r="V4">
        <v>0.064462745454545459</v>
      </c>
      <c r="W4">
        <v>1.9045241875636363</v>
      </c>
      <c r="X4" t="s">
        <v>138</v>
      </c>
      <c r="Y4">
        <v>0.11427145125381818</v>
      </c>
      <c r="Z4">
        <v>0</v>
      </c>
      <c r="AA4" t="s">
        <v>139</v>
      </c>
      <c r="AB4">
        <v>0.22854290250763637</v>
      </c>
      <c r="AC4">
        <v>2.247338541325091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Q4" t="s">
        <v>140</v>
      </c>
      <c r="AR4" t="s">
        <v>141</v>
      </c>
      <c r="AS4">
        <v>1.8417927272727272</v>
      </c>
    </row>
    <row r="5" spans="1:45" ht="12.75">
      <c r="A5" s="2" t="str">
        <f>HYPERLINK("https://ibp.a2mac1.com/costing(costing:projects/details/8191/material/5315016)","Aluminum sheet with brazing layer (default)")</f>
        <v>Aluminum sheet with brazing layer (default)</v>
      </c>
      <c r="B5">
        <v>5315016</v>
      </c>
      <c r="C5">
        <v>6969812</v>
      </c>
      <c r="E5">
        <v>4.0542699999999998</v>
      </c>
      <c r="F5" t="s">
        <v>274</v>
      </c>
      <c r="G5">
        <v>90</v>
      </c>
      <c r="H5" t="s">
        <v>275</v>
      </c>
      <c r="I5">
        <v>30</v>
      </c>
      <c r="J5">
        <v>0.50345253019720215</v>
      </c>
      <c r="K5">
        <v>0</v>
      </c>
      <c r="M5">
        <v>0</v>
      </c>
      <c r="O5">
        <v>200000</v>
      </c>
      <c r="R5" t="s">
        <v>136</v>
      </c>
      <c r="S5">
        <v>0.29366429033333336</v>
      </c>
      <c r="T5">
        <v>0.049531376969555556</v>
      </c>
      <c r="U5" t="s">
        <v>137</v>
      </c>
      <c r="V5">
        <v>0.34260833872222224</v>
      </c>
      <c r="W5">
        <v>9.8872851031362217</v>
      </c>
      <c r="X5" t="s">
        <v>138</v>
      </c>
      <c r="Y5">
        <v>0.59323710618817338</v>
      </c>
      <c r="Z5">
        <v>0</v>
      </c>
      <c r="AA5" t="s">
        <v>139</v>
      </c>
      <c r="AB5">
        <v>1.1864742123763468</v>
      </c>
      <c r="AC5">
        <v>11.666996421700743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Q5" t="s">
        <v>140</v>
      </c>
      <c r="AR5" t="s">
        <v>141</v>
      </c>
      <c r="AS5">
        <v>9.7888096777777776</v>
      </c>
    </row>
    <row r="6" spans="1:45" ht="12.75">
      <c r="A6" s="2" t="str">
        <f>HYPERLINK("https://ibp.a2mac1.com/costing(costing:projects/details/8191/material/5315017)","PA6-GF30")</f>
        <v>PA6-GF30</v>
      </c>
      <c r="B6">
        <v>5315017</v>
      </c>
      <c r="C6">
        <v>6969813</v>
      </c>
      <c r="E6">
        <v>2.1428600000000002</v>
      </c>
      <c r="F6" t="s">
        <v>280</v>
      </c>
      <c r="G6">
        <v>95</v>
      </c>
      <c r="H6" t="s">
        <v>281</v>
      </c>
      <c r="I6">
        <v>5</v>
      </c>
      <c r="J6">
        <v>0.50345253019720215</v>
      </c>
      <c r="K6">
        <v>0</v>
      </c>
      <c r="M6">
        <v>0</v>
      </c>
      <c r="O6">
        <v>200000</v>
      </c>
      <c r="R6" t="s">
        <v>136</v>
      </c>
      <c r="S6">
        <v>0.0026785749999999999</v>
      </c>
      <c r="T6">
        <v>0.0054214357999999999</v>
      </c>
      <c r="U6" t="s">
        <v>137</v>
      </c>
      <c r="V6">
        <v>0.03750005</v>
      </c>
      <c r="W6">
        <v>1.1116729108000001</v>
      </c>
      <c r="X6" t="s">
        <v>138</v>
      </c>
      <c r="Y6">
        <v>0.066700374647999994</v>
      </c>
      <c r="Z6">
        <v>0</v>
      </c>
      <c r="AA6" t="s">
        <v>139</v>
      </c>
      <c r="AB6">
        <v>0.13340074929599999</v>
      </c>
      <c r="AC6">
        <v>1.3117740347439999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Q6" t="s">
        <v>140</v>
      </c>
      <c r="AR6" t="s">
        <v>141</v>
      </c>
      <c r="AS6">
        <v>1.0714300000000001</v>
      </c>
    </row>
    <row r="7" spans="1:45" ht="12.75">
      <c r="A7" s="2" t="str">
        <f>HYPERLINK("https://ibp.a2mac1.com/costing(costing:projects/details/8191/material/5315229)","Material")</f>
        <v>Material</v>
      </c>
      <c r="B7">
        <v>5315229</v>
      </c>
      <c r="C7">
        <v>6969939</v>
      </c>
      <c r="E7">
        <v>66.22</v>
      </c>
      <c r="F7" t="s">
        <v>296</v>
      </c>
      <c r="G7">
        <v>100</v>
      </c>
      <c r="H7" t="s">
        <v>297</v>
      </c>
      <c r="I7">
        <v>5</v>
      </c>
      <c r="J7">
        <v>0.0019999600007999841</v>
      </c>
      <c r="K7">
        <v>0</v>
      </c>
      <c r="L7">
        <v>0</v>
      </c>
      <c r="M7">
        <v>0</v>
      </c>
      <c r="O7">
        <v>200000</v>
      </c>
      <c r="R7" t="s">
        <v>136</v>
      </c>
      <c r="S7">
        <v>0</v>
      </c>
      <c r="T7">
        <v>0.0013244000000000001</v>
      </c>
      <c r="U7" t="s">
        <v>137</v>
      </c>
      <c r="V7">
        <v>2.3176999999999999</v>
      </c>
      <c r="W7">
        <v>68.539024400000002</v>
      </c>
      <c r="X7" t="s">
        <v>138</v>
      </c>
      <c r="Y7">
        <v>4.112341464</v>
      </c>
      <c r="Z7">
        <v>0</v>
      </c>
      <c r="AA7" t="s">
        <v>139</v>
      </c>
      <c r="AB7">
        <v>8.224682928</v>
      </c>
      <c r="AC7">
        <v>80.876048792000006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Q7" t="s">
        <v>9</v>
      </c>
      <c r="AR7" t="s">
        <v>141</v>
      </c>
      <c r="AS7">
        <v>66.22</v>
      </c>
    </row>
    <row r="8" spans="1:45" ht="12.75">
      <c r="A8" s="2" t="str">
        <f>HYPERLINK("https://ibp.a2mac1.com/costing(costing:projects/details/8191/material/5315204)","Material")</f>
        <v>Material</v>
      </c>
      <c r="B8">
        <v>5315204</v>
      </c>
      <c r="C8">
        <v>6969935</v>
      </c>
      <c r="E8">
        <v>53.935</v>
      </c>
      <c r="F8" t="s">
        <v>296</v>
      </c>
      <c r="G8">
        <v>100</v>
      </c>
      <c r="H8" t="s">
        <v>297</v>
      </c>
      <c r="I8">
        <v>5</v>
      </c>
      <c r="J8">
        <v>0.0019999600007999841</v>
      </c>
      <c r="K8">
        <v>0</v>
      </c>
      <c r="M8">
        <v>0</v>
      </c>
      <c r="O8">
        <v>200000</v>
      </c>
      <c r="R8" t="s">
        <v>136</v>
      </c>
      <c r="S8">
        <v>0</v>
      </c>
      <c r="T8">
        <v>0.0010786999999999999</v>
      </c>
      <c r="U8" t="s">
        <v>137</v>
      </c>
      <c r="V8">
        <v>1.8877250000000001</v>
      </c>
      <c r="W8">
        <v>55.823803699999999</v>
      </c>
      <c r="X8" t="s">
        <v>138</v>
      </c>
      <c r="Y8">
        <v>3.3494282219999998</v>
      </c>
      <c r="Z8">
        <v>0</v>
      </c>
      <c r="AA8" t="s">
        <v>139</v>
      </c>
      <c r="AB8">
        <v>6.6988564439999996</v>
      </c>
      <c r="AC8">
        <v>65.872088366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Q8" t="s">
        <v>9</v>
      </c>
      <c r="AR8" t="s">
        <v>141</v>
      </c>
      <c r="AS8">
        <v>53.935</v>
      </c>
    </row>
    <row r="9" spans="1:45" ht="12.75">
      <c r="A9" s="2" t="str">
        <f>HYPERLINK("https://ibp.a2mac1.com/costing(costing:projects/details/8191/material/5315230)","Material")</f>
        <v>Material</v>
      </c>
      <c r="B9">
        <v>5315230</v>
      </c>
      <c r="C9">
        <v>6969940</v>
      </c>
      <c r="E9">
        <v>6.18</v>
      </c>
      <c r="F9" t="s">
        <v>296</v>
      </c>
      <c r="G9">
        <v>100</v>
      </c>
      <c r="H9" t="s">
        <v>297</v>
      </c>
      <c r="I9">
        <v>5</v>
      </c>
      <c r="J9">
        <v>0.0019999600007999841</v>
      </c>
      <c r="K9">
        <v>0</v>
      </c>
      <c r="L9">
        <v>0</v>
      </c>
      <c r="M9">
        <v>0</v>
      </c>
      <c r="O9">
        <v>200000</v>
      </c>
      <c r="R9" t="s">
        <v>136</v>
      </c>
      <c r="S9">
        <v>0</v>
      </c>
      <c r="T9">
        <v>0.0001236</v>
      </c>
      <c r="U9" t="s">
        <v>137</v>
      </c>
      <c r="V9">
        <v>0.21629999999999999</v>
      </c>
      <c r="W9">
        <v>6.3964236000000003</v>
      </c>
      <c r="X9" t="s">
        <v>138</v>
      </c>
      <c r="Y9">
        <v>0.38378541599999999</v>
      </c>
      <c r="Z9">
        <v>0</v>
      </c>
      <c r="AA9" t="s">
        <v>139</v>
      </c>
      <c r="AB9">
        <v>0.76757083199999998</v>
      </c>
      <c r="AC9">
        <v>7.5477798480000002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Q9" t="s">
        <v>9</v>
      </c>
      <c r="AR9" t="s">
        <v>141</v>
      </c>
      <c r="AS9">
        <v>6.18</v>
      </c>
    </row>
    <row r="10" spans="1:45" ht="12.75">
      <c r="A10" s="2" t="str">
        <f>HYPERLINK("https://ibp.a2mac1.com/costing(costing:projects/details/8191/material/5315231)","Material")</f>
        <v>Material</v>
      </c>
      <c r="B10">
        <v>5315231</v>
      </c>
      <c r="C10">
        <v>6969941</v>
      </c>
      <c r="E10">
        <v>2.17</v>
      </c>
      <c r="F10" t="s">
        <v>296</v>
      </c>
      <c r="G10">
        <v>100</v>
      </c>
      <c r="H10" t="s">
        <v>297</v>
      </c>
      <c r="I10">
        <v>5</v>
      </c>
      <c r="J10">
        <v>0.0019999600007999841</v>
      </c>
      <c r="K10">
        <v>0</v>
      </c>
      <c r="L10">
        <v>0</v>
      </c>
      <c r="M10">
        <v>0</v>
      </c>
      <c r="O10">
        <v>200000</v>
      </c>
      <c r="R10" t="s">
        <v>136</v>
      </c>
      <c r="S10">
        <v>0</v>
      </c>
      <c r="T10">
        <v>4.3399999999999998E-05</v>
      </c>
      <c r="U10" t="s">
        <v>137</v>
      </c>
      <c r="V10">
        <v>0.075950000000000004</v>
      </c>
      <c r="W10">
        <v>2.2459934000000001</v>
      </c>
      <c r="X10" t="s">
        <v>138</v>
      </c>
      <c r="Y10">
        <v>0.13475960400000001</v>
      </c>
      <c r="Z10">
        <v>0</v>
      </c>
      <c r="AA10" t="s">
        <v>139</v>
      </c>
      <c r="AB10">
        <v>0.26951920800000001</v>
      </c>
      <c r="AC10">
        <v>2.650272212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Q10" t="s">
        <v>9</v>
      </c>
      <c r="AR10" t="s">
        <v>141</v>
      </c>
      <c r="AS10">
        <v>2.17</v>
      </c>
    </row>
    <row r="11" spans="1:45" ht="12.75">
      <c r="A11" s="2" t="str">
        <f>HYPERLINK("https://ibp.a2mac1.com/costing(costing:projects/details/8191/material/5315232)","Material")</f>
        <v>Material</v>
      </c>
      <c r="B11">
        <v>5315232</v>
      </c>
      <c r="C11">
        <v>6969942</v>
      </c>
      <c r="E11">
        <v>6.18</v>
      </c>
      <c r="F11" t="s">
        <v>296</v>
      </c>
      <c r="G11">
        <v>100</v>
      </c>
      <c r="H11" t="s">
        <v>297</v>
      </c>
      <c r="I11">
        <v>5</v>
      </c>
      <c r="J11">
        <v>0.0019999600007999841</v>
      </c>
      <c r="K11">
        <v>0</v>
      </c>
      <c r="L11">
        <v>0</v>
      </c>
      <c r="M11">
        <v>0</v>
      </c>
      <c r="O11">
        <v>200000</v>
      </c>
      <c r="R11" t="s">
        <v>136</v>
      </c>
      <c r="S11">
        <v>0</v>
      </c>
      <c r="T11">
        <v>0.0001236</v>
      </c>
      <c r="U11" t="s">
        <v>137</v>
      </c>
      <c r="V11">
        <v>0.21629999999999999</v>
      </c>
      <c r="W11">
        <v>6.3964236000000003</v>
      </c>
      <c r="X11" t="s">
        <v>90</v>
      </c>
      <c r="Y11">
        <v>0</v>
      </c>
      <c r="Z11">
        <v>0</v>
      </c>
      <c r="AA11" t="s">
        <v>90</v>
      </c>
      <c r="AB11">
        <v>0</v>
      </c>
      <c r="AC11">
        <v>6.3964236000000003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Q11" t="s">
        <v>9</v>
      </c>
      <c r="AR11" t="s">
        <v>141</v>
      </c>
      <c r="AS11">
        <v>6.18</v>
      </c>
    </row>
    <row r="12" spans="1:45" ht="12.75">
      <c r="A12" s="2" t="str">
        <f>HYPERLINK("https://ibp.a2mac1.com/costing(costing:projects/details/8191/material/5315233)","Material")</f>
        <v>Material</v>
      </c>
      <c r="B12">
        <v>5315233</v>
      </c>
      <c r="C12">
        <v>6969943</v>
      </c>
      <c r="E12">
        <v>2.17</v>
      </c>
      <c r="F12" t="s">
        <v>296</v>
      </c>
      <c r="G12">
        <v>100</v>
      </c>
      <c r="H12" t="s">
        <v>297</v>
      </c>
      <c r="I12">
        <v>5</v>
      </c>
      <c r="J12">
        <v>0.0019999600007999841</v>
      </c>
      <c r="K12">
        <v>0</v>
      </c>
      <c r="L12">
        <v>0</v>
      </c>
      <c r="M12">
        <v>0</v>
      </c>
      <c r="O12">
        <v>200000</v>
      </c>
      <c r="R12" t="s">
        <v>136</v>
      </c>
      <c r="S12">
        <v>0</v>
      </c>
      <c r="T12">
        <v>4.3399999999999998E-05</v>
      </c>
      <c r="U12" t="s">
        <v>137</v>
      </c>
      <c r="V12">
        <v>0.075950000000000004</v>
      </c>
      <c r="W12">
        <v>2.2459934000000001</v>
      </c>
      <c r="X12" t="s">
        <v>90</v>
      </c>
      <c r="Y12">
        <v>0</v>
      </c>
      <c r="Z12">
        <v>0</v>
      </c>
      <c r="AA12" t="s">
        <v>90</v>
      </c>
      <c r="AB12">
        <v>0</v>
      </c>
      <c r="AC12">
        <v>2.2459934000000001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Q12" t="s">
        <v>9</v>
      </c>
      <c r="AR12" t="s">
        <v>141</v>
      </c>
      <c r="AS12">
        <v>2.17</v>
      </c>
    </row>
    <row r="13" spans="1:45" ht="12.75">
      <c r="A13" s="2" t="str">
        <f>HYPERLINK("https://ibp.a2mac1.com/costing(costing:projects/details/8191/material/5315205)","Material")</f>
        <v>Material</v>
      </c>
      <c r="B13">
        <v>5315205</v>
      </c>
      <c r="C13">
        <v>6969936</v>
      </c>
      <c r="E13">
        <v>9.78</v>
      </c>
      <c r="F13" t="s">
        <v>296</v>
      </c>
      <c r="G13">
        <v>100</v>
      </c>
      <c r="H13" t="s">
        <v>297</v>
      </c>
      <c r="I13">
        <v>5</v>
      </c>
      <c r="J13">
        <v>0.0019999600007999841</v>
      </c>
      <c r="K13">
        <v>0</v>
      </c>
      <c r="L13">
        <v>0</v>
      </c>
      <c r="M13">
        <v>0</v>
      </c>
      <c r="O13">
        <v>400000</v>
      </c>
      <c r="R13" t="s">
        <v>136</v>
      </c>
      <c r="S13">
        <v>0</v>
      </c>
      <c r="T13">
        <v>0.00019560000000000001</v>
      </c>
      <c r="U13" t="s">
        <v>137</v>
      </c>
      <c r="V13">
        <v>0.34229999999999999</v>
      </c>
      <c r="W13">
        <v>10.122495600000001</v>
      </c>
      <c r="X13" t="s">
        <v>138</v>
      </c>
      <c r="Y13">
        <v>0.60734973599999997</v>
      </c>
      <c r="Z13">
        <v>0</v>
      </c>
      <c r="AA13" t="s">
        <v>139</v>
      </c>
      <c r="AB13">
        <v>1.2146994719999999</v>
      </c>
      <c r="AC13">
        <v>11.944544808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Q13" t="s">
        <v>9</v>
      </c>
      <c r="AR13" t="s">
        <v>141</v>
      </c>
      <c r="AS13">
        <v>9.78</v>
      </c>
    </row>
    <row r="14" spans="1:45" ht="12.75">
      <c r="A14" s="2" t="str">
        <f>HYPERLINK("https://ibp.a2mac1.com/costing(costing:projects/details/8191/material/5315236)","Material")</f>
        <v>Material</v>
      </c>
      <c r="B14">
        <v>5315236</v>
      </c>
      <c r="C14">
        <v>6969999</v>
      </c>
      <c r="E14">
        <v>4.47</v>
      </c>
      <c r="F14" t="s">
        <v>296</v>
      </c>
      <c r="G14">
        <v>100</v>
      </c>
      <c r="H14" t="s">
        <v>297</v>
      </c>
      <c r="I14">
        <v>5</v>
      </c>
      <c r="J14">
        <v>0.0019999600007999841</v>
      </c>
      <c r="K14">
        <v>0</v>
      </c>
      <c r="L14">
        <v>0</v>
      </c>
      <c r="M14">
        <v>0</v>
      </c>
      <c r="O14">
        <v>400000</v>
      </c>
      <c r="R14" t="s">
        <v>136</v>
      </c>
      <c r="S14">
        <v>0</v>
      </c>
      <c r="T14">
        <v>8.9400000000000005E-05</v>
      </c>
      <c r="U14" t="s">
        <v>137</v>
      </c>
      <c r="V14">
        <v>0.15645000000000001</v>
      </c>
      <c r="W14">
        <v>4.6265394000000004</v>
      </c>
      <c r="X14" t="s">
        <v>138</v>
      </c>
      <c r="Y14">
        <v>0.27759236399999998</v>
      </c>
      <c r="Z14">
        <v>0</v>
      </c>
      <c r="AA14" t="s">
        <v>139</v>
      </c>
      <c r="AB14">
        <v>0.55518472799999996</v>
      </c>
      <c r="AC14">
        <v>5.4593164920000001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Q14" t="s">
        <v>9</v>
      </c>
      <c r="AR14" t="s">
        <v>141</v>
      </c>
      <c r="AS14">
        <v>4.47</v>
      </c>
    </row>
    <row r="15" spans="1:45" ht="12.75">
      <c r="A15" s="2" t="str">
        <f>HYPERLINK("https://ibp.a2mac1.com/costing(costing:projects/details/8191/material/5315234)","Material")</f>
        <v>Material</v>
      </c>
      <c r="B15">
        <v>5315234</v>
      </c>
      <c r="C15">
        <v>6969944</v>
      </c>
      <c r="E15">
        <v>7.91</v>
      </c>
      <c r="F15" t="s">
        <v>296</v>
      </c>
      <c r="G15">
        <v>100</v>
      </c>
      <c r="H15" t="s">
        <v>297</v>
      </c>
      <c r="I15">
        <v>5</v>
      </c>
      <c r="J15">
        <v>0.0019999600007999841</v>
      </c>
      <c r="K15">
        <v>0</v>
      </c>
      <c r="L15">
        <v>0</v>
      </c>
      <c r="M15">
        <v>0</v>
      </c>
      <c r="O15">
        <v>400000</v>
      </c>
      <c r="R15" t="s">
        <v>136</v>
      </c>
      <c r="S15">
        <v>0</v>
      </c>
      <c r="T15">
        <v>0.0001582</v>
      </c>
      <c r="U15" t="s">
        <v>137</v>
      </c>
      <c r="V15">
        <v>0.27684999999999998</v>
      </c>
      <c r="W15">
        <v>8.1870081999999993</v>
      </c>
      <c r="X15" t="s">
        <v>138</v>
      </c>
      <c r="Y15">
        <v>0.49122049200000001</v>
      </c>
      <c r="Z15">
        <v>0</v>
      </c>
      <c r="AA15" t="s">
        <v>139</v>
      </c>
      <c r="AB15">
        <v>0.98244098400000002</v>
      </c>
      <c r="AC15">
        <v>9.6606696759999995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Q15" t="s">
        <v>9</v>
      </c>
      <c r="AR15" t="s">
        <v>141</v>
      </c>
      <c r="AS15">
        <v>7.91</v>
      </c>
    </row>
    <row r="16" spans="1:45" ht="12.75">
      <c r="A16" s="2" t="str">
        <f>HYPERLINK("https://ibp.a2mac1.com/costing(costing:projects/details/8191/material/5315259)","Material")</f>
        <v>Material</v>
      </c>
      <c r="B16">
        <v>5315259</v>
      </c>
      <c r="C16">
        <v>6970060</v>
      </c>
      <c r="E16">
        <v>9.5370399999999993</v>
      </c>
      <c r="F16" t="s">
        <v>296</v>
      </c>
      <c r="G16">
        <v>100</v>
      </c>
      <c r="H16" t="s">
        <v>297</v>
      </c>
      <c r="I16">
        <v>5</v>
      </c>
      <c r="J16">
        <v>0.0019999600007999841</v>
      </c>
      <c r="K16">
        <v>0</v>
      </c>
      <c r="M16">
        <v>0</v>
      </c>
      <c r="O16">
        <v>400000</v>
      </c>
      <c r="R16" t="s">
        <v>136</v>
      </c>
      <c r="S16">
        <v>0</v>
      </c>
      <c r="T16">
        <v>0.00019074080000000001</v>
      </c>
      <c r="U16" t="s">
        <v>137</v>
      </c>
      <c r="V16">
        <v>0.33379639999999999</v>
      </c>
      <c r="W16">
        <v>9.8710271408000008</v>
      </c>
      <c r="X16" t="s">
        <v>138</v>
      </c>
      <c r="Y16">
        <v>0.59226162844800001</v>
      </c>
      <c r="Z16">
        <v>0</v>
      </c>
      <c r="AA16" t="s">
        <v>139</v>
      </c>
      <c r="AB16">
        <v>1.184523256896</v>
      </c>
      <c r="AC16">
        <v>11.647812026144001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Q16" t="s">
        <v>9</v>
      </c>
      <c r="AR16" t="s">
        <v>141</v>
      </c>
      <c r="AS16">
        <v>9.5370399999999993</v>
      </c>
    </row>
    <row r="17" spans="1:45" ht="12.75">
      <c r="A17" s="2" t="str">
        <f>HYPERLINK("https://ibp.a2mac1.com/costing(costing:projects/details/8191/material/5315260)","Material")</f>
        <v>Material</v>
      </c>
      <c r="B17">
        <v>5315260</v>
      </c>
      <c r="C17">
        <v>6970061</v>
      </c>
      <c r="E17">
        <v>5.60</v>
      </c>
      <c r="F17" t="s">
        <v>296</v>
      </c>
      <c r="G17">
        <v>100</v>
      </c>
      <c r="H17" t="s">
        <v>297</v>
      </c>
      <c r="I17">
        <v>5</v>
      </c>
      <c r="J17">
        <v>0.0019999600007999841</v>
      </c>
      <c r="K17">
        <v>0</v>
      </c>
      <c r="M17">
        <v>0</v>
      </c>
      <c r="O17">
        <v>400000</v>
      </c>
      <c r="R17" t="s">
        <v>136</v>
      </c>
      <c r="S17">
        <v>0</v>
      </c>
      <c r="T17">
        <v>0.000112</v>
      </c>
      <c r="U17" t="s">
        <v>137</v>
      </c>
      <c r="V17">
        <v>0.19600000000000001</v>
      </c>
      <c r="W17">
        <v>5.7961119999999999</v>
      </c>
      <c r="X17" t="s">
        <v>138</v>
      </c>
      <c r="Y17">
        <v>0.34776671999999997</v>
      </c>
      <c r="Z17">
        <v>0</v>
      </c>
      <c r="AA17" t="s">
        <v>139</v>
      </c>
      <c r="AB17">
        <v>0.69553343999999995</v>
      </c>
      <c r="AC17">
        <v>6.8394121600000002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Q17" t="s">
        <v>9</v>
      </c>
      <c r="AR17" t="s">
        <v>141</v>
      </c>
      <c r="AS17">
        <v>5.60</v>
      </c>
    </row>
    <row r="18" spans="1:45" ht="12.75">
      <c r="A18" s="2" t="str">
        <f>HYPERLINK("https://ibp.a2mac1.com/costing(costing:projects/details/8191/material/5315265)","Material")</f>
        <v>Material</v>
      </c>
      <c r="B18">
        <v>5315265</v>
      </c>
      <c r="C18">
        <v>6970068</v>
      </c>
      <c r="E18">
        <v>12.82</v>
      </c>
      <c r="F18" t="s">
        <v>296</v>
      </c>
      <c r="G18">
        <v>100</v>
      </c>
      <c r="H18" t="s">
        <v>297</v>
      </c>
      <c r="I18">
        <v>5</v>
      </c>
      <c r="J18">
        <v>0.0019999600007999841</v>
      </c>
      <c r="K18">
        <v>0</v>
      </c>
      <c r="M18">
        <v>0</v>
      </c>
      <c r="O18">
        <v>400000</v>
      </c>
      <c r="R18" t="s">
        <v>136</v>
      </c>
      <c r="S18">
        <v>0</v>
      </c>
      <c r="T18">
        <v>0.0002564</v>
      </c>
      <c r="U18" t="s">
        <v>137</v>
      </c>
      <c r="V18">
        <v>0.44869999999999999</v>
      </c>
      <c r="W18">
        <v>13.2689564</v>
      </c>
      <c r="X18" t="s">
        <v>138</v>
      </c>
      <c r="Y18">
        <v>0.796137384</v>
      </c>
      <c r="Z18">
        <v>0</v>
      </c>
      <c r="AA18" t="s">
        <v>139</v>
      </c>
      <c r="AB18">
        <v>1.592274768</v>
      </c>
      <c r="AC18">
        <v>15.657368551999999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Q18" t="s">
        <v>9</v>
      </c>
      <c r="AR18" t="s">
        <v>141</v>
      </c>
      <c r="AS18">
        <v>12.82</v>
      </c>
    </row>
    <row r="19" spans="1:45" ht="12.75">
      <c r="A19" s="2" t="str">
        <f>HYPERLINK("https://ibp.a2mac1.com/costing(costing:projects/details/8191/material/5315266)","Material")</f>
        <v>Material</v>
      </c>
      <c r="B19">
        <v>5315266</v>
      </c>
      <c r="C19">
        <v>6970069</v>
      </c>
      <c r="E19">
        <v>11.34</v>
      </c>
      <c r="F19" t="s">
        <v>296</v>
      </c>
      <c r="G19">
        <v>100</v>
      </c>
      <c r="H19" t="s">
        <v>297</v>
      </c>
      <c r="I19">
        <v>5</v>
      </c>
      <c r="J19">
        <v>0.0019999600007999841</v>
      </c>
      <c r="K19">
        <v>0</v>
      </c>
      <c r="M19">
        <v>0</v>
      </c>
      <c r="O19">
        <v>200000</v>
      </c>
      <c r="R19" t="s">
        <v>136</v>
      </c>
      <c r="S19">
        <v>0</v>
      </c>
      <c r="T19">
        <v>0.00022680000000000001</v>
      </c>
      <c r="U19" t="s">
        <v>137</v>
      </c>
      <c r="V19">
        <v>0.39689999999999998</v>
      </c>
      <c r="W19">
        <v>11.7371268</v>
      </c>
      <c r="X19" t="s">
        <v>138</v>
      </c>
      <c r="Y19">
        <v>0.70422760799999995</v>
      </c>
      <c r="Z19">
        <v>0</v>
      </c>
      <c r="AA19" t="s">
        <v>139</v>
      </c>
      <c r="AB19">
        <v>1.4084552159999999</v>
      </c>
      <c r="AC19">
        <v>13.849809624000001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Q19" t="s">
        <v>9</v>
      </c>
      <c r="AR19" t="s">
        <v>141</v>
      </c>
      <c r="AS19">
        <v>11.34</v>
      </c>
    </row>
    <row r="20" spans="1:45" ht="12.75">
      <c r="A20" s="2" t="str">
        <f>HYPERLINK("https://ibp.a2mac1.com/costing(costing:projects/details/8191/material/5315267)","Material")</f>
        <v>Material</v>
      </c>
      <c r="B20">
        <v>5315267</v>
      </c>
      <c r="C20">
        <v>6970070</v>
      </c>
      <c r="E20">
        <v>11.518000000000001</v>
      </c>
      <c r="F20" t="s">
        <v>296</v>
      </c>
      <c r="G20">
        <v>100</v>
      </c>
      <c r="H20" t="s">
        <v>297</v>
      </c>
      <c r="I20">
        <v>5</v>
      </c>
      <c r="J20">
        <v>0.0019999600007999841</v>
      </c>
      <c r="K20">
        <v>0</v>
      </c>
      <c r="M20">
        <v>0</v>
      </c>
      <c r="O20">
        <v>400000</v>
      </c>
      <c r="R20" t="s">
        <v>136</v>
      </c>
      <c r="S20">
        <v>0</v>
      </c>
      <c r="T20">
        <v>0.00023036000000000001</v>
      </c>
      <c r="U20" t="s">
        <v>90</v>
      </c>
      <c r="V20">
        <v>0</v>
      </c>
      <c r="W20">
        <v>11.51823036</v>
      </c>
      <c r="X20" t="s">
        <v>90</v>
      </c>
      <c r="Y20">
        <v>0</v>
      </c>
      <c r="Z20">
        <v>0</v>
      </c>
      <c r="AA20" t="s">
        <v>90</v>
      </c>
      <c r="AB20">
        <v>0</v>
      </c>
      <c r="AC20">
        <v>11.51823036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Q20" t="s">
        <v>9</v>
      </c>
      <c r="AR20" t="s">
        <v>141</v>
      </c>
      <c r="AS20">
        <v>11.518000000000001</v>
      </c>
    </row>
    <row r="21" spans="1:45" ht="12.75">
      <c r="A21" s="2" t="str">
        <f>HYPERLINK("https://ibp.a2mac1.com/costing(costing:projects/details/8191/material/5315268)","Material")</f>
        <v>Material</v>
      </c>
      <c r="B21">
        <v>5315268</v>
      </c>
      <c r="C21">
        <v>6970071</v>
      </c>
      <c r="E21">
        <v>8.14</v>
      </c>
      <c r="F21" t="s">
        <v>296</v>
      </c>
      <c r="G21">
        <v>100</v>
      </c>
      <c r="H21" t="s">
        <v>297</v>
      </c>
      <c r="I21">
        <v>5</v>
      </c>
      <c r="J21">
        <v>0.0019999600007999841</v>
      </c>
      <c r="K21">
        <v>0</v>
      </c>
      <c r="M21">
        <v>0</v>
      </c>
      <c r="O21">
        <v>400000</v>
      </c>
      <c r="R21" t="s">
        <v>136</v>
      </c>
      <c r="S21">
        <v>0</v>
      </c>
      <c r="T21">
        <v>0.0001628</v>
      </c>
      <c r="U21" t="s">
        <v>137</v>
      </c>
      <c r="V21">
        <v>0.28489999999999999</v>
      </c>
      <c r="W21">
        <v>8.4250627999999992</v>
      </c>
      <c r="X21" t="s">
        <v>138</v>
      </c>
      <c r="Y21">
        <v>0.50550376799999996</v>
      </c>
      <c r="Z21">
        <v>0</v>
      </c>
      <c r="AA21" t="s">
        <v>139</v>
      </c>
      <c r="AB21">
        <v>1.0110075359999999</v>
      </c>
      <c r="AC21">
        <v>9.9415741040000007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Q21" t="s">
        <v>9</v>
      </c>
      <c r="AR21" t="s">
        <v>141</v>
      </c>
      <c r="AS21">
        <v>8.14</v>
      </c>
    </row>
    <row r="22" spans="1:45" ht="12.75">
      <c r="A22" s="2" t="str">
        <f>HYPERLINK("https://ibp.a2mac1.com/costing(costing:projects/details/8191/material/5315269)","Material")</f>
        <v>Material</v>
      </c>
      <c r="B22">
        <v>5315269</v>
      </c>
      <c r="C22">
        <v>6970072</v>
      </c>
      <c r="E22">
        <v>36.16</v>
      </c>
      <c r="F22" t="s">
        <v>296</v>
      </c>
      <c r="G22">
        <v>100</v>
      </c>
      <c r="H22" t="s">
        <v>297</v>
      </c>
      <c r="I22">
        <v>5</v>
      </c>
      <c r="J22">
        <v>0.0019999600007999841</v>
      </c>
      <c r="K22">
        <v>0</v>
      </c>
      <c r="L22">
        <v>0</v>
      </c>
      <c r="M22">
        <v>0</v>
      </c>
      <c r="O22">
        <v>200000</v>
      </c>
      <c r="R22" t="s">
        <v>136</v>
      </c>
      <c r="S22">
        <v>0</v>
      </c>
      <c r="T22">
        <v>0.00072320000000000001</v>
      </c>
      <c r="U22" t="s">
        <v>137</v>
      </c>
      <c r="V22">
        <v>1.2656000000000001</v>
      </c>
      <c r="W22">
        <v>37.426323199999999</v>
      </c>
      <c r="X22" t="s">
        <v>138</v>
      </c>
      <c r="Y22">
        <v>2.2455793919999998</v>
      </c>
      <c r="Z22">
        <v>0</v>
      </c>
      <c r="AA22" t="s">
        <v>139</v>
      </c>
      <c r="AB22">
        <v>4.4911587839999996</v>
      </c>
      <c r="AC22">
        <v>44.163061376000002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Q22" t="s">
        <v>9</v>
      </c>
      <c r="AR22" t="s">
        <v>141</v>
      </c>
      <c r="AS22">
        <v>36.16</v>
      </c>
    </row>
    <row r="23" spans="1:45" ht="12.75">
      <c r="A23" s="2" t="str">
        <f>HYPERLINK("https://ibp.a2mac1.com/costing(costing:projects/details/8191/material/5315270)","Material")</f>
        <v>Material</v>
      </c>
      <c r="B23">
        <v>5315270</v>
      </c>
      <c r="C23">
        <v>6970073</v>
      </c>
      <c r="E23">
        <v>5.0679999999999996</v>
      </c>
      <c r="F23" t="s">
        <v>296</v>
      </c>
      <c r="G23">
        <v>100</v>
      </c>
      <c r="H23" t="s">
        <v>297</v>
      </c>
      <c r="I23">
        <v>5</v>
      </c>
      <c r="J23">
        <v>0.0019999600007999841</v>
      </c>
      <c r="K23">
        <v>0</v>
      </c>
      <c r="M23">
        <v>0</v>
      </c>
      <c r="O23">
        <v>400000</v>
      </c>
      <c r="R23" t="s">
        <v>136</v>
      </c>
      <c r="S23">
        <v>0</v>
      </c>
      <c r="T23">
        <v>0.00010136000000000001</v>
      </c>
      <c r="U23" t="s">
        <v>137</v>
      </c>
      <c r="V23">
        <v>0.17738000000000001</v>
      </c>
      <c r="W23">
        <v>5.2454813600000003</v>
      </c>
      <c r="X23" t="s">
        <v>138</v>
      </c>
      <c r="Y23">
        <v>0.31472888160000001</v>
      </c>
      <c r="Z23">
        <v>0</v>
      </c>
      <c r="AA23" t="s">
        <v>139</v>
      </c>
      <c r="AB23">
        <v>0.62945776320000002</v>
      </c>
      <c r="AC23">
        <v>6.1896680047999997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Q23" t="s">
        <v>9</v>
      </c>
      <c r="AR23" t="s">
        <v>141</v>
      </c>
      <c r="AS23">
        <v>5.0679999999999996</v>
      </c>
    </row>
    <row r="24" spans="1:45" ht="12.75">
      <c r="A24" s="2" t="str">
        <f>HYPERLINK("https://ibp.a2mac1.com/costing(costing:projects/details/8191/material/5315271)","Material")</f>
        <v>Material</v>
      </c>
      <c r="B24">
        <v>5315271</v>
      </c>
      <c r="C24">
        <v>6970074</v>
      </c>
      <c r="E24">
        <v>9.2170000000000005</v>
      </c>
      <c r="F24" t="s">
        <v>296</v>
      </c>
      <c r="G24">
        <v>100</v>
      </c>
      <c r="H24" t="s">
        <v>297</v>
      </c>
      <c r="I24">
        <v>5</v>
      </c>
      <c r="J24">
        <v>0.0019999600007999841</v>
      </c>
      <c r="K24">
        <v>0</v>
      </c>
      <c r="M24">
        <v>0</v>
      </c>
      <c r="O24">
        <v>400000</v>
      </c>
      <c r="R24" t="s">
        <v>136</v>
      </c>
      <c r="S24">
        <v>0</v>
      </c>
      <c r="T24">
        <v>0.00018433999999999999</v>
      </c>
      <c r="U24" t="s">
        <v>137</v>
      </c>
      <c r="V24">
        <v>0.32259500000000002</v>
      </c>
      <c r="W24">
        <v>9.5397793400000008</v>
      </c>
      <c r="X24" t="s">
        <v>138</v>
      </c>
      <c r="Y24">
        <v>0.57238676040000003</v>
      </c>
      <c r="Z24">
        <v>0</v>
      </c>
      <c r="AA24" t="s">
        <v>139</v>
      </c>
      <c r="AB24">
        <v>1.1447735208000001</v>
      </c>
      <c r="AC24">
        <v>11.256939621200001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Q24" t="s">
        <v>9</v>
      </c>
      <c r="AR24" t="s">
        <v>141</v>
      </c>
      <c r="AS24">
        <v>9.2170000000000005</v>
      </c>
    </row>
    <row r="25" spans="1:45" ht="12.75">
      <c r="A25" s="2" t="str">
        <f>HYPERLINK("https://ibp.a2mac1.com/costing(costing:projects/details/8191/material/5315272)","Material")</f>
        <v>Material</v>
      </c>
      <c r="B25">
        <v>5315272</v>
      </c>
      <c r="C25">
        <v>6970075</v>
      </c>
      <c r="E25">
        <v>4.85</v>
      </c>
      <c r="F25" t="s">
        <v>296</v>
      </c>
      <c r="G25">
        <v>100</v>
      </c>
      <c r="H25" t="s">
        <v>297</v>
      </c>
      <c r="I25">
        <v>5</v>
      </c>
      <c r="J25">
        <v>0.0019999600007999841</v>
      </c>
      <c r="K25">
        <v>0</v>
      </c>
      <c r="M25">
        <v>0</v>
      </c>
      <c r="O25">
        <v>200000</v>
      </c>
      <c r="R25" t="s">
        <v>136</v>
      </c>
      <c r="S25">
        <v>0</v>
      </c>
      <c r="T25">
        <v>9.7E-05</v>
      </c>
      <c r="U25" t="s">
        <v>137</v>
      </c>
      <c r="V25">
        <v>0.16975000000000001</v>
      </c>
      <c r="W25">
        <v>5.0198470000000004</v>
      </c>
      <c r="X25" t="s">
        <v>138</v>
      </c>
      <c r="Y25">
        <v>0.30119082000000003</v>
      </c>
      <c r="Z25">
        <v>0</v>
      </c>
      <c r="AA25" t="s">
        <v>139</v>
      </c>
      <c r="AB25">
        <v>0.60238164000000005</v>
      </c>
      <c r="AC25">
        <v>5.9234194599999999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Q25" t="s">
        <v>9</v>
      </c>
      <c r="AR25" t="s">
        <v>141</v>
      </c>
      <c r="AS25">
        <v>4.85</v>
      </c>
    </row>
    <row r="26" spans="1:45" ht="12.75">
      <c r="A26" s="2" t="str">
        <f>HYPERLINK("https://ibp.a2mac1.com/costing(costing:projects/details/8191/material/5315273)","Material")</f>
        <v>Material</v>
      </c>
      <c r="B26">
        <v>5315273</v>
      </c>
      <c r="C26">
        <v>6970076</v>
      </c>
      <c r="E26">
        <v>88.26</v>
      </c>
      <c r="F26" t="s">
        <v>296</v>
      </c>
      <c r="G26">
        <v>100</v>
      </c>
      <c r="H26" t="s">
        <v>297</v>
      </c>
      <c r="I26">
        <v>5</v>
      </c>
      <c r="J26">
        <v>0.0019999600007999841</v>
      </c>
      <c r="K26">
        <v>0</v>
      </c>
      <c r="L26">
        <v>0</v>
      </c>
      <c r="M26">
        <v>0</v>
      </c>
      <c r="O26">
        <v>200000</v>
      </c>
      <c r="R26" t="s">
        <v>136</v>
      </c>
      <c r="S26">
        <v>0</v>
      </c>
      <c r="T26">
        <v>0.0017652</v>
      </c>
      <c r="U26" t="s">
        <v>137</v>
      </c>
      <c r="V26">
        <v>3.0891000000000002</v>
      </c>
      <c r="W26">
        <v>91.350865200000001</v>
      </c>
      <c r="X26" t="s">
        <v>90</v>
      </c>
      <c r="Y26">
        <v>0</v>
      </c>
      <c r="Z26">
        <v>0</v>
      </c>
      <c r="AA26" t="s">
        <v>90</v>
      </c>
      <c r="AB26">
        <v>0</v>
      </c>
      <c r="AC26">
        <v>91.350865200000001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Q26" t="s">
        <v>9</v>
      </c>
      <c r="AR26" t="s">
        <v>141</v>
      </c>
      <c r="AS26">
        <v>88.26</v>
      </c>
    </row>
    <row r="27" spans="1:45" ht="12.75">
      <c r="A27" s="2" t="str">
        <f>HYPERLINK("https://ibp.a2mac1.com/costing(costing:projects/details/8191/material/5315261)","Material")</f>
        <v>Material</v>
      </c>
      <c r="B27">
        <v>5315261</v>
      </c>
      <c r="C27">
        <v>6970063</v>
      </c>
      <c r="E27">
        <v>8.23</v>
      </c>
      <c r="F27" t="s">
        <v>296</v>
      </c>
      <c r="G27">
        <v>100</v>
      </c>
      <c r="H27" t="s">
        <v>297</v>
      </c>
      <c r="I27">
        <v>5</v>
      </c>
      <c r="J27">
        <v>0.0019999600007999841</v>
      </c>
      <c r="K27">
        <v>0</v>
      </c>
      <c r="L27">
        <v>0</v>
      </c>
      <c r="M27">
        <v>0</v>
      </c>
      <c r="O27">
        <v>400000</v>
      </c>
      <c r="R27" t="s">
        <v>136</v>
      </c>
      <c r="S27">
        <v>0</v>
      </c>
      <c r="T27">
        <v>0.00016459999999999999</v>
      </c>
      <c r="U27" t="s">
        <v>137</v>
      </c>
      <c r="V27">
        <v>0.28804999999999997</v>
      </c>
      <c r="W27">
        <v>8.5182146000000003</v>
      </c>
      <c r="X27" t="s">
        <v>138</v>
      </c>
      <c r="Y27">
        <v>0.51109287599999997</v>
      </c>
      <c r="Z27">
        <v>0</v>
      </c>
      <c r="AA27" t="s">
        <v>139</v>
      </c>
      <c r="AB27">
        <v>1.0221857519999999</v>
      </c>
      <c r="AC27">
        <v>10.051493228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Q27" t="s">
        <v>9</v>
      </c>
      <c r="AR27" t="s">
        <v>141</v>
      </c>
      <c r="AS27">
        <v>8.23</v>
      </c>
    </row>
    <row r="28" spans="1:45" ht="12.75">
      <c r="A28" s="2" t="str">
        <f>HYPERLINK("https://ibp.a2mac1.com/costing(costing:projects/details/8191/material/5315262)","Material")</f>
        <v>Material</v>
      </c>
      <c r="B28">
        <v>5315262</v>
      </c>
      <c r="C28">
        <v>6970065</v>
      </c>
      <c r="E28">
        <v>19.71</v>
      </c>
      <c r="F28" t="s">
        <v>296</v>
      </c>
      <c r="G28">
        <v>100</v>
      </c>
      <c r="H28" t="s">
        <v>297</v>
      </c>
      <c r="I28">
        <v>5</v>
      </c>
      <c r="J28">
        <v>0.0019999600007999841</v>
      </c>
      <c r="K28">
        <v>0</v>
      </c>
      <c r="L28">
        <v>0</v>
      </c>
      <c r="M28">
        <v>0</v>
      </c>
      <c r="O28">
        <v>200000</v>
      </c>
      <c r="R28" t="s">
        <v>136</v>
      </c>
      <c r="S28">
        <v>0</v>
      </c>
      <c r="T28">
        <v>0.00039419999999999999</v>
      </c>
      <c r="U28" t="s">
        <v>137</v>
      </c>
      <c r="V28">
        <v>0.68984999999999996</v>
      </c>
      <c r="W28">
        <v>20.400244199999999</v>
      </c>
      <c r="X28" t="s">
        <v>138</v>
      </c>
      <c r="Y28">
        <v>1.2240146519999999</v>
      </c>
      <c r="Z28">
        <v>0</v>
      </c>
      <c r="AA28" t="s">
        <v>139</v>
      </c>
      <c r="AB28">
        <v>2.4480293039999999</v>
      </c>
      <c r="AC28">
        <v>24.072288155999999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Q28" t="s">
        <v>9</v>
      </c>
      <c r="AR28" t="s">
        <v>141</v>
      </c>
      <c r="AS28">
        <v>19.71</v>
      </c>
    </row>
    <row r="29" spans="1:45" ht="12.75">
      <c r="A29" s="2" t="str">
        <f>HYPERLINK("https://ibp.a2mac1.com/costing(costing:projects/details/8191/material/5315263)","Material")</f>
        <v>Material</v>
      </c>
      <c r="B29">
        <v>5315263</v>
      </c>
      <c r="C29">
        <v>6970066</v>
      </c>
      <c r="E29">
        <v>19.71</v>
      </c>
      <c r="F29" t="s">
        <v>296</v>
      </c>
      <c r="G29">
        <v>100</v>
      </c>
      <c r="H29" t="s">
        <v>297</v>
      </c>
      <c r="I29">
        <v>5</v>
      </c>
      <c r="J29">
        <v>0.0019999600007999841</v>
      </c>
      <c r="K29">
        <v>0</v>
      </c>
      <c r="L29">
        <v>0</v>
      </c>
      <c r="M29">
        <v>0</v>
      </c>
      <c r="O29">
        <v>200000</v>
      </c>
      <c r="R29" t="s">
        <v>136</v>
      </c>
      <c r="S29">
        <v>0</v>
      </c>
      <c r="T29">
        <v>0.00039419999999999999</v>
      </c>
      <c r="U29" t="s">
        <v>137</v>
      </c>
      <c r="V29">
        <v>0.68984999999999996</v>
      </c>
      <c r="W29">
        <v>20.400244199999999</v>
      </c>
      <c r="X29" t="s">
        <v>138</v>
      </c>
      <c r="Y29">
        <v>1.2240146519999999</v>
      </c>
      <c r="Z29">
        <v>0</v>
      </c>
      <c r="AA29" t="s">
        <v>139</v>
      </c>
      <c r="AB29">
        <v>2.4480293039999999</v>
      </c>
      <c r="AC29">
        <v>24.072288155999999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Q29" t="s">
        <v>9</v>
      </c>
      <c r="AR29" t="s">
        <v>141</v>
      </c>
      <c r="AS29">
        <v>19.71</v>
      </c>
    </row>
    <row r="30" spans="1:45" ht="12.75">
      <c r="A30" s="2" t="str">
        <f>HYPERLINK("https://ibp.a2mac1.com/costing(costing:projects/details/8191/material/5315264)","Material")</f>
        <v>Material</v>
      </c>
      <c r="B30">
        <v>5315264</v>
      </c>
      <c r="C30">
        <v>6970067</v>
      </c>
      <c r="E30">
        <v>66.38</v>
      </c>
      <c r="F30" t="s">
        <v>296</v>
      </c>
      <c r="G30">
        <v>100</v>
      </c>
      <c r="H30" t="s">
        <v>297</v>
      </c>
      <c r="I30">
        <v>5</v>
      </c>
      <c r="J30">
        <v>0.0004999975000124999</v>
      </c>
      <c r="K30">
        <v>0</v>
      </c>
      <c r="M30">
        <v>0</v>
      </c>
      <c r="O30">
        <v>800000</v>
      </c>
      <c r="R30" t="s">
        <v>136</v>
      </c>
      <c r="S30">
        <v>0</v>
      </c>
      <c r="T30">
        <v>0.00033189999999999999</v>
      </c>
      <c r="U30" t="s">
        <v>137</v>
      </c>
      <c r="V30">
        <v>2.3233000000000001</v>
      </c>
      <c r="W30">
        <v>68.703631900000005</v>
      </c>
      <c r="X30" t="s">
        <v>138</v>
      </c>
      <c r="Y30">
        <v>4.1222179140000001</v>
      </c>
      <c r="Z30">
        <v>0</v>
      </c>
      <c r="AA30" t="s">
        <v>139</v>
      </c>
      <c r="AB30">
        <v>8.2444358280000003</v>
      </c>
      <c r="AC30">
        <v>81.070285642000002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Q30" t="s">
        <v>9</v>
      </c>
      <c r="AR30" t="s">
        <v>141</v>
      </c>
      <c r="AS30">
        <v>66.38</v>
      </c>
    </row>
    <row r="31" spans="1:45" ht="12.75">
      <c r="A31" s="2" t="str">
        <f>HYPERLINK("https://ibp.a2mac1.com/costing(costing:projects/details/8191/material/5315413)","PP-PE-GF25")</f>
        <v>PP-PE-GF25</v>
      </c>
      <c r="B31">
        <v>5315413</v>
      </c>
      <c r="C31">
        <v>6970311</v>
      </c>
      <c r="E31">
        <v>1.34588</v>
      </c>
      <c r="F31" t="s">
        <v>496</v>
      </c>
      <c r="G31">
        <v>98.039199999999994</v>
      </c>
      <c r="H31" t="s">
        <v>497</v>
      </c>
      <c r="I31">
        <v>5</v>
      </c>
      <c r="J31">
        <v>2.001136786813273</v>
      </c>
      <c r="K31">
        <v>0</v>
      </c>
      <c r="M31">
        <v>0</v>
      </c>
      <c r="O31">
        <v>200000</v>
      </c>
      <c r="R31" t="s">
        <v>136</v>
      </c>
      <c r="S31">
        <v>0.0003432022005075521</v>
      </c>
      <c r="T31">
        <v>0.0071482955266872839</v>
      </c>
      <c r="U31" t="s">
        <v>137</v>
      </c>
      <c r="V31">
        <v>0.012252220540355286</v>
      </c>
      <c r="W31">
        <v>0.36912075787668608</v>
      </c>
      <c r="X31" t="s">
        <v>138</v>
      </c>
      <c r="Y31">
        <v>0.022147245472601162</v>
      </c>
      <c r="Z31">
        <v>0</v>
      </c>
      <c r="AA31" t="s">
        <v>139</v>
      </c>
      <c r="AB31">
        <v>0.044294490945202325</v>
      </c>
      <c r="AC31">
        <v>0.43556249429448957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Q31" t="s">
        <v>140</v>
      </c>
      <c r="AR31" t="s">
        <v>141</v>
      </c>
      <c r="AS31">
        <v>0.35006344401015105</v>
      </c>
    </row>
    <row r="32" spans="1:45" ht="12.75">
      <c r="A32" s="2" t="str">
        <f>HYPERLINK("https://ibp.a2mac1.com/costing(costing:projects/details/8191/material/5315415)","Steel sheet (default)")</f>
        <v>Steel sheet (default)</v>
      </c>
      <c r="B32">
        <v>5315415</v>
      </c>
      <c r="C32">
        <v>6970313</v>
      </c>
      <c r="E32">
        <v>0.52766000000000002</v>
      </c>
      <c r="F32" t="s">
        <v>504</v>
      </c>
      <c r="G32">
        <v>75</v>
      </c>
      <c r="H32" t="s">
        <v>505</v>
      </c>
      <c r="I32">
        <v>30</v>
      </c>
      <c r="J32">
        <v>0.10389195236953569</v>
      </c>
      <c r="K32">
        <v>0</v>
      </c>
      <c r="L32">
        <v>0</v>
      </c>
      <c r="M32">
        <v>0</v>
      </c>
      <c r="O32">
        <v>200000</v>
      </c>
      <c r="R32" t="s">
        <v>136</v>
      </c>
      <c r="S32">
        <v>0.011608520000000001</v>
      </c>
      <c r="T32">
        <v>0.00016097147733333333</v>
      </c>
      <c r="U32" t="s">
        <v>137</v>
      </c>
      <c r="V32">
        <v>0.0054173093333333335</v>
      </c>
      <c r="W32">
        <v>0.14875002747733335</v>
      </c>
      <c r="X32" t="s">
        <v>138</v>
      </c>
      <c r="Y32">
        <v>0.0089250016486399995</v>
      </c>
      <c r="Z32">
        <v>0</v>
      </c>
      <c r="AA32" t="s">
        <v>139</v>
      </c>
      <c r="AB32">
        <v>0.017850003297279999</v>
      </c>
      <c r="AC32">
        <v>0.17552503242325335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Q32" t="s">
        <v>140</v>
      </c>
      <c r="AR32" t="s">
        <v>141</v>
      </c>
      <c r="AS32">
        <v>0.15478026666666667</v>
      </c>
    </row>
    <row r="33" spans="1:45" ht="12.75">
      <c r="A33" s="2" t="str">
        <f>HYPERLINK("https://ibp.a2mac1.com/costing(costing:projects/details/8191/material/5315414)","PUR")</f>
        <v>PUR</v>
      </c>
      <c r="B33">
        <v>5315414</v>
      </c>
      <c r="C33">
        <v>6970312</v>
      </c>
      <c r="D33" t="s">
        <v>508</v>
      </c>
      <c r="E33">
        <v>3.37662</v>
      </c>
      <c r="F33" t="s">
        <v>509</v>
      </c>
      <c r="G33">
        <v>95</v>
      </c>
      <c r="H33" t="s">
        <v>510</v>
      </c>
      <c r="I33">
        <v>5</v>
      </c>
      <c r="J33">
        <v>0.10389195236953569</v>
      </c>
      <c r="K33">
        <v>0</v>
      </c>
      <c r="L33">
        <v>0</v>
      </c>
      <c r="M33">
        <v>0</v>
      </c>
      <c r="O33">
        <v>200000</v>
      </c>
      <c r="R33" t="s">
        <v>136</v>
      </c>
      <c r="S33">
        <v>0.00044429210526315788</v>
      </c>
      <c r="T33">
        <v>0.00018482551578947369</v>
      </c>
      <c r="U33" t="s">
        <v>137</v>
      </c>
      <c r="V33">
        <v>0.0062200894736842106</v>
      </c>
      <c r="W33">
        <v>0.18367746498947368</v>
      </c>
      <c r="X33" t="s">
        <v>138</v>
      </c>
      <c r="Y33">
        <v>0.011020647899368421</v>
      </c>
      <c r="Z33">
        <v>0</v>
      </c>
      <c r="AA33" t="s">
        <v>139</v>
      </c>
      <c r="AB33">
        <v>0.022041295798736843</v>
      </c>
      <c r="AC33">
        <v>0.21673940868757896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P33" t="s">
        <v>511</v>
      </c>
      <c r="AQ33" t="s">
        <v>140</v>
      </c>
      <c r="AR33" t="s">
        <v>141</v>
      </c>
      <c r="AS33">
        <v>0.17771684210526315</v>
      </c>
    </row>
    <row r="34" spans="1:45" ht="12.75">
      <c r="A34" s="2" t="str">
        <f>HYPERLINK("https://ibp.a2mac1.com/costing(costing:projects/details/8191/material/5315402)","PP-PE")</f>
        <v>PP-PE</v>
      </c>
      <c r="B34">
        <v>5315402</v>
      </c>
      <c r="C34">
        <v>6970276</v>
      </c>
      <c r="E34">
        <v>1.34768</v>
      </c>
      <c r="F34" t="s">
        <v>517</v>
      </c>
      <c r="G34">
        <v>98.039199999999994</v>
      </c>
      <c r="H34" t="s">
        <v>518</v>
      </c>
      <c r="I34">
        <v>5</v>
      </c>
      <c r="J34">
        <v>0.10389195236953569</v>
      </c>
      <c r="K34">
        <v>0</v>
      </c>
      <c r="M34">
        <v>0</v>
      </c>
      <c r="O34">
        <v>200000</v>
      </c>
      <c r="R34" t="s">
        <v>136</v>
      </c>
      <c r="S34">
        <v>5.5255330879892941E-05</v>
      </c>
      <c r="T34">
        <v>5.8614386082301774E-05</v>
      </c>
      <c r="U34" t="s">
        <v>137</v>
      </c>
      <c r="V34">
        <v>0.0019725995316159251</v>
      </c>
      <c r="W34">
        <v>0.058335945204416192</v>
      </c>
      <c r="X34" t="s">
        <v>138</v>
      </c>
      <c r="Y34">
        <v>0.0035001567122649718</v>
      </c>
      <c r="Z34">
        <v>0</v>
      </c>
      <c r="AA34" t="s">
        <v>139</v>
      </c>
      <c r="AB34">
        <v>0.0070003134245299435</v>
      </c>
      <c r="AC34">
        <v>0.068836415341211113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Q34" t="s">
        <v>140</v>
      </c>
      <c r="AR34" t="s">
        <v>141</v>
      </c>
      <c r="AS34">
        <v>0.056359986617597856</v>
      </c>
    </row>
    <row r="35" spans="1:45" ht="12.75">
      <c r="A35" s="2" t="str">
        <f>HYPERLINK("https://ibp.a2mac1.com/costing(costing:projects/details/8191/material/5315403)","PP")</f>
        <v>PP</v>
      </c>
      <c r="B35">
        <v>5315403</v>
      </c>
      <c r="C35">
        <v>6970277</v>
      </c>
      <c r="E35">
        <v>1.0113799999999999</v>
      </c>
      <c r="F35" t="s">
        <v>523</v>
      </c>
      <c r="G35">
        <v>98.039199999999994</v>
      </c>
      <c r="H35" t="s">
        <v>524</v>
      </c>
      <c r="I35">
        <v>5</v>
      </c>
      <c r="J35">
        <v>0.10389195236953569</v>
      </c>
      <c r="K35">
        <v>0</v>
      </c>
      <c r="L35">
        <v>0</v>
      </c>
      <c r="M35">
        <v>0</v>
      </c>
      <c r="O35">
        <v>200000</v>
      </c>
      <c r="R35" t="s">
        <v>136</v>
      </c>
      <c r="S35">
        <v>7.0797177700348436E-06</v>
      </c>
      <c r="T35">
        <v>7.5101045296167248E-06</v>
      </c>
      <c r="U35" t="s">
        <v>137</v>
      </c>
      <c r="V35">
        <v>0.00025274390243902438</v>
      </c>
      <c r="W35">
        <v>0.0074744286445993027</v>
      </c>
      <c r="X35" t="s">
        <v>138</v>
      </c>
      <c r="Y35">
        <v>0.0004484657186759582</v>
      </c>
      <c r="Z35">
        <v>0</v>
      </c>
      <c r="AA35" t="s">
        <v>139</v>
      </c>
      <c r="AB35">
        <v>0.00089693143735191641</v>
      </c>
      <c r="AC35">
        <v>0.0088198258006271773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Q35" t="s">
        <v>140</v>
      </c>
      <c r="AR35" t="s">
        <v>141</v>
      </c>
      <c r="AS35">
        <v>0.0072212543554006966</v>
      </c>
    </row>
    <row r="36" spans="1:45" ht="12.75">
      <c r="A36" s="2" t="str">
        <f>HYPERLINK("https://ibp.a2mac1.com/costing(costing:projects/details/8191/material/5315404)","PVC Overlay- vinyl")</f>
        <v>PVC Overlay- vinyl</v>
      </c>
      <c r="B36">
        <v>5315404</v>
      </c>
      <c r="C36">
        <v>6970277</v>
      </c>
      <c r="D36" t="s">
        <v>526</v>
      </c>
      <c r="E36">
        <v>4.03</v>
      </c>
      <c r="F36" t="s">
        <v>527</v>
      </c>
      <c r="G36">
        <v>80</v>
      </c>
      <c r="H36" t="s">
        <v>528</v>
      </c>
      <c r="I36">
        <v>0</v>
      </c>
      <c r="J36">
        <v>0.10389195236953569</v>
      </c>
      <c r="K36">
        <v>0</v>
      </c>
      <c r="L36">
        <v>0</v>
      </c>
      <c r="M36">
        <v>0</v>
      </c>
      <c r="O36">
        <v>200000</v>
      </c>
      <c r="R36" t="s">
        <v>136</v>
      </c>
      <c r="S36">
        <v>0</v>
      </c>
      <c r="T36">
        <v>0.00018598449999999999</v>
      </c>
      <c r="U36" t="s">
        <v>137</v>
      </c>
      <c r="V36">
        <v>0.0062590937499999999</v>
      </c>
      <c r="W36">
        <v>0.18527632825000001</v>
      </c>
      <c r="X36" t="s">
        <v>138</v>
      </c>
      <c r="Y36">
        <v>0.011116579695</v>
      </c>
      <c r="Z36">
        <v>0</v>
      </c>
      <c r="AA36" t="s">
        <v>139</v>
      </c>
      <c r="AB36">
        <v>0.02223315939</v>
      </c>
      <c r="AC36">
        <v>0.21862606733500001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Q36" t="s">
        <v>9</v>
      </c>
      <c r="AR36" t="s">
        <v>141</v>
      </c>
      <c r="AS36">
        <v>0.17883125</v>
      </c>
    </row>
    <row r="37" spans="1:45" ht="12.75">
      <c r="A37" s="2" t="str">
        <f>HYPERLINK("https://ibp.a2mac1.com/costing(costing:projects/details/8191/material/5315405)","PP")</f>
        <v>PP</v>
      </c>
      <c r="B37">
        <v>5315405</v>
      </c>
      <c r="C37">
        <v>6970278</v>
      </c>
      <c r="E37">
        <v>1.0113799999999999</v>
      </c>
      <c r="F37" t="s">
        <v>532</v>
      </c>
      <c r="G37">
        <v>98.039199999999994</v>
      </c>
      <c r="H37" t="s">
        <v>533</v>
      </c>
      <c r="I37">
        <v>5</v>
      </c>
      <c r="J37">
        <v>0.10389195236953569</v>
      </c>
      <c r="K37">
        <v>0</v>
      </c>
      <c r="M37">
        <v>0</v>
      </c>
      <c r="O37">
        <v>200000</v>
      </c>
      <c r="R37" t="s">
        <v>136</v>
      </c>
      <c r="S37">
        <v>5.8660518666002987E-05</v>
      </c>
      <c r="T37">
        <v>6.2226580388252862E-05</v>
      </c>
      <c r="U37" t="s">
        <v>137</v>
      </c>
      <c r="V37">
        <v>0.0020941637630662023</v>
      </c>
      <c r="W37">
        <v>0.061930980198108512</v>
      </c>
      <c r="X37" t="s">
        <v>138</v>
      </c>
      <c r="Y37">
        <v>0.0037158588118865105</v>
      </c>
      <c r="Z37">
        <v>0</v>
      </c>
      <c r="AA37" t="s">
        <v>139</v>
      </c>
      <c r="AB37">
        <v>0.0074317176237730211</v>
      </c>
      <c r="AC37">
        <v>0.073078556633768041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Q37" t="s">
        <v>140</v>
      </c>
      <c r="AR37" t="s">
        <v>141</v>
      </c>
      <c r="AS37">
        <v>0.05983325037332006</v>
      </c>
    </row>
    <row r="38" spans="1:45" ht="12.75">
      <c r="A38" s="2" t="str">
        <f>HYPERLINK("https://ibp.a2mac1.com/costing(costing:projects/details/8191/material/5315341)","PC-ABS")</f>
        <v>PC-ABS</v>
      </c>
      <c r="B38">
        <v>5315341</v>
      </c>
      <c r="C38">
        <v>6970251</v>
      </c>
      <c r="E38">
        <v>2.29312</v>
      </c>
      <c r="F38" t="s">
        <v>539</v>
      </c>
      <c r="G38">
        <v>98.039199999999994</v>
      </c>
      <c r="H38" t="s">
        <v>540</v>
      </c>
      <c r="I38">
        <v>5</v>
      </c>
      <c r="J38">
        <v>2.001136786813273</v>
      </c>
      <c r="K38">
        <v>0</v>
      </c>
      <c r="M38">
        <v>0</v>
      </c>
      <c r="O38">
        <v>200000</v>
      </c>
      <c r="R38" t="s">
        <v>136</v>
      </c>
      <c r="S38">
        <v>1.8345109694897552E-05</v>
      </c>
      <c r="T38">
        <v>0.00038209622599939618</v>
      </c>
      <c r="U38" t="s">
        <v>137</v>
      </c>
      <c r="V38">
        <v>0.00065491517678642832</v>
      </c>
      <c r="W38">
        <v>0.019730528486988877</v>
      </c>
      <c r="X38" t="s">
        <v>138</v>
      </c>
      <c r="Y38">
        <v>0.0011838317092193328</v>
      </c>
      <c r="Z38">
        <v>0</v>
      </c>
      <c r="AA38" t="s">
        <v>139</v>
      </c>
      <c r="AB38">
        <v>0.0023676634184386655</v>
      </c>
      <c r="AC38">
        <v>0.023282023614646877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Q38" t="s">
        <v>140</v>
      </c>
      <c r="AR38" t="s">
        <v>141</v>
      </c>
      <c r="AS38">
        <v>0.018711862193897952</v>
      </c>
    </row>
    <row r="39" spans="1:45" ht="12.75">
      <c r="A39" s="2" t="str">
        <f>HYPERLINK("https://ibp.a2mac1.com/costing(costing:projects/details/8191/material/5315342)","Material")</f>
        <v>Material</v>
      </c>
      <c r="B39">
        <v>5315342</v>
      </c>
      <c r="C39">
        <v>6970252</v>
      </c>
      <c r="E39">
        <v>10.23</v>
      </c>
      <c r="F39" t="s">
        <v>296</v>
      </c>
      <c r="G39">
        <v>100</v>
      </c>
      <c r="H39" t="s">
        <v>297</v>
      </c>
      <c r="I39">
        <v>5</v>
      </c>
      <c r="J39">
        <v>0.0019999600007999841</v>
      </c>
      <c r="K39">
        <v>0</v>
      </c>
      <c r="L39">
        <v>0</v>
      </c>
      <c r="M39">
        <v>0</v>
      </c>
      <c r="O39">
        <v>200000</v>
      </c>
      <c r="R39" t="s">
        <v>136</v>
      </c>
      <c r="S39">
        <v>0</v>
      </c>
      <c r="T39">
        <v>0.00020460000000000001</v>
      </c>
      <c r="U39" t="s">
        <v>137</v>
      </c>
      <c r="V39">
        <v>0.35804999999999998</v>
      </c>
      <c r="W39">
        <v>10.588254600000001</v>
      </c>
      <c r="X39" t="s">
        <v>90</v>
      </c>
      <c r="Y39">
        <v>0</v>
      </c>
      <c r="Z39">
        <v>0</v>
      </c>
      <c r="AA39" t="s">
        <v>90</v>
      </c>
      <c r="AB39">
        <v>0</v>
      </c>
      <c r="AC39">
        <v>10.588254600000001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Q39" t="s">
        <v>9</v>
      </c>
      <c r="AR39" t="s">
        <v>141</v>
      </c>
      <c r="AS39">
        <v>10.23</v>
      </c>
    </row>
    <row r="40" spans="1:45" ht="12.75">
      <c r="A40" s="2" t="str">
        <f>HYPERLINK("https://ibp.a2mac1.com/costing(costing:projects/details/8191/material/5315343)","Material")</f>
        <v>Material</v>
      </c>
      <c r="B40">
        <v>5315343</v>
      </c>
      <c r="C40">
        <v>6970253</v>
      </c>
      <c r="E40">
        <v>3.77</v>
      </c>
      <c r="F40" t="s">
        <v>296</v>
      </c>
      <c r="G40">
        <v>100</v>
      </c>
      <c r="H40" t="s">
        <v>297</v>
      </c>
      <c r="I40">
        <v>5</v>
      </c>
      <c r="J40">
        <v>0.0019999600007999841</v>
      </c>
      <c r="K40">
        <v>0</v>
      </c>
      <c r="L40">
        <v>0</v>
      </c>
      <c r="M40">
        <v>0</v>
      </c>
      <c r="O40">
        <v>200000</v>
      </c>
      <c r="R40" t="s">
        <v>136</v>
      </c>
      <c r="S40">
        <v>0</v>
      </c>
      <c r="T40">
        <v>7.5400000000000003E-05</v>
      </c>
      <c r="U40" t="s">
        <v>137</v>
      </c>
      <c r="V40">
        <v>0.13195000000000001</v>
      </c>
      <c r="W40">
        <v>3.9020253999999999</v>
      </c>
      <c r="X40" t="s">
        <v>138</v>
      </c>
      <c r="Y40">
        <v>0.234121524</v>
      </c>
      <c r="Z40">
        <v>0</v>
      </c>
      <c r="AA40" t="s">
        <v>139</v>
      </c>
      <c r="AB40">
        <v>0.468243048</v>
      </c>
      <c r="AC40">
        <v>4.6043899719999999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Q40" t="s">
        <v>9</v>
      </c>
      <c r="AR40" t="s">
        <v>141</v>
      </c>
      <c r="AS40">
        <v>3.77</v>
      </c>
    </row>
    <row r="41" spans="1:45" ht="12.75">
      <c r="A41" s="2" t="str">
        <f>HYPERLINK("https://ibp.a2mac1.com/costing(costing:projects/details/8191/material/5315303)","ABS-PC")</f>
        <v>ABS-PC</v>
      </c>
      <c r="B41">
        <v>5315303</v>
      </c>
      <c r="C41">
        <v>6970216</v>
      </c>
      <c r="E41">
        <v>2.29312</v>
      </c>
      <c r="F41" t="s">
        <v>580</v>
      </c>
      <c r="G41">
        <v>98.039199999999994</v>
      </c>
      <c r="H41" t="s">
        <v>581</v>
      </c>
      <c r="I41">
        <v>5</v>
      </c>
      <c r="J41">
        <v>0.10389195236953569</v>
      </c>
      <c r="K41">
        <v>0</v>
      </c>
      <c r="M41">
        <v>0</v>
      </c>
      <c r="O41">
        <v>200000</v>
      </c>
      <c r="R41" t="s">
        <v>136</v>
      </c>
      <c r="S41">
        <v>5.7328467796554847E-05</v>
      </c>
      <c r="T41">
        <v>6.0813552130168342E-05</v>
      </c>
      <c r="U41" t="s">
        <v>137</v>
      </c>
      <c r="V41">
        <v>0.0020466099274575886</v>
      </c>
      <c r="W41">
        <v>0.060524664367722296</v>
      </c>
      <c r="X41" t="s">
        <v>138</v>
      </c>
      <c r="Y41">
        <v>0.0036314798620633378</v>
      </c>
      <c r="Z41">
        <v>0</v>
      </c>
      <c r="AA41" t="s">
        <v>139</v>
      </c>
      <c r="AB41">
        <v>0.0072629597241266755</v>
      </c>
      <c r="AC41">
        <v>0.071419103953912308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Q41" t="s">
        <v>140</v>
      </c>
      <c r="AR41" t="s">
        <v>141</v>
      </c>
      <c r="AS41">
        <v>0.058474569355931094</v>
      </c>
    </row>
    <row r="42" spans="1:45" ht="12.75">
      <c r="A42" s="2" t="str">
        <f>HYPERLINK("https://ibp.a2mac1.com/costing(costing:projects/details/8191/material/5315304)","Material")</f>
        <v>Material</v>
      </c>
      <c r="B42">
        <v>5315304</v>
      </c>
      <c r="C42">
        <v>6970218</v>
      </c>
      <c r="E42">
        <v>46.30</v>
      </c>
      <c r="F42" t="s">
        <v>296</v>
      </c>
      <c r="G42">
        <v>100</v>
      </c>
      <c r="H42" t="s">
        <v>297</v>
      </c>
      <c r="I42">
        <v>5</v>
      </c>
      <c r="J42">
        <v>0.0019999600007999841</v>
      </c>
      <c r="K42">
        <v>0</v>
      </c>
      <c r="M42">
        <v>0</v>
      </c>
      <c r="O42">
        <v>200000</v>
      </c>
      <c r="R42" t="s">
        <v>136</v>
      </c>
      <c r="S42">
        <v>0</v>
      </c>
      <c r="T42">
        <v>0.00092599999999999996</v>
      </c>
      <c r="U42" t="s">
        <v>90</v>
      </c>
      <c r="V42">
        <v>0</v>
      </c>
      <c r="W42">
        <v>46.300925999999997</v>
      </c>
      <c r="X42" t="s">
        <v>90</v>
      </c>
      <c r="Y42">
        <v>0</v>
      </c>
      <c r="Z42">
        <v>0</v>
      </c>
      <c r="AA42" t="s">
        <v>90</v>
      </c>
      <c r="AB42">
        <v>0</v>
      </c>
      <c r="AC42">
        <v>46.300925999999997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Q42" t="s">
        <v>9</v>
      </c>
      <c r="AR42" t="s">
        <v>141</v>
      </c>
      <c r="AS42">
        <v>46.30</v>
      </c>
    </row>
    <row r="43" spans="1:45" ht="12.75">
      <c r="A43" s="2" t="str">
        <f>HYPERLINK("https://ibp.a2mac1.com/costing(costing:projects/details/8191/material/5315305)","Material")</f>
        <v>Material</v>
      </c>
      <c r="B43">
        <v>5315305</v>
      </c>
      <c r="C43">
        <v>6970219</v>
      </c>
      <c r="E43">
        <v>42.90</v>
      </c>
      <c r="F43" t="s">
        <v>296</v>
      </c>
      <c r="G43">
        <v>100</v>
      </c>
      <c r="H43" t="s">
        <v>297</v>
      </c>
      <c r="I43">
        <v>5</v>
      </c>
      <c r="J43">
        <v>0.0019999600007999841</v>
      </c>
      <c r="K43">
        <v>0</v>
      </c>
      <c r="L43">
        <v>0</v>
      </c>
      <c r="M43">
        <v>0</v>
      </c>
      <c r="O43">
        <v>200000</v>
      </c>
      <c r="R43" t="s">
        <v>136</v>
      </c>
      <c r="S43">
        <v>0</v>
      </c>
      <c r="T43">
        <v>0.00085800000000000004</v>
      </c>
      <c r="U43" t="s">
        <v>137</v>
      </c>
      <c r="V43">
        <v>1.5015000000000001</v>
      </c>
      <c r="W43">
        <v>44.402358</v>
      </c>
      <c r="X43" t="s">
        <v>138</v>
      </c>
      <c r="Y43">
        <v>2.6641414800000001</v>
      </c>
      <c r="Z43">
        <v>0</v>
      </c>
      <c r="AA43" t="s">
        <v>139</v>
      </c>
      <c r="AB43">
        <v>5.3282829600000001</v>
      </c>
      <c r="AC43">
        <v>52.39478244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Q43" t="s">
        <v>9</v>
      </c>
      <c r="AR43" t="s">
        <v>141</v>
      </c>
      <c r="AS43">
        <v>42.90</v>
      </c>
    </row>
    <row r="44" spans="1:45" ht="12.75">
      <c r="A44" s="2" t="str">
        <f>HYPERLINK("https://ibp.a2mac1.com/costing(costing:projects/details/8191/material/5315344)","ABS-PC")</f>
        <v>ABS-PC</v>
      </c>
      <c r="B44">
        <v>5315344</v>
      </c>
      <c r="C44">
        <v>6970256</v>
      </c>
      <c r="E44">
        <v>2.29312</v>
      </c>
      <c r="F44" t="s">
        <v>608</v>
      </c>
      <c r="G44">
        <v>93.124600000000001</v>
      </c>
      <c r="H44" t="s">
        <v>609</v>
      </c>
      <c r="I44">
        <v>5</v>
      </c>
      <c r="J44">
        <v>3.0049079516576462</v>
      </c>
      <c r="K44">
        <v>0</v>
      </c>
      <c r="M44">
        <v>0</v>
      </c>
      <c r="O44">
        <v>200000</v>
      </c>
      <c r="R44" t="s">
        <v>136</v>
      </c>
      <c r="S44">
        <v>0.00051636901104971185</v>
      </c>
      <c r="T44">
        <v>0.0046534345528464012</v>
      </c>
      <c r="U44" t="s">
        <v>137</v>
      </c>
      <c r="V44">
        <v>0.005257269507734798</v>
      </c>
      <c r="W44">
        <v>0.15960203527052572</v>
      </c>
      <c r="X44" t="s">
        <v>138</v>
      </c>
      <c r="Y44">
        <v>0.0095761221162315429</v>
      </c>
      <c r="Z44">
        <v>0</v>
      </c>
      <c r="AA44" t="s">
        <v>139</v>
      </c>
      <c r="AB44">
        <v>0.019152244232463086</v>
      </c>
      <c r="AC44">
        <v>0.18833040161922035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Q44" t="s">
        <v>140</v>
      </c>
      <c r="AR44" t="s">
        <v>141</v>
      </c>
      <c r="AS44">
        <v>0.15020770022099425</v>
      </c>
    </row>
    <row r="45" spans="1:45" ht="12.75">
      <c r="A45" s="2" t="str">
        <f>HYPERLINK("https://ibp.a2mac1.com/costing(costing:projects/details/8191/material/5315345)","Chrome for plating")</f>
        <v>Chrome for plating</v>
      </c>
      <c r="B45">
        <v>5315345</v>
      </c>
      <c r="C45">
        <v>6970257</v>
      </c>
      <c r="E45">
        <v>20.779219999999999</v>
      </c>
      <c r="F45" t="s">
        <v>612</v>
      </c>
      <c r="G45">
        <v>100</v>
      </c>
      <c r="H45" t="s">
        <v>613</v>
      </c>
      <c r="I45">
        <v>0</v>
      </c>
      <c r="J45">
        <v>3.0049079516576462</v>
      </c>
      <c r="K45">
        <v>0</v>
      </c>
      <c r="L45">
        <v>0</v>
      </c>
      <c r="M45">
        <v>0</v>
      </c>
      <c r="O45">
        <v>200000</v>
      </c>
      <c r="R45" t="s">
        <v>136</v>
      </c>
      <c r="S45">
        <v>0</v>
      </c>
      <c r="T45">
        <v>0.0308995313088</v>
      </c>
      <c r="U45" t="s">
        <v>137</v>
      </c>
      <c r="V45">
        <v>0.034909089599999998</v>
      </c>
      <c r="W45">
        <v>1.0632111809088001</v>
      </c>
      <c r="X45" t="s">
        <v>138</v>
      </c>
      <c r="Y45">
        <v>0.063792670854528</v>
      </c>
      <c r="Z45">
        <v>0</v>
      </c>
      <c r="AA45" t="s">
        <v>139</v>
      </c>
      <c r="AB45">
        <v>0.127585341709056</v>
      </c>
      <c r="AC45">
        <v>1.2545891934723841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Q45" t="s">
        <v>140</v>
      </c>
      <c r="AR45" t="s">
        <v>141</v>
      </c>
      <c r="AS45">
        <v>0.99740256000000005</v>
      </c>
    </row>
    <row r="46" spans="1:45" ht="12.75">
      <c r="A46" s="2" t="str">
        <f>HYPERLINK("https://ibp.a2mac1.com/costing(costing:projects/details/8191/material/5315346)","Paint - Primer")</f>
        <v>Paint - Primer</v>
      </c>
      <c r="B46">
        <v>5315346</v>
      </c>
      <c r="C46">
        <v>6970259</v>
      </c>
      <c r="E46">
        <v>6.96</v>
      </c>
      <c r="F46" t="s">
        <v>619</v>
      </c>
      <c r="G46">
        <v>98</v>
      </c>
      <c r="H46" t="s">
        <v>620</v>
      </c>
      <c r="I46">
        <v>0</v>
      </c>
      <c r="J46">
        <v>2.1047479197258934</v>
      </c>
      <c r="K46">
        <v>0</v>
      </c>
      <c r="L46">
        <v>0</v>
      </c>
      <c r="M46">
        <v>0</v>
      </c>
      <c r="O46">
        <v>200000</v>
      </c>
      <c r="R46" t="s">
        <v>136</v>
      </c>
      <c r="S46">
        <v>0</v>
      </c>
      <c r="T46">
        <v>0.0003695191836734694</v>
      </c>
      <c r="U46" t="s">
        <v>137</v>
      </c>
      <c r="V46">
        <v>0.00060154285714285717</v>
      </c>
      <c r="W46">
        <v>0.018158000816326531</v>
      </c>
      <c r="X46" t="s">
        <v>138</v>
      </c>
      <c r="Y46">
        <v>0.0010894800489795917</v>
      </c>
      <c r="Z46">
        <v>0</v>
      </c>
      <c r="AA46" t="s">
        <v>139</v>
      </c>
      <c r="AB46">
        <v>0.0021789600979591835</v>
      </c>
      <c r="AC46">
        <v>0.021426440963265306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Q46" t="s">
        <v>9</v>
      </c>
      <c r="AR46" t="s">
        <v>141</v>
      </c>
      <c r="AS46">
        <v>0.017186938775510203</v>
      </c>
    </row>
    <row r="47" spans="1:45" ht="12.75">
      <c r="A47" s="2" t="str">
        <f>HYPERLINK("https://ibp.a2mac1.com/costing(costing:projects/details/8191/material/5315347)","Paint - Base")</f>
        <v>Paint - Base</v>
      </c>
      <c r="B47">
        <v>5315347</v>
      </c>
      <c r="C47">
        <v>6970259</v>
      </c>
      <c r="E47">
        <v>11.27</v>
      </c>
      <c r="F47" t="s">
        <v>622</v>
      </c>
      <c r="G47">
        <v>98</v>
      </c>
      <c r="H47" t="s">
        <v>623</v>
      </c>
      <c r="I47">
        <v>0</v>
      </c>
      <c r="J47">
        <v>2.1047479197258934</v>
      </c>
      <c r="K47">
        <v>0</v>
      </c>
      <c r="L47">
        <v>0</v>
      </c>
      <c r="M47">
        <v>0</v>
      </c>
      <c r="O47">
        <v>200000</v>
      </c>
      <c r="R47" t="s">
        <v>136</v>
      </c>
      <c r="S47">
        <v>0</v>
      </c>
      <c r="T47">
        <v>0.0012609749999999999</v>
      </c>
      <c r="U47" t="s">
        <v>137</v>
      </c>
      <c r="V47">
        <v>0.0020527499999999999</v>
      </c>
      <c r="W47">
        <v>0.061963724999999997</v>
      </c>
      <c r="X47" t="s">
        <v>138</v>
      </c>
      <c r="Y47">
        <v>0.0037178235</v>
      </c>
      <c r="Z47">
        <v>0</v>
      </c>
      <c r="AA47" t="s">
        <v>139</v>
      </c>
      <c r="AB47">
        <v>0.0074356470000000001</v>
      </c>
      <c r="AC47">
        <v>0.073117195499999996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Q47" t="s">
        <v>9</v>
      </c>
      <c r="AR47" t="s">
        <v>141</v>
      </c>
      <c r="AS47">
        <v>0.058650000000000001</v>
      </c>
    </row>
    <row r="48" spans="1:45" ht="12.75">
      <c r="A48" s="2" t="str">
        <f>HYPERLINK("https://ibp.a2mac1.com/costing(costing:projects/details/8191/material/5315348)","Paint - Clear Coat")</f>
        <v>Paint - Clear Coat</v>
      </c>
      <c r="B48">
        <v>5315348</v>
      </c>
      <c r="C48">
        <v>6970259</v>
      </c>
      <c r="E48">
        <v>9.07</v>
      </c>
      <c r="F48" t="s">
        <v>624</v>
      </c>
      <c r="G48">
        <v>98</v>
      </c>
      <c r="H48" t="s">
        <v>625</v>
      </c>
      <c r="I48">
        <v>0</v>
      </c>
      <c r="J48">
        <v>2.1047479197258934</v>
      </c>
      <c r="K48">
        <v>0</v>
      </c>
      <c r="L48">
        <v>0</v>
      </c>
      <c r="M48">
        <v>0</v>
      </c>
      <c r="O48">
        <v>200000</v>
      </c>
      <c r="R48" t="s">
        <v>136</v>
      </c>
      <c r="S48">
        <v>0</v>
      </c>
      <c r="T48">
        <v>0.00094716714285714284</v>
      </c>
      <c r="U48" t="s">
        <v>137</v>
      </c>
      <c r="V48">
        <v>0.0015418999999999999</v>
      </c>
      <c r="W48">
        <v>0.04654335285714286</v>
      </c>
      <c r="X48" t="s">
        <v>138</v>
      </c>
      <c r="Y48">
        <v>0.0027926011714285714</v>
      </c>
      <c r="Z48">
        <v>0</v>
      </c>
      <c r="AA48" t="s">
        <v>139</v>
      </c>
      <c r="AB48">
        <v>0.0055852023428571429</v>
      </c>
      <c r="AC48">
        <v>0.054921156371428574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Q48" t="s">
        <v>9</v>
      </c>
      <c r="AR48" t="s">
        <v>141</v>
      </c>
      <c r="AS48">
        <v>0.044054285714285712</v>
      </c>
    </row>
    <row r="49" spans="1:45" ht="12.75">
      <c r="A49" s="2" t="str">
        <f>HYPERLINK("https://ibp.a2mac1.com/costing(costing:projects/details/8191/material/5315349)","ABS-PC")</f>
        <v>ABS-PC</v>
      </c>
      <c r="B49">
        <v>5315349</v>
      </c>
      <c r="C49">
        <v>6970261</v>
      </c>
      <c r="E49">
        <v>2.29312</v>
      </c>
      <c r="F49" t="s">
        <v>629</v>
      </c>
      <c r="G49">
        <v>86.586100000000002</v>
      </c>
      <c r="H49" t="s">
        <v>630</v>
      </c>
      <c r="I49">
        <v>5</v>
      </c>
      <c r="J49">
        <v>0.0019999600007999841</v>
      </c>
      <c r="K49">
        <v>0</v>
      </c>
      <c r="M49">
        <v>0</v>
      </c>
      <c r="O49">
        <v>200000</v>
      </c>
      <c r="R49" t="s">
        <v>136</v>
      </c>
      <c r="S49">
        <v>0.0002664372431140795</v>
      </c>
      <c r="T49">
        <v>7.9451089724563184E-07</v>
      </c>
      <c r="U49" t="s">
        <v>137</v>
      </c>
      <c r="V49">
        <v>0.0013903940701798557</v>
      </c>
      <c r="W49">
        <v>0.040850296200244614</v>
      </c>
      <c r="X49" t="s">
        <v>138</v>
      </c>
      <c r="Y49">
        <v>0.0024510177720146768</v>
      </c>
      <c r="Z49">
        <v>0</v>
      </c>
      <c r="AA49" t="s">
        <v>139</v>
      </c>
      <c r="AB49">
        <v>0.0049020355440293536</v>
      </c>
      <c r="AC49">
        <v>0.048203349516288643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Q49" t="s">
        <v>140</v>
      </c>
      <c r="AR49" t="s">
        <v>141</v>
      </c>
      <c r="AS49">
        <v>0.039725544862281588</v>
      </c>
    </row>
    <row r="50" spans="1:45" ht="12.75">
      <c r="A50" s="2" t="str">
        <f>HYPERLINK("https://ibp.a2mac1.com/costing(costing:projects/details/8191/material/5315350)","EN-MC21220 / EN MC-MgAl5Mn / AM50A (Ingot)")</f>
        <v>EN-MC21220 / EN MC-MgAl5Mn / AM50A (Ingot)</v>
      </c>
      <c r="B50">
        <v>5315350</v>
      </c>
      <c r="C50">
        <v>6970262</v>
      </c>
      <c r="E50">
        <v>1.89253</v>
      </c>
      <c r="F50" t="s">
        <v>638</v>
      </c>
      <c r="G50">
        <v>90</v>
      </c>
      <c r="H50" t="s">
        <v>639</v>
      </c>
      <c r="I50">
        <v>50</v>
      </c>
      <c r="J50">
        <v>0.0019999600007999841</v>
      </c>
      <c r="K50">
        <v>0</v>
      </c>
      <c r="L50">
        <v>0</v>
      </c>
      <c r="M50">
        <v>0</v>
      </c>
      <c r="O50">
        <v>200000</v>
      </c>
      <c r="R50" t="s">
        <v>136</v>
      </c>
      <c r="S50">
        <v>0.073892782444444444</v>
      </c>
      <c r="T50">
        <v>2.9557112977777776E-05</v>
      </c>
      <c r="U50" t="s">
        <v>137</v>
      </c>
      <c r="V50">
        <v>0.051724947711111108</v>
      </c>
      <c r="W50">
        <v>1.4557173712685334</v>
      </c>
      <c r="X50" t="s">
        <v>90</v>
      </c>
      <c r="Y50">
        <v>0</v>
      </c>
      <c r="Z50">
        <v>0</v>
      </c>
      <c r="AA50" t="s">
        <v>90</v>
      </c>
      <c r="AB50">
        <v>0</v>
      </c>
      <c r="AC50">
        <v>1.4557173712685334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Q50" t="s">
        <v>140</v>
      </c>
      <c r="AR50" t="s">
        <v>141</v>
      </c>
      <c r="AS50">
        <v>1.477855648888889</v>
      </c>
    </row>
    <row r="51" spans="1:45" ht="12.75">
      <c r="A51" s="2" t="str">
        <f>HYPERLINK("https://ibp.a2mac1.com/costing(costing:projects/details/8191/material/5315351)","PUR")</f>
        <v>PUR</v>
      </c>
      <c r="B51">
        <v>5315351</v>
      </c>
      <c r="C51">
        <v>6970269</v>
      </c>
      <c r="E51">
        <v>3.37662</v>
      </c>
      <c r="F51" t="s">
        <v>648</v>
      </c>
      <c r="G51">
        <v>70</v>
      </c>
      <c r="H51" t="s">
        <v>649</v>
      </c>
      <c r="I51">
        <v>5</v>
      </c>
      <c r="J51">
        <v>0.0019999600007999841</v>
      </c>
      <c r="K51">
        <v>0</v>
      </c>
      <c r="L51">
        <v>0</v>
      </c>
      <c r="M51">
        <v>0</v>
      </c>
      <c r="O51">
        <v>200000</v>
      </c>
      <c r="R51" t="s">
        <v>136</v>
      </c>
      <c r="S51">
        <v>0.02179367022857143</v>
      </c>
      <c r="T51">
        <v>2.9058226971428572E-05</v>
      </c>
      <c r="U51" t="s">
        <v>137</v>
      </c>
      <c r="V51">
        <v>0.050851897200000003</v>
      </c>
      <c r="W51">
        <v>1.4819986337698285</v>
      </c>
      <c r="X51" t="s">
        <v>90</v>
      </c>
      <c r="Y51">
        <v>0</v>
      </c>
      <c r="Z51">
        <v>0</v>
      </c>
      <c r="AA51" t="s">
        <v>90</v>
      </c>
      <c r="AB51">
        <v>0</v>
      </c>
      <c r="AC51">
        <v>1.4819986337698285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Q51" t="s">
        <v>140</v>
      </c>
      <c r="AR51" t="s">
        <v>141</v>
      </c>
      <c r="AS51">
        <v>1.4529113485714287</v>
      </c>
    </row>
    <row r="52" spans="1:45" ht="12.75">
      <c r="A52" s="2" t="str">
        <f>HYPERLINK("https://ibp.a2mac1.com/costing(costing:projects/details/8191/material/5315352)","Heat Mat")</f>
        <v>Heat Mat</v>
      </c>
      <c r="B52">
        <v>5315352</v>
      </c>
      <c r="C52">
        <v>6970269</v>
      </c>
      <c r="E52">
        <v>10</v>
      </c>
      <c r="F52" t="s">
        <v>296</v>
      </c>
      <c r="G52">
        <v>100</v>
      </c>
      <c r="H52" t="s">
        <v>297</v>
      </c>
      <c r="I52">
        <v>0</v>
      </c>
      <c r="J52">
        <v>0.0019999600007999841</v>
      </c>
      <c r="K52">
        <v>0</v>
      </c>
      <c r="L52">
        <v>0</v>
      </c>
      <c r="M52">
        <v>0</v>
      </c>
      <c r="O52">
        <v>200000</v>
      </c>
      <c r="R52" t="s">
        <v>136</v>
      </c>
      <c r="S52">
        <v>0</v>
      </c>
      <c r="T52">
        <v>0.00020000000000000001</v>
      </c>
      <c r="U52" t="s">
        <v>137</v>
      </c>
      <c r="V52">
        <v>0.35</v>
      </c>
      <c r="W52">
        <v>10.350199999999999</v>
      </c>
      <c r="X52" t="s">
        <v>90</v>
      </c>
      <c r="Y52">
        <v>0</v>
      </c>
      <c r="Z52">
        <v>0</v>
      </c>
      <c r="AA52" t="s">
        <v>90</v>
      </c>
      <c r="AB52">
        <v>0</v>
      </c>
      <c r="AC52">
        <v>10.350199999999999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Q52" t="s">
        <v>9</v>
      </c>
      <c r="AR52" t="s">
        <v>141</v>
      </c>
      <c r="AS52">
        <v>10</v>
      </c>
    </row>
    <row r="53" spans="1:45" ht="12.75">
      <c r="A53" s="2" t="str">
        <f>HYPERLINK("https://ibp.a2mac1.com/costing(costing:projects/details/8191/material/5315353)","Covering skin: Artifical Leather")</f>
        <v>Covering skin: Artifical Leather</v>
      </c>
      <c r="B53">
        <v>5315353</v>
      </c>
      <c r="C53">
        <v>6970270</v>
      </c>
      <c r="E53">
        <v>14.2837</v>
      </c>
      <c r="F53" t="s">
        <v>652</v>
      </c>
      <c r="G53">
        <v>60</v>
      </c>
      <c r="H53" t="s">
        <v>653</v>
      </c>
      <c r="I53">
        <v>0</v>
      </c>
      <c r="J53">
        <v>0.0019999600007999841</v>
      </c>
      <c r="K53">
        <v>0</v>
      </c>
      <c r="L53">
        <v>0</v>
      </c>
      <c r="M53">
        <v>0</v>
      </c>
      <c r="O53">
        <v>200000</v>
      </c>
      <c r="R53" t="s">
        <v>136</v>
      </c>
      <c r="S53">
        <v>0</v>
      </c>
      <c r="T53">
        <v>7.0485298266666669E-05</v>
      </c>
      <c r="U53" t="s">
        <v>137</v>
      </c>
      <c r="V53">
        <v>0.12334927196666666</v>
      </c>
      <c r="W53">
        <v>3.6476846705982666</v>
      </c>
      <c r="X53" t="s">
        <v>90</v>
      </c>
      <c r="Y53">
        <v>0</v>
      </c>
      <c r="Z53">
        <v>0</v>
      </c>
      <c r="AA53" t="s">
        <v>90</v>
      </c>
      <c r="AB53">
        <v>0</v>
      </c>
      <c r="AC53">
        <v>3.6476846705982666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Q53" t="s">
        <v>9</v>
      </c>
      <c r="AR53" t="s">
        <v>141</v>
      </c>
      <c r="AS53">
        <v>3.5242649133333335</v>
      </c>
    </row>
    <row r="54" spans="1:45" ht="12.75">
      <c r="A54" s="2" t="str">
        <f>HYPERLINK("https://ibp.a2mac1.com/costing(costing:projects/details/8191/material/5315313)","PP-PE")</f>
        <v>PP-PE</v>
      </c>
      <c r="B54">
        <v>5315313</v>
      </c>
      <c r="C54">
        <v>6970220</v>
      </c>
      <c r="E54">
        <v>1.34768</v>
      </c>
      <c r="F54" t="s">
        <v>517</v>
      </c>
      <c r="G54">
        <v>98.039199999999994</v>
      </c>
      <c r="H54" t="s">
        <v>518</v>
      </c>
      <c r="I54">
        <v>5</v>
      </c>
      <c r="J54">
        <v>0.10389195236953569</v>
      </c>
      <c r="K54">
        <v>0</v>
      </c>
      <c r="M54">
        <v>0</v>
      </c>
      <c r="O54">
        <v>200000</v>
      </c>
      <c r="R54" t="s">
        <v>136</v>
      </c>
      <c r="S54">
        <v>5.5255330879892941E-05</v>
      </c>
      <c r="T54">
        <v>5.8614386082301774E-05</v>
      </c>
      <c r="U54" t="s">
        <v>137</v>
      </c>
      <c r="V54">
        <v>0.0019725995316159251</v>
      </c>
      <c r="W54">
        <v>0.058335945204416192</v>
      </c>
      <c r="X54" t="s">
        <v>138</v>
      </c>
      <c r="Y54">
        <v>0.0035001567122649718</v>
      </c>
      <c r="Z54">
        <v>0</v>
      </c>
      <c r="AA54" t="s">
        <v>139</v>
      </c>
      <c r="AB54">
        <v>0.0070003134245299435</v>
      </c>
      <c r="AC54">
        <v>0.068836415341211113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Q54" t="s">
        <v>140</v>
      </c>
      <c r="AR54" t="s">
        <v>141</v>
      </c>
      <c r="AS54">
        <v>0.056359986617597856</v>
      </c>
    </row>
    <row r="55" spans="1:45" ht="12.75">
      <c r="A55" s="2" t="str">
        <f>HYPERLINK("https://ibp.a2mac1.com/costing(costing:projects/details/8191/material/5315314)","PP-PE")</f>
        <v>PP-PE</v>
      </c>
      <c r="B55">
        <v>5315314</v>
      </c>
      <c r="C55">
        <v>6970221</v>
      </c>
      <c r="E55">
        <v>1.34768</v>
      </c>
      <c r="F55" t="s">
        <v>496</v>
      </c>
      <c r="G55">
        <v>98.039199999999994</v>
      </c>
      <c r="H55" t="s">
        <v>497</v>
      </c>
      <c r="I55">
        <v>5</v>
      </c>
      <c r="J55">
        <v>0.10389195236953569</v>
      </c>
      <c r="K55">
        <v>0</v>
      </c>
      <c r="M55">
        <v>0</v>
      </c>
      <c r="O55">
        <v>200000</v>
      </c>
      <c r="R55" t="s">
        <v>136</v>
      </c>
      <c r="S55">
        <v>0.00034366120425299265</v>
      </c>
      <c r="T55">
        <v>0.00036455288904846227</v>
      </c>
      <c r="U55" t="s">
        <v>137</v>
      </c>
      <c r="V55">
        <v>0.012268606842977096</v>
      </c>
      <c r="W55">
        <v>0.36282112261283239</v>
      </c>
      <c r="X55" t="s">
        <v>138</v>
      </c>
      <c r="Y55">
        <v>0.021769267356769945</v>
      </c>
      <c r="Z55">
        <v>0</v>
      </c>
      <c r="AA55" t="s">
        <v>139</v>
      </c>
      <c r="AB55">
        <v>0.043538534713539891</v>
      </c>
      <c r="AC55">
        <v>0.42812892468314223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Q55" t="s">
        <v>140</v>
      </c>
      <c r="AR55" t="s">
        <v>141</v>
      </c>
      <c r="AS55">
        <v>0.35053162408505983</v>
      </c>
    </row>
    <row r="56" spans="1:45" ht="12.75">
      <c r="A56" s="2" t="str">
        <f>HYPERLINK("https://ibp.a2mac1.com/costing(costing:projects/details/8191/material/5315315)","PP")</f>
        <v>PP</v>
      </c>
      <c r="B56">
        <v>5315315</v>
      </c>
      <c r="C56">
        <v>6970222</v>
      </c>
      <c r="E56">
        <v>1.0113799999999999</v>
      </c>
      <c r="F56" t="s">
        <v>670</v>
      </c>
      <c r="G56">
        <v>98.039199999999994</v>
      </c>
      <c r="H56" t="s">
        <v>671</v>
      </c>
      <c r="I56">
        <v>5</v>
      </c>
      <c r="J56">
        <v>0.10389195236953569</v>
      </c>
      <c r="K56">
        <v>0</v>
      </c>
      <c r="M56">
        <v>0</v>
      </c>
      <c r="O56">
        <v>200000</v>
      </c>
      <c r="R56" t="s">
        <v>136</v>
      </c>
      <c r="S56">
        <v>1.4159435540069687E-05</v>
      </c>
      <c r="T56">
        <v>1.502020905923345E-05</v>
      </c>
      <c r="U56" t="s">
        <v>137</v>
      </c>
      <c r="V56">
        <v>0.00050548780487804875</v>
      </c>
      <c r="W56">
        <v>0.014948857289198605</v>
      </c>
      <c r="X56" t="s">
        <v>138</v>
      </c>
      <c r="Y56">
        <v>0.00089693143735191641</v>
      </c>
      <c r="Z56">
        <v>0</v>
      </c>
      <c r="AA56" t="s">
        <v>139</v>
      </c>
      <c r="AB56">
        <v>0.0017938628747038328</v>
      </c>
      <c r="AC56">
        <v>0.017639651601254355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Q56" t="s">
        <v>140</v>
      </c>
      <c r="AR56" t="s">
        <v>141</v>
      </c>
      <c r="AS56">
        <v>0.014442508710801393</v>
      </c>
    </row>
    <row r="57" spans="1:45" ht="12.75">
      <c r="A57" s="2" t="str">
        <f>HYPERLINK("https://ibp.a2mac1.com/costing(costing:projects/details/8191/material/5315407)","Material")</f>
        <v>Material</v>
      </c>
      <c r="B57">
        <v>5315407</v>
      </c>
      <c r="C57">
        <v>6970275</v>
      </c>
      <c r="E57">
        <v>20.18158</v>
      </c>
      <c r="F57" t="s">
        <v>296</v>
      </c>
      <c r="G57">
        <v>100</v>
      </c>
      <c r="H57" t="s">
        <v>297</v>
      </c>
      <c r="I57">
        <v>0</v>
      </c>
      <c r="J57">
        <v>1.0057812623742775</v>
      </c>
      <c r="K57">
        <v>0</v>
      </c>
      <c r="L57">
        <v>0</v>
      </c>
      <c r="M57">
        <v>0</v>
      </c>
      <c r="O57">
        <v>200000</v>
      </c>
      <c r="R57" t="s">
        <v>136</v>
      </c>
      <c r="S57">
        <v>0</v>
      </c>
      <c r="T57">
        <v>0.20504485280000001</v>
      </c>
      <c r="U57" t="s">
        <v>137</v>
      </c>
      <c r="V57">
        <v>0.70635530000000002</v>
      </c>
      <c r="W57">
        <v>21.092980152799999</v>
      </c>
      <c r="X57" t="s">
        <v>138</v>
      </c>
      <c r="Y57">
        <v>1.265578809168</v>
      </c>
      <c r="Z57">
        <v>0</v>
      </c>
      <c r="AA57" t="s">
        <v>139</v>
      </c>
      <c r="AB57">
        <v>2.5311576183360001</v>
      </c>
      <c r="AC57">
        <v>24.889716580304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Q57" t="s">
        <v>9</v>
      </c>
      <c r="AR57" t="s">
        <v>141</v>
      </c>
      <c r="AS57">
        <v>20.18158</v>
      </c>
    </row>
    <row r="58" spans="1:45" ht="12.75">
      <c r="A58" s="2" t="str">
        <f>HYPERLINK("https://ibp.a2mac1.com/costing(costing:projects/details/8191/material/5315408)","Material")</f>
        <v>Material</v>
      </c>
      <c r="B58">
        <v>5315408</v>
      </c>
      <c r="C58">
        <v>6970296</v>
      </c>
      <c r="E58">
        <v>28.72317</v>
      </c>
      <c r="F58" t="s">
        <v>296</v>
      </c>
      <c r="G58">
        <v>100</v>
      </c>
      <c r="H58" t="s">
        <v>297</v>
      </c>
      <c r="I58">
        <v>0</v>
      </c>
      <c r="J58">
        <v>1.0057812623742775</v>
      </c>
      <c r="K58">
        <v>0</v>
      </c>
      <c r="L58">
        <v>0</v>
      </c>
      <c r="M58">
        <v>0</v>
      </c>
      <c r="O58">
        <v>200000</v>
      </c>
      <c r="R58" t="s">
        <v>136</v>
      </c>
      <c r="S58">
        <v>0</v>
      </c>
      <c r="T58">
        <v>0.2918274072</v>
      </c>
      <c r="U58" t="s">
        <v>137</v>
      </c>
      <c r="V58">
        <v>1.0053109499999999</v>
      </c>
      <c r="W58">
        <v>30.020308357200001</v>
      </c>
      <c r="X58" t="s">
        <v>138</v>
      </c>
      <c r="Y58">
        <v>1.8012185014319999</v>
      </c>
      <c r="Z58">
        <v>0</v>
      </c>
      <c r="AA58" t="s">
        <v>139</v>
      </c>
      <c r="AB58">
        <v>3.6024370028639998</v>
      </c>
      <c r="AC58">
        <v>35.423963861495999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Q58" t="s">
        <v>9</v>
      </c>
      <c r="AR58" t="s">
        <v>141</v>
      </c>
      <c r="AS58">
        <v>28.72317</v>
      </c>
    </row>
    <row r="59" spans="1:45" ht="12.75">
      <c r="A59" s="2" t="str">
        <f>HYPERLINK("https://ibp.a2mac1.com/costing(costing:projects/details/8191/material/5315416)","Steel sheet (default)")</f>
        <v>Steel sheet (default)</v>
      </c>
      <c r="B59">
        <v>5315416</v>
      </c>
      <c r="C59">
        <v>6970322</v>
      </c>
      <c r="E59">
        <v>0.52766000000000002</v>
      </c>
      <c r="F59" t="s">
        <v>717</v>
      </c>
      <c r="G59">
        <v>37.5593</v>
      </c>
      <c r="H59" t="s">
        <v>718</v>
      </c>
      <c r="I59">
        <v>30</v>
      </c>
      <c r="J59">
        <v>0.0019999600007999841</v>
      </c>
      <c r="K59">
        <v>0</v>
      </c>
      <c r="M59">
        <v>0</v>
      </c>
      <c r="O59">
        <v>400000</v>
      </c>
      <c r="R59" t="s">
        <v>136</v>
      </c>
      <c r="S59">
        <v>0.036316566979331354</v>
      </c>
      <c r="T59">
        <v>3.877446065288757E-06</v>
      </c>
      <c r="U59" t="s">
        <v>137</v>
      </c>
      <c r="V59">
        <v>0.0067855306142553242</v>
      </c>
      <c r="W59">
        <v>0.1643451443454271</v>
      </c>
      <c r="X59" t="s">
        <v>138</v>
      </c>
      <c r="Y59">
        <v>0.0098607086607256263</v>
      </c>
      <c r="Z59">
        <v>0</v>
      </c>
      <c r="AA59" t="s">
        <v>139</v>
      </c>
      <c r="AB59">
        <v>0.019721417321451253</v>
      </c>
      <c r="AC59">
        <v>0.19392727032760398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Q59" t="s">
        <v>140</v>
      </c>
      <c r="AR59" t="s">
        <v>141</v>
      </c>
      <c r="AS59">
        <v>0.19387230326443783</v>
      </c>
    </row>
    <row r="60" spans="1:45" ht="12.75">
      <c r="A60" s="2" t="str">
        <f>HYPERLINK("https://ibp.a2mac1.com/costing(costing:projects/details/8191/material/5315417)","PP-PE")</f>
        <v>PP-PE</v>
      </c>
      <c r="B60">
        <v>5315417</v>
      </c>
      <c r="C60">
        <v>6970323</v>
      </c>
      <c r="E60">
        <v>1.34768</v>
      </c>
      <c r="F60" t="s">
        <v>723</v>
      </c>
      <c r="G60">
        <v>92.798199999999994</v>
      </c>
      <c r="H60" t="s">
        <v>724</v>
      </c>
      <c r="I60">
        <v>5</v>
      </c>
      <c r="J60">
        <v>0.0019999600007999841</v>
      </c>
      <c r="K60">
        <v>0</v>
      </c>
      <c r="M60">
        <v>0</v>
      </c>
      <c r="O60">
        <v>400000</v>
      </c>
      <c r="R60" t="s">
        <v>136</v>
      </c>
      <c r="S60">
        <v>0.00028762125791233022</v>
      </c>
      <c r="T60">
        <v>1.597496503164932E-06</v>
      </c>
      <c r="U60" t="s">
        <v>137</v>
      </c>
      <c r="V60">
        <v>0.0027956188805386313</v>
      </c>
      <c r="W60">
        <v>0.082384420277376066</v>
      </c>
      <c r="X60" t="s">
        <v>138</v>
      </c>
      <c r="Y60">
        <v>0.0049430652166425641</v>
      </c>
      <c r="Z60">
        <v>0</v>
      </c>
      <c r="AA60" t="s">
        <v>139</v>
      </c>
      <c r="AB60">
        <v>0.0098861304332851282</v>
      </c>
      <c r="AC60">
        <v>0.097213615927303765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Q60" t="s">
        <v>140</v>
      </c>
      <c r="AR60" t="s">
        <v>141</v>
      </c>
      <c r="AS60">
        <v>0.079874825158246607</v>
      </c>
    </row>
    <row r="61" spans="1:45" ht="12.75">
      <c r="A61" s="2" t="str">
        <f>HYPERLINK("https://ibp.a2mac1.com/costing(costing:projects/details/8191/material/5315409)","Material")</f>
        <v>Material</v>
      </c>
      <c r="B61">
        <v>5315409</v>
      </c>
      <c r="C61">
        <v>6970297</v>
      </c>
      <c r="E61">
        <v>21.063880000000001</v>
      </c>
      <c r="F61" t="s">
        <v>296</v>
      </c>
      <c r="G61">
        <v>100</v>
      </c>
      <c r="H61" t="s">
        <v>297</v>
      </c>
      <c r="I61">
        <v>0</v>
      </c>
      <c r="J61">
        <v>1.0028412184570303</v>
      </c>
      <c r="K61">
        <v>0</v>
      </c>
      <c r="L61">
        <v>0</v>
      </c>
      <c r="M61">
        <v>0</v>
      </c>
      <c r="O61">
        <v>400000</v>
      </c>
      <c r="R61" t="s">
        <v>136</v>
      </c>
      <c r="S61">
        <v>0</v>
      </c>
      <c r="T61">
        <v>0.21337710439999999</v>
      </c>
      <c r="U61" t="s">
        <v>137</v>
      </c>
      <c r="V61">
        <v>0.7372358</v>
      </c>
      <c r="W61">
        <v>22.014492904400001</v>
      </c>
      <c r="X61" t="s">
        <v>138</v>
      </c>
      <c r="Y61">
        <v>1.320869574264</v>
      </c>
      <c r="Z61">
        <v>0</v>
      </c>
      <c r="AA61" t="s">
        <v>139</v>
      </c>
      <c r="AB61">
        <v>2.641739148528</v>
      </c>
      <c r="AC61">
        <v>25.977101627191999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Q61" t="s">
        <v>9</v>
      </c>
      <c r="AR61" t="s">
        <v>141</v>
      </c>
      <c r="AS61">
        <v>21.063880000000001</v>
      </c>
    </row>
    <row r="62" spans="1:45" ht="12.75">
      <c r="A62" s="2" t="str">
        <f>HYPERLINK("https://ibp.a2mac1.com/costing(costing:projects/details/8191/material/5315418)","PP-PE")</f>
        <v>PP-PE</v>
      </c>
      <c r="B62">
        <v>5315418</v>
      </c>
      <c r="C62">
        <v>6970324</v>
      </c>
      <c r="E62">
        <v>1.34768</v>
      </c>
      <c r="F62" t="s">
        <v>742</v>
      </c>
      <c r="G62">
        <v>95</v>
      </c>
      <c r="H62" t="s">
        <v>743</v>
      </c>
      <c r="I62">
        <v>5</v>
      </c>
      <c r="J62">
        <v>0.50345253019720215</v>
      </c>
      <c r="K62">
        <v>0</v>
      </c>
      <c r="M62">
        <v>0</v>
      </c>
      <c r="O62">
        <v>200000</v>
      </c>
      <c r="R62" t="s">
        <v>136</v>
      </c>
      <c r="S62">
        <v>0.0003511061052631579</v>
      </c>
      <c r="T62">
        <v>0.00071063875705263161</v>
      </c>
      <c r="U62" t="s">
        <v>137</v>
      </c>
      <c r="V62">
        <v>0.0049154854736842106</v>
      </c>
      <c r="W62">
        <v>0.14571746023073684</v>
      </c>
      <c r="X62" t="s">
        <v>138</v>
      </c>
      <c r="Y62">
        <v>0.0087430476138442102</v>
      </c>
      <c r="Z62">
        <v>0</v>
      </c>
      <c r="AA62" t="s">
        <v>139</v>
      </c>
      <c r="AB62">
        <v>0.01748609522768842</v>
      </c>
      <c r="AC62">
        <v>0.17194660307226947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Q62" t="s">
        <v>140</v>
      </c>
      <c r="AR62" t="s">
        <v>141</v>
      </c>
      <c r="AS62">
        <v>0.14044244210526316</v>
      </c>
    </row>
    <row r="63" spans="1:45" ht="12.75">
      <c r="A63" s="2" t="str">
        <f>HYPERLINK("https://ibp.a2mac1.com/costing(costing:projects/details/8191/material/5315419)","Steel sheet (default)")</f>
        <v>Steel sheet (default)</v>
      </c>
      <c r="B63">
        <v>5315419</v>
      </c>
      <c r="C63">
        <v>6970325</v>
      </c>
      <c r="E63">
        <v>0.52766000000000002</v>
      </c>
      <c r="F63" t="s">
        <v>747</v>
      </c>
      <c r="G63">
        <v>80</v>
      </c>
      <c r="H63" t="s">
        <v>748</v>
      </c>
      <c r="I63">
        <v>30</v>
      </c>
      <c r="J63">
        <v>0.50345253019720215</v>
      </c>
      <c r="K63">
        <v>0</v>
      </c>
      <c r="L63">
        <v>0</v>
      </c>
      <c r="M63">
        <v>0</v>
      </c>
      <c r="O63">
        <v>200000</v>
      </c>
      <c r="R63" t="s">
        <v>136</v>
      </c>
      <c r="S63">
        <v>0.001424682</v>
      </c>
      <c r="T63">
        <v>0.00012014818199999999</v>
      </c>
      <c r="U63" t="s">
        <v>137</v>
      </c>
      <c r="V63">
        <v>0.00083106450000000002</v>
      </c>
      <c r="W63">
        <v>0.023271230681999999</v>
      </c>
      <c r="X63" t="s">
        <v>138</v>
      </c>
      <c r="Y63">
        <v>0.00139627384092</v>
      </c>
      <c r="Z63">
        <v>0</v>
      </c>
      <c r="AA63" t="s">
        <v>139</v>
      </c>
      <c r="AB63">
        <v>0.0027925476818400001</v>
      </c>
      <c r="AC63">
        <v>0.027460052204759999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Q63" t="s">
        <v>140</v>
      </c>
      <c r="AR63" t="s">
        <v>141</v>
      </c>
      <c r="AS63">
        <v>0.023744700000000001</v>
      </c>
    </row>
    <row r="64" spans="1:45" ht="12.75">
      <c r="A64" s="2" t="str">
        <f>HYPERLINK("https://ibp.a2mac1.com/costing(costing:projects/details/8191/material/5315420)","PP-PE")</f>
        <v>PP-PE</v>
      </c>
      <c r="B64">
        <v>5315420</v>
      </c>
      <c r="C64">
        <v>6970326</v>
      </c>
      <c r="E64">
        <v>1.34768</v>
      </c>
      <c r="F64" t="s">
        <v>742</v>
      </c>
      <c r="G64">
        <v>95</v>
      </c>
      <c r="H64" t="s">
        <v>743</v>
      </c>
      <c r="I64">
        <v>5</v>
      </c>
      <c r="J64">
        <v>0.50345253019720215</v>
      </c>
      <c r="K64">
        <v>0</v>
      </c>
      <c r="M64">
        <v>0</v>
      </c>
      <c r="O64">
        <v>200000</v>
      </c>
      <c r="R64" t="s">
        <v>136</v>
      </c>
      <c r="S64">
        <v>0.0003511061052631579</v>
      </c>
      <c r="T64">
        <v>0.00071063875705263161</v>
      </c>
      <c r="U64" t="s">
        <v>137</v>
      </c>
      <c r="V64">
        <v>0.0049154854736842106</v>
      </c>
      <c r="W64">
        <v>0.14571746023073684</v>
      </c>
      <c r="X64" t="s">
        <v>138</v>
      </c>
      <c r="Y64">
        <v>0.0087430476138442102</v>
      </c>
      <c r="Z64">
        <v>0</v>
      </c>
      <c r="AA64" t="s">
        <v>139</v>
      </c>
      <c r="AB64">
        <v>0.01748609522768842</v>
      </c>
      <c r="AC64">
        <v>0.17194660307226947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Q64" t="s">
        <v>140</v>
      </c>
      <c r="AR64" t="s">
        <v>141</v>
      </c>
      <c r="AS64">
        <v>0.14044244210526316</v>
      </c>
    </row>
    <row r="65" spans="1:45" ht="12.75">
      <c r="A65" s="2" t="str">
        <f>HYPERLINK("https://ibp.a2mac1.com/costing(costing:projects/details/8191/material/5315421)","Steel sheet (default)")</f>
        <v>Steel sheet (default)</v>
      </c>
      <c r="B65">
        <v>5315421</v>
      </c>
      <c r="C65">
        <v>6970327</v>
      </c>
      <c r="E65">
        <v>0.52766000000000002</v>
      </c>
      <c r="F65" t="s">
        <v>747</v>
      </c>
      <c r="G65">
        <v>80</v>
      </c>
      <c r="H65" t="s">
        <v>748</v>
      </c>
      <c r="I65">
        <v>30</v>
      </c>
      <c r="J65">
        <v>0.50345253019720215</v>
      </c>
      <c r="K65">
        <v>0</v>
      </c>
      <c r="L65">
        <v>0</v>
      </c>
      <c r="M65">
        <v>0</v>
      </c>
      <c r="O65">
        <v>200000</v>
      </c>
      <c r="R65" t="s">
        <v>136</v>
      </c>
      <c r="S65">
        <v>0.001424682</v>
      </c>
      <c r="T65">
        <v>0.00012014818199999999</v>
      </c>
      <c r="U65" t="s">
        <v>137</v>
      </c>
      <c r="V65">
        <v>0.00083106450000000002</v>
      </c>
      <c r="W65">
        <v>0.023271230681999999</v>
      </c>
      <c r="X65" t="s">
        <v>138</v>
      </c>
      <c r="Y65">
        <v>0.00139627384092</v>
      </c>
      <c r="Z65">
        <v>0</v>
      </c>
      <c r="AA65" t="s">
        <v>139</v>
      </c>
      <c r="AB65">
        <v>0.0027925476818400001</v>
      </c>
      <c r="AC65">
        <v>0.027460052204759999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Q65" t="s">
        <v>140</v>
      </c>
      <c r="AR65" t="s">
        <v>141</v>
      </c>
      <c r="AS65">
        <v>0.023744700000000001</v>
      </c>
    </row>
    <row r="66" spans="1:45" ht="12.75">
      <c r="A66" s="2" t="str">
        <f>HYPERLINK("https://ibp.a2mac1.com/costing(costing:projects/details/8191/material/5315412)","ASA-PC")</f>
        <v>ASA-PC</v>
      </c>
      <c r="B66">
        <v>5315412</v>
      </c>
      <c r="C66">
        <v>6970298</v>
      </c>
      <c r="E66">
        <v>2.92</v>
      </c>
      <c r="F66" t="s">
        <v>794</v>
      </c>
      <c r="G66">
        <v>95</v>
      </c>
      <c r="H66" t="s">
        <v>795</v>
      </c>
      <c r="I66">
        <v>5</v>
      </c>
      <c r="J66">
        <v>0.50345253019720215</v>
      </c>
      <c r="K66">
        <v>0</v>
      </c>
      <c r="L66">
        <v>0</v>
      </c>
      <c r="M66">
        <v>0</v>
      </c>
      <c r="O66">
        <v>200000</v>
      </c>
      <c r="R66" t="s">
        <v>136</v>
      </c>
      <c r="S66">
        <v>0.00043800000000000002</v>
      </c>
      <c r="T66">
        <v>0.000886512</v>
      </c>
      <c r="U66" t="s">
        <v>137</v>
      </c>
      <c r="V66">
        <v>0.0061320000000000003</v>
      </c>
      <c r="W66">
        <v>0.18178051200000001</v>
      </c>
      <c r="X66" t="s">
        <v>138</v>
      </c>
      <c r="Y66">
        <v>0.01090683072</v>
      </c>
      <c r="Z66">
        <v>0</v>
      </c>
      <c r="AA66" t="s">
        <v>139</v>
      </c>
      <c r="AB66">
        <v>0.02181366144</v>
      </c>
      <c r="AC66">
        <v>0.21450100416000001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Q66" t="s">
        <v>140</v>
      </c>
      <c r="AR66" t="s">
        <v>141</v>
      </c>
      <c r="AS66">
        <v>0.17519999999999999</v>
      </c>
    </row>
    <row r="67" spans="1:45" ht="12.75">
      <c r="A67" s="2" t="str">
        <f>HYPERLINK("https://ibp.a2mac1.com/costing(costing:projects/details/8191/material/5315422)","PP-TD20")</f>
        <v>PP-TD20</v>
      </c>
      <c r="B67">
        <v>5315422</v>
      </c>
      <c r="C67">
        <v>6970315</v>
      </c>
      <c r="E67">
        <v>1.1148100000000001</v>
      </c>
      <c r="F67" t="s">
        <v>821</v>
      </c>
      <c r="G67">
        <v>95</v>
      </c>
      <c r="H67" t="s">
        <v>822</v>
      </c>
      <c r="I67">
        <v>5</v>
      </c>
      <c r="J67">
        <v>0.50345253019720215</v>
      </c>
      <c r="K67">
        <v>0</v>
      </c>
      <c r="M67">
        <v>0</v>
      </c>
      <c r="O67">
        <v>200000</v>
      </c>
      <c r="R67" t="s">
        <v>136</v>
      </c>
      <c r="S67">
        <v>0.0018746410263157894</v>
      </c>
      <c r="T67">
        <v>0.0037942734372631579</v>
      </c>
      <c r="U67" t="s">
        <v>137</v>
      </c>
      <c r="V67">
        <v>0.026244974368421051</v>
      </c>
      <c r="W67">
        <v>0.77802101730568418</v>
      </c>
      <c r="X67" t="s">
        <v>90</v>
      </c>
      <c r="Y67">
        <v>0</v>
      </c>
      <c r="Z67">
        <v>0</v>
      </c>
      <c r="AA67" t="s">
        <v>90</v>
      </c>
      <c r="AB67">
        <v>0</v>
      </c>
      <c r="AC67">
        <v>0.77802101730568418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Q67" t="s">
        <v>140</v>
      </c>
      <c r="AR67" t="s">
        <v>141</v>
      </c>
      <c r="AS67">
        <v>0.7498564105263158</v>
      </c>
    </row>
    <row r="68" spans="1:45" ht="12.75">
      <c r="A68" s="2" t="str">
        <f>HYPERLINK("https://ibp.a2mac1.com/costing(costing:projects/details/8191/material/5315423)","PP-TD20")</f>
        <v>PP-TD20</v>
      </c>
      <c r="B68">
        <v>5315423</v>
      </c>
      <c r="C68">
        <v>6970316</v>
      </c>
      <c r="E68">
        <v>1.1148100000000001</v>
      </c>
      <c r="F68" t="s">
        <v>828</v>
      </c>
      <c r="G68">
        <v>95</v>
      </c>
      <c r="H68" t="s">
        <v>829</v>
      </c>
      <c r="I68">
        <v>5</v>
      </c>
      <c r="J68">
        <v>0.50345253019720215</v>
      </c>
      <c r="K68">
        <v>0</v>
      </c>
      <c r="M68">
        <v>0</v>
      </c>
      <c r="O68">
        <v>200000</v>
      </c>
      <c r="R68" t="s">
        <v>136</v>
      </c>
      <c r="S68">
        <v>0.0021122715789473685</v>
      </c>
      <c r="T68">
        <v>0.0042752376757894733</v>
      </c>
      <c r="U68" t="s">
        <v>137</v>
      </c>
      <c r="V68">
        <v>0.029571802105263157</v>
      </c>
      <c r="W68">
        <v>0.87664339978105266</v>
      </c>
      <c r="X68" t="s">
        <v>90</v>
      </c>
      <c r="Y68">
        <v>0</v>
      </c>
      <c r="Z68">
        <v>0</v>
      </c>
      <c r="AA68" t="s">
        <v>90</v>
      </c>
      <c r="AB68">
        <v>0</v>
      </c>
      <c r="AC68">
        <v>0.87664339978105266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Q68" t="s">
        <v>140</v>
      </c>
      <c r="AR68" t="s">
        <v>141</v>
      </c>
      <c r="AS68">
        <v>0.84490863157894736</v>
      </c>
    </row>
    <row r="69" spans="1:45" ht="12.75">
      <c r="A69" s="2" t="str">
        <f>HYPERLINK("https://ibp.a2mac1.com/costing(costing:projects/details/8191/material/5315424)","PP-TD20")</f>
        <v>PP-TD20</v>
      </c>
      <c r="B69">
        <v>5315424</v>
      </c>
      <c r="C69">
        <v>6970317</v>
      </c>
      <c r="E69">
        <v>1.1148100000000001</v>
      </c>
      <c r="F69" t="s">
        <v>836</v>
      </c>
      <c r="G69">
        <v>95</v>
      </c>
      <c r="H69" t="s">
        <v>837</v>
      </c>
      <c r="I69">
        <v>5</v>
      </c>
      <c r="J69">
        <v>0.50345253019720215</v>
      </c>
      <c r="K69">
        <v>0</v>
      </c>
      <c r="M69">
        <v>0</v>
      </c>
      <c r="O69">
        <v>200000</v>
      </c>
      <c r="R69" t="s">
        <v>136</v>
      </c>
      <c r="S69">
        <v>0.002273625657894737</v>
      </c>
      <c r="T69">
        <v>0.0046018183315789472</v>
      </c>
      <c r="U69" t="s">
        <v>137</v>
      </c>
      <c r="V69">
        <v>0.031830759210526319</v>
      </c>
      <c r="W69">
        <v>0.94360921504210526</v>
      </c>
      <c r="X69" t="s">
        <v>90</v>
      </c>
      <c r="Y69">
        <v>0</v>
      </c>
      <c r="Z69">
        <v>0</v>
      </c>
      <c r="AA69" t="s">
        <v>90</v>
      </c>
      <c r="AB69">
        <v>0</v>
      </c>
      <c r="AC69">
        <v>0.94360921504210526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Q69" t="s">
        <v>140</v>
      </c>
      <c r="AR69" t="s">
        <v>141</v>
      </c>
      <c r="AS69">
        <v>0.90945026315789479</v>
      </c>
    </row>
    <row r="70" spans="1:45" ht="12.75">
      <c r="A70" s="2" t="str">
        <f>HYPERLINK("https://ibp.a2mac1.com/costing(costing:projects/details/8191/material/5315425)","PA6-GF30")</f>
        <v>PA6-GF30</v>
      </c>
      <c r="B70">
        <v>5315425</v>
      </c>
      <c r="C70">
        <v>6970318</v>
      </c>
      <c r="E70">
        <v>2.1428600000000002</v>
      </c>
      <c r="F70" t="s">
        <v>836</v>
      </c>
      <c r="G70">
        <v>95</v>
      </c>
      <c r="H70" t="s">
        <v>837</v>
      </c>
      <c r="I70">
        <v>5</v>
      </c>
      <c r="J70">
        <v>0.50345253019720215</v>
      </c>
      <c r="K70">
        <v>0</v>
      </c>
      <c r="M70">
        <v>0</v>
      </c>
      <c r="O70">
        <v>200000</v>
      </c>
      <c r="R70" t="s">
        <v>136</v>
      </c>
      <c r="S70">
        <v>0.0043703065789473684</v>
      </c>
      <c r="T70">
        <v>0.0088455005157894728</v>
      </c>
      <c r="U70" t="s">
        <v>137</v>
      </c>
      <c r="V70">
        <v>0.061184292105263161</v>
      </c>
      <c r="W70">
        <v>1.8137821176210527</v>
      </c>
      <c r="X70" t="s">
        <v>90</v>
      </c>
      <c r="Y70">
        <v>0</v>
      </c>
      <c r="Z70">
        <v>0</v>
      </c>
      <c r="AA70" t="s">
        <v>90</v>
      </c>
      <c r="AB70">
        <v>0</v>
      </c>
      <c r="AC70">
        <v>1.8137821176210527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Q70" t="s">
        <v>140</v>
      </c>
      <c r="AR70" t="s">
        <v>141</v>
      </c>
      <c r="AS70">
        <v>1.7481226315789473</v>
      </c>
    </row>
    <row r="71" spans="1:45" ht="12.75">
      <c r="A71" s="2" t="str">
        <f>HYPERLINK("https://ibp.a2mac1.com/costing(costing:projects/details/8191/material/5315426)","Aluminum sheet with brazing layer (default)")</f>
        <v>Aluminum sheet with brazing layer (default)</v>
      </c>
      <c r="B71">
        <v>5315426</v>
      </c>
      <c r="C71">
        <v>6970319</v>
      </c>
      <c r="E71">
        <v>4.0542699999999998</v>
      </c>
      <c r="F71" t="s">
        <v>1015</v>
      </c>
      <c r="G71">
        <v>90</v>
      </c>
      <c r="H71" t="s">
        <v>1016</v>
      </c>
      <c r="I71">
        <v>30</v>
      </c>
      <c r="J71">
        <v>0.50345253019720215</v>
      </c>
      <c r="K71">
        <v>0</v>
      </c>
      <c r="M71">
        <v>0</v>
      </c>
      <c r="O71">
        <v>200000</v>
      </c>
      <c r="R71" t="s">
        <v>136</v>
      </c>
      <c r="S71">
        <v>0.13446662166666667</v>
      </c>
      <c r="T71">
        <v>0.022680036854444443</v>
      </c>
      <c r="U71" t="s">
        <v>137</v>
      </c>
      <c r="V71">
        <v>0.15687772527777777</v>
      </c>
      <c r="W71">
        <v>4.5273118626877782</v>
      </c>
      <c r="X71" t="s">
        <v>138</v>
      </c>
      <c r="Y71">
        <v>0.27163871176126669</v>
      </c>
      <c r="Z71">
        <v>0</v>
      </c>
      <c r="AA71" t="s">
        <v>139</v>
      </c>
      <c r="AB71">
        <v>0.54327742352253339</v>
      </c>
      <c r="AC71">
        <v>5.3422279979715777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Q71" t="s">
        <v>140</v>
      </c>
      <c r="AR71" t="s">
        <v>141</v>
      </c>
      <c r="AS71">
        <v>4.4822207222222223</v>
      </c>
    </row>
    <row r="72" spans="1:45" ht="12.75">
      <c r="A72" s="2" t="str">
        <f>HYPERLINK("https://ibp.a2mac1.com/costing(costing:projects/details/8191/material/5315406)","PP-TD20")</f>
        <v>PP-TD20</v>
      </c>
      <c r="B72">
        <v>5315406</v>
      </c>
      <c r="C72">
        <v>6970279</v>
      </c>
      <c r="E72">
        <v>1.1148100000000001</v>
      </c>
      <c r="F72" t="s">
        <v>1084</v>
      </c>
      <c r="G72">
        <v>95</v>
      </c>
      <c r="H72" t="s">
        <v>1085</v>
      </c>
      <c r="I72">
        <v>5</v>
      </c>
      <c r="J72">
        <v>0.50345253019720215</v>
      </c>
      <c r="K72">
        <v>0</v>
      </c>
      <c r="M72">
        <v>0</v>
      </c>
      <c r="O72">
        <v>200000</v>
      </c>
      <c r="R72" t="s">
        <v>136</v>
      </c>
      <c r="S72">
        <v>0.0021269401315789473</v>
      </c>
      <c r="T72">
        <v>0.0043049268263157898</v>
      </c>
      <c r="U72" t="s">
        <v>137</v>
      </c>
      <c r="V72">
        <v>0.029777161842105264</v>
      </c>
      <c r="W72">
        <v>0.88273120116842108</v>
      </c>
      <c r="X72" t="s">
        <v>138</v>
      </c>
      <c r="Y72">
        <v>0.052963872070105264</v>
      </c>
      <c r="Z72">
        <v>0</v>
      </c>
      <c r="AA72" t="s">
        <v>139</v>
      </c>
      <c r="AB72">
        <v>0.10592774414021053</v>
      </c>
      <c r="AC72">
        <v>1.0416228173787367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Q72" t="s">
        <v>140</v>
      </c>
      <c r="AR72" t="s">
        <v>141</v>
      </c>
      <c r="AS72">
        <v>0.85077605263157896</v>
      </c>
    </row>
    <row r="73" spans="1:45" ht="12.75">
      <c r="A73" s="2" t="str">
        <f>HYPERLINK("https://ibp.a2mac1.com/costing(costing:projects/details/8191/material/5315427)","HDPE")</f>
        <v>HDPE</v>
      </c>
      <c r="B73">
        <v>5315427</v>
      </c>
      <c r="C73">
        <v>6970320</v>
      </c>
      <c r="E73">
        <v>0.96494000000000002</v>
      </c>
      <c r="F73" t="s">
        <v>1149</v>
      </c>
      <c r="G73">
        <v>95</v>
      </c>
      <c r="H73" t="s">
        <v>1150</v>
      </c>
      <c r="I73">
        <v>5</v>
      </c>
      <c r="J73">
        <v>0.50345253019720215</v>
      </c>
      <c r="K73">
        <v>0</v>
      </c>
      <c r="M73">
        <v>0</v>
      </c>
      <c r="O73">
        <v>200000</v>
      </c>
      <c r="R73" t="s">
        <v>136</v>
      </c>
      <c r="S73">
        <v>0.00095478273684210528</v>
      </c>
      <c r="T73">
        <v>0.0019324802593684211</v>
      </c>
      <c r="U73" t="s">
        <v>137</v>
      </c>
      <c r="V73">
        <v>0.013366958315789474</v>
      </c>
      <c r="W73">
        <v>0.39625775057515789</v>
      </c>
      <c r="X73" t="s">
        <v>138</v>
      </c>
      <c r="Y73">
        <v>0.023775465034509474</v>
      </c>
      <c r="Z73">
        <v>0</v>
      </c>
      <c r="AA73" t="s">
        <v>139</v>
      </c>
      <c r="AB73">
        <v>0.047550930069018948</v>
      </c>
      <c r="AC73">
        <v>0.46758414567868634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Q73" t="s">
        <v>140</v>
      </c>
      <c r="AR73" t="s">
        <v>141</v>
      </c>
      <c r="AS73">
        <v>0.3819130947368421</v>
      </c>
    </row>
    <row r="74" spans="1:45" ht="12.75">
      <c r="A74" s="2" t="str">
        <f>HYPERLINK("https://ibp.a2mac1.com/costing(costing:projects/details/8191/material/5315428)","HDPE")</f>
        <v>HDPE</v>
      </c>
      <c r="B74">
        <v>5315428</v>
      </c>
      <c r="C74">
        <v>6970321</v>
      </c>
      <c r="E74">
        <v>0.96494000000000002</v>
      </c>
      <c r="F74" t="s">
        <v>1155</v>
      </c>
      <c r="G74">
        <v>95</v>
      </c>
      <c r="H74" t="s">
        <v>1156</v>
      </c>
      <c r="I74">
        <v>5</v>
      </c>
      <c r="J74">
        <v>0.50345253019720215</v>
      </c>
      <c r="K74">
        <v>0</v>
      </c>
      <c r="M74">
        <v>0</v>
      </c>
      <c r="O74">
        <v>200000</v>
      </c>
      <c r="R74" t="s">
        <v>136</v>
      </c>
      <c r="S74">
        <v>0.00096747931578947371</v>
      </c>
      <c r="T74">
        <v>0.0019581781351578949</v>
      </c>
      <c r="U74" t="s">
        <v>137</v>
      </c>
      <c r="V74">
        <v>0.013544710421052632</v>
      </c>
      <c r="W74">
        <v>0.4015271355562105</v>
      </c>
      <c r="X74" t="s">
        <v>138</v>
      </c>
      <c r="Y74">
        <v>0.024091628133372633</v>
      </c>
      <c r="Z74">
        <v>0</v>
      </c>
      <c r="AA74" t="s">
        <v>139</v>
      </c>
      <c r="AB74">
        <v>0.048183256266745265</v>
      </c>
      <c r="AC74">
        <v>0.47380201995632842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Q74" t="s">
        <v>140</v>
      </c>
      <c r="AR74" t="s">
        <v>141</v>
      </c>
      <c r="AS74">
        <v>0.38699172631578949</v>
      </c>
    </row>
    <row r="75" spans="1:45" ht="12.75">
      <c r="A75" s="2" t="str">
        <f>HYPERLINK("https://ibp.a2mac1.com/costing(costing:projects/details/8191/material/5315431)","PP")</f>
        <v>PP</v>
      </c>
      <c r="B75">
        <v>5315431</v>
      </c>
      <c r="C75">
        <v>6970285</v>
      </c>
      <c r="E75">
        <v>1.0113799999999999</v>
      </c>
      <c r="F75" t="s">
        <v>1214</v>
      </c>
      <c r="G75">
        <v>95</v>
      </c>
      <c r="H75" t="s">
        <v>1215</v>
      </c>
      <c r="I75">
        <v>5</v>
      </c>
      <c r="J75">
        <v>0.50345253019720215</v>
      </c>
      <c r="K75">
        <v>0</v>
      </c>
      <c r="M75">
        <v>0</v>
      </c>
      <c r="O75">
        <v>200000</v>
      </c>
      <c r="R75" t="s">
        <v>136</v>
      </c>
      <c r="S75">
        <v>0.0021398671578947369</v>
      </c>
      <c r="T75">
        <v>0.004331091127578947</v>
      </c>
      <c r="U75" t="s">
        <v>137</v>
      </c>
      <c r="V75">
        <v>0.029958140210526316</v>
      </c>
      <c r="W75">
        <v>0.88809622733810523</v>
      </c>
      <c r="X75" t="s">
        <v>138</v>
      </c>
      <c r="Y75">
        <v>0.053285773640286319</v>
      </c>
      <c r="Z75">
        <v>0</v>
      </c>
      <c r="AA75" t="s">
        <v>139</v>
      </c>
      <c r="AB75">
        <v>0.10657154728057264</v>
      </c>
      <c r="AC75">
        <v>1.0479535482589641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Q75" t="s">
        <v>140</v>
      </c>
      <c r="AR75" t="s">
        <v>141</v>
      </c>
      <c r="AS75">
        <v>0.8559468631578947</v>
      </c>
    </row>
    <row r="76" spans="1:45" ht="12.75">
      <c r="A76" s="2" t="str">
        <f>HYPERLINK("https://ibp.a2mac1.com/costing(costing:projects/details/8191/material/5315432)","EPP")</f>
        <v>EPP</v>
      </c>
      <c r="B76">
        <v>5315432</v>
      </c>
      <c r="C76">
        <v>6970287</v>
      </c>
      <c r="E76">
        <v>2.5973999999999999</v>
      </c>
      <c r="F76" t="s">
        <v>747</v>
      </c>
      <c r="G76">
        <v>95</v>
      </c>
      <c r="H76" t="s">
        <v>1224</v>
      </c>
      <c r="I76">
        <v>5</v>
      </c>
      <c r="J76">
        <v>0.50345253019720215</v>
      </c>
      <c r="K76">
        <v>0</v>
      </c>
      <c r="M76">
        <v>0</v>
      </c>
      <c r="O76">
        <v>200000</v>
      </c>
      <c r="R76" t="s">
        <v>136</v>
      </c>
      <c r="S76">
        <v>0.00024606947368421053</v>
      </c>
      <c r="T76">
        <v>0.00049804461473684206</v>
      </c>
      <c r="U76" t="s">
        <v>137</v>
      </c>
      <c r="V76">
        <v>0.0034449726315789473</v>
      </c>
      <c r="W76">
        <v>0.10212473724631579</v>
      </c>
      <c r="X76" t="s">
        <v>138</v>
      </c>
      <c r="Y76">
        <v>0.006127484234778947</v>
      </c>
      <c r="Z76">
        <v>0</v>
      </c>
      <c r="AA76" t="s">
        <v>139</v>
      </c>
      <c r="AB76">
        <v>0.012254968469557894</v>
      </c>
      <c r="AC76">
        <v>0.12050718995065263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Q76" t="s">
        <v>140</v>
      </c>
      <c r="AR76" t="s">
        <v>141</v>
      </c>
      <c r="AS76">
        <v>0.098427789473684205</v>
      </c>
    </row>
    <row r="77" spans="1:45" ht="12.75">
      <c r="A77" s="2" t="str">
        <f>HYPERLINK("https://ibp.a2mac1.com/costing(costing:projects/details/8191/material/5315433)","PVC")</f>
        <v>PVC</v>
      </c>
      <c r="B77">
        <v>5315433</v>
      </c>
      <c r="C77">
        <v>6970289</v>
      </c>
      <c r="E77">
        <v>1.2835000000000001</v>
      </c>
      <c r="F77" t="s">
        <v>1233</v>
      </c>
      <c r="G77">
        <v>95</v>
      </c>
      <c r="H77" t="s">
        <v>1234</v>
      </c>
      <c r="I77">
        <v>5</v>
      </c>
      <c r="J77">
        <v>0.50345253019720215</v>
      </c>
      <c r="K77">
        <v>0</v>
      </c>
      <c r="M77">
        <v>0</v>
      </c>
      <c r="O77">
        <v>200000</v>
      </c>
      <c r="R77" t="s">
        <v>136</v>
      </c>
      <c r="S77">
        <v>0.00016719276315789474</v>
      </c>
      <c r="T77">
        <v>0.00033839815263157893</v>
      </c>
      <c r="U77" t="s">
        <v>137</v>
      </c>
      <c r="V77">
        <v>0.0023406986842105263</v>
      </c>
      <c r="W77">
        <v>0.069389009336842111</v>
      </c>
      <c r="X77" t="s">
        <v>138</v>
      </c>
      <c r="Y77">
        <v>0.0041633405602105262</v>
      </c>
      <c r="Z77">
        <v>0</v>
      </c>
      <c r="AA77" t="s">
        <v>139</v>
      </c>
      <c r="AB77">
        <v>0.0083266811204210523</v>
      </c>
      <c r="AC77">
        <v>0.08187903101747368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Q77" t="s">
        <v>140</v>
      </c>
      <c r="AR77" t="s">
        <v>141</v>
      </c>
      <c r="AS77">
        <v>0.066877105263157891</v>
      </c>
    </row>
    <row r="78" spans="1:45" ht="12.75">
      <c r="A78" s="2" t="str">
        <f>HYPERLINK("https://ibp.a2mac1.com/costing(costing:projects/details/8191/material/5315434)","Aluminum sheet (default, e.g. EN AW1050A)")</f>
        <v>Aluminum sheet (default, e.g. EN AW1050A)</v>
      </c>
      <c r="B78">
        <v>5315434</v>
      </c>
      <c r="C78">
        <v>6970289</v>
      </c>
      <c r="E78">
        <v>3.4857100000000001</v>
      </c>
      <c r="F78" t="s">
        <v>1233</v>
      </c>
      <c r="G78">
        <v>75</v>
      </c>
      <c r="H78" t="s">
        <v>1236</v>
      </c>
      <c r="I78">
        <v>30</v>
      </c>
      <c r="J78">
        <v>0.50345253019720215</v>
      </c>
      <c r="K78">
        <v>0</v>
      </c>
      <c r="M78">
        <v>0</v>
      </c>
      <c r="O78">
        <v>200000</v>
      </c>
      <c r="R78" t="s">
        <v>136</v>
      </c>
      <c r="S78">
        <v>0.017254264500000002</v>
      </c>
      <c r="T78">
        <v>0.0011640877115999999</v>
      </c>
      <c r="U78" t="s">
        <v>137</v>
      </c>
      <c r="V78">
        <v>0.0080519900999999998</v>
      </c>
      <c r="W78">
        <v>0.2220186733116</v>
      </c>
      <c r="X78" t="s">
        <v>138</v>
      </c>
      <c r="Y78">
        <v>0.013321120398696</v>
      </c>
      <c r="Z78">
        <v>0</v>
      </c>
      <c r="AA78" t="s">
        <v>139</v>
      </c>
      <c r="AB78">
        <v>0.026642240797392001</v>
      </c>
      <c r="AC78">
        <v>0.26198203450768798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Q78" t="s">
        <v>140</v>
      </c>
      <c r="AR78" t="s">
        <v>141</v>
      </c>
      <c r="AS78">
        <v>0.23005686</v>
      </c>
    </row>
    <row r="79" spans="1:45" ht="12.75">
      <c r="A79" s="2" t="str">
        <f>HYPERLINK("https://ibp.a2mac1.com/costing(costing:projects/details/8191/material/5315437)","PC-ABS")</f>
        <v>PC-ABS</v>
      </c>
      <c r="B79">
        <v>5315437</v>
      </c>
      <c r="C79">
        <v>6970294</v>
      </c>
      <c r="E79">
        <v>2.29312</v>
      </c>
      <c r="F79" t="s">
        <v>1272</v>
      </c>
      <c r="G79">
        <v>95</v>
      </c>
      <c r="H79" t="s">
        <v>1273</v>
      </c>
      <c r="I79">
        <v>5</v>
      </c>
      <c r="J79">
        <v>0.50345253019720215</v>
      </c>
      <c r="K79">
        <v>0</v>
      </c>
      <c r="M79">
        <v>0</v>
      </c>
      <c r="O79">
        <v>200000</v>
      </c>
      <c r="R79" t="s">
        <v>136</v>
      </c>
      <c r="S79">
        <v>0.00022931199999999999</v>
      </c>
      <c r="T79">
        <v>0.000464127488</v>
      </c>
      <c r="U79" t="s">
        <v>137</v>
      </c>
      <c r="V79">
        <v>0.0032103679999999999</v>
      </c>
      <c r="W79">
        <v>0.095169983488000001</v>
      </c>
      <c r="X79" t="s">
        <v>138</v>
      </c>
      <c r="Y79">
        <v>0.0057101990092800004</v>
      </c>
      <c r="Z79">
        <v>0</v>
      </c>
      <c r="AA79" t="s">
        <v>139</v>
      </c>
      <c r="AB79">
        <v>0.011420398018560001</v>
      </c>
      <c r="AC79">
        <v>0.11230058051584001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Q79" t="s">
        <v>140</v>
      </c>
      <c r="AR79" t="s">
        <v>141</v>
      </c>
      <c r="AS79">
        <v>0.091724799999999995</v>
      </c>
    </row>
    <row r="80" spans="1:45" ht="12.75">
      <c r="A80" s="2" t="str">
        <f>HYPERLINK("https://ibp.a2mac1.com/costing(costing:projects/details/8191/material/5315438)","PMMA")</f>
        <v>PMMA</v>
      </c>
      <c r="B80">
        <v>5315438</v>
      </c>
      <c r="C80">
        <v>6970295</v>
      </c>
      <c r="E80">
        <v>2.10</v>
      </c>
      <c r="F80" t="s">
        <v>1280</v>
      </c>
      <c r="G80">
        <v>95</v>
      </c>
      <c r="H80" t="s">
        <v>1281</v>
      </c>
      <c r="I80">
        <v>5</v>
      </c>
      <c r="J80">
        <v>0.50345253019720215</v>
      </c>
      <c r="K80">
        <v>0</v>
      </c>
      <c r="M80">
        <v>0</v>
      </c>
      <c r="O80">
        <v>200000</v>
      </c>
      <c r="R80" t="s">
        <v>136</v>
      </c>
      <c r="S80">
        <v>1.6578947368421053E-05</v>
      </c>
      <c r="T80">
        <v>3.3555789473684214E-05</v>
      </c>
      <c r="U80" t="s">
        <v>137</v>
      </c>
      <c r="V80">
        <v>0.00023210526315789473</v>
      </c>
      <c r="W80">
        <v>0.0068806610526315794</v>
      </c>
      <c r="X80" t="s">
        <v>138</v>
      </c>
      <c r="Y80">
        <v>0.00041283966315789472</v>
      </c>
      <c r="Z80">
        <v>0</v>
      </c>
      <c r="AA80" t="s">
        <v>139</v>
      </c>
      <c r="AB80">
        <v>0.00082567932631578945</v>
      </c>
      <c r="AC80">
        <v>0.0081191800421052639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Q80" t="s">
        <v>140</v>
      </c>
      <c r="AR80" t="s">
        <v>141</v>
      </c>
      <c r="AS80">
        <v>0.0066315789473684206</v>
      </c>
    </row>
    <row r="81" spans="1:45" ht="12.75">
      <c r="A81" s="2" t="str">
        <f>HYPERLINK("https://ibp.a2mac1.com/costing(costing:projects/details/8191/material/5315439)","ABS")</f>
        <v>ABS</v>
      </c>
      <c r="B81">
        <v>5315439</v>
      </c>
      <c r="C81">
        <v>6970299</v>
      </c>
      <c r="E81">
        <v>2.5272700000000001</v>
      </c>
      <c r="F81" t="s">
        <v>523</v>
      </c>
      <c r="G81">
        <v>95</v>
      </c>
      <c r="H81" t="s">
        <v>1286</v>
      </c>
      <c r="I81">
        <v>5</v>
      </c>
      <c r="J81">
        <v>0.50048257265952256</v>
      </c>
      <c r="K81">
        <v>0</v>
      </c>
      <c r="M81">
        <v>0</v>
      </c>
      <c r="O81">
        <v>400000</v>
      </c>
      <c r="R81" t="s">
        <v>136</v>
      </c>
      <c r="S81">
        <v>4.6554973684210525E-05</v>
      </c>
      <c r="T81">
        <v>9.3668607052631577E-05</v>
      </c>
      <c r="U81" t="s">
        <v>137</v>
      </c>
      <c r="V81">
        <v>0.00065176963157894741</v>
      </c>
      <c r="W81">
        <v>0.019320872738631579</v>
      </c>
      <c r="X81" t="s">
        <v>138</v>
      </c>
      <c r="Y81">
        <v>0.0011592523643178948</v>
      </c>
      <c r="Z81">
        <v>0</v>
      </c>
      <c r="AA81" t="s">
        <v>139</v>
      </c>
      <c r="AB81">
        <v>0.0023185047286357896</v>
      </c>
      <c r="AC81">
        <v>0.022798629831585263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Q81" t="s">
        <v>140</v>
      </c>
      <c r="AR81" t="s">
        <v>141</v>
      </c>
      <c r="AS81">
        <v>0.018621989473684212</v>
      </c>
    </row>
    <row r="82" spans="1:45" ht="12.75">
      <c r="A82" s="2" t="str">
        <f>HYPERLINK("https://ibp.a2mac1.com/costing(costing:projects/details/8191/material/5315440)","ABS")</f>
        <v>ABS</v>
      </c>
      <c r="B82">
        <v>5315440</v>
      </c>
      <c r="C82">
        <v>6970300</v>
      </c>
      <c r="E82">
        <v>2.5272700000000001</v>
      </c>
      <c r="F82" t="s">
        <v>1291</v>
      </c>
      <c r="G82">
        <v>95</v>
      </c>
      <c r="H82" t="s">
        <v>1292</v>
      </c>
      <c r="I82">
        <v>5</v>
      </c>
      <c r="J82">
        <v>0.50048257265952256</v>
      </c>
      <c r="K82">
        <v>0</v>
      </c>
      <c r="M82">
        <v>0</v>
      </c>
      <c r="O82">
        <v>400000</v>
      </c>
      <c r="R82" t="s">
        <v>136</v>
      </c>
      <c r="S82">
        <v>4.322961842105263E-05</v>
      </c>
      <c r="T82">
        <v>8.6977992263157901E-05</v>
      </c>
      <c r="U82" t="s">
        <v>137</v>
      </c>
      <c r="V82">
        <v>0.00060521465789473681</v>
      </c>
      <c r="W82">
        <v>0.017940810400157894</v>
      </c>
      <c r="X82" t="s">
        <v>138</v>
      </c>
      <c r="Y82">
        <v>0.0010764486240094737</v>
      </c>
      <c r="Z82">
        <v>0</v>
      </c>
      <c r="AA82" t="s">
        <v>139</v>
      </c>
      <c r="AB82">
        <v>0.0021528972480189474</v>
      </c>
      <c r="AC82">
        <v>0.021170156272186314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Q82" t="s">
        <v>140</v>
      </c>
      <c r="AR82" t="s">
        <v>141</v>
      </c>
      <c r="AS82">
        <v>0.017291847368421053</v>
      </c>
    </row>
    <row r="83" spans="1:45" ht="12.75">
      <c r="A83" s="2" t="str">
        <f>HYPERLINK("https://ibp.a2mac1.com/costing(costing:projects/details/8191/material/5315441)","PMMA")</f>
        <v>PMMA</v>
      </c>
      <c r="B83">
        <v>5315441</v>
      </c>
      <c r="C83">
        <v>6970300</v>
      </c>
      <c r="E83">
        <v>2.10</v>
      </c>
      <c r="F83" t="s">
        <v>1291</v>
      </c>
      <c r="G83">
        <v>95</v>
      </c>
      <c r="H83" t="s">
        <v>1292</v>
      </c>
      <c r="I83">
        <v>5</v>
      </c>
      <c r="J83">
        <v>0.50048257265952256</v>
      </c>
      <c r="K83">
        <v>0</v>
      </c>
      <c r="M83">
        <v>0</v>
      </c>
      <c r="O83">
        <v>400000</v>
      </c>
      <c r="R83" t="s">
        <v>136</v>
      </c>
      <c r="S83">
        <v>3.5921052631578949E-05</v>
      </c>
      <c r="T83">
        <v>7.227315789473684E-05</v>
      </c>
      <c r="U83" t="s">
        <v>137</v>
      </c>
      <c r="V83">
        <v>0.00050289473684210528</v>
      </c>
      <c r="W83">
        <v>0.014907667894736841</v>
      </c>
      <c r="X83" t="s">
        <v>138</v>
      </c>
      <c r="Y83">
        <v>0.00089446007368421056</v>
      </c>
      <c r="Z83">
        <v>0</v>
      </c>
      <c r="AA83" t="s">
        <v>139</v>
      </c>
      <c r="AB83">
        <v>0.0017889201473684211</v>
      </c>
      <c r="AC83">
        <v>0.017591048115789473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Q83" t="s">
        <v>140</v>
      </c>
      <c r="AR83" t="s">
        <v>141</v>
      </c>
      <c r="AS83">
        <v>0.014368421052631579</v>
      </c>
    </row>
    <row r="84" spans="1:45" ht="12.75">
      <c r="A84" s="2" t="str">
        <f>HYPERLINK("https://ibp.a2mac1.com/costing(costing:projects/details/8191/material/5315444)","PA6")</f>
        <v>PA6</v>
      </c>
      <c r="B84">
        <v>5315444</v>
      </c>
      <c r="C84">
        <v>6970308</v>
      </c>
      <c r="E84">
        <v>1.72394</v>
      </c>
      <c r="F84" t="s">
        <v>1375</v>
      </c>
      <c r="G84">
        <v>95</v>
      </c>
      <c r="H84" t="s">
        <v>1376</v>
      </c>
      <c r="I84">
        <v>5</v>
      </c>
      <c r="J84">
        <v>0.50345253019720215</v>
      </c>
      <c r="K84">
        <v>0</v>
      </c>
      <c r="M84">
        <v>0</v>
      </c>
      <c r="O84">
        <v>200000</v>
      </c>
      <c r="R84" t="s">
        <v>136</v>
      </c>
      <c r="S84">
        <v>0.00012249047368421054</v>
      </c>
      <c r="T84">
        <v>0.00024792071873684212</v>
      </c>
      <c r="U84" t="s">
        <v>137</v>
      </c>
      <c r="V84">
        <v>0.0017148666315789473</v>
      </c>
      <c r="W84">
        <v>0.05083648635031579</v>
      </c>
      <c r="X84" t="s">
        <v>138</v>
      </c>
      <c r="Y84">
        <v>0.0030501891810189473</v>
      </c>
      <c r="Z84">
        <v>0</v>
      </c>
      <c r="AA84" t="s">
        <v>139</v>
      </c>
      <c r="AB84">
        <v>0.0061003783620378945</v>
      </c>
      <c r="AC84">
        <v>0.059987053893372631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Q84" t="s">
        <v>140</v>
      </c>
      <c r="AR84" t="s">
        <v>141</v>
      </c>
      <c r="AS84">
        <v>0.048996189473684212</v>
      </c>
    </row>
    <row r="85" spans="1:45" ht="12.75">
      <c r="A85" s="2" t="str">
        <f>HYPERLINK("https://ibp.a2mac1.com/costing(costing:projects/details/8191/material/5315586)","42CrMo4 / 4140 / 42CrMo4 / 1.7225 (Billet)")</f>
        <v>42CrMo4 / 4140 / 42CrMo4 / 1.7225 (Billet)</v>
      </c>
      <c r="B85">
        <v>5315586</v>
      </c>
      <c r="C85">
        <v>6970496</v>
      </c>
      <c r="E85">
        <v>0.57662000000000002</v>
      </c>
      <c r="F85" t="s">
        <v>1410</v>
      </c>
      <c r="G85">
        <v>75</v>
      </c>
      <c r="H85" t="s">
        <v>1411</v>
      </c>
      <c r="I85">
        <v>20</v>
      </c>
      <c r="J85">
        <v>0.50345253019720215</v>
      </c>
      <c r="K85">
        <v>0</v>
      </c>
      <c r="M85">
        <v>0</v>
      </c>
      <c r="O85">
        <v>200000</v>
      </c>
      <c r="R85" t="s">
        <v>136</v>
      </c>
      <c r="S85">
        <v>0.064389233333333337</v>
      </c>
      <c r="T85">
        <v>0.0065161904133333335</v>
      </c>
      <c r="U85" t="s">
        <v>137</v>
      </c>
      <c r="V85">
        <v>0.045072463333333333</v>
      </c>
      <c r="W85">
        <v>1.27498408708</v>
      </c>
      <c r="X85" t="s">
        <v>138</v>
      </c>
      <c r="Y85">
        <v>0.0764990452248</v>
      </c>
      <c r="Z85">
        <v>0</v>
      </c>
      <c r="AA85" t="s">
        <v>139</v>
      </c>
      <c r="AB85">
        <v>0.1529980904496</v>
      </c>
      <c r="AC85">
        <v>1.5044812227544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Q85" t="s">
        <v>140</v>
      </c>
      <c r="AR85" t="s">
        <v>141</v>
      </c>
      <c r="AS85">
        <v>1.2877846666666666</v>
      </c>
    </row>
    <row r="86" spans="1:45" ht="12.75">
      <c r="A86" s="2" t="str">
        <f>HYPERLINK("https://ibp.a2mac1.com/costing(costing:projects/details/8191/material/5315587)","Cast Steel (default, e.g. 42CrMo4 / 4140)")</f>
        <v>Cast Steel (default, e.g. 42CrMo4 / 4140)</v>
      </c>
      <c r="B86">
        <v>5315587</v>
      </c>
      <c r="C86">
        <v>6970497</v>
      </c>
      <c r="E86">
        <v>0.52</v>
      </c>
      <c r="F86" t="s">
        <v>1416</v>
      </c>
      <c r="G86">
        <v>95</v>
      </c>
      <c r="H86" t="s">
        <v>1417</v>
      </c>
      <c r="I86">
        <v>40</v>
      </c>
      <c r="J86">
        <v>0.50345253019720215</v>
      </c>
      <c r="K86">
        <v>0</v>
      </c>
      <c r="M86">
        <v>0</v>
      </c>
      <c r="O86">
        <v>200000</v>
      </c>
      <c r="R86" t="s">
        <v>136</v>
      </c>
      <c r="S86">
        <v>0.018610526315789473</v>
      </c>
      <c r="T86">
        <v>0.0047084631578947368</v>
      </c>
      <c r="U86" t="s">
        <v>137</v>
      </c>
      <c r="V86">
        <v>0.03256842105263158</v>
      </c>
      <c r="W86">
        <v>0.94919267368421056</v>
      </c>
      <c r="X86" t="s">
        <v>138</v>
      </c>
      <c r="Y86">
        <v>0.056951560421052629</v>
      </c>
      <c r="Z86">
        <v>0</v>
      </c>
      <c r="AA86" t="s">
        <v>139</v>
      </c>
      <c r="AB86">
        <v>0.11390312084210526</v>
      </c>
      <c r="AC86">
        <v>1.1200473549473684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Q86" t="s">
        <v>140</v>
      </c>
      <c r="AR86" t="s">
        <v>141</v>
      </c>
      <c r="AS86">
        <v>0.93052631578947365</v>
      </c>
    </row>
    <row r="87" spans="1:45" ht="12.75">
      <c r="A87" s="2" t="str">
        <f>HYPERLINK("https://ibp.a2mac1.com/costing(costing:projects/details/8191/material/5315588)","20NiCrMo2-2 / 8615 / 20NiCrMo2-2 / 1.6523 (Billet)")</f>
        <v>20NiCrMo2-2 / 8615 / 20NiCrMo2-2 / 1.6523 (Billet)</v>
      </c>
      <c r="B87">
        <v>5315588</v>
      </c>
      <c r="C87">
        <v>6970498</v>
      </c>
      <c r="E87">
        <v>0.70104</v>
      </c>
      <c r="F87" t="s">
        <v>1421</v>
      </c>
      <c r="G87">
        <v>70</v>
      </c>
      <c r="H87" t="s">
        <v>1422</v>
      </c>
      <c r="I87">
        <v>20</v>
      </c>
      <c r="J87">
        <v>0.50048257265952256</v>
      </c>
      <c r="K87">
        <v>0</v>
      </c>
      <c r="M87">
        <v>0</v>
      </c>
      <c r="O87">
        <v>400000</v>
      </c>
      <c r="R87" t="s">
        <v>136</v>
      </c>
      <c r="S87">
        <v>0.013940681142857143</v>
      </c>
      <c r="T87">
        <v>0.0011686937691428572</v>
      </c>
      <c r="U87" t="s">
        <v>137</v>
      </c>
      <c r="V87">
        <v>0.0081320639999999996</v>
      </c>
      <c r="W87">
        <v>0.22770476234057144</v>
      </c>
      <c r="X87" t="s">
        <v>138</v>
      </c>
      <c r="Y87">
        <v>0.013662285740434287</v>
      </c>
      <c r="Z87">
        <v>0</v>
      </c>
      <c r="AA87" t="s">
        <v>139</v>
      </c>
      <c r="AB87">
        <v>0.027324571480868573</v>
      </c>
      <c r="AC87">
        <v>0.26869161956187426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Q87" t="s">
        <v>140</v>
      </c>
      <c r="AR87" t="s">
        <v>141</v>
      </c>
      <c r="AS87">
        <v>0.23234468571428571</v>
      </c>
    </row>
    <row r="88" spans="1:45" ht="12.75">
      <c r="A88" s="2" t="str">
        <f>HYPERLINK("https://ibp.a2mac1.com/costing(costing:projects/details/8191/material/5315589)","20NiCrMo2-2 / 8615 / 20NiCrMo2-2 / 1.6523 (Billet)")</f>
        <v>20NiCrMo2-2 / 8615 / 20NiCrMo2-2 / 1.6523 (Billet)</v>
      </c>
      <c r="B88">
        <v>5315589</v>
      </c>
      <c r="C88">
        <v>6970499</v>
      </c>
      <c r="E88">
        <v>0.70104</v>
      </c>
      <c r="F88" t="s">
        <v>1427</v>
      </c>
      <c r="G88">
        <v>70</v>
      </c>
      <c r="H88" t="s">
        <v>1428</v>
      </c>
      <c r="I88">
        <v>20</v>
      </c>
      <c r="J88">
        <v>0.50048257265952256</v>
      </c>
      <c r="K88">
        <v>0</v>
      </c>
      <c r="M88">
        <v>0</v>
      </c>
      <c r="O88">
        <v>400000</v>
      </c>
      <c r="R88" t="s">
        <v>136</v>
      </c>
      <c r="S88">
        <v>0.0068501622857142855</v>
      </c>
      <c r="T88">
        <v>0.00057427193828571432</v>
      </c>
      <c r="U88" t="s">
        <v>137</v>
      </c>
      <c r="V88">
        <v>0.0039959280000000002</v>
      </c>
      <c r="W88">
        <v>0.11188940908114285</v>
      </c>
      <c r="X88" t="s">
        <v>138</v>
      </c>
      <c r="Y88">
        <v>0.0067133645448685716</v>
      </c>
      <c r="Z88">
        <v>0</v>
      </c>
      <c r="AA88" t="s">
        <v>139</v>
      </c>
      <c r="AB88">
        <v>0.013426729089737143</v>
      </c>
      <c r="AC88">
        <v>0.13202950271574856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Q88" t="s">
        <v>140</v>
      </c>
      <c r="AR88" t="s">
        <v>141</v>
      </c>
      <c r="AS88">
        <v>0.11416937142857143</v>
      </c>
    </row>
    <row r="89" spans="1:45" ht="12.75">
      <c r="A89" s="2" t="str">
        <f>HYPERLINK("https://ibp.a2mac1.com/costing(costing:projects/details/8191/material/5315590)","20MnCr5 / SAE5120 / 20MnCr5 / 1.7147 / 20CrMnTi (Billet)")</f>
        <v>20MnCr5 / SAE5120 / 20MnCr5 / 1.7147 / 20CrMnTi (Billet)</v>
      </c>
      <c r="B89">
        <v>5315590</v>
      </c>
      <c r="C89">
        <v>6970500</v>
      </c>
      <c r="E89">
        <v>0.60338000000000003</v>
      </c>
      <c r="F89" t="s">
        <v>1444</v>
      </c>
      <c r="G89">
        <v>65</v>
      </c>
      <c r="H89" t="s">
        <v>1445</v>
      </c>
      <c r="I89">
        <v>20</v>
      </c>
      <c r="J89">
        <v>0.50345253019720215</v>
      </c>
      <c r="K89">
        <v>0</v>
      </c>
      <c r="M89">
        <v>0</v>
      </c>
      <c r="O89">
        <v>200000</v>
      </c>
      <c r="R89" t="s">
        <v>136</v>
      </c>
      <c r="S89">
        <v>0.098313808923076923</v>
      </c>
      <c r="T89">
        <v>0.0071066839021538463</v>
      </c>
      <c r="U89" t="s">
        <v>137</v>
      </c>
      <c r="V89">
        <v>0.049156904461538461</v>
      </c>
      <c r="W89">
        <v>1.3624327640559999</v>
      </c>
      <c r="X89" t="s">
        <v>138</v>
      </c>
      <c r="Y89">
        <v>0.081745965843359997</v>
      </c>
      <c r="Z89">
        <v>0</v>
      </c>
      <c r="AA89" t="s">
        <v>139</v>
      </c>
      <c r="AB89">
        <v>0.16349193168671999</v>
      </c>
      <c r="AC89">
        <v>1.6076706615860801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Q89" t="s">
        <v>140</v>
      </c>
      <c r="AR89" t="s">
        <v>141</v>
      </c>
      <c r="AS89">
        <v>1.4044829846153846</v>
      </c>
    </row>
    <row r="90" spans="1:45" ht="12.75">
      <c r="A90" s="2" t="str">
        <f>HYPERLINK("https://ibp.a2mac1.com/costing(costing:projects/details/8191/material/5315591)","42CrMo4 / 4140 / 42CrMo4 / 1.7225 (Billet)")</f>
        <v>42CrMo4 / 4140 / 42CrMo4 / 1.7225 (Billet)</v>
      </c>
      <c r="B90">
        <v>5315591</v>
      </c>
      <c r="C90">
        <v>6970501</v>
      </c>
      <c r="E90">
        <v>0.57662000000000002</v>
      </c>
      <c r="F90" t="s">
        <v>1454</v>
      </c>
      <c r="G90">
        <v>75</v>
      </c>
      <c r="H90" t="s">
        <v>1455</v>
      </c>
      <c r="I90">
        <v>20</v>
      </c>
      <c r="J90">
        <v>0.50345253019720215</v>
      </c>
      <c r="K90">
        <v>0</v>
      </c>
      <c r="M90">
        <v>0</v>
      </c>
      <c r="O90">
        <v>200000</v>
      </c>
      <c r="R90" t="s">
        <v>136</v>
      </c>
      <c r="S90">
        <v>0.10675158266666666</v>
      </c>
      <c r="T90">
        <v>0.010803260165866666</v>
      </c>
      <c r="U90" t="s">
        <v>137</v>
      </c>
      <c r="V90">
        <v>0.074726107866666669</v>
      </c>
      <c r="W90">
        <v>2.1138094386991999</v>
      </c>
      <c r="X90" t="s">
        <v>138</v>
      </c>
      <c r="Y90">
        <v>0.126828566321952</v>
      </c>
      <c r="Z90">
        <v>0</v>
      </c>
      <c r="AA90" t="s">
        <v>139</v>
      </c>
      <c r="AB90">
        <v>0.25365713264390399</v>
      </c>
      <c r="AC90">
        <v>2.494295137665056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Q90" t="s">
        <v>140</v>
      </c>
      <c r="AR90" t="s">
        <v>141</v>
      </c>
      <c r="AS90">
        <v>2.1350316533333333</v>
      </c>
    </row>
    <row r="91" spans="1:45" ht="12.75">
      <c r="A91" s="2" t="str">
        <f>HYPERLINK("https://ibp.a2mac1.com/costing(costing:projects/details/8191/material/5315592)","PA6-GF30")</f>
        <v>PA6-GF30</v>
      </c>
      <c r="B91">
        <v>5315592</v>
      </c>
      <c r="C91">
        <v>6970502</v>
      </c>
      <c r="E91">
        <v>2.1428600000000002</v>
      </c>
      <c r="F91" t="s">
        <v>1471</v>
      </c>
      <c r="G91">
        <v>94</v>
      </c>
      <c r="H91" t="s">
        <v>1472</v>
      </c>
      <c r="I91">
        <v>5</v>
      </c>
      <c r="J91">
        <v>0.50345253019720215</v>
      </c>
      <c r="K91">
        <v>0</v>
      </c>
      <c r="M91">
        <v>0</v>
      </c>
      <c r="O91">
        <v>200000</v>
      </c>
      <c r="R91" t="s">
        <v>136</v>
      </c>
      <c r="S91">
        <v>0.0010258372340425533</v>
      </c>
      <c r="T91">
        <v>0.0017302454680851063</v>
      </c>
      <c r="U91" t="s">
        <v>137</v>
      </c>
      <c r="V91">
        <v>0.011968101063829787</v>
      </c>
      <c r="W91">
        <v>0.35461825397872343</v>
      </c>
      <c r="X91" t="s">
        <v>138</v>
      </c>
      <c r="Y91">
        <v>0.021277095238723405</v>
      </c>
      <c r="Z91">
        <v>0</v>
      </c>
      <c r="AA91" t="s">
        <v>139</v>
      </c>
      <c r="AB91">
        <v>0.04255419047744681</v>
      </c>
      <c r="AC91">
        <v>0.41844953969489362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Q91" t="s">
        <v>140</v>
      </c>
      <c r="AR91" t="s">
        <v>141</v>
      </c>
      <c r="AS91">
        <v>0.34194574468085104</v>
      </c>
    </row>
    <row r="92" spans="1:45" ht="12.75">
      <c r="A92" s="2" t="str">
        <f>HYPERLINK("https://ibp.a2mac1.com/costing(costing:projects/details/8191/material/5315565)","Aluminum for casting (default, e.g. A380/ADC10/EN-AC46500)")</f>
        <v>Aluminum for casting (default, e.g. A380/ADC10/EN-AC46500)</v>
      </c>
      <c r="B92">
        <v>5315565</v>
      </c>
      <c r="C92">
        <v>6970490</v>
      </c>
      <c r="E92">
        <v>2.4518200000000001</v>
      </c>
      <c r="F92" t="s">
        <v>1477</v>
      </c>
      <c r="G92">
        <v>98</v>
      </c>
      <c r="H92" t="s">
        <v>1478</v>
      </c>
      <c r="I92">
        <v>50</v>
      </c>
      <c r="J92">
        <v>0.50345253019720215</v>
      </c>
      <c r="K92">
        <v>0</v>
      </c>
      <c r="M92">
        <v>0</v>
      </c>
      <c r="O92">
        <v>200000</v>
      </c>
      <c r="R92" t="s">
        <v>136</v>
      </c>
      <c r="S92">
        <v>0.017863259999999999</v>
      </c>
      <c r="T92">
        <v>0.0090388095599999996</v>
      </c>
      <c r="U92" t="s">
        <v>137</v>
      </c>
      <c r="V92">
        <v>0.062521409999999999</v>
      </c>
      <c r="W92">
        <v>1.8400229595599999</v>
      </c>
      <c r="X92" t="s">
        <v>138</v>
      </c>
      <c r="Y92">
        <v>0.1104013775736</v>
      </c>
      <c r="Z92">
        <v>0</v>
      </c>
      <c r="AA92" t="s">
        <v>139</v>
      </c>
      <c r="AB92">
        <v>0.22080275514719999</v>
      </c>
      <c r="AC92">
        <v>2.1712270922807999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Q92" t="s">
        <v>140</v>
      </c>
      <c r="AR92" t="s">
        <v>141</v>
      </c>
      <c r="AS92">
        <v>1.7863260000000001</v>
      </c>
    </row>
    <row r="93" spans="1:45" ht="12.75">
      <c r="A93" s="2" t="str">
        <f>HYPERLINK("https://ibp.a2mac1.com/costing(costing:projects/details/8191/material/5315566)","Aluminum for casting (default, e.g. A380/ADC10/EN-AC46500)")</f>
        <v>Aluminum for casting (default, e.g. A380/ADC10/EN-AC46500)</v>
      </c>
      <c r="B93">
        <v>5315566</v>
      </c>
      <c r="C93">
        <v>6970491</v>
      </c>
      <c r="E93">
        <v>2.4518200000000001</v>
      </c>
      <c r="F93" t="s">
        <v>1485</v>
      </c>
      <c r="G93">
        <v>98</v>
      </c>
      <c r="H93" t="s">
        <v>1486</v>
      </c>
      <c r="I93">
        <v>50</v>
      </c>
      <c r="J93">
        <v>0.50345253019720215</v>
      </c>
      <c r="K93">
        <v>0</v>
      </c>
      <c r="M93">
        <v>0</v>
      </c>
      <c r="O93">
        <v>200000</v>
      </c>
      <c r="R93" t="s">
        <v>136</v>
      </c>
      <c r="S93">
        <v>0.073429507142857148</v>
      </c>
      <c r="T93">
        <v>0.037155330614285713</v>
      </c>
      <c r="U93" t="s">
        <v>137</v>
      </c>
      <c r="V93">
        <v>0.25700327499999998</v>
      </c>
      <c r="W93">
        <v>7.563679812757143</v>
      </c>
      <c r="X93" t="s">
        <v>138</v>
      </c>
      <c r="Y93">
        <v>0.45382078876542858</v>
      </c>
      <c r="Z93">
        <v>0</v>
      </c>
      <c r="AA93" t="s">
        <v>139</v>
      </c>
      <c r="AB93">
        <v>0.90764157753085717</v>
      </c>
      <c r="AC93">
        <v>8.9251421790534291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Q93" t="s">
        <v>140</v>
      </c>
      <c r="AR93" t="s">
        <v>141</v>
      </c>
      <c r="AS93">
        <v>7.3429507142857142</v>
      </c>
    </row>
    <row r="94" spans="1:45" ht="12.75">
      <c r="A94" s="2" t="str">
        <f>HYPERLINK("https://ibp.a2mac1.com/costing(costing:projects/details/8191/material/5315593)","Cast Steel (default, e.g. 42CrMo4 / 4140)")</f>
        <v>Cast Steel (default, e.g. 42CrMo4 / 4140)</v>
      </c>
      <c r="B94">
        <v>5315593</v>
      </c>
      <c r="C94">
        <v>6970503</v>
      </c>
      <c r="E94">
        <v>0.52</v>
      </c>
      <c r="F94" t="s">
        <v>1503</v>
      </c>
      <c r="G94">
        <v>95</v>
      </c>
      <c r="H94" t="s">
        <v>1504</v>
      </c>
      <c r="I94">
        <v>40</v>
      </c>
      <c r="J94">
        <v>0.50345253019720215</v>
      </c>
      <c r="K94">
        <v>0</v>
      </c>
      <c r="M94">
        <v>0</v>
      </c>
      <c r="O94">
        <v>200000</v>
      </c>
      <c r="R94" t="s">
        <v>136</v>
      </c>
      <c r="S94">
        <v>0.040089263157894739</v>
      </c>
      <c r="T94">
        <v>0.010142583578947368</v>
      </c>
      <c r="U94" t="s">
        <v>137</v>
      </c>
      <c r="V94">
        <v>0.070156210526315793</v>
      </c>
      <c r="W94">
        <v>2.0446726888421054</v>
      </c>
      <c r="X94" t="s">
        <v>138</v>
      </c>
      <c r="Y94">
        <v>0.12268036133052632</v>
      </c>
      <c r="Z94">
        <v>0</v>
      </c>
      <c r="AA94" t="s">
        <v>139</v>
      </c>
      <c r="AB94">
        <v>0.24536072266105263</v>
      </c>
      <c r="AC94">
        <v>2.4127137728336843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Q94" t="s">
        <v>140</v>
      </c>
      <c r="AR94" t="s">
        <v>141</v>
      </c>
      <c r="AS94">
        <v>2.0044631578947367</v>
      </c>
    </row>
    <row r="95" spans="1:45" ht="12.75">
      <c r="A95" s="2" t="str">
        <f>HYPERLINK("https://ibp.a2mac1.com/costing(costing:projects/details/8191/material/5315594)","20NiCrMo2-2 / 8615 / 20NiCrMo2-2 / 1.6523 (Billet)")</f>
        <v>20NiCrMo2-2 / 8615 / 20NiCrMo2-2 / 1.6523 (Billet)</v>
      </c>
      <c r="B95">
        <v>5315594</v>
      </c>
      <c r="C95">
        <v>6970504</v>
      </c>
      <c r="E95">
        <v>0.70104</v>
      </c>
      <c r="F95" t="s">
        <v>1509</v>
      </c>
      <c r="G95">
        <v>70</v>
      </c>
      <c r="H95" t="s">
        <v>1510</v>
      </c>
      <c r="I95">
        <v>20</v>
      </c>
      <c r="J95">
        <v>0.50048257265952256</v>
      </c>
      <c r="K95">
        <v>0</v>
      </c>
      <c r="M95">
        <v>0</v>
      </c>
      <c r="O95">
        <v>400000</v>
      </c>
      <c r="R95" t="s">
        <v>136</v>
      </c>
      <c r="S95">
        <v>0.032658449142857142</v>
      </c>
      <c r="T95">
        <v>0.0027378666531428573</v>
      </c>
      <c r="U95" t="s">
        <v>137</v>
      </c>
      <c r="V95">
        <v>0.019050761999999999</v>
      </c>
      <c r="W95">
        <v>0.53343766522457148</v>
      </c>
      <c r="X95" t="s">
        <v>138</v>
      </c>
      <c r="Y95">
        <v>0.032006259913474285</v>
      </c>
      <c r="Z95">
        <v>0</v>
      </c>
      <c r="AA95" t="s">
        <v>139</v>
      </c>
      <c r="AB95">
        <v>0.064012519826948569</v>
      </c>
      <c r="AC95">
        <v>0.62945644496499431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Q95" t="s">
        <v>140</v>
      </c>
      <c r="AR95" t="s">
        <v>141</v>
      </c>
      <c r="AS95">
        <v>0.54430748571428567</v>
      </c>
    </row>
    <row r="96" spans="1:45" ht="12.75">
      <c r="A96" s="2" t="str">
        <f>HYPERLINK("https://ibp.a2mac1.com/costing(costing:projects/details/8191/material/5315595)","20NiCrMo2-2 / 8615 / 20NiCrMo2-2 / 1.6523 (Billet)")</f>
        <v>20NiCrMo2-2 / 8615 / 20NiCrMo2-2 / 1.6523 (Billet)</v>
      </c>
      <c r="B96">
        <v>5315595</v>
      </c>
      <c r="C96">
        <v>6970505</v>
      </c>
      <c r="E96">
        <v>0.70104</v>
      </c>
      <c r="F96" t="s">
        <v>1515</v>
      </c>
      <c r="G96">
        <v>70</v>
      </c>
      <c r="H96" t="s">
        <v>1516</v>
      </c>
      <c r="I96">
        <v>20</v>
      </c>
      <c r="J96">
        <v>0.50048257265952256</v>
      </c>
      <c r="K96">
        <v>0</v>
      </c>
      <c r="M96">
        <v>0</v>
      </c>
      <c r="O96">
        <v>400000</v>
      </c>
      <c r="R96" t="s">
        <v>136</v>
      </c>
      <c r="S96">
        <v>0.014571617142857143</v>
      </c>
      <c r="T96">
        <v>0.0012215872371428571</v>
      </c>
      <c r="U96" t="s">
        <v>137</v>
      </c>
      <c r="V96">
        <v>0.00850011</v>
      </c>
      <c r="W96">
        <v>0.23801036580857143</v>
      </c>
      <c r="X96" t="s">
        <v>138</v>
      </c>
      <c r="Y96">
        <v>0.014280621948514286</v>
      </c>
      <c r="Z96">
        <v>0</v>
      </c>
      <c r="AA96" t="s">
        <v>139</v>
      </c>
      <c r="AB96">
        <v>0.028561243897028573</v>
      </c>
      <c r="AC96">
        <v>0.28085223165411427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Q96" t="s">
        <v>140</v>
      </c>
      <c r="AR96" t="s">
        <v>141</v>
      </c>
      <c r="AS96">
        <v>0.24286028571428572</v>
      </c>
    </row>
    <row r="97" spans="1:45" ht="12.75">
      <c r="A97" s="2" t="str">
        <f>HYPERLINK("https://ibp.a2mac1.com/costing(costing:projects/details/8191/material/5315596)","42CrMo4 / 4140 / 42CrMo4 / 1.7225 (Billet)")</f>
        <v>42CrMo4 / 4140 / 42CrMo4 / 1.7225 (Billet)</v>
      </c>
      <c r="B97">
        <v>5315596</v>
      </c>
      <c r="C97">
        <v>6970506</v>
      </c>
      <c r="E97">
        <v>0.57662000000000002</v>
      </c>
      <c r="F97" t="s">
        <v>1521</v>
      </c>
      <c r="G97">
        <v>75</v>
      </c>
      <c r="H97" t="s">
        <v>1522</v>
      </c>
      <c r="I97">
        <v>20</v>
      </c>
      <c r="J97">
        <v>0.50345253019720215</v>
      </c>
      <c r="K97">
        <v>0</v>
      </c>
      <c r="M97">
        <v>0</v>
      </c>
      <c r="O97">
        <v>200000</v>
      </c>
      <c r="R97" t="s">
        <v>136</v>
      </c>
      <c r="S97">
        <v>0.13842724133333334</v>
      </c>
      <c r="T97">
        <v>0.014008836822933333</v>
      </c>
      <c r="U97" t="s">
        <v>137</v>
      </c>
      <c r="V97">
        <v>0.096899068933333332</v>
      </c>
      <c r="W97">
        <v>2.7410254910896001</v>
      </c>
      <c r="X97" t="s">
        <v>138</v>
      </c>
      <c r="Y97">
        <v>0.16446152946537601</v>
      </c>
      <c r="Z97">
        <v>0</v>
      </c>
      <c r="AA97" t="s">
        <v>139</v>
      </c>
      <c r="AB97">
        <v>0.32892305893075202</v>
      </c>
      <c r="AC97">
        <v>3.2344100794857278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Q97" t="s">
        <v>140</v>
      </c>
      <c r="AR97" t="s">
        <v>141</v>
      </c>
      <c r="AS97">
        <v>2.7685448266666666</v>
      </c>
    </row>
    <row r="98" spans="1:45" ht="12.75">
      <c r="A98" s="2" t="str">
        <f>HYPERLINK("https://ibp.a2mac1.com/costing(costing:projects/details/8191/material/5315597)","C45E")</f>
        <v>C45E</v>
      </c>
      <c r="B98">
        <v>5315597</v>
      </c>
      <c r="C98">
        <v>6970507</v>
      </c>
      <c r="D98" t="s">
        <v>1527</v>
      </c>
      <c r="E98">
        <v>0.65000999999999998</v>
      </c>
      <c r="F98" t="s">
        <v>1528</v>
      </c>
      <c r="G98">
        <v>70</v>
      </c>
      <c r="H98" t="s">
        <v>1529</v>
      </c>
      <c r="I98">
        <v>0</v>
      </c>
      <c r="J98">
        <v>0.50345253019720215</v>
      </c>
      <c r="K98">
        <v>0</v>
      </c>
      <c r="L98">
        <v>0</v>
      </c>
      <c r="M98">
        <v>0</v>
      </c>
      <c r="O98">
        <v>200000</v>
      </c>
      <c r="R98" t="s">
        <v>136</v>
      </c>
      <c r="S98">
        <v>0</v>
      </c>
      <c r="T98">
        <v>0.0014189904017142857</v>
      </c>
      <c r="U98" t="s">
        <v>137</v>
      </c>
      <c r="V98">
        <v>0.0098151509999999994</v>
      </c>
      <c r="W98">
        <v>0.29166702711600001</v>
      </c>
      <c r="X98" t="s">
        <v>138</v>
      </c>
      <c r="Y98">
        <v>0.017500021626959999</v>
      </c>
      <c r="Z98">
        <v>0</v>
      </c>
      <c r="AA98" t="s">
        <v>139</v>
      </c>
      <c r="AB98">
        <v>0.035000043253919998</v>
      </c>
      <c r="AC98">
        <v>0.34416709199688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1530</v>
      </c>
      <c r="AN98" t="s">
        <v>1531</v>
      </c>
      <c r="AQ98" t="s">
        <v>9</v>
      </c>
      <c r="AR98" t="s">
        <v>141</v>
      </c>
      <c r="AS98">
        <v>0.28043288571428571</v>
      </c>
    </row>
    <row r="99" spans="1:45" ht="12.75">
      <c r="A99" s="2" t="str">
        <f>HYPERLINK("https://ibp.a2mac1.com/costing(costing:projects/details/8191/material/5315598)","20MnCr5 / SAE5120 / 20MnCr5 / 1.7147 / 20CrMnTi (Billet)")</f>
        <v>20MnCr5 / SAE5120 / 20MnCr5 / 1.7147 / 20CrMnTi (Billet)</v>
      </c>
      <c r="B99">
        <v>5315598</v>
      </c>
      <c r="C99">
        <v>6970508</v>
      </c>
      <c r="E99">
        <v>0.60338000000000003</v>
      </c>
      <c r="F99" t="s">
        <v>1548</v>
      </c>
      <c r="G99">
        <v>75</v>
      </c>
      <c r="H99" t="s">
        <v>1549</v>
      </c>
      <c r="I99">
        <v>20</v>
      </c>
      <c r="J99">
        <v>0.50345253019720215</v>
      </c>
      <c r="K99">
        <v>0</v>
      </c>
      <c r="M99">
        <v>0</v>
      </c>
      <c r="O99">
        <v>200000</v>
      </c>
      <c r="R99" t="s">
        <v>136</v>
      </c>
      <c r="S99">
        <v>0.041794121333333337</v>
      </c>
      <c r="T99">
        <v>0.0042295650789333332</v>
      </c>
      <c r="U99" t="s">
        <v>137</v>
      </c>
      <c r="V99">
        <v>0.029255884933333334</v>
      </c>
      <c r="W99">
        <v>0.82757375534559996</v>
      </c>
      <c r="X99" t="s">
        <v>138</v>
      </c>
      <c r="Y99">
        <v>0.049654425320736002</v>
      </c>
      <c r="Z99">
        <v>0</v>
      </c>
      <c r="AA99" t="s">
        <v>139</v>
      </c>
      <c r="AB99">
        <v>0.099308850641472005</v>
      </c>
      <c r="AC99">
        <v>0.976537031307808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Q99" t="s">
        <v>140</v>
      </c>
      <c r="AR99" t="s">
        <v>141</v>
      </c>
      <c r="AS99">
        <v>0.83588242666666668</v>
      </c>
    </row>
    <row r="100" spans="1:45" ht="12.75">
      <c r="A100" s="2" t="str">
        <f>HYPERLINK("https://ibp.a2mac1.com/costing(costing:projects/details/8191/material/5315599)","Steel, 20MnCr5, round bar, 70mm")</f>
        <v>Steel, 20MnCr5, round bar, 70mm</v>
      </c>
      <c r="B100">
        <v>5315599</v>
      </c>
      <c r="C100">
        <v>6970509</v>
      </c>
      <c r="E100">
        <v>2.63</v>
      </c>
      <c r="F100" t="s">
        <v>1561</v>
      </c>
      <c r="G100">
        <v>77.50</v>
      </c>
      <c r="H100" t="s">
        <v>1562</v>
      </c>
      <c r="I100">
        <v>0</v>
      </c>
      <c r="J100">
        <v>0.50345253019720215</v>
      </c>
      <c r="K100">
        <v>0</v>
      </c>
      <c r="M100">
        <v>0</v>
      </c>
      <c r="O100">
        <v>200000</v>
      </c>
      <c r="R100" t="s">
        <v>136</v>
      </c>
      <c r="S100">
        <v>0</v>
      </c>
      <c r="T100">
        <v>0.025636832774193548</v>
      </c>
      <c r="U100" t="s">
        <v>137</v>
      </c>
      <c r="V100">
        <v>0.17732987096774194</v>
      </c>
      <c r="W100">
        <v>5.2695344456774196</v>
      </c>
      <c r="X100" t="s">
        <v>138</v>
      </c>
      <c r="Y100">
        <v>0.31617206674064519</v>
      </c>
      <c r="Z100">
        <v>0</v>
      </c>
      <c r="AA100" t="s">
        <v>139</v>
      </c>
      <c r="AB100">
        <v>0.63234413348129037</v>
      </c>
      <c r="AC100">
        <v>6.2180506458993552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Q100" t="s">
        <v>9</v>
      </c>
      <c r="AR100" t="s">
        <v>141</v>
      </c>
      <c r="AS100">
        <v>5.0665677419354838</v>
      </c>
    </row>
    <row r="101" spans="1:45" ht="12.75">
      <c r="A101" s="2" t="str">
        <f>HYPERLINK("https://ibp.a2mac1.com/costing(costing:projects/details/8191/material/5315600)","42CrMo4 / 4140 / 42CrMo4 / 1.7225 (Billet)")</f>
        <v>42CrMo4 / 4140 / 42CrMo4 / 1.7225 (Billet)</v>
      </c>
      <c r="B101">
        <v>5315600</v>
      </c>
      <c r="C101">
        <v>6970510</v>
      </c>
      <c r="E101">
        <v>0.57662000000000002</v>
      </c>
      <c r="F101" t="s">
        <v>1567</v>
      </c>
      <c r="G101">
        <v>77.50</v>
      </c>
      <c r="H101" t="s">
        <v>1568</v>
      </c>
      <c r="I101">
        <v>20</v>
      </c>
      <c r="J101">
        <v>0.50345253019720215</v>
      </c>
      <c r="K101">
        <v>0</v>
      </c>
      <c r="M101">
        <v>0</v>
      </c>
      <c r="O101">
        <v>200000</v>
      </c>
      <c r="R101" t="s">
        <v>136</v>
      </c>
      <c r="S101">
        <v>0.071381835870967747</v>
      </c>
      <c r="T101">
        <v>0.0080264908779354837</v>
      </c>
      <c r="U101" t="s">
        <v>137</v>
      </c>
      <c r="V101">
        <v>0.055519205677419352</v>
      </c>
      <c r="W101">
        <v>1.5784268800392258</v>
      </c>
      <c r="X101" t="s">
        <v>138</v>
      </c>
      <c r="Y101">
        <v>0.094705612802353553</v>
      </c>
      <c r="Z101">
        <v>0</v>
      </c>
      <c r="AA101" t="s">
        <v>139</v>
      </c>
      <c r="AB101">
        <v>0.18941122560470711</v>
      </c>
      <c r="AC101">
        <v>1.8625437184462865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Q101" t="s">
        <v>140</v>
      </c>
      <c r="AR101" t="s">
        <v>141</v>
      </c>
      <c r="AS101">
        <v>1.5862630193548386</v>
      </c>
    </row>
    <row r="102" spans="1:45" ht="12.75">
      <c r="A102" s="2" t="str">
        <f>HYPERLINK("https://ibp.a2mac1.com/costing(costing:projects/details/8191/material/5315567)","Aluminum for casting (default, e.g. A380/ADC10/EN-AC46500)")</f>
        <v>Aluminum for casting (default, e.g. A380/ADC10/EN-AC46500)</v>
      </c>
      <c r="B102">
        <v>5315567</v>
      </c>
      <c r="C102">
        <v>6970493</v>
      </c>
      <c r="E102">
        <v>2.4518200000000001</v>
      </c>
      <c r="F102" t="s">
        <v>1596</v>
      </c>
      <c r="G102">
        <v>98</v>
      </c>
      <c r="H102" t="s">
        <v>1597</v>
      </c>
      <c r="I102">
        <v>50</v>
      </c>
      <c r="J102">
        <v>0.50345253019720215</v>
      </c>
      <c r="K102">
        <v>0</v>
      </c>
      <c r="M102">
        <v>0</v>
      </c>
      <c r="O102">
        <v>200000</v>
      </c>
      <c r="R102" t="s">
        <v>136</v>
      </c>
      <c r="S102">
        <v>0.10310153285714285</v>
      </c>
      <c r="T102">
        <v>0.052169375625714283</v>
      </c>
      <c r="U102" t="s">
        <v>137</v>
      </c>
      <c r="V102">
        <v>0.36085536499999998</v>
      </c>
      <c r="W102">
        <v>10.620076493482857</v>
      </c>
      <c r="X102" t="s">
        <v>138</v>
      </c>
      <c r="Y102">
        <v>0.63720458960897142</v>
      </c>
      <c r="Z102">
        <v>0</v>
      </c>
      <c r="AA102" t="s">
        <v>139</v>
      </c>
      <c r="AB102">
        <v>1.2744091792179428</v>
      </c>
      <c r="AC102">
        <v>12.531690262309771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Q102" t="s">
        <v>140</v>
      </c>
      <c r="AR102" t="s">
        <v>141</v>
      </c>
      <c r="AS102">
        <v>10.310153285714286</v>
      </c>
    </row>
    <row r="103" spans="1:45" ht="12.75">
      <c r="A103" s="2" t="str">
        <f>HYPERLINK("https://ibp.a2mac1.com/costing(costing:projects/details/8191/material/5315568)","Aluminum for casting (default, e.g. A380/ADC10/EN-AC46500)")</f>
        <v>Aluminum for casting (default, e.g. A380/ADC10/EN-AC46500)</v>
      </c>
      <c r="B103">
        <v>5315568</v>
      </c>
      <c r="C103">
        <v>6970494</v>
      </c>
      <c r="E103">
        <v>2.4518200000000001</v>
      </c>
      <c r="F103" t="s">
        <v>1602</v>
      </c>
      <c r="G103">
        <v>98</v>
      </c>
      <c r="H103" t="s">
        <v>1603</v>
      </c>
      <c r="I103">
        <v>50</v>
      </c>
      <c r="J103">
        <v>0.50345253019720215</v>
      </c>
      <c r="K103">
        <v>0</v>
      </c>
      <c r="M103">
        <v>0</v>
      </c>
      <c r="O103">
        <v>200000</v>
      </c>
      <c r="R103" t="s">
        <v>136</v>
      </c>
      <c r="S103">
        <v>0.1383527</v>
      </c>
      <c r="T103">
        <v>0.070006466200000006</v>
      </c>
      <c r="U103" t="s">
        <v>137</v>
      </c>
      <c r="V103">
        <v>0.48423444999999998</v>
      </c>
      <c r="W103">
        <v>14.2511582162</v>
      </c>
      <c r="X103" t="s">
        <v>138</v>
      </c>
      <c r="Y103">
        <v>0.85506949297199997</v>
      </c>
      <c r="Z103">
        <v>0</v>
      </c>
      <c r="AA103" t="s">
        <v>139</v>
      </c>
      <c r="AB103">
        <v>1.7101389859439999</v>
      </c>
      <c r="AC103">
        <v>16.816366695115999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Q103" t="s">
        <v>140</v>
      </c>
      <c r="AR103" t="s">
        <v>141</v>
      </c>
      <c r="AS103">
        <v>13.83527</v>
      </c>
    </row>
    <row r="104" spans="1:45" ht="12.75">
      <c r="A104" s="2" t="str">
        <f>HYPERLINK("https://ibp.a2mac1.com/costing(costing:projects/details/8191/material/5315611)","PP")</f>
        <v>PP</v>
      </c>
      <c r="B104">
        <v>5315611</v>
      </c>
      <c r="C104">
        <v>6970517</v>
      </c>
      <c r="E104">
        <v>1.0113799999999999</v>
      </c>
      <c r="F104" t="s">
        <v>517</v>
      </c>
      <c r="G104">
        <v>92.349100000000007</v>
      </c>
      <c r="H104" t="s">
        <v>1753</v>
      </c>
      <c r="I104">
        <v>5</v>
      </c>
      <c r="J104">
        <v>2.001136786813273</v>
      </c>
      <c r="K104">
        <v>0</v>
      </c>
      <c r="M104">
        <v>0</v>
      </c>
      <c r="O104">
        <v>200000</v>
      </c>
      <c r="R104" t="s">
        <v>136</v>
      </c>
      <c r="S104">
        <v>0.00017177030253786988</v>
      </c>
      <c r="T104">
        <v>0.00091689855515646602</v>
      </c>
      <c r="U104" t="s">
        <v>137</v>
      </c>
      <c r="V104">
        <v>0.0015715695117765088</v>
      </c>
      <c r="W104">
        <v>0.047218683815152505</v>
      </c>
      <c r="X104" t="s">
        <v>138</v>
      </c>
      <c r="Y104">
        <v>0.0028331210289091503</v>
      </c>
      <c r="Z104">
        <v>0</v>
      </c>
      <c r="AA104" t="s">
        <v>139</v>
      </c>
      <c r="AB104">
        <v>0.0056662420578183006</v>
      </c>
      <c r="AC104">
        <v>0.055718046901879953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Q104" t="s">
        <v>140</v>
      </c>
      <c r="AR104" t="s">
        <v>141</v>
      </c>
      <c r="AS104">
        <v>0.044901986050757396</v>
      </c>
    </row>
    <row r="105" spans="1:45" ht="12.75">
      <c r="A105" s="2" t="str">
        <f>HYPERLINK("https://ibp.a2mac1.com/costing(costing:projects/details/8191/material/5316818)","Copper (default, e.g. CuZn30  / C26000)")</f>
        <v>Copper (default, e.g. CuZn30  / C26000)</v>
      </c>
      <c r="B105">
        <v>5316818</v>
      </c>
      <c r="C105">
        <v>6972155</v>
      </c>
      <c r="E105">
        <v>9.1891700000000007</v>
      </c>
      <c r="F105" t="s">
        <v>1771</v>
      </c>
      <c r="G105">
        <v>75.20</v>
      </c>
      <c r="H105" t="s">
        <v>1772</v>
      </c>
      <c r="I105">
        <v>40</v>
      </c>
      <c r="J105">
        <v>0.50345253019720215</v>
      </c>
      <c r="K105">
        <v>0</v>
      </c>
      <c r="L105">
        <v>0</v>
      </c>
      <c r="M105">
        <v>0</v>
      </c>
      <c r="O105">
        <v>200000</v>
      </c>
      <c r="R105" t="s">
        <v>136</v>
      </c>
      <c r="S105">
        <v>0.22061828570212766</v>
      </c>
      <c r="T105">
        <v>0.011253311750531915</v>
      </c>
      <c r="U105" t="s">
        <v>137</v>
      </c>
      <c r="V105">
        <v>0.077839112898936164</v>
      </c>
      <c r="W105">
        <v>2.0924487932026596</v>
      </c>
      <c r="X105" t="s">
        <v>138</v>
      </c>
      <c r="Y105">
        <v>0.12554692759215957</v>
      </c>
      <c r="Z105">
        <v>0</v>
      </c>
      <c r="AA105" t="s">
        <v>139</v>
      </c>
      <c r="AB105">
        <v>0.25109385518431915</v>
      </c>
      <c r="AC105">
        <v>2.4690895759791385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Q105" t="s">
        <v>140</v>
      </c>
      <c r="AR105" t="s">
        <v>141</v>
      </c>
      <c r="AS105">
        <v>2.2239746542553189</v>
      </c>
    </row>
    <row r="106" spans="1:45" ht="12.75">
      <c r="A106" s="2" t="str">
        <f>HYPERLINK("https://ibp.a2mac1.com/costing(costing:projects/details/8191/material/5316819)","Copper (default, e.g. CuZn30  / C26000)")</f>
        <v>Copper (default, e.g. CuZn30  / C26000)</v>
      </c>
      <c r="B106">
        <v>5316819</v>
      </c>
      <c r="C106">
        <v>6972155</v>
      </c>
      <c r="E106">
        <v>9.1891700000000007</v>
      </c>
      <c r="F106" t="s">
        <v>1471</v>
      </c>
      <c r="G106">
        <v>77.50</v>
      </c>
      <c r="H106" t="s">
        <v>1774</v>
      </c>
      <c r="I106">
        <v>40</v>
      </c>
      <c r="J106">
        <v>0.50345253019720215</v>
      </c>
      <c r="K106">
        <v>0</v>
      </c>
      <c r="L106">
        <v>0</v>
      </c>
      <c r="M106">
        <v>0</v>
      </c>
      <c r="O106">
        <v>200000</v>
      </c>
      <c r="R106" t="s">
        <v>136</v>
      </c>
      <c r="S106">
        <v>0.16006941290322579</v>
      </c>
      <c r="T106">
        <v>0.0089994581032258065</v>
      </c>
      <c r="U106" t="s">
        <v>137</v>
      </c>
      <c r="V106">
        <v>0.06224921612903226</v>
      </c>
      <c r="W106">
        <v>1.6897282935870968</v>
      </c>
      <c r="X106" t="s">
        <v>138</v>
      </c>
      <c r="Y106">
        <v>0.10138369761522581</v>
      </c>
      <c r="Z106">
        <v>0</v>
      </c>
      <c r="AA106" t="s">
        <v>139</v>
      </c>
      <c r="AB106">
        <v>0.20276739523045162</v>
      </c>
      <c r="AC106">
        <v>1.9938793864327742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Q106" t="s">
        <v>140</v>
      </c>
      <c r="AR106" t="s">
        <v>141</v>
      </c>
      <c r="AS106">
        <v>1.7785490322580646</v>
      </c>
    </row>
    <row r="107" spans="1:45" ht="12.75">
      <c r="A107" s="2" t="str">
        <f>HYPERLINK("https://ibp.a2mac1.com/costing(costing:projects/details/8191/material/5316820)","Copper (default, e.g. CuZn30  / C26000)")</f>
        <v>Copper (default, e.g. CuZn30  / C26000)</v>
      </c>
      <c r="B107">
        <v>5316820</v>
      </c>
      <c r="C107">
        <v>6972155</v>
      </c>
      <c r="E107">
        <v>9.1891700000000007</v>
      </c>
      <c r="F107" t="s">
        <v>1775</v>
      </c>
      <c r="G107">
        <v>80.60</v>
      </c>
      <c r="H107" t="s">
        <v>1776</v>
      </c>
      <c r="I107">
        <v>40</v>
      </c>
      <c r="J107">
        <v>0.50345253019720215</v>
      </c>
      <c r="K107">
        <v>0</v>
      </c>
      <c r="L107">
        <v>0</v>
      </c>
      <c r="M107">
        <v>0</v>
      </c>
      <c r="O107">
        <v>200000</v>
      </c>
      <c r="R107" t="s">
        <v>136</v>
      </c>
      <c r="S107">
        <v>0.11501283741935484</v>
      </c>
      <c r="T107">
        <v>0.007499548419354839</v>
      </c>
      <c r="U107" t="s">
        <v>137</v>
      </c>
      <c r="V107">
        <v>0.051874346774193551</v>
      </c>
      <c r="W107">
        <v>1.4264852513225807</v>
      </c>
      <c r="X107" t="s">
        <v>138</v>
      </c>
      <c r="Y107">
        <v>0.085589115079354836</v>
      </c>
      <c r="Z107">
        <v>0</v>
      </c>
      <c r="AA107" t="s">
        <v>139</v>
      </c>
      <c r="AB107">
        <v>0.17117823015870967</v>
      </c>
      <c r="AC107">
        <v>1.6832525965606451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Q107" t="s">
        <v>140</v>
      </c>
      <c r="AR107" t="s">
        <v>141</v>
      </c>
      <c r="AS107">
        <v>1.4821241935483871</v>
      </c>
    </row>
    <row r="108" spans="1:45" ht="12.75">
      <c r="A108" s="2" t="str">
        <f>HYPERLINK("https://ibp.a2mac1.com/costing(costing:projects/details/8191/material/5316821)","PBT-GF30")</f>
        <v>PBT-GF30</v>
      </c>
      <c r="B108">
        <v>5316821</v>
      </c>
      <c r="C108">
        <v>6972155</v>
      </c>
      <c r="E108">
        <v>1.9208099999999999</v>
      </c>
      <c r="F108" t="s">
        <v>1777</v>
      </c>
      <c r="G108">
        <v>95.20</v>
      </c>
      <c r="H108" t="s">
        <v>1778</v>
      </c>
      <c r="I108">
        <v>5</v>
      </c>
      <c r="J108">
        <v>0.50345253019720215</v>
      </c>
      <c r="K108">
        <v>0</v>
      </c>
      <c r="L108">
        <v>0</v>
      </c>
      <c r="M108">
        <v>0</v>
      </c>
      <c r="O108">
        <v>200000</v>
      </c>
      <c r="R108" t="s">
        <v>136</v>
      </c>
      <c r="S108">
        <v>0.00070214483193277314</v>
      </c>
      <c r="T108">
        <v>0.0014803553539915967</v>
      </c>
      <c r="U108" t="s">
        <v>137</v>
      </c>
      <c r="V108">
        <v>0.010239612132352941</v>
      </c>
      <c r="W108">
        <v>0.30357816929306725</v>
      </c>
      <c r="X108" t="s">
        <v>138</v>
      </c>
      <c r="Y108">
        <v>0.018214690157584035</v>
      </c>
      <c r="Z108">
        <v>0</v>
      </c>
      <c r="AA108" t="s">
        <v>139</v>
      </c>
      <c r="AB108">
        <v>0.03642938031516807</v>
      </c>
      <c r="AC108">
        <v>0.35822223976581935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Q108" t="s">
        <v>140</v>
      </c>
      <c r="AR108" t="s">
        <v>141</v>
      </c>
      <c r="AS108">
        <v>0.29256034663865549</v>
      </c>
    </row>
    <row r="109" spans="1:45" ht="12.75">
      <c r="A109" s="2" t="str">
        <f>HYPERLINK("https://ibp.a2mac1.com/costing(costing:projects/details/8191/material/5316822)","Self-clinching Nut M4-2")</f>
        <v>Self-clinching Nut M4-2</v>
      </c>
      <c r="B109">
        <v>5316822</v>
      </c>
      <c r="C109">
        <v>6972155</v>
      </c>
      <c r="E109">
        <v>0.33900000000000002</v>
      </c>
      <c r="F109" t="s">
        <v>296</v>
      </c>
      <c r="G109">
        <v>100</v>
      </c>
      <c r="H109" t="s">
        <v>297</v>
      </c>
      <c r="I109">
        <v>0</v>
      </c>
      <c r="J109">
        <v>0.50345253019720215</v>
      </c>
      <c r="K109">
        <v>0</v>
      </c>
      <c r="L109">
        <v>0</v>
      </c>
      <c r="M109">
        <v>0</v>
      </c>
      <c r="O109">
        <v>200000</v>
      </c>
      <c r="R109" t="s">
        <v>136</v>
      </c>
      <c r="S109">
        <v>0</v>
      </c>
      <c r="T109">
        <v>0.0017153400000000001</v>
      </c>
      <c r="U109" t="s">
        <v>137</v>
      </c>
      <c r="V109">
        <v>0.011865000000000001</v>
      </c>
      <c r="W109">
        <v>0.35258033999999999</v>
      </c>
      <c r="X109" t="s">
        <v>138</v>
      </c>
      <c r="Y109">
        <v>0.0211548204</v>
      </c>
      <c r="Z109">
        <v>0</v>
      </c>
      <c r="AA109" t="s">
        <v>139</v>
      </c>
      <c r="AB109">
        <v>0.042309640799999999</v>
      </c>
      <c r="AC109">
        <v>0.41604480119999998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Q109" t="s">
        <v>9</v>
      </c>
      <c r="AR109" t="s">
        <v>141</v>
      </c>
      <c r="AS109">
        <v>0.33900000000000002</v>
      </c>
    </row>
    <row r="110" spans="1:45" ht="12.75">
      <c r="A110" s="2" t="str">
        <f>HYPERLINK("https://ibp.a2mac1.com/costing(costing:projects/details/8191/material/5316823)","M1000-65A")</f>
        <v>M1000-65A</v>
      </c>
      <c r="B110">
        <v>5316823</v>
      </c>
      <c r="C110">
        <v>6972155</v>
      </c>
      <c r="E110">
        <v>0.59597999999999995</v>
      </c>
      <c r="F110" t="s">
        <v>1779</v>
      </c>
      <c r="G110">
        <v>83.30</v>
      </c>
      <c r="H110" t="s">
        <v>1780</v>
      </c>
      <c r="I110">
        <v>0</v>
      </c>
      <c r="J110">
        <v>0.50345253019720215</v>
      </c>
      <c r="K110">
        <v>0</v>
      </c>
      <c r="L110">
        <v>0</v>
      </c>
      <c r="M110">
        <v>0</v>
      </c>
      <c r="O110">
        <v>200000</v>
      </c>
      <c r="R110" t="s">
        <v>136</v>
      </c>
      <c r="S110">
        <v>0</v>
      </c>
      <c r="T110">
        <v>7.312882084033614E-05</v>
      </c>
      <c r="U110" t="s">
        <v>137</v>
      </c>
      <c r="V110">
        <v>0.00050583176470588237</v>
      </c>
      <c r="W110">
        <v>0.01503129672</v>
      </c>
      <c r="X110" t="s">
        <v>138</v>
      </c>
      <c r="Y110">
        <v>0.00090187780320000004</v>
      </c>
      <c r="Z110">
        <v>0</v>
      </c>
      <c r="AA110" t="s">
        <v>139</v>
      </c>
      <c r="AB110">
        <v>0.0018037556064000001</v>
      </c>
      <c r="AC110">
        <v>0.017736930129599999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Q110" t="s">
        <v>9</v>
      </c>
      <c r="AR110" t="s">
        <v>141</v>
      </c>
      <c r="AS110">
        <v>0.014452336134453781</v>
      </c>
    </row>
    <row r="111" spans="1:45" ht="12.75">
      <c r="A111" s="2" t="str">
        <f>HYPERLINK("https://ibp.a2mac1.com/costing(costing:projects/details/8191/material/5316824)","Copper (default, e.g. CuZn30  / C26000)")</f>
        <v>Copper (default, e.g. CuZn30  / C26000)</v>
      </c>
      <c r="B111">
        <v>5316824</v>
      </c>
      <c r="C111">
        <v>6972156</v>
      </c>
      <c r="E111">
        <v>9.1891700000000007</v>
      </c>
      <c r="F111" t="s">
        <v>1783</v>
      </c>
      <c r="G111">
        <v>86.90</v>
      </c>
      <c r="H111" t="s">
        <v>1784</v>
      </c>
      <c r="I111">
        <v>40</v>
      </c>
      <c r="J111">
        <v>0.50345253019720215</v>
      </c>
      <c r="K111">
        <v>0</v>
      </c>
      <c r="L111">
        <v>0</v>
      </c>
      <c r="M111">
        <v>0</v>
      </c>
      <c r="O111">
        <v>200000</v>
      </c>
      <c r="R111" t="s">
        <v>136</v>
      </c>
      <c r="S111">
        <v>0.040449267070195624</v>
      </c>
      <c r="T111">
        <v>0.0039059788430379746</v>
      </c>
      <c r="U111" t="s">
        <v>137</v>
      </c>
      <c r="V111">
        <v>0.027017640218642117</v>
      </c>
      <c r="W111">
        <v>0.76240692966697354</v>
      </c>
      <c r="X111" t="s">
        <v>138</v>
      </c>
      <c r="Y111">
        <v>0.045744415780018415</v>
      </c>
      <c r="Z111">
        <v>0</v>
      </c>
      <c r="AA111" t="s">
        <v>139</v>
      </c>
      <c r="AB111">
        <v>0.091488831560036829</v>
      </c>
      <c r="AC111">
        <v>0.89964017700702881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Q111" t="s">
        <v>140</v>
      </c>
      <c r="AR111" t="s">
        <v>141</v>
      </c>
      <c r="AS111">
        <v>0.77193257767548906</v>
      </c>
    </row>
    <row r="112" spans="1:45" ht="12.75">
      <c r="A112" s="2" t="str">
        <f>HYPERLINK("https://ibp.a2mac1.com/costing(costing:projects/details/8191/material/5316825)","Copper (default, e.g. CuZn30  / C26000)")</f>
        <v>Copper (default, e.g. CuZn30  / C26000)</v>
      </c>
      <c r="B112">
        <v>5316825</v>
      </c>
      <c r="C112">
        <v>6972156</v>
      </c>
      <c r="E112">
        <v>9.1891700000000007</v>
      </c>
      <c r="F112" t="s">
        <v>1786</v>
      </c>
      <c r="G112">
        <v>74</v>
      </c>
      <c r="H112" t="s">
        <v>1787</v>
      </c>
      <c r="I112">
        <v>40</v>
      </c>
      <c r="J112">
        <v>0.50345253019720215</v>
      </c>
      <c r="K112">
        <v>0</v>
      </c>
      <c r="L112">
        <v>0</v>
      </c>
      <c r="M112">
        <v>0</v>
      </c>
      <c r="O112">
        <v>200000</v>
      </c>
      <c r="R112" t="s">
        <v>136</v>
      </c>
      <c r="S112">
        <v>0.12268783729729729</v>
      </c>
      <c r="T112">
        <v>0.0059692351608108107</v>
      </c>
      <c r="U112" t="s">
        <v>137</v>
      </c>
      <c r="V112">
        <v>0.041289176013513514</v>
      </c>
      <c r="W112">
        <v>1.1042613171202702</v>
      </c>
      <c r="X112" t="s">
        <v>138</v>
      </c>
      <c r="Y112">
        <v>0.066255679027216213</v>
      </c>
      <c r="Z112">
        <v>0</v>
      </c>
      <c r="AA112" t="s">
        <v>139</v>
      </c>
      <c r="AB112">
        <v>0.13251135805443243</v>
      </c>
      <c r="AC112">
        <v>1.303028354201919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Q112" t="s">
        <v>140</v>
      </c>
      <c r="AR112" t="s">
        <v>141</v>
      </c>
      <c r="AS112">
        <v>1.1796907432432433</v>
      </c>
    </row>
    <row r="113" spans="1:45" ht="12.75">
      <c r="A113" s="2" t="str">
        <f>HYPERLINK("https://ibp.a2mac1.com/costing(costing:projects/details/8191/material/5316826)","PBT-GF30")</f>
        <v>PBT-GF30</v>
      </c>
      <c r="B113">
        <v>5316826</v>
      </c>
      <c r="C113">
        <v>6972156</v>
      </c>
      <c r="E113">
        <v>1.9208099999999999</v>
      </c>
      <c r="F113" t="s">
        <v>1788</v>
      </c>
      <c r="G113">
        <v>83.30</v>
      </c>
      <c r="H113" t="s">
        <v>1789</v>
      </c>
      <c r="I113">
        <v>5</v>
      </c>
      <c r="J113">
        <v>0.50345253019720215</v>
      </c>
      <c r="K113">
        <v>0</v>
      </c>
      <c r="L113">
        <v>0</v>
      </c>
      <c r="M113">
        <v>0</v>
      </c>
      <c r="O113">
        <v>200000</v>
      </c>
      <c r="R113" t="s">
        <v>136</v>
      </c>
      <c r="S113">
        <v>0.0017136253919567827</v>
      </c>
      <c r="T113">
        <v>0.0010384364650660265</v>
      </c>
      <c r="U113" t="s">
        <v>137</v>
      </c>
      <c r="V113">
        <v>0.0071828609243697475</v>
      </c>
      <c r="W113">
        <v>0.21173226983661464</v>
      </c>
      <c r="X113" t="s">
        <v>138</v>
      </c>
      <c r="Y113">
        <v>0.012703936190196878</v>
      </c>
      <c r="Z113">
        <v>0</v>
      </c>
      <c r="AA113" t="s">
        <v>139</v>
      </c>
      <c r="AB113">
        <v>0.025407872380393756</v>
      </c>
      <c r="AC113">
        <v>0.24984407840720529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Q113" t="s">
        <v>140</v>
      </c>
      <c r="AR113" t="s">
        <v>141</v>
      </c>
      <c r="AS113">
        <v>0.20522459783913566</v>
      </c>
    </row>
    <row r="114" spans="1:45" ht="12.75">
      <c r="A114" s="2" t="str">
        <f>HYPERLINK("https://ibp.a2mac1.com/costing(costing:projects/details/8191/material/5316827)","Self-clinching Nut M4-2/M4-8")</f>
        <v>Self-clinching Nut M4-2/M4-8</v>
      </c>
      <c r="B114">
        <v>5316827</v>
      </c>
      <c r="C114">
        <v>6972156</v>
      </c>
      <c r="E114">
        <v>0.746</v>
      </c>
      <c r="F114" t="s">
        <v>296</v>
      </c>
      <c r="G114">
        <v>83.30</v>
      </c>
      <c r="H114" t="s">
        <v>1790</v>
      </c>
      <c r="I114">
        <v>0</v>
      </c>
      <c r="J114">
        <v>0.50345253019720215</v>
      </c>
      <c r="K114">
        <v>0</v>
      </c>
      <c r="L114">
        <v>0</v>
      </c>
      <c r="M114">
        <v>0</v>
      </c>
      <c r="O114">
        <v>200000</v>
      </c>
      <c r="R114" t="s">
        <v>136</v>
      </c>
      <c r="S114">
        <v>0</v>
      </c>
      <c r="T114">
        <v>0.0045315246098439378</v>
      </c>
      <c r="U114" t="s">
        <v>137</v>
      </c>
      <c r="V114">
        <v>0.031344537815126049</v>
      </c>
      <c r="W114">
        <v>0.93143428571428566</v>
      </c>
      <c r="X114" t="s">
        <v>138</v>
      </c>
      <c r="Y114">
        <v>0.055886057142857146</v>
      </c>
      <c r="Z114">
        <v>0</v>
      </c>
      <c r="AA114" t="s">
        <v>139</v>
      </c>
      <c r="AB114">
        <v>0.11177211428571429</v>
      </c>
      <c r="AC114">
        <v>1.0990924571428571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Q114" t="s">
        <v>9</v>
      </c>
      <c r="AR114" t="s">
        <v>141</v>
      </c>
      <c r="AS114">
        <v>0.89555822328931578</v>
      </c>
    </row>
    <row r="115" spans="1:45" ht="12.75">
      <c r="A115" s="2" t="str">
        <f>HYPERLINK("https://ibp.a2mac1.com/costing(costing:projects/details/8191/material/5316828)","Aluminum for casting (default, e.g. A380/ADC10/EN-AC46500)")</f>
        <v>Aluminum for casting (default, e.g. A380/ADC10/EN-AC46500)</v>
      </c>
      <c r="B115">
        <v>5316828</v>
      </c>
      <c r="C115">
        <v>6972157</v>
      </c>
      <c r="E115">
        <v>2.4518200000000001</v>
      </c>
      <c r="F115" t="s">
        <v>1828</v>
      </c>
      <c r="G115">
        <v>98.50</v>
      </c>
      <c r="H115" t="s">
        <v>1829</v>
      </c>
      <c r="I115">
        <v>50</v>
      </c>
      <c r="J115">
        <v>0.50345253019720215</v>
      </c>
      <c r="K115">
        <v>0</v>
      </c>
      <c r="L115">
        <v>0</v>
      </c>
      <c r="M115">
        <v>0</v>
      </c>
      <c r="O115">
        <v>200000</v>
      </c>
      <c r="R115" t="s">
        <v>136</v>
      </c>
      <c r="S115">
        <v>0.045271549492385786</v>
      </c>
      <c r="T115">
        <v>0.030543205390862943</v>
      </c>
      <c r="U115" t="s">
        <v>137</v>
      </c>
      <c r="V115">
        <v>0.21126723096446701</v>
      </c>
      <c r="W115">
        <v>6.2327454858477154</v>
      </c>
      <c r="X115" t="s">
        <v>138</v>
      </c>
      <c r="Y115">
        <v>0.37396472915086293</v>
      </c>
      <c r="Z115">
        <v>0</v>
      </c>
      <c r="AA115" t="s">
        <v>139</v>
      </c>
      <c r="AB115">
        <v>0.74792945830172586</v>
      </c>
      <c r="AC115">
        <v>7.354639673300305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Q115" t="s">
        <v>140</v>
      </c>
      <c r="AR115" t="s">
        <v>141</v>
      </c>
      <c r="AS115">
        <v>6.036206598984772</v>
      </c>
    </row>
    <row r="116" spans="1:45" ht="12.75">
      <c r="A116" s="2" t="str">
        <f>HYPERLINK("https://ibp.a2mac1.com/costing(costing:projects/details/8191/material/5316829)","Aluminum sheet (default, e.g. EN AW1050A)")</f>
        <v>Aluminum sheet (default, e.g. EN AW1050A)</v>
      </c>
      <c r="B116">
        <v>5316829</v>
      </c>
      <c r="C116">
        <v>6972158</v>
      </c>
      <c r="E116">
        <v>3.4857100000000001</v>
      </c>
      <c r="F116" t="s">
        <v>1833</v>
      </c>
      <c r="G116">
        <v>87.80</v>
      </c>
      <c r="H116" t="s">
        <v>1834</v>
      </c>
      <c r="I116">
        <v>30</v>
      </c>
      <c r="J116">
        <v>0.50345253019720215</v>
      </c>
      <c r="K116">
        <v>0</v>
      </c>
      <c r="L116">
        <v>0</v>
      </c>
      <c r="M116">
        <v>0</v>
      </c>
      <c r="O116">
        <v>200000</v>
      </c>
      <c r="R116" t="s">
        <v>136</v>
      </c>
      <c r="S116">
        <v>0.11304657757175399</v>
      </c>
      <c r="T116">
        <v>0.015628843784510252</v>
      </c>
      <c r="U116" t="s">
        <v>137</v>
      </c>
      <c r="V116">
        <v>0.1081046506833713</v>
      </c>
      <c r="W116">
        <v>3.0993912221353077</v>
      </c>
      <c r="X116" t="s">
        <v>138</v>
      </c>
      <c r="Y116">
        <v>0.18596347332811844</v>
      </c>
      <c r="Z116">
        <v>0</v>
      </c>
      <c r="AA116" t="s">
        <v>139</v>
      </c>
      <c r="AB116">
        <v>0.37192694665623688</v>
      </c>
      <c r="AC116">
        <v>3.657281642119663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Q116" t="s">
        <v>140</v>
      </c>
      <c r="AR116" t="s">
        <v>141</v>
      </c>
      <c r="AS116">
        <v>3.08870430523918</v>
      </c>
    </row>
    <row r="117" spans="1:45" ht="12.75">
      <c r="A117" s="2" t="str">
        <f>HYPERLINK("https://ibp.a2mac1.com/costing(costing:projects/details/8191/material/5316830)","Aluminum for casting (default, e.g. A380/ADC10/EN-AC46500)")</f>
        <v>Aluminum for casting (default, e.g. A380/ADC10/EN-AC46500)</v>
      </c>
      <c r="B117">
        <v>5316830</v>
      </c>
      <c r="C117">
        <v>6972159</v>
      </c>
      <c r="E117">
        <v>2.4518200000000001</v>
      </c>
      <c r="F117" t="s">
        <v>1838</v>
      </c>
      <c r="G117">
        <v>98.50</v>
      </c>
      <c r="H117" t="s">
        <v>1839</v>
      </c>
      <c r="I117">
        <v>50</v>
      </c>
      <c r="J117">
        <v>0.50345253019720215</v>
      </c>
      <c r="K117">
        <v>0</v>
      </c>
      <c r="L117">
        <v>0</v>
      </c>
      <c r="M117">
        <v>0</v>
      </c>
      <c r="O117">
        <v>200000</v>
      </c>
      <c r="R117" t="s">
        <v>136</v>
      </c>
      <c r="S117">
        <v>0.0066273814720812186</v>
      </c>
      <c r="T117">
        <v>0.0044712733664974622</v>
      </c>
      <c r="U117" t="s">
        <v>137</v>
      </c>
      <c r="V117">
        <v>0.030927780203045686</v>
      </c>
      <c r="W117">
        <v>0.91242253504162441</v>
      </c>
      <c r="X117" t="s">
        <v>138</v>
      </c>
      <c r="Y117">
        <v>0.054745352102497459</v>
      </c>
      <c r="Z117">
        <v>0</v>
      </c>
      <c r="AA117" t="s">
        <v>139</v>
      </c>
      <c r="AB117">
        <v>0.10949070420499492</v>
      </c>
      <c r="AC117">
        <v>1.0766585913491167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Q117" t="s">
        <v>140</v>
      </c>
      <c r="AR117" t="s">
        <v>141</v>
      </c>
      <c r="AS117">
        <v>0.8836508629441624</v>
      </c>
    </row>
    <row r="118" spans="1:45" ht="12.75">
      <c r="A118" s="2" t="str">
        <f>HYPERLINK("https://ibp.a2mac1.com/costing(costing:projects/details/8191/material/5316732)","Copper Sheet")</f>
        <v>Copper Sheet</v>
      </c>
      <c r="B118">
        <v>5316732</v>
      </c>
      <c r="C118">
        <v>6971944</v>
      </c>
      <c r="E118">
        <v>10.22</v>
      </c>
      <c r="F118" t="s">
        <v>1875</v>
      </c>
      <c r="G118">
        <v>88.50</v>
      </c>
      <c r="H118" t="s">
        <v>1876</v>
      </c>
      <c r="I118">
        <v>0</v>
      </c>
      <c r="J118">
        <v>0.50345253019720215</v>
      </c>
      <c r="K118">
        <v>0</v>
      </c>
      <c r="M118">
        <v>0</v>
      </c>
      <c r="O118">
        <v>200000</v>
      </c>
      <c r="R118" t="s">
        <v>136</v>
      </c>
      <c r="S118">
        <v>0</v>
      </c>
      <c r="T118">
        <v>0.0099336090395480223</v>
      </c>
      <c r="U118" t="s">
        <v>137</v>
      </c>
      <c r="V118">
        <v>0.068710734463276843</v>
      </c>
      <c r="W118">
        <v>2.0418081853107344</v>
      </c>
      <c r="X118" t="s">
        <v>138</v>
      </c>
      <c r="Y118">
        <v>0.12250849111864406</v>
      </c>
      <c r="Z118">
        <v>0</v>
      </c>
      <c r="AA118" t="s">
        <v>139</v>
      </c>
      <c r="AB118">
        <v>0.24501698223728813</v>
      </c>
      <c r="AC118">
        <v>2.4093336586666667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Q118" t="s">
        <v>9</v>
      </c>
      <c r="AR118" t="s">
        <v>141</v>
      </c>
      <c r="AS118">
        <v>1.9631638418079096</v>
      </c>
    </row>
    <row r="119" spans="1:45" ht="12.75">
      <c r="A119" s="2" t="str">
        <f>HYPERLINK("https://ibp.a2mac1.com/costing(costing:projects/details/8191/material/5316733)","PA66-GF30")</f>
        <v>PA66-GF30</v>
      </c>
      <c r="B119">
        <v>5316733</v>
      </c>
      <c r="C119">
        <v>6971944</v>
      </c>
      <c r="E119">
        <v>2.4020800000000002</v>
      </c>
      <c r="F119" t="s">
        <v>1878</v>
      </c>
      <c r="G119">
        <v>83.30</v>
      </c>
      <c r="H119" t="s">
        <v>1879</v>
      </c>
      <c r="I119">
        <v>5</v>
      </c>
      <c r="J119">
        <v>0.50345253019720215</v>
      </c>
      <c r="K119">
        <v>0</v>
      </c>
      <c r="M119">
        <v>0</v>
      </c>
      <c r="O119">
        <v>200000</v>
      </c>
      <c r="R119" t="s">
        <v>136</v>
      </c>
      <c r="S119">
        <v>0.0010835312845138055</v>
      </c>
      <c r="T119">
        <v>0.00065660698199279709</v>
      </c>
      <c r="U119" t="s">
        <v>137</v>
      </c>
      <c r="V119">
        <v>0.0045417478991596639</v>
      </c>
      <c r="W119">
        <v>0.13387904928691477</v>
      </c>
      <c r="X119" t="s">
        <v>138</v>
      </c>
      <c r="Y119">
        <v>0.0080327429572148862</v>
      </c>
      <c r="Z119">
        <v>0</v>
      </c>
      <c r="AA119" t="s">
        <v>139</v>
      </c>
      <c r="AB119">
        <v>0.016065485914429772</v>
      </c>
      <c r="AC119">
        <v>0.15797727815855941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Q119" t="s">
        <v>140</v>
      </c>
      <c r="AR119" t="s">
        <v>141</v>
      </c>
      <c r="AS119">
        <v>0.1297642256902761</v>
      </c>
    </row>
    <row r="120" spans="1:45" ht="12.75">
      <c r="A120" s="2" t="str">
        <f>HYPERLINK("https://ibp.a2mac1.com/costing(costing:projects/details/8191/material/5316734)","Copper Sheet")</f>
        <v>Copper Sheet</v>
      </c>
      <c r="B120">
        <v>5316734</v>
      </c>
      <c r="C120">
        <v>6971945</v>
      </c>
      <c r="E120">
        <v>10.22</v>
      </c>
      <c r="F120" t="s">
        <v>1882</v>
      </c>
      <c r="G120">
        <v>88</v>
      </c>
      <c r="H120" t="s">
        <v>1883</v>
      </c>
      <c r="I120">
        <v>0</v>
      </c>
      <c r="J120">
        <v>0.50345253019720215</v>
      </c>
      <c r="K120">
        <v>0</v>
      </c>
      <c r="M120">
        <v>0</v>
      </c>
      <c r="O120">
        <v>200000</v>
      </c>
      <c r="R120" t="s">
        <v>136</v>
      </c>
      <c r="S120">
        <v>0</v>
      </c>
      <c r="T120">
        <v>0.0082270999999999993</v>
      </c>
      <c r="U120" t="s">
        <v>137</v>
      </c>
      <c r="V120">
        <v>0.056906818181818183</v>
      </c>
      <c r="W120">
        <v>1.691043009090909</v>
      </c>
      <c r="X120" t="s">
        <v>138</v>
      </c>
      <c r="Y120">
        <v>0.10146258054545454</v>
      </c>
      <c r="Z120">
        <v>0</v>
      </c>
      <c r="AA120" t="s">
        <v>139</v>
      </c>
      <c r="AB120">
        <v>0.20292516109090908</v>
      </c>
      <c r="AC120">
        <v>1.9954307507272728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Q120" t="s">
        <v>9</v>
      </c>
      <c r="AR120" t="s">
        <v>141</v>
      </c>
      <c r="AS120">
        <v>1.625909090909091</v>
      </c>
    </row>
    <row r="121" spans="1:45" ht="12.75">
      <c r="A121" s="2" t="str">
        <f>HYPERLINK("https://ibp.a2mac1.com/costing(costing:projects/details/8191/material/5316735)","PP ")</f>
        <v xml:space="preserve">PP </v>
      </c>
      <c r="B121">
        <v>5316735</v>
      </c>
      <c r="C121">
        <v>6971945</v>
      </c>
      <c r="E121">
        <v>1.9176</v>
      </c>
      <c r="F121" t="s">
        <v>1885</v>
      </c>
      <c r="G121">
        <v>90</v>
      </c>
      <c r="H121" t="s">
        <v>1886</v>
      </c>
      <c r="I121">
        <v>0</v>
      </c>
      <c r="J121">
        <v>0.50345253019720215</v>
      </c>
      <c r="K121">
        <v>0</v>
      </c>
      <c r="M121">
        <v>0</v>
      </c>
      <c r="O121">
        <v>200000</v>
      </c>
      <c r="R121" t="s">
        <v>136</v>
      </c>
      <c r="S121">
        <v>0</v>
      </c>
      <c r="T121">
        <v>0.00043124693333333335</v>
      </c>
      <c r="U121" t="s">
        <v>137</v>
      </c>
      <c r="V121">
        <v>0.0029829333333333333</v>
      </c>
      <c r="W121">
        <v>0.088640846933333337</v>
      </c>
      <c r="X121" t="s">
        <v>138</v>
      </c>
      <c r="Y121">
        <v>0.0053184508159999999</v>
      </c>
      <c r="Z121">
        <v>0</v>
      </c>
      <c r="AA121" t="s">
        <v>139</v>
      </c>
      <c r="AB121">
        <v>0.010636901632</v>
      </c>
      <c r="AC121">
        <v>0.10459619938133333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Q121" t="s">
        <v>9</v>
      </c>
      <c r="AR121" t="s">
        <v>141</v>
      </c>
      <c r="AS121">
        <v>0.085226666666666673</v>
      </c>
    </row>
    <row r="122" spans="1:45" ht="12.75">
      <c r="A122" s="2" t="str">
        <f>HYPERLINK("https://ibp.a2mac1.com/costing(costing:projects/details/8191/material/5316736)","Aluminum for casting (default, e.g. A380/ADC10/EN-AC46500)")</f>
        <v>Aluminum for casting (default, e.g. A380/ADC10/EN-AC46500)</v>
      </c>
      <c r="B122">
        <v>5316736</v>
      </c>
      <c r="C122">
        <v>6971946</v>
      </c>
      <c r="E122">
        <v>2.4518200000000001</v>
      </c>
      <c r="F122" t="s">
        <v>1905</v>
      </c>
      <c r="G122">
        <v>81</v>
      </c>
      <c r="H122" t="s">
        <v>1906</v>
      </c>
      <c r="I122">
        <v>50</v>
      </c>
      <c r="J122">
        <v>0.50345253019720215</v>
      </c>
      <c r="K122">
        <v>0</v>
      </c>
      <c r="M122">
        <v>0</v>
      </c>
      <c r="O122">
        <v>200000</v>
      </c>
      <c r="R122" t="s">
        <v>136</v>
      </c>
      <c r="S122">
        <v>0.65592238876543207</v>
      </c>
      <c r="T122">
        <v>0.03493649775950617</v>
      </c>
      <c r="U122" t="s">
        <v>137</v>
      </c>
      <c r="V122">
        <v>0.24165561691358026</v>
      </c>
      <c r="W122">
        <v>6.5251159234385181</v>
      </c>
      <c r="X122" t="s">
        <v>138</v>
      </c>
      <c r="Y122">
        <v>0.39150695540631109</v>
      </c>
      <c r="Z122">
        <v>0</v>
      </c>
      <c r="AA122" t="s">
        <v>139</v>
      </c>
      <c r="AB122">
        <v>0.78301391081262217</v>
      </c>
      <c r="AC122">
        <v>7.6996367896574522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Q122" t="s">
        <v>140</v>
      </c>
      <c r="AR122" t="s">
        <v>141</v>
      </c>
      <c r="AS122">
        <v>6.9044461975308646</v>
      </c>
    </row>
    <row r="123" spans="1:45" ht="12.75">
      <c r="A123" s="2" t="str">
        <f>HYPERLINK("https://ibp.a2mac1.com/costing(costing:projects/details/8191/material/5316737)","Aluminum for casting (default, e.g. A380/ADC10/EN-AC46500)")</f>
        <v>Aluminum for casting (default, e.g. A380/ADC10/EN-AC46500)</v>
      </c>
      <c r="B123">
        <v>5316737</v>
      </c>
      <c r="C123">
        <v>6971947</v>
      </c>
      <c r="E123">
        <v>2.4518200000000001</v>
      </c>
      <c r="F123" t="s">
        <v>1910</v>
      </c>
      <c r="G123">
        <v>98.50</v>
      </c>
      <c r="H123" t="s">
        <v>1911</v>
      </c>
      <c r="I123">
        <v>50</v>
      </c>
      <c r="J123">
        <v>0.50345253019720215</v>
      </c>
      <c r="K123">
        <v>0</v>
      </c>
      <c r="M123">
        <v>0</v>
      </c>
      <c r="O123">
        <v>200000</v>
      </c>
      <c r="R123" t="s">
        <v>136</v>
      </c>
      <c r="S123">
        <v>0.01769790883248731</v>
      </c>
      <c r="T123">
        <v>0.011940189158984772</v>
      </c>
      <c r="U123" t="s">
        <v>137</v>
      </c>
      <c r="V123">
        <v>0.082590241218274116</v>
      </c>
      <c r="W123">
        <v>2.4365536992097461</v>
      </c>
      <c r="X123" t="s">
        <v>138</v>
      </c>
      <c r="Y123">
        <v>0.14619322195258477</v>
      </c>
      <c r="Z123">
        <v>0</v>
      </c>
      <c r="AA123" t="s">
        <v>139</v>
      </c>
      <c r="AB123">
        <v>0.29238644390516955</v>
      </c>
      <c r="AC123">
        <v>2.8751333650675006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Q123" t="s">
        <v>140</v>
      </c>
      <c r="AR123" t="s">
        <v>141</v>
      </c>
      <c r="AS123">
        <v>2.3597211776649747</v>
      </c>
    </row>
    <row r="124" spans="1:45" ht="12.75">
      <c r="A124" s="2" t="str">
        <f>HYPERLINK("https://ibp.a2mac1.com/costing(costing:projects/details/8191/material/5316738)","Aluminum for casting (default, e.g. A380/ADC10/EN-AC46500)")</f>
        <v>Aluminum for casting (default, e.g. A380/ADC10/EN-AC46500)</v>
      </c>
      <c r="B124">
        <v>5316738</v>
      </c>
      <c r="C124">
        <v>6971948</v>
      </c>
      <c r="E124">
        <v>2.4518200000000001</v>
      </c>
      <c r="F124" t="s">
        <v>280</v>
      </c>
      <c r="G124">
        <v>98.50</v>
      </c>
      <c r="H124" t="s">
        <v>1915</v>
      </c>
      <c r="I124">
        <v>50</v>
      </c>
      <c r="J124">
        <v>0.50345253019720215</v>
      </c>
      <c r="K124">
        <v>0</v>
      </c>
      <c r="M124">
        <v>0</v>
      </c>
      <c r="O124">
        <v>200000</v>
      </c>
      <c r="R124" t="s">
        <v>136</v>
      </c>
      <c r="S124">
        <v>0.0088676230964467011</v>
      </c>
      <c r="T124">
        <v>0.005982689715736041</v>
      </c>
      <c r="U124" t="s">
        <v>137</v>
      </c>
      <c r="V124">
        <v>0.041382241116751269</v>
      </c>
      <c r="W124">
        <v>1.220847053928934</v>
      </c>
      <c r="X124" t="s">
        <v>138</v>
      </c>
      <c r="Y124">
        <v>0.073250823235736034</v>
      </c>
      <c r="Z124">
        <v>0</v>
      </c>
      <c r="AA124" t="s">
        <v>139</v>
      </c>
      <c r="AB124">
        <v>0.14650164647147207</v>
      </c>
      <c r="AC124">
        <v>1.4405995236361422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Q124" t="s">
        <v>140</v>
      </c>
      <c r="AR124" t="s">
        <v>141</v>
      </c>
      <c r="AS124">
        <v>1.1823497461928933</v>
      </c>
    </row>
    <row r="125" spans="1:45" ht="12.75">
      <c r="A125" s="2" t="str">
        <f>HYPERLINK("https://ibp.a2mac1.com/costing(costing:projects/details/8191/material/5316739)","NO-25 (Sheet/Coil)")</f>
        <v>NO-25 (Sheet/Coil)</v>
      </c>
      <c r="B125">
        <v>5316739</v>
      </c>
      <c r="C125">
        <v>6971949</v>
      </c>
      <c r="E125">
        <v>1.33325</v>
      </c>
      <c r="F125" t="s">
        <v>1926</v>
      </c>
      <c r="G125">
        <v>52</v>
      </c>
      <c r="H125" t="s">
        <v>1927</v>
      </c>
      <c r="I125">
        <v>15</v>
      </c>
      <c r="J125">
        <v>0.50345253019720215</v>
      </c>
      <c r="K125">
        <v>0</v>
      </c>
      <c r="M125">
        <v>0</v>
      </c>
      <c r="O125">
        <v>200000</v>
      </c>
      <c r="R125" t="s">
        <v>136</v>
      </c>
      <c r="S125">
        <v>2.1709412307692308</v>
      </c>
      <c r="T125">
        <v>0.15256892538461539</v>
      </c>
      <c r="U125" t="s">
        <v>137</v>
      </c>
      <c r="V125">
        <v>1.0553186538461539</v>
      </c>
      <c r="W125">
        <v>29.188907886923076</v>
      </c>
      <c r="X125" t="s">
        <v>138</v>
      </c>
      <c r="Y125">
        <v>1.7513344732153846</v>
      </c>
      <c r="Z125">
        <v>0</v>
      </c>
      <c r="AA125" t="s">
        <v>139</v>
      </c>
      <c r="AB125">
        <v>3.5026689464307692</v>
      </c>
      <c r="AC125">
        <v>34.442911306569229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Q125" t="s">
        <v>140</v>
      </c>
      <c r="AR125" t="s">
        <v>141</v>
      </c>
      <c r="AS125">
        <v>30.151961538461538</v>
      </c>
    </row>
    <row r="126" spans="1:45" ht="12.75">
      <c r="A126" s="2" t="str">
        <f>HYPERLINK("https://ibp.a2mac1.com/costing(costing:projects/details/8191/material/5316740)","20MnCr5 / SAE5120 / 20MnCr5 / 1.7147 / 20CrMnTi (Billet)")</f>
        <v>20MnCr5 / SAE5120 / 20MnCr5 / 1.7147 / 20CrMnTi (Billet)</v>
      </c>
      <c r="B126">
        <v>5316740</v>
      </c>
      <c r="C126">
        <v>6971950</v>
      </c>
      <c r="E126">
        <v>0.60338000000000003</v>
      </c>
      <c r="F126" t="s">
        <v>1940</v>
      </c>
      <c r="G126">
        <v>54</v>
      </c>
      <c r="H126" t="s">
        <v>1941</v>
      </c>
      <c r="I126">
        <v>20</v>
      </c>
      <c r="J126">
        <v>0.50345253019720215</v>
      </c>
      <c r="K126">
        <v>0</v>
      </c>
      <c r="M126">
        <v>0</v>
      </c>
      <c r="O126">
        <v>200000</v>
      </c>
      <c r="R126" t="s">
        <v>136</v>
      </c>
      <c r="S126">
        <v>0.16756086074074075</v>
      </c>
      <c r="T126">
        <v>0.0092158473407407404</v>
      </c>
      <c r="U126" t="s">
        <v>137</v>
      </c>
      <c r="V126">
        <v>0.063745979629629634</v>
      </c>
      <c r="W126">
        <v>1.7267146699333333</v>
      </c>
      <c r="X126" t="s">
        <v>138</v>
      </c>
      <c r="Y126">
        <v>0.103602880196</v>
      </c>
      <c r="Z126">
        <v>0</v>
      </c>
      <c r="AA126" t="s">
        <v>139</v>
      </c>
      <c r="AB126">
        <v>0.207205760392</v>
      </c>
      <c r="AC126">
        <v>2.0375233105213333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Q126" t="s">
        <v>140</v>
      </c>
      <c r="AR126" t="s">
        <v>141</v>
      </c>
      <c r="AS126">
        <v>1.8213137037037037</v>
      </c>
    </row>
    <row r="127" spans="1:45" ht="12.75">
      <c r="A127" s="2" t="str">
        <f>HYPERLINK("https://ibp.a2mac1.com/costing(costing:projects/details/8191/material/5316741)","NO-25 (Sheet/Coil)")</f>
        <v>NO-25 (Sheet/Coil)</v>
      </c>
      <c r="B127">
        <v>5316741</v>
      </c>
      <c r="C127">
        <v>6971951</v>
      </c>
      <c r="E127">
        <v>1.33325</v>
      </c>
      <c r="F127" t="s">
        <v>1945</v>
      </c>
      <c r="G127">
        <v>66</v>
      </c>
      <c r="H127" t="s">
        <v>1946</v>
      </c>
      <c r="I127">
        <v>15</v>
      </c>
      <c r="J127">
        <v>0.50345253019720215</v>
      </c>
      <c r="K127">
        <v>0</v>
      </c>
      <c r="M127">
        <v>0</v>
      </c>
      <c r="O127">
        <v>200000</v>
      </c>
      <c r="R127" t="s">
        <v>136</v>
      </c>
      <c r="S127">
        <v>0.7500137272727273</v>
      </c>
      <c r="T127">
        <v>0.074413126666666662</v>
      </c>
      <c r="U127" t="s">
        <v>137</v>
      </c>
      <c r="V127">
        <v>0.514715303030303</v>
      </c>
      <c r="W127">
        <v>14.545266217575758</v>
      </c>
      <c r="X127" t="s">
        <v>138</v>
      </c>
      <c r="Y127">
        <v>0.8727159730545454</v>
      </c>
      <c r="Z127">
        <v>0</v>
      </c>
      <c r="AA127" t="s">
        <v>139</v>
      </c>
      <c r="AB127">
        <v>1.7454319461090908</v>
      </c>
      <c r="AC127">
        <v>17.163414136739394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Q127" t="s">
        <v>140</v>
      </c>
      <c r="AR127" t="s">
        <v>141</v>
      </c>
      <c r="AS127">
        <v>14.706151515151515</v>
      </c>
    </row>
    <row r="128" spans="1:45" ht="12.75">
      <c r="A128" s="2" t="str">
        <f>HYPERLINK("https://ibp.a2mac1.com/costing(costing:projects/details/8191/material/5316568)","Aluminum for casting (default, e.g. A380/ADC10/EN-AC46500)")</f>
        <v>Aluminum for casting (default, e.g. A380/ADC10/EN-AC46500)</v>
      </c>
      <c r="B128">
        <v>5316568</v>
      </c>
      <c r="C128">
        <v>6971877</v>
      </c>
      <c r="E128">
        <v>2.4518200000000001</v>
      </c>
      <c r="F128" t="s">
        <v>1957</v>
      </c>
      <c r="G128">
        <v>98</v>
      </c>
      <c r="H128" t="s">
        <v>1958</v>
      </c>
      <c r="I128">
        <v>50</v>
      </c>
      <c r="J128">
        <v>0.50345253019720215</v>
      </c>
      <c r="K128">
        <v>0</v>
      </c>
      <c r="M128">
        <v>0</v>
      </c>
      <c r="O128">
        <v>200000</v>
      </c>
      <c r="R128" t="s">
        <v>136</v>
      </c>
      <c r="S128">
        <v>0.17422933142857142</v>
      </c>
      <c r="T128">
        <v>0.088160041702857142</v>
      </c>
      <c r="U128" t="s">
        <v>137</v>
      </c>
      <c r="V128">
        <v>0.60980266000000005</v>
      </c>
      <c r="W128">
        <v>17.946666513131429</v>
      </c>
      <c r="X128" t="s">
        <v>138</v>
      </c>
      <c r="Y128">
        <v>1.0767999907878858</v>
      </c>
      <c r="Z128">
        <v>0</v>
      </c>
      <c r="AA128" t="s">
        <v>139</v>
      </c>
      <c r="AB128">
        <v>2.1535999815757716</v>
      </c>
      <c r="AC128">
        <v>21.177066485495086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Q128" t="s">
        <v>140</v>
      </c>
      <c r="AR128" t="s">
        <v>141</v>
      </c>
      <c r="AS128">
        <v>17.422933142857143</v>
      </c>
    </row>
    <row r="129" spans="1:45" ht="12.75">
      <c r="A129" s="2" t="str">
        <f>HYPERLINK("https://ibp.a2mac1.com/costing(costing:projects/details/8191/material/5316569)","Aluminum for casting (default, e.g. A380/ADC10/EN-AC46500)")</f>
        <v>Aluminum for casting (default, e.g. A380/ADC10/EN-AC46500)</v>
      </c>
      <c r="B129">
        <v>5316569</v>
      </c>
      <c r="C129">
        <v>6971878</v>
      </c>
      <c r="E129">
        <v>2.4518200000000001</v>
      </c>
      <c r="F129" t="s">
        <v>1962</v>
      </c>
      <c r="G129">
        <v>98</v>
      </c>
      <c r="H129" t="s">
        <v>1963</v>
      </c>
      <c r="I129">
        <v>50</v>
      </c>
      <c r="J129">
        <v>0.50345253019720215</v>
      </c>
      <c r="K129">
        <v>0</v>
      </c>
      <c r="M129">
        <v>0</v>
      </c>
      <c r="O129">
        <v>200000</v>
      </c>
      <c r="R129" t="s">
        <v>136</v>
      </c>
      <c r="S129">
        <v>0.042706701428571428</v>
      </c>
      <c r="T129">
        <v>0.021609590922857143</v>
      </c>
      <c r="U129" t="s">
        <v>137</v>
      </c>
      <c r="V129">
        <v>0.14947345500000001</v>
      </c>
      <c r="W129">
        <v>4.3990464873514288</v>
      </c>
      <c r="X129" t="s">
        <v>138</v>
      </c>
      <c r="Y129">
        <v>0.26394278924108572</v>
      </c>
      <c r="Z129">
        <v>0</v>
      </c>
      <c r="AA129" t="s">
        <v>139</v>
      </c>
      <c r="AB129">
        <v>0.52788557848217144</v>
      </c>
      <c r="AC129">
        <v>5.1908748550746857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Q129" t="s">
        <v>140</v>
      </c>
      <c r="AR129" t="s">
        <v>141</v>
      </c>
      <c r="AS129">
        <v>4.270670142857143</v>
      </c>
    </row>
    <row r="130" spans="1:45" ht="12.75">
      <c r="A130" s="2" t="str">
        <f>HYPERLINK("https://ibp.a2mac1.com/costing(costing:projects/details/8191/material/5316742)","Copper (default, e.g. CuZn30  / C26000)")</f>
        <v>Copper (default, e.g. CuZn30  / C26000)</v>
      </c>
      <c r="B130">
        <v>5316742</v>
      </c>
      <c r="C130">
        <v>6971952</v>
      </c>
      <c r="E130">
        <v>9.1891700000000007</v>
      </c>
      <c r="F130" t="s">
        <v>1992</v>
      </c>
      <c r="G130">
        <v>30</v>
      </c>
      <c r="H130" t="s">
        <v>1993</v>
      </c>
      <c r="I130">
        <v>40</v>
      </c>
      <c r="J130">
        <v>0.50345253019720215</v>
      </c>
      <c r="K130">
        <v>0</v>
      </c>
      <c r="M130">
        <v>0</v>
      </c>
      <c r="O130">
        <v>200000</v>
      </c>
      <c r="R130" t="s">
        <v>136</v>
      </c>
      <c r="S130">
        <v>0.40309825733333332</v>
      </c>
      <c r="T130">
        <v>0.0072845613646666668</v>
      </c>
      <c r="U130" t="s">
        <v>137</v>
      </c>
      <c r="V130">
        <v>0.050387282166666665</v>
      </c>
      <c r="W130">
        <v>1.0942102195313332</v>
      </c>
      <c r="X130" t="s">
        <v>138</v>
      </c>
      <c r="Y130">
        <v>0.065652613171879995</v>
      </c>
      <c r="Z130">
        <v>0</v>
      </c>
      <c r="AA130" t="s">
        <v>139</v>
      </c>
      <c r="AB130">
        <v>0.13130522634375999</v>
      </c>
      <c r="AC130">
        <v>1.2911680590469734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Q130" t="s">
        <v>140</v>
      </c>
      <c r="AR130" t="s">
        <v>141</v>
      </c>
      <c r="AS130">
        <v>1.4396366333333332</v>
      </c>
    </row>
    <row r="131" spans="1:45" ht="12.75">
      <c r="A131" s="2" t="str">
        <f>HYPERLINK("https://ibp.a2mac1.com/costing(costing:projects/details/8191/material/5316743)","NO-27 (Sheet/Coil)")</f>
        <v>NO-27 (Sheet/Coil)</v>
      </c>
      <c r="B131">
        <v>5316743</v>
      </c>
      <c r="C131">
        <v>6971953</v>
      </c>
      <c r="E131">
        <v>1.21461</v>
      </c>
      <c r="F131" t="s">
        <v>2005</v>
      </c>
      <c r="G131">
        <v>43</v>
      </c>
      <c r="H131" t="s">
        <v>2006</v>
      </c>
      <c r="I131">
        <v>15</v>
      </c>
      <c r="J131">
        <v>0.50345253019720215</v>
      </c>
      <c r="K131">
        <v>0</v>
      </c>
      <c r="M131">
        <v>0</v>
      </c>
      <c r="O131">
        <v>200000</v>
      </c>
      <c r="R131" t="s">
        <v>136</v>
      </c>
      <c r="S131">
        <v>3.8424187349999999</v>
      </c>
      <c r="T131">
        <v>0.2273992842</v>
      </c>
      <c r="U131" t="s">
        <v>137</v>
      </c>
      <c r="V131">
        <v>1.57291995</v>
      </c>
      <c r="W131">
        <v>42.898470499200002</v>
      </c>
      <c r="X131" t="s">
        <v>138</v>
      </c>
      <c r="Y131">
        <v>2.573908229952</v>
      </c>
      <c r="Z131">
        <v>0</v>
      </c>
      <c r="AA131" t="s">
        <v>139</v>
      </c>
      <c r="AB131">
        <v>5.1478164599039999</v>
      </c>
      <c r="AC131">
        <v>50.620195189055998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Q131" t="s">
        <v>140</v>
      </c>
      <c r="AR131" t="s">
        <v>141</v>
      </c>
      <c r="AS131">
        <v>44.940570000000001</v>
      </c>
    </row>
    <row r="132" spans="1:45" ht="12.75">
      <c r="A132" s="2" t="str">
        <f>HYPERLINK("https://ibp.a2mac1.com/costing(costing:projects/details/8191/material/5316744)","Aluminum for casting (default, e.g. A380/ADC10/EN-AC46500)")</f>
        <v>Aluminum for casting (default, e.g. A380/ADC10/EN-AC46500)</v>
      </c>
      <c r="B132">
        <v>5316744</v>
      </c>
      <c r="C132">
        <v>6971954</v>
      </c>
      <c r="E132">
        <v>2.4518200000000001</v>
      </c>
      <c r="F132" t="s">
        <v>2014</v>
      </c>
      <c r="G132">
        <v>98</v>
      </c>
      <c r="H132" t="s">
        <v>2015</v>
      </c>
      <c r="I132">
        <v>50</v>
      </c>
      <c r="J132">
        <v>0.50048257265952256</v>
      </c>
      <c r="K132">
        <v>0</v>
      </c>
      <c r="M132">
        <v>0</v>
      </c>
      <c r="O132">
        <v>400000</v>
      </c>
      <c r="R132" t="s">
        <v>136</v>
      </c>
      <c r="S132">
        <v>0.012159025714285714</v>
      </c>
      <c r="T132">
        <v>0.0061159899342857144</v>
      </c>
      <c r="U132" t="s">
        <v>137</v>
      </c>
      <c r="V132">
        <v>0.042556589999999998</v>
      </c>
      <c r="W132">
        <v>1.2524161256485715</v>
      </c>
      <c r="X132" t="s">
        <v>90</v>
      </c>
      <c r="Y132">
        <v>0</v>
      </c>
      <c r="Z132">
        <v>0</v>
      </c>
      <c r="AA132" t="s">
        <v>90</v>
      </c>
      <c r="AB132">
        <v>0</v>
      </c>
      <c r="AC132">
        <v>1.2524161256485715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Q132" t="s">
        <v>140</v>
      </c>
      <c r="AR132" t="s">
        <v>141</v>
      </c>
      <c r="AS132">
        <v>1.2159025714285714</v>
      </c>
    </row>
    <row r="133" spans="1:45" ht="12.75">
      <c r="A133" s="2" t="str">
        <f>HYPERLINK("https://ibp.a2mac1.com/costing(costing:projects/details/8191/material/5316745)","N35EH - assumed")</f>
        <v>N35EH - assumed</v>
      </c>
      <c r="B133">
        <v>5316745</v>
      </c>
      <c r="C133">
        <v>6971955</v>
      </c>
      <c r="E133">
        <v>27.20</v>
      </c>
      <c r="F133" t="s">
        <v>2019</v>
      </c>
      <c r="G133">
        <v>95</v>
      </c>
      <c r="H133" t="s">
        <v>2020</v>
      </c>
      <c r="I133">
        <v>0</v>
      </c>
      <c r="J133">
        <v>0.50011131550046584</v>
      </c>
      <c r="K133">
        <v>0</v>
      </c>
      <c r="L133">
        <v>0</v>
      </c>
      <c r="M133">
        <v>0</v>
      </c>
      <c r="O133">
        <v>6400000</v>
      </c>
      <c r="R133" t="s">
        <v>136</v>
      </c>
      <c r="S133">
        <v>0</v>
      </c>
      <c r="T133">
        <v>0.0025903705263157894</v>
      </c>
      <c r="U133" t="s">
        <v>137</v>
      </c>
      <c r="V133">
        <v>0.018037894736842107</v>
      </c>
      <c r="W133">
        <v>0.53599668631578945</v>
      </c>
      <c r="X133" t="s">
        <v>138</v>
      </c>
      <c r="Y133">
        <v>0.032159801178947366</v>
      </c>
      <c r="Z133">
        <v>0</v>
      </c>
      <c r="AA133" t="s">
        <v>139</v>
      </c>
      <c r="AB133">
        <v>0.064319602357894731</v>
      </c>
      <c r="AC133">
        <v>0.6324760898526316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Q133" t="s">
        <v>9</v>
      </c>
      <c r="AR133" t="s">
        <v>141</v>
      </c>
      <c r="AS133">
        <v>0.51536842105263159</v>
      </c>
    </row>
    <row r="134" spans="1:45" ht="12.75">
      <c r="A134" s="2" t="str">
        <f>HYPERLINK("https://ibp.a2mac1.com/costing(costing:projects/details/8191/material/5316746)","N35EH - assumed")</f>
        <v>N35EH - assumed</v>
      </c>
      <c r="B134">
        <v>5316746</v>
      </c>
      <c r="C134">
        <v>6971956</v>
      </c>
      <c r="E134">
        <v>27.20</v>
      </c>
      <c r="F134" t="s">
        <v>2024</v>
      </c>
      <c r="G134">
        <v>95</v>
      </c>
      <c r="H134" t="s">
        <v>2025</v>
      </c>
      <c r="I134">
        <v>0</v>
      </c>
      <c r="J134">
        <v>0.50001850077780996</v>
      </c>
      <c r="K134">
        <v>0</v>
      </c>
      <c r="L134">
        <v>0</v>
      </c>
      <c r="M134">
        <v>0</v>
      </c>
      <c r="O134">
        <v>12800000</v>
      </c>
      <c r="R134" t="s">
        <v>136</v>
      </c>
      <c r="S134">
        <v>0</v>
      </c>
      <c r="T134">
        <v>0.0044603615789473687</v>
      </c>
      <c r="U134" t="s">
        <v>137</v>
      </c>
      <c r="V134">
        <v>0.031065263157894738</v>
      </c>
      <c r="W134">
        <v>0.9231045721052632</v>
      </c>
      <c r="X134" t="s">
        <v>138</v>
      </c>
      <c r="Y134">
        <v>0.055386274326315786</v>
      </c>
      <c r="Z134">
        <v>0</v>
      </c>
      <c r="AA134" t="s">
        <v>139</v>
      </c>
      <c r="AB134">
        <v>0.11077254865263157</v>
      </c>
      <c r="AC134">
        <v>1.0892633950842106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Q134" t="s">
        <v>9</v>
      </c>
      <c r="AR134" t="s">
        <v>141</v>
      </c>
      <c r="AS134">
        <v>0.88757894736842102</v>
      </c>
    </row>
    <row r="135" spans="1:45" ht="12.75">
      <c r="A135" s="2" t="str">
        <f>HYPERLINK("https://ibp.a2mac1.com/costing(costing:projects/details/8191/material/5316747)","NO-27 (Sheet/Coil)")</f>
        <v>NO-27 (Sheet/Coil)</v>
      </c>
      <c r="B135">
        <v>5316747</v>
      </c>
      <c r="C135">
        <v>6971957</v>
      </c>
      <c r="E135">
        <v>1.21461</v>
      </c>
      <c r="F135" t="s">
        <v>2029</v>
      </c>
      <c r="G135">
        <v>52</v>
      </c>
      <c r="H135" t="s">
        <v>2030</v>
      </c>
      <c r="I135">
        <v>15</v>
      </c>
      <c r="J135">
        <v>0.50345253019720215</v>
      </c>
      <c r="K135">
        <v>0</v>
      </c>
      <c r="M135">
        <v>0</v>
      </c>
      <c r="O135">
        <v>200000</v>
      </c>
      <c r="R135" t="s">
        <v>136</v>
      </c>
      <c r="S135">
        <v>2.5529233569230767</v>
      </c>
      <c r="T135">
        <v>0.17941378036153846</v>
      </c>
      <c r="U135" t="s">
        <v>137</v>
      </c>
      <c r="V135">
        <v>1.2410044096153847</v>
      </c>
      <c r="W135">
        <v>34.324763679207692</v>
      </c>
      <c r="X135" t="s">
        <v>138</v>
      </c>
      <c r="Y135">
        <v>2.0594858207524616</v>
      </c>
      <c r="Z135">
        <v>0</v>
      </c>
      <c r="AA135" t="s">
        <v>139</v>
      </c>
      <c r="AB135">
        <v>4.1189716415049231</v>
      </c>
      <c r="AC135">
        <v>40.503221141465076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Q135" t="s">
        <v>140</v>
      </c>
      <c r="AR135" t="s">
        <v>141</v>
      </c>
      <c r="AS135">
        <v>35.457268846153845</v>
      </c>
    </row>
    <row r="136" spans="1:45" ht="12.75">
      <c r="A136" s="2" t="str">
        <f>HYPERLINK("https://ibp.a2mac1.com/costing(costing:projects/details/8191/material/5316748)","Steel, 20MnCr5, round bar, 70mm")</f>
        <v>Steel, 20MnCr5, round bar, 70mm</v>
      </c>
      <c r="B136">
        <v>5316748</v>
      </c>
      <c r="C136">
        <v>6971958</v>
      </c>
      <c r="E136">
        <v>2.63</v>
      </c>
      <c r="F136" t="s">
        <v>2034</v>
      </c>
      <c r="G136">
        <v>65</v>
      </c>
      <c r="H136" t="s">
        <v>2035</v>
      </c>
      <c r="I136">
        <v>0</v>
      </c>
      <c r="J136">
        <v>0.50345253019720215</v>
      </c>
      <c r="K136">
        <v>0</v>
      </c>
      <c r="L136">
        <v>0</v>
      </c>
      <c r="M136">
        <v>0</v>
      </c>
      <c r="O136">
        <v>200000</v>
      </c>
      <c r="R136" t="s">
        <v>136</v>
      </c>
      <c r="S136">
        <v>0</v>
      </c>
      <c r="T136">
        <v>0.044222843076923077</v>
      </c>
      <c r="U136" t="s">
        <v>137</v>
      </c>
      <c r="V136">
        <v>0.30588923076923075</v>
      </c>
      <c r="W136">
        <v>9.0898043815384622</v>
      </c>
      <c r="X136" t="s">
        <v>138</v>
      </c>
      <c r="Y136">
        <v>0.54538826289230768</v>
      </c>
      <c r="Z136">
        <v>0</v>
      </c>
      <c r="AA136" t="s">
        <v>139</v>
      </c>
      <c r="AB136">
        <v>1.0907765257846154</v>
      </c>
      <c r="AC136">
        <v>10.725969170215384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Q136" t="s">
        <v>9</v>
      </c>
      <c r="AR136" t="s">
        <v>141</v>
      </c>
      <c r="AS136">
        <v>8.739692307692307</v>
      </c>
    </row>
    <row r="137" spans="1:45" ht="12.75">
      <c r="A137" s="2" t="str">
        <f>HYPERLINK("https://ibp.a2mac1.com/costing(costing:projects/details/8191/material/5316570)","Aluminum for casting (default, e.g. A380/ADC10/EN-AC46500)")</f>
        <v>Aluminum for casting (default, e.g. A380/ADC10/EN-AC46500)</v>
      </c>
      <c r="B137">
        <v>5316570</v>
      </c>
      <c r="C137">
        <v>6971881</v>
      </c>
      <c r="E137">
        <v>2.4518200000000001</v>
      </c>
      <c r="F137" t="s">
        <v>2046</v>
      </c>
      <c r="G137">
        <v>98</v>
      </c>
      <c r="H137" t="s">
        <v>2047</v>
      </c>
      <c r="I137">
        <v>50</v>
      </c>
      <c r="J137">
        <v>0.50345253019720215</v>
      </c>
      <c r="K137">
        <v>0</v>
      </c>
      <c r="M137">
        <v>0</v>
      </c>
      <c r="O137">
        <v>200000</v>
      </c>
      <c r="R137" t="s">
        <v>136</v>
      </c>
      <c r="S137">
        <v>0.11230836714285715</v>
      </c>
      <c r="T137">
        <v>0.056828033774285712</v>
      </c>
      <c r="U137" t="s">
        <v>137</v>
      </c>
      <c r="V137">
        <v>0.393079285</v>
      </c>
      <c r="W137">
        <v>11.568435665917143</v>
      </c>
      <c r="X137" t="s">
        <v>138</v>
      </c>
      <c r="Y137">
        <v>0.69410613995502857</v>
      </c>
      <c r="Z137">
        <v>0</v>
      </c>
      <c r="AA137" t="s">
        <v>139</v>
      </c>
      <c r="AB137">
        <v>1.3882122799100571</v>
      </c>
      <c r="AC137">
        <v>13.650754085782228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Q137" t="s">
        <v>140</v>
      </c>
      <c r="AR137" t="s">
        <v>141</v>
      </c>
      <c r="AS137">
        <v>11.230836714285715</v>
      </c>
    </row>
    <row r="138" spans="1:45" ht="12.75">
      <c r="A138" s="2" t="str">
        <f>HYPERLINK("https://ibp.a2mac1.com/costing(costing:projects/details/8191/material/5316571)","Aluminum for casting (default, e.g. A380/ADC10/EN-AC46500)")</f>
        <v>Aluminum for casting (default, e.g. A380/ADC10/EN-AC46500)</v>
      </c>
      <c r="B138">
        <v>5316571</v>
      </c>
      <c r="C138">
        <v>6971882</v>
      </c>
      <c r="E138">
        <v>2.4518200000000001</v>
      </c>
      <c r="F138" t="s">
        <v>2051</v>
      </c>
      <c r="G138">
        <v>98</v>
      </c>
      <c r="H138" t="s">
        <v>2052</v>
      </c>
      <c r="I138">
        <v>50</v>
      </c>
      <c r="J138">
        <v>0.50345253019720215</v>
      </c>
      <c r="K138">
        <v>0</v>
      </c>
      <c r="M138">
        <v>0</v>
      </c>
      <c r="O138">
        <v>200000</v>
      </c>
      <c r="R138" t="s">
        <v>136</v>
      </c>
      <c r="S138">
        <v>0.059569218571428571</v>
      </c>
      <c r="T138">
        <v>0.030142024597142856</v>
      </c>
      <c r="U138" t="s">
        <v>137</v>
      </c>
      <c r="V138">
        <v>0.20849226500000001</v>
      </c>
      <c r="W138">
        <v>6.1359869281685713</v>
      </c>
      <c r="X138" t="s">
        <v>138</v>
      </c>
      <c r="Y138">
        <v>0.36815921569011428</v>
      </c>
      <c r="Z138">
        <v>0</v>
      </c>
      <c r="AA138" t="s">
        <v>139</v>
      </c>
      <c r="AB138">
        <v>0.73631843138022857</v>
      </c>
      <c r="AC138">
        <v>7.2404645752389145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Q138" t="s">
        <v>140</v>
      </c>
      <c r="AR138" t="s">
        <v>141</v>
      </c>
      <c r="AS138">
        <v>5.9569218571428575</v>
      </c>
    </row>
    <row r="139" spans="1:45" ht="12.75">
      <c r="A139" s="2" t="str">
        <f>HYPERLINK("https://ibp.a2mac1.com/costing(costing:projects/details/8191/material/5316572)","PP-GF30")</f>
        <v>PP-GF30</v>
      </c>
      <c r="B139">
        <v>5316572</v>
      </c>
      <c r="C139">
        <v>6971883</v>
      </c>
      <c r="E139">
        <v>1.2710699999999999</v>
      </c>
      <c r="F139" t="s">
        <v>2059</v>
      </c>
      <c r="G139">
        <v>95</v>
      </c>
      <c r="H139" t="s">
        <v>2060</v>
      </c>
      <c r="I139">
        <v>30</v>
      </c>
      <c r="J139">
        <v>0.50345253019720215</v>
      </c>
      <c r="K139">
        <v>0</v>
      </c>
      <c r="L139">
        <v>0</v>
      </c>
      <c r="M139">
        <v>0</v>
      </c>
      <c r="O139">
        <v>200000</v>
      </c>
      <c r="R139" t="s">
        <v>136</v>
      </c>
      <c r="S139">
        <v>0.0012041715789473683</v>
      </c>
      <c r="T139">
        <v>0.00040620721263157897</v>
      </c>
      <c r="U139" t="s">
        <v>137</v>
      </c>
      <c r="V139">
        <v>0.0028097336842105264</v>
      </c>
      <c r="W139">
        <v>0.082289874581052636</v>
      </c>
      <c r="X139" t="s">
        <v>138</v>
      </c>
      <c r="Y139">
        <v>0.004937392474863158</v>
      </c>
      <c r="Z139">
        <v>0</v>
      </c>
      <c r="AA139" t="s">
        <v>139</v>
      </c>
      <c r="AB139">
        <v>0.009874784949726316</v>
      </c>
      <c r="AC139">
        <v>0.097102052005642106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Q139" t="s">
        <v>140</v>
      </c>
      <c r="AR139" t="s">
        <v>141</v>
      </c>
      <c r="AS139">
        <v>0.080278105263157901</v>
      </c>
    </row>
    <row r="140" spans="1:45" ht="12.75">
      <c r="A140" s="2" t="str">
        <f>HYPERLINK("https://ibp.a2mac1.com/costing(costing:projects/details/8191/material/5316791)","Aluminum for casting (default, e.g. A380/ADC10/EN-AC46500)")</f>
        <v>Aluminum for casting (default, e.g. A380/ADC10/EN-AC46500)</v>
      </c>
      <c r="B140">
        <v>5316791</v>
      </c>
      <c r="C140">
        <v>6971959</v>
      </c>
      <c r="E140">
        <v>2.4518200000000001</v>
      </c>
      <c r="F140" t="s">
        <v>2137</v>
      </c>
      <c r="G140">
        <v>98.50</v>
      </c>
      <c r="H140" t="s">
        <v>2138</v>
      </c>
      <c r="I140">
        <v>50</v>
      </c>
      <c r="J140">
        <v>0.50345253019720215</v>
      </c>
      <c r="K140">
        <v>0</v>
      </c>
      <c r="L140">
        <v>0</v>
      </c>
      <c r="M140">
        <v>0</v>
      </c>
      <c r="O140">
        <v>200000</v>
      </c>
      <c r="R140" t="s">
        <v>136</v>
      </c>
      <c r="S140">
        <v>0.031531400862944162</v>
      </c>
      <c r="T140">
        <v>0.021273185115532996</v>
      </c>
      <c r="U140" t="s">
        <v>137</v>
      </c>
      <c r="V140">
        <v>0.14714653736040609</v>
      </c>
      <c r="W140">
        <v>4.3410751033388832</v>
      </c>
      <c r="X140" t="s">
        <v>138</v>
      </c>
      <c r="Y140">
        <v>0.26046450620033301</v>
      </c>
      <c r="Z140">
        <v>0</v>
      </c>
      <c r="AA140" t="s">
        <v>139</v>
      </c>
      <c r="AB140">
        <v>0.52092901240066602</v>
      </c>
      <c r="AC140">
        <v>5.1224686219398823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Q140" t="s">
        <v>140</v>
      </c>
      <c r="AR140" t="s">
        <v>141</v>
      </c>
      <c r="AS140">
        <v>4.2041867817258884</v>
      </c>
    </row>
    <row r="141" spans="1:45" ht="12.75">
      <c r="A141" s="2" t="str">
        <f>HYPERLINK("https://ibp.a2mac1.com/costing(costing:projects/details/8191/material/5316792)","Aluminum sheet (default, e.g. EN AW1050A)")</f>
        <v>Aluminum sheet (default, e.g. EN AW1050A)</v>
      </c>
      <c r="B141">
        <v>5316792</v>
      </c>
      <c r="C141">
        <v>6971960</v>
      </c>
      <c r="E141">
        <v>3.4857100000000001</v>
      </c>
      <c r="F141" t="s">
        <v>2142</v>
      </c>
      <c r="G141">
        <v>71.30</v>
      </c>
      <c r="H141" t="s">
        <v>2143</v>
      </c>
      <c r="I141">
        <v>30</v>
      </c>
      <c r="J141">
        <v>0.50345253019720215</v>
      </c>
      <c r="K141">
        <v>0</v>
      </c>
      <c r="L141">
        <v>0</v>
      </c>
      <c r="M141">
        <v>0</v>
      </c>
      <c r="O141">
        <v>200000</v>
      </c>
      <c r="R141" t="s">
        <v>136</v>
      </c>
      <c r="S141">
        <v>0.1010220356802244</v>
      </c>
      <c r="T141">
        <v>0.0059369512258064519</v>
      </c>
      <c r="U141" t="s">
        <v>137</v>
      </c>
      <c r="V141">
        <v>0.041065868162692844</v>
      </c>
      <c r="W141">
        <v>1.1192913026423563</v>
      </c>
      <c r="X141" t="s">
        <v>138</v>
      </c>
      <c r="Y141">
        <v>0.067157478158541381</v>
      </c>
      <c r="Z141">
        <v>0</v>
      </c>
      <c r="AA141" t="s">
        <v>139</v>
      </c>
      <c r="AB141">
        <v>0.13431495631708276</v>
      </c>
      <c r="AC141">
        <v>1.3207637371179803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Q141" t="s">
        <v>140</v>
      </c>
      <c r="AR141" t="s">
        <v>141</v>
      </c>
      <c r="AS141">
        <v>1.1733105189340813</v>
      </c>
    </row>
    <row r="142" spans="1:45" ht="12.75">
      <c r="A142" s="2" t="str">
        <f>HYPERLINK("https://ibp.a2mac1.com/costing(costing:projects/details/8191/material/5316793)","Aluminum sheet (default, e.g. EN AW1050A)")</f>
        <v>Aluminum sheet (default, e.g. EN AW1050A)</v>
      </c>
      <c r="B142">
        <v>5316793</v>
      </c>
      <c r="C142">
        <v>6971961</v>
      </c>
      <c r="E142">
        <v>3.4857100000000001</v>
      </c>
      <c r="F142" t="s">
        <v>2187</v>
      </c>
      <c r="G142">
        <v>85.70</v>
      </c>
      <c r="H142" t="s">
        <v>2188</v>
      </c>
      <c r="I142">
        <v>30</v>
      </c>
      <c r="J142">
        <v>0.50345253019720215</v>
      </c>
      <c r="K142">
        <v>0</v>
      </c>
      <c r="M142">
        <v>0</v>
      </c>
      <c r="O142">
        <v>200000</v>
      </c>
      <c r="R142" t="s">
        <v>136</v>
      </c>
      <c r="S142">
        <v>0.10399536471878647</v>
      </c>
      <c r="T142">
        <v>0.012266119941190198</v>
      </c>
      <c r="U142" t="s">
        <v>137</v>
      </c>
      <c r="V142">
        <v>0.084844703150525086</v>
      </c>
      <c r="W142">
        <v>2.4172498341022171</v>
      </c>
      <c r="X142" t="s">
        <v>138</v>
      </c>
      <c r="Y142">
        <v>0.14503499004613302</v>
      </c>
      <c r="Z142">
        <v>0</v>
      </c>
      <c r="AA142" t="s">
        <v>139</v>
      </c>
      <c r="AB142">
        <v>0.29006998009226603</v>
      </c>
      <c r="AC142">
        <v>2.8523548042406159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Q142" t="s">
        <v>140</v>
      </c>
      <c r="AR142" t="s">
        <v>141</v>
      </c>
      <c r="AS142">
        <v>2.4241343757292881</v>
      </c>
    </row>
    <row r="143" spans="1:45" ht="12.75">
      <c r="A143" s="2" t="str">
        <f>HYPERLINK("https://ibp.a2mac1.com/costing(costing:projects/details/8191/material/5316794)","PA6-GF30")</f>
        <v>PA6-GF30</v>
      </c>
      <c r="B143">
        <v>5316794</v>
      </c>
      <c r="C143">
        <v>6971962</v>
      </c>
      <c r="E143">
        <v>2.1428600000000002</v>
      </c>
      <c r="F143" t="s">
        <v>2192</v>
      </c>
      <c r="G143">
        <v>93.40</v>
      </c>
      <c r="H143" t="s">
        <v>2193</v>
      </c>
      <c r="I143">
        <v>5</v>
      </c>
      <c r="J143">
        <v>0.50345253019720215</v>
      </c>
      <c r="K143">
        <v>0</v>
      </c>
      <c r="M143">
        <v>0</v>
      </c>
      <c r="O143">
        <v>200000</v>
      </c>
      <c r="R143" t="s">
        <v>136</v>
      </c>
      <c r="S143">
        <v>0.0021577728372591007</v>
      </c>
      <c r="T143">
        <v>0.0033085850171306209</v>
      </c>
      <c r="U143" t="s">
        <v>137</v>
      </c>
      <c r="V143">
        <v>0.022885469486081372</v>
      </c>
      <c r="W143">
        <v>0.67790683841113486</v>
      </c>
      <c r="X143" t="s">
        <v>138</v>
      </c>
      <c r="Y143">
        <v>0.040674410304668097</v>
      </c>
      <c r="Z143">
        <v>0</v>
      </c>
      <c r="AA143" t="s">
        <v>139</v>
      </c>
      <c r="AB143">
        <v>0.081348820609336195</v>
      </c>
      <c r="AC143">
        <v>0.79993006932513921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Q143" t="s">
        <v>140</v>
      </c>
      <c r="AR143" t="s">
        <v>141</v>
      </c>
      <c r="AS143">
        <v>0.65387055674518202</v>
      </c>
    </row>
    <row r="144" spans="1:45" ht="12.75">
      <c r="A144" s="2" t="str">
        <f>HYPERLINK("https://ibp.a2mac1.com/costing(costing:projects/details/8191/material/5316795)","Aluminum for casting (default, e.g. A380/ADC10/EN-AC46500)")</f>
        <v>Aluminum for casting (default, e.g. A380/ADC10/EN-AC46500)</v>
      </c>
      <c r="B144">
        <v>5316795</v>
      </c>
      <c r="C144">
        <v>6971963</v>
      </c>
      <c r="E144">
        <v>2.4518200000000001</v>
      </c>
      <c r="F144" t="s">
        <v>2197</v>
      </c>
      <c r="G144">
        <v>98.50</v>
      </c>
      <c r="H144" t="s">
        <v>2198</v>
      </c>
      <c r="I144">
        <v>50</v>
      </c>
      <c r="J144">
        <v>0.50345253019720215</v>
      </c>
      <c r="K144">
        <v>0</v>
      </c>
      <c r="M144">
        <v>0</v>
      </c>
      <c r="O144">
        <v>200000</v>
      </c>
      <c r="R144" t="s">
        <v>136</v>
      </c>
      <c r="S144">
        <v>0.07952857766497462</v>
      </c>
      <c r="T144">
        <v>0.053655280397969546</v>
      </c>
      <c r="U144" t="s">
        <v>137</v>
      </c>
      <c r="V144">
        <v>0.37113336243654821</v>
      </c>
      <c r="W144">
        <v>10.949070420499492</v>
      </c>
      <c r="X144" t="s">
        <v>138</v>
      </c>
      <c r="Y144">
        <v>0.65694422522996954</v>
      </c>
      <c r="Z144">
        <v>0</v>
      </c>
      <c r="AA144" t="s">
        <v>139</v>
      </c>
      <c r="AB144">
        <v>1.3138884504599391</v>
      </c>
      <c r="AC144">
        <v>12.919903096189401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Q144" t="s">
        <v>140</v>
      </c>
      <c r="AR144" t="s">
        <v>141</v>
      </c>
      <c r="AS144">
        <v>10.60381035532995</v>
      </c>
    </row>
    <row r="145" spans="1:45" ht="12.75">
      <c r="A145" s="2" t="str">
        <f>HYPERLINK("https://ibp.a2mac1.com/costing(costing:projects/details/8191/material/5316537)","PP-GF20")</f>
        <v>PP-GF20</v>
      </c>
      <c r="B145">
        <v>5316537</v>
      </c>
      <c r="C145">
        <v>6971737</v>
      </c>
      <c r="E145">
        <v>1.3471</v>
      </c>
      <c r="F145" t="s">
        <v>2258</v>
      </c>
      <c r="G145">
        <v>88</v>
      </c>
      <c r="H145" t="s">
        <v>2259</v>
      </c>
      <c r="I145">
        <v>30</v>
      </c>
      <c r="J145">
        <v>0.50345253019720215</v>
      </c>
      <c r="K145">
        <v>0</v>
      </c>
      <c r="M145">
        <v>0</v>
      </c>
      <c r="O145">
        <v>200000</v>
      </c>
      <c r="R145" t="s">
        <v>136</v>
      </c>
      <c r="S145">
        <v>0.016091721818181817</v>
      </c>
      <c r="T145">
        <v>0.0022617809</v>
      </c>
      <c r="U145" t="s">
        <v>137</v>
      </c>
      <c r="V145">
        <v>0.015644729545454546</v>
      </c>
      <c r="W145">
        <v>0.44880706135454546</v>
      </c>
      <c r="X145" t="s">
        <v>138</v>
      </c>
      <c r="Y145">
        <v>0.026928423681272726</v>
      </c>
      <c r="Z145">
        <v>0</v>
      </c>
      <c r="AA145" t="s">
        <v>139</v>
      </c>
      <c r="AB145">
        <v>0.053856847362545451</v>
      </c>
      <c r="AC145">
        <v>0.52959233239836367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Q145" t="s">
        <v>140</v>
      </c>
      <c r="AR145" t="s">
        <v>141</v>
      </c>
      <c r="AS145">
        <v>0.44699227272727271</v>
      </c>
    </row>
    <row r="146" spans="1:45" ht="12.75">
      <c r="A146" s="2" t="str">
        <f>HYPERLINK("https://ibp.a2mac1.com/costing(costing:projects/details/8191/material/5316574)","PP")</f>
        <v>PP</v>
      </c>
      <c r="B146">
        <v>5316574</v>
      </c>
      <c r="C146">
        <v>6971887</v>
      </c>
      <c r="E146">
        <v>1.0113799999999999</v>
      </c>
      <c r="F146" t="s">
        <v>2478</v>
      </c>
      <c r="G146">
        <v>85</v>
      </c>
      <c r="H146" t="s">
        <v>2479</v>
      </c>
      <c r="I146">
        <v>5</v>
      </c>
      <c r="J146">
        <v>0.50048257265952256</v>
      </c>
      <c r="K146">
        <v>0</v>
      </c>
      <c r="M146">
        <v>0</v>
      </c>
      <c r="O146">
        <v>400000</v>
      </c>
      <c r="R146" t="s">
        <v>136</v>
      </c>
      <c r="S146">
        <v>0.005657778705882353</v>
      </c>
      <c r="T146">
        <v>0.0037944835854117646</v>
      </c>
      <c r="U146" t="s">
        <v>137</v>
      </c>
      <c r="V146">
        <v>0.026402967294117646</v>
      </c>
      <c r="W146">
        <v>0.77891016629129417</v>
      </c>
      <c r="X146" t="s">
        <v>138</v>
      </c>
      <c r="Y146">
        <v>0.046734609977477644</v>
      </c>
      <c r="Z146">
        <v>0</v>
      </c>
      <c r="AA146" t="s">
        <v>139</v>
      </c>
      <c r="AB146">
        <v>0.093469219954955288</v>
      </c>
      <c r="AC146">
        <v>0.91911399622372703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Q146" t="s">
        <v>140</v>
      </c>
      <c r="AR146" t="s">
        <v>141</v>
      </c>
      <c r="AS146">
        <v>0.75437049411764701</v>
      </c>
    </row>
    <row r="147" spans="1:45" ht="12.75">
      <c r="A147" s="2" t="str">
        <f>HYPERLINK("https://ibp.a2mac1.com/costing(costing:projects/details/8191/material/5316575)","Aluminum sheet with brazing layer (default)")</f>
        <v>Aluminum sheet with brazing layer (default)</v>
      </c>
      <c r="B147">
        <v>5316575</v>
      </c>
      <c r="C147">
        <v>6971888</v>
      </c>
      <c r="E147">
        <v>4.0542699999999998</v>
      </c>
      <c r="F147" t="s">
        <v>2510</v>
      </c>
      <c r="G147">
        <v>90</v>
      </c>
      <c r="H147" t="s">
        <v>2511</v>
      </c>
      <c r="I147">
        <v>30</v>
      </c>
      <c r="J147">
        <v>0.50345253019720215</v>
      </c>
      <c r="K147">
        <v>0</v>
      </c>
      <c r="M147">
        <v>0</v>
      </c>
      <c r="O147">
        <v>200000</v>
      </c>
      <c r="R147" t="s">
        <v>136</v>
      </c>
      <c r="S147">
        <v>0.062165473333333332</v>
      </c>
      <c r="T147">
        <v>0.010485243168888889</v>
      </c>
      <c r="U147" t="s">
        <v>137</v>
      </c>
      <c r="V147">
        <v>0.072526385555555559</v>
      </c>
      <c r="W147">
        <v>2.0930285998355553</v>
      </c>
      <c r="X147" t="s">
        <v>138</v>
      </c>
      <c r="Y147">
        <v>0.12558171599013335</v>
      </c>
      <c r="Z147">
        <v>0</v>
      </c>
      <c r="AA147" t="s">
        <v>139</v>
      </c>
      <c r="AB147">
        <v>0.25116343198026669</v>
      </c>
      <c r="AC147">
        <v>2.4697737478059554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Q147" t="s">
        <v>140</v>
      </c>
      <c r="AR147" t="s">
        <v>141</v>
      </c>
      <c r="AS147">
        <v>2.0721824444444445</v>
      </c>
    </row>
    <row r="148" spans="1:45" ht="12.75">
      <c r="A148" s="2" t="str">
        <f>HYPERLINK("https://ibp.a2mac1.com/costing(costing:projects/details/8191/material/5316796)","PA6-GF30")</f>
        <v>PA6-GF30</v>
      </c>
      <c r="B148">
        <v>5316796</v>
      </c>
      <c r="C148">
        <v>6971976</v>
      </c>
      <c r="E148">
        <v>2.1428600000000002</v>
      </c>
      <c r="F148" t="s">
        <v>2563</v>
      </c>
      <c r="G148">
        <v>95</v>
      </c>
      <c r="H148" t="s">
        <v>2564</v>
      </c>
      <c r="I148">
        <v>5</v>
      </c>
      <c r="J148">
        <v>0.50345253019720215</v>
      </c>
      <c r="K148">
        <v>0</v>
      </c>
      <c r="M148">
        <v>0</v>
      </c>
      <c r="O148">
        <v>200000</v>
      </c>
      <c r="R148" t="s">
        <v>136</v>
      </c>
      <c r="S148">
        <v>0.0031240643157894737</v>
      </c>
      <c r="T148">
        <v>0.0063231061751578945</v>
      </c>
      <c r="U148" t="s">
        <v>137</v>
      </c>
      <c r="V148">
        <v>0.043736900421052632</v>
      </c>
      <c r="W148">
        <v>1.2965616685962105</v>
      </c>
      <c r="X148" t="s">
        <v>138</v>
      </c>
      <c r="Y148">
        <v>0.077793700115772635</v>
      </c>
      <c r="Z148">
        <v>0</v>
      </c>
      <c r="AA148" t="s">
        <v>139</v>
      </c>
      <c r="AB148">
        <v>0.15558740023154527</v>
      </c>
      <c r="AC148">
        <v>1.5299427689435283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Q148" t="s">
        <v>140</v>
      </c>
      <c r="AR148" t="s">
        <v>141</v>
      </c>
      <c r="AS148">
        <v>1.2496257263157895</v>
      </c>
    </row>
    <row r="149" spans="1:45" ht="12.75">
      <c r="A149" s="2" t="str">
        <f>HYPERLINK("https://ibp.a2mac1.com/costing(costing:projects/details/8191/material/5316797)","PA6-GF30")</f>
        <v>PA6-GF30</v>
      </c>
      <c r="B149">
        <v>5316797</v>
      </c>
      <c r="C149">
        <v>6971977</v>
      </c>
      <c r="E149">
        <v>2.1428600000000002</v>
      </c>
      <c r="F149" t="s">
        <v>2574</v>
      </c>
      <c r="G149">
        <v>95</v>
      </c>
      <c r="H149" t="s">
        <v>2575</v>
      </c>
      <c r="I149">
        <v>5</v>
      </c>
      <c r="J149">
        <v>0.50345253019720215</v>
      </c>
      <c r="K149">
        <v>0</v>
      </c>
      <c r="M149">
        <v>0</v>
      </c>
      <c r="O149">
        <v>200000</v>
      </c>
      <c r="R149" t="s">
        <v>136</v>
      </c>
      <c r="S149">
        <v>0.0067048961578947365</v>
      </c>
      <c r="T149">
        <v>0.013570709823578947</v>
      </c>
      <c r="U149" t="s">
        <v>137</v>
      </c>
      <c r="V149">
        <v>0.093868546210526316</v>
      </c>
      <c r="W149">
        <v>2.7826928230341053</v>
      </c>
      <c r="X149" t="s">
        <v>138</v>
      </c>
      <c r="Y149">
        <v>0.16696156938204632</v>
      </c>
      <c r="Z149">
        <v>0</v>
      </c>
      <c r="AA149" t="s">
        <v>139</v>
      </c>
      <c r="AB149">
        <v>0.33392313876409263</v>
      </c>
      <c r="AC149">
        <v>3.2835775311802444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Q149" t="s">
        <v>140</v>
      </c>
      <c r="AR149" t="s">
        <v>141</v>
      </c>
      <c r="AS149">
        <v>2.6819584631578945</v>
      </c>
    </row>
    <row r="150" spans="1:45" ht="12.75">
      <c r="A150" s="2" t="str">
        <f>HYPERLINK("https://ibp.a2mac1.com/costing(costing:projects/details/8191/material/5316576)","PP")</f>
        <v>PP</v>
      </c>
      <c r="B150">
        <v>5316576</v>
      </c>
      <c r="C150">
        <v>6971889</v>
      </c>
      <c r="E150">
        <v>1.0113799999999999</v>
      </c>
      <c r="F150" t="s">
        <v>2601</v>
      </c>
      <c r="G150">
        <v>95</v>
      </c>
      <c r="H150" t="s">
        <v>2602</v>
      </c>
      <c r="I150">
        <v>5</v>
      </c>
      <c r="J150">
        <v>0.50345253019720215</v>
      </c>
      <c r="K150">
        <v>0</v>
      </c>
      <c r="M150">
        <v>0</v>
      </c>
      <c r="O150">
        <v>200000</v>
      </c>
      <c r="R150" t="s">
        <v>136</v>
      </c>
      <c r="S150">
        <v>0.0012216405789473685</v>
      </c>
      <c r="T150">
        <v>0.0024726005317894737</v>
      </c>
      <c r="U150" t="s">
        <v>137</v>
      </c>
      <c r="V150">
        <v>0.017102968105263159</v>
      </c>
      <c r="W150">
        <v>0.50701015963705265</v>
      </c>
      <c r="X150" t="s">
        <v>138</v>
      </c>
      <c r="Y150">
        <v>0.030420609578223158</v>
      </c>
      <c r="Z150">
        <v>0</v>
      </c>
      <c r="AA150" t="s">
        <v>139</v>
      </c>
      <c r="AB150">
        <v>0.060841219156446316</v>
      </c>
      <c r="AC150">
        <v>0.59827198837172213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Q150" t="s">
        <v>140</v>
      </c>
      <c r="AR150" t="s">
        <v>141</v>
      </c>
      <c r="AS150">
        <v>0.48865623157894739</v>
      </c>
    </row>
    <row r="151" spans="1:45" ht="12.75">
      <c r="A151" s="2" t="str">
        <f>HYPERLINK("https://ibp.a2mac1.com/costing(costing:projects/details/8191/material/5316538)","Aluminum sheet with brazing layer (default)")</f>
        <v>Aluminum sheet with brazing layer (default)</v>
      </c>
      <c r="B151">
        <v>5316538</v>
      </c>
      <c r="C151">
        <v>6971741</v>
      </c>
      <c r="E151">
        <v>4.0542699999999998</v>
      </c>
      <c r="F151" t="s">
        <v>2613</v>
      </c>
      <c r="G151">
        <v>90</v>
      </c>
      <c r="H151" t="s">
        <v>2614</v>
      </c>
      <c r="I151">
        <v>30</v>
      </c>
      <c r="J151">
        <v>0.50345253019720215</v>
      </c>
      <c r="K151">
        <v>0</v>
      </c>
      <c r="M151">
        <v>0</v>
      </c>
      <c r="O151">
        <v>200000</v>
      </c>
      <c r="R151" t="s">
        <v>136</v>
      </c>
      <c r="S151">
        <v>0.37920938733333331</v>
      </c>
      <c r="T151">
        <v>0.063959983330222223</v>
      </c>
      <c r="U151" t="s">
        <v>137</v>
      </c>
      <c r="V151">
        <v>0.4424109518888889</v>
      </c>
      <c r="W151">
        <v>12.767474458996888</v>
      </c>
      <c r="X151" t="s">
        <v>138</v>
      </c>
      <c r="Y151">
        <v>0.76604846753981337</v>
      </c>
      <c r="Z151">
        <v>0</v>
      </c>
      <c r="AA151" t="s">
        <v>139</v>
      </c>
      <c r="AB151">
        <v>1.5320969350796267</v>
      </c>
      <c r="AC151">
        <v>15.065619861616328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Q151" t="s">
        <v>140</v>
      </c>
      <c r="AR151" t="s">
        <v>141</v>
      </c>
      <c r="AS151">
        <v>12.640312911111112</v>
      </c>
    </row>
    <row r="152" spans="1:45" ht="12.75">
      <c r="A152" s="2" t="str">
        <f>HYPERLINK("https://ibp.a2mac1.com/costing(costing:projects/details/8191/material/5316539)","PA6-GF30")</f>
        <v>PA6-GF30</v>
      </c>
      <c r="B152">
        <v>5316539</v>
      </c>
      <c r="C152">
        <v>6971741</v>
      </c>
      <c r="E152">
        <v>2.1428600000000002</v>
      </c>
      <c r="F152" t="s">
        <v>2616</v>
      </c>
      <c r="G152">
        <v>95</v>
      </c>
      <c r="H152" t="s">
        <v>2617</v>
      </c>
      <c r="I152">
        <v>5</v>
      </c>
      <c r="J152">
        <v>0.50345253019720215</v>
      </c>
      <c r="K152">
        <v>0</v>
      </c>
      <c r="M152">
        <v>0</v>
      </c>
      <c r="O152">
        <v>200000</v>
      </c>
      <c r="R152" t="s">
        <v>136</v>
      </c>
      <c r="S152">
        <v>0.0028195526315789475</v>
      </c>
      <c r="T152">
        <v>0.0057067745263157891</v>
      </c>
      <c r="U152" t="s">
        <v>137</v>
      </c>
      <c r="V152">
        <v>0.039473736842105263</v>
      </c>
      <c r="W152">
        <v>1.1701820113684211</v>
      </c>
      <c r="X152" t="s">
        <v>138</v>
      </c>
      <c r="Y152">
        <v>0.070210920682105257</v>
      </c>
      <c r="Z152">
        <v>0</v>
      </c>
      <c r="AA152" t="s">
        <v>139</v>
      </c>
      <c r="AB152">
        <v>0.14042184136421051</v>
      </c>
      <c r="AC152">
        <v>1.3808147734147369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Q152" t="s">
        <v>140</v>
      </c>
      <c r="AR152" t="s">
        <v>141</v>
      </c>
      <c r="AS152">
        <v>1.1278210526315791</v>
      </c>
    </row>
    <row r="153" spans="1:45" ht="12.75">
      <c r="A153" s="2" t="str">
        <f>HYPERLINK("https://ibp.a2mac1.com/costing(costing:projects/details/8191/material/5316540)","PA6-GF30")</f>
        <v>PA6-GF30</v>
      </c>
      <c r="B153">
        <v>5316540</v>
      </c>
      <c r="C153">
        <v>6971742</v>
      </c>
      <c r="E153">
        <v>2.1428600000000002</v>
      </c>
      <c r="F153" t="s">
        <v>2623</v>
      </c>
      <c r="G153">
        <v>95</v>
      </c>
      <c r="H153" t="s">
        <v>2624</v>
      </c>
      <c r="I153">
        <v>5</v>
      </c>
      <c r="J153">
        <v>0.50345253019720215</v>
      </c>
      <c r="K153">
        <v>0</v>
      </c>
      <c r="M153">
        <v>0</v>
      </c>
      <c r="O153">
        <v>200000</v>
      </c>
      <c r="R153" t="s">
        <v>136</v>
      </c>
      <c r="S153">
        <v>0.0054924885263157898</v>
      </c>
      <c r="T153">
        <v>0.011116796777263158</v>
      </c>
      <c r="U153" t="s">
        <v>137</v>
      </c>
      <c r="V153">
        <v>0.07689483936842105</v>
      </c>
      <c r="W153">
        <v>2.2795145581456842</v>
      </c>
      <c r="X153" t="s">
        <v>138</v>
      </c>
      <c r="Y153">
        <v>0.13677087348874106</v>
      </c>
      <c r="Z153">
        <v>0</v>
      </c>
      <c r="AA153" t="s">
        <v>139</v>
      </c>
      <c r="AB153">
        <v>0.27354174697748213</v>
      </c>
      <c r="AC153">
        <v>2.6898271786119072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Q153" t="s">
        <v>140</v>
      </c>
      <c r="AR153" t="s">
        <v>141</v>
      </c>
      <c r="AS153">
        <v>2.1969954105263159</v>
      </c>
    </row>
    <row r="154" spans="1:45" ht="12.75">
      <c r="A154" s="2" t="str">
        <f>HYPERLINK("https://ibp.a2mac1.com/costing(costing:projects/details/8191/material/5316525)","Aluminum for casting (default, e.g. A380/ADC10/EN-AC46500)")</f>
        <v>Aluminum for casting (default, e.g. A380/ADC10/EN-AC46500)</v>
      </c>
      <c r="B154">
        <v>5316525</v>
      </c>
      <c r="C154">
        <v>6971719</v>
      </c>
      <c r="E154">
        <v>2.4518200000000001</v>
      </c>
      <c r="F154" t="s">
        <v>2652</v>
      </c>
      <c r="G154">
        <v>98</v>
      </c>
      <c r="H154" t="s">
        <v>2653</v>
      </c>
      <c r="I154">
        <v>50</v>
      </c>
      <c r="J154">
        <v>0.50345253019720215</v>
      </c>
      <c r="K154">
        <v>0</v>
      </c>
      <c r="M154">
        <v>0</v>
      </c>
      <c r="O154">
        <v>200000</v>
      </c>
      <c r="R154" t="s">
        <v>136</v>
      </c>
      <c r="S154">
        <v>0.018113445714285713</v>
      </c>
      <c r="T154">
        <v>0.0091654035314285721</v>
      </c>
      <c r="U154" t="s">
        <v>137</v>
      </c>
      <c r="V154">
        <v>0.063397060000000005</v>
      </c>
      <c r="W154">
        <v>1.8657935892457143</v>
      </c>
      <c r="X154" t="s">
        <v>138</v>
      </c>
      <c r="Y154">
        <v>0.11194761535474286</v>
      </c>
      <c r="Z154">
        <v>0</v>
      </c>
      <c r="AA154" t="s">
        <v>139</v>
      </c>
      <c r="AB154">
        <v>0.22389523070948572</v>
      </c>
      <c r="AC154">
        <v>2.2016364353099429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Q154" t="s">
        <v>140</v>
      </c>
      <c r="AR154" t="s">
        <v>141</v>
      </c>
      <c r="AS154">
        <v>1.8113445714285714</v>
      </c>
    </row>
    <row r="155" spans="1:45" ht="12.75">
      <c r="A155" s="2" t="str">
        <f>HYPERLINK("https://ibp.a2mac1.com/costing(costing:projects/details/8191/material/5316526)","Aluminum for casting (default, e.g. A380/ADC10/EN-AC46500)")</f>
        <v>Aluminum for casting (default, e.g. A380/ADC10/EN-AC46500)</v>
      </c>
      <c r="B155">
        <v>5316526</v>
      </c>
      <c r="C155">
        <v>6971720</v>
      </c>
      <c r="E155">
        <v>2.4518200000000001</v>
      </c>
      <c r="F155" t="s">
        <v>2658</v>
      </c>
      <c r="G155">
        <v>98</v>
      </c>
      <c r="H155" t="s">
        <v>2659</v>
      </c>
      <c r="I155">
        <v>50</v>
      </c>
      <c r="J155">
        <v>0.50345253019720215</v>
      </c>
      <c r="K155">
        <v>0</v>
      </c>
      <c r="M155">
        <v>0</v>
      </c>
      <c r="O155">
        <v>200000</v>
      </c>
      <c r="R155" t="s">
        <v>136</v>
      </c>
      <c r="S155">
        <v>0.018163482857142858</v>
      </c>
      <c r="T155">
        <v>0.0091907223257142855</v>
      </c>
      <c r="U155" t="s">
        <v>137</v>
      </c>
      <c r="V155">
        <v>0.063572190000000001</v>
      </c>
      <c r="W155">
        <v>1.8709477151828571</v>
      </c>
      <c r="X155" t="s">
        <v>138</v>
      </c>
      <c r="Y155">
        <v>0.11225686291097142</v>
      </c>
      <c r="Z155">
        <v>0</v>
      </c>
      <c r="AA155" t="s">
        <v>139</v>
      </c>
      <c r="AB155">
        <v>0.22451372582194284</v>
      </c>
      <c r="AC155">
        <v>2.2077183039157715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Q155" t="s">
        <v>140</v>
      </c>
      <c r="AR155" t="s">
        <v>141</v>
      </c>
      <c r="AS155">
        <v>1.8163482857142856</v>
      </c>
    </row>
    <row r="156" spans="1:45" ht="12.75">
      <c r="A156" s="2" t="str">
        <f>HYPERLINK("https://ibp.a2mac1.com/costing(costing:projects/details/8191/material/5316527)","Aluminum for casting (default, e.g. A380/ADC10/EN-AC46500)")</f>
        <v>Aluminum for casting (default, e.g. A380/ADC10/EN-AC46500)</v>
      </c>
      <c r="B156">
        <v>5316527</v>
      </c>
      <c r="C156">
        <v>6971721</v>
      </c>
      <c r="E156">
        <v>2.4518200000000001</v>
      </c>
      <c r="F156" t="s">
        <v>2664</v>
      </c>
      <c r="G156">
        <v>98</v>
      </c>
      <c r="H156" t="s">
        <v>2665</v>
      </c>
      <c r="I156">
        <v>50</v>
      </c>
      <c r="J156">
        <v>0.50345253019720215</v>
      </c>
      <c r="K156">
        <v>0</v>
      </c>
      <c r="M156">
        <v>0</v>
      </c>
      <c r="O156">
        <v>200000</v>
      </c>
      <c r="R156" t="s">
        <v>136</v>
      </c>
      <c r="S156">
        <v>0.021991324285714285</v>
      </c>
      <c r="T156">
        <v>0.011127610088571429</v>
      </c>
      <c r="U156" t="s">
        <v>137</v>
      </c>
      <c r="V156">
        <v>0.076969634999999995</v>
      </c>
      <c r="W156">
        <v>2.2652383493742856</v>
      </c>
      <c r="X156" t="s">
        <v>138</v>
      </c>
      <c r="Y156">
        <v>0.13591430096245713</v>
      </c>
      <c r="Z156">
        <v>0</v>
      </c>
      <c r="AA156" t="s">
        <v>139</v>
      </c>
      <c r="AB156">
        <v>0.27182860192491426</v>
      </c>
      <c r="AC156">
        <v>2.6729812522616569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Q156" t="s">
        <v>140</v>
      </c>
      <c r="AR156" t="s">
        <v>141</v>
      </c>
      <c r="AS156">
        <v>2.1991324285714287</v>
      </c>
    </row>
    <row r="157" spans="1:45" ht="12.75">
      <c r="A157" s="2" t="str">
        <f>HYPERLINK("https://ibp.a2mac1.com/costing(costing:projects/details/8191/material/5316528)","Aluminum for casting (default, e.g. A380/ADC10/EN-AC46500)")</f>
        <v>Aluminum for casting (default, e.g. A380/ADC10/EN-AC46500)</v>
      </c>
      <c r="B157">
        <v>5316528</v>
      </c>
      <c r="C157">
        <v>6971722</v>
      </c>
      <c r="E157">
        <v>2.4518200000000001</v>
      </c>
      <c r="F157" t="s">
        <v>2670</v>
      </c>
      <c r="G157">
        <v>98</v>
      </c>
      <c r="H157" t="s">
        <v>2671</v>
      </c>
      <c r="I157">
        <v>50</v>
      </c>
      <c r="J157">
        <v>0.50345253019720215</v>
      </c>
      <c r="K157">
        <v>0</v>
      </c>
      <c r="M157">
        <v>0</v>
      </c>
      <c r="O157">
        <v>200000</v>
      </c>
      <c r="R157" t="s">
        <v>136</v>
      </c>
      <c r="S157">
        <v>0.012083969999999999</v>
      </c>
      <c r="T157">
        <v>0.0061144888199999997</v>
      </c>
      <c r="U157" t="s">
        <v>137</v>
      </c>
      <c r="V157">
        <v>0.042293894999999998</v>
      </c>
      <c r="W157">
        <v>1.24472141382</v>
      </c>
      <c r="X157" t="s">
        <v>138</v>
      </c>
      <c r="Y157">
        <v>0.074683284829200003</v>
      </c>
      <c r="Z157">
        <v>0</v>
      </c>
      <c r="AA157" t="s">
        <v>139</v>
      </c>
      <c r="AB157">
        <v>0.14936656965840001</v>
      </c>
      <c r="AC157">
        <v>1.4687712683076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Q157" t="s">
        <v>140</v>
      </c>
      <c r="AR157" t="s">
        <v>141</v>
      </c>
      <c r="AS157">
        <v>1.2083969999999999</v>
      </c>
    </row>
    <row r="158" spans="1:45" ht="12.75">
      <c r="A158" s="2" t="str">
        <f>HYPERLINK("https://ibp.a2mac1.com/costing(costing:projects/details/8191/material/5316529)","Aluminum for casting (default, e.g. A380/ADC10/EN-AC46500)")</f>
        <v>Aluminum for casting (default, e.g. A380/ADC10/EN-AC46500)</v>
      </c>
      <c r="B158">
        <v>5316529</v>
      </c>
      <c r="C158">
        <v>6971723</v>
      </c>
      <c r="E158">
        <v>2.4518200000000001</v>
      </c>
      <c r="F158" t="s">
        <v>2678</v>
      </c>
      <c r="G158">
        <v>98</v>
      </c>
      <c r="H158" t="s">
        <v>2679</v>
      </c>
      <c r="I158">
        <v>50</v>
      </c>
      <c r="J158">
        <v>0.50345253019720215</v>
      </c>
      <c r="K158">
        <v>0</v>
      </c>
      <c r="M158">
        <v>0</v>
      </c>
      <c r="O158">
        <v>200000</v>
      </c>
      <c r="R158" t="s">
        <v>136</v>
      </c>
      <c r="S158">
        <v>0.014385678571428572</v>
      </c>
      <c r="T158">
        <v>0.007279153357142857</v>
      </c>
      <c r="U158" t="s">
        <v>137</v>
      </c>
      <c r="V158">
        <v>0.050349875000000002</v>
      </c>
      <c r="W158">
        <v>1.4818112069285714</v>
      </c>
      <c r="X158" t="s">
        <v>138</v>
      </c>
      <c r="Y158">
        <v>0.08890867241571429</v>
      </c>
      <c r="Z158">
        <v>0</v>
      </c>
      <c r="AA158" t="s">
        <v>139</v>
      </c>
      <c r="AB158">
        <v>0.17781734483142858</v>
      </c>
      <c r="AC158">
        <v>1.7485372241757142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Q158" t="s">
        <v>140</v>
      </c>
      <c r="AR158" t="s">
        <v>141</v>
      </c>
      <c r="AS158">
        <v>1.4385678571428571</v>
      </c>
    </row>
    <row r="159" spans="1:45" ht="12.75">
      <c r="A159" s="2" t="str">
        <f>HYPERLINK("https://ibp.a2mac1.com/costing(costing:projects/details/8191/material/5316831)","Mix Vinyl (80%)")</f>
        <v>Mix Vinyl (80%)</v>
      </c>
      <c r="B159">
        <v>5316831</v>
      </c>
      <c r="C159">
        <v>6972073</v>
      </c>
      <c r="D159" t="s">
        <v>2690</v>
      </c>
      <c r="E159">
        <v>6.41</v>
      </c>
      <c r="F159" t="s">
        <v>2691</v>
      </c>
      <c r="G159">
        <v>75</v>
      </c>
      <c r="H159" t="s">
        <v>2692</v>
      </c>
      <c r="I159">
        <v>0</v>
      </c>
      <c r="J159">
        <v>0.20557651238448796</v>
      </c>
      <c r="K159">
        <v>0</v>
      </c>
      <c r="L159">
        <v>0</v>
      </c>
      <c r="M159">
        <v>0</v>
      </c>
      <c r="O159">
        <v>200000</v>
      </c>
      <c r="R159" t="s">
        <v>2693</v>
      </c>
      <c r="S159">
        <v>0</v>
      </c>
      <c r="T159">
        <v>0.0058100239999999996</v>
      </c>
      <c r="U159" t="s">
        <v>137</v>
      </c>
      <c r="V159">
        <v>0.098713999999999996</v>
      </c>
      <c r="W159">
        <v>2.9249240240000001</v>
      </c>
      <c r="X159" t="s">
        <v>90</v>
      </c>
      <c r="Y159">
        <v>0</v>
      </c>
      <c r="Z159">
        <v>0</v>
      </c>
      <c r="AA159" t="s">
        <v>90</v>
      </c>
      <c r="AB159">
        <v>0</v>
      </c>
      <c r="AC159">
        <v>2.9249240240000001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Q159" t="s">
        <v>140</v>
      </c>
      <c r="AR159" t="s">
        <v>141</v>
      </c>
      <c r="AS159">
        <v>2.8203999999999998</v>
      </c>
    </row>
    <row r="160" spans="1:45" ht="12.75">
      <c r="A160" s="2" t="str">
        <f>HYPERLINK("https://ibp.a2mac1.com/costing(costing:projects/details/8191/material/5316832)","PUR")</f>
        <v>PUR</v>
      </c>
      <c r="B160">
        <v>5316832</v>
      </c>
      <c r="C160">
        <v>6972075</v>
      </c>
      <c r="E160">
        <v>3.37662</v>
      </c>
      <c r="F160" t="s">
        <v>2700</v>
      </c>
      <c r="G160">
        <v>95</v>
      </c>
      <c r="H160" t="s">
        <v>2701</v>
      </c>
      <c r="I160">
        <v>5</v>
      </c>
      <c r="J160">
        <v>0.50345253019720215</v>
      </c>
      <c r="K160">
        <v>0</v>
      </c>
      <c r="L160">
        <v>0</v>
      </c>
      <c r="M160">
        <v>0</v>
      </c>
      <c r="O160">
        <v>200000</v>
      </c>
      <c r="R160" t="s">
        <v>136</v>
      </c>
      <c r="S160">
        <v>0.0019282277368421054</v>
      </c>
      <c r="T160">
        <v>0.0039027329393684211</v>
      </c>
      <c r="U160" t="s">
        <v>137</v>
      </c>
      <c r="V160">
        <v>0.026995188315789474</v>
      </c>
      <c r="W160">
        <v>0.8002607882551579</v>
      </c>
      <c r="X160" t="s">
        <v>90</v>
      </c>
      <c r="Y160">
        <v>0</v>
      </c>
      <c r="Z160">
        <v>0</v>
      </c>
      <c r="AA160" t="s">
        <v>90</v>
      </c>
      <c r="AB160">
        <v>0</v>
      </c>
      <c r="AC160">
        <v>0.8002607882551579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Q160" t="s">
        <v>140</v>
      </c>
      <c r="AR160" t="s">
        <v>141</v>
      </c>
      <c r="AS160">
        <v>0.7712910947368421</v>
      </c>
    </row>
    <row r="161" spans="1:45" ht="12.75">
      <c r="A161" s="2" t="str">
        <f>HYPERLINK("https://ibp.a2mac1.com/costing(costing:projects/details/8191/material/5316833)","HDPE")</f>
        <v>HDPE</v>
      </c>
      <c r="B161">
        <v>5316833</v>
      </c>
      <c r="C161">
        <v>6972076</v>
      </c>
      <c r="E161">
        <v>0.96494000000000002</v>
      </c>
      <c r="F161" t="s">
        <v>2706</v>
      </c>
      <c r="G161">
        <v>95</v>
      </c>
      <c r="H161" t="s">
        <v>2707</v>
      </c>
      <c r="I161">
        <v>5</v>
      </c>
      <c r="J161">
        <v>0.50345253019720215</v>
      </c>
      <c r="K161">
        <v>0</v>
      </c>
      <c r="L161">
        <v>0</v>
      </c>
      <c r="M161">
        <v>0</v>
      </c>
      <c r="O161">
        <v>200000</v>
      </c>
      <c r="R161" t="s">
        <v>136</v>
      </c>
      <c r="S161">
        <v>0.00027932473684210525</v>
      </c>
      <c r="T161">
        <v>0.00056535326736842102</v>
      </c>
      <c r="U161" t="s">
        <v>137</v>
      </c>
      <c r="V161">
        <v>0.0039105463157894736</v>
      </c>
      <c r="W161">
        <v>0.1159264695831579</v>
      </c>
      <c r="X161" t="s">
        <v>138</v>
      </c>
      <c r="Y161">
        <v>0.0069555881749894738</v>
      </c>
      <c r="Z161">
        <v>0</v>
      </c>
      <c r="AA161" t="s">
        <v>139</v>
      </c>
      <c r="AB161">
        <v>0.013911176349978948</v>
      </c>
      <c r="AC161">
        <v>0.13679323410812633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Q161" t="s">
        <v>140</v>
      </c>
      <c r="AR161" t="s">
        <v>141</v>
      </c>
      <c r="AS161">
        <v>0.11172989473684211</v>
      </c>
    </row>
    <row r="162" spans="1:45" ht="12.75">
      <c r="A162" s="2" t="str">
        <f>HYPERLINK("https://ibp.a2mac1.com/costing(costing:projects/details/8191/material/5316834)","Steel Tube (default, chromed)")</f>
        <v>Steel Tube (default, chromed)</v>
      </c>
      <c r="B162">
        <v>5316834</v>
      </c>
      <c r="C162">
        <v>6972076</v>
      </c>
      <c r="E162">
        <v>0.68464999999999998</v>
      </c>
      <c r="F162" t="s">
        <v>2616</v>
      </c>
      <c r="G162">
        <v>98</v>
      </c>
      <c r="H162" t="s">
        <v>2709</v>
      </c>
      <c r="I162">
        <v>20</v>
      </c>
      <c r="J162">
        <v>0.50345253019720215</v>
      </c>
      <c r="K162">
        <v>0</v>
      </c>
      <c r="L162">
        <v>0</v>
      </c>
      <c r="M162">
        <v>0</v>
      </c>
      <c r="O162">
        <v>200000</v>
      </c>
      <c r="R162" t="s">
        <v>136</v>
      </c>
      <c r="S162">
        <v>0.0013972448979591837</v>
      </c>
      <c r="T162">
        <v>0.0017675147959183674</v>
      </c>
      <c r="U162" t="s">
        <v>137</v>
      </c>
      <c r="V162">
        <v>0.012225892857142857</v>
      </c>
      <c r="W162">
        <v>0.36190738724489796</v>
      </c>
      <c r="X162" t="s">
        <v>138</v>
      </c>
      <c r="Y162">
        <v>0.021714443234693879</v>
      </c>
      <c r="Z162">
        <v>0</v>
      </c>
      <c r="AA162" t="s">
        <v>139</v>
      </c>
      <c r="AB162">
        <v>0.043428886469387758</v>
      </c>
      <c r="AC162">
        <v>0.42705071694897961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Q162" t="s">
        <v>140</v>
      </c>
      <c r="AR162" t="s">
        <v>141</v>
      </c>
      <c r="AS162">
        <v>0.3493112244897959</v>
      </c>
    </row>
    <row r="163" spans="1:45" ht="12.75">
      <c r="A163" s="2" t="str">
        <f>HYPERLINK("https://ibp.a2mac1.com/costing(costing:projects/details/8191/material/5317037)","Mix Vinyl (80%)")</f>
        <v>Mix Vinyl (80%)</v>
      </c>
      <c r="B163">
        <v>5317037</v>
      </c>
      <c r="C163">
        <v>6972162</v>
      </c>
      <c r="D163" t="s">
        <v>2690</v>
      </c>
      <c r="E163">
        <v>6.41</v>
      </c>
      <c r="F163" t="s">
        <v>1882</v>
      </c>
      <c r="G163">
        <v>75</v>
      </c>
      <c r="H163" t="s">
        <v>2716</v>
      </c>
      <c r="I163">
        <v>0</v>
      </c>
      <c r="J163">
        <v>0.20557651238448796</v>
      </c>
      <c r="K163">
        <v>0</v>
      </c>
      <c r="L163">
        <v>0</v>
      </c>
      <c r="M163">
        <v>0</v>
      </c>
      <c r="O163">
        <v>200000</v>
      </c>
      <c r="R163" t="s">
        <v>2693</v>
      </c>
      <c r="S163">
        <v>0</v>
      </c>
      <c r="T163">
        <v>0.0024648586666666666</v>
      </c>
      <c r="U163" t="s">
        <v>137</v>
      </c>
      <c r="V163">
        <v>0.041878666666666668</v>
      </c>
      <c r="W163">
        <v>1.2408768586666667</v>
      </c>
      <c r="X163" t="s">
        <v>90</v>
      </c>
      <c r="Y163">
        <v>0</v>
      </c>
      <c r="Z163">
        <v>0</v>
      </c>
      <c r="AA163" t="s">
        <v>90</v>
      </c>
      <c r="AB163">
        <v>0</v>
      </c>
      <c r="AC163">
        <v>1.2408768586666667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Q163" t="s">
        <v>140</v>
      </c>
      <c r="AR163" t="s">
        <v>141</v>
      </c>
      <c r="AS163">
        <v>1.1965333333333332</v>
      </c>
    </row>
    <row r="164" spans="1:45" ht="12.75">
      <c r="A164" s="2" t="str">
        <f>HYPERLINK("https://ibp.a2mac1.com/costing(costing:projects/details/8191/material/5317038)","PUR")</f>
        <v>PUR</v>
      </c>
      <c r="B164">
        <v>5317038</v>
      </c>
      <c r="C164">
        <v>6972164</v>
      </c>
      <c r="E164">
        <v>3.37662</v>
      </c>
      <c r="F164" t="s">
        <v>608</v>
      </c>
      <c r="G164">
        <v>95</v>
      </c>
      <c r="H164" t="s">
        <v>2721</v>
      </c>
      <c r="I164">
        <v>5</v>
      </c>
      <c r="J164">
        <v>0.50345253019720215</v>
      </c>
      <c r="K164">
        <v>0</v>
      </c>
      <c r="M164">
        <v>0</v>
      </c>
      <c r="O164">
        <v>200000</v>
      </c>
      <c r="R164" t="s">
        <v>136</v>
      </c>
      <c r="S164">
        <v>0.00054203636842105264</v>
      </c>
      <c r="T164">
        <v>0.0010970816096842104</v>
      </c>
      <c r="U164" t="s">
        <v>137</v>
      </c>
      <c r="V164">
        <v>0.0075885091578947366</v>
      </c>
      <c r="W164">
        <v>0.22495810176757894</v>
      </c>
      <c r="X164" t="s">
        <v>90</v>
      </c>
      <c r="Y164">
        <v>0</v>
      </c>
      <c r="Z164">
        <v>0</v>
      </c>
      <c r="AA164" t="s">
        <v>90</v>
      </c>
      <c r="AB164">
        <v>0</v>
      </c>
      <c r="AC164">
        <v>0.22495810176757894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Q164" t="s">
        <v>140</v>
      </c>
      <c r="AR164" t="s">
        <v>141</v>
      </c>
      <c r="AS164">
        <v>0.21681454736842104</v>
      </c>
    </row>
    <row r="165" spans="1:45" ht="12.75">
      <c r="A165" s="2" t="str">
        <f>HYPERLINK("https://ibp.a2mac1.com/costing(costing:projects/details/8191/material/5317039)","PA6")</f>
        <v>PA6</v>
      </c>
      <c r="B165">
        <v>5317039</v>
      </c>
      <c r="C165">
        <v>6972165</v>
      </c>
      <c r="E165">
        <v>1.72394</v>
      </c>
      <c r="F165" t="s">
        <v>2725</v>
      </c>
      <c r="G165">
        <v>95</v>
      </c>
      <c r="H165" t="s">
        <v>2726</v>
      </c>
      <c r="I165">
        <v>5</v>
      </c>
      <c r="J165">
        <v>0.50345253019720215</v>
      </c>
      <c r="K165">
        <v>0</v>
      </c>
      <c r="M165">
        <v>0</v>
      </c>
      <c r="O165">
        <v>200000</v>
      </c>
      <c r="R165" t="s">
        <v>136</v>
      </c>
      <c r="S165">
        <v>0.0010026072105263158</v>
      </c>
      <c r="T165">
        <v>0.0020292769941052629</v>
      </c>
      <c r="U165" t="s">
        <v>137</v>
      </c>
      <c r="V165">
        <v>0.01403650094736842</v>
      </c>
      <c r="W165">
        <v>0.41610605494147368</v>
      </c>
      <c r="X165" t="s">
        <v>90</v>
      </c>
      <c r="Y165">
        <v>0</v>
      </c>
      <c r="Z165">
        <v>0</v>
      </c>
      <c r="AA165" t="s">
        <v>90</v>
      </c>
      <c r="AB165">
        <v>0</v>
      </c>
      <c r="AC165">
        <v>0.41610605494147368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Q165" t="s">
        <v>140</v>
      </c>
      <c r="AR165" t="s">
        <v>141</v>
      </c>
      <c r="AS165">
        <v>0.40104288421052631</v>
      </c>
    </row>
    <row r="166" spans="1:45" ht="12.75">
      <c r="A166" s="2" t="str">
        <f>HYPERLINK("https://ibp.a2mac1.com/costing(costing:projects/details/8191/material/5317040)","PC-ABS")</f>
        <v>PC-ABS</v>
      </c>
      <c r="B166">
        <v>5317040</v>
      </c>
      <c r="C166">
        <v>6972166</v>
      </c>
      <c r="E166">
        <v>2.29312</v>
      </c>
      <c r="F166" t="s">
        <v>1786</v>
      </c>
      <c r="G166">
        <v>95</v>
      </c>
      <c r="H166" t="s">
        <v>2733</v>
      </c>
      <c r="I166">
        <v>5</v>
      </c>
      <c r="J166">
        <v>0.50345253019720215</v>
      </c>
      <c r="K166">
        <v>0</v>
      </c>
      <c r="M166">
        <v>0</v>
      </c>
      <c r="O166">
        <v>200000</v>
      </c>
      <c r="R166" t="s">
        <v>136</v>
      </c>
      <c r="S166">
        <v>0.00057328000000000001</v>
      </c>
      <c r="T166">
        <v>0.00116031872</v>
      </c>
      <c r="U166" t="s">
        <v>137</v>
      </c>
      <c r="V166">
        <v>0.0080259200000000006</v>
      </c>
      <c r="W166">
        <v>0.23792495872</v>
      </c>
      <c r="X166" t="s">
        <v>90</v>
      </c>
      <c r="Y166">
        <v>0</v>
      </c>
      <c r="Z166">
        <v>0</v>
      </c>
      <c r="AA166" t="s">
        <v>90</v>
      </c>
      <c r="AB166">
        <v>0</v>
      </c>
      <c r="AC166">
        <v>0.23792495872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Q166" t="s">
        <v>140</v>
      </c>
      <c r="AR166" t="s">
        <v>141</v>
      </c>
      <c r="AS166">
        <v>0.22931199999999999</v>
      </c>
    </row>
    <row r="167" spans="1:45" ht="12.75">
      <c r="A167" s="2" t="str">
        <f>HYPERLINK("https://ibp.a2mac1.com/costing(costing:projects/details/8191/material/5317041)","PA6")</f>
        <v>PA6</v>
      </c>
      <c r="B167">
        <v>5317041</v>
      </c>
      <c r="C167">
        <v>6972167</v>
      </c>
      <c r="E167">
        <v>1.72394</v>
      </c>
      <c r="F167" t="s">
        <v>2737</v>
      </c>
      <c r="G167">
        <v>95</v>
      </c>
      <c r="H167" t="s">
        <v>2738</v>
      </c>
      <c r="I167">
        <v>5</v>
      </c>
      <c r="J167">
        <v>0.50345253019720215</v>
      </c>
      <c r="K167">
        <v>0</v>
      </c>
      <c r="M167">
        <v>0</v>
      </c>
      <c r="O167">
        <v>200000</v>
      </c>
      <c r="R167" t="s">
        <v>136</v>
      </c>
      <c r="S167">
        <v>0.00034478800000000001</v>
      </c>
      <c r="T167">
        <v>0.00069785091200000001</v>
      </c>
      <c r="U167" t="s">
        <v>137</v>
      </c>
      <c r="V167">
        <v>0.0048270320000000002</v>
      </c>
      <c r="W167">
        <v>0.14309529491199999</v>
      </c>
      <c r="X167" t="s">
        <v>90</v>
      </c>
      <c r="Y167">
        <v>0</v>
      </c>
      <c r="Z167">
        <v>0</v>
      </c>
      <c r="AA167" t="s">
        <v>90</v>
      </c>
      <c r="AB167">
        <v>0</v>
      </c>
      <c r="AC167">
        <v>0.14309529491199999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Q167" t="s">
        <v>140</v>
      </c>
      <c r="AR167" t="s">
        <v>141</v>
      </c>
      <c r="AS167">
        <v>0.13791519999999999</v>
      </c>
    </row>
    <row r="168" spans="1:45" ht="12.75">
      <c r="A168" s="2" t="str">
        <f>HYPERLINK("https://ibp.a2mac1.com/costing(costing:projects/details/8191/material/5317042)","PA6")</f>
        <v>PA6</v>
      </c>
      <c r="B168">
        <v>5317042</v>
      </c>
      <c r="C168">
        <v>6972168</v>
      </c>
      <c r="E168">
        <v>1.72394</v>
      </c>
      <c r="F168" t="s">
        <v>2743</v>
      </c>
      <c r="G168">
        <v>95</v>
      </c>
      <c r="H168" t="s">
        <v>2744</v>
      </c>
      <c r="I168">
        <v>5</v>
      </c>
      <c r="J168">
        <v>0.50345253019720215</v>
      </c>
      <c r="K168">
        <v>0</v>
      </c>
      <c r="M168">
        <v>0</v>
      </c>
      <c r="O168">
        <v>200000</v>
      </c>
      <c r="R168" t="s">
        <v>136</v>
      </c>
      <c r="S168">
        <v>0.0002313708947368421</v>
      </c>
      <c r="T168">
        <v>0.0004682946909473684</v>
      </c>
      <c r="U168" t="s">
        <v>137</v>
      </c>
      <c r="V168">
        <v>0.0032391925263157897</v>
      </c>
      <c r="W168">
        <v>0.096024474217263164</v>
      </c>
      <c r="X168" t="s">
        <v>90</v>
      </c>
      <c r="Y168">
        <v>0</v>
      </c>
      <c r="Z168">
        <v>0</v>
      </c>
      <c r="AA168" t="s">
        <v>90</v>
      </c>
      <c r="AB168">
        <v>0</v>
      </c>
      <c r="AC168">
        <v>0.096024474217263164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Q168" t="s">
        <v>140</v>
      </c>
      <c r="AR168" t="s">
        <v>141</v>
      </c>
      <c r="AS168">
        <v>0.092548357894736838</v>
      </c>
    </row>
    <row r="169" spans="1:45" ht="12.75">
      <c r="A169" s="2" t="str">
        <f>HYPERLINK("https://ibp.a2mac1.com/costing(costing:projects/details/8191/material/5317043)","PP-PE")</f>
        <v>PP-PE</v>
      </c>
      <c r="B169">
        <v>5317043</v>
      </c>
      <c r="C169">
        <v>6972169</v>
      </c>
      <c r="E169">
        <v>1.34768</v>
      </c>
      <c r="F169" t="s">
        <v>2750</v>
      </c>
      <c r="G169">
        <v>95</v>
      </c>
      <c r="H169" t="s">
        <v>2751</v>
      </c>
      <c r="I169">
        <v>5</v>
      </c>
      <c r="J169">
        <v>0.50345253019720215</v>
      </c>
      <c r="K169">
        <v>0</v>
      </c>
      <c r="M169">
        <v>0</v>
      </c>
      <c r="O169">
        <v>200000</v>
      </c>
      <c r="R169" t="s">
        <v>136</v>
      </c>
      <c r="S169">
        <v>0.00011348884210526316</v>
      </c>
      <c r="T169">
        <v>0.00022970141642105263</v>
      </c>
      <c r="U169" t="s">
        <v>137</v>
      </c>
      <c r="V169">
        <v>0.0015888437894736843</v>
      </c>
      <c r="W169">
        <v>0.047100593205894735</v>
      </c>
      <c r="X169" t="s">
        <v>90</v>
      </c>
      <c r="Y169">
        <v>0</v>
      </c>
      <c r="Z169">
        <v>0</v>
      </c>
      <c r="AA169" t="s">
        <v>90</v>
      </c>
      <c r="AB169">
        <v>0</v>
      </c>
      <c r="AC169">
        <v>0.047100593205894735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Q169" t="s">
        <v>140</v>
      </c>
      <c r="AR169" t="s">
        <v>141</v>
      </c>
      <c r="AS169">
        <v>0.045395536842105261</v>
      </c>
    </row>
    <row r="170" spans="1:45" ht="12.75">
      <c r="A170" s="2" t="str">
        <f>HYPERLINK("https://ibp.a2mac1.com/costing(costing:projects/details/8191/material/5317044)","PP-PE")</f>
        <v>PP-PE</v>
      </c>
      <c r="B170">
        <v>5317044</v>
      </c>
      <c r="C170">
        <v>6972170</v>
      </c>
      <c r="E170">
        <v>1.34768</v>
      </c>
      <c r="F170" t="s">
        <v>2755</v>
      </c>
      <c r="G170">
        <v>95</v>
      </c>
      <c r="H170" t="s">
        <v>2756</v>
      </c>
      <c r="I170">
        <v>5</v>
      </c>
      <c r="J170">
        <v>0.50345253019720215</v>
      </c>
      <c r="K170">
        <v>0</v>
      </c>
      <c r="M170">
        <v>0</v>
      </c>
      <c r="O170">
        <v>200000</v>
      </c>
      <c r="R170" t="s">
        <v>136</v>
      </c>
      <c r="S170">
        <v>8.1570105263157897E-05</v>
      </c>
      <c r="T170">
        <v>0.00016509789305263158</v>
      </c>
      <c r="U170" t="s">
        <v>137</v>
      </c>
      <c r="V170">
        <v>0.0011419814736842106</v>
      </c>
      <c r="W170">
        <v>0.033853551366736845</v>
      </c>
      <c r="X170" t="s">
        <v>90</v>
      </c>
      <c r="Y170">
        <v>0</v>
      </c>
      <c r="Z170">
        <v>0</v>
      </c>
      <c r="AA170" t="s">
        <v>90</v>
      </c>
      <c r="AB170">
        <v>0</v>
      </c>
      <c r="AC170">
        <v>0.033853551366736845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Q170" t="s">
        <v>140</v>
      </c>
      <c r="AR170" t="s">
        <v>141</v>
      </c>
      <c r="AS170">
        <v>0.032628042105263155</v>
      </c>
    </row>
    <row r="171" spans="1:45" ht="12.75">
      <c r="A171" s="2" t="str">
        <f>HYPERLINK("https://ibp.a2mac1.com/costing(costing:projects/details/8191/material/5316835)","Fabric")</f>
        <v>Fabric</v>
      </c>
      <c r="B171">
        <v>5316835</v>
      </c>
      <c r="C171">
        <v>6972077</v>
      </c>
      <c r="D171" t="s">
        <v>2761</v>
      </c>
      <c r="E171">
        <v>3</v>
      </c>
      <c r="F171" t="s">
        <v>1471</v>
      </c>
      <c r="G171">
        <v>100</v>
      </c>
      <c r="H171" t="s">
        <v>2762</v>
      </c>
      <c r="I171">
        <v>0</v>
      </c>
      <c r="J171">
        <v>0.20557651238448796</v>
      </c>
      <c r="K171">
        <v>0</v>
      </c>
      <c r="L171">
        <v>0</v>
      </c>
      <c r="M171">
        <v>0</v>
      </c>
      <c r="O171">
        <v>200000</v>
      </c>
      <c r="R171" t="s">
        <v>2693</v>
      </c>
      <c r="S171">
        <v>0</v>
      </c>
      <c r="T171">
        <v>0.00092699999999999998</v>
      </c>
      <c r="U171" t="s">
        <v>137</v>
      </c>
      <c r="V171">
        <v>0.01575</v>
      </c>
      <c r="W171">
        <v>0.46667700000000001</v>
      </c>
      <c r="X171" t="s">
        <v>90</v>
      </c>
      <c r="Y171">
        <v>0</v>
      </c>
      <c r="Z171">
        <v>0</v>
      </c>
      <c r="AA171" t="s">
        <v>90</v>
      </c>
      <c r="AB171">
        <v>0</v>
      </c>
      <c r="AC171">
        <v>0.46667700000000001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Q171" t="s">
        <v>9</v>
      </c>
      <c r="AR171" t="s">
        <v>141</v>
      </c>
      <c r="AS171">
        <v>0.45</v>
      </c>
    </row>
    <row r="172" spans="1:45" ht="12.75">
      <c r="A172" s="2" t="str">
        <f>HYPERLINK("https://ibp.a2mac1.com/costing(costing:projects/details/8191/material/5316836)","Vinyl Perforated")</f>
        <v>Vinyl Perforated</v>
      </c>
      <c r="B172">
        <v>5316836</v>
      </c>
      <c r="C172">
        <v>6972077</v>
      </c>
      <c r="D172" t="s">
        <v>2690</v>
      </c>
      <c r="E172">
        <v>12.89988</v>
      </c>
      <c r="F172" t="s">
        <v>2764</v>
      </c>
      <c r="G172">
        <v>75</v>
      </c>
      <c r="H172" t="s">
        <v>2765</v>
      </c>
      <c r="I172">
        <v>50</v>
      </c>
      <c r="J172">
        <v>0.20557651238448796</v>
      </c>
      <c r="K172">
        <v>0</v>
      </c>
      <c r="L172">
        <v>0</v>
      </c>
      <c r="M172">
        <v>0</v>
      </c>
      <c r="O172">
        <v>200000</v>
      </c>
      <c r="R172" t="s">
        <v>2693</v>
      </c>
      <c r="S172">
        <v>0.53749499999999995</v>
      </c>
      <c r="T172">
        <v>0.0088579175999999992</v>
      </c>
      <c r="U172" t="s">
        <v>137</v>
      </c>
      <c r="V172">
        <v>0.15049860000000001</v>
      </c>
      <c r="W172">
        <v>3.9218215176000002</v>
      </c>
      <c r="X172" t="s">
        <v>90</v>
      </c>
      <c r="Y172">
        <v>0</v>
      </c>
      <c r="Z172">
        <v>0</v>
      </c>
      <c r="AA172" t="s">
        <v>90</v>
      </c>
      <c r="AB172">
        <v>0</v>
      </c>
      <c r="AC172">
        <v>3.9218215176000002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Q172" t="s">
        <v>9</v>
      </c>
      <c r="AR172" t="s">
        <v>141</v>
      </c>
      <c r="AS172">
        <v>4.2999599999999996</v>
      </c>
    </row>
    <row r="173" spans="1:45" ht="12.75">
      <c r="A173" s="2" t="str">
        <f>HYPERLINK("https://ibp.a2mac1.com/costing(costing:projects/details/8191/material/5316837)","Mix Vinyl (80%)")</f>
        <v>Mix Vinyl (80%)</v>
      </c>
      <c r="B173">
        <v>5316837</v>
      </c>
      <c r="C173">
        <v>6972077</v>
      </c>
      <c r="D173" t="s">
        <v>2690</v>
      </c>
      <c r="E173">
        <v>6.41</v>
      </c>
      <c r="F173" t="s">
        <v>2766</v>
      </c>
      <c r="G173">
        <v>75</v>
      </c>
      <c r="H173" t="s">
        <v>2767</v>
      </c>
      <c r="I173">
        <v>0</v>
      </c>
      <c r="J173">
        <v>0.20557651238448796</v>
      </c>
      <c r="K173">
        <v>0</v>
      </c>
      <c r="L173">
        <v>0</v>
      </c>
      <c r="M173">
        <v>0</v>
      </c>
      <c r="O173">
        <v>200000</v>
      </c>
      <c r="R173" t="s">
        <v>2693</v>
      </c>
      <c r="S173">
        <v>0</v>
      </c>
      <c r="T173">
        <v>0.021831605333333334</v>
      </c>
      <c r="U173" t="s">
        <v>137</v>
      </c>
      <c r="V173">
        <v>0.37092533333333333</v>
      </c>
      <c r="W173">
        <v>10.990623605333333</v>
      </c>
      <c r="X173" t="s">
        <v>90</v>
      </c>
      <c r="Y173">
        <v>0</v>
      </c>
      <c r="Z173">
        <v>0</v>
      </c>
      <c r="AA173" t="s">
        <v>90</v>
      </c>
      <c r="AB173">
        <v>0</v>
      </c>
      <c r="AC173">
        <v>10.990623605333333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Q173" t="s">
        <v>140</v>
      </c>
      <c r="AR173" t="s">
        <v>141</v>
      </c>
      <c r="AS173">
        <v>10.597866666666667</v>
      </c>
    </row>
    <row r="174" spans="1:45" ht="12.75">
      <c r="A174" s="2" t="str">
        <f>HYPERLINK("https://ibp.a2mac1.com/costing(costing:projects/details/8191/material/5316838)","PUR")</f>
        <v>PUR</v>
      </c>
      <c r="B174">
        <v>5316838</v>
      </c>
      <c r="C174">
        <v>6972079</v>
      </c>
      <c r="E174">
        <v>3.37662</v>
      </c>
      <c r="F174" t="s">
        <v>2772</v>
      </c>
      <c r="G174">
        <v>95</v>
      </c>
      <c r="H174" t="s">
        <v>2773</v>
      </c>
      <c r="I174">
        <v>5</v>
      </c>
      <c r="J174">
        <v>0.50345253019720215</v>
      </c>
      <c r="K174">
        <v>0</v>
      </c>
      <c r="L174">
        <v>0</v>
      </c>
      <c r="M174">
        <v>0</v>
      </c>
      <c r="O174">
        <v>200000</v>
      </c>
      <c r="R174" t="s">
        <v>136</v>
      </c>
      <c r="S174">
        <v>0.013302105631578947</v>
      </c>
      <c r="T174">
        <v>0.026923461798315791</v>
      </c>
      <c r="U174" t="s">
        <v>137</v>
      </c>
      <c r="V174">
        <v>0.18622947884210525</v>
      </c>
      <c r="W174">
        <v>5.5206930876404208</v>
      </c>
      <c r="X174" t="s">
        <v>90</v>
      </c>
      <c r="Y174">
        <v>0</v>
      </c>
      <c r="Z174">
        <v>0</v>
      </c>
      <c r="AA174" t="s">
        <v>90</v>
      </c>
      <c r="AB174">
        <v>0</v>
      </c>
      <c r="AC174">
        <v>5.5206930876404208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Q174" t="s">
        <v>140</v>
      </c>
      <c r="AR174" t="s">
        <v>141</v>
      </c>
      <c r="AS174">
        <v>5.3208422526315786</v>
      </c>
    </row>
    <row r="175" spans="1:45" ht="12.75">
      <c r="A175" s="2" t="str">
        <f>HYPERLINK("https://ibp.a2mac1.com/costing(costing:projects/details/8191/material/5316839)","Steel sheet (default)")</f>
        <v>Steel sheet (default)</v>
      </c>
      <c r="B175">
        <v>5316839</v>
      </c>
      <c r="C175">
        <v>6972113</v>
      </c>
      <c r="E175">
        <v>0.52766000000000002</v>
      </c>
      <c r="F175" t="s">
        <v>2779</v>
      </c>
      <c r="G175">
        <v>75</v>
      </c>
      <c r="H175" t="s">
        <v>2780</v>
      </c>
      <c r="I175">
        <v>30</v>
      </c>
      <c r="J175">
        <v>0.50345253019720215</v>
      </c>
      <c r="K175">
        <v>0</v>
      </c>
      <c r="L175">
        <v>0</v>
      </c>
      <c r="M175">
        <v>0</v>
      </c>
      <c r="O175">
        <v>200000</v>
      </c>
      <c r="R175" t="s">
        <v>136</v>
      </c>
      <c r="S175">
        <v>0.16199162</v>
      </c>
      <c r="T175">
        <v>0.010929034629333333</v>
      </c>
      <c r="U175" t="s">
        <v>137</v>
      </c>
      <c r="V175">
        <v>0.075596089333333338</v>
      </c>
      <c r="W175">
        <v>2.0844217706293335</v>
      </c>
      <c r="X175" t="s">
        <v>90</v>
      </c>
      <c r="Y175">
        <v>0</v>
      </c>
      <c r="Z175">
        <v>0</v>
      </c>
      <c r="AA175" t="s">
        <v>90</v>
      </c>
      <c r="AB175">
        <v>0</v>
      </c>
      <c r="AC175">
        <v>2.0844217706293335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Q175" t="s">
        <v>140</v>
      </c>
      <c r="AR175" t="s">
        <v>141</v>
      </c>
      <c r="AS175">
        <v>2.1598882666666666</v>
      </c>
    </row>
    <row r="176" spans="1:45" ht="12.75">
      <c r="A176" s="2" t="str">
        <f>HYPERLINK("https://ibp.a2mac1.com/costing(costing:projects/details/8191/material/5316841)","Cataphoresis paint")</f>
        <v>Cataphoresis paint</v>
      </c>
      <c r="B176">
        <v>5316841</v>
      </c>
      <c r="C176">
        <v>6972113</v>
      </c>
      <c r="E176">
        <v>12</v>
      </c>
      <c r="F176" t="s">
        <v>2781</v>
      </c>
      <c r="G176">
        <v>98</v>
      </c>
      <c r="H176" t="s">
        <v>2782</v>
      </c>
      <c r="I176">
        <v>0</v>
      </c>
      <c r="J176">
        <v>0.50345253019720215</v>
      </c>
      <c r="K176">
        <v>0</v>
      </c>
      <c r="L176">
        <v>0</v>
      </c>
      <c r="M176">
        <v>0</v>
      </c>
      <c r="O176">
        <v>200000</v>
      </c>
      <c r="R176" t="s">
        <v>136</v>
      </c>
      <c r="S176">
        <v>0</v>
      </c>
      <c r="T176">
        <v>0.0022119428571428573</v>
      </c>
      <c r="U176" t="s">
        <v>137</v>
      </c>
      <c r="V176">
        <v>0.015299999999999999</v>
      </c>
      <c r="W176">
        <v>0.45465480000000003</v>
      </c>
      <c r="X176" t="s">
        <v>90</v>
      </c>
      <c r="Y176">
        <v>0</v>
      </c>
      <c r="Z176">
        <v>0</v>
      </c>
      <c r="AA176" t="s">
        <v>90</v>
      </c>
      <c r="AB176">
        <v>0</v>
      </c>
      <c r="AC176">
        <v>0.45465480000000003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Q176" t="s">
        <v>140</v>
      </c>
      <c r="AR176" t="s">
        <v>141</v>
      </c>
      <c r="AS176">
        <v>0.43714285714285717</v>
      </c>
    </row>
    <row r="177" spans="1:45" ht="12.75">
      <c r="A177" s="2" t="str">
        <f>HYPERLINK("https://ibp.a2mac1.com/costing(costing:projects/details/8191/material/5316842)","EPP")</f>
        <v>EPP</v>
      </c>
      <c r="B177">
        <v>5316842</v>
      </c>
      <c r="C177">
        <v>6972114</v>
      </c>
      <c r="E177">
        <v>2.5973999999999999</v>
      </c>
      <c r="F177" t="s">
        <v>2785</v>
      </c>
      <c r="G177">
        <v>95</v>
      </c>
      <c r="H177" t="s">
        <v>2786</v>
      </c>
      <c r="I177">
        <v>5</v>
      </c>
      <c r="J177">
        <v>0.50345253019720215</v>
      </c>
      <c r="K177">
        <v>0</v>
      </c>
      <c r="L177">
        <v>0</v>
      </c>
      <c r="M177">
        <v>0</v>
      </c>
      <c r="O177">
        <v>200000</v>
      </c>
      <c r="R177" t="s">
        <v>136</v>
      </c>
      <c r="S177">
        <v>0.00020847552631578947</v>
      </c>
      <c r="T177">
        <v>0.00042195446526315791</v>
      </c>
      <c r="U177" t="s">
        <v>137</v>
      </c>
      <c r="V177">
        <v>0.0029186573684210526</v>
      </c>
      <c r="W177">
        <v>0.086522346833684205</v>
      </c>
      <c r="X177" t="s">
        <v>90</v>
      </c>
      <c r="Y177">
        <v>0</v>
      </c>
      <c r="Z177">
        <v>0</v>
      </c>
      <c r="AA177" t="s">
        <v>90</v>
      </c>
      <c r="AB177">
        <v>0</v>
      </c>
      <c r="AC177">
        <v>0.086522346833684205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Q177" t="s">
        <v>140</v>
      </c>
      <c r="AR177" t="s">
        <v>141</v>
      </c>
      <c r="AS177">
        <v>0.083390210526315789</v>
      </c>
    </row>
    <row r="178" spans="1:45" ht="12.75">
      <c r="A178" s="2" t="str">
        <f>HYPERLINK("https://ibp.a2mac1.com/costing(costing:projects/details/8191/material/5317045)","PP-PE")</f>
        <v>PP-PE</v>
      </c>
      <c r="B178">
        <v>5317045</v>
      </c>
      <c r="C178">
        <v>6972171</v>
      </c>
      <c r="E178">
        <v>1.34768</v>
      </c>
      <c r="F178" t="s">
        <v>2794</v>
      </c>
      <c r="G178">
        <v>95</v>
      </c>
      <c r="H178" t="s">
        <v>2795</v>
      </c>
      <c r="I178">
        <v>5</v>
      </c>
      <c r="J178">
        <v>0.50345253019720215</v>
      </c>
      <c r="K178">
        <v>0</v>
      </c>
      <c r="M178">
        <v>0</v>
      </c>
      <c r="O178">
        <v>200000</v>
      </c>
      <c r="R178" t="s">
        <v>136</v>
      </c>
      <c r="S178">
        <v>0.00097174821052631582</v>
      </c>
      <c r="T178">
        <v>0.0019668183781052632</v>
      </c>
      <c r="U178" t="s">
        <v>137</v>
      </c>
      <c r="V178">
        <v>0.013604474947368422</v>
      </c>
      <c r="W178">
        <v>0.40329882932547367</v>
      </c>
      <c r="X178" t="s">
        <v>90</v>
      </c>
      <c r="Y178">
        <v>0</v>
      </c>
      <c r="Z178">
        <v>0</v>
      </c>
      <c r="AA178" t="s">
        <v>90</v>
      </c>
      <c r="AB178">
        <v>0</v>
      </c>
      <c r="AC178">
        <v>0.40329882932547367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Q178" t="s">
        <v>140</v>
      </c>
      <c r="AR178" t="s">
        <v>141</v>
      </c>
      <c r="AS178">
        <v>0.3886992842105263</v>
      </c>
    </row>
    <row r="179" spans="1:45" ht="12.75">
      <c r="A179" s="2" t="str">
        <f>HYPERLINK("https://ibp.a2mac1.com/costing(costing:projects/details/8191/material/5317046)","PP")</f>
        <v>PP</v>
      </c>
      <c r="B179">
        <v>5317046</v>
      </c>
      <c r="C179">
        <v>6972172</v>
      </c>
      <c r="E179">
        <v>1.0113799999999999</v>
      </c>
      <c r="F179" t="s">
        <v>2800</v>
      </c>
      <c r="G179">
        <v>95</v>
      </c>
      <c r="H179" t="s">
        <v>2801</v>
      </c>
      <c r="I179">
        <v>5</v>
      </c>
      <c r="J179">
        <v>0.50345253019720215</v>
      </c>
      <c r="K179">
        <v>0</v>
      </c>
      <c r="M179">
        <v>0</v>
      </c>
      <c r="O179">
        <v>200000</v>
      </c>
      <c r="R179" t="s">
        <v>136</v>
      </c>
      <c r="S179">
        <v>0.00033801384210526314</v>
      </c>
      <c r="T179">
        <v>0.00068414001642105263</v>
      </c>
      <c r="U179" t="s">
        <v>137</v>
      </c>
      <c r="V179">
        <v>0.0047321937894736843</v>
      </c>
      <c r="W179">
        <v>0.14028385680589472</v>
      </c>
      <c r="X179" t="s">
        <v>90</v>
      </c>
      <c r="Y179">
        <v>0</v>
      </c>
      <c r="Z179">
        <v>0</v>
      </c>
      <c r="AA179" t="s">
        <v>90</v>
      </c>
      <c r="AB179">
        <v>0</v>
      </c>
      <c r="AC179">
        <v>0.14028385680589472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Q179" t="s">
        <v>140</v>
      </c>
      <c r="AR179" t="s">
        <v>141</v>
      </c>
      <c r="AS179">
        <v>0.13520553684210526</v>
      </c>
    </row>
    <row r="180" spans="1:45" ht="12.75">
      <c r="A180" s="2" t="str">
        <f>HYPERLINK("https://ibp.a2mac1.com/costing(costing:projects/details/8191/material/5317047)","PP-PE")</f>
        <v>PP-PE</v>
      </c>
      <c r="B180">
        <v>5317047</v>
      </c>
      <c r="C180">
        <v>6972173</v>
      </c>
      <c r="E180">
        <v>1.34768</v>
      </c>
      <c r="F180" t="s">
        <v>2805</v>
      </c>
      <c r="G180">
        <v>95</v>
      </c>
      <c r="H180" t="s">
        <v>2806</v>
      </c>
      <c r="I180">
        <v>5</v>
      </c>
      <c r="J180">
        <v>0.50345253019720215</v>
      </c>
      <c r="K180">
        <v>0</v>
      </c>
      <c r="M180">
        <v>0</v>
      </c>
      <c r="O180">
        <v>200000</v>
      </c>
      <c r="R180" t="s">
        <v>136</v>
      </c>
      <c r="S180">
        <v>0.00031209431578947368</v>
      </c>
      <c r="T180">
        <v>0.00063167889515789474</v>
      </c>
      <c r="U180" t="s">
        <v>137</v>
      </c>
      <c r="V180">
        <v>0.0043693204210526315</v>
      </c>
      <c r="W180">
        <v>0.12952663131621053</v>
      </c>
      <c r="X180" t="s">
        <v>90</v>
      </c>
      <c r="Y180">
        <v>0</v>
      </c>
      <c r="Z180">
        <v>0</v>
      </c>
      <c r="AA180" t="s">
        <v>90</v>
      </c>
      <c r="AB180">
        <v>0</v>
      </c>
      <c r="AC180">
        <v>0.12952663131621053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Q180" t="s">
        <v>140</v>
      </c>
      <c r="AR180" t="s">
        <v>141</v>
      </c>
      <c r="AS180">
        <v>0.12483772631578947</v>
      </c>
    </row>
    <row r="181" spans="1:45" ht="12.75">
      <c r="A181" s="2" t="str">
        <f>HYPERLINK("https://ibp.a2mac1.com/costing(costing:projects/details/8191/material/5316845)","Fabric")</f>
        <v>Fabric</v>
      </c>
      <c r="B181">
        <v>5316845</v>
      </c>
      <c r="C181">
        <v>6972115</v>
      </c>
      <c r="D181" t="s">
        <v>2816</v>
      </c>
      <c r="E181">
        <v>3</v>
      </c>
      <c r="F181" t="s">
        <v>2142</v>
      </c>
      <c r="G181">
        <v>100</v>
      </c>
      <c r="H181" t="s">
        <v>2817</v>
      </c>
      <c r="I181">
        <v>0</v>
      </c>
      <c r="J181">
        <v>0.20557651238448796</v>
      </c>
      <c r="K181">
        <v>0</v>
      </c>
      <c r="L181">
        <v>0</v>
      </c>
      <c r="M181">
        <v>0</v>
      </c>
      <c r="O181">
        <v>200000</v>
      </c>
      <c r="R181" t="s">
        <v>2693</v>
      </c>
      <c r="S181">
        <v>0</v>
      </c>
      <c r="T181">
        <v>0.0014832000000000001</v>
      </c>
      <c r="U181" t="s">
        <v>137</v>
      </c>
      <c r="V181">
        <v>0.0252</v>
      </c>
      <c r="W181">
        <v>0.74668319999999999</v>
      </c>
      <c r="X181" t="s">
        <v>90</v>
      </c>
      <c r="Y181">
        <v>0</v>
      </c>
      <c r="Z181">
        <v>0</v>
      </c>
      <c r="AA181" t="s">
        <v>90</v>
      </c>
      <c r="AB181">
        <v>0</v>
      </c>
      <c r="AC181">
        <v>0.74668319999999999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Q181" t="s">
        <v>9</v>
      </c>
      <c r="AR181" t="s">
        <v>141</v>
      </c>
      <c r="AS181">
        <v>0.72</v>
      </c>
    </row>
    <row r="182" spans="1:45" ht="12.75">
      <c r="A182" s="2" t="str">
        <f>HYPERLINK("https://ibp.a2mac1.com/costing(costing:projects/details/8191/material/5316846)","Vinyl Perforated")</f>
        <v>Vinyl Perforated</v>
      </c>
      <c r="B182">
        <v>5316846</v>
      </c>
      <c r="C182">
        <v>6972115</v>
      </c>
      <c r="D182" t="s">
        <v>2690</v>
      </c>
      <c r="E182">
        <v>12.89988</v>
      </c>
      <c r="F182" t="s">
        <v>2819</v>
      </c>
      <c r="G182">
        <v>75</v>
      </c>
      <c r="H182" t="s">
        <v>2820</v>
      </c>
      <c r="I182">
        <v>50</v>
      </c>
      <c r="J182">
        <v>0.20557651238448796</v>
      </c>
      <c r="K182">
        <v>0</v>
      </c>
      <c r="L182">
        <v>0</v>
      </c>
      <c r="M182">
        <v>0</v>
      </c>
      <c r="O182">
        <v>200000</v>
      </c>
      <c r="R182" t="s">
        <v>2693</v>
      </c>
      <c r="S182">
        <v>0.34399679999999999</v>
      </c>
      <c r="T182">
        <v>0.0056690672639999997</v>
      </c>
      <c r="U182" t="s">
        <v>137</v>
      </c>
      <c r="V182">
        <v>0.096319104000000003</v>
      </c>
      <c r="W182">
        <v>2.509965771264</v>
      </c>
      <c r="X182" t="s">
        <v>90</v>
      </c>
      <c r="Y182">
        <v>0</v>
      </c>
      <c r="Z182">
        <v>0</v>
      </c>
      <c r="AA182" t="s">
        <v>90</v>
      </c>
      <c r="AB182">
        <v>0</v>
      </c>
      <c r="AC182">
        <v>2.509965771264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Q182" t="s">
        <v>9</v>
      </c>
      <c r="AR182" t="s">
        <v>141</v>
      </c>
      <c r="AS182">
        <v>2.7519743999999999</v>
      </c>
    </row>
    <row r="183" spans="1:45" ht="12.75">
      <c r="A183" s="2" t="str">
        <f>HYPERLINK("https://ibp.a2mac1.com/costing(costing:projects/details/8191/material/5316847)","Mix Vinyl (80%)")</f>
        <v>Mix Vinyl (80%)</v>
      </c>
      <c r="B183">
        <v>5316847</v>
      </c>
      <c r="C183">
        <v>6972115</v>
      </c>
      <c r="D183" t="s">
        <v>2690</v>
      </c>
      <c r="E183">
        <v>6.41</v>
      </c>
      <c r="F183" t="s">
        <v>2510</v>
      </c>
      <c r="G183">
        <v>75</v>
      </c>
      <c r="H183" t="s">
        <v>2821</v>
      </c>
      <c r="I183">
        <v>0</v>
      </c>
      <c r="J183">
        <v>0.20557651238448796</v>
      </c>
      <c r="K183">
        <v>0</v>
      </c>
      <c r="L183">
        <v>0</v>
      </c>
      <c r="M183">
        <v>0</v>
      </c>
      <c r="O183">
        <v>200000</v>
      </c>
      <c r="R183" t="s">
        <v>2693</v>
      </c>
      <c r="S183">
        <v>0</v>
      </c>
      <c r="T183">
        <v>0.008098821333333334</v>
      </c>
      <c r="U183" t="s">
        <v>137</v>
      </c>
      <c r="V183">
        <v>0.13760133333333333</v>
      </c>
      <c r="W183">
        <v>4.077166821333333</v>
      </c>
      <c r="X183" t="s">
        <v>90</v>
      </c>
      <c r="Y183">
        <v>0</v>
      </c>
      <c r="Z183">
        <v>0</v>
      </c>
      <c r="AA183" t="s">
        <v>90</v>
      </c>
      <c r="AB183">
        <v>0</v>
      </c>
      <c r="AC183">
        <v>4.077166821333333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Q183" t="s">
        <v>140</v>
      </c>
      <c r="AR183" t="s">
        <v>141</v>
      </c>
      <c r="AS183">
        <v>3.9314666666666667</v>
      </c>
    </row>
    <row r="184" spans="1:45" ht="12.75">
      <c r="A184" s="2" t="str">
        <f>HYPERLINK("https://ibp.a2mac1.com/costing(costing:projects/details/8191/material/5316848)","Carpet")</f>
        <v>Carpet</v>
      </c>
      <c r="B184">
        <v>5316848</v>
      </c>
      <c r="C184">
        <v>6972115</v>
      </c>
      <c r="D184" t="s">
        <v>2690</v>
      </c>
      <c r="E184">
        <v>5</v>
      </c>
      <c r="F184" t="s">
        <v>2822</v>
      </c>
      <c r="G184">
        <v>75</v>
      </c>
      <c r="H184" t="s">
        <v>2823</v>
      </c>
      <c r="I184">
        <v>50</v>
      </c>
      <c r="J184">
        <v>0.20557651238448796</v>
      </c>
      <c r="K184">
        <v>0</v>
      </c>
      <c r="L184">
        <v>0</v>
      </c>
      <c r="M184">
        <v>0</v>
      </c>
      <c r="O184">
        <v>200000</v>
      </c>
      <c r="R184" t="s">
        <v>2693</v>
      </c>
      <c r="S184">
        <v>0.28333333333333333</v>
      </c>
      <c r="T184">
        <v>0.0046693333333333335</v>
      </c>
      <c r="U184" t="s">
        <v>137</v>
      </c>
      <c r="V184">
        <v>0.079333333333333339</v>
      </c>
      <c r="W184">
        <v>2.0673360000000001</v>
      </c>
      <c r="X184" t="s">
        <v>90</v>
      </c>
      <c r="Y184">
        <v>0</v>
      </c>
      <c r="Z184">
        <v>0</v>
      </c>
      <c r="AA184" t="s">
        <v>90</v>
      </c>
      <c r="AB184">
        <v>0</v>
      </c>
      <c r="AC184">
        <v>2.0673360000000001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Q184" t="s">
        <v>9</v>
      </c>
      <c r="AR184" t="s">
        <v>141</v>
      </c>
      <c r="AS184">
        <v>2.2666666666666666</v>
      </c>
    </row>
    <row r="185" spans="1:45" ht="12.75">
      <c r="A185" s="2" t="str">
        <f>HYPERLINK("https://ibp.a2mac1.com/costing(costing:projects/details/8191/material/5316849)","PUR")</f>
        <v>PUR</v>
      </c>
      <c r="B185">
        <v>5316849</v>
      </c>
      <c r="C185">
        <v>6972117</v>
      </c>
      <c r="E185">
        <v>3.37662</v>
      </c>
      <c r="F185" t="s">
        <v>2827</v>
      </c>
      <c r="G185">
        <v>95</v>
      </c>
      <c r="H185" t="s">
        <v>2828</v>
      </c>
      <c r="I185">
        <v>5</v>
      </c>
      <c r="J185">
        <v>0.50345253019720215</v>
      </c>
      <c r="K185">
        <v>0</v>
      </c>
      <c r="L185">
        <v>0</v>
      </c>
      <c r="M185">
        <v>0</v>
      </c>
      <c r="O185">
        <v>200000</v>
      </c>
      <c r="R185" t="s">
        <v>136</v>
      </c>
      <c r="S185">
        <v>0.012706754210526316</v>
      </c>
      <c r="T185">
        <v>0.025718470522105262</v>
      </c>
      <c r="U185" t="s">
        <v>137</v>
      </c>
      <c r="V185">
        <v>0.17789455894736841</v>
      </c>
      <c r="W185">
        <v>5.2736079594694738</v>
      </c>
      <c r="X185" t="s">
        <v>90</v>
      </c>
      <c r="Y185">
        <v>0</v>
      </c>
      <c r="Z185">
        <v>0</v>
      </c>
      <c r="AA185" t="s">
        <v>90</v>
      </c>
      <c r="AB185">
        <v>0</v>
      </c>
      <c r="AC185">
        <v>5.2736079594694738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Q185" t="s">
        <v>140</v>
      </c>
      <c r="AR185" t="s">
        <v>141</v>
      </c>
      <c r="AS185">
        <v>5.0827016842105266</v>
      </c>
    </row>
    <row r="186" spans="1:45" ht="12.75">
      <c r="A186" s="2" t="str">
        <f>HYPERLINK("https://ibp.a2mac1.com/costing(costing:projects/details/8191/material/5316850)","Steel sheet (default)")</f>
        <v>Steel sheet (default)</v>
      </c>
      <c r="B186">
        <v>5316850</v>
      </c>
      <c r="C186">
        <v>6972118</v>
      </c>
      <c r="E186">
        <v>0.52766000000000002</v>
      </c>
      <c r="F186" t="s">
        <v>2832</v>
      </c>
      <c r="G186">
        <v>50</v>
      </c>
      <c r="H186" t="s">
        <v>2833</v>
      </c>
      <c r="I186">
        <v>30</v>
      </c>
      <c r="J186">
        <v>0.50345253019720215</v>
      </c>
      <c r="K186">
        <v>0</v>
      </c>
      <c r="L186">
        <v>0</v>
      </c>
      <c r="M186">
        <v>0</v>
      </c>
      <c r="O186">
        <v>200000</v>
      </c>
      <c r="R186" t="s">
        <v>136</v>
      </c>
      <c r="S186">
        <v>0.55166853000000005</v>
      </c>
      <c r="T186">
        <v>0.018609618412000001</v>
      </c>
      <c r="U186" t="s">
        <v>137</v>
      </c>
      <c r="V186">
        <v>0.12872265699999999</v>
      </c>
      <c r="W186">
        <v>3.2734539454120002</v>
      </c>
      <c r="X186" t="s">
        <v>90</v>
      </c>
      <c r="Y186">
        <v>0</v>
      </c>
      <c r="Z186">
        <v>0</v>
      </c>
      <c r="AA186" t="s">
        <v>90</v>
      </c>
      <c r="AB186">
        <v>0</v>
      </c>
      <c r="AC186">
        <v>3.2734539454120002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Q186" t="s">
        <v>140</v>
      </c>
      <c r="AR186" t="s">
        <v>141</v>
      </c>
      <c r="AS186">
        <v>3.6777902</v>
      </c>
    </row>
    <row r="187" spans="1:45" ht="12.75">
      <c r="A187" s="2" t="str">
        <f>HYPERLINK("https://ibp.a2mac1.com/costing(costing:projects/details/8191/material/5316851)","Cataphoresis paint")</f>
        <v>Cataphoresis paint</v>
      </c>
      <c r="B187">
        <v>5316851</v>
      </c>
      <c r="C187">
        <v>6972118</v>
      </c>
      <c r="E187">
        <v>12</v>
      </c>
      <c r="F187" t="s">
        <v>1885</v>
      </c>
      <c r="G187">
        <v>100</v>
      </c>
      <c r="H187" t="s">
        <v>1273</v>
      </c>
      <c r="I187">
        <v>0</v>
      </c>
      <c r="J187">
        <v>0.50345253019720215</v>
      </c>
      <c r="K187">
        <v>0</v>
      </c>
      <c r="L187">
        <v>0</v>
      </c>
      <c r="M187">
        <v>0</v>
      </c>
      <c r="O187">
        <v>200000</v>
      </c>
      <c r="R187" t="s">
        <v>79</v>
      </c>
      <c r="S187">
        <v>0</v>
      </c>
      <c r="T187">
        <v>0.0024288000000000001</v>
      </c>
      <c r="U187" t="s">
        <v>137</v>
      </c>
      <c r="V187">
        <v>0.016799999999999999</v>
      </c>
      <c r="W187">
        <v>0.49922879999999997</v>
      </c>
      <c r="X187" t="s">
        <v>90</v>
      </c>
      <c r="Y187">
        <v>0</v>
      </c>
      <c r="Z187">
        <v>0</v>
      </c>
      <c r="AA187" t="s">
        <v>90</v>
      </c>
      <c r="AB187">
        <v>0</v>
      </c>
      <c r="AC187">
        <v>0.49922879999999997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Q187" t="s">
        <v>140</v>
      </c>
      <c r="AR187" t="s">
        <v>141</v>
      </c>
      <c r="AS187">
        <v>0.48</v>
      </c>
    </row>
    <row r="188" spans="1:45" ht="12.75">
      <c r="A188" s="2" t="str">
        <f>HYPERLINK("https://ibp.a2mac1.com/costing(costing:projects/details/8191/material/5316852)","Steel sheet (default)")</f>
        <v>Steel sheet (default)</v>
      </c>
      <c r="B188">
        <v>5316852</v>
      </c>
      <c r="C188">
        <v>6972119</v>
      </c>
      <c r="E188">
        <v>0.52766000000000002</v>
      </c>
      <c r="F188" t="s">
        <v>2837</v>
      </c>
      <c r="G188">
        <v>65</v>
      </c>
      <c r="H188" t="s">
        <v>2838</v>
      </c>
      <c r="I188">
        <v>30</v>
      </c>
      <c r="J188">
        <v>0.50345253019720215</v>
      </c>
      <c r="K188">
        <v>0</v>
      </c>
      <c r="L188">
        <v>0</v>
      </c>
      <c r="M188">
        <v>0</v>
      </c>
      <c r="O188">
        <v>200000</v>
      </c>
      <c r="R188" t="s">
        <v>136</v>
      </c>
      <c r="S188">
        <v>0.094869209076923075</v>
      </c>
      <c r="T188">
        <v>0.0045717923612307691</v>
      </c>
      <c r="U188" t="s">
        <v>137</v>
      </c>
      <c r="V188">
        <v>0.031623069692307694</v>
      </c>
      <c r="W188">
        <v>0.84484192989969231</v>
      </c>
      <c r="X188" t="s">
        <v>90</v>
      </c>
      <c r="Y188">
        <v>0</v>
      </c>
      <c r="Z188">
        <v>0</v>
      </c>
      <c r="AA188" t="s">
        <v>90</v>
      </c>
      <c r="AB188">
        <v>0</v>
      </c>
      <c r="AC188">
        <v>0.84484192989969231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Q188" t="s">
        <v>140</v>
      </c>
      <c r="AR188" t="s">
        <v>141</v>
      </c>
      <c r="AS188">
        <v>0.9035162769230769</v>
      </c>
    </row>
    <row r="189" spans="1:45" ht="12.75">
      <c r="A189" s="2" t="str">
        <f>HYPERLINK("https://ibp.a2mac1.com/costing(costing:projects/details/8191/material/5316853)","Cataphoresis paint")</f>
        <v>Cataphoresis paint</v>
      </c>
      <c r="B189">
        <v>5316853</v>
      </c>
      <c r="C189">
        <v>6972119</v>
      </c>
      <c r="E189">
        <v>12</v>
      </c>
      <c r="F189" t="s">
        <v>2840</v>
      </c>
      <c r="G189">
        <v>100</v>
      </c>
      <c r="H189" t="s">
        <v>2841</v>
      </c>
      <c r="I189">
        <v>0</v>
      </c>
      <c r="J189">
        <v>0.50345253019720215</v>
      </c>
      <c r="K189">
        <v>0</v>
      </c>
      <c r="L189">
        <v>0</v>
      </c>
      <c r="M189">
        <v>0</v>
      </c>
      <c r="O189">
        <v>200000</v>
      </c>
      <c r="R189" t="s">
        <v>79</v>
      </c>
      <c r="S189">
        <v>0</v>
      </c>
      <c r="T189">
        <v>0.0021251999999999998</v>
      </c>
      <c r="U189" t="s">
        <v>137</v>
      </c>
      <c r="V189">
        <v>0.0147</v>
      </c>
      <c r="W189">
        <v>0.43682520000000002</v>
      </c>
      <c r="X189" t="s">
        <v>90</v>
      </c>
      <c r="Y189">
        <v>0</v>
      </c>
      <c r="Z189">
        <v>0</v>
      </c>
      <c r="AA189" t="s">
        <v>90</v>
      </c>
      <c r="AB189">
        <v>0</v>
      </c>
      <c r="AC189">
        <v>0.43682520000000002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Q189" t="s">
        <v>140</v>
      </c>
      <c r="AR189" t="s">
        <v>141</v>
      </c>
      <c r="AS189">
        <v>0.42</v>
      </c>
    </row>
    <row r="190" spans="1:45" ht="12.75">
      <c r="A190" s="2" t="str">
        <f>HYPERLINK("https://ibp.a2mac1.com/costing(costing:projects/details/8191/material/5317048)","Steel sheet (default)")</f>
        <v>Steel sheet (default)</v>
      </c>
      <c r="B190">
        <v>5317048</v>
      </c>
      <c r="C190">
        <v>6972174</v>
      </c>
      <c r="E190">
        <v>0.52766000000000002</v>
      </c>
      <c r="F190" t="s">
        <v>612</v>
      </c>
      <c r="G190">
        <v>30</v>
      </c>
      <c r="H190" t="s">
        <v>2849</v>
      </c>
      <c r="I190">
        <v>30</v>
      </c>
      <c r="J190">
        <v>0.0019999600007999841</v>
      </c>
      <c r="K190">
        <v>0</v>
      </c>
      <c r="L190">
        <v>0</v>
      </c>
      <c r="M190">
        <v>0</v>
      </c>
      <c r="O190">
        <v>200000</v>
      </c>
      <c r="R190" t="s">
        <v>136</v>
      </c>
      <c r="S190">
        <v>0.017729376000000002</v>
      </c>
      <c r="T190">
        <v>1.6885119999999999E-06</v>
      </c>
      <c r="U190" t="s">
        <v>137</v>
      </c>
      <c r="V190">
        <v>0.0029548959999999998</v>
      </c>
      <c r="W190">
        <v>0.069652808511999995</v>
      </c>
      <c r="X190" t="s">
        <v>138</v>
      </c>
      <c r="Y190">
        <v>0.0041791685107199997</v>
      </c>
      <c r="Z190">
        <v>0</v>
      </c>
      <c r="AA190" t="s">
        <v>139</v>
      </c>
      <c r="AB190">
        <v>0.0083583370214399995</v>
      </c>
      <c r="AC190">
        <v>0.082190314044159996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Q190" t="s">
        <v>140</v>
      </c>
      <c r="AR190" t="s">
        <v>141</v>
      </c>
      <c r="AS190">
        <v>0.084425600000000003</v>
      </c>
    </row>
    <row r="191" spans="1:45" ht="12.75">
      <c r="A191" s="2" t="str">
        <f>HYPERLINK("https://ibp.a2mac1.com/costing(costing:projects/details/8191/material/5317049)","PA66/VMQ")</f>
        <v>PA66/VMQ</v>
      </c>
      <c r="B191">
        <v>5317049</v>
      </c>
      <c r="C191">
        <v>6972177</v>
      </c>
      <c r="E191">
        <v>20</v>
      </c>
      <c r="F191" t="s">
        <v>2858</v>
      </c>
      <c r="G191">
        <v>80</v>
      </c>
      <c r="H191" t="s">
        <v>2859</v>
      </c>
      <c r="I191">
        <v>0</v>
      </c>
      <c r="J191">
        <v>3.9551278357248507</v>
      </c>
      <c r="K191">
        <v>0</v>
      </c>
      <c r="L191">
        <v>0</v>
      </c>
      <c r="M191">
        <v>0</v>
      </c>
      <c r="O191">
        <v>200000</v>
      </c>
      <c r="R191" t="s">
        <v>136</v>
      </c>
      <c r="S191">
        <v>0</v>
      </c>
      <c r="T191">
        <v>0.056107749999999998</v>
      </c>
      <c r="U191" t="s">
        <v>137</v>
      </c>
      <c r="V191">
        <v>0.047687500000000001</v>
      </c>
      <c r="W191">
        <v>1.4662952499999999</v>
      </c>
      <c r="X191" t="s">
        <v>90</v>
      </c>
      <c r="Y191">
        <v>0</v>
      </c>
      <c r="Z191">
        <v>0</v>
      </c>
      <c r="AA191" t="s">
        <v>90</v>
      </c>
      <c r="AB191">
        <v>0</v>
      </c>
      <c r="AC191">
        <v>1.4662952499999999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Q191" t="s">
        <v>9</v>
      </c>
      <c r="AR191" t="s">
        <v>141</v>
      </c>
      <c r="AS191">
        <v>1.3625</v>
      </c>
    </row>
    <row r="192" spans="1:45" ht="12.75">
      <c r="A192" s="2" t="str">
        <f>HYPERLINK("https://ibp.a2mac1.com/costing(costing:projects/details/8191/material/5317050)","PA66/VMQ")</f>
        <v>PA66/VMQ</v>
      </c>
      <c r="B192">
        <v>5317050</v>
      </c>
      <c r="C192">
        <v>6972178</v>
      </c>
      <c r="E192">
        <v>20</v>
      </c>
      <c r="F192" t="s">
        <v>2858</v>
      </c>
      <c r="G192">
        <v>80</v>
      </c>
      <c r="H192" t="s">
        <v>2859</v>
      </c>
      <c r="I192">
        <v>0</v>
      </c>
      <c r="J192">
        <v>2.9823233793197121</v>
      </c>
      <c r="K192">
        <v>0</v>
      </c>
      <c r="L192">
        <v>0</v>
      </c>
      <c r="M192">
        <v>0</v>
      </c>
      <c r="O192">
        <v>200000</v>
      </c>
      <c r="R192" t="s">
        <v>136</v>
      </c>
      <c r="S192">
        <v>0</v>
      </c>
      <c r="T192">
        <v>0.041883249999999997</v>
      </c>
      <c r="U192" t="s">
        <v>137</v>
      </c>
      <c r="V192">
        <v>0.047687500000000001</v>
      </c>
      <c r="W192">
        <v>1.4520707500000001</v>
      </c>
      <c r="X192" t="s">
        <v>90</v>
      </c>
      <c r="Y192">
        <v>0</v>
      </c>
      <c r="Z192">
        <v>0</v>
      </c>
      <c r="AA192" t="s">
        <v>90</v>
      </c>
      <c r="AB192">
        <v>0</v>
      </c>
      <c r="AC192">
        <v>1.4520707500000001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Q192" t="s">
        <v>9</v>
      </c>
      <c r="AR192" t="s">
        <v>141</v>
      </c>
      <c r="AS192">
        <v>1.3625</v>
      </c>
    </row>
    <row r="193" spans="1:45" ht="12.75">
      <c r="A193" s="2" t="str">
        <f>HYPERLINK("https://ibp.a2mac1.com/costing(costing:projects/details/8191/material/5316854)","POM")</f>
        <v>POM</v>
      </c>
      <c r="B193">
        <v>5316854</v>
      </c>
      <c r="C193">
        <v>6972120</v>
      </c>
      <c r="E193">
        <v>2.12338</v>
      </c>
      <c r="F193" t="s">
        <v>2879</v>
      </c>
      <c r="G193">
        <v>95</v>
      </c>
      <c r="H193" t="s">
        <v>2880</v>
      </c>
      <c r="I193">
        <v>5</v>
      </c>
      <c r="J193">
        <v>0.50345253019720215</v>
      </c>
      <c r="K193">
        <v>0</v>
      </c>
      <c r="M193">
        <v>0</v>
      </c>
      <c r="O193">
        <v>200000</v>
      </c>
      <c r="R193" t="s">
        <v>136</v>
      </c>
      <c r="S193">
        <v>7.2641947368421055E-05</v>
      </c>
      <c r="T193">
        <v>0.00014702730147368422</v>
      </c>
      <c r="U193" t="s">
        <v>137</v>
      </c>
      <c r="V193">
        <v>0.0010169872631578948</v>
      </c>
      <c r="W193">
        <v>0.030148151564631579</v>
      </c>
      <c r="X193" t="s">
        <v>138</v>
      </c>
      <c r="Y193">
        <v>0.0018088890938778948</v>
      </c>
      <c r="Z193">
        <v>0</v>
      </c>
      <c r="AA193" t="s">
        <v>139</v>
      </c>
      <c r="AB193">
        <v>0.0036177781877557895</v>
      </c>
      <c r="AC193">
        <v>0.03557481884626526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Q193" t="s">
        <v>140</v>
      </c>
      <c r="AR193" t="s">
        <v>141</v>
      </c>
      <c r="AS193">
        <v>0.029056778947368422</v>
      </c>
    </row>
    <row r="194" spans="1:45" ht="12.75">
      <c r="A194" s="2" t="str">
        <f>HYPERLINK("https://ibp.a2mac1.com/costing(costing:projects/details/8191/material/5317093)","Steel sheet (default)")</f>
        <v>Steel sheet (default)</v>
      </c>
      <c r="B194">
        <v>5317093</v>
      </c>
      <c r="C194">
        <v>6972329</v>
      </c>
      <c r="E194">
        <v>0.52766000000000002</v>
      </c>
      <c r="F194" t="s">
        <v>2888</v>
      </c>
      <c r="G194">
        <v>70</v>
      </c>
      <c r="H194" t="s">
        <v>2889</v>
      </c>
      <c r="I194">
        <v>30</v>
      </c>
      <c r="J194">
        <v>0.50345253019720215</v>
      </c>
      <c r="K194">
        <v>0</v>
      </c>
      <c r="L194">
        <v>0</v>
      </c>
      <c r="M194">
        <v>0</v>
      </c>
      <c r="O194">
        <v>200000</v>
      </c>
      <c r="R194" t="s">
        <v>136</v>
      </c>
      <c r="S194">
        <v>0.11309261399999999</v>
      </c>
      <c r="T194">
        <v>0.0063583180759999997</v>
      </c>
      <c r="U194" t="s">
        <v>137</v>
      </c>
      <c r="V194">
        <v>0.043980460999999998</v>
      </c>
      <c r="W194">
        <v>1.1938307650760001</v>
      </c>
      <c r="X194" t="s">
        <v>90</v>
      </c>
      <c r="Y194">
        <v>0</v>
      </c>
      <c r="Z194">
        <v>0</v>
      </c>
      <c r="AA194" t="s">
        <v>90</v>
      </c>
      <c r="AB194">
        <v>0</v>
      </c>
      <c r="AC194">
        <v>1.1938307650760001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Q194" t="s">
        <v>140</v>
      </c>
      <c r="AR194" t="s">
        <v>141</v>
      </c>
      <c r="AS194">
        <v>1.2565846000000001</v>
      </c>
    </row>
    <row r="195" spans="1:45" ht="12.75">
      <c r="A195" s="2" t="str">
        <f>HYPERLINK("https://ibp.a2mac1.com/costing(costing:projects/details/8191/material/5317094)","Steel sheet (default)")</f>
        <v>Steel sheet (default)</v>
      </c>
      <c r="B195">
        <v>5317094</v>
      </c>
      <c r="C195">
        <v>6972330</v>
      </c>
      <c r="E195">
        <v>0.52766000000000002</v>
      </c>
      <c r="F195" t="s">
        <v>2893</v>
      </c>
      <c r="G195">
        <v>70</v>
      </c>
      <c r="H195" t="s">
        <v>2894</v>
      </c>
      <c r="I195">
        <v>30</v>
      </c>
      <c r="J195">
        <v>0.50345253019720215</v>
      </c>
      <c r="K195">
        <v>0</v>
      </c>
      <c r="L195">
        <v>0</v>
      </c>
      <c r="M195">
        <v>0</v>
      </c>
      <c r="O195">
        <v>200000</v>
      </c>
      <c r="R195" t="s">
        <v>136</v>
      </c>
      <c r="S195">
        <v>0.10549430999999999</v>
      </c>
      <c r="T195">
        <v>0.0059311245399999999</v>
      </c>
      <c r="U195" t="s">
        <v>137</v>
      </c>
      <c r="V195">
        <v>0.041025565</v>
      </c>
      <c r="W195">
        <v>1.1136213795400001</v>
      </c>
      <c r="X195" t="s">
        <v>90</v>
      </c>
      <c r="Y195">
        <v>0</v>
      </c>
      <c r="Z195">
        <v>0</v>
      </c>
      <c r="AA195" t="s">
        <v>90</v>
      </c>
      <c r="AB195">
        <v>0</v>
      </c>
      <c r="AC195">
        <v>1.1136213795400001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Q195" t="s">
        <v>140</v>
      </c>
      <c r="AR195" t="s">
        <v>141</v>
      </c>
      <c r="AS195">
        <v>1.172159</v>
      </c>
    </row>
    <row r="196" spans="1:45" ht="12.75">
      <c r="A196" s="2" t="str">
        <f>HYPERLINK("https://ibp.a2mac1.com/costing(costing:projects/details/8191/material/5317051)","Steel sheet (default)")</f>
        <v>Steel sheet (default)</v>
      </c>
      <c r="B196">
        <v>5317051</v>
      </c>
      <c r="C196">
        <v>6972181</v>
      </c>
      <c r="E196">
        <v>0.52766000000000002</v>
      </c>
      <c r="F196" t="s">
        <v>2902</v>
      </c>
      <c r="G196">
        <v>70</v>
      </c>
      <c r="H196" t="s">
        <v>2903</v>
      </c>
      <c r="I196">
        <v>30</v>
      </c>
      <c r="J196">
        <v>0.50345253019720215</v>
      </c>
      <c r="K196">
        <v>0</v>
      </c>
      <c r="L196">
        <v>0</v>
      </c>
      <c r="M196">
        <v>0</v>
      </c>
      <c r="O196">
        <v>200000</v>
      </c>
      <c r="R196" t="s">
        <v>136</v>
      </c>
      <c r="S196">
        <v>0.020556126000000001</v>
      </c>
      <c r="T196">
        <v>0.0011557110839999999</v>
      </c>
      <c r="U196" t="s">
        <v>137</v>
      </c>
      <c r="V196">
        <v>0.0079940489999999996</v>
      </c>
      <c r="W196">
        <v>0.216995034084</v>
      </c>
      <c r="X196" t="s">
        <v>90</v>
      </c>
      <c r="Y196">
        <v>0</v>
      </c>
      <c r="Z196">
        <v>0</v>
      </c>
      <c r="AA196" t="s">
        <v>90</v>
      </c>
      <c r="AB196">
        <v>0</v>
      </c>
      <c r="AC196">
        <v>0.216995034084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Q196" t="s">
        <v>140</v>
      </c>
      <c r="AR196" t="s">
        <v>141</v>
      </c>
      <c r="AS196">
        <v>0.2284014</v>
      </c>
    </row>
    <row r="197" spans="1:45" ht="12.75">
      <c r="A197" s="2" t="str">
        <f>HYPERLINK("https://ibp.a2mac1.com/costing(costing:projects/details/8191/material/5317052)","POM")</f>
        <v>POM</v>
      </c>
      <c r="B197">
        <v>5317052</v>
      </c>
      <c r="C197">
        <v>6972182</v>
      </c>
      <c r="E197">
        <v>2.12338</v>
      </c>
      <c r="F197" t="s">
        <v>2911</v>
      </c>
      <c r="G197">
        <v>95</v>
      </c>
      <c r="H197" t="s">
        <v>2912</v>
      </c>
      <c r="I197">
        <v>5</v>
      </c>
      <c r="J197">
        <v>0.50345253019720215</v>
      </c>
      <c r="K197">
        <v>0</v>
      </c>
      <c r="M197">
        <v>0</v>
      </c>
      <c r="O197">
        <v>200000</v>
      </c>
      <c r="R197" t="s">
        <v>136</v>
      </c>
      <c r="S197">
        <v>0.00039114894736842103</v>
      </c>
      <c r="T197">
        <v>0.00079168546947368419</v>
      </c>
      <c r="U197" t="s">
        <v>137</v>
      </c>
      <c r="V197">
        <v>0.0054760852631578951</v>
      </c>
      <c r="W197">
        <v>0.16233620073263158</v>
      </c>
      <c r="X197" t="s">
        <v>90</v>
      </c>
      <c r="Y197">
        <v>0</v>
      </c>
      <c r="Z197">
        <v>0</v>
      </c>
      <c r="AA197" t="s">
        <v>90</v>
      </c>
      <c r="AB197">
        <v>0</v>
      </c>
      <c r="AC197">
        <v>0.16233620073263158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Q197" t="s">
        <v>140</v>
      </c>
      <c r="AR197" t="s">
        <v>141</v>
      </c>
      <c r="AS197">
        <v>0.15645957894736842</v>
      </c>
    </row>
    <row r="198" spans="1:45" ht="12.75">
      <c r="A198" s="2" t="str">
        <f>HYPERLINK("https://ibp.a2mac1.com/costing(costing:projects/details/8191/material/5317095)","Steel sheet (default)")</f>
        <v>Steel sheet (default)</v>
      </c>
      <c r="B198">
        <v>5317095</v>
      </c>
      <c r="C198">
        <v>6972331</v>
      </c>
      <c r="E198">
        <v>0.52766000000000002</v>
      </c>
      <c r="F198" t="s">
        <v>2925</v>
      </c>
      <c r="G198">
        <v>8.2169000000000008</v>
      </c>
      <c r="H198" t="s">
        <v>2926</v>
      </c>
      <c r="I198">
        <v>30</v>
      </c>
      <c r="J198">
        <v>0.10389195236953569</v>
      </c>
      <c r="K198">
        <v>0</v>
      </c>
      <c r="M198">
        <v>0</v>
      </c>
      <c r="O198">
        <v>200000</v>
      </c>
      <c r="R198" t="s">
        <v>136</v>
      </c>
      <c r="S198">
        <v>0.2493154893081089</v>
      </c>
      <c r="T198">
        <v>0.00094166975866811088</v>
      </c>
      <c r="U198" t="s">
        <v>137</v>
      </c>
      <c r="V198">
        <v>0.031690809185946037</v>
      </c>
      <c r="W198">
        <v>0.68876868066353492</v>
      </c>
      <c r="X198" t="s">
        <v>90</v>
      </c>
      <c r="Y198">
        <v>0</v>
      </c>
      <c r="Z198">
        <v>0</v>
      </c>
      <c r="AA198" t="s">
        <v>90</v>
      </c>
      <c r="AB198">
        <v>0</v>
      </c>
      <c r="AC198">
        <v>0.68876868066353492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Q198" t="s">
        <v>140</v>
      </c>
      <c r="AR198" t="s">
        <v>141</v>
      </c>
      <c r="AS198">
        <v>0.9054516910270296</v>
      </c>
    </row>
    <row r="199" spans="1:45" ht="12.75">
      <c r="A199" s="2" t="str">
        <f>HYPERLINK("https://ibp.a2mac1.com/costing(costing:projects/details/8191/material/5317096)","Cataphoresis paint")</f>
        <v>Cataphoresis paint</v>
      </c>
      <c r="B199">
        <v>5317096</v>
      </c>
      <c r="C199">
        <v>6972333</v>
      </c>
      <c r="E199">
        <v>12</v>
      </c>
      <c r="F199" t="s">
        <v>2929</v>
      </c>
      <c r="G199">
        <v>95</v>
      </c>
      <c r="H199" t="s">
        <v>2930</v>
      </c>
      <c r="I199">
        <v>0</v>
      </c>
      <c r="J199">
        <v>0.10389195236953569</v>
      </c>
      <c r="K199">
        <v>0</v>
      </c>
      <c r="L199">
        <v>0</v>
      </c>
      <c r="M199">
        <v>0</v>
      </c>
      <c r="O199">
        <v>200000</v>
      </c>
      <c r="R199" t="s">
        <v>136</v>
      </c>
      <c r="S199">
        <v>0</v>
      </c>
      <c r="T199">
        <v>2.4960000000000002E-05</v>
      </c>
      <c r="U199" t="s">
        <v>137</v>
      </c>
      <c r="V199">
        <v>0.00084000000000000003</v>
      </c>
      <c r="W199">
        <v>0.024864959999999998</v>
      </c>
      <c r="X199" t="s">
        <v>90</v>
      </c>
      <c r="Y199">
        <v>0</v>
      </c>
      <c r="Z199">
        <v>0</v>
      </c>
      <c r="AA199" t="s">
        <v>90</v>
      </c>
      <c r="AB199">
        <v>0</v>
      </c>
      <c r="AC199">
        <v>0.024864959999999998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Q199" t="s">
        <v>140</v>
      </c>
      <c r="AR199" t="s">
        <v>141</v>
      </c>
      <c r="AS199">
        <v>0.024</v>
      </c>
    </row>
    <row r="200" spans="1:45" ht="12.75">
      <c r="A200" s="2" t="str">
        <f>HYPERLINK("https://ibp.a2mac1.com/costing(costing:projects/details/8191/material/5317097)","TPU")</f>
        <v>TPU</v>
      </c>
      <c r="B200">
        <v>5317097</v>
      </c>
      <c r="C200">
        <v>6972334</v>
      </c>
      <c r="E200">
        <v>2.1818200000000001</v>
      </c>
      <c r="F200" t="s">
        <v>2946</v>
      </c>
      <c r="G200">
        <v>95</v>
      </c>
      <c r="H200" t="s">
        <v>2947</v>
      </c>
      <c r="I200">
        <v>5</v>
      </c>
      <c r="J200">
        <v>0.50345253019720215</v>
      </c>
      <c r="K200">
        <v>0</v>
      </c>
      <c r="L200">
        <v>0</v>
      </c>
      <c r="M200">
        <v>0</v>
      </c>
      <c r="O200">
        <v>200000</v>
      </c>
      <c r="R200" t="s">
        <v>136</v>
      </c>
      <c r="S200">
        <v>0.001854547</v>
      </c>
      <c r="T200">
        <v>0.0037536031279999998</v>
      </c>
      <c r="U200" t="s">
        <v>137</v>
      </c>
      <c r="V200">
        <v>0.025963658000000001</v>
      </c>
      <c r="W200">
        <v>0.76968151412800001</v>
      </c>
      <c r="X200" t="s">
        <v>138</v>
      </c>
      <c r="Y200">
        <v>0.046180890847679998</v>
      </c>
      <c r="Z200">
        <v>0</v>
      </c>
      <c r="AA200" t="s">
        <v>139</v>
      </c>
      <c r="AB200">
        <v>0.092361781695359996</v>
      </c>
      <c r="AC200">
        <v>0.90822418667103999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Q200" t="s">
        <v>140</v>
      </c>
      <c r="AR200" t="s">
        <v>141</v>
      </c>
      <c r="AS200">
        <v>0.7418188</v>
      </c>
    </row>
    <row r="201" spans="1:45" ht="12.75">
      <c r="A201" s="2" t="str">
        <f>HYPERLINK("https://ibp.a2mac1.com/costing(costing:projects/details/8191/material/5317098)","PA6")</f>
        <v>PA6</v>
      </c>
      <c r="B201">
        <v>5317098</v>
      </c>
      <c r="C201">
        <v>6972335</v>
      </c>
      <c r="E201">
        <v>1.72394</v>
      </c>
      <c r="F201" t="s">
        <v>2952</v>
      </c>
      <c r="G201">
        <v>95</v>
      </c>
      <c r="H201" t="s">
        <v>2953</v>
      </c>
      <c r="I201">
        <v>5</v>
      </c>
      <c r="J201">
        <v>0.50345253019720215</v>
      </c>
      <c r="K201">
        <v>0</v>
      </c>
      <c r="M201">
        <v>0</v>
      </c>
      <c r="O201">
        <v>200000</v>
      </c>
      <c r="R201" t="s">
        <v>136</v>
      </c>
      <c r="S201">
        <v>0.00050584028947368419</v>
      </c>
      <c r="T201">
        <v>0.0010238207458947368</v>
      </c>
      <c r="U201" t="s">
        <v>137</v>
      </c>
      <c r="V201">
        <v>0.0070817640526315787</v>
      </c>
      <c r="W201">
        <v>0.20993586029852632</v>
      </c>
      <c r="X201" t="s">
        <v>90</v>
      </c>
      <c r="Y201">
        <v>0</v>
      </c>
      <c r="Z201">
        <v>0</v>
      </c>
      <c r="AA201" t="s">
        <v>90</v>
      </c>
      <c r="AB201">
        <v>0</v>
      </c>
      <c r="AC201">
        <v>0.20993586029852632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Q201" t="s">
        <v>140</v>
      </c>
      <c r="AR201" t="s">
        <v>141</v>
      </c>
      <c r="AS201">
        <v>0.20233611578947369</v>
      </c>
    </row>
    <row r="202" spans="1:45" ht="12.75">
      <c r="A202" s="2" t="str">
        <f>HYPERLINK("https://ibp.a2mac1.com/costing(costing:projects/details/8191/material/5316866)","ABS")</f>
        <v>ABS</v>
      </c>
      <c r="B202">
        <v>5316866</v>
      </c>
      <c r="C202">
        <v>6972124</v>
      </c>
      <c r="E202">
        <v>2.5272700000000001</v>
      </c>
      <c r="F202" t="s">
        <v>2980</v>
      </c>
      <c r="G202">
        <v>95</v>
      </c>
      <c r="H202" t="s">
        <v>2981</v>
      </c>
      <c r="I202">
        <v>5</v>
      </c>
      <c r="J202">
        <v>0.50345253019720215</v>
      </c>
      <c r="K202">
        <v>0</v>
      </c>
      <c r="M202">
        <v>0</v>
      </c>
      <c r="O202">
        <v>200000</v>
      </c>
      <c r="R202" t="s">
        <v>136</v>
      </c>
      <c r="S202">
        <v>3.3253552631578948E-05</v>
      </c>
      <c r="T202">
        <v>6.7305190526315787E-05</v>
      </c>
      <c r="U202" t="s">
        <v>137</v>
      </c>
      <c r="V202">
        <v>0.00046554973684210529</v>
      </c>
      <c r="W202">
        <v>0.013801022427368421</v>
      </c>
      <c r="X202" t="s">
        <v>90</v>
      </c>
      <c r="Y202">
        <v>0</v>
      </c>
      <c r="Z202">
        <v>0</v>
      </c>
      <c r="AA202" t="s">
        <v>90</v>
      </c>
      <c r="AB202">
        <v>0</v>
      </c>
      <c r="AC202">
        <v>0.013801022427368421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Q202" t="s">
        <v>140</v>
      </c>
      <c r="AR202" t="s">
        <v>141</v>
      </c>
      <c r="AS202">
        <v>0.013301421052631579</v>
      </c>
    </row>
    <row r="203" spans="1:45" ht="12.75">
      <c r="A203" s="2" t="str">
        <f>HYPERLINK("https://ibp.a2mac1.com/costing(costing:projects/details/8191/material/5316867)","ABS")</f>
        <v>ABS</v>
      </c>
      <c r="B203">
        <v>5316867</v>
      </c>
      <c r="C203">
        <v>6972125</v>
      </c>
      <c r="E203">
        <v>2.5272700000000001</v>
      </c>
      <c r="F203" t="s">
        <v>2980</v>
      </c>
      <c r="G203">
        <v>95</v>
      </c>
      <c r="H203" t="s">
        <v>2981</v>
      </c>
      <c r="I203">
        <v>5</v>
      </c>
      <c r="J203">
        <v>0.50345253019720215</v>
      </c>
      <c r="K203">
        <v>0</v>
      </c>
      <c r="M203">
        <v>0</v>
      </c>
      <c r="O203">
        <v>200000</v>
      </c>
      <c r="R203" t="s">
        <v>136</v>
      </c>
      <c r="S203">
        <v>3.3253552631578948E-05</v>
      </c>
      <c r="T203">
        <v>6.7305190526315787E-05</v>
      </c>
      <c r="U203" t="s">
        <v>137</v>
      </c>
      <c r="V203">
        <v>0.00046554973684210529</v>
      </c>
      <c r="W203">
        <v>0.013801022427368421</v>
      </c>
      <c r="X203" t="s">
        <v>90</v>
      </c>
      <c r="Y203">
        <v>0</v>
      </c>
      <c r="Z203">
        <v>0</v>
      </c>
      <c r="AA203" t="s">
        <v>90</v>
      </c>
      <c r="AB203">
        <v>0</v>
      </c>
      <c r="AC203">
        <v>0.013801022427368421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Q203" t="s">
        <v>140</v>
      </c>
      <c r="AR203" t="s">
        <v>141</v>
      </c>
      <c r="AS203">
        <v>0.013301421052631579</v>
      </c>
    </row>
    <row r="204" spans="1:45" ht="12.75">
      <c r="A204" s="2" t="str">
        <f>HYPERLINK("https://ibp.a2mac1.com/costing(costing:projects/details/8191/material/5316646)","PA66-GF15")</f>
        <v>PA66-GF15</v>
      </c>
      <c r="B204">
        <v>5316646</v>
      </c>
      <c r="C204">
        <v>6971941</v>
      </c>
      <c r="E204">
        <v>2.6925500000000002</v>
      </c>
      <c r="F204" t="s">
        <v>3000</v>
      </c>
      <c r="G204">
        <v>52.781599999999997</v>
      </c>
      <c r="H204" t="s">
        <v>3001</v>
      </c>
      <c r="I204">
        <v>5</v>
      </c>
      <c r="J204">
        <v>2.001136786813273</v>
      </c>
      <c r="K204">
        <v>0</v>
      </c>
      <c r="M204">
        <v>0</v>
      </c>
      <c r="O204">
        <v>200000</v>
      </c>
      <c r="R204" t="s">
        <v>136</v>
      </c>
      <c r="S204">
        <v>0.00012043771211937493</v>
      </c>
      <c r="T204">
        <v>0.00010416863262955272</v>
      </c>
      <c r="U204" t="s">
        <v>137</v>
      </c>
      <c r="V204">
        <v>0.00017854564848356245</v>
      </c>
      <c r="W204">
        <v>0.0052635808113812386</v>
      </c>
      <c r="X204" t="s">
        <v>90</v>
      </c>
      <c r="Y204">
        <v>0</v>
      </c>
      <c r="Z204">
        <v>0</v>
      </c>
      <c r="AA204" t="s">
        <v>90</v>
      </c>
      <c r="AB204">
        <v>0</v>
      </c>
      <c r="AC204">
        <v>0.0052635808113812386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Q204" t="s">
        <v>140</v>
      </c>
      <c r="AR204" t="s">
        <v>141</v>
      </c>
      <c r="AS204">
        <v>0.005101304242387499</v>
      </c>
    </row>
    <row r="205" spans="1:45" ht="12.75">
      <c r="A205" s="2" t="str">
        <f>HYPERLINK("https://ibp.a2mac1.com/costing(costing:projects/details/8191/material/5317053)","PP-PE")</f>
        <v>PP-PE</v>
      </c>
      <c r="B205">
        <v>5317053</v>
      </c>
      <c r="C205">
        <v>6972184</v>
      </c>
      <c r="E205">
        <v>1.34768</v>
      </c>
      <c r="F205" t="s">
        <v>2750</v>
      </c>
      <c r="G205">
        <v>95</v>
      </c>
      <c r="H205" t="s">
        <v>2751</v>
      </c>
      <c r="I205">
        <v>5</v>
      </c>
      <c r="J205">
        <v>0.50345253019720215</v>
      </c>
      <c r="K205">
        <v>0</v>
      </c>
      <c r="M205">
        <v>0</v>
      </c>
      <c r="O205">
        <v>200000</v>
      </c>
      <c r="R205" t="s">
        <v>136</v>
      </c>
      <c r="S205">
        <v>0.00011348884210526316</v>
      </c>
      <c r="T205">
        <v>0.00022970141642105263</v>
      </c>
      <c r="U205" t="s">
        <v>137</v>
      </c>
      <c r="V205">
        <v>0.0015888437894736843</v>
      </c>
      <c r="W205">
        <v>0.047100593205894735</v>
      </c>
      <c r="X205" t="s">
        <v>90</v>
      </c>
      <c r="Y205">
        <v>0</v>
      </c>
      <c r="Z205">
        <v>0</v>
      </c>
      <c r="AA205" t="s">
        <v>90</v>
      </c>
      <c r="AB205">
        <v>0</v>
      </c>
      <c r="AC205">
        <v>0.047100593205894735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Q205" t="s">
        <v>140</v>
      </c>
      <c r="AR205" t="s">
        <v>141</v>
      </c>
      <c r="AS205">
        <v>0.045395536842105261</v>
      </c>
    </row>
    <row r="206" spans="1:45" ht="12.75">
      <c r="A206" s="2" t="str">
        <f>HYPERLINK("https://ibp.a2mac1.com/costing(costing:projects/details/8191/material/5317054)","PP-PE")</f>
        <v>PP-PE</v>
      </c>
      <c r="B206">
        <v>5317054</v>
      </c>
      <c r="C206">
        <v>6972185</v>
      </c>
      <c r="E206">
        <v>1.34768</v>
      </c>
      <c r="F206" t="s">
        <v>2755</v>
      </c>
      <c r="G206">
        <v>95</v>
      </c>
      <c r="H206" t="s">
        <v>2756</v>
      </c>
      <c r="I206">
        <v>5</v>
      </c>
      <c r="J206">
        <v>0.50345253019720215</v>
      </c>
      <c r="K206">
        <v>0</v>
      </c>
      <c r="M206">
        <v>0</v>
      </c>
      <c r="O206">
        <v>200000</v>
      </c>
      <c r="R206" t="s">
        <v>136</v>
      </c>
      <c r="S206">
        <v>8.1570105263157897E-05</v>
      </c>
      <c r="T206">
        <v>0.00016509789305263158</v>
      </c>
      <c r="U206" t="s">
        <v>137</v>
      </c>
      <c r="V206">
        <v>0.0011419814736842106</v>
      </c>
      <c r="W206">
        <v>0.033853551366736845</v>
      </c>
      <c r="X206" t="s">
        <v>90</v>
      </c>
      <c r="Y206">
        <v>0</v>
      </c>
      <c r="Z206">
        <v>0</v>
      </c>
      <c r="AA206" t="s">
        <v>90</v>
      </c>
      <c r="AB206">
        <v>0</v>
      </c>
      <c r="AC206">
        <v>0.033853551366736845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Q206" t="s">
        <v>140</v>
      </c>
      <c r="AR206" t="s">
        <v>141</v>
      </c>
      <c r="AS206">
        <v>0.032628042105263155</v>
      </c>
    </row>
    <row r="207" spans="1:45" ht="12.75">
      <c r="A207" s="2" t="str">
        <f>HYPERLINK("https://ibp.a2mac1.com/costing(costing:projects/details/8191/material/5317055)","Mix Vinyl (80%)")</f>
        <v>Mix Vinyl (80%)</v>
      </c>
      <c r="B207">
        <v>5317055</v>
      </c>
      <c r="C207">
        <v>6972186</v>
      </c>
      <c r="D207" t="s">
        <v>2690</v>
      </c>
      <c r="E207">
        <v>6.41</v>
      </c>
      <c r="F207" t="s">
        <v>1882</v>
      </c>
      <c r="G207">
        <v>75</v>
      </c>
      <c r="H207" t="s">
        <v>2716</v>
      </c>
      <c r="I207">
        <v>0</v>
      </c>
      <c r="J207">
        <v>0.20557651238448796</v>
      </c>
      <c r="K207">
        <v>0</v>
      </c>
      <c r="L207">
        <v>0</v>
      </c>
      <c r="M207">
        <v>0</v>
      </c>
      <c r="O207">
        <v>200000</v>
      </c>
      <c r="R207" t="s">
        <v>2693</v>
      </c>
      <c r="S207">
        <v>0</v>
      </c>
      <c r="T207">
        <v>0.0024648586666666666</v>
      </c>
      <c r="U207" t="s">
        <v>137</v>
      </c>
      <c r="V207">
        <v>0.041878666666666668</v>
      </c>
      <c r="W207">
        <v>1.2408768586666667</v>
      </c>
      <c r="X207" t="s">
        <v>90</v>
      </c>
      <c r="Y207">
        <v>0</v>
      </c>
      <c r="Z207">
        <v>0</v>
      </c>
      <c r="AA207" t="s">
        <v>90</v>
      </c>
      <c r="AB207">
        <v>0</v>
      </c>
      <c r="AC207">
        <v>1.2408768586666667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Q207" t="s">
        <v>140</v>
      </c>
      <c r="AR207" t="s">
        <v>141</v>
      </c>
      <c r="AS207">
        <v>1.1965333333333332</v>
      </c>
    </row>
    <row r="208" spans="1:45" ht="12.75">
      <c r="A208" s="2" t="str">
        <f>HYPERLINK("https://ibp.a2mac1.com/costing(costing:projects/details/8191/material/5317056)","PUR")</f>
        <v>PUR</v>
      </c>
      <c r="B208">
        <v>5317056</v>
      </c>
      <c r="C208">
        <v>6972188</v>
      </c>
      <c r="E208">
        <v>3.37662</v>
      </c>
      <c r="F208" t="s">
        <v>608</v>
      </c>
      <c r="G208">
        <v>95</v>
      </c>
      <c r="H208" t="s">
        <v>2721</v>
      </c>
      <c r="I208">
        <v>5</v>
      </c>
      <c r="J208">
        <v>0.50345253019720215</v>
      </c>
      <c r="K208">
        <v>0</v>
      </c>
      <c r="M208">
        <v>0</v>
      </c>
      <c r="O208">
        <v>200000</v>
      </c>
      <c r="R208" t="s">
        <v>136</v>
      </c>
      <c r="S208">
        <v>0.00054203636842105264</v>
      </c>
      <c r="T208">
        <v>0.0010970816096842104</v>
      </c>
      <c r="U208" t="s">
        <v>137</v>
      </c>
      <c r="V208">
        <v>0.0075885091578947366</v>
      </c>
      <c r="W208">
        <v>0.22495810176757894</v>
      </c>
      <c r="X208" t="s">
        <v>138</v>
      </c>
      <c r="Y208">
        <v>0.013497486106054737</v>
      </c>
      <c r="Z208">
        <v>0</v>
      </c>
      <c r="AA208" t="s">
        <v>139</v>
      </c>
      <c r="AB208">
        <v>0.026994972212109475</v>
      </c>
      <c r="AC208">
        <v>0.26545056008574314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Q208" t="s">
        <v>140</v>
      </c>
      <c r="AR208" t="s">
        <v>141</v>
      </c>
      <c r="AS208">
        <v>0.21681454736842104</v>
      </c>
    </row>
    <row r="209" spans="1:45" ht="12.75">
      <c r="A209" s="2" t="str">
        <f>HYPERLINK("https://ibp.a2mac1.com/costing(costing:projects/details/8191/material/5317057)","PA6")</f>
        <v>PA6</v>
      </c>
      <c r="B209">
        <v>5317057</v>
      </c>
      <c r="C209">
        <v>6972189</v>
      </c>
      <c r="E209">
        <v>1.72394</v>
      </c>
      <c r="F209" t="s">
        <v>2725</v>
      </c>
      <c r="G209">
        <v>95</v>
      </c>
      <c r="H209" t="s">
        <v>2726</v>
      </c>
      <c r="I209">
        <v>5</v>
      </c>
      <c r="J209">
        <v>0.50345253019720215</v>
      </c>
      <c r="K209">
        <v>0</v>
      </c>
      <c r="M209">
        <v>0</v>
      </c>
      <c r="O209">
        <v>200000</v>
      </c>
      <c r="R209" t="s">
        <v>136</v>
      </c>
      <c r="S209">
        <v>0.0010026072105263158</v>
      </c>
      <c r="T209">
        <v>0.0020292769941052629</v>
      </c>
      <c r="U209" t="s">
        <v>137</v>
      </c>
      <c r="V209">
        <v>0.01403650094736842</v>
      </c>
      <c r="W209">
        <v>0.41610605494147368</v>
      </c>
      <c r="X209" t="s">
        <v>138</v>
      </c>
      <c r="Y209">
        <v>0.024966363296488422</v>
      </c>
      <c r="Z209">
        <v>0</v>
      </c>
      <c r="AA209" t="s">
        <v>139</v>
      </c>
      <c r="AB209">
        <v>0.049932726592976845</v>
      </c>
      <c r="AC209">
        <v>0.49100514483093893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Q209" t="s">
        <v>140</v>
      </c>
      <c r="AR209" t="s">
        <v>141</v>
      </c>
      <c r="AS209">
        <v>0.40104288421052631</v>
      </c>
    </row>
    <row r="210" spans="1:45" ht="12.75">
      <c r="A210" s="2" t="str">
        <f>HYPERLINK("https://ibp.a2mac1.com/costing(costing:projects/details/8191/material/5317058)","PC-ABS")</f>
        <v>PC-ABS</v>
      </c>
      <c r="B210">
        <v>5317058</v>
      </c>
      <c r="C210">
        <v>6972190</v>
      </c>
      <c r="E210">
        <v>2.29312</v>
      </c>
      <c r="F210" t="s">
        <v>1786</v>
      </c>
      <c r="G210">
        <v>95</v>
      </c>
      <c r="H210" t="s">
        <v>2733</v>
      </c>
      <c r="I210">
        <v>5</v>
      </c>
      <c r="J210">
        <v>0.50345253019720215</v>
      </c>
      <c r="K210">
        <v>0</v>
      </c>
      <c r="M210">
        <v>0</v>
      </c>
      <c r="O210">
        <v>200000</v>
      </c>
      <c r="R210" t="s">
        <v>136</v>
      </c>
      <c r="S210">
        <v>0.00057328000000000001</v>
      </c>
      <c r="T210">
        <v>0.00116031872</v>
      </c>
      <c r="U210" t="s">
        <v>137</v>
      </c>
      <c r="V210">
        <v>0.0080259200000000006</v>
      </c>
      <c r="W210">
        <v>0.23792495872</v>
      </c>
      <c r="X210" t="s">
        <v>138</v>
      </c>
      <c r="Y210">
        <v>0.014275497523200001</v>
      </c>
      <c r="Z210">
        <v>0</v>
      </c>
      <c r="AA210" t="s">
        <v>139</v>
      </c>
      <c r="AB210">
        <v>0.028550995046400001</v>
      </c>
      <c r="AC210">
        <v>0.2807514512896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Q210" t="s">
        <v>140</v>
      </c>
      <c r="AR210" t="s">
        <v>141</v>
      </c>
      <c r="AS210">
        <v>0.22931199999999999</v>
      </c>
    </row>
    <row r="211" spans="1:45" ht="12.75">
      <c r="A211" s="2" t="str">
        <f>HYPERLINK("https://ibp.a2mac1.com/costing(costing:projects/details/8191/material/5317059)","PA6")</f>
        <v>PA6</v>
      </c>
      <c r="B211">
        <v>5317059</v>
      </c>
      <c r="C211">
        <v>6972191</v>
      </c>
      <c r="E211">
        <v>1.72394</v>
      </c>
      <c r="F211" t="s">
        <v>2737</v>
      </c>
      <c r="G211">
        <v>95</v>
      </c>
      <c r="H211" t="s">
        <v>2738</v>
      </c>
      <c r="I211">
        <v>5</v>
      </c>
      <c r="J211">
        <v>0.50345253019720215</v>
      </c>
      <c r="K211">
        <v>0</v>
      </c>
      <c r="M211">
        <v>0</v>
      </c>
      <c r="O211">
        <v>200000</v>
      </c>
      <c r="R211" t="s">
        <v>136</v>
      </c>
      <c r="S211">
        <v>0.00034478800000000001</v>
      </c>
      <c r="T211">
        <v>0.00069785091200000001</v>
      </c>
      <c r="U211" t="s">
        <v>137</v>
      </c>
      <c r="V211">
        <v>0.0048270320000000002</v>
      </c>
      <c r="W211">
        <v>0.14309529491199999</v>
      </c>
      <c r="X211" t="s">
        <v>138</v>
      </c>
      <c r="Y211">
        <v>0.0085857176947199999</v>
      </c>
      <c r="Z211">
        <v>0</v>
      </c>
      <c r="AA211" t="s">
        <v>139</v>
      </c>
      <c r="AB211">
        <v>0.01717143538944</v>
      </c>
      <c r="AC211">
        <v>0.16885244799616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Q211" t="s">
        <v>140</v>
      </c>
      <c r="AR211" t="s">
        <v>141</v>
      </c>
      <c r="AS211">
        <v>0.13791519999999999</v>
      </c>
    </row>
    <row r="212" spans="1:45" ht="12.75">
      <c r="A212" s="2" t="str">
        <f>HYPERLINK("https://ibp.a2mac1.com/costing(costing:projects/details/8191/material/5317060)","PA6")</f>
        <v>PA6</v>
      </c>
      <c r="B212">
        <v>5317060</v>
      </c>
      <c r="C212">
        <v>6972192</v>
      </c>
      <c r="E212">
        <v>1.72394</v>
      </c>
      <c r="F212" t="s">
        <v>2743</v>
      </c>
      <c r="G212">
        <v>95</v>
      </c>
      <c r="H212" t="s">
        <v>2744</v>
      </c>
      <c r="I212">
        <v>5</v>
      </c>
      <c r="J212">
        <v>0.50345253019720215</v>
      </c>
      <c r="K212">
        <v>0</v>
      </c>
      <c r="M212">
        <v>0</v>
      </c>
      <c r="O212">
        <v>200000</v>
      </c>
      <c r="R212" t="s">
        <v>136</v>
      </c>
      <c r="S212">
        <v>0.0002313708947368421</v>
      </c>
      <c r="T212">
        <v>0.0004682946909473684</v>
      </c>
      <c r="U212" t="s">
        <v>137</v>
      </c>
      <c r="V212">
        <v>0.0032391925263157897</v>
      </c>
      <c r="W212">
        <v>0.096024474217263164</v>
      </c>
      <c r="X212" t="s">
        <v>90</v>
      </c>
      <c r="Y212">
        <v>0</v>
      </c>
      <c r="Z212">
        <v>0</v>
      </c>
      <c r="AA212" t="s">
        <v>90</v>
      </c>
      <c r="AB212">
        <v>0</v>
      </c>
      <c r="AC212">
        <v>0.096024474217263164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Q212" t="s">
        <v>140</v>
      </c>
      <c r="AR212" t="s">
        <v>141</v>
      </c>
      <c r="AS212">
        <v>0.092548357894736838</v>
      </c>
    </row>
    <row r="213" spans="1:45" ht="12.75">
      <c r="A213" s="2" t="str">
        <f>HYPERLINK("https://ibp.a2mac1.com/costing(costing:projects/details/8191/material/5316868)","PA66")</f>
        <v>PA66</v>
      </c>
      <c r="B213">
        <v>5316868</v>
      </c>
      <c r="C213">
        <v>6972126</v>
      </c>
      <c r="E213">
        <v>2.03416</v>
      </c>
      <c r="F213" t="s">
        <v>3035</v>
      </c>
      <c r="G213">
        <v>95</v>
      </c>
      <c r="H213" t="s">
        <v>3036</v>
      </c>
      <c r="I213">
        <v>5</v>
      </c>
      <c r="J213">
        <v>0.50345253019720215</v>
      </c>
      <c r="K213">
        <v>0</v>
      </c>
      <c r="M213">
        <v>0</v>
      </c>
      <c r="O213">
        <v>200000</v>
      </c>
      <c r="R213" t="s">
        <v>136</v>
      </c>
      <c r="S213">
        <v>2.1412210526315789E-05</v>
      </c>
      <c r="T213">
        <v>4.3338314105263159E-05</v>
      </c>
      <c r="U213" t="s">
        <v>137</v>
      </c>
      <c r="V213">
        <v>0.00029977094736842105</v>
      </c>
      <c r="W213">
        <v>0.008886581261473684</v>
      </c>
      <c r="X213" t="s">
        <v>90</v>
      </c>
      <c r="Y213">
        <v>0</v>
      </c>
      <c r="Z213">
        <v>0</v>
      </c>
      <c r="AA213" t="s">
        <v>90</v>
      </c>
      <c r="AB213">
        <v>0</v>
      </c>
      <c r="AC213">
        <v>0.008886581261473684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Q213" t="s">
        <v>140</v>
      </c>
      <c r="AR213" t="s">
        <v>141</v>
      </c>
      <c r="AS213">
        <v>0.0085648842105263152</v>
      </c>
    </row>
    <row r="214" spans="1:45" ht="12.75">
      <c r="A214" s="2" t="str">
        <f>HYPERLINK("https://ibp.a2mac1.com/costing(costing:projects/details/8191/material/5316869)","PP-PE")</f>
        <v>PP-PE</v>
      </c>
      <c r="B214">
        <v>5316869</v>
      </c>
      <c r="C214">
        <v>6972127</v>
      </c>
      <c r="E214">
        <v>1.34768</v>
      </c>
      <c r="F214" t="s">
        <v>3040</v>
      </c>
      <c r="G214">
        <v>95</v>
      </c>
      <c r="H214" t="s">
        <v>3041</v>
      </c>
      <c r="I214">
        <v>5</v>
      </c>
      <c r="J214">
        <v>0.50345253019720215</v>
      </c>
      <c r="K214">
        <v>0</v>
      </c>
      <c r="M214">
        <v>0</v>
      </c>
      <c r="O214">
        <v>200000</v>
      </c>
      <c r="R214" t="s">
        <v>136</v>
      </c>
      <c r="S214">
        <v>0.00021988463157894737</v>
      </c>
      <c r="T214">
        <v>0.00044504649431578947</v>
      </c>
      <c r="U214" t="s">
        <v>137</v>
      </c>
      <c r="V214">
        <v>0.0030783848421052631</v>
      </c>
      <c r="W214">
        <v>0.091257399336421047</v>
      </c>
      <c r="X214" t="s">
        <v>90</v>
      </c>
      <c r="Y214">
        <v>0</v>
      </c>
      <c r="Z214">
        <v>0</v>
      </c>
      <c r="AA214" t="s">
        <v>90</v>
      </c>
      <c r="AB214">
        <v>0</v>
      </c>
      <c r="AC214">
        <v>0.091257399336421047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Q214" t="s">
        <v>140</v>
      </c>
      <c r="AR214" t="s">
        <v>141</v>
      </c>
      <c r="AS214">
        <v>0.087953852631578941</v>
      </c>
    </row>
    <row r="215" spans="1:45" ht="12.75">
      <c r="A215" s="2" t="str">
        <f>HYPERLINK("https://ibp.a2mac1.com/costing(costing:projects/details/8191/material/5316870)","Steel sheet (default)")</f>
        <v>Steel sheet (default)</v>
      </c>
      <c r="B215">
        <v>5316870</v>
      </c>
      <c r="C215">
        <v>6972128</v>
      </c>
      <c r="E215">
        <v>0.52766000000000002</v>
      </c>
      <c r="F215" t="s">
        <v>2779</v>
      </c>
      <c r="G215">
        <v>75</v>
      </c>
      <c r="H215" t="s">
        <v>2780</v>
      </c>
      <c r="I215">
        <v>30</v>
      </c>
      <c r="J215">
        <v>0.50345253019720215</v>
      </c>
      <c r="K215">
        <v>0</v>
      </c>
      <c r="L215">
        <v>0</v>
      </c>
      <c r="M215">
        <v>0</v>
      </c>
      <c r="O215">
        <v>200000</v>
      </c>
      <c r="R215" t="s">
        <v>136</v>
      </c>
      <c r="S215">
        <v>0.16199162</v>
      </c>
      <c r="T215">
        <v>0.010929034629333333</v>
      </c>
      <c r="U215" t="s">
        <v>137</v>
      </c>
      <c r="V215">
        <v>0.075596089333333338</v>
      </c>
      <c r="W215">
        <v>2.0844217706293335</v>
      </c>
      <c r="X215" t="s">
        <v>90</v>
      </c>
      <c r="Y215">
        <v>0</v>
      </c>
      <c r="Z215">
        <v>0</v>
      </c>
      <c r="AA215" t="s">
        <v>90</v>
      </c>
      <c r="AB215">
        <v>0</v>
      </c>
      <c r="AC215">
        <v>2.0844217706293335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Q215" t="s">
        <v>140</v>
      </c>
      <c r="AR215" t="s">
        <v>141</v>
      </c>
      <c r="AS215">
        <v>2.1598882666666666</v>
      </c>
    </row>
    <row r="216" spans="1:45" ht="12.75">
      <c r="A216" s="2" t="str">
        <f>HYPERLINK("https://ibp.a2mac1.com/costing(costing:projects/details/8191/material/5316872)","Cataphoresis paint")</f>
        <v>Cataphoresis paint</v>
      </c>
      <c r="B216">
        <v>5316872</v>
      </c>
      <c r="C216">
        <v>6972128</v>
      </c>
      <c r="E216">
        <v>12</v>
      </c>
      <c r="F216" t="s">
        <v>2781</v>
      </c>
      <c r="G216">
        <v>98</v>
      </c>
      <c r="H216" t="s">
        <v>2782</v>
      </c>
      <c r="I216">
        <v>0</v>
      </c>
      <c r="J216">
        <v>0.50345253019720215</v>
      </c>
      <c r="K216">
        <v>0</v>
      </c>
      <c r="L216">
        <v>0</v>
      </c>
      <c r="M216">
        <v>0</v>
      </c>
      <c r="O216">
        <v>200000</v>
      </c>
      <c r="R216" t="s">
        <v>136</v>
      </c>
      <c r="S216">
        <v>0</v>
      </c>
      <c r="T216">
        <v>0.0022119428571428573</v>
      </c>
      <c r="U216" t="s">
        <v>137</v>
      </c>
      <c r="V216">
        <v>0.015299999999999999</v>
      </c>
      <c r="W216">
        <v>0.45465480000000003</v>
      </c>
      <c r="X216" t="s">
        <v>90</v>
      </c>
      <c r="Y216">
        <v>0</v>
      </c>
      <c r="Z216">
        <v>0</v>
      </c>
      <c r="AA216" t="s">
        <v>90</v>
      </c>
      <c r="AB216">
        <v>0</v>
      </c>
      <c r="AC216">
        <v>0.45465480000000003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Q216" t="s">
        <v>140</v>
      </c>
      <c r="AR216" t="s">
        <v>141</v>
      </c>
      <c r="AS216">
        <v>0.43714285714285717</v>
      </c>
    </row>
    <row r="217" spans="1:45" ht="12.75">
      <c r="A217" s="2" t="str">
        <f>HYPERLINK("https://ibp.a2mac1.com/costing(costing:projects/details/8191/material/5316873)","Fabric")</f>
        <v>Fabric</v>
      </c>
      <c r="B217">
        <v>5316873</v>
      </c>
      <c r="C217">
        <v>6972129</v>
      </c>
      <c r="D217" t="s">
        <v>2761</v>
      </c>
      <c r="E217">
        <v>3</v>
      </c>
      <c r="F217" t="s">
        <v>1471</v>
      </c>
      <c r="G217">
        <v>100</v>
      </c>
      <c r="H217" t="s">
        <v>2762</v>
      </c>
      <c r="I217">
        <v>0</v>
      </c>
      <c r="J217">
        <v>0.20557651238448796</v>
      </c>
      <c r="K217">
        <v>0</v>
      </c>
      <c r="L217">
        <v>0</v>
      </c>
      <c r="M217">
        <v>0</v>
      </c>
      <c r="O217">
        <v>200000</v>
      </c>
      <c r="R217" t="s">
        <v>2693</v>
      </c>
      <c r="S217">
        <v>0</v>
      </c>
      <c r="T217">
        <v>0.00092699999999999998</v>
      </c>
      <c r="U217" t="s">
        <v>137</v>
      </c>
      <c r="V217">
        <v>0.01575</v>
      </c>
      <c r="W217">
        <v>0.46667700000000001</v>
      </c>
      <c r="X217" t="s">
        <v>90</v>
      </c>
      <c r="Y217">
        <v>0</v>
      </c>
      <c r="Z217">
        <v>0</v>
      </c>
      <c r="AA217" t="s">
        <v>90</v>
      </c>
      <c r="AB217">
        <v>0</v>
      </c>
      <c r="AC217">
        <v>0.46667700000000001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Q217" t="s">
        <v>9</v>
      </c>
      <c r="AR217" t="s">
        <v>141</v>
      </c>
      <c r="AS217">
        <v>0.45</v>
      </c>
    </row>
    <row r="218" spans="1:45" ht="12.75">
      <c r="A218" s="2" t="str">
        <f>HYPERLINK("https://ibp.a2mac1.com/costing(costing:projects/details/8191/material/5316874)","Vinyl Perforated")</f>
        <v>Vinyl Perforated</v>
      </c>
      <c r="B218">
        <v>5316874</v>
      </c>
      <c r="C218">
        <v>6972129</v>
      </c>
      <c r="D218" t="s">
        <v>2690</v>
      </c>
      <c r="E218">
        <v>12.89988</v>
      </c>
      <c r="F218" t="s">
        <v>2764</v>
      </c>
      <c r="G218">
        <v>75</v>
      </c>
      <c r="H218" t="s">
        <v>2765</v>
      </c>
      <c r="I218">
        <v>50</v>
      </c>
      <c r="J218">
        <v>0.20557651238448796</v>
      </c>
      <c r="K218">
        <v>0</v>
      </c>
      <c r="L218">
        <v>0</v>
      </c>
      <c r="M218">
        <v>0</v>
      </c>
      <c r="O218">
        <v>200000</v>
      </c>
      <c r="R218" t="s">
        <v>2693</v>
      </c>
      <c r="S218">
        <v>0.53749499999999995</v>
      </c>
      <c r="T218">
        <v>0.0088579175999999992</v>
      </c>
      <c r="U218" t="s">
        <v>137</v>
      </c>
      <c r="V218">
        <v>0.15049860000000001</v>
      </c>
      <c r="W218">
        <v>3.9218215176000002</v>
      </c>
      <c r="X218" t="s">
        <v>90</v>
      </c>
      <c r="Y218">
        <v>0</v>
      </c>
      <c r="Z218">
        <v>0</v>
      </c>
      <c r="AA218" t="s">
        <v>90</v>
      </c>
      <c r="AB218">
        <v>0</v>
      </c>
      <c r="AC218">
        <v>3.9218215176000002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Q218" t="s">
        <v>9</v>
      </c>
      <c r="AR218" t="s">
        <v>141</v>
      </c>
      <c r="AS218">
        <v>4.2999599999999996</v>
      </c>
    </row>
    <row r="219" spans="1:45" ht="12.75">
      <c r="A219" s="2" t="str">
        <f>HYPERLINK("https://ibp.a2mac1.com/costing(costing:projects/details/8191/material/5316875)","Mix Vinyl (80%)")</f>
        <v>Mix Vinyl (80%)</v>
      </c>
      <c r="B219">
        <v>5316875</v>
      </c>
      <c r="C219">
        <v>6972129</v>
      </c>
      <c r="D219" t="s">
        <v>2690</v>
      </c>
      <c r="E219">
        <v>6.41</v>
      </c>
      <c r="F219" t="s">
        <v>2766</v>
      </c>
      <c r="G219">
        <v>75</v>
      </c>
      <c r="H219" t="s">
        <v>2767</v>
      </c>
      <c r="I219">
        <v>0</v>
      </c>
      <c r="J219">
        <v>0.20557651238448796</v>
      </c>
      <c r="K219">
        <v>0</v>
      </c>
      <c r="L219">
        <v>0</v>
      </c>
      <c r="M219">
        <v>0</v>
      </c>
      <c r="O219">
        <v>200000</v>
      </c>
      <c r="R219" t="s">
        <v>2693</v>
      </c>
      <c r="S219">
        <v>0</v>
      </c>
      <c r="T219">
        <v>0.021831605333333334</v>
      </c>
      <c r="U219" t="s">
        <v>137</v>
      </c>
      <c r="V219">
        <v>0.37092533333333333</v>
      </c>
      <c r="W219">
        <v>10.990623605333333</v>
      </c>
      <c r="X219" t="s">
        <v>90</v>
      </c>
      <c r="Y219">
        <v>0</v>
      </c>
      <c r="Z219">
        <v>0</v>
      </c>
      <c r="AA219" t="s">
        <v>90</v>
      </c>
      <c r="AB219">
        <v>0</v>
      </c>
      <c r="AC219">
        <v>10.990623605333333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Q219" t="s">
        <v>140</v>
      </c>
      <c r="AR219" t="s">
        <v>141</v>
      </c>
      <c r="AS219">
        <v>10.597866666666667</v>
      </c>
    </row>
    <row r="220" spans="1:45" ht="12.75">
      <c r="A220" s="2" t="str">
        <f>HYPERLINK("https://ibp.a2mac1.com/costing(costing:projects/details/8191/material/5316878)","PUR")</f>
        <v>PUR</v>
      </c>
      <c r="B220">
        <v>5316878</v>
      </c>
      <c r="C220">
        <v>6972131</v>
      </c>
      <c r="E220">
        <v>3.37662</v>
      </c>
      <c r="F220" t="s">
        <v>3052</v>
      </c>
      <c r="G220">
        <v>95</v>
      </c>
      <c r="H220" t="s">
        <v>3053</v>
      </c>
      <c r="I220">
        <v>5</v>
      </c>
      <c r="J220">
        <v>0.50345253019720215</v>
      </c>
      <c r="K220">
        <v>0</v>
      </c>
      <c r="L220">
        <v>0</v>
      </c>
      <c r="M220">
        <v>0</v>
      </c>
      <c r="O220">
        <v>200000</v>
      </c>
      <c r="R220" t="s">
        <v>136</v>
      </c>
      <c r="S220">
        <v>0.013426507421052631</v>
      </c>
      <c r="T220">
        <v>0.027175251020210525</v>
      </c>
      <c r="U220" t="s">
        <v>137</v>
      </c>
      <c r="V220">
        <v>0.18797110389473684</v>
      </c>
      <c r="W220">
        <v>5.5723228159149469</v>
      </c>
      <c r="X220" t="s">
        <v>90</v>
      </c>
      <c r="Y220">
        <v>0</v>
      </c>
      <c r="Z220">
        <v>0</v>
      </c>
      <c r="AA220" t="s">
        <v>90</v>
      </c>
      <c r="AB220">
        <v>0</v>
      </c>
      <c r="AC220">
        <v>5.5723228159149469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Q220" t="s">
        <v>140</v>
      </c>
      <c r="AR220" t="s">
        <v>141</v>
      </c>
      <c r="AS220">
        <v>5.3706029684210526</v>
      </c>
    </row>
    <row r="221" spans="1:45" ht="12.75">
      <c r="A221" s="2" t="str">
        <f>HYPERLINK("https://ibp.a2mac1.com/costing(costing:projects/details/8191/material/5317061)","PP-PE")</f>
        <v>PP-PE</v>
      </c>
      <c r="B221">
        <v>5317061</v>
      </c>
      <c r="C221">
        <v>6972193</v>
      </c>
      <c r="E221">
        <v>1.34768</v>
      </c>
      <c r="F221" t="s">
        <v>3060</v>
      </c>
      <c r="G221">
        <v>95</v>
      </c>
      <c r="H221" t="s">
        <v>3061</v>
      </c>
      <c r="I221">
        <v>5</v>
      </c>
      <c r="J221">
        <v>0.50345253019720215</v>
      </c>
      <c r="K221">
        <v>0</v>
      </c>
      <c r="M221">
        <v>0</v>
      </c>
      <c r="O221">
        <v>200000</v>
      </c>
      <c r="R221" t="s">
        <v>136</v>
      </c>
      <c r="S221">
        <v>0.00096820168421052637</v>
      </c>
      <c r="T221">
        <v>0.0019596402088421054</v>
      </c>
      <c r="U221" t="s">
        <v>137</v>
      </c>
      <c r="V221">
        <v>0.013554823578947368</v>
      </c>
      <c r="W221">
        <v>0.4018269357877895</v>
      </c>
      <c r="X221" t="s">
        <v>90</v>
      </c>
      <c r="Y221">
        <v>0</v>
      </c>
      <c r="Z221">
        <v>0</v>
      </c>
      <c r="AA221" t="s">
        <v>90</v>
      </c>
      <c r="AB221">
        <v>0</v>
      </c>
      <c r="AC221">
        <v>0.4018269357877895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Q221" t="s">
        <v>140</v>
      </c>
      <c r="AR221" t="s">
        <v>141</v>
      </c>
      <c r="AS221">
        <v>0.38728067368421054</v>
      </c>
    </row>
    <row r="222" spans="1:45" ht="12.75">
      <c r="A222" s="2" t="str">
        <f>HYPERLINK("https://ibp.a2mac1.com/costing(costing:projects/details/8191/material/5317062)","PP-PE")</f>
        <v>PP-PE</v>
      </c>
      <c r="B222">
        <v>5317062</v>
      </c>
      <c r="C222">
        <v>6972194</v>
      </c>
      <c r="E222">
        <v>1.34768</v>
      </c>
      <c r="F222" t="s">
        <v>3065</v>
      </c>
      <c r="G222">
        <v>95</v>
      </c>
      <c r="H222" t="s">
        <v>3066</v>
      </c>
      <c r="I222">
        <v>5</v>
      </c>
      <c r="J222">
        <v>0.50345253019720215</v>
      </c>
      <c r="K222">
        <v>0</v>
      </c>
      <c r="M222">
        <v>0</v>
      </c>
      <c r="O222">
        <v>200000</v>
      </c>
      <c r="R222" t="s">
        <v>136</v>
      </c>
      <c r="S222">
        <v>0.00030854778947368423</v>
      </c>
      <c r="T222">
        <v>0.00062450072589473684</v>
      </c>
      <c r="U222" t="s">
        <v>137</v>
      </c>
      <c r="V222">
        <v>0.0043196690526315787</v>
      </c>
      <c r="W222">
        <v>0.12805473777852633</v>
      </c>
      <c r="X222" t="s">
        <v>90</v>
      </c>
      <c r="Y222">
        <v>0</v>
      </c>
      <c r="Z222">
        <v>0</v>
      </c>
      <c r="AA222" t="s">
        <v>90</v>
      </c>
      <c r="AB222">
        <v>0</v>
      </c>
      <c r="AC222">
        <v>0.12805473777852633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Q222" t="s">
        <v>140</v>
      </c>
      <c r="AR222" t="s">
        <v>141</v>
      </c>
      <c r="AS222">
        <v>0.12341911578947369</v>
      </c>
    </row>
    <row r="223" spans="1:45" ht="12.75">
      <c r="A223" s="2" t="str">
        <f>HYPERLINK("https://ibp.a2mac1.com/costing(costing:projects/details/8191/material/5317063)","PP")</f>
        <v>PP</v>
      </c>
      <c r="B223">
        <v>5317063</v>
      </c>
      <c r="C223">
        <v>6972195</v>
      </c>
      <c r="E223">
        <v>1.0113799999999999</v>
      </c>
      <c r="F223" t="s">
        <v>3070</v>
      </c>
      <c r="G223">
        <v>95</v>
      </c>
      <c r="H223" t="s">
        <v>3071</v>
      </c>
      <c r="I223">
        <v>5</v>
      </c>
      <c r="J223">
        <v>0.50345253019720215</v>
      </c>
      <c r="K223">
        <v>0</v>
      </c>
      <c r="M223">
        <v>0</v>
      </c>
      <c r="O223">
        <v>200000</v>
      </c>
      <c r="R223" t="s">
        <v>136</v>
      </c>
      <c r="S223">
        <v>0.00034333689473684209</v>
      </c>
      <c r="T223">
        <v>0.00069491387494736837</v>
      </c>
      <c r="U223" t="s">
        <v>137</v>
      </c>
      <c r="V223">
        <v>0.0048067165263157895</v>
      </c>
      <c r="W223">
        <v>0.14249305140126317</v>
      </c>
      <c r="X223" t="s">
        <v>90</v>
      </c>
      <c r="Y223">
        <v>0</v>
      </c>
      <c r="Z223">
        <v>0</v>
      </c>
      <c r="AA223" t="s">
        <v>90</v>
      </c>
      <c r="AB223">
        <v>0</v>
      </c>
      <c r="AC223">
        <v>0.14249305140126317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Q223" t="s">
        <v>140</v>
      </c>
      <c r="AR223" t="s">
        <v>141</v>
      </c>
      <c r="AS223">
        <v>0.13733475789473684</v>
      </c>
    </row>
    <row r="224" spans="1:45" ht="12.75">
      <c r="A224" s="2" t="str">
        <f>HYPERLINK("https://ibp.a2mac1.com/costing(costing:projects/details/8191/material/5316879)","PUR")</f>
        <v>PUR</v>
      </c>
      <c r="B224">
        <v>5316879</v>
      </c>
      <c r="C224">
        <v>6972132</v>
      </c>
      <c r="E224">
        <v>3.37662</v>
      </c>
      <c r="F224" t="s">
        <v>2827</v>
      </c>
      <c r="G224">
        <v>95</v>
      </c>
      <c r="H224" t="s">
        <v>2828</v>
      </c>
      <c r="I224">
        <v>5</v>
      </c>
      <c r="J224">
        <v>0.50345253019720215</v>
      </c>
      <c r="K224">
        <v>0</v>
      </c>
      <c r="L224">
        <v>0</v>
      </c>
      <c r="M224">
        <v>0</v>
      </c>
      <c r="O224">
        <v>200000</v>
      </c>
      <c r="R224" t="s">
        <v>136</v>
      </c>
      <c r="S224">
        <v>0.012706754210526316</v>
      </c>
      <c r="T224">
        <v>0.025718470522105262</v>
      </c>
      <c r="U224" t="s">
        <v>137</v>
      </c>
      <c r="V224">
        <v>0.17789455894736841</v>
      </c>
      <c r="W224">
        <v>5.2736079594694738</v>
      </c>
      <c r="X224" t="s">
        <v>90</v>
      </c>
      <c r="Y224">
        <v>0</v>
      </c>
      <c r="Z224">
        <v>0</v>
      </c>
      <c r="AA224" t="s">
        <v>90</v>
      </c>
      <c r="AB224">
        <v>0</v>
      </c>
      <c r="AC224">
        <v>5.2736079594694738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Q224" t="s">
        <v>140</v>
      </c>
      <c r="AR224" t="s">
        <v>141</v>
      </c>
      <c r="AS224">
        <v>5.0827016842105266</v>
      </c>
    </row>
    <row r="225" spans="1:45" ht="12.75">
      <c r="A225" s="2" t="str">
        <f>HYPERLINK("https://ibp.a2mac1.com/costing(costing:projects/details/8191/material/5316880)","Fabric")</f>
        <v>Fabric</v>
      </c>
      <c r="B225">
        <v>5316880</v>
      </c>
      <c r="C225">
        <v>6972133</v>
      </c>
      <c r="D225" t="s">
        <v>2816</v>
      </c>
      <c r="E225">
        <v>3</v>
      </c>
      <c r="F225" t="s">
        <v>2142</v>
      </c>
      <c r="G225">
        <v>100</v>
      </c>
      <c r="H225" t="s">
        <v>2817</v>
      </c>
      <c r="I225">
        <v>0</v>
      </c>
      <c r="J225">
        <v>0.20557651238448796</v>
      </c>
      <c r="K225">
        <v>0</v>
      </c>
      <c r="L225">
        <v>0</v>
      </c>
      <c r="M225">
        <v>0</v>
      </c>
      <c r="O225">
        <v>200000</v>
      </c>
      <c r="R225" t="s">
        <v>2693</v>
      </c>
      <c r="S225">
        <v>0</v>
      </c>
      <c r="T225">
        <v>0.0014832000000000001</v>
      </c>
      <c r="U225" t="s">
        <v>137</v>
      </c>
      <c r="V225">
        <v>0.0252</v>
      </c>
      <c r="W225">
        <v>0.74668319999999999</v>
      </c>
      <c r="X225" t="s">
        <v>90</v>
      </c>
      <c r="Y225">
        <v>0</v>
      </c>
      <c r="Z225">
        <v>0</v>
      </c>
      <c r="AA225" t="s">
        <v>90</v>
      </c>
      <c r="AB225">
        <v>0</v>
      </c>
      <c r="AC225">
        <v>0.74668319999999999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Q225" t="s">
        <v>9</v>
      </c>
      <c r="AR225" t="s">
        <v>141</v>
      </c>
      <c r="AS225">
        <v>0.72</v>
      </c>
    </row>
    <row r="226" spans="1:45" ht="12.75">
      <c r="A226" s="2" t="str">
        <f>HYPERLINK("https://ibp.a2mac1.com/costing(costing:projects/details/8191/material/5316883)","Vinyl Perforated")</f>
        <v>Vinyl Perforated</v>
      </c>
      <c r="B226">
        <v>5316883</v>
      </c>
      <c r="C226">
        <v>6972133</v>
      </c>
      <c r="D226" t="s">
        <v>2690</v>
      </c>
      <c r="E226">
        <v>12.89988</v>
      </c>
      <c r="F226" t="s">
        <v>2819</v>
      </c>
      <c r="G226">
        <v>75</v>
      </c>
      <c r="H226" t="s">
        <v>2820</v>
      </c>
      <c r="I226">
        <v>50</v>
      </c>
      <c r="J226">
        <v>0.20557651238448796</v>
      </c>
      <c r="K226">
        <v>0</v>
      </c>
      <c r="L226">
        <v>0</v>
      </c>
      <c r="M226">
        <v>0</v>
      </c>
      <c r="O226">
        <v>200000</v>
      </c>
      <c r="R226" t="s">
        <v>2693</v>
      </c>
      <c r="S226">
        <v>0.34399679999999999</v>
      </c>
      <c r="T226">
        <v>0.0056690672639999997</v>
      </c>
      <c r="U226" t="s">
        <v>137</v>
      </c>
      <c r="V226">
        <v>0.096319104000000003</v>
      </c>
      <c r="W226">
        <v>2.509965771264</v>
      </c>
      <c r="X226" t="s">
        <v>90</v>
      </c>
      <c r="Y226">
        <v>0</v>
      </c>
      <c r="Z226">
        <v>0</v>
      </c>
      <c r="AA226" t="s">
        <v>90</v>
      </c>
      <c r="AB226">
        <v>0</v>
      </c>
      <c r="AC226">
        <v>2.509965771264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Q226" t="s">
        <v>9</v>
      </c>
      <c r="AR226" t="s">
        <v>141</v>
      </c>
      <c r="AS226">
        <v>2.7519743999999999</v>
      </c>
    </row>
    <row r="227" spans="1:45" ht="12.75">
      <c r="A227" s="2" t="str">
        <f>HYPERLINK("https://ibp.a2mac1.com/costing(costing:projects/details/8191/material/5316886)","Mix Vinyl (80%)")</f>
        <v>Mix Vinyl (80%)</v>
      </c>
      <c r="B227">
        <v>5316886</v>
      </c>
      <c r="C227">
        <v>6972133</v>
      </c>
      <c r="D227" t="s">
        <v>2690</v>
      </c>
      <c r="E227">
        <v>6.41</v>
      </c>
      <c r="F227" t="s">
        <v>2510</v>
      </c>
      <c r="G227">
        <v>75</v>
      </c>
      <c r="H227" t="s">
        <v>2821</v>
      </c>
      <c r="I227">
        <v>0</v>
      </c>
      <c r="J227">
        <v>0.20557651238448796</v>
      </c>
      <c r="K227">
        <v>0</v>
      </c>
      <c r="L227">
        <v>0</v>
      </c>
      <c r="M227">
        <v>0</v>
      </c>
      <c r="O227">
        <v>200000</v>
      </c>
      <c r="R227" t="s">
        <v>2693</v>
      </c>
      <c r="S227">
        <v>0</v>
      </c>
      <c r="T227">
        <v>0.008098821333333334</v>
      </c>
      <c r="U227" t="s">
        <v>137</v>
      </c>
      <c r="V227">
        <v>0.13760133333333333</v>
      </c>
      <c r="W227">
        <v>4.077166821333333</v>
      </c>
      <c r="X227" t="s">
        <v>90</v>
      </c>
      <c r="Y227">
        <v>0</v>
      </c>
      <c r="Z227">
        <v>0</v>
      </c>
      <c r="AA227" t="s">
        <v>90</v>
      </c>
      <c r="AB227">
        <v>0</v>
      </c>
      <c r="AC227">
        <v>4.077166821333333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Q227" t="s">
        <v>140</v>
      </c>
      <c r="AR227" t="s">
        <v>141</v>
      </c>
      <c r="AS227">
        <v>3.9314666666666667</v>
      </c>
    </row>
    <row r="228" spans="1:45" ht="12.75">
      <c r="A228" s="2" t="str">
        <f>HYPERLINK("https://ibp.a2mac1.com/costing(costing:projects/details/8191/material/5316888)","Carpet")</f>
        <v>Carpet</v>
      </c>
      <c r="B228">
        <v>5316888</v>
      </c>
      <c r="C228">
        <v>6972133</v>
      </c>
      <c r="D228" t="s">
        <v>2690</v>
      </c>
      <c r="E228">
        <v>5</v>
      </c>
      <c r="F228" t="s">
        <v>2822</v>
      </c>
      <c r="G228">
        <v>75</v>
      </c>
      <c r="H228" t="s">
        <v>2823</v>
      </c>
      <c r="I228">
        <v>50</v>
      </c>
      <c r="J228">
        <v>0.20557651238448796</v>
      </c>
      <c r="K228">
        <v>0</v>
      </c>
      <c r="L228">
        <v>0</v>
      </c>
      <c r="M228">
        <v>0</v>
      </c>
      <c r="O228">
        <v>200000</v>
      </c>
      <c r="R228" t="s">
        <v>2693</v>
      </c>
      <c r="S228">
        <v>0.28333333333333333</v>
      </c>
      <c r="T228">
        <v>0.0046693333333333335</v>
      </c>
      <c r="U228" t="s">
        <v>137</v>
      </c>
      <c r="V228">
        <v>0.079333333333333339</v>
      </c>
      <c r="W228">
        <v>2.0673360000000001</v>
      </c>
      <c r="X228" t="s">
        <v>90</v>
      </c>
      <c r="Y228">
        <v>0</v>
      </c>
      <c r="Z228">
        <v>0</v>
      </c>
      <c r="AA228" t="s">
        <v>90</v>
      </c>
      <c r="AB228">
        <v>0</v>
      </c>
      <c r="AC228">
        <v>2.0673360000000001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Q228" t="s">
        <v>9</v>
      </c>
      <c r="AR228" t="s">
        <v>141</v>
      </c>
      <c r="AS228">
        <v>2.2666666666666666</v>
      </c>
    </row>
    <row r="229" spans="1:45" ht="12.75">
      <c r="A229" s="2" t="str">
        <f>HYPERLINK("https://ibp.a2mac1.com/costing(costing:projects/details/8191/material/5316890)","Steel sheet (default)")</f>
        <v>Steel sheet (default)</v>
      </c>
      <c r="B229">
        <v>5316890</v>
      </c>
      <c r="C229">
        <v>6972135</v>
      </c>
      <c r="E229">
        <v>0.52766000000000002</v>
      </c>
      <c r="F229" t="s">
        <v>2832</v>
      </c>
      <c r="G229">
        <v>50</v>
      </c>
      <c r="H229" t="s">
        <v>2833</v>
      </c>
      <c r="I229">
        <v>30</v>
      </c>
      <c r="J229">
        <v>0.50345253019720215</v>
      </c>
      <c r="K229">
        <v>0</v>
      </c>
      <c r="L229">
        <v>0</v>
      </c>
      <c r="M229">
        <v>0</v>
      </c>
      <c r="O229">
        <v>200000</v>
      </c>
      <c r="R229" t="s">
        <v>136</v>
      </c>
      <c r="S229">
        <v>0.55166853000000005</v>
      </c>
      <c r="T229">
        <v>0.018609618412000001</v>
      </c>
      <c r="U229" t="s">
        <v>137</v>
      </c>
      <c r="V229">
        <v>0.12872265699999999</v>
      </c>
      <c r="W229">
        <v>3.2734539454120002</v>
      </c>
      <c r="X229" t="s">
        <v>90</v>
      </c>
      <c r="Y229">
        <v>0</v>
      </c>
      <c r="Z229">
        <v>0</v>
      </c>
      <c r="AA229" t="s">
        <v>90</v>
      </c>
      <c r="AB229">
        <v>0</v>
      </c>
      <c r="AC229">
        <v>3.2734539454120002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Q229" t="s">
        <v>140</v>
      </c>
      <c r="AR229" t="s">
        <v>141</v>
      </c>
      <c r="AS229">
        <v>3.6777902</v>
      </c>
    </row>
    <row r="230" spans="1:45" ht="12.75">
      <c r="A230" s="2" t="str">
        <f>HYPERLINK("https://ibp.a2mac1.com/costing(costing:projects/details/8191/material/5316892)","Cataphoresis paint")</f>
        <v>Cataphoresis paint</v>
      </c>
      <c r="B230">
        <v>5316892</v>
      </c>
      <c r="C230">
        <v>6972135</v>
      </c>
      <c r="E230">
        <v>12</v>
      </c>
      <c r="F230" t="s">
        <v>1885</v>
      </c>
      <c r="G230">
        <v>100</v>
      </c>
      <c r="H230" t="s">
        <v>1273</v>
      </c>
      <c r="I230">
        <v>0</v>
      </c>
      <c r="J230">
        <v>0.50345253019720215</v>
      </c>
      <c r="K230">
        <v>0</v>
      </c>
      <c r="L230">
        <v>0</v>
      </c>
      <c r="M230">
        <v>0</v>
      </c>
      <c r="O230">
        <v>200000</v>
      </c>
      <c r="R230" t="s">
        <v>79</v>
      </c>
      <c r="S230">
        <v>0</v>
      </c>
      <c r="T230">
        <v>0.0024288000000000001</v>
      </c>
      <c r="U230" t="s">
        <v>137</v>
      </c>
      <c r="V230">
        <v>0.016799999999999999</v>
      </c>
      <c r="W230">
        <v>0.49922879999999997</v>
      </c>
      <c r="X230" t="s">
        <v>90</v>
      </c>
      <c r="Y230">
        <v>0</v>
      </c>
      <c r="Z230">
        <v>0</v>
      </c>
      <c r="AA230" t="s">
        <v>90</v>
      </c>
      <c r="AB230">
        <v>0</v>
      </c>
      <c r="AC230">
        <v>0.49922879999999997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Q230" t="s">
        <v>140</v>
      </c>
      <c r="AR230" t="s">
        <v>141</v>
      </c>
      <c r="AS230">
        <v>0.48</v>
      </c>
    </row>
    <row r="231" spans="1:45" ht="12.75">
      <c r="A231" s="2" t="str">
        <f>HYPERLINK("https://ibp.a2mac1.com/costing(costing:projects/details/8191/material/5316894)","Steel sheet (default)")</f>
        <v>Steel sheet (default)</v>
      </c>
      <c r="B231">
        <v>5316894</v>
      </c>
      <c r="C231">
        <v>6972136</v>
      </c>
      <c r="E231">
        <v>0.52766000000000002</v>
      </c>
      <c r="F231" t="s">
        <v>2837</v>
      </c>
      <c r="G231">
        <v>65</v>
      </c>
      <c r="H231" t="s">
        <v>2838</v>
      </c>
      <c r="I231">
        <v>30</v>
      </c>
      <c r="J231">
        <v>0.50345253019720215</v>
      </c>
      <c r="K231">
        <v>0</v>
      </c>
      <c r="L231">
        <v>0</v>
      </c>
      <c r="M231">
        <v>0</v>
      </c>
      <c r="O231">
        <v>200000</v>
      </c>
      <c r="R231" t="s">
        <v>136</v>
      </c>
      <c r="S231">
        <v>0.094869209076923075</v>
      </c>
      <c r="T231">
        <v>0.0045717923612307691</v>
      </c>
      <c r="U231" t="s">
        <v>137</v>
      </c>
      <c r="V231">
        <v>0.031623069692307694</v>
      </c>
      <c r="W231">
        <v>0.84484192989969231</v>
      </c>
      <c r="X231" t="s">
        <v>90</v>
      </c>
      <c r="Y231">
        <v>0</v>
      </c>
      <c r="Z231">
        <v>0</v>
      </c>
      <c r="AA231" t="s">
        <v>90</v>
      </c>
      <c r="AB231">
        <v>0</v>
      </c>
      <c r="AC231">
        <v>0.84484192989969231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Q231" t="s">
        <v>140</v>
      </c>
      <c r="AR231" t="s">
        <v>141</v>
      </c>
      <c r="AS231">
        <v>0.9035162769230769</v>
      </c>
    </row>
    <row r="232" spans="1:45" ht="12.75">
      <c r="A232" s="2" t="str">
        <f>HYPERLINK("https://ibp.a2mac1.com/costing(costing:projects/details/8191/material/5316895)","Cataphoresis paint")</f>
        <v>Cataphoresis paint</v>
      </c>
      <c r="B232">
        <v>5316895</v>
      </c>
      <c r="C232">
        <v>6972136</v>
      </c>
      <c r="E232">
        <v>12</v>
      </c>
      <c r="F232" t="s">
        <v>2840</v>
      </c>
      <c r="G232">
        <v>100</v>
      </c>
      <c r="H232" t="s">
        <v>2841</v>
      </c>
      <c r="I232">
        <v>0</v>
      </c>
      <c r="J232">
        <v>0.50345253019720215</v>
      </c>
      <c r="K232">
        <v>0</v>
      </c>
      <c r="L232">
        <v>0</v>
      </c>
      <c r="M232">
        <v>0</v>
      </c>
      <c r="O232">
        <v>200000</v>
      </c>
      <c r="R232" t="s">
        <v>79</v>
      </c>
      <c r="S232">
        <v>0</v>
      </c>
      <c r="T232">
        <v>0.0021251999999999998</v>
      </c>
      <c r="U232" t="s">
        <v>137</v>
      </c>
      <c r="V232">
        <v>0.0147</v>
      </c>
      <c r="W232">
        <v>0.43682520000000002</v>
      </c>
      <c r="X232" t="s">
        <v>90</v>
      </c>
      <c r="Y232">
        <v>0</v>
      </c>
      <c r="Z232">
        <v>0</v>
      </c>
      <c r="AA232" t="s">
        <v>90</v>
      </c>
      <c r="AB232">
        <v>0</v>
      </c>
      <c r="AC232">
        <v>0.43682520000000002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Q232" t="s">
        <v>140</v>
      </c>
      <c r="AR232" t="s">
        <v>141</v>
      </c>
      <c r="AS232">
        <v>0.42</v>
      </c>
    </row>
    <row r="233" spans="1:45" ht="12.75">
      <c r="A233" s="2" t="str">
        <f>HYPERLINK("https://ibp.a2mac1.com/costing(costing:projects/details/8191/material/5317064)","PA66")</f>
        <v>PA66</v>
      </c>
      <c r="B233">
        <v>5317064</v>
      </c>
      <c r="C233">
        <v>6972196</v>
      </c>
      <c r="E233">
        <v>2.03416</v>
      </c>
      <c r="F233" t="s">
        <v>3000</v>
      </c>
      <c r="G233">
        <v>95</v>
      </c>
      <c r="H233" t="s">
        <v>3098</v>
      </c>
      <c r="I233">
        <v>5</v>
      </c>
      <c r="J233">
        <v>0.50345253019720215</v>
      </c>
      <c r="K233">
        <v>0</v>
      </c>
      <c r="M233">
        <v>0</v>
      </c>
      <c r="O233">
        <v>200000</v>
      </c>
      <c r="R233" t="s">
        <v>136</v>
      </c>
      <c r="S233">
        <v>5.3530526315789473E-06</v>
      </c>
      <c r="T233">
        <v>1.083457852631579E-05</v>
      </c>
      <c r="U233" t="s">
        <v>137</v>
      </c>
      <c r="V233">
        <v>7.4942736842105264E-05</v>
      </c>
      <c r="W233">
        <v>0.002221645315368421</v>
      </c>
      <c r="X233" t="s">
        <v>138</v>
      </c>
      <c r="Y233">
        <v>0.00013329871892210526</v>
      </c>
      <c r="Z233">
        <v>0</v>
      </c>
      <c r="AA233" t="s">
        <v>139</v>
      </c>
      <c r="AB233">
        <v>0.00026659743784421052</v>
      </c>
      <c r="AC233">
        <v>0.0026215414721347369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Q233" t="s">
        <v>140</v>
      </c>
      <c r="AR233" t="s">
        <v>141</v>
      </c>
      <c r="AS233">
        <v>0.0021412210526315788</v>
      </c>
    </row>
    <row r="234" spans="1:45" ht="12.75">
      <c r="A234" s="2" t="str">
        <f>HYPERLINK("https://ibp.a2mac1.com/costing(costing:projects/details/8191/material/5317065)","PA6")</f>
        <v>PA6</v>
      </c>
      <c r="B234">
        <v>5317065</v>
      </c>
      <c r="C234">
        <v>6972197</v>
      </c>
      <c r="E234">
        <v>1.72394</v>
      </c>
      <c r="F234" t="s">
        <v>3103</v>
      </c>
      <c r="G234">
        <v>95</v>
      </c>
      <c r="H234" t="s">
        <v>3104</v>
      </c>
      <c r="I234">
        <v>5</v>
      </c>
      <c r="J234">
        <v>0.50345253019720215</v>
      </c>
      <c r="K234">
        <v>0</v>
      </c>
      <c r="M234">
        <v>0</v>
      </c>
      <c r="O234">
        <v>200000</v>
      </c>
      <c r="R234" t="s">
        <v>136</v>
      </c>
      <c r="S234">
        <v>9.9807052631578947E-05</v>
      </c>
      <c r="T234">
        <v>0.00020200947452631579</v>
      </c>
      <c r="U234" t="s">
        <v>137</v>
      </c>
      <c r="V234">
        <v>0.0013972987368421053</v>
      </c>
      <c r="W234">
        <v>0.04142232221136842</v>
      </c>
      <c r="X234" t="s">
        <v>138</v>
      </c>
      <c r="Y234">
        <v>0.0024853393326821054</v>
      </c>
      <c r="Z234">
        <v>0</v>
      </c>
      <c r="AA234" t="s">
        <v>139</v>
      </c>
      <c r="AB234">
        <v>0.0049706786653642109</v>
      </c>
      <c r="AC234">
        <v>0.048878340209414735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Q234" t="s">
        <v>140</v>
      </c>
      <c r="AR234" t="s">
        <v>141</v>
      </c>
      <c r="AS234">
        <v>0.039922821052631577</v>
      </c>
    </row>
    <row r="235" spans="1:45" ht="12.75">
      <c r="A235" s="2" t="str">
        <f>HYPERLINK("https://ibp.a2mac1.com/costing(costing:projects/details/8191/material/5316896)","Steel sheet (default)")</f>
        <v>Steel sheet (default)</v>
      </c>
      <c r="B235">
        <v>5316896</v>
      </c>
      <c r="C235">
        <v>6972138</v>
      </c>
      <c r="E235">
        <v>0.52766000000000002</v>
      </c>
      <c r="F235" t="s">
        <v>612</v>
      </c>
      <c r="G235">
        <v>30</v>
      </c>
      <c r="H235" t="s">
        <v>2849</v>
      </c>
      <c r="I235">
        <v>30</v>
      </c>
      <c r="J235">
        <v>0.0019999600007999841</v>
      </c>
      <c r="K235">
        <v>0</v>
      </c>
      <c r="L235">
        <v>0</v>
      </c>
      <c r="M235">
        <v>0</v>
      </c>
      <c r="O235">
        <v>200000</v>
      </c>
      <c r="R235" t="s">
        <v>136</v>
      </c>
      <c r="S235">
        <v>0.017729376000000002</v>
      </c>
      <c r="T235">
        <v>1.6885119999999999E-06</v>
      </c>
      <c r="U235" t="s">
        <v>137</v>
      </c>
      <c r="V235">
        <v>0.0029548959999999998</v>
      </c>
      <c r="W235">
        <v>0.069652808511999995</v>
      </c>
      <c r="X235" t="s">
        <v>138</v>
      </c>
      <c r="Y235">
        <v>0.0041791685107199997</v>
      </c>
      <c r="Z235">
        <v>0</v>
      </c>
      <c r="AA235" t="s">
        <v>139</v>
      </c>
      <c r="AB235">
        <v>0.0083583370214399995</v>
      </c>
      <c r="AC235">
        <v>0.082190314044159996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Q235" t="s">
        <v>140</v>
      </c>
      <c r="AR235" t="s">
        <v>141</v>
      </c>
      <c r="AS235">
        <v>0.084425600000000003</v>
      </c>
    </row>
    <row r="236" spans="1:45" ht="12.75">
      <c r="A236" s="2" t="str">
        <f>HYPERLINK("https://ibp.a2mac1.com/costing(costing:projects/details/8191/material/5317099)","Steel sheet (default)")</f>
        <v>Steel sheet (default)</v>
      </c>
      <c r="B236">
        <v>5317099</v>
      </c>
      <c r="C236">
        <v>6972336</v>
      </c>
      <c r="E236">
        <v>0.52766000000000002</v>
      </c>
      <c r="F236" t="s">
        <v>2888</v>
      </c>
      <c r="G236">
        <v>70</v>
      </c>
      <c r="H236" t="s">
        <v>2889</v>
      </c>
      <c r="I236">
        <v>30</v>
      </c>
      <c r="J236">
        <v>0.50345253019720215</v>
      </c>
      <c r="K236">
        <v>0</v>
      </c>
      <c r="L236">
        <v>0</v>
      </c>
      <c r="M236">
        <v>0</v>
      </c>
      <c r="O236">
        <v>200000</v>
      </c>
      <c r="R236" t="s">
        <v>136</v>
      </c>
      <c r="S236">
        <v>0.11309261399999999</v>
      </c>
      <c r="T236">
        <v>0.0063583180759999997</v>
      </c>
      <c r="U236" t="s">
        <v>137</v>
      </c>
      <c r="V236">
        <v>0.043980460999999998</v>
      </c>
      <c r="W236">
        <v>1.1938307650760001</v>
      </c>
      <c r="X236" t="s">
        <v>90</v>
      </c>
      <c r="Y236">
        <v>0</v>
      </c>
      <c r="Z236">
        <v>0</v>
      </c>
      <c r="AA236" t="s">
        <v>90</v>
      </c>
      <c r="AB236">
        <v>0</v>
      </c>
      <c r="AC236">
        <v>1.1938307650760001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Q236" t="s">
        <v>140</v>
      </c>
      <c r="AR236" t="s">
        <v>141</v>
      </c>
      <c r="AS236">
        <v>1.2565846000000001</v>
      </c>
    </row>
    <row r="237" spans="1:45" ht="12.75">
      <c r="A237" s="2" t="str">
        <f>HYPERLINK("https://ibp.a2mac1.com/costing(costing:projects/details/8191/material/5317100)","Steel sheet (default)")</f>
        <v>Steel sheet (default)</v>
      </c>
      <c r="B237">
        <v>5317100</v>
      </c>
      <c r="C237">
        <v>6972337</v>
      </c>
      <c r="E237">
        <v>0.52766000000000002</v>
      </c>
      <c r="F237" t="s">
        <v>2893</v>
      </c>
      <c r="G237">
        <v>70</v>
      </c>
      <c r="H237" t="s">
        <v>2894</v>
      </c>
      <c r="I237">
        <v>30</v>
      </c>
      <c r="J237">
        <v>0.50345253019720215</v>
      </c>
      <c r="K237">
        <v>0</v>
      </c>
      <c r="L237">
        <v>0</v>
      </c>
      <c r="M237">
        <v>0</v>
      </c>
      <c r="O237">
        <v>200000</v>
      </c>
      <c r="R237" t="s">
        <v>136</v>
      </c>
      <c r="S237">
        <v>0.10549430999999999</v>
      </c>
      <c r="T237">
        <v>0.0059311245399999999</v>
      </c>
      <c r="U237" t="s">
        <v>137</v>
      </c>
      <c r="V237">
        <v>0.041025565</v>
      </c>
      <c r="W237">
        <v>1.1136213795400001</v>
      </c>
      <c r="X237" t="s">
        <v>90</v>
      </c>
      <c r="Y237">
        <v>0</v>
      </c>
      <c r="Z237">
        <v>0</v>
      </c>
      <c r="AA237" t="s">
        <v>90</v>
      </c>
      <c r="AB237">
        <v>0</v>
      </c>
      <c r="AC237">
        <v>1.1136213795400001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Q237" t="s">
        <v>140</v>
      </c>
      <c r="AR237" t="s">
        <v>141</v>
      </c>
      <c r="AS237">
        <v>1.172159</v>
      </c>
    </row>
    <row r="238" spans="1:45" ht="12.75">
      <c r="A238" s="2" t="str">
        <f>HYPERLINK("https://ibp.a2mac1.com/costing(costing:projects/details/8191/material/5317066)","Steel sheet (default)")</f>
        <v>Steel sheet (default)</v>
      </c>
      <c r="B238">
        <v>5317066</v>
      </c>
      <c r="C238">
        <v>6972198</v>
      </c>
      <c r="E238">
        <v>0.52766000000000002</v>
      </c>
      <c r="F238" t="s">
        <v>2902</v>
      </c>
      <c r="G238">
        <v>70</v>
      </c>
      <c r="H238" t="s">
        <v>2903</v>
      </c>
      <c r="I238">
        <v>30</v>
      </c>
      <c r="J238">
        <v>0.50345253019720215</v>
      </c>
      <c r="K238">
        <v>0</v>
      </c>
      <c r="L238">
        <v>0</v>
      </c>
      <c r="M238">
        <v>0</v>
      </c>
      <c r="O238">
        <v>200000</v>
      </c>
      <c r="R238" t="s">
        <v>136</v>
      </c>
      <c r="S238">
        <v>0.020556126000000001</v>
      </c>
      <c r="T238">
        <v>0.0011557110839999999</v>
      </c>
      <c r="U238" t="s">
        <v>137</v>
      </c>
      <c r="V238">
        <v>0.0079940489999999996</v>
      </c>
      <c r="W238">
        <v>0.216995034084</v>
      </c>
      <c r="X238" t="s">
        <v>90</v>
      </c>
      <c r="Y238">
        <v>0</v>
      </c>
      <c r="Z238">
        <v>0</v>
      </c>
      <c r="AA238" t="s">
        <v>90</v>
      </c>
      <c r="AB238">
        <v>0</v>
      </c>
      <c r="AC238">
        <v>0.216995034084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Q238" t="s">
        <v>140</v>
      </c>
      <c r="AR238" t="s">
        <v>141</v>
      </c>
      <c r="AS238">
        <v>0.2284014</v>
      </c>
    </row>
    <row r="239" spans="1:45" ht="12.75">
      <c r="A239" s="2" t="str">
        <f>HYPERLINK("https://ibp.a2mac1.com/costing(costing:projects/details/8191/material/5317067)","PLASTIC UNKNOWN")</f>
        <v>PLASTIC UNKNOWN</v>
      </c>
      <c r="B239">
        <v>5317067</v>
      </c>
      <c r="C239">
        <v>6972199</v>
      </c>
      <c r="E239">
        <v>1.57609</v>
      </c>
      <c r="F239" t="s">
        <v>3132</v>
      </c>
      <c r="G239">
        <v>95</v>
      </c>
      <c r="H239" t="s">
        <v>3133</v>
      </c>
      <c r="I239">
        <v>0</v>
      </c>
      <c r="J239">
        <v>0.50345253019720215</v>
      </c>
      <c r="K239">
        <v>0</v>
      </c>
      <c r="M239">
        <v>0</v>
      </c>
      <c r="O239">
        <v>200000</v>
      </c>
      <c r="R239" t="s">
        <v>136</v>
      </c>
      <c r="S239">
        <v>0</v>
      </c>
      <c r="T239">
        <v>1.6789506105263158E-05</v>
      </c>
      <c r="U239" t="s">
        <v>137</v>
      </c>
      <c r="V239">
        <v>0.00011613294736842105</v>
      </c>
      <c r="W239">
        <v>0.0034510066639999999</v>
      </c>
      <c r="X239" t="s">
        <v>90</v>
      </c>
      <c r="Y239">
        <v>0</v>
      </c>
      <c r="Z239">
        <v>0</v>
      </c>
      <c r="AA239" t="s">
        <v>90</v>
      </c>
      <c r="AB239">
        <v>0</v>
      </c>
      <c r="AC239">
        <v>0.0034510066639999999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Q239" t="s">
        <v>9</v>
      </c>
      <c r="AR239" t="s">
        <v>141</v>
      </c>
      <c r="AS239">
        <v>0.0033180842105263158</v>
      </c>
    </row>
    <row r="240" spans="1:45" ht="12.75">
      <c r="A240" s="2" t="str">
        <f>HYPERLINK("https://ibp.a2mac1.com/costing(costing:projects/details/8191/material/5317068)","PLASTIC UNKNOWN")</f>
        <v>PLASTIC UNKNOWN</v>
      </c>
      <c r="B240">
        <v>5317068</v>
      </c>
      <c r="C240">
        <v>6972200</v>
      </c>
      <c r="E240">
        <v>1.57609</v>
      </c>
      <c r="F240" t="s">
        <v>3137</v>
      </c>
      <c r="G240">
        <v>95</v>
      </c>
      <c r="H240" t="s">
        <v>3138</v>
      </c>
      <c r="I240">
        <v>0</v>
      </c>
      <c r="J240">
        <v>0.50345253019720215</v>
      </c>
      <c r="K240">
        <v>0</v>
      </c>
      <c r="M240">
        <v>0</v>
      </c>
      <c r="O240">
        <v>200000</v>
      </c>
      <c r="R240" t="s">
        <v>136</v>
      </c>
      <c r="S240">
        <v>0</v>
      </c>
      <c r="T240">
        <v>9.234228357894737E-05</v>
      </c>
      <c r="U240" t="s">
        <v>137</v>
      </c>
      <c r="V240">
        <v>0.0006387312105263158</v>
      </c>
      <c r="W240">
        <v>0.018980536651999998</v>
      </c>
      <c r="X240" t="s">
        <v>90</v>
      </c>
      <c r="Y240">
        <v>0</v>
      </c>
      <c r="Z240">
        <v>0</v>
      </c>
      <c r="AA240" t="s">
        <v>90</v>
      </c>
      <c r="AB240">
        <v>0</v>
      </c>
      <c r="AC240">
        <v>0.018980536651999998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Q240" t="s">
        <v>9</v>
      </c>
      <c r="AR240" t="s">
        <v>141</v>
      </c>
      <c r="AS240">
        <v>0.018249463157894736</v>
      </c>
    </row>
    <row r="241" spans="1:45" ht="12.75">
      <c r="A241" s="2" t="str">
        <f>HYPERLINK("https://ibp.a2mac1.com/costing(costing:projects/details/8191/material/5317069)","POM")</f>
        <v>POM</v>
      </c>
      <c r="B241">
        <v>5317069</v>
      </c>
      <c r="C241">
        <v>6972201</v>
      </c>
      <c r="E241">
        <v>2.12338</v>
      </c>
      <c r="F241" t="s">
        <v>3142</v>
      </c>
      <c r="G241">
        <v>95</v>
      </c>
      <c r="H241" t="s">
        <v>3143</v>
      </c>
      <c r="I241">
        <v>5</v>
      </c>
      <c r="J241">
        <v>0.50345253019720215</v>
      </c>
      <c r="K241">
        <v>0</v>
      </c>
      <c r="M241">
        <v>0</v>
      </c>
      <c r="O241">
        <v>200000</v>
      </c>
      <c r="R241" t="s">
        <v>136</v>
      </c>
      <c r="S241">
        <v>0.0003967367894736842</v>
      </c>
      <c r="T241">
        <v>0.00080299526189473683</v>
      </c>
      <c r="U241" t="s">
        <v>137</v>
      </c>
      <c r="V241">
        <v>0.0055543150526315786</v>
      </c>
      <c r="W241">
        <v>0.1646552893145263</v>
      </c>
      <c r="X241" t="s">
        <v>90</v>
      </c>
      <c r="Y241">
        <v>0</v>
      </c>
      <c r="Z241">
        <v>0</v>
      </c>
      <c r="AA241" t="s">
        <v>90</v>
      </c>
      <c r="AB241">
        <v>0</v>
      </c>
      <c r="AC241">
        <v>0.1646552893145263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Q241" t="s">
        <v>140</v>
      </c>
      <c r="AR241" t="s">
        <v>141</v>
      </c>
      <c r="AS241">
        <v>0.15869471578947369</v>
      </c>
    </row>
    <row r="242" spans="1:45" ht="12.75">
      <c r="A242" s="2" t="str">
        <f>HYPERLINK("https://ibp.a2mac1.com/costing(costing:projects/details/8191/material/5317101)","Steel sheet (default)")</f>
        <v>Steel sheet (default)</v>
      </c>
      <c r="B242">
        <v>5317101</v>
      </c>
      <c r="C242">
        <v>6972338</v>
      </c>
      <c r="E242">
        <v>0.52766000000000002</v>
      </c>
      <c r="F242" t="s">
        <v>2925</v>
      </c>
      <c r="G242">
        <v>8.2169000000000008</v>
      </c>
      <c r="H242" t="s">
        <v>2926</v>
      </c>
      <c r="I242">
        <v>30</v>
      </c>
      <c r="J242">
        <v>0.10389195236953569</v>
      </c>
      <c r="K242">
        <v>0</v>
      </c>
      <c r="M242">
        <v>0</v>
      </c>
      <c r="O242">
        <v>200000</v>
      </c>
      <c r="R242" t="s">
        <v>136</v>
      </c>
      <c r="S242">
        <v>0.2493154893081089</v>
      </c>
      <c r="T242">
        <v>0.00094166975866811088</v>
      </c>
      <c r="U242" t="s">
        <v>137</v>
      </c>
      <c r="V242">
        <v>0.031690809185946037</v>
      </c>
      <c r="W242">
        <v>0.68876868066353492</v>
      </c>
      <c r="X242" t="s">
        <v>90</v>
      </c>
      <c r="Y242">
        <v>0</v>
      </c>
      <c r="Z242">
        <v>0</v>
      </c>
      <c r="AA242" t="s">
        <v>90</v>
      </c>
      <c r="AB242">
        <v>0</v>
      </c>
      <c r="AC242">
        <v>0.68876868066353492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Q242" t="s">
        <v>140</v>
      </c>
      <c r="AR242" t="s">
        <v>141</v>
      </c>
      <c r="AS242">
        <v>0.9054516910270296</v>
      </c>
    </row>
    <row r="243" spans="1:45" ht="12.75">
      <c r="A243" s="2" t="str">
        <f>HYPERLINK("https://ibp.a2mac1.com/costing(costing:projects/details/8191/material/5317102)","Cataphoresis paint")</f>
        <v>Cataphoresis paint</v>
      </c>
      <c r="B243">
        <v>5317102</v>
      </c>
      <c r="C243">
        <v>6972340</v>
      </c>
      <c r="E243">
        <v>12</v>
      </c>
      <c r="F243" t="s">
        <v>2929</v>
      </c>
      <c r="G243">
        <v>95</v>
      </c>
      <c r="H243" t="s">
        <v>2930</v>
      </c>
      <c r="I243">
        <v>0</v>
      </c>
      <c r="J243">
        <v>0.10389195236953569</v>
      </c>
      <c r="K243">
        <v>0</v>
      </c>
      <c r="L243">
        <v>0</v>
      </c>
      <c r="M243">
        <v>0</v>
      </c>
      <c r="O243">
        <v>200000</v>
      </c>
      <c r="R243" t="s">
        <v>136</v>
      </c>
      <c r="S243">
        <v>0</v>
      </c>
      <c r="T243">
        <v>2.4960000000000002E-05</v>
      </c>
      <c r="U243" t="s">
        <v>137</v>
      </c>
      <c r="V243">
        <v>0.00084000000000000003</v>
      </c>
      <c r="W243">
        <v>0.024864959999999998</v>
      </c>
      <c r="X243" t="s">
        <v>90</v>
      </c>
      <c r="Y243">
        <v>0</v>
      </c>
      <c r="Z243">
        <v>0</v>
      </c>
      <c r="AA243" t="s">
        <v>90</v>
      </c>
      <c r="AB243">
        <v>0</v>
      </c>
      <c r="AC243">
        <v>0.024864959999999998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Q243" t="s">
        <v>140</v>
      </c>
      <c r="AR243" t="s">
        <v>141</v>
      </c>
      <c r="AS243">
        <v>0.024</v>
      </c>
    </row>
    <row r="244" spans="1:45" ht="12.75">
      <c r="A244" s="2" t="str">
        <f>HYPERLINK("https://ibp.a2mac1.com/costing(costing:projects/details/8191/material/5317103)","PA6")</f>
        <v>PA6</v>
      </c>
      <c r="B244">
        <v>5317103</v>
      </c>
      <c r="C244">
        <v>6972341</v>
      </c>
      <c r="E244">
        <v>1.72394</v>
      </c>
      <c r="F244" t="s">
        <v>2952</v>
      </c>
      <c r="G244">
        <v>95</v>
      </c>
      <c r="H244" t="s">
        <v>2953</v>
      </c>
      <c r="I244">
        <v>5</v>
      </c>
      <c r="J244">
        <v>0.50345253019720215</v>
      </c>
      <c r="K244">
        <v>0</v>
      </c>
      <c r="M244">
        <v>0</v>
      </c>
      <c r="O244">
        <v>200000</v>
      </c>
      <c r="R244" t="s">
        <v>136</v>
      </c>
      <c r="S244">
        <v>0.00050584028947368419</v>
      </c>
      <c r="T244">
        <v>0.0010238207458947368</v>
      </c>
      <c r="U244" t="s">
        <v>137</v>
      </c>
      <c r="V244">
        <v>0.0070817640526315787</v>
      </c>
      <c r="W244">
        <v>0.20993586029852632</v>
      </c>
      <c r="X244" t="s">
        <v>90</v>
      </c>
      <c r="Y244">
        <v>0</v>
      </c>
      <c r="Z244">
        <v>0</v>
      </c>
      <c r="AA244" t="s">
        <v>90</v>
      </c>
      <c r="AB244">
        <v>0</v>
      </c>
      <c r="AC244">
        <v>0.20993586029852632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Q244" t="s">
        <v>140</v>
      </c>
      <c r="AR244" t="s">
        <v>141</v>
      </c>
      <c r="AS244">
        <v>0.20233611578947369</v>
      </c>
    </row>
    <row r="245" spans="1:45" ht="12.75">
      <c r="A245" s="2" t="str">
        <f>HYPERLINK("https://ibp.a2mac1.com/costing(costing:projects/details/8191/material/5317104)","TPU")</f>
        <v>TPU</v>
      </c>
      <c r="B245">
        <v>5317104</v>
      </c>
      <c r="C245">
        <v>6972342</v>
      </c>
      <c r="E245">
        <v>2.1818200000000001</v>
      </c>
      <c r="F245" t="s">
        <v>2946</v>
      </c>
      <c r="G245">
        <v>95</v>
      </c>
      <c r="H245" t="s">
        <v>2947</v>
      </c>
      <c r="I245">
        <v>5</v>
      </c>
      <c r="J245">
        <v>0.50345253019720215</v>
      </c>
      <c r="K245">
        <v>0</v>
      </c>
      <c r="L245">
        <v>0</v>
      </c>
      <c r="M245">
        <v>0</v>
      </c>
      <c r="O245">
        <v>200000</v>
      </c>
      <c r="R245" t="s">
        <v>136</v>
      </c>
      <c r="S245">
        <v>0.001854547</v>
      </c>
      <c r="T245">
        <v>0.0037536031279999998</v>
      </c>
      <c r="U245" t="s">
        <v>137</v>
      </c>
      <c r="V245">
        <v>0.025963658000000001</v>
      </c>
      <c r="W245">
        <v>0.76968151412800001</v>
      </c>
      <c r="X245" t="s">
        <v>138</v>
      </c>
      <c r="Y245">
        <v>0.046180890847679998</v>
      </c>
      <c r="Z245">
        <v>0</v>
      </c>
      <c r="AA245" t="s">
        <v>139</v>
      </c>
      <c r="AB245">
        <v>0.092361781695359996</v>
      </c>
      <c r="AC245">
        <v>0.90822418667103999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Q245" t="s">
        <v>140</v>
      </c>
      <c r="AR245" t="s">
        <v>141</v>
      </c>
      <c r="AS245">
        <v>0.7418188</v>
      </c>
    </row>
    <row r="246" spans="1:45" ht="12.75">
      <c r="A246" s="2" t="str">
        <f>HYPERLINK("https://ibp.a2mac1.com/costing(costing:projects/details/8191/material/5316907)","ABS")</f>
        <v>ABS</v>
      </c>
      <c r="B246">
        <v>5316907</v>
      </c>
      <c r="C246">
        <v>6972143</v>
      </c>
      <c r="E246">
        <v>2.5272700000000001</v>
      </c>
      <c r="F246" t="s">
        <v>2980</v>
      </c>
      <c r="G246">
        <v>95</v>
      </c>
      <c r="H246" t="s">
        <v>2981</v>
      </c>
      <c r="I246">
        <v>5</v>
      </c>
      <c r="J246">
        <v>0.50345253019720215</v>
      </c>
      <c r="K246">
        <v>0</v>
      </c>
      <c r="M246">
        <v>0</v>
      </c>
      <c r="O246">
        <v>200000</v>
      </c>
      <c r="R246" t="s">
        <v>136</v>
      </c>
      <c r="S246">
        <v>3.3253552631578948E-05</v>
      </c>
      <c r="T246">
        <v>6.7305190526315787E-05</v>
      </c>
      <c r="U246" t="s">
        <v>137</v>
      </c>
      <c r="V246">
        <v>0.00046554973684210529</v>
      </c>
      <c r="W246">
        <v>0.013801022427368421</v>
      </c>
      <c r="X246" t="s">
        <v>90</v>
      </c>
      <c r="Y246">
        <v>0</v>
      </c>
      <c r="Z246">
        <v>0</v>
      </c>
      <c r="AA246" t="s">
        <v>90</v>
      </c>
      <c r="AB246">
        <v>0</v>
      </c>
      <c r="AC246">
        <v>0.013801022427368421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Q246" t="s">
        <v>140</v>
      </c>
      <c r="AR246" t="s">
        <v>141</v>
      </c>
      <c r="AS246">
        <v>0.013301421052631579</v>
      </c>
    </row>
    <row r="247" spans="1:45" ht="12.75">
      <c r="A247" s="2" t="str">
        <f>HYPERLINK("https://ibp.a2mac1.com/costing(costing:projects/details/8191/material/5316908)","ABS")</f>
        <v>ABS</v>
      </c>
      <c r="B247">
        <v>5316908</v>
      </c>
      <c r="C247">
        <v>6972144</v>
      </c>
      <c r="E247">
        <v>2.5272700000000001</v>
      </c>
      <c r="F247" t="s">
        <v>2980</v>
      </c>
      <c r="G247">
        <v>95</v>
      </c>
      <c r="H247" t="s">
        <v>2981</v>
      </c>
      <c r="I247">
        <v>5</v>
      </c>
      <c r="J247">
        <v>0.50345253019720215</v>
      </c>
      <c r="K247">
        <v>0</v>
      </c>
      <c r="M247">
        <v>0</v>
      </c>
      <c r="O247">
        <v>200000</v>
      </c>
      <c r="R247" t="s">
        <v>136</v>
      </c>
      <c r="S247">
        <v>3.3253552631578948E-05</v>
      </c>
      <c r="T247">
        <v>6.7305190526315787E-05</v>
      </c>
      <c r="U247" t="s">
        <v>137</v>
      </c>
      <c r="V247">
        <v>0.00046554973684210529</v>
      </c>
      <c r="W247">
        <v>0.013801022427368421</v>
      </c>
      <c r="X247" t="s">
        <v>90</v>
      </c>
      <c r="Y247">
        <v>0</v>
      </c>
      <c r="Z247">
        <v>0</v>
      </c>
      <c r="AA247" t="s">
        <v>90</v>
      </c>
      <c r="AB247">
        <v>0</v>
      </c>
      <c r="AC247">
        <v>0.013801022427368421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Q247" t="s">
        <v>140</v>
      </c>
      <c r="AR247" t="s">
        <v>141</v>
      </c>
      <c r="AS247">
        <v>0.013301421052631579</v>
      </c>
    </row>
    <row r="248" spans="1:45" ht="12.75">
      <c r="A248" s="2" t="str">
        <f>HYPERLINK("https://ibp.a2mac1.com/costing(costing:projects/details/8191/material/5316909)","Mix Vinyl (80%)")</f>
        <v>Mix Vinyl (80%)</v>
      </c>
      <c r="B248">
        <v>5316909</v>
      </c>
      <c r="C248">
        <v>6972145</v>
      </c>
      <c r="D248" t="s">
        <v>2690</v>
      </c>
      <c r="E248">
        <v>6.41</v>
      </c>
      <c r="F248" t="s">
        <v>2691</v>
      </c>
      <c r="G248">
        <v>75</v>
      </c>
      <c r="H248" t="s">
        <v>2692</v>
      </c>
      <c r="I248">
        <v>0</v>
      </c>
      <c r="J248">
        <v>0.20557651238448796</v>
      </c>
      <c r="K248">
        <v>0</v>
      </c>
      <c r="L248">
        <v>0</v>
      </c>
      <c r="M248">
        <v>0</v>
      </c>
      <c r="O248">
        <v>200000</v>
      </c>
      <c r="R248" t="s">
        <v>2693</v>
      </c>
      <c r="S248">
        <v>0</v>
      </c>
      <c r="T248">
        <v>0.0058100239999999996</v>
      </c>
      <c r="U248" t="s">
        <v>137</v>
      </c>
      <c r="V248">
        <v>0.098713999999999996</v>
      </c>
      <c r="W248">
        <v>2.9249240240000001</v>
      </c>
      <c r="X248" t="s">
        <v>138</v>
      </c>
      <c r="Y248">
        <v>0.17549544144000001</v>
      </c>
      <c r="Z248">
        <v>0</v>
      </c>
      <c r="AA248" t="s">
        <v>139</v>
      </c>
      <c r="AB248">
        <v>0.35099088288000002</v>
      </c>
      <c r="AC248">
        <v>3.45141034832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Q248" t="s">
        <v>140</v>
      </c>
      <c r="AR248" t="s">
        <v>141</v>
      </c>
      <c r="AS248">
        <v>2.8203999999999998</v>
      </c>
    </row>
    <row r="249" spans="1:45" ht="12.75">
      <c r="A249" s="2" t="str">
        <f>HYPERLINK("https://ibp.a2mac1.com/costing(costing:projects/details/8191/material/5316910)","PUR")</f>
        <v>PUR</v>
      </c>
      <c r="B249">
        <v>5316910</v>
      </c>
      <c r="C249">
        <v>6972147</v>
      </c>
      <c r="E249">
        <v>3.37662</v>
      </c>
      <c r="F249" t="s">
        <v>2700</v>
      </c>
      <c r="G249">
        <v>95</v>
      </c>
      <c r="H249" t="s">
        <v>2701</v>
      </c>
      <c r="I249">
        <v>5</v>
      </c>
      <c r="J249">
        <v>0.50345253019720215</v>
      </c>
      <c r="K249">
        <v>0</v>
      </c>
      <c r="L249">
        <v>0</v>
      </c>
      <c r="M249">
        <v>0</v>
      </c>
      <c r="O249">
        <v>200000</v>
      </c>
      <c r="R249" t="s">
        <v>136</v>
      </c>
      <c r="S249">
        <v>0.0019282277368421054</v>
      </c>
      <c r="T249">
        <v>0.0039027329393684211</v>
      </c>
      <c r="U249" t="s">
        <v>137</v>
      </c>
      <c r="V249">
        <v>0.026995188315789474</v>
      </c>
      <c r="W249">
        <v>0.8002607882551579</v>
      </c>
      <c r="X249" t="s">
        <v>138</v>
      </c>
      <c r="Y249">
        <v>0.048015647295309473</v>
      </c>
      <c r="Z249">
        <v>0</v>
      </c>
      <c r="AA249" t="s">
        <v>139</v>
      </c>
      <c r="AB249">
        <v>0.096031294590618946</v>
      </c>
      <c r="AC249">
        <v>0.94430773014108627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Q249" t="s">
        <v>140</v>
      </c>
      <c r="AR249" t="s">
        <v>141</v>
      </c>
      <c r="AS249">
        <v>0.7712910947368421</v>
      </c>
    </row>
    <row r="250" spans="1:45" ht="12.75">
      <c r="A250" s="2" t="str">
        <f>HYPERLINK("https://ibp.a2mac1.com/costing(costing:projects/details/8191/material/5316911)","HDPE")</f>
        <v>HDPE</v>
      </c>
      <c r="B250">
        <v>5316911</v>
      </c>
      <c r="C250">
        <v>6972148</v>
      </c>
      <c r="E250">
        <v>0.96494000000000002</v>
      </c>
      <c r="F250" t="s">
        <v>2706</v>
      </c>
      <c r="G250">
        <v>95</v>
      </c>
      <c r="H250" t="s">
        <v>2707</v>
      </c>
      <c r="I250">
        <v>5</v>
      </c>
      <c r="J250">
        <v>0.50345253019720215</v>
      </c>
      <c r="K250">
        <v>0</v>
      </c>
      <c r="L250">
        <v>0</v>
      </c>
      <c r="M250">
        <v>0</v>
      </c>
      <c r="O250">
        <v>200000</v>
      </c>
      <c r="R250" t="s">
        <v>136</v>
      </c>
      <c r="S250">
        <v>0.00027932473684210525</v>
      </c>
      <c r="T250">
        <v>0.00056535326736842102</v>
      </c>
      <c r="U250" t="s">
        <v>137</v>
      </c>
      <c r="V250">
        <v>0.0039105463157894736</v>
      </c>
      <c r="W250">
        <v>0.1159264695831579</v>
      </c>
      <c r="X250" t="s">
        <v>138</v>
      </c>
      <c r="Y250">
        <v>0.0069555881749894738</v>
      </c>
      <c r="Z250">
        <v>0</v>
      </c>
      <c r="AA250" t="s">
        <v>139</v>
      </c>
      <c r="AB250">
        <v>0.013911176349978948</v>
      </c>
      <c r="AC250">
        <v>0.13679323410812633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Q250" t="s">
        <v>140</v>
      </c>
      <c r="AR250" t="s">
        <v>141</v>
      </c>
      <c r="AS250">
        <v>0.11172989473684211</v>
      </c>
    </row>
    <row r="251" spans="1:45" ht="12.75">
      <c r="A251" s="2" t="str">
        <f>HYPERLINK("https://ibp.a2mac1.com/costing(costing:projects/details/8191/material/5316912)","Steel Tube (default, chromed)")</f>
        <v>Steel Tube (default, chromed)</v>
      </c>
      <c r="B251">
        <v>5316912</v>
      </c>
      <c r="C251">
        <v>6972148</v>
      </c>
      <c r="E251">
        <v>0.68464999999999998</v>
      </c>
      <c r="F251" t="s">
        <v>2616</v>
      </c>
      <c r="G251">
        <v>98</v>
      </c>
      <c r="H251" t="s">
        <v>2709</v>
      </c>
      <c r="I251">
        <v>20</v>
      </c>
      <c r="J251">
        <v>0.50345253019720215</v>
      </c>
      <c r="K251">
        <v>0</v>
      </c>
      <c r="L251">
        <v>0</v>
      </c>
      <c r="M251">
        <v>0</v>
      </c>
      <c r="O251">
        <v>200000</v>
      </c>
      <c r="R251" t="s">
        <v>136</v>
      </c>
      <c r="S251">
        <v>0.0013972448979591837</v>
      </c>
      <c r="T251">
        <v>0.0017675147959183674</v>
      </c>
      <c r="U251" t="s">
        <v>137</v>
      </c>
      <c r="V251">
        <v>0.012225892857142857</v>
      </c>
      <c r="W251">
        <v>0.36190738724489796</v>
      </c>
      <c r="X251" t="s">
        <v>138</v>
      </c>
      <c r="Y251">
        <v>0.021714443234693879</v>
      </c>
      <c r="Z251">
        <v>0</v>
      </c>
      <c r="AA251" t="s">
        <v>139</v>
      </c>
      <c r="AB251">
        <v>0.043428886469387758</v>
      </c>
      <c r="AC251">
        <v>0.42705071694897961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Q251" t="s">
        <v>140</v>
      </c>
      <c r="AR251" t="s">
        <v>141</v>
      </c>
      <c r="AS251">
        <v>0.3493112244897959</v>
      </c>
    </row>
    <row r="252" spans="1:45" ht="12.75">
      <c r="A252" s="2" t="str">
        <f>HYPERLINK("https://ibp.a2mac1.com/costing(costing:projects/details/8191/material/5317070)","Mix Vinyl (80%)")</f>
        <v>Mix Vinyl (80%)</v>
      </c>
      <c r="B252">
        <v>5317070</v>
      </c>
      <c r="C252">
        <v>6972203</v>
      </c>
      <c r="D252" t="s">
        <v>2690</v>
      </c>
      <c r="E252">
        <v>6.41</v>
      </c>
      <c r="F252" t="s">
        <v>2142</v>
      </c>
      <c r="G252">
        <v>75</v>
      </c>
      <c r="H252" t="s">
        <v>3232</v>
      </c>
      <c r="I252">
        <v>0</v>
      </c>
      <c r="J252">
        <v>0.20557651238448796</v>
      </c>
      <c r="K252">
        <v>0</v>
      </c>
      <c r="L252">
        <v>0</v>
      </c>
      <c r="M252">
        <v>0</v>
      </c>
      <c r="O252">
        <v>200000</v>
      </c>
      <c r="R252" t="s">
        <v>136</v>
      </c>
      <c r="S252">
        <v>0</v>
      </c>
      <c r="T252">
        <v>0.0042254720000000001</v>
      </c>
      <c r="U252" t="s">
        <v>137</v>
      </c>
      <c r="V252">
        <v>0.071791999999999995</v>
      </c>
      <c r="W252">
        <v>2.1272174719999999</v>
      </c>
      <c r="X252" t="s">
        <v>90</v>
      </c>
      <c r="Y252">
        <v>0</v>
      </c>
      <c r="Z252">
        <v>0</v>
      </c>
      <c r="AA252" t="s">
        <v>90</v>
      </c>
      <c r="AB252">
        <v>0</v>
      </c>
      <c r="AC252">
        <v>2.1272174719999999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Q252" t="s">
        <v>140</v>
      </c>
      <c r="AR252" t="s">
        <v>141</v>
      </c>
      <c r="AS252">
        <v>2.0512000000000001</v>
      </c>
    </row>
    <row r="253" spans="1:45" ht="12.75">
      <c r="A253" s="2" t="str">
        <f>HYPERLINK("https://ibp.a2mac1.com/costing(costing:projects/details/8191/material/5317071)","PUR")</f>
        <v>PUR</v>
      </c>
      <c r="B253">
        <v>5317071</v>
      </c>
      <c r="C253">
        <v>6972205</v>
      </c>
      <c r="E253">
        <v>3.37662</v>
      </c>
      <c r="F253" t="s">
        <v>3237</v>
      </c>
      <c r="G253">
        <v>95</v>
      </c>
      <c r="H253" t="s">
        <v>3238</v>
      </c>
      <c r="I253">
        <v>5</v>
      </c>
      <c r="J253">
        <v>0.50345253019720215</v>
      </c>
      <c r="K253">
        <v>0</v>
      </c>
      <c r="L253">
        <v>0</v>
      </c>
      <c r="M253">
        <v>0</v>
      </c>
      <c r="O253">
        <v>200000</v>
      </c>
      <c r="R253" t="s">
        <v>136</v>
      </c>
      <c r="S253">
        <v>0.00096855678947368421</v>
      </c>
      <c r="T253">
        <v>0.0019603589418947368</v>
      </c>
      <c r="U253" t="s">
        <v>137</v>
      </c>
      <c r="V253">
        <v>0.013559795052631579</v>
      </c>
      <c r="W253">
        <v>0.40197431299452629</v>
      </c>
      <c r="X253" t="s">
        <v>90</v>
      </c>
      <c r="Y253">
        <v>0</v>
      </c>
      <c r="Z253">
        <v>0</v>
      </c>
      <c r="AA253" t="s">
        <v>90</v>
      </c>
      <c r="AB253">
        <v>0</v>
      </c>
      <c r="AC253">
        <v>0.40197431299452629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Q253" t="s">
        <v>140</v>
      </c>
      <c r="AR253" t="s">
        <v>141</v>
      </c>
      <c r="AS253">
        <v>0.38742271578947368</v>
      </c>
    </row>
    <row r="254" spans="1:45" ht="12.75">
      <c r="A254" s="2" t="str">
        <f>HYPERLINK("https://ibp.a2mac1.com/costing(costing:projects/details/8191/material/5317072)","Steel Tube (default, chromed)")</f>
        <v>Steel Tube (default, chromed)</v>
      </c>
      <c r="B254">
        <v>5317072</v>
      </c>
      <c r="C254">
        <v>6972206</v>
      </c>
      <c r="E254">
        <v>0.68464999999999998</v>
      </c>
      <c r="F254" t="s">
        <v>1882</v>
      </c>
      <c r="G254">
        <v>99</v>
      </c>
      <c r="H254" t="s">
        <v>3242</v>
      </c>
      <c r="I254">
        <v>20</v>
      </c>
      <c r="J254">
        <v>0.50048257265952256</v>
      </c>
      <c r="K254">
        <v>0</v>
      </c>
      <c r="L254">
        <v>0</v>
      </c>
      <c r="M254">
        <v>0</v>
      </c>
      <c r="O254">
        <v>400000</v>
      </c>
      <c r="R254" t="s">
        <v>136</v>
      </c>
      <c r="S254">
        <v>0.00019363838383838384</v>
      </c>
      <c r="T254">
        <v>0.00048700053535353534</v>
      </c>
      <c r="U254" t="s">
        <v>137</v>
      </c>
      <c r="V254">
        <v>0.0033886717171717172</v>
      </c>
      <c r="W254">
        <v>0.10050122578787879</v>
      </c>
      <c r="X254" t="s">
        <v>90</v>
      </c>
      <c r="Y254">
        <v>0</v>
      </c>
      <c r="Z254">
        <v>0</v>
      </c>
      <c r="AA254" t="s">
        <v>90</v>
      </c>
      <c r="AB254">
        <v>0</v>
      </c>
      <c r="AC254">
        <v>0.10050122578787879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Q254" t="s">
        <v>140</v>
      </c>
      <c r="AR254" t="s">
        <v>141</v>
      </c>
      <c r="AS254">
        <v>0.096819191919191916</v>
      </c>
    </row>
    <row r="255" spans="1:45" ht="12.75">
      <c r="A255" s="2" t="str">
        <f>HYPERLINK("https://ibp.a2mac1.com/costing(costing:projects/details/8191/material/5317073)","HDPE")</f>
        <v>HDPE</v>
      </c>
      <c r="B255">
        <v>5317073</v>
      </c>
      <c r="C255">
        <v>6972207</v>
      </c>
      <c r="E255">
        <v>0.96494000000000002</v>
      </c>
      <c r="F255" t="s">
        <v>3246</v>
      </c>
      <c r="G255">
        <v>95</v>
      </c>
      <c r="H255" t="s">
        <v>3247</v>
      </c>
      <c r="I255">
        <v>5</v>
      </c>
      <c r="J255">
        <v>0.50345253019720215</v>
      </c>
      <c r="K255">
        <v>0</v>
      </c>
      <c r="M255">
        <v>0</v>
      </c>
      <c r="O255">
        <v>200000</v>
      </c>
      <c r="R255" t="s">
        <v>136</v>
      </c>
      <c r="S255">
        <v>0.00055611015789473685</v>
      </c>
      <c r="T255">
        <v>0.0011255669595789473</v>
      </c>
      <c r="U255" t="s">
        <v>137</v>
      </c>
      <c r="V255">
        <v>0.0077855422105263155</v>
      </c>
      <c r="W255">
        <v>0.23079906217010526</v>
      </c>
      <c r="X255" t="s">
        <v>90</v>
      </c>
      <c r="Y255">
        <v>0</v>
      </c>
      <c r="Z255">
        <v>0</v>
      </c>
      <c r="AA255" t="s">
        <v>90</v>
      </c>
      <c r="AB255">
        <v>0</v>
      </c>
      <c r="AC255">
        <v>0.23079906217010526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Q255" t="s">
        <v>140</v>
      </c>
      <c r="AR255" t="s">
        <v>141</v>
      </c>
      <c r="AS255">
        <v>0.22244406315789475</v>
      </c>
    </row>
    <row r="256" spans="1:45" ht="12.75">
      <c r="A256" s="2" t="str">
        <f>HYPERLINK("https://ibp.a2mac1.com/costing(costing:projects/details/8191/material/5317105)","PP-PE")</f>
        <v>PP-PE</v>
      </c>
      <c r="B256">
        <v>5317105</v>
      </c>
      <c r="C256">
        <v>6972343</v>
      </c>
      <c r="E256">
        <v>1.34768</v>
      </c>
      <c r="F256" t="s">
        <v>3255</v>
      </c>
      <c r="G256">
        <v>95</v>
      </c>
      <c r="H256" t="s">
        <v>3256</v>
      </c>
      <c r="I256">
        <v>5</v>
      </c>
      <c r="J256">
        <v>0.50345253019720215</v>
      </c>
      <c r="K256">
        <v>0</v>
      </c>
      <c r="M256">
        <v>0</v>
      </c>
      <c r="O256">
        <v>200000</v>
      </c>
      <c r="R256" t="s">
        <v>136</v>
      </c>
      <c r="S256">
        <v>9.9302736842105268E-05</v>
      </c>
      <c r="T256">
        <v>0.00020098873936842104</v>
      </c>
      <c r="U256" t="s">
        <v>137</v>
      </c>
      <c r="V256">
        <v>0.0013902383157894736</v>
      </c>
      <c r="W256">
        <v>0.041213019055157896</v>
      </c>
      <c r="X256" t="s">
        <v>90</v>
      </c>
      <c r="Y256">
        <v>0</v>
      </c>
      <c r="Z256">
        <v>0</v>
      </c>
      <c r="AA256" t="s">
        <v>90</v>
      </c>
      <c r="AB256">
        <v>0</v>
      </c>
      <c r="AC256">
        <v>0.041213019055157896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Q256" t="s">
        <v>140</v>
      </c>
      <c r="AR256" t="s">
        <v>141</v>
      </c>
      <c r="AS256">
        <v>0.039721094736842107</v>
      </c>
    </row>
    <row r="257" spans="1:45" ht="12.75">
      <c r="A257" s="2" t="str">
        <f>HYPERLINK("https://ibp.a2mac1.com/costing(costing:projects/details/8191/material/5317106)","PP-PE")</f>
        <v>PP-PE</v>
      </c>
      <c r="B257">
        <v>5317106</v>
      </c>
      <c r="C257">
        <v>6972344</v>
      </c>
      <c r="E257">
        <v>1.34768</v>
      </c>
      <c r="F257" t="s">
        <v>3255</v>
      </c>
      <c r="G257">
        <v>95</v>
      </c>
      <c r="H257" t="s">
        <v>3256</v>
      </c>
      <c r="I257">
        <v>5</v>
      </c>
      <c r="J257">
        <v>0.50345253019720215</v>
      </c>
      <c r="K257">
        <v>0</v>
      </c>
      <c r="M257">
        <v>0</v>
      </c>
      <c r="O257">
        <v>200000</v>
      </c>
      <c r="R257" t="s">
        <v>136</v>
      </c>
      <c r="S257">
        <v>9.9302736842105268E-05</v>
      </c>
      <c r="T257">
        <v>0.00020098873936842104</v>
      </c>
      <c r="U257" t="s">
        <v>137</v>
      </c>
      <c r="V257">
        <v>0.0013902383157894736</v>
      </c>
      <c r="W257">
        <v>0.041213019055157896</v>
      </c>
      <c r="X257" t="s">
        <v>90</v>
      </c>
      <c r="Y257">
        <v>0</v>
      </c>
      <c r="Z257">
        <v>0</v>
      </c>
      <c r="AA257" t="s">
        <v>90</v>
      </c>
      <c r="AB257">
        <v>0</v>
      </c>
      <c r="AC257">
        <v>0.041213019055157896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Q257" t="s">
        <v>140</v>
      </c>
      <c r="AR257" t="s">
        <v>141</v>
      </c>
      <c r="AS257">
        <v>0.039721094736842107</v>
      </c>
    </row>
    <row r="258" spans="1:45" ht="12.75">
      <c r="A258" s="2" t="str">
        <f>HYPERLINK("https://ibp.a2mac1.com/costing(costing:projects/details/8191/material/5317107)","PC-ABS")</f>
        <v>PC-ABS</v>
      </c>
      <c r="B258">
        <v>5317107</v>
      </c>
      <c r="C258">
        <v>6972345</v>
      </c>
      <c r="E258">
        <v>2.29312</v>
      </c>
      <c r="F258" t="s">
        <v>3268</v>
      </c>
      <c r="G258">
        <v>95</v>
      </c>
      <c r="H258" t="s">
        <v>3269</v>
      </c>
      <c r="I258">
        <v>5</v>
      </c>
      <c r="J258">
        <v>0.50345253019720215</v>
      </c>
      <c r="K258">
        <v>0</v>
      </c>
      <c r="M258">
        <v>0</v>
      </c>
      <c r="O258">
        <v>200000</v>
      </c>
      <c r="R258" t="s">
        <v>136</v>
      </c>
      <c r="S258">
        <v>0.0002534501052631579</v>
      </c>
      <c r="T258">
        <v>0.00051298301305263163</v>
      </c>
      <c r="U258" t="s">
        <v>137</v>
      </c>
      <c r="V258">
        <v>0.0035483014736842106</v>
      </c>
      <c r="W258">
        <v>0.10518787648673684</v>
      </c>
      <c r="X258" t="s">
        <v>90</v>
      </c>
      <c r="Y258">
        <v>0</v>
      </c>
      <c r="Z258">
        <v>0</v>
      </c>
      <c r="AA258" t="s">
        <v>90</v>
      </c>
      <c r="AB258">
        <v>0</v>
      </c>
      <c r="AC258">
        <v>0.10518787648673684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Q258" t="s">
        <v>140</v>
      </c>
      <c r="AR258" t="s">
        <v>141</v>
      </c>
      <c r="AS258">
        <v>0.10138004210526316</v>
      </c>
    </row>
    <row r="259" spans="1:45" ht="12.75">
      <c r="A259" s="2" t="str">
        <f>HYPERLINK("https://ibp.a2mac1.com/costing(costing:projects/details/8191/material/5317074)","Vinyl Perforated")</f>
        <v>Vinyl Perforated</v>
      </c>
      <c r="B259">
        <v>5317074</v>
      </c>
      <c r="C259">
        <v>6972208</v>
      </c>
      <c r="D259" t="s">
        <v>2690</v>
      </c>
      <c r="E259">
        <v>12.89988</v>
      </c>
      <c r="F259" t="s">
        <v>3274</v>
      </c>
      <c r="G259">
        <v>75</v>
      </c>
      <c r="H259" t="s">
        <v>3275</v>
      </c>
      <c r="I259">
        <v>50</v>
      </c>
      <c r="J259">
        <v>0.20557651238448796</v>
      </c>
      <c r="K259">
        <v>0</v>
      </c>
      <c r="L259">
        <v>0</v>
      </c>
      <c r="M259">
        <v>0</v>
      </c>
      <c r="O259">
        <v>200000</v>
      </c>
      <c r="R259" t="s">
        <v>2693</v>
      </c>
      <c r="S259">
        <v>0.42999599999999999</v>
      </c>
      <c r="T259">
        <v>0.0070863340800000002</v>
      </c>
      <c r="U259" t="s">
        <v>137</v>
      </c>
      <c r="V259">
        <v>0.12039888</v>
      </c>
      <c r="W259">
        <v>3.1374572140799999</v>
      </c>
      <c r="X259" t="s">
        <v>90</v>
      </c>
      <c r="Y259">
        <v>0</v>
      </c>
      <c r="Z259">
        <v>0</v>
      </c>
      <c r="AA259" t="s">
        <v>90</v>
      </c>
      <c r="AB259">
        <v>0</v>
      </c>
      <c r="AC259">
        <v>3.1374572140799999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Q259" t="s">
        <v>9</v>
      </c>
      <c r="AR259" t="s">
        <v>141</v>
      </c>
      <c r="AS259">
        <v>3.4399679999999999</v>
      </c>
    </row>
    <row r="260" spans="1:45" ht="12.75">
      <c r="A260" s="2" t="str">
        <f>HYPERLINK("https://ibp.a2mac1.com/costing(costing:projects/details/8191/material/5317075)","Mix Vinyl (80%)")</f>
        <v>Mix Vinyl (80%)</v>
      </c>
      <c r="B260">
        <v>5317075</v>
      </c>
      <c r="C260">
        <v>6972208</v>
      </c>
      <c r="D260" t="s">
        <v>2690</v>
      </c>
      <c r="E260">
        <v>6.41</v>
      </c>
      <c r="F260" t="s">
        <v>3277</v>
      </c>
      <c r="G260">
        <v>75</v>
      </c>
      <c r="H260" t="s">
        <v>3278</v>
      </c>
      <c r="I260">
        <v>0</v>
      </c>
      <c r="J260">
        <v>0.20557651238448796</v>
      </c>
      <c r="K260">
        <v>0</v>
      </c>
      <c r="L260">
        <v>0</v>
      </c>
      <c r="M260">
        <v>0</v>
      </c>
      <c r="O260">
        <v>200000</v>
      </c>
      <c r="R260" t="s">
        <v>2693</v>
      </c>
      <c r="S260">
        <v>0</v>
      </c>
      <c r="T260">
        <v>0.014260968000000001</v>
      </c>
      <c r="U260" t="s">
        <v>137</v>
      </c>
      <c r="V260">
        <v>0.24229800000000001</v>
      </c>
      <c r="W260">
        <v>7.1793589679999998</v>
      </c>
      <c r="X260" t="s">
        <v>90</v>
      </c>
      <c r="Y260">
        <v>0</v>
      </c>
      <c r="Z260">
        <v>0</v>
      </c>
      <c r="AA260" t="s">
        <v>90</v>
      </c>
      <c r="AB260">
        <v>0</v>
      </c>
      <c r="AC260">
        <v>7.1793589679999998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Q260" t="s">
        <v>140</v>
      </c>
      <c r="AR260" t="s">
        <v>141</v>
      </c>
      <c r="AS260">
        <v>6.9227999999999996</v>
      </c>
    </row>
    <row r="261" spans="1:45" ht="12.75">
      <c r="A261" s="2" t="str">
        <f>HYPERLINK("https://ibp.a2mac1.com/costing(costing:projects/details/8191/material/5317076)","Carpet")</f>
        <v>Carpet</v>
      </c>
      <c r="B261">
        <v>5317076</v>
      </c>
      <c r="C261">
        <v>6972208</v>
      </c>
      <c r="D261" t="s">
        <v>2690</v>
      </c>
      <c r="E261">
        <v>5</v>
      </c>
      <c r="F261" t="s">
        <v>2911</v>
      </c>
      <c r="G261">
        <v>75</v>
      </c>
      <c r="H261" t="s">
        <v>3279</v>
      </c>
      <c r="I261">
        <v>50</v>
      </c>
      <c r="J261">
        <v>0.20557651238448796</v>
      </c>
      <c r="K261">
        <v>0</v>
      </c>
      <c r="L261">
        <v>0</v>
      </c>
      <c r="M261">
        <v>0</v>
      </c>
      <c r="O261">
        <v>200000</v>
      </c>
      <c r="R261" t="s">
        <v>2693</v>
      </c>
      <c r="S261">
        <v>0.058333333333333334</v>
      </c>
      <c r="T261">
        <v>0.00096133333333333335</v>
      </c>
      <c r="U261" t="s">
        <v>137</v>
      </c>
      <c r="V261">
        <v>0.016333333333333332</v>
      </c>
      <c r="W261">
        <v>0.42562800000000001</v>
      </c>
      <c r="X261" t="s">
        <v>90</v>
      </c>
      <c r="Y261">
        <v>0</v>
      </c>
      <c r="Z261">
        <v>0</v>
      </c>
      <c r="AA261" t="s">
        <v>90</v>
      </c>
      <c r="AB261">
        <v>0</v>
      </c>
      <c r="AC261">
        <v>0.42562800000000001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Q261" t="s">
        <v>9</v>
      </c>
      <c r="AR261" t="s">
        <v>141</v>
      </c>
      <c r="AS261">
        <v>0.46666666666666667</v>
      </c>
    </row>
    <row r="262" spans="1:45" ht="12.75">
      <c r="A262" s="2" t="str">
        <f>HYPERLINK("https://ibp.a2mac1.com/costing(costing:projects/details/8191/material/5317077)","PUR")</f>
        <v>PUR</v>
      </c>
      <c r="B262">
        <v>5317077</v>
      </c>
      <c r="C262">
        <v>6972210</v>
      </c>
      <c r="E262">
        <v>3.37662</v>
      </c>
      <c r="F262" t="s">
        <v>3284</v>
      </c>
      <c r="G262">
        <v>95</v>
      </c>
      <c r="H262" t="s">
        <v>3285</v>
      </c>
      <c r="I262">
        <v>5</v>
      </c>
      <c r="J262">
        <v>0.50345253019720215</v>
      </c>
      <c r="K262">
        <v>0</v>
      </c>
      <c r="L262">
        <v>0</v>
      </c>
      <c r="M262">
        <v>0</v>
      </c>
      <c r="O262">
        <v>200000</v>
      </c>
      <c r="R262" t="s">
        <v>136</v>
      </c>
      <c r="S262">
        <v>0.0085570659473684207</v>
      </c>
      <c r="T262">
        <v>0.017319501477473683</v>
      </c>
      <c r="U262" t="s">
        <v>137</v>
      </c>
      <c r="V262">
        <v>0.1197989232631579</v>
      </c>
      <c r="W262">
        <v>3.5513877377406318</v>
      </c>
      <c r="X262" t="s">
        <v>90</v>
      </c>
      <c r="Y262">
        <v>0</v>
      </c>
      <c r="Z262">
        <v>0</v>
      </c>
      <c r="AA262" t="s">
        <v>90</v>
      </c>
      <c r="AB262">
        <v>0</v>
      </c>
      <c r="AC262">
        <v>3.5513877377406318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Q262" t="s">
        <v>140</v>
      </c>
      <c r="AR262" t="s">
        <v>141</v>
      </c>
      <c r="AS262">
        <v>3.4228263789473683</v>
      </c>
    </row>
    <row r="263" spans="1:45" ht="12.75">
      <c r="A263" s="2" t="str">
        <f>HYPERLINK("https://ibp.a2mac1.com/costing(costing:projects/details/8191/material/5317078)","Steel sheet (default)")</f>
        <v>Steel sheet (default)</v>
      </c>
      <c r="B263">
        <v>5317078</v>
      </c>
      <c r="C263">
        <v>6972211</v>
      </c>
      <c r="E263">
        <v>0.52766000000000002</v>
      </c>
      <c r="F263" t="s">
        <v>3289</v>
      </c>
      <c r="G263">
        <v>75</v>
      </c>
      <c r="H263" t="s">
        <v>3290</v>
      </c>
      <c r="I263">
        <v>30</v>
      </c>
      <c r="J263">
        <v>0.50345253019720215</v>
      </c>
      <c r="K263">
        <v>0</v>
      </c>
      <c r="L263">
        <v>0</v>
      </c>
      <c r="M263">
        <v>0</v>
      </c>
      <c r="O263">
        <v>200000</v>
      </c>
      <c r="R263" t="s">
        <v>136</v>
      </c>
      <c r="S263">
        <v>0.183678446</v>
      </c>
      <c r="T263">
        <v>0.012392172490133333</v>
      </c>
      <c r="U263" t="s">
        <v>137</v>
      </c>
      <c r="V263">
        <v>0.08571660813333333</v>
      </c>
      <c r="W263">
        <v>2.3634762812901333</v>
      </c>
      <c r="X263" t="s">
        <v>90</v>
      </c>
      <c r="Y263">
        <v>0</v>
      </c>
      <c r="Z263">
        <v>0</v>
      </c>
      <c r="AA263" t="s">
        <v>90</v>
      </c>
      <c r="AB263">
        <v>0</v>
      </c>
      <c r="AC263">
        <v>2.3634762812901333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Q263" t="s">
        <v>140</v>
      </c>
      <c r="AR263" t="s">
        <v>141</v>
      </c>
      <c r="AS263">
        <v>2.4490459466666668</v>
      </c>
    </row>
    <row r="264" spans="1:45" ht="12.75">
      <c r="A264" s="2" t="str">
        <f>HYPERLINK("https://ibp.a2mac1.com/costing(costing:projects/details/8191/material/5317079)","Cataphoresis paint")</f>
        <v>Cataphoresis paint</v>
      </c>
      <c r="B264">
        <v>5317079</v>
      </c>
      <c r="C264">
        <v>6972211</v>
      </c>
      <c r="E264">
        <v>12</v>
      </c>
      <c r="F264" t="s">
        <v>1885</v>
      </c>
      <c r="G264">
        <v>98</v>
      </c>
      <c r="H264" t="s">
        <v>3292</v>
      </c>
      <c r="I264">
        <v>0</v>
      </c>
      <c r="J264">
        <v>0.50345253019720215</v>
      </c>
      <c r="K264">
        <v>0</v>
      </c>
      <c r="L264">
        <v>0</v>
      </c>
      <c r="M264">
        <v>0</v>
      </c>
      <c r="O264">
        <v>200000</v>
      </c>
      <c r="R264" t="s">
        <v>136</v>
      </c>
      <c r="S264">
        <v>0</v>
      </c>
      <c r="T264">
        <v>0.0024783673469387754</v>
      </c>
      <c r="U264" t="s">
        <v>137</v>
      </c>
      <c r="V264">
        <v>0.017142857142857144</v>
      </c>
      <c r="W264">
        <v>0.5094171428571429</v>
      </c>
      <c r="X264" t="s">
        <v>90</v>
      </c>
      <c r="Y264">
        <v>0</v>
      </c>
      <c r="Z264">
        <v>0</v>
      </c>
      <c r="AA264" t="s">
        <v>90</v>
      </c>
      <c r="AB264">
        <v>0</v>
      </c>
      <c r="AC264">
        <v>0.5094171428571429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Q264" t="s">
        <v>140</v>
      </c>
      <c r="AR264" t="s">
        <v>141</v>
      </c>
      <c r="AS264">
        <v>0.48979591836734693</v>
      </c>
    </row>
    <row r="265" spans="1:45" ht="12.75">
      <c r="A265" s="2" t="str">
        <f>HYPERLINK("https://ibp.a2mac1.com/costing(costing:projects/details/8191/material/5317080)","Carpet")</f>
        <v>Carpet</v>
      </c>
      <c r="B265">
        <v>5317080</v>
      </c>
      <c r="C265">
        <v>6972212</v>
      </c>
      <c r="E265">
        <v>3</v>
      </c>
      <c r="F265" t="s">
        <v>2142</v>
      </c>
      <c r="G265">
        <v>100</v>
      </c>
      <c r="H265" t="s">
        <v>2817</v>
      </c>
      <c r="I265">
        <v>0</v>
      </c>
      <c r="J265">
        <v>0.50345253019720215</v>
      </c>
      <c r="K265">
        <v>0</v>
      </c>
      <c r="L265">
        <v>0</v>
      </c>
      <c r="M265">
        <v>0</v>
      </c>
      <c r="O265">
        <v>200000</v>
      </c>
      <c r="R265" t="s">
        <v>136</v>
      </c>
      <c r="S265">
        <v>0</v>
      </c>
      <c r="T265">
        <v>0.0036432000000000001</v>
      </c>
      <c r="U265" t="s">
        <v>137</v>
      </c>
      <c r="V265">
        <v>0.0252</v>
      </c>
      <c r="W265">
        <v>0.74884320000000004</v>
      </c>
      <c r="X265" t="s">
        <v>90</v>
      </c>
      <c r="Y265">
        <v>0</v>
      </c>
      <c r="Z265">
        <v>0</v>
      </c>
      <c r="AA265" t="s">
        <v>90</v>
      </c>
      <c r="AB265">
        <v>0</v>
      </c>
      <c r="AC265">
        <v>0.74884320000000004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Q265" t="s">
        <v>9</v>
      </c>
      <c r="AR265" t="s">
        <v>141</v>
      </c>
      <c r="AS265">
        <v>0.72</v>
      </c>
    </row>
    <row r="266" spans="1:45" ht="12.75">
      <c r="A266" s="2" t="str">
        <f>HYPERLINK("https://ibp.a2mac1.com/costing(costing:projects/details/8191/material/5317108)","Mix Vinyl (80%)")</f>
        <v>Mix Vinyl (80%)</v>
      </c>
      <c r="B266">
        <v>5317108</v>
      </c>
      <c r="C266">
        <v>6972346</v>
      </c>
      <c r="D266" t="s">
        <v>2690</v>
      </c>
      <c r="E266">
        <v>6.41</v>
      </c>
      <c r="F266" t="s">
        <v>3304</v>
      </c>
      <c r="G266">
        <v>75</v>
      </c>
      <c r="H266" t="s">
        <v>3305</v>
      </c>
      <c r="I266">
        <v>0</v>
      </c>
      <c r="J266">
        <v>0.20557651238448796</v>
      </c>
      <c r="K266">
        <v>0</v>
      </c>
      <c r="L266">
        <v>0</v>
      </c>
      <c r="M266">
        <v>0</v>
      </c>
      <c r="O266">
        <v>200000</v>
      </c>
      <c r="R266" t="s">
        <v>2693</v>
      </c>
      <c r="S266">
        <v>0</v>
      </c>
      <c r="T266">
        <v>0.003697288</v>
      </c>
      <c r="U266" t="s">
        <v>137</v>
      </c>
      <c r="V266">
        <v>0.062817999999999999</v>
      </c>
      <c r="W266">
        <v>1.8613152879999999</v>
      </c>
      <c r="X266" t="s">
        <v>90</v>
      </c>
      <c r="Y266">
        <v>0</v>
      </c>
      <c r="Z266">
        <v>0</v>
      </c>
      <c r="AA266" t="s">
        <v>90</v>
      </c>
      <c r="AB266">
        <v>0</v>
      </c>
      <c r="AC266">
        <v>1.8613152879999999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Q266" t="s">
        <v>140</v>
      </c>
      <c r="AR266" t="s">
        <v>141</v>
      </c>
      <c r="AS266">
        <v>1.7948</v>
      </c>
    </row>
    <row r="267" spans="1:45" ht="12.75">
      <c r="A267" s="2" t="str">
        <f>HYPERLINK("https://ibp.a2mac1.com/costing(costing:projects/details/8191/material/5317109)","PUR")</f>
        <v>PUR</v>
      </c>
      <c r="B267">
        <v>5317109</v>
      </c>
      <c r="C267">
        <v>6972348</v>
      </c>
      <c r="E267">
        <v>3.37662</v>
      </c>
      <c r="F267" t="s">
        <v>3065</v>
      </c>
      <c r="G267">
        <v>95</v>
      </c>
      <c r="H267" t="s">
        <v>3066</v>
      </c>
      <c r="I267">
        <v>5</v>
      </c>
      <c r="J267">
        <v>0.50345253019720215</v>
      </c>
      <c r="K267">
        <v>0</v>
      </c>
      <c r="L267">
        <v>0</v>
      </c>
      <c r="M267">
        <v>0</v>
      </c>
      <c r="O267">
        <v>200000</v>
      </c>
      <c r="R267" t="s">
        <v>136</v>
      </c>
      <c r="S267">
        <v>0.00077306826315789469</v>
      </c>
      <c r="T267">
        <v>0.0015646901646315789</v>
      </c>
      <c r="U267" t="s">
        <v>137</v>
      </c>
      <c r="V267">
        <v>0.010822955684210525</v>
      </c>
      <c r="W267">
        <v>0.32084188284884213</v>
      </c>
      <c r="X267" t="s">
        <v>90</v>
      </c>
      <c r="Y267">
        <v>0</v>
      </c>
      <c r="Z267">
        <v>0</v>
      </c>
      <c r="AA267" t="s">
        <v>90</v>
      </c>
      <c r="AB267">
        <v>0</v>
      </c>
      <c r="AC267">
        <v>0.32084188284884213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Q267" t="s">
        <v>140</v>
      </c>
      <c r="AR267" t="s">
        <v>141</v>
      </c>
      <c r="AS267">
        <v>0.30922730526315789</v>
      </c>
    </row>
    <row r="268" spans="1:45" ht="12.75">
      <c r="A268" s="2" t="str">
        <f>HYPERLINK("https://ibp.a2mac1.com/costing(costing:projects/details/8191/material/5317110)","Steel Tube (default, chromed)")</f>
        <v>Steel Tube (default, chromed)</v>
      </c>
      <c r="B268">
        <v>5317110</v>
      </c>
      <c r="C268">
        <v>6972349</v>
      </c>
      <c r="E268">
        <v>0.68464999999999998</v>
      </c>
      <c r="F268" t="s">
        <v>3313</v>
      </c>
      <c r="G268">
        <v>99</v>
      </c>
      <c r="H268" t="s">
        <v>3314</v>
      </c>
      <c r="I268">
        <v>20</v>
      </c>
      <c r="J268">
        <v>0.50048257265952256</v>
      </c>
      <c r="K268">
        <v>0</v>
      </c>
      <c r="L268">
        <v>0</v>
      </c>
      <c r="M268">
        <v>0</v>
      </c>
      <c r="O268">
        <v>400000</v>
      </c>
      <c r="R268" t="s">
        <v>136</v>
      </c>
      <c r="S268">
        <v>0.00022268414141414142</v>
      </c>
      <c r="T268">
        <v>0.00056005061565656564</v>
      </c>
      <c r="U268" t="s">
        <v>137</v>
      </c>
      <c r="V268">
        <v>0.0038969724747474747</v>
      </c>
      <c r="W268">
        <v>0.1155764096560606</v>
      </c>
      <c r="X268" t="s">
        <v>90</v>
      </c>
      <c r="Y268">
        <v>0</v>
      </c>
      <c r="Z268">
        <v>0</v>
      </c>
      <c r="AA268" t="s">
        <v>90</v>
      </c>
      <c r="AB268">
        <v>0</v>
      </c>
      <c r="AC268">
        <v>0.1155764096560606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Q268" t="s">
        <v>140</v>
      </c>
      <c r="AR268" t="s">
        <v>141</v>
      </c>
      <c r="AS268">
        <v>0.11134207070707071</v>
      </c>
    </row>
    <row r="269" spans="1:45" ht="12.75">
      <c r="A269" s="2" t="str">
        <f>HYPERLINK("https://ibp.a2mac1.com/costing(costing:projects/details/8191/material/5317111)","HDPE")</f>
        <v>HDPE</v>
      </c>
      <c r="B269">
        <v>5317111</v>
      </c>
      <c r="C269">
        <v>6972350</v>
      </c>
      <c r="E269">
        <v>0.96494000000000002</v>
      </c>
      <c r="F269" t="s">
        <v>3318</v>
      </c>
      <c r="G269">
        <v>95</v>
      </c>
      <c r="H269" t="s">
        <v>3319</v>
      </c>
      <c r="I269">
        <v>5</v>
      </c>
      <c r="J269">
        <v>0.50345253019720215</v>
      </c>
      <c r="K269">
        <v>0</v>
      </c>
      <c r="M269">
        <v>0</v>
      </c>
      <c r="O269">
        <v>200000</v>
      </c>
      <c r="R269" t="s">
        <v>136</v>
      </c>
      <c r="S269">
        <v>0.00043422300000000002</v>
      </c>
      <c r="T269">
        <v>0.00087886735199999998</v>
      </c>
      <c r="U269" t="s">
        <v>137</v>
      </c>
      <c r="V269">
        <v>0.0060791220000000002</v>
      </c>
      <c r="W269">
        <v>0.18021296635199999</v>
      </c>
      <c r="X269" t="s">
        <v>90</v>
      </c>
      <c r="Y269">
        <v>0</v>
      </c>
      <c r="Z269">
        <v>0</v>
      </c>
      <c r="AA269" t="s">
        <v>90</v>
      </c>
      <c r="AB269">
        <v>0</v>
      </c>
      <c r="AC269">
        <v>0.18021296635199999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Q269" t="s">
        <v>140</v>
      </c>
      <c r="AR269" t="s">
        <v>141</v>
      </c>
      <c r="AS269">
        <v>0.17368919999999999</v>
      </c>
    </row>
    <row r="270" spans="1:45" ht="12.75">
      <c r="A270" s="2" t="str">
        <f>HYPERLINK("https://ibp.a2mac1.com/costing(costing:projects/details/8191/material/5317112)","Mix Vinyl (80%)")</f>
        <v>Mix Vinyl (80%)</v>
      </c>
      <c r="B270">
        <v>5317112</v>
      </c>
      <c r="C270">
        <v>6972351</v>
      </c>
      <c r="D270" t="s">
        <v>2690</v>
      </c>
      <c r="E270">
        <v>6.41</v>
      </c>
      <c r="F270" t="s">
        <v>2142</v>
      </c>
      <c r="G270">
        <v>75</v>
      </c>
      <c r="H270" t="s">
        <v>3232</v>
      </c>
      <c r="I270">
        <v>0</v>
      </c>
      <c r="J270">
        <v>0.20557651238448796</v>
      </c>
      <c r="K270">
        <v>0</v>
      </c>
      <c r="L270">
        <v>0</v>
      </c>
      <c r="M270">
        <v>0</v>
      </c>
      <c r="O270">
        <v>200000</v>
      </c>
      <c r="R270" t="s">
        <v>136</v>
      </c>
      <c r="S270">
        <v>0</v>
      </c>
      <c r="T270">
        <v>0.0042254720000000001</v>
      </c>
      <c r="U270" t="s">
        <v>137</v>
      </c>
      <c r="V270">
        <v>0.071791999999999995</v>
      </c>
      <c r="W270">
        <v>2.1272174719999999</v>
      </c>
      <c r="X270" t="s">
        <v>138</v>
      </c>
      <c r="Y270">
        <v>0.12763304832</v>
      </c>
      <c r="Z270">
        <v>0</v>
      </c>
      <c r="AA270" t="s">
        <v>139</v>
      </c>
      <c r="AB270">
        <v>0.25526609664</v>
      </c>
      <c r="AC270">
        <v>2.51011661696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Q270" t="s">
        <v>140</v>
      </c>
      <c r="AR270" t="s">
        <v>141</v>
      </c>
      <c r="AS270">
        <v>2.0512000000000001</v>
      </c>
    </row>
    <row r="271" spans="1:45" ht="12.75">
      <c r="A271" s="2" t="str">
        <f>HYPERLINK("https://ibp.a2mac1.com/costing(costing:projects/details/8191/material/5317113)","PUR")</f>
        <v>PUR</v>
      </c>
      <c r="B271">
        <v>5317113</v>
      </c>
      <c r="C271">
        <v>6972353</v>
      </c>
      <c r="E271">
        <v>3.37662</v>
      </c>
      <c r="F271" t="s">
        <v>3237</v>
      </c>
      <c r="G271">
        <v>95</v>
      </c>
      <c r="H271" t="s">
        <v>3238</v>
      </c>
      <c r="I271">
        <v>5</v>
      </c>
      <c r="J271">
        <v>0.50345253019720215</v>
      </c>
      <c r="K271">
        <v>0</v>
      </c>
      <c r="L271">
        <v>0</v>
      </c>
      <c r="M271">
        <v>0</v>
      </c>
      <c r="O271">
        <v>200000</v>
      </c>
      <c r="R271" t="s">
        <v>136</v>
      </c>
      <c r="S271">
        <v>0.00096855678947368421</v>
      </c>
      <c r="T271">
        <v>0.0019603589418947368</v>
      </c>
      <c r="U271" t="s">
        <v>137</v>
      </c>
      <c r="V271">
        <v>0.013559795052631579</v>
      </c>
      <c r="W271">
        <v>0.40197431299452629</v>
      </c>
      <c r="X271" t="s">
        <v>138</v>
      </c>
      <c r="Y271">
        <v>0.02411845877967158</v>
      </c>
      <c r="Z271">
        <v>0</v>
      </c>
      <c r="AA271" t="s">
        <v>139</v>
      </c>
      <c r="AB271">
        <v>0.048236917559343159</v>
      </c>
      <c r="AC271">
        <v>0.47432968933354103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Q271" t="s">
        <v>140</v>
      </c>
      <c r="AR271" t="s">
        <v>141</v>
      </c>
      <c r="AS271">
        <v>0.38742271578947368</v>
      </c>
    </row>
    <row r="272" spans="1:45" ht="12.75">
      <c r="A272" s="2" t="str">
        <f>HYPERLINK("https://ibp.a2mac1.com/costing(costing:projects/details/8191/material/5317158)","Steel Tube (default, chromed)")</f>
        <v>Steel Tube (default, chromed)</v>
      </c>
      <c r="B272">
        <v>5317158</v>
      </c>
      <c r="C272">
        <v>6972354</v>
      </c>
      <c r="E272">
        <v>0.68464999999999998</v>
      </c>
      <c r="F272" t="s">
        <v>1882</v>
      </c>
      <c r="G272">
        <v>99</v>
      </c>
      <c r="H272" t="s">
        <v>3242</v>
      </c>
      <c r="I272">
        <v>20</v>
      </c>
      <c r="J272">
        <v>0.50048257265952256</v>
      </c>
      <c r="K272">
        <v>0</v>
      </c>
      <c r="L272">
        <v>0</v>
      </c>
      <c r="M272">
        <v>0</v>
      </c>
      <c r="O272">
        <v>400000</v>
      </c>
      <c r="R272" t="s">
        <v>136</v>
      </c>
      <c r="S272">
        <v>0.00019363838383838384</v>
      </c>
      <c r="T272">
        <v>0.00048700053535353534</v>
      </c>
      <c r="U272" t="s">
        <v>137</v>
      </c>
      <c r="V272">
        <v>0.0033886717171717172</v>
      </c>
      <c r="W272">
        <v>0.10050122578787879</v>
      </c>
      <c r="X272" t="s">
        <v>138</v>
      </c>
      <c r="Y272">
        <v>0.0060300735472727275</v>
      </c>
      <c r="Z272">
        <v>0</v>
      </c>
      <c r="AA272" t="s">
        <v>139</v>
      </c>
      <c r="AB272">
        <v>0.012060147094545455</v>
      </c>
      <c r="AC272">
        <v>0.11859144642969698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Q272" t="s">
        <v>140</v>
      </c>
      <c r="AR272" t="s">
        <v>141</v>
      </c>
      <c r="AS272">
        <v>0.096819191919191916</v>
      </c>
    </row>
    <row r="273" spans="1:45" ht="12.75">
      <c r="A273" s="2" t="str">
        <f>HYPERLINK("https://ibp.a2mac1.com/costing(costing:projects/details/8191/material/5317159)","HDPE")</f>
        <v>HDPE</v>
      </c>
      <c r="B273">
        <v>5317159</v>
      </c>
      <c r="C273">
        <v>6972355</v>
      </c>
      <c r="E273">
        <v>0.96494000000000002</v>
      </c>
      <c r="F273" t="s">
        <v>3246</v>
      </c>
      <c r="G273">
        <v>95</v>
      </c>
      <c r="H273" t="s">
        <v>3247</v>
      </c>
      <c r="I273">
        <v>5</v>
      </c>
      <c r="J273">
        <v>0.50345253019720215</v>
      </c>
      <c r="K273">
        <v>0</v>
      </c>
      <c r="M273">
        <v>0</v>
      </c>
      <c r="O273">
        <v>200000</v>
      </c>
      <c r="R273" t="s">
        <v>136</v>
      </c>
      <c r="S273">
        <v>0.00055611015789473685</v>
      </c>
      <c r="T273">
        <v>0.0011255669595789473</v>
      </c>
      <c r="U273" t="s">
        <v>137</v>
      </c>
      <c r="V273">
        <v>0.0077855422105263155</v>
      </c>
      <c r="W273">
        <v>0.23079906217010526</v>
      </c>
      <c r="X273" t="s">
        <v>138</v>
      </c>
      <c r="Y273">
        <v>0.013847943730206315</v>
      </c>
      <c r="Z273">
        <v>0</v>
      </c>
      <c r="AA273" t="s">
        <v>139</v>
      </c>
      <c r="AB273">
        <v>0.027695887460412631</v>
      </c>
      <c r="AC273">
        <v>0.2723428933607242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Q273" t="s">
        <v>140</v>
      </c>
      <c r="AR273" t="s">
        <v>141</v>
      </c>
      <c r="AS273">
        <v>0.22244406315789475</v>
      </c>
    </row>
    <row r="274" spans="1:45" ht="12.75">
      <c r="A274" s="2" t="str">
        <f>HYPERLINK("https://ibp.a2mac1.com/costing(costing:projects/details/8191/material/5317160)","PP-PE")</f>
        <v>PP-PE</v>
      </c>
      <c r="B274">
        <v>5317160</v>
      </c>
      <c r="C274">
        <v>6972356</v>
      </c>
      <c r="E274">
        <v>1.34768</v>
      </c>
      <c r="F274" t="s">
        <v>3255</v>
      </c>
      <c r="G274">
        <v>95</v>
      </c>
      <c r="H274" t="s">
        <v>3256</v>
      </c>
      <c r="I274">
        <v>5</v>
      </c>
      <c r="J274">
        <v>0.50345253019720215</v>
      </c>
      <c r="K274">
        <v>0</v>
      </c>
      <c r="M274">
        <v>0</v>
      </c>
      <c r="O274">
        <v>200000</v>
      </c>
      <c r="R274" t="s">
        <v>136</v>
      </c>
      <c r="S274">
        <v>9.9302736842105268E-05</v>
      </c>
      <c r="T274">
        <v>0.00020098873936842104</v>
      </c>
      <c r="U274" t="s">
        <v>137</v>
      </c>
      <c r="V274">
        <v>0.0013902383157894736</v>
      </c>
      <c r="W274">
        <v>0.041213019055157896</v>
      </c>
      <c r="X274" t="s">
        <v>90</v>
      </c>
      <c r="Y274">
        <v>0</v>
      </c>
      <c r="Z274">
        <v>0</v>
      </c>
      <c r="AA274" t="s">
        <v>90</v>
      </c>
      <c r="AB274">
        <v>0</v>
      </c>
      <c r="AC274">
        <v>0.041213019055157896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Q274" t="s">
        <v>140</v>
      </c>
      <c r="AR274" t="s">
        <v>141</v>
      </c>
      <c r="AS274">
        <v>0.039721094736842107</v>
      </c>
    </row>
    <row r="275" spans="1:45" ht="12.75">
      <c r="A275" s="2" t="str">
        <f>HYPERLINK("https://ibp.a2mac1.com/costing(costing:projects/details/8191/material/5317161)","PP-PE")</f>
        <v>PP-PE</v>
      </c>
      <c r="B275">
        <v>5317161</v>
      </c>
      <c r="C275">
        <v>6972357</v>
      </c>
      <c r="E275">
        <v>1.34768</v>
      </c>
      <c r="F275" t="s">
        <v>3255</v>
      </c>
      <c r="G275">
        <v>95</v>
      </c>
      <c r="H275" t="s">
        <v>3256</v>
      </c>
      <c r="I275">
        <v>5</v>
      </c>
      <c r="J275">
        <v>0.50345253019720215</v>
      </c>
      <c r="K275">
        <v>0</v>
      </c>
      <c r="M275">
        <v>0</v>
      </c>
      <c r="O275">
        <v>200000</v>
      </c>
      <c r="R275" t="s">
        <v>136</v>
      </c>
      <c r="S275">
        <v>9.9302736842105268E-05</v>
      </c>
      <c r="T275">
        <v>0.00020098873936842104</v>
      </c>
      <c r="U275" t="s">
        <v>137</v>
      </c>
      <c r="V275">
        <v>0.0013902383157894736</v>
      </c>
      <c r="W275">
        <v>0.041213019055157896</v>
      </c>
      <c r="X275" t="s">
        <v>90</v>
      </c>
      <c r="Y275">
        <v>0</v>
      </c>
      <c r="Z275">
        <v>0</v>
      </c>
      <c r="AA275" t="s">
        <v>90</v>
      </c>
      <c r="AB275">
        <v>0</v>
      </c>
      <c r="AC275">
        <v>0.041213019055157896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Q275" t="s">
        <v>140</v>
      </c>
      <c r="AR275" t="s">
        <v>141</v>
      </c>
      <c r="AS275">
        <v>0.039721094736842107</v>
      </c>
    </row>
    <row r="276" spans="1:45" ht="12.75">
      <c r="A276" s="2" t="str">
        <f>HYPERLINK("https://ibp.a2mac1.com/costing(costing:projects/details/8191/material/5317162)","PP-PE")</f>
        <v>PP-PE</v>
      </c>
      <c r="B276">
        <v>5317162</v>
      </c>
      <c r="C276">
        <v>6972358</v>
      </c>
      <c r="E276">
        <v>1.34768</v>
      </c>
      <c r="F276" t="s">
        <v>3255</v>
      </c>
      <c r="G276">
        <v>95</v>
      </c>
      <c r="H276" t="s">
        <v>3256</v>
      </c>
      <c r="I276">
        <v>5</v>
      </c>
      <c r="J276">
        <v>0.50345253019720215</v>
      </c>
      <c r="K276">
        <v>0</v>
      </c>
      <c r="M276">
        <v>0</v>
      </c>
      <c r="O276">
        <v>200000</v>
      </c>
      <c r="R276" t="s">
        <v>136</v>
      </c>
      <c r="S276">
        <v>9.9302736842105268E-05</v>
      </c>
      <c r="T276">
        <v>0.00020098873936842104</v>
      </c>
      <c r="U276" t="s">
        <v>137</v>
      </c>
      <c r="V276">
        <v>0.0013902383157894736</v>
      </c>
      <c r="W276">
        <v>0.041213019055157896</v>
      </c>
      <c r="X276" t="s">
        <v>90</v>
      </c>
      <c r="Y276">
        <v>0</v>
      </c>
      <c r="Z276">
        <v>0</v>
      </c>
      <c r="AA276" t="s">
        <v>90</v>
      </c>
      <c r="AB276">
        <v>0</v>
      </c>
      <c r="AC276">
        <v>0.041213019055157896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Q276" t="s">
        <v>140</v>
      </c>
      <c r="AR276" t="s">
        <v>141</v>
      </c>
      <c r="AS276">
        <v>0.039721094736842107</v>
      </c>
    </row>
    <row r="277" spans="1:45" ht="12.75">
      <c r="A277" s="2" t="str">
        <f>HYPERLINK("https://ibp.a2mac1.com/costing(costing:projects/details/8191/material/5317163)","PP-PE")</f>
        <v>PP-PE</v>
      </c>
      <c r="B277">
        <v>5317163</v>
      </c>
      <c r="C277">
        <v>6972359</v>
      </c>
      <c r="E277">
        <v>1.34768</v>
      </c>
      <c r="F277" t="s">
        <v>3255</v>
      </c>
      <c r="G277">
        <v>95</v>
      </c>
      <c r="H277" t="s">
        <v>3256</v>
      </c>
      <c r="I277">
        <v>5</v>
      </c>
      <c r="J277">
        <v>0.50345253019720215</v>
      </c>
      <c r="K277">
        <v>0</v>
      </c>
      <c r="M277">
        <v>0</v>
      </c>
      <c r="O277">
        <v>200000</v>
      </c>
      <c r="R277" t="s">
        <v>136</v>
      </c>
      <c r="S277">
        <v>9.9302736842105268E-05</v>
      </c>
      <c r="T277">
        <v>0.00020098873936842104</v>
      </c>
      <c r="U277" t="s">
        <v>137</v>
      </c>
      <c r="V277">
        <v>0.0013902383157894736</v>
      </c>
      <c r="W277">
        <v>0.041213019055157896</v>
      </c>
      <c r="X277" t="s">
        <v>90</v>
      </c>
      <c r="Y277">
        <v>0</v>
      </c>
      <c r="Z277">
        <v>0</v>
      </c>
      <c r="AA277" t="s">
        <v>90</v>
      </c>
      <c r="AB277">
        <v>0</v>
      </c>
      <c r="AC277">
        <v>0.041213019055157896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Q277" t="s">
        <v>140</v>
      </c>
      <c r="AR277" t="s">
        <v>141</v>
      </c>
      <c r="AS277">
        <v>0.039721094736842107</v>
      </c>
    </row>
    <row r="278" spans="1:45" ht="12.75">
      <c r="A278" s="2" t="str">
        <f>HYPERLINK("https://ibp.a2mac1.com/costing(costing:projects/details/8191/material/5317164)","PC-ABS")</f>
        <v>PC-ABS</v>
      </c>
      <c r="B278">
        <v>5317164</v>
      </c>
      <c r="C278">
        <v>6972360</v>
      </c>
      <c r="E278">
        <v>2.29312</v>
      </c>
      <c r="F278" t="s">
        <v>1885</v>
      </c>
      <c r="G278">
        <v>95</v>
      </c>
      <c r="H278" t="s">
        <v>3354</v>
      </c>
      <c r="I278">
        <v>5</v>
      </c>
      <c r="J278">
        <v>0.50345253019720215</v>
      </c>
      <c r="K278">
        <v>0</v>
      </c>
      <c r="M278">
        <v>0</v>
      </c>
      <c r="O278">
        <v>200000</v>
      </c>
      <c r="R278" t="s">
        <v>136</v>
      </c>
      <c r="S278">
        <v>0.00024138105263157896</v>
      </c>
      <c r="T278">
        <v>0.00048855525052631584</v>
      </c>
      <c r="U278" t="s">
        <v>137</v>
      </c>
      <c r="V278">
        <v>0.0033793347368421055</v>
      </c>
      <c r="W278">
        <v>0.10017892998736842</v>
      </c>
      <c r="X278" t="s">
        <v>90</v>
      </c>
      <c r="Y278">
        <v>0</v>
      </c>
      <c r="Z278">
        <v>0</v>
      </c>
      <c r="AA278" t="s">
        <v>90</v>
      </c>
      <c r="AB278">
        <v>0</v>
      </c>
      <c r="AC278">
        <v>0.10017892998736842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Q278" t="s">
        <v>140</v>
      </c>
      <c r="AR278" t="s">
        <v>141</v>
      </c>
      <c r="AS278">
        <v>0.096552421052631579</v>
      </c>
    </row>
    <row r="279" spans="1:45" ht="12.75">
      <c r="A279" s="2" t="str">
        <f>HYPERLINK("https://ibp.a2mac1.com/costing(costing:projects/details/8191/material/5317165)","PP-PE")</f>
        <v>PP-PE</v>
      </c>
      <c r="B279">
        <v>5317165</v>
      </c>
      <c r="C279">
        <v>6972361</v>
      </c>
      <c r="E279">
        <v>1.34768</v>
      </c>
      <c r="F279" t="s">
        <v>3360</v>
      </c>
      <c r="G279">
        <v>95</v>
      </c>
      <c r="H279" t="s">
        <v>3361</v>
      </c>
      <c r="I279">
        <v>5</v>
      </c>
      <c r="J279">
        <v>0.50345253019720215</v>
      </c>
      <c r="K279">
        <v>0</v>
      </c>
      <c r="M279">
        <v>0</v>
      </c>
      <c r="O279">
        <v>200000</v>
      </c>
      <c r="R279" t="s">
        <v>136</v>
      </c>
      <c r="S279">
        <v>0.00010284926315789473</v>
      </c>
      <c r="T279">
        <v>0.00020816690863157894</v>
      </c>
      <c r="U279" t="s">
        <v>137</v>
      </c>
      <c r="V279">
        <v>0.0014398896842105263</v>
      </c>
      <c r="W279">
        <v>0.042684912592842107</v>
      </c>
      <c r="X279" t="s">
        <v>90</v>
      </c>
      <c r="Y279">
        <v>0</v>
      </c>
      <c r="Z279">
        <v>0</v>
      </c>
      <c r="AA279" t="s">
        <v>90</v>
      </c>
      <c r="AB279">
        <v>0</v>
      </c>
      <c r="AC279">
        <v>0.042684912592842107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Q279" t="s">
        <v>140</v>
      </c>
      <c r="AR279" t="s">
        <v>141</v>
      </c>
      <c r="AS279">
        <v>0.041139705263157897</v>
      </c>
    </row>
    <row r="280" spans="1:45" ht="12.75">
      <c r="A280" s="2" t="str">
        <f>HYPERLINK("https://ibp.a2mac1.com/costing(costing:projects/details/8191/material/5317166)","ABS")</f>
        <v>ABS</v>
      </c>
      <c r="B280">
        <v>5317166</v>
      </c>
      <c r="C280">
        <v>6972362</v>
      </c>
      <c r="E280">
        <v>2.5272700000000001</v>
      </c>
      <c r="F280" t="s">
        <v>3367</v>
      </c>
      <c r="G280">
        <v>95</v>
      </c>
      <c r="H280" t="s">
        <v>3368</v>
      </c>
      <c r="I280">
        <v>5</v>
      </c>
      <c r="J280">
        <v>0.50345253019720215</v>
      </c>
      <c r="K280">
        <v>0</v>
      </c>
      <c r="M280">
        <v>0</v>
      </c>
      <c r="O280">
        <v>200000</v>
      </c>
      <c r="R280" t="s">
        <v>136</v>
      </c>
      <c r="S280">
        <v>0.0028864083684210528</v>
      </c>
      <c r="T280">
        <v>0.0058420905376842108</v>
      </c>
      <c r="U280" t="s">
        <v>137</v>
      </c>
      <c r="V280">
        <v>0.040409717157894737</v>
      </c>
      <c r="W280">
        <v>1.197928746695579</v>
      </c>
      <c r="X280" t="s">
        <v>90</v>
      </c>
      <c r="Y280">
        <v>0</v>
      </c>
      <c r="Z280">
        <v>0</v>
      </c>
      <c r="AA280" t="s">
        <v>90</v>
      </c>
      <c r="AB280">
        <v>0</v>
      </c>
      <c r="AC280">
        <v>1.197928746695579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Q280" t="s">
        <v>140</v>
      </c>
      <c r="AR280" t="s">
        <v>141</v>
      </c>
      <c r="AS280">
        <v>1.1545633473684211</v>
      </c>
    </row>
    <row r="281" spans="1:45" ht="12.75">
      <c r="A281" s="2" t="str">
        <f>HYPERLINK("https://ibp.a2mac1.com/costing(costing:projects/details/8191/material/5317167)","ABS")</f>
        <v>ABS</v>
      </c>
      <c r="B281">
        <v>5317167</v>
      </c>
      <c r="C281">
        <v>6972363</v>
      </c>
      <c r="E281">
        <v>2.5272700000000001</v>
      </c>
      <c r="F281" t="s">
        <v>3372</v>
      </c>
      <c r="G281">
        <v>95</v>
      </c>
      <c r="H281" t="s">
        <v>3373</v>
      </c>
      <c r="I281">
        <v>5</v>
      </c>
      <c r="J281">
        <v>0.50345253019720215</v>
      </c>
      <c r="K281">
        <v>0</v>
      </c>
      <c r="M281">
        <v>0</v>
      </c>
      <c r="O281">
        <v>200000</v>
      </c>
      <c r="R281" t="s">
        <v>136</v>
      </c>
      <c r="S281">
        <v>0.00015961705263157895</v>
      </c>
      <c r="T281">
        <v>0.00032306491452631581</v>
      </c>
      <c r="U281" t="s">
        <v>137</v>
      </c>
      <c r="V281">
        <v>0.0022346387368421053</v>
      </c>
      <c r="W281">
        <v>0.066244907651368423</v>
      </c>
      <c r="X281" t="s">
        <v>90</v>
      </c>
      <c r="Y281">
        <v>0</v>
      </c>
      <c r="Z281">
        <v>0</v>
      </c>
      <c r="AA281" t="s">
        <v>90</v>
      </c>
      <c r="AB281">
        <v>0</v>
      </c>
      <c r="AC281">
        <v>0.066244907651368423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Q281" t="s">
        <v>140</v>
      </c>
      <c r="AR281" t="s">
        <v>141</v>
      </c>
      <c r="AS281">
        <v>0.063846821052631578</v>
      </c>
    </row>
    <row r="282" spans="1:45" ht="12.75">
      <c r="A282" s="2" t="str">
        <f>HYPERLINK("https://ibp.a2mac1.com/costing(costing:projects/details/8191/material/5317168)","ABS")</f>
        <v>ABS</v>
      </c>
      <c r="B282">
        <v>5317168</v>
      </c>
      <c r="C282">
        <v>6972364</v>
      </c>
      <c r="E282">
        <v>2.5272700000000001</v>
      </c>
      <c r="F282" t="s">
        <v>3377</v>
      </c>
      <c r="G282">
        <v>95</v>
      </c>
      <c r="H282" t="s">
        <v>3378</v>
      </c>
      <c r="I282">
        <v>5</v>
      </c>
      <c r="J282">
        <v>0.50345253019720215</v>
      </c>
      <c r="K282">
        <v>0</v>
      </c>
      <c r="M282">
        <v>0</v>
      </c>
      <c r="O282">
        <v>200000</v>
      </c>
      <c r="R282" t="s">
        <v>136</v>
      </c>
      <c r="S282">
        <v>0.00066507105263157893</v>
      </c>
      <c r="T282">
        <v>0.0013461038105263157</v>
      </c>
      <c r="U282" t="s">
        <v>137</v>
      </c>
      <c r="V282">
        <v>0.0093109947368421059</v>
      </c>
      <c r="W282">
        <v>0.2760204485473684</v>
      </c>
      <c r="X282" t="s">
        <v>90</v>
      </c>
      <c r="Y282">
        <v>0</v>
      </c>
      <c r="Z282">
        <v>0</v>
      </c>
      <c r="AA282" t="s">
        <v>90</v>
      </c>
      <c r="AB282">
        <v>0</v>
      </c>
      <c r="AC282">
        <v>0.2760204485473684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Q282" t="s">
        <v>140</v>
      </c>
      <c r="AR282" t="s">
        <v>141</v>
      </c>
      <c r="AS282">
        <v>0.26602842105263158</v>
      </c>
    </row>
    <row r="283" spans="1:45" ht="12.75">
      <c r="A283" s="2" t="str">
        <f>HYPERLINK("https://ibp.a2mac1.com/costing(costing:projects/details/8191/material/5317169)","Steel sheet (default)")</f>
        <v>Steel sheet (default)</v>
      </c>
      <c r="B283">
        <v>5317169</v>
      </c>
      <c r="C283">
        <v>6972365</v>
      </c>
      <c r="E283">
        <v>0.52766000000000002</v>
      </c>
      <c r="F283" t="s">
        <v>3382</v>
      </c>
      <c r="G283">
        <v>60</v>
      </c>
      <c r="H283" t="s">
        <v>3383</v>
      </c>
      <c r="I283">
        <v>30</v>
      </c>
      <c r="J283">
        <v>0.50345253019720215</v>
      </c>
      <c r="K283">
        <v>0</v>
      </c>
      <c r="L283">
        <v>0</v>
      </c>
      <c r="M283">
        <v>0</v>
      </c>
      <c r="O283">
        <v>200000</v>
      </c>
      <c r="R283" t="s">
        <v>136</v>
      </c>
      <c r="S283">
        <v>0.20874229599999999</v>
      </c>
      <c r="T283">
        <v>0.0088019668146666671</v>
      </c>
      <c r="U283" t="s">
        <v>137</v>
      </c>
      <c r="V283">
        <v>0.060883169666666667</v>
      </c>
      <c r="W283">
        <v>1.6004619738146666</v>
      </c>
      <c r="X283" t="s">
        <v>90</v>
      </c>
      <c r="Y283">
        <v>0</v>
      </c>
      <c r="Z283">
        <v>0</v>
      </c>
      <c r="AA283" t="s">
        <v>90</v>
      </c>
      <c r="AB283">
        <v>0</v>
      </c>
      <c r="AC283">
        <v>1.6004619738146666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Q283" t="s">
        <v>140</v>
      </c>
      <c r="AR283" t="s">
        <v>141</v>
      </c>
      <c r="AS283">
        <v>1.7395191333333333</v>
      </c>
    </row>
    <row r="284" spans="1:45" ht="12.75">
      <c r="A284" s="2" t="str">
        <f>HYPERLINK("https://ibp.a2mac1.com/costing(costing:projects/details/8191/material/5317170)","Cataphoresis paint")</f>
        <v>Cataphoresis paint</v>
      </c>
      <c r="B284">
        <v>5317170</v>
      </c>
      <c r="C284">
        <v>6972365</v>
      </c>
      <c r="E284">
        <v>12</v>
      </c>
      <c r="F284" t="s">
        <v>3385</v>
      </c>
      <c r="G284">
        <v>98</v>
      </c>
      <c r="H284" t="s">
        <v>3386</v>
      </c>
      <c r="I284">
        <v>0</v>
      </c>
      <c r="J284">
        <v>0.50345253019720215</v>
      </c>
      <c r="K284">
        <v>0</v>
      </c>
      <c r="L284">
        <v>0</v>
      </c>
      <c r="M284">
        <v>0</v>
      </c>
      <c r="O284">
        <v>200000</v>
      </c>
      <c r="R284" t="s">
        <v>136</v>
      </c>
      <c r="S284">
        <v>0</v>
      </c>
      <c r="T284">
        <v>2.4783673469387754E-05</v>
      </c>
      <c r="U284" t="s">
        <v>137</v>
      </c>
      <c r="V284">
        <v>0.00017142857142857143</v>
      </c>
      <c r="W284">
        <v>0.005094171428571429</v>
      </c>
      <c r="X284" t="s">
        <v>90</v>
      </c>
      <c r="Y284">
        <v>0</v>
      </c>
      <c r="Z284">
        <v>0</v>
      </c>
      <c r="AA284" t="s">
        <v>90</v>
      </c>
      <c r="AB284">
        <v>0</v>
      </c>
      <c r="AC284">
        <v>0.005094171428571429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Q284" t="s">
        <v>140</v>
      </c>
      <c r="AR284" t="s">
        <v>141</v>
      </c>
      <c r="AS284">
        <v>0.0048979591836734691</v>
      </c>
    </row>
    <row r="285" spans="1:45" ht="12.75">
      <c r="A285" s="2" t="str">
        <f>HYPERLINK("https://ibp.a2mac1.com/costing(costing:projects/details/8191/material/5317171)","POM")</f>
        <v>POM</v>
      </c>
      <c r="B285">
        <v>5317171</v>
      </c>
      <c r="C285">
        <v>6972366</v>
      </c>
      <c r="E285">
        <v>2.12338</v>
      </c>
      <c r="F285" t="s">
        <v>3389</v>
      </c>
      <c r="G285">
        <v>95</v>
      </c>
      <c r="H285" t="s">
        <v>3390</v>
      </c>
      <c r="I285">
        <v>5</v>
      </c>
      <c r="J285">
        <v>0.50345253019720215</v>
      </c>
      <c r="K285">
        <v>0</v>
      </c>
      <c r="M285">
        <v>0</v>
      </c>
      <c r="O285">
        <v>200000</v>
      </c>
      <c r="R285" t="s">
        <v>136</v>
      </c>
      <c r="S285">
        <v>0.00033806444736842107</v>
      </c>
      <c r="T285">
        <v>0.00068424244147368416</v>
      </c>
      <c r="U285" t="s">
        <v>137</v>
      </c>
      <c r="V285">
        <v>0.0047329022631578945</v>
      </c>
      <c r="W285">
        <v>0.14030485920463157</v>
      </c>
      <c r="X285" t="s">
        <v>90</v>
      </c>
      <c r="Y285">
        <v>0</v>
      </c>
      <c r="Z285">
        <v>0</v>
      </c>
      <c r="AA285" t="s">
        <v>90</v>
      </c>
      <c r="AB285">
        <v>0</v>
      </c>
      <c r="AC285">
        <v>0.14030485920463157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Q285" t="s">
        <v>140</v>
      </c>
      <c r="AR285" t="s">
        <v>141</v>
      </c>
      <c r="AS285">
        <v>0.13522577894736842</v>
      </c>
    </row>
    <row r="286" spans="1:45" ht="12.75">
      <c r="A286" s="2" t="str">
        <f>HYPERLINK("https://ibp.a2mac1.com/costing(costing:projects/details/8191/material/5317172)","PA6")</f>
        <v>PA6</v>
      </c>
      <c r="B286">
        <v>5317172</v>
      </c>
      <c r="C286">
        <v>6972366</v>
      </c>
      <c r="E286">
        <v>1.72394</v>
      </c>
      <c r="F286" t="s">
        <v>3389</v>
      </c>
      <c r="G286">
        <v>95</v>
      </c>
      <c r="H286" t="s">
        <v>3390</v>
      </c>
      <c r="I286">
        <v>5</v>
      </c>
      <c r="J286">
        <v>0.50345253019720215</v>
      </c>
      <c r="K286">
        <v>0</v>
      </c>
      <c r="M286">
        <v>0</v>
      </c>
      <c r="O286">
        <v>200000</v>
      </c>
      <c r="R286" t="s">
        <v>136</v>
      </c>
      <c r="S286">
        <v>0.00027446939473684212</v>
      </c>
      <c r="T286">
        <v>0.00055552605494736847</v>
      </c>
      <c r="U286" t="s">
        <v>137</v>
      </c>
      <c r="V286">
        <v>0.0038425715263157895</v>
      </c>
      <c r="W286">
        <v>0.11391138608126315</v>
      </c>
      <c r="X286" t="s">
        <v>90</v>
      </c>
      <c r="Y286">
        <v>0</v>
      </c>
      <c r="Z286">
        <v>0</v>
      </c>
      <c r="AA286" t="s">
        <v>90</v>
      </c>
      <c r="AB286">
        <v>0</v>
      </c>
      <c r="AC286">
        <v>0.11391138608126315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Q286" t="s">
        <v>140</v>
      </c>
      <c r="AR286" t="s">
        <v>141</v>
      </c>
      <c r="AS286">
        <v>0.10978775789473684</v>
      </c>
    </row>
    <row r="287" spans="1:45" ht="12.75">
      <c r="A287" s="2" t="str">
        <f>HYPERLINK("https://ibp.a2mac1.com/costing(costing:projects/details/8191/material/5317173)","PC-ABS")</f>
        <v>PC-ABS</v>
      </c>
      <c r="B287">
        <v>5317173</v>
      </c>
      <c r="C287">
        <v>6972366</v>
      </c>
      <c r="E287">
        <v>2.29312</v>
      </c>
      <c r="F287" t="s">
        <v>3389</v>
      </c>
      <c r="G287">
        <v>95</v>
      </c>
      <c r="H287" t="s">
        <v>3390</v>
      </c>
      <c r="I287">
        <v>5</v>
      </c>
      <c r="J287">
        <v>0.50345253019720215</v>
      </c>
      <c r="K287">
        <v>0</v>
      </c>
      <c r="M287">
        <v>0</v>
      </c>
      <c r="O287">
        <v>200000</v>
      </c>
      <c r="R287" t="s">
        <v>136</v>
      </c>
      <c r="S287">
        <v>0.00036508884210526314</v>
      </c>
      <c r="T287">
        <v>0.0007389398164210526</v>
      </c>
      <c r="U287" t="s">
        <v>137</v>
      </c>
      <c r="V287">
        <v>0.005111243789473684</v>
      </c>
      <c r="W287">
        <v>0.15152063160589474</v>
      </c>
      <c r="X287" t="s">
        <v>90</v>
      </c>
      <c r="Y287">
        <v>0</v>
      </c>
      <c r="Z287">
        <v>0</v>
      </c>
      <c r="AA287" t="s">
        <v>90</v>
      </c>
      <c r="AB287">
        <v>0</v>
      </c>
      <c r="AC287">
        <v>0.15152063160589474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Q287" t="s">
        <v>140</v>
      </c>
      <c r="AR287" t="s">
        <v>141</v>
      </c>
      <c r="AS287">
        <v>0.14603553684210527</v>
      </c>
    </row>
    <row r="288" spans="1:45" ht="12.75">
      <c r="A288" s="2" t="str">
        <f>HYPERLINK("https://ibp.a2mac1.com/costing(costing:projects/details/8191/material/5317174)","ABS")</f>
        <v>ABS</v>
      </c>
      <c r="B288">
        <v>5317174</v>
      </c>
      <c r="C288">
        <v>6972367</v>
      </c>
      <c r="E288">
        <v>2.5272700000000001</v>
      </c>
      <c r="F288" t="s">
        <v>3395</v>
      </c>
      <c r="G288">
        <v>95</v>
      </c>
      <c r="H288" t="s">
        <v>3396</v>
      </c>
      <c r="I288">
        <v>5</v>
      </c>
      <c r="J288">
        <v>0.50345253019720215</v>
      </c>
      <c r="K288">
        <v>0</v>
      </c>
      <c r="M288">
        <v>0</v>
      </c>
      <c r="O288">
        <v>200000</v>
      </c>
      <c r="R288" t="s">
        <v>136</v>
      </c>
      <c r="S288">
        <v>0.00017291847368421052</v>
      </c>
      <c r="T288">
        <v>0.00034998699073684211</v>
      </c>
      <c r="U288" t="s">
        <v>137</v>
      </c>
      <c r="V288">
        <v>0.0024208586315789473</v>
      </c>
      <c r="W288">
        <v>0.071765316622315792</v>
      </c>
      <c r="X288" t="s">
        <v>90</v>
      </c>
      <c r="Y288">
        <v>0</v>
      </c>
      <c r="Z288">
        <v>0</v>
      </c>
      <c r="AA288" t="s">
        <v>90</v>
      </c>
      <c r="AB288">
        <v>0</v>
      </c>
      <c r="AC288">
        <v>0.071765316622315792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Q288" t="s">
        <v>140</v>
      </c>
      <c r="AR288" t="s">
        <v>141</v>
      </c>
      <c r="AS288">
        <v>0.069167389473684213</v>
      </c>
    </row>
    <row r="289" spans="1:45" ht="12.75">
      <c r="A289" s="2" t="str">
        <f>HYPERLINK("https://ibp.a2mac1.com/costing(costing:projects/details/8191/material/5317175)","ABS")</f>
        <v>ABS</v>
      </c>
      <c r="B289">
        <v>5317175</v>
      </c>
      <c r="C289">
        <v>6972368</v>
      </c>
      <c r="E289">
        <v>2.5272700000000001</v>
      </c>
      <c r="F289" t="s">
        <v>1291</v>
      </c>
      <c r="G289">
        <v>95</v>
      </c>
      <c r="H289" t="s">
        <v>1292</v>
      </c>
      <c r="I289">
        <v>5</v>
      </c>
      <c r="J289">
        <v>0.50048257265952256</v>
      </c>
      <c r="K289">
        <v>0</v>
      </c>
      <c r="M289">
        <v>0</v>
      </c>
      <c r="O289">
        <v>400000</v>
      </c>
      <c r="R289" t="s">
        <v>136</v>
      </c>
      <c r="S289">
        <v>4.322961842105263E-05</v>
      </c>
      <c r="T289">
        <v>8.6977992263157901E-05</v>
      </c>
      <c r="U289" t="s">
        <v>137</v>
      </c>
      <c r="V289">
        <v>0.00060521465789473681</v>
      </c>
      <c r="W289">
        <v>0.017940810400157894</v>
      </c>
      <c r="X289" t="s">
        <v>90</v>
      </c>
      <c r="Y289">
        <v>0</v>
      </c>
      <c r="Z289">
        <v>0</v>
      </c>
      <c r="AA289" t="s">
        <v>90</v>
      </c>
      <c r="AB289">
        <v>0</v>
      </c>
      <c r="AC289">
        <v>0.017940810400157894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Q289" t="s">
        <v>140</v>
      </c>
      <c r="AR289" t="s">
        <v>141</v>
      </c>
      <c r="AS289">
        <v>0.017291847368421053</v>
      </c>
    </row>
    <row r="290" spans="1:45" ht="12.75">
      <c r="A290" s="2" t="str">
        <f>HYPERLINK("https://ibp.a2mac1.com/costing(costing:projects/details/8191/material/5317176)","Carpet")</f>
        <v>Carpet</v>
      </c>
      <c r="B290">
        <v>5317176</v>
      </c>
      <c r="C290">
        <v>6972369</v>
      </c>
      <c r="E290">
        <v>3</v>
      </c>
      <c r="F290" t="s">
        <v>3403</v>
      </c>
      <c r="G290">
        <v>100</v>
      </c>
      <c r="H290" t="s">
        <v>2738</v>
      </c>
      <c r="I290">
        <v>0</v>
      </c>
      <c r="J290">
        <v>0.50345253019720215</v>
      </c>
      <c r="K290">
        <v>0</v>
      </c>
      <c r="L290">
        <v>0</v>
      </c>
      <c r="M290">
        <v>0</v>
      </c>
      <c r="O290">
        <v>200000</v>
      </c>
      <c r="R290" t="s">
        <v>136</v>
      </c>
      <c r="S290">
        <v>0</v>
      </c>
      <c r="T290">
        <v>0.0012144</v>
      </c>
      <c r="U290" t="s">
        <v>137</v>
      </c>
      <c r="V290">
        <v>0.0083999999999999995</v>
      </c>
      <c r="W290">
        <v>0.24961439999999999</v>
      </c>
      <c r="X290" t="s">
        <v>90</v>
      </c>
      <c r="Y290">
        <v>0</v>
      </c>
      <c r="Z290">
        <v>0</v>
      </c>
      <c r="AA290" t="s">
        <v>90</v>
      </c>
      <c r="AB290">
        <v>0</v>
      </c>
      <c r="AC290">
        <v>0.24961439999999999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Q290" t="s">
        <v>9</v>
      </c>
      <c r="AR290" t="s">
        <v>141</v>
      </c>
      <c r="AS290">
        <v>0.24</v>
      </c>
    </row>
    <row r="291" spans="1:45" ht="12.75">
      <c r="A291" s="2" t="str">
        <f>HYPERLINK("https://ibp.a2mac1.com/costing(costing:projects/details/8191/material/5317184)","POM")</f>
        <v>POM</v>
      </c>
      <c r="B291">
        <v>5317184</v>
      </c>
      <c r="C291">
        <v>6972573</v>
      </c>
      <c r="E291">
        <v>2.12338</v>
      </c>
      <c r="F291" t="s">
        <v>629</v>
      </c>
      <c r="G291">
        <v>95</v>
      </c>
      <c r="H291" t="s">
        <v>3410</v>
      </c>
      <c r="I291">
        <v>5</v>
      </c>
      <c r="J291">
        <v>0.50345253019720215</v>
      </c>
      <c r="K291">
        <v>0</v>
      </c>
      <c r="M291">
        <v>0</v>
      </c>
      <c r="O291">
        <v>200000</v>
      </c>
      <c r="R291" t="s">
        <v>136</v>
      </c>
      <c r="S291">
        <v>8.3817631578947372E-05</v>
      </c>
      <c r="T291">
        <v>0.00016964688631578947</v>
      </c>
      <c r="U291" t="s">
        <v>137</v>
      </c>
      <c r="V291">
        <v>0.0011734468421052632</v>
      </c>
      <c r="W291">
        <v>0.034786328728421051</v>
      </c>
      <c r="X291" t="s">
        <v>90</v>
      </c>
      <c r="Y291">
        <v>0</v>
      </c>
      <c r="Z291">
        <v>0</v>
      </c>
      <c r="AA291" t="s">
        <v>90</v>
      </c>
      <c r="AB291">
        <v>0</v>
      </c>
      <c r="AC291">
        <v>0.034786328728421051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Q291" t="s">
        <v>140</v>
      </c>
      <c r="AR291" t="s">
        <v>141</v>
      </c>
      <c r="AS291">
        <v>0.03352705263157895</v>
      </c>
    </row>
    <row r="292" spans="1:45" ht="12.75">
      <c r="A292" s="2" t="str">
        <f>HYPERLINK("https://ibp.a2mac1.com/costing(costing:projects/details/8191/material/5317185)","POM")</f>
        <v>POM</v>
      </c>
      <c r="B292">
        <v>5317185</v>
      </c>
      <c r="C292">
        <v>6972574</v>
      </c>
      <c r="E292">
        <v>2.12338</v>
      </c>
      <c r="F292" t="s">
        <v>3414</v>
      </c>
      <c r="G292">
        <v>95</v>
      </c>
      <c r="H292" t="s">
        <v>3415</v>
      </c>
      <c r="I292">
        <v>5</v>
      </c>
      <c r="J292">
        <v>0.50345253019720215</v>
      </c>
      <c r="K292">
        <v>0</v>
      </c>
      <c r="M292">
        <v>0</v>
      </c>
      <c r="O292">
        <v>200000</v>
      </c>
      <c r="R292" t="s">
        <v>136</v>
      </c>
      <c r="S292">
        <v>8.9405473684210524E-05</v>
      </c>
      <c r="T292">
        <v>0.00018095667873684211</v>
      </c>
      <c r="U292" t="s">
        <v>137</v>
      </c>
      <c r="V292">
        <v>0.0012516766315789473</v>
      </c>
      <c r="W292">
        <v>0.037105417310315789</v>
      </c>
      <c r="X292" t="s">
        <v>90</v>
      </c>
      <c r="Y292">
        <v>0</v>
      </c>
      <c r="Z292">
        <v>0</v>
      </c>
      <c r="AA292" t="s">
        <v>90</v>
      </c>
      <c r="AB292">
        <v>0</v>
      </c>
      <c r="AC292">
        <v>0.037105417310315789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Q292" t="s">
        <v>140</v>
      </c>
      <c r="AR292" t="s">
        <v>141</v>
      </c>
      <c r="AS292">
        <v>0.03576218947368421</v>
      </c>
    </row>
    <row r="293" spans="1:45" ht="12.75">
      <c r="A293" s="2" t="str">
        <f>HYPERLINK("https://ibp.a2mac1.com/costing(costing:projects/details/8191/material/5317186)","ABS")</f>
        <v>ABS</v>
      </c>
      <c r="B293">
        <v>5317186</v>
      </c>
      <c r="C293">
        <v>6972575</v>
      </c>
      <c r="E293">
        <v>2.5272700000000001</v>
      </c>
      <c r="F293" t="s">
        <v>3421</v>
      </c>
      <c r="G293">
        <v>95</v>
      </c>
      <c r="H293" t="s">
        <v>3422</v>
      </c>
      <c r="I293">
        <v>5</v>
      </c>
      <c r="J293">
        <v>0.50345253019720215</v>
      </c>
      <c r="K293">
        <v>0</v>
      </c>
      <c r="M293">
        <v>0</v>
      </c>
      <c r="O293">
        <v>200000</v>
      </c>
      <c r="R293" t="s">
        <v>136</v>
      </c>
      <c r="S293">
        <v>0.00047885115789473686</v>
      </c>
      <c r="T293">
        <v>0.00096919474357894738</v>
      </c>
      <c r="U293" t="s">
        <v>137</v>
      </c>
      <c r="V293">
        <v>0.0067039162105263159</v>
      </c>
      <c r="W293">
        <v>0.19873472295410527</v>
      </c>
      <c r="X293" t="s">
        <v>90</v>
      </c>
      <c r="Y293">
        <v>0</v>
      </c>
      <c r="Z293">
        <v>0</v>
      </c>
      <c r="AA293" t="s">
        <v>90</v>
      </c>
      <c r="AB293">
        <v>0</v>
      </c>
      <c r="AC293">
        <v>0.19873472295410527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Q293" t="s">
        <v>140</v>
      </c>
      <c r="AR293" t="s">
        <v>141</v>
      </c>
      <c r="AS293">
        <v>0.19154046315789475</v>
      </c>
    </row>
    <row r="294" spans="1:45" ht="12.75">
      <c r="A294" s="2" t="str">
        <f>HYPERLINK("https://ibp.a2mac1.com/costing(costing:projects/details/8191/material/5317187)","TPE")</f>
        <v>TPE</v>
      </c>
      <c r="B294">
        <v>5317187</v>
      </c>
      <c r="C294">
        <v>6972575</v>
      </c>
      <c r="E294">
        <v>1.5073099999999999</v>
      </c>
      <c r="F294" t="s">
        <v>3421</v>
      </c>
      <c r="G294">
        <v>95</v>
      </c>
      <c r="H294" t="s">
        <v>3422</v>
      </c>
      <c r="I294">
        <v>5</v>
      </c>
      <c r="J294">
        <v>0.50345253019720215</v>
      </c>
      <c r="K294">
        <v>0</v>
      </c>
      <c r="M294">
        <v>0</v>
      </c>
      <c r="O294">
        <v>200000</v>
      </c>
      <c r="R294" t="s">
        <v>136</v>
      </c>
      <c r="S294">
        <v>0.00028559557894736843</v>
      </c>
      <c r="T294">
        <v>0.00057804545178947368</v>
      </c>
      <c r="U294" t="s">
        <v>137</v>
      </c>
      <c r="V294">
        <v>0.0039983381052631582</v>
      </c>
      <c r="W294">
        <v>0.11852901955705263</v>
      </c>
      <c r="X294" t="s">
        <v>90</v>
      </c>
      <c r="Y294">
        <v>0</v>
      </c>
      <c r="Z294">
        <v>0</v>
      </c>
      <c r="AA294" t="s">
        <v>90</v>
      </c>
      <c r="AB294">
        <v>0</v>
      </c>
      <c r="AC294">
        <v>0.11852901955705263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Q294" t="s">
        <v>140</v>
      </c>
      <c r="AR294" t="s">
        <v>141</v>
      </c>
      <c r="AS294">
        <v>0.11423823157894737</v>
      </c>
    </row>
    <row r="295" spans="1:45" ht="12.75">
      <c r="A295" s="2" t="str">
        <f>HYPERLINK("https://ibp.a2mac1.com/costing(costing:projects/details/8191/material/5317188)","ABS")</f>
        <v>ABS</v>
      </c>
      <c r="B295">
        <v>5317188</v>
      </c>
      <c r="C295">
        <v>6972576</v>
      </c>
      <c r="E295">
        <v>2.5272700000000001</v>
      </c>
      <c r="F295" t="s">
        <v>3429</v>
      </c>
      <c r="G295">
        <v>95</v>
      </c>
      <c r="H295" t="s">
        <v>3430</v>
      </c>
      <c r="I295">
        <v>5</v>
      </c>
      <c r="J295">
        <v>0.50345253019720215</v>
      </c>
      <c r="K295">
        <v>0</v>
      </c>
      <c r="M295">
        <v>0</v>
      </c>
      <c r="O295">
        <v>200000</v>
      </c>
      <c r="R295" t="s">
        <v>136</v>
      </c>
      <c r="S295">
        <v>0.0024208586315789473</v>
      </c>
      <c r="T295">
        <v>0.0048998178703157898</v>
      </c>
      <c r="U295" t="s">
        <v>137</v>
      </c>
      <c r="V295">
        <v>0.033892020842105262</v>
      </c>
      <c r="W295">
        <v>1.0047144327124211</v>
      </c>
      <c r="X295" t="s">
        <v>90</v>
      </c>
      <c r="Y295">
        <v>0</v>
      </c>
      <c r="Z295">
        <v>0</v>
      </c>
      <c r="AA295" t="s">
        <v>90</v>
      </c>
      <c r="AB295">
        <v>0</v>
      </c>
      <c r="AC295">
        <v>1.0047144327124211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Q295" t="s">
        <v>140</v>
      </c>
      <c r="AR295" t="s">
        <v>141</v>
      </c>
      <c r="AS295">
        <v>0.96834345263157895</v>
      </c>
    </row>
    <row r="296" spans="1:45" ht="12.75">
      <c r="A296" s="2" t="str">
        <f>HYPERLINK("https://ibp.a2mac1.com/costing(costing:projects/details/8191/material/5317177)","Mix Vinyl (80%)")</f>
        <v>Mix Vinyl (80%)</v>
      </c>
      <c r="B296">
        <v>5317177</v>
      </c>
      <c r="C296">
        <v>6972370</v>
      </c>
      <c r="D296" t="s">
        <v>2690</v>
      </c>
      <c r="E296">
        <v>6.41</v>
      </c>
      <c r="F296" t="s">
        <v>3435</v>
      </c>
      <c r="G296">
        <v>75</v>
      </c>
      <c r="H296" t="s">
        <v>3436</v>
      </c>
      <c r="I296">
        <v>0</v>
      </c>
      <c r="J296">
        <v>0.20557651238448796</v>
      </c>
      <c r="K296">
        <v>0</v>
      </c>
      <c r="L296">
        <v>0</v>
      </c>
      <c r="M296">
        <v>0</v>
      </c>
      <c r="O296">
        <v>200000</v>
      </c>
      <c r="R296" t="s">
        <v>2693</v>
      </c>
      <c r="S296">
        <v>0</v>
      </c>
      <c r="T296">
        <v>0.007570637333333333</v>
      </c>
      <c r="U296" t="s">
        <v>137</v>
      </c>
      <c r="V296">
        <v>0.12862733333333334</v>
      </c>
      <c r="W296">
        <v>3.8112646373333332</v>
      </c>
      <c r="X296" t="s">
        <v>90</v>
      </c>
      <c r="Y296">
        <v>0</v>
      </c>
      <c r="Z296">
        <v>0</v>
      </c>
      <c r="AA296" t="s">
        <v>90</v>
      </c>
      <c r="AB296">
        <v>0</v>
      </c>
      <c r="AC296">
        <v>3.8112646373333332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Q296" t="s">
        <v>140</v>
      </c>
      <c r="AR296" t="s">
        <v>141</v>
      </c>
      <c r="AS296">
        <v>3.6750666666666665</v>
      </c>
    </row>
    <row r="297" spans="1:45" ht="12.75">
      <c r="A297" s="2" t="str">
        <f>HYPERLINK("https://ibp.a2mac1.com/costing(costing:projects/details/8191/material/5317178)","Fabric")</f>
        <v>Fabric</v>
      </c>
      <c r="B297">
        <v>5317178</v>
      </c>
      <c r="C297">
        <v>6972370</v>
      </c>
      <c r="D297" t="s">
        <v>2816</v>
      </c>
      <c r="E297">
        <v>3</v>
      </c>
      <c r="F297" t="s">
        <v>3438</v>
      </c>
      <c r="G297">
        <v>100</v>
      </c>
      <c r="H297" t="s">
        <v>3439</v>
      </c>
      <c r="I297">
        <v>0</v>
      </c>
      <c r="J297">
        <v>0.20557651238448796</v>
      </c>
      <c r="K297">
        <v>0</v>
      </c>
      <c r="L297">
        <v>0</v>
      </c>
      <c r="M297">
        <v>0</v>
      </c>
      <c r="O297">
        <v>200000</v>
      </c>
      <c r="R297" t="s">
        <v>2693</v>
      </c>
      <c r="S297">
        <v>0</v>
      </c>
      <c r="T297">
        <v>0.001854</v>
      </c>
      <c r="U297" t="s">
        <v>137</v>
      </c>
      <c r="V297">
        <v>0.0315</v>
      </c>
      <c r="W297">
        <v>0.93335400000000002</v>
      </c>
      <c r="X297" t="s">
        <v>90</v>
      </c>
      <c r="Y297">
        <v>0</v>
      </c>
      <c r="Z297">
        <v>0</v>
      </c>
      <c r="AA297" t="s">
        <v>90</v>
      </c>
      <c r="AB297">
        <v>0</v>
      </c>
      <c r="AC297">
        <v>0.93335400000000002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Q297" t="s">
        <v>9</v>
      </c>
      <c r="AR297" t="s">
        <v>141</v>
      </c>
      <c r="AS297">
        <v>0.90</v>
      </c>
    </row>
    <row r="298" spans="1:45" ht="12.75">
      <c r="A298" s="2" t="str">
        <f>HYPERLINK("https://ibp.a2mac1.com/costing(costing:projects/details/8191/material/5317179)","PUR")</f>
        <v>PUR</v>
      </c>
      <c r="B298">
        <v>5317179</v>
      </c>
      <c r="C298">
        <v>6972372</v>
      </c>
      <c r="E298">
        <v>3.37662</v>
      </c>
      <c r="F298" t="s">
        <v>3444</v>
      </c>
      <c r="G298">
        <v>95</v>
      </c>
      <c r="H298" t="s">
        <v>3445</v>
      </c>
      <c r="I298">
        <v>5</v>
      </c>
      <c r="J298">
        <v>0.50345253019720215</v>
      </c>
      <c r="K298">
        <v>0</v>
      </c>
      <c r="M298">
        <v>0</v>
      </c>
      <c r="O298">
        <v>200000</v>
      </c>
      <c r="R298" t="s">
        <v>136</v>
      </c>
      <c r="S298">
        <v>0.0037438718542105263</v>
      </c>
      <c r="T298">
        <v>0.0075775966329221052</v>
      </c>
      <c r="U298" t="s">
        <v>137</v>
      </c>
      <c r="V298">
        <v>0.052414205958947371</v>
      </c>
      <c r="W298">
        <v>1.5537966724218695</v>
      </c>
      <c r="X298" t="s">
        <v>90</v>
      </c>
      <c r="Y298">
        <v>0</v>
      </c>
      <c r="Z298">
        <v>0</v>
      </c>
      <c r="AA298" t="s">
        <v>90</v>
      </c>
      <c r="AB298">
        <v>0</v>
      </c>
      <c r="AC298">
        <v>1.5537966724218695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Q298" t="s">
        <v>140</v>
      </c>
      <c r="AR298" t="s">
        <v>141</v>
      </c>
      <c r="AS298">
        <v>1.4975487416842106</v>
      </c>
    </row>
    <row r="299" spans="1:45" ht="12.75">
      <c r="A299" s="2" t="str">
        <f>HYPERLINK("https://ibp.a2mac1.com/costing(costing:projects/details/8191/material/5317180)","Steel sheet (default)")</f>
        <v>Steel sheet (default)</v>
      </c>
      <c r="B299">
        <v>5317180</v>
      </c>
      <c r="C299">
        <v>6972372</v>
      </c>
      <c r="E299">
        <v>0.52766000000000002</v>
      </c>
      <c r="F299" t="s">
        <v>3447</v>
      </c>
      <c r="G299">
        <v>80</v>
      </c>
      <c r="H299" t="s">
        <v>297</v>
      </c>
      <c r="I299">
        <v>30</v>
      </c>
      <c r="J299">
        <v>0.50345253019720215</v>
      </c>
      <c r="K299">
        <v>0</v>
      </c>
      <c r="L299">
        <v>0</v>
      </c>
      <c r="M299">
        <v>0</v>
      </c>
      <c r="O299">
        <v>200000</v>
      </c>
      <c r="R299" t="s">
        <v>136</v>
      </c>
      <c r="S299">
        <v>0.031659600000000003</v>
      </c>
      <c r="T299">
        <v>0.0026699596000000002</v>
      </c>
      <c r="U299" t="s">
        <v>137</v>
      </c>
      <c r="V299">
        <v>0.018468100000000001</v>
      </c>
      <c r="W299">
        <v>0.51713845960000004</v>
      </c>
      <c r="X299" t="s">
        <v>90</v>
      </c>
      <c r="Y299">
        <v>0</v>
      </c>
      <c r="Z299">
        <v>0</v>
      </c>
      <c r="AA299" t="s">
        <v>90</v>
      </c>
      <c r="AB299">
        <v>0</v>
      </c>
      <c r="AC299">
        <v>0.51713845960000004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Q299" t="s">
        <v>140</v>
      </c>
      <c r="AR299" t="s">
        <v>141</v>
      </c>
      <c r="AS299">
        <v>0.52766000000000002</v>
      </c>
    </row>
    <row r="300" spans="1:45" ht="12.75">
      <c r="A300" s="2" t="str">
        <f>HYPERLINK("https://ibp.a2mac1.com/costing(costing:projects/details/8191/material/5317181)","PUR")</f>
        <v>PUR</v>
      </c>
      <c r="B300">
        <v>5317181</v>
      </c>
      <c r="C300">
        <v>6972373</v>
      </c>
      <c r="E300">
        <v>3.37662</v>
      </c>
      <c r="F300" t="s">
        <v>3453</v>
      </c>
      <c r="G300">
        <v>95</v>
      </c>
      <c r="H300" t="s">
        <v>3454</v>
      </c>
      <c r="I300">
        <v>5</v>
      </c>
      <c r="J300">
        <v>0.50345253019720215</v>
      </c>
      <c r="K300">
        <v>0</v>
      </c>
      <c r="M300">
        <v>0</v>
      </c>
      <c r="O300">
        <v>200000</v>
      </c>
      <c r="R300" t="s">
        <v>136</v>
      </c>
      <c r="S300">
        <v>0.00060423726315789476</v>
      </c>
      <c r="T300">
        <v>0.0012229762206315789</v>
      </c>
      <c r="U300" t="s">
        <v>137</v>
      </c>
      <c r="V300">
        <v>0.0084593216842105256</v>
      </c>
      <c r="W300">
        <v>0.2507729659048421</v>
      </c>
      <c r="X300" t="s">
        <v>90</v>
      </c>
      <c r="Y300">
        <v>0</v>
      </c>
      <c r="Z300">
        <v>0</v>
      </c>
      <c r="AA300" t="s">
        <v>90</v>
      </c>
      <c r="AB300">
        <v>0</v>
      </c>
      <c r="AC300">
        <v>0.2507729659048421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Q300" t="s">
        <v>140</v>
      </c>
      <c r="AR300" t="s">
        <v>141</v>
      </c>
      <c r="AS300">
        <v>0.2416949052631579</v>
      </c>
    </row>
    <row r="301" spans="1:45" ht="12.75">
      <c r="A301" s="2" t="str">
        <f>HYPERLINK("https://ibp.a2mac1.com/costing(costing:projects/details/8191/material/5317182)","Mix Vinyl (80%)")</f>
        <v>Mix Vinyl (80%)</v>
      </c>
      <c r="B301">
        <v>5317182</v>
      </c>
      <c r="C301">
        <v>6972374</v>
      </c>
      <c r="D301" t="s">
        <v>2690</v>
      </c>
      <c r="E301">
        <v>6.41</v>
      </c>
      <c r="F301" t="s">
        <v>2819</v>
      </c>
      <c r="G301">
        <v>75</v>
      </c>
      <c r="H301" t="s">
        <v>2820</v>
      </c>
      <c r="I301">
        <v>0</v>
      </c>
      <c r="J301">
        <v>0.20557651238448796</v>
      </c>
      <c r="K301">
        <v>0</v>
      </c>
      <c r="L301">
        <v>0</v>
      </c>
      <c r="M301">
        <v>0</v>
      </c>
      <c r="O301">
        <v>200000</v>
      </c>
      <c r="R301" t="s">
        <v>2693</v>
      </c>
      <c r="S301">
        <v>0</v>
      </c>
      <c r="T301">
        <v>0.0028169813333333332</v>
      </c>
      <c r="U301" t="s">
        <v>137</v>
      </c>
      <c r="V301">
        <v>0.047861333333333332</v>
      </c>
      <c r="W301">
        <v>1.4181449813333333</v>
      </c>
      <c r="X301" t="s">
        <v>90</v>
      </c>
      <c r="Y301">
        <v>0</v>
      </c>
      <c r="Z301">
        <v>0</v>
      </c>
      <c r="AA301" t="s">
        <v>90</v>
      </c>
      <c r="AB301">
        <v>0</v>
      </c>
      <c r="AC301">
        <v>1.4181449813333333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Q301" t="s">
        <v>140</v>
      </c>
      <c r="AR301" t="s">
        <v>141</v>
      </c>
      <c r="AS301">
        <v>1.3674666666666666</v>
      </c>
    </row>
    <row r="302" spans="1:45" ht="12.75">
      <c r="A302" s="2" t="str">
        <f>HYPERLINK("https://ibp.a2mac1.com/costing(costing:projects/details/8191/material/5317183)","PP-PET")</f>
        <v>PP-PET</v>
      </c>
      <c r="B302">
        <v>5317183</v>
      </c>
      <c r="C302">
        <v>6972376</v>
      </c>
      <c r="E302">
        <v>1.9480500000000001</v>
      </c>
      <c r="F302" t="s">
        <v>3462</v>
      </c>
      <c r="G302">
        <v>95</v>
      </c>
      <c r="H302" t="s">
        <v>3463</v>
      </c>
      <c r="I302">
        <v>5</v>
      </c>
      <c r="J302">
        <v>0.50345253019720215</v>
      </c>
      <c r="K302">
        <v>0</v>
      </c>
      <c r="M302">
        <v>0</v>
      </c>
      <c r="O302">
        <v>200000</v>
      </c>
      <c r="R302" t="s">
        <v>136</v>
      </c>
      <c r="S302">
        <v>0.0004203686842105263</v>
      </c>
      <c r="T302">
        <v>0.00085082621684210531</v>
      </c>
      <c r="U302" t="s">
        <v>137</v>
      </c>
      <c r="V302">
        <v>0.0058851615789473682</v>
      </c>
      <c r="W302">
        <v>0.17446309279578948</v>
      </c>
      <c r="X302" t="s">
        <v>90</v>
      </c>
      <c r="Y302">
        <v>0</v>
      </c>
      <c r="Z302">
        <v>0</v>
      </c>
      <c r="AA302" t="s">
        <v>90</v>
      </c>
      <c r="AB302">
        <v>0</v>
      </c>
      <c r="AC302">
        <v>0.17446309279578948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Q302" t="s">
        <v>140</v>
      </c>
      <c r="AR302" t="s">
        <v>141</v>
      </c>
      <c r="AS302">
        <v>0.16814747368421051</v>
      </c>
    </row>
    <row r="303" spans="1:45" ht="12.75">
      <c r="A303" s="2" t="str">
        <f>HYPERLINK("https://ibp.a2mac1.com/costing(costing:projects/details/8191/material/5317081)","Fabric")</f>
        <v>Fabric</v>
      </c>
      <c r="B303">
        <v>5317081</v>
      </c>
      <c r="C303">
        <v>6972214</v>
      </c>
      <c r="D303" t="s">
        <v>2816</v>
      </c>
      <c r="E303">
        <v>3</v>
      </c>
      <c r="F303" t="s">
        <v>2706</v>
      </c>
      <c r="G303">
        <v>100</v>
      </c>
      <c r="H303" t="s">
        <v>3469</v>
      </c>
      <c r="I303">
        <v>0</v>
      </c>
      <c r="J303">
        <v>0.20557651238448796</v>
      </c>
      <c r="K303">
        <v>0</v>
      </c>
      <c r="L303">
        <v>0</v>
      </c>
      <c r="M303">
        <v>0</v>
      </c>
      <c r="O303">
        <v>200000</v>
      </c>
      <c r="R303" t="s">
        <v>2693</v>
      </c>
      <c r="S303">
        <v>0</v>
      </c>
      <c r="T303">
        <v>0.00067980000000000004</v>
      </c>
      <c r="U303" t="s">
        <v>137</v>
      </c>
      <c r="V303">
        <v>0.01155</v>
      </c>
      <c r="W303">
        <v>0.34222979999999997</v>
      </c>
      <c r="X303" t="s">
        <v>90</v>
      </c>
      <c r="Y303">
        <v>0</v>
      </c>
      <c r="Z303">
        <v>0</v>
      </c>
      <c r="AA303" t="s">
        <v>90</v>
      </c>
      <c r="AB303">
        <v>0</v>
      </c>
      <c r="AC303">
        <v>0.34222979999999997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Q303" t="s">
        <v>9</v>
      </c>
      <c r="AR303" t="s">
        <v>141</v>
      </c>
      <c r="AS303">
        <v>0.33</v>
      </c>
    </row>
    <row r="304" spans="1:45" ht="12.75">
      <c r="A304" s="2" t="str">
        <f>HYPERLINK("https://ibp.a2mac1.com/costing(costing:projects/details/8191/material/5317082)","Vinyl Perforated")</f>
        <v>Vinyl Perforated</v>
      </c>
      <c r="B304">
        <v>5317082</v>
      </c>
      <c r="C304">
        <v>6972214</v>
      </c>
      <c r="D304" t="s">
        <v>2690</v>
      </c>
      <c r="E304">
        <v>12.89988</v>
      </c>
      <c r="F304" t="s">
        <v>3435</v>
      </c>
      <c r="G304">
        <v>75</v>
      </c>
      <c r="H304" t="s">
        <v>3436</v>
      </c>
      <c r="I304">
        <v>50</v>
      </c>
      <c r="J304">
        <v>0.20557651238448796</v>
      </c>
      <c r="K304">
        <v>0</v>
      </c>
      <c r="L304">
        <v>0</v>
      </c>
      <c r="M304">
        <v>0</v>
      </c>
      <c r="O304">
        <v>200000</v>
      </c>
      <c r="R304" t="s">
        <v>2693</v>
      </c>
      <c r="S304">
        <v>0.92449139999999996</v>
      </c>
      <c r="T304">
        <v>0.015235618272</v>
      </c>
      <c r="U304" t="s">
        <v>137</v>
      </c>
      <c r="V304">
        <v>0.25885759200000003</v>
      </c>
      <c r="W304">
        <v>6.7455330102720001</v>
      </c>
      <c r="X304" t="s">
        <v>90</v>
      </c>
      <c r="Y304">
        <v>0</v>
      </c>
      <c r="Z304">
        <v>0</v>
      </c>
      <c r="AA304" t="s">
        <v>90</v>
      </c>
      <c r="AB304">
        <v>0</v>
      </c>
      <c r="AC304">
        <v>6.7455330102720001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Q304" t="s">
        <v>9</v>
      </c>
      <c r="AR304" t="s">
        <v>141</v>
      </c>
      <c r="AS304">
        <v>7.3959311999999997</v>
      </c>
    </row>
    <row r="305" spans="1:45" ht="12.75">
      <c r="A305" s="2" t="str">
        <f>HYPERLINK("https://ibp.a2mac1.com/costing(costing:projects/details/8191/material/5317083)","Mix Vinyl (80%)")</f>
        <v>Mix Vinyl (80%)</v>
      </c>
      <c r="B305">
        <v>5317083</v>
      </c>
      <c r="C305">
        <v>6972214</v>
      </c>
      <c r="D305" t="s">
        <v>2690</v>
      </c>
      <c r="E305">
        <v>6.41</v>
      </c>
      <c r="F305" t="s">
        <v>3274</v>
      </c>
      <c r="G305">
        <v>75</v>
      </c>
      <c r="H305" t="s">
        <v>3275</v>
      </c>
      <c r="I305">
        <v>0</v>
      </c>
      <c r="J305">
        <v>0.20557651238448796</v>
      </c>
      <c r="K305">
        <v>0</v>
      </c>
      <c r="L305">
        <v>0</v>
      </c>
      <c r="M305">
        <v>0</v>
      </c>
      <c r="O305">
        <v>200000</v>
      </c>
      <c r="R305" t="s">
        <v>2693</v>
      </c>
      <c r="S305">
        <v>0</v>
      </c>
      <c r="T305">
        <v>0.0035212266666666669</v>
      </c>
      <c r="U305" t="s">
        <v>137</v>
      </c>
      <c r="V305">
        <v>0.059826666666666667</v>
      </c>
      <c r="W305">
        <v>1.7726812266666667</v>
      </c>
      <c r="X305" t="s">
        <v>90</v>
      </c>
      <c r="Y305">
        <v>0</v>
      </c>
      <c r="Z305">
        <v>0</v>
      </c>
      <c r="AA305" t="s">
        <v>90</v>
      </c>
      <c r="AB305">
        <v>0</v>
      </c>
      <c r="AC305">
        <v>1.7726812266666667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Q305" t="s">
        <v>140</v>
      </c>
      <c r="AR305" t="s">
        <v>141</v>
      </c>
      <c r="AS305">
        <v>1.7093333333333334</v>
      </c>
    </row>
    <row r="306" spans="1:45" ht="12.75">
      <c r="A306" s="2" t="str">
        <f>HYPERLINK("https://ibp.a2mac1.com/costing(costing:projects/details/8191/material/5317084)","Carpet")</f>
        <v>Carpet</v>
      </c>
      <c r="B306">
        <v>5317084</v>
      </c>
      <c r="C306">
        <v>6972214</v>
      </c>
      <c r="D306" t="s">
        <v>2690</v>
      </c>
      <c r="E306">
        <v>5</v>
      </c>
      <c r="F306" t="s">
        <v>3447</v>
      </c>
      <c r="G306">
        <v>75</v>
      </c>
      <c r="H306" t="s">
        <v>3471</v>
      </c>
      <c r="I306">
        <v>50</v>
      </c>
      <c r="J306">
        <v>0.20557651238448796</v>
      </c>
      <c r="K306">
        <v>0</v>
      </c>
      <c r="L306">
        <v>0</v>
      </c>
      <c r="M306">
        <v>0</v>
      </c>
      <c r="O306">
        <v>200000</v>
      </c>
      <c r="R306" t="s">
        <v>2693</v>
      </c>
      <c r="S306">
        <v>0.66666666666666663</v>
      </c>
      <c r="T306">
        <v>0.010986666666666667</v>
      </c>
      <c r="U306" t="s">
        <v>137</v>
      </c>
      <c r="V306">
        <v>0.18666666666666668</v>
      </c>
      <c r="W306">
        <v>4.8643200000000002</v>
      </c>
      <c r="X306" t="s">
        <v>90</v>
      </c>
      <c r="Y306">
        <v>0</v>
      </c>
      <c r="Z306">
        <v>0</v>
      </c>
      <c r="AA306" t="s">
        <v>90</v>
      </c>
      <c r="AB306">
        <v>0</v>
      </c>
      <c r="AC306">
        <v>4.8643200000000002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Q306" t="s">
        <v>9</v>
      </c>
      <c r="AR306" t="s">
        <v>141</v>
      </c>
      <c r="AS306">
        <v>5.333333333333333</v>
      </c>
    </row>
    <row r="307" spans="1:45" ht="12.75">
      <c r="A307" s="2" t="str">
        <f>HYPERLINK("https://ibp.a2mac1.com/costing(costing:projects/details/8191/material/5317085)","PUR")</f>
        <v>PUR</v>
      </c>
      <c r="B307">
        <v>5317085</v>
      </c>
      <c r="C307">
        <v>6972215</v>
      </c>
      <c r="E307">
        <v>3.37662</v>
      </c>
      <c r="F307" t="s">
        <v>3475</v>
      </c>
      <c r="G307">
        <v>95</v>
      </c>
      <c r="H307" t="s">
        <v>3476</v>
      </c>
      <c r="I307">
        <v>5</v>
      </c>
      <c r="J307">
        <v>0.50345253019720215</v>
      </c>
      <c r="K307">
        <v>0</v>
      </c>
      <c r="L307">
        <v>0</v>
      </c>
      <c r="M307">
        <v>0</v>
      </c>
      <c r="O307">
        <v>200000</v>
      </c>
      <c r="R307" t="s">
        <v>136</v>
      </c>
      <c r="S307">
        <v>0.0090102438947368413</v>
      </c>
      <c r="T307">
        <v>0.018236733642947367</v>
      </c>
      <c r="U307" t="s">
        <v>137</v>
      </c>
      <c r="V307">
        <v>0.12614341452631578</v>
      </c>
      <c r="W307">
        <v>3.7394674621692632</v>
      </c>
      <c r="X307" t="s">
        <v>90</v>
      </c>
      <c r="Y307">
        <v>0</v>
      </c>
      <c r="Z307">
        <v>0</v>
      </c>
      <c r="AA307" t="s">
        <v>90</v>
      </c>
      <c r="AB307">
        <v>0</v>
      </c>
      <c r="AC307">
        <v>3.7394674621692632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Q307" t="s">
        <v>140</v>
      </c>
      <c r="AR307" t="s">
        <v>141</v>
      </c>
      <c r="AS307">
        <v>3.604097557894737</v>
      </c>
    </row>
    <row r="308" spans="1:45" ht="12.75">
      <c r="A308" s="2" t="str">
        <f>HYPERLINK("https://ibp.a2mac1.com/costing(costing:projects/details/8191/material/5317086)","Steel sheet (default)")</f>
        <v>Steel sheet (default)</v>
      </c>
      <c r="B308">
        <v>5317086</v>
      </c>
      <c r="C308">
        <v>6972216</v>
      </c>
      <c r="E308">
        <v>0.52766000000000002</v>
      </c>
      <c r="F308" t="s">
        <v>3480</v>
      </c>
      <c r="G308">
        <v>60</v>
      </c>
      <c r="H308" t="s">
        <v>3481</v>
      </c>
      <c r="I308">
        <v>30</v>
      </c>
      <c r="J308">
        <v>0.50345253019720215</v>
      </c>
      <c r="K308">
        <v>0</v>
      </c>
      <c r="L308">
        <v>0</v>
      </c>
      <c r="M308">
        <v>0</v>
      </c>
      <c r="O308">
        <v>200000</v>
      </c>
      <c r="R308" t="s">
        <v>136</v>
      </c>
      <c r="S308">
        <v>0.66938947599999998</v>
      </c>
      <c r="T308">
        <v>0.028225922904666665</v>
      </c>
      <c r="U308" t="s">
        <v>137</v>
      </c>
      <c r="V308">
        <v>0.19523859716666667</v>
      </c>
      <c r="W308">
        <v>5.1323206774046666</v>
      </c>
      <c r="X308" t="s">
        <v>90</v>
      </c>
      <c r="Y308">
        <v>0</v>
      </c>
      <c r="Z308">
        <v>0</v>
      </c>
      <c r="AA308" t="s">
        <v>90</v>
      </c>
      <c r="AB308">
        <v>0</v>
      </c>
      <c r="AC308">
        <v>5.1323206774046666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Q308" t="s">
        <v>140</v>
      </c>
      <c r="AR308" t="s">
        <v>141</v>
      </c>
      <c r="AS308">
        <v>5.5782456333333332</v>
      </c>
    </row>
    <row r="309" spans="1:45" ht="12.75">
      <c r="A309" s="2" t="str">
        <f>HYPERLINK("https://ibp.a2mac1.com/costing(costing:projects/details/8191/material/5317087)","Cataphoresis paint")</f>
        <v>Cataphoresis paint</v>
      </c>
      <c r="B309">
        <v>5317087</v>
      </c>
      <c r="C309">
        <v>6972216</v>
      </c>
      <c r="E309">
        <v>12</v>
      </c>
      <c r="F309" t="s">
        <v>509</v>
      </c>
      <c r="G309">
        <v>98</v>
      </c>
      <c r="H309" t="s">
        <v>3483</v>
      </c>
      <c r="I309">
        <v>0</v>
      </c>
      <c r="J309">
        <v>0.50345253019720215</v>
      </c>
      <c r="K309">
        <v>0</v>
      </c>
      <c r="L309">
        <v>0</v>
      </c>
      <c r="M309">
        <v>0</v>
      </c>
      <c r="O309">
        <v>200000</v>
      </c>
      <c r="R309" t="s">
        <v>136</v>
      </c>
      <c r="S309">
        <v>0</v>
      </c>
      <c r="T309">
        <v>0.0030979591836734692</v>
      </c>
      <c r="U309" t="s">
        <v>137</v>
      </c>
      <c r="V309">
        <v>0.021428571428571429</v>
      </c>
      <c r="W309">
        <v>0.63677142857142854</v>
      </c>
      <c r="X309" t="s">
        <v>90</v>
      </c>
      <c r="Y309">
        <v>0</v>
      </c>
      <c r="Z309">
        <v>0</v>
      </c>
      <c r="AA309" t="s">
        <v>90</v>
      </c>
      <c r="AB309">
        <v>0</v>
      </c>
      <c r="AC309">
        <v>0.63677142857142854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Q309" t="s">
        <v>140</v>
      </c>
      <c r="AR309" t="s">
        <v>141</v>
      </c>
      <c r="AS309">
        <v>0.61224489795918369</v>
      </c>
    </row>
    <row r="310" spans="1:45" ht="12.75">
      <c r="A310" s="2" t="str">
        <f>HYPERLINK("https://ibp.a2mac1.com/costing(costing:projects/details/8191/material/5317088)","Carpet")</f>
        <v>Carpet</v>
      </c>
      <c r="B310">
        <v>5317088</v>
      </c>
      <c r="C310">
        <v>6972217</v>
      </c>
      <c r="E310">
        <v>3</v>
      </c>
      <c r="F310" t="s">
        <v>3486</v>
      </c>
      <c r="G310">
        <v>100</v>
      </c>
      <c r="H310" t="s">
        <v>3487</v>
      </c>
      <c r="I310">
        <v>0</v>
      </c>
      <c r="J310">
        <v>0.50345253019720215</v>
      </c>
      <c r="K310">
        <v>0</v>
      </c>
      <c r="L310">
        <v>0</v>
      </c>
      <c r="M310">
        <v>0</v>
      </c>
      <c r="O310">
        <v>200000</v>
      </c>
      <c r="R310" t="s">
        <v>136</v>
      </c>
      <c r="S310">
        <v>0</v>
      </c>
      <c r="T310">
        <v>0.0054647999999999997</v>
      </c>
      <c r="U310" t="s">
        <v>137</v>
      </c>
      <c r="V310">
        <v>0.0378</v>
      </c>
      <c r="W310">
        <v>1.1232648000000001</v>
      </c>
      <c r="X310" t="s">
        <v>90</v>
      </c>
      <c r="Y310">
        <v>0</v>
      </c>
      <c r="Z310">
        <v>0</v>
      </c>
      <c r="AA310" t="s">
        <v>90</v>
      </c>
      <c r="AB310">
        <v>0</v>
      </c>
      <c r="AC310">
        <v>1.1232648000000001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Q310" t="s">
        <v>9</v>
      </c>
      <c r="AR310" t="s">
        <v>141</v>
      </c>
      <c r="AS310">
        <v>1.08</v>
      </c>
    </row>
    <row r="311" spans="1:45" ht="12.75">
      <c r="A311" s="2" t="str">
        <f>HYPERLINK("https://ibp.a2mac1.com/costing(costing:projects/details/8191/material/5317089)","Steel sheet (default)")</f>
        <v>Steel sheet (default)</v>
      </c>
      <c r="B311">
        <v>5317089</v>
      </c>
      <c r="C311">
        <v>6972218</v>
      </c>
      <c r="E311">
        <v>0.52766000000000002</v>
      </c>
      <c r="F311" t="s">
        <v>3491</v>
      </c>
      <c r="G311">
        <v>80</v>
      </c>
      <c r="H311" t="s">
        <v>3492</v>
      </c>
      <c r="I311">
        <v>30</v>
      </c>
      <c r="J311">
        <v>0.50345253019720215</v>
      </c>
      <c r="K311">
        <v>0</v>
      </c>
      <c r="L311">
        <v>0</v>
      </c>
      <c r="M311">
        <v>0</v>
      </c>
      <c r="O311">
        <v>200000</v>
      </c>
      <c r="R311" t="s">
        <v>136</v>
      </c>
      <c r="S311">
        <v>0.0026514914999999999</v>
      </c>
      <c r="T311">
        <v>0.00022360911649999999</v>
      </c>
      <c r="U311" t="s">
        <v>137</v>
      </c>
      <c r="V311">
        <v>0.001546703375</v>
      </c>
      <c r="W311">
        <v>0.0433103459915</v>
      </c>
      <c r="X311" t="s">
        <v>90</v>
      </c>
      <c r="Y311">
        <v>0</v>
      </c>
      <c r="Z311">
        <v>0</v>
      </c>
      <c r="AA311" t="s">
        <v>90</v>
      </c>
      <c r="AB311">
        <v>0</v>
      </c>
      <c r="AC311">
        <v>0.0433103459915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Q311" t="s">
        <v>140</v>
      </c>
      <c r="AR311" t="s">
        <v>141</v>
      </c>
      <c r="AS311">
        <v>0.044191525000000002</v>
      </c>
    </row>
    <row r="312" spans="1:45" ht="12.75">
      <c r="A312" s="2" t="str">
        <f>HYPERLINK("https://ibp.a2mac1.com/costing(costing:projects/details/8191/material/5316924)","Steel sheet (default)")</f>
        <v>Steel sheet (default)</v>
      </c>
      <c r="B312">
        <v>5316924</v>
      </c>
      <c r="C312">
        <v>6972149</v>
      </c>
      <c r="E312">
        <v>0.52766000000000002</v>
      </c>
      <c r="F312" t="s">
        <v>3499</v>
      </c>
      <c r="G312">
        <v>75</v>
      </c>
      <c r="H312" t="s">
        <v>3500</v>
      </c>
      <c r="I312">
        <v>30</v>
      </c>
      <c r="J312">
        <v>0.50345253019720215</v>
      </c>
      <c r="K312">
        <v>0</v>
      </c>
      <c r="L312">
        <v>0</v>
      </c>
      <c r="M312">
        <v>0</v>
      </c>
      <c r="O312">
        <v>200000</v>
      </c>
      <c r="R312" t="s">
        <v>136</v>
      </c>
      <c r="S312">
        <v>0.27628277600000001</v>
      </c>
      <c r="T312">
        <v>0.018639877954133334</v>
      </c>
      <c r="U312" t="s">
        <v>137</v>
      </c>
      <c r="V312">
        <v>0.12893196213333333</v>
      </c>
      <c r="W312">
        <v>3.5550594107541333</v>
      </c>
      <c r="X312" t="s">
        <v>90</v>
      </c>
      <c r="Y312">
        <v>0</v>
      </c>
      <c r="Z312">
        <v>0</v>
      </c>
      <c r="AA312" t="s">
        <v>90</v>
      </c>
      <c r="AB312">
        <v>0</v>
      </c>
      <c r="AC312">
        <v>3.5550594107541333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Q312" t="s">
        <v>140</v>
      </c>
      <c r="AR312" t="s">
        <v>141</v>
      </c>
      <c r="AS312">
        <v>3.6837703466666665</v>
      </c>
    </row>
    <row r="313" spans="1:45" ht="12.75">
      <c r="A313" s="2" t="str">
        <f>HYPERLINK("https://ibp.a2mac1.com/costing(costing:projects/details/8191/material/5316925)","Cataphoresis paint")</f>
        <v>Cataphoresis paint</v>
      </c>
      <c r="B313">
        <v>5316925</v>
      </c>
      <c r="C313">
        <v>6972149</v>
      </c>
      <c r="E313">
        <v>12</v>
      </c>
      <c r="F313" t="s">
        <v>3377</v>
      </c>
      <c r="G313">
        <v>100</v>
      </c>
      <c r="H313" t="s">
        <v>2733</v>
      </c>
      <c r="I313">
        <v>0</v>
      </c>
      <c r="J313">
        <v>0.50345253019720215</v>
      </c>
      <c r="K313">
        <v>0</v>
      </c>
      <c r="L313">
        <v>0</v>
      </c>
      <c r="M313">
        <v>0</v>
      </c>
      <c r="O313">
        <v>200000</v>
      </c>
      <c r="R313" t="s">
        <v>79</v>
      </c>
      <c r="S313">
        <v>0</v>
      </c>
      <c r="T313">
        <v>0.0060720000000000001</v>
      </c>
      <c r="U313" t="s">
        <v>137</v>
      </c>
      <c r="V313">
        <v>0.042000000000000003</v>
      </c>
      <c r="W313">
        <v>1.2480720000000001</v>
      </c>
      <c r="X313" t="s">
        <v>90</v>
      </c>
      <c r="Y313">
        <v>0</v>
      </c>
      <c r="Z313">
        <v>0</v>
      </c>
      <c r="AA313" t="s">
        <v>90</v>
      </c>
      <c r="AB313">
        <v>0</v>
      </c>
      <c r="AC313">
        <v>1.2480720000000001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Q313" t="s">
        <v>140</v>
      </c>
      <c r="AR313" t="s">
        <v>141</v>
      </c>
      <c r="AS313">
        <v>1.20</v>
      </c>
    </row>
    <row r="314" spans="1:45" ht="12.75">
      <c r="A314" s="2" t="str">
        <f>HYPERLINK("https://ibp.a2mac1.com/costing(costing:projects/details/8191/material/5316926)","Mix Vinyl (80%)")</f>
        <v>Mix Vinyl (80%)</v>
      </c>
      <c r="B314">
        <v>5316926</v>
      </c>
      <c r="C314">
        <v>6972150</v>
      </c>
      <c r="E314">
        <v>6.41</v>
      </c>
      <c r="F314" t="s">
        <v>3504</v>
      </c>
      <c r="G314">
        <v>100</v>
      </c>
      <c r="H314" t="s">
        <v>3505</v>
      </c>
      <c r="I314">
        <v>0</v>
      </c>
      <c r="J314">
        <v>0.70499453877469964</v>
      </c>
      <c r="K314">
        <v>0</v>
      </c>
      <c r="L314">
        <v>0</v>
      </c>
      <c r="M314">
        <v>0</v>
      </c>
      <c r="O314">
        <v>200000</v>
      </c>
      <c r="R314" t="s">
        <v>136</v>
      </c>
      <c r="S314">
        <v>0</v>
      </c>
      <c r="T314">
        <v>0.056206085000000003</v>
      </c>
      <c r="U314" t="s">
        <v>137</v>
      </c>
      <c r="V314">
        <v>0.27707225000000002</v>
      </c>
      <c r="W314">
        <v>8.2496283350000006</v>
      </c>
      <c r="X314" t="s">
        <v>90</v>
      </c>
      <c r="Y314">
        <v>0</v>
      </c>
      <c r="Z314">
        <v>0</v>
      </c>
      <c r="AA314" t="s">
        <v>90</v>
      </c>
      <c r="AB314">
        <v>0</v>
      </c>
      <c r="AC314">
        <v>8.2496283350000006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Q314" t="s">
        <v>140</v>
      </c>
      <c r="AR314" t="s">
        <v>141</v>
      </c>
      <c r="AS314">
        <v>7.9163500000000004</v>
      </c>
    </row>
    <row r="315" spans="1:45" ht="12.75">
      <c r="A315" s="2" t="str">
        <f>HYPERLINK("https://ibp.a2mac1.com/costing(costing:projects/details/8191/material/5316927)","Vinyl Perforated")</f>
        <v>Vinyl Perforated</v>
      </c>
      <c r="B315">
        <v>5316927</v>
      </c>
      <c r="C315">
        <v>6972151</v>
      </c>
      <c r="D315" t="s">
        <v>2690</v>
      </c>
      <c r="E315">
        <v>12.89988</v>
      </c>
      <c r="F315" t="s">
        <v>3507</v>
      </c>
      <c r="G315">
        <v>75</v>
      </c>
      <c r="H315" t="s">
        <v>3508</v>
      </c>
      <c r="I315">
        <v>50</v>
      </c>
      <c r="J315">
        <v>0.20557651238448796</v>
      </c>
      <c r="K315">
        <v>0</v>
      </c>
      <c r="L315">
        <v>0</v>
      </c>
      <c r="M315">
        <v>0</v>
      </c>
      <c r="O315">
        <v>200000</v>
      </c>
      <c r="R315" t="s">
        <v>2693</v>
      </c>
      <c r="S315">
        <v>1.0104906</v>
      </c>
      <c r="T315">
        <v>0.016652885087999999</v>
      </c>
      <c r="U315" t="s">
        <v>137</v>
      </c>
      <c r="V315">
        <v>0.28293736800000002</v>
      </c>
      <c r="W315">
        <v>7.373024453088</v>
      </c>
      <c r="X315" t="s">
        <v>90</v>
      </c>
      <c r="Y315">
        <v>0</v>
      </c>
      <c r="Z315">
        <v>0</v>
      </c>
      <c r="AA315" t="s">
        <v>90</v>
      </c>
      <c r="AB315">
        <v>0</v>
      </c>
      <c r="AC315">
        <v>7.373024453088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Q315" t="s">
        <v>9</v>
      </c>
      <c r="AR315" t="s">
        <v>141</v>
      </c>
      <c r="AS315">
        <v>8.0839248000000001</v>
      </c>
    </row>
    <row r="316" spans="1:45" ht="12.75">
      <c r="A316" s="2" t="str">
        <f>HYPERLINK("https://ibp.a2mac1.com/costing(costing:projects/details/8191/material/5316928)","Mix Vinyl (80%)")</f>
        <v>Mix Vinyl (80%)</v>
      </c>
      <c r="B316">
        <v>5316928</v>
      </c>
      <c r="C316">
        <v>6972151</v>
      </c>
      <c r="D316" t="s">
        <v>2690</v>
      </c>
      <c r="E316">
        <v>6.41</v>
      </c>
      <c r="F316" t="s">
        <v>296</v>
      </c>
      <c r="G316">
        <v>75</v>
      </c>
      <c r="H316" t="s">
        <v>3510</v>
      </c>
      <c r="I316">
        <v>0</v>
      </c>
      <c r="J316">
        <v>0.20557651238448796</v>
      </c>
      <c r="K316">
        <v>0</v>
      </c>
      <c r="L316">
        <v>0</v>
      </c>
      <c r="M316">
        <v>0</v>
      </c>
      <c r="O316">
        <v>200000</v>
      </c>
      <c r="R316" t="s">
        <v>2693</v>
      </c>
      <c r="S316">
        <v>0</v>
      </c>
      <c r="T316">
        <v>0.017606133333333333</v>
      </c>
      <c r="U316" t="s">
        <v>137</v>
      </c>
      <c r="V316">
        <v>0.29913333333333331</v>
      </c>
      <c r="W316">
        <v>8.8634061333333332</v>
      </c>
      <c r="X316" t="s">
        <v>90</v>
      </c>
      <c r="Y316">
        <v>0</v>
      </c>
      <c r="Z316">
        <v>0</v>
      </c>
      <c r="AA316" t="s">
        <v>90</v>
      </c>
      <c r="AB316">
        <v>0</v>
      </c>
      <c r="AC316">
        <v>8.8634061333333332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Q316" t="s">
        <v>140</v>
      </c>
      <c r="AR316" t="s">
        <v>141</v>
      </c>
      <c r="AS316">
        <v>8.5466666666666669</v>
      </c>
    </row>
    <row r="317" spans="1:45" ht="12.75">
      <c r="A317" s="2" t="str">
        <f>HYPERLINK("https://ibp.a2mac1.com/costing(costing:projects/details/8191/material/5316929)","Carpet")</f>
        <v>Carpet</v>
      </c>
      <c r="B317">
        <v>5316929</v>
      </c>
      <c r="C317">
        <v>6972151</v>
      </c>
      <c r="D317" t="s">
        <v>2690</v>
      </c>
      <c r="E317">
        <v>5</v>
      </c>
      <c r="F317" t="s">
        <v>3447</v>
      </c>
      <c r="G317">
        <v>75</v>
      </c>
      <c r="H317" t="s">
        <v>3471</v>
      </c>
      <c r="I317">
        <v>50</v>
      </c>
      <c r="J317">
        <v>0.20557651238448796</v>
      </c>
      <c r="K317">
        <v>0</v>
      </c>
      <c r="L317">
        <v>0</v>
      </c>
      <c r="M317">
        <v>0</v>
      </c>
      <c r="O317">
        <v>200000</v>
      </c>
      <c r="R317" t="s">
        <v>2693</v>
      </c>
      <c r="S317">
        <v>0.66666666666666663</v>
      </c>
      <c r="T317">
        <v>0.010986666666666667</v>
      </c>
      <c r="U317" t="s">
        <v>137</v>
      </c>
      <c r="V317">
        <v>0.18666666666666668</v>
      </c>
      <c r="W317">
        <v>4.8643200000000002</v>
      </c>
      <c r="X317" t="s">
        <v>90</v>
      </c>
      <c r="Y317">
        <v>0</v>
      </c>
      <c r="Z317">
        <v>0</v>
      </c>
      <c r="AA317" t="s">
        <v>90</v>
      </c>
      <c r="AB317">
        <v>0</v>
      </c>
      <c r="AC317">
        <v>4.8643200000000002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Q317" t="s">
        <v>9</v>
      </c>
      <c r="AR317" t="s">
        <v>141</v>
      </c>
      <c r="AS317">
        <v>5.333333333333333</v>
      </c>
    </row>
    <row r="318" spans="1:45" ht="12.75">
      <c r="A318" s="2" t="str">
        <f>HYPERLINK("https://ibp.a2mac1.com/costing(costing:projects/details/8191/material/5316930)","PUR")</f>
        <v>PUR</v>
      </c>
      <c r="B318">
        <v>5316930</v>
      </c>
      <c r="C318">
        <v>6972153</v>
      </c>
      <c r="E318">
        <v>3.37662</v>
      </c>
      <c r="F318" t="s">
        <v>3514</v>
      </c>
      <c r="G318">
        <v>95</v>
      </c>
      <c r="H318" t="s">
        <v>3515</v>
      </c>
      <c r="I318">
        <v>5</v>
      </c>
      <c r="J318">
        <v>0.50345253019720215</v>
      </c>
      <c r="K318">
        <v>0</v>
      </c>
      <c r="L318">
        <v>0</v>
      </c>
      <c r="M318">
        <v>0</v>
      </c>
      <c r="O318">
        <v>200000</v>
      </c>
      <c r="R318" t="s">
        <v>136</v>
      </c>
      <c r="S318">
        <v>0.026932987421052632</v>
      </c>
      <c r="T318">
        <v>0.054512366540210529</v>
      </c>
      <c r="U318" t="s">
        <v>137</v>
      </c>
      <c r="V318">
        <v>0.37706182389473686</v>
      </c>
      <c r="W318">
        <v>11.177836171434947</v>
      </c>
      <c r="X318" t="s">
        <v>90</v>
      </c>
      <c r="Y318">
        <v>0</v>
      </c>
      <c r="Z318">
        <v>0</v>
      </c>
      <c r="AA318" t="s">
        <v>90</v>
      </c>
      <c r="AB318">
        <v>0</v>
      </c>
      <c r="AC318">
        <v>11.177836171434947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Q318" t="s">
        <v>140</v>
      </c>
      <c r="AR318" t="s">
        <v>141</v>
      </c>
      <c r="AS318">
        <v>10.773194968421052</v>
      </c>
    </row>
    <row r="319" spans="1:45" ht="12.75">
      <c r="A319" s="2" t="str">
        <f>HYPERLINK("https://ibp.a2mac1.com/costing(costing:projects/details/8191/material/5316931)","High Carbon Spring Steel Wire")</f>
        <v>High Carbon Spring Steel Wire</v>
      </c>
      <c r="B319">
        <v>5316931</v>
      </c>
      <c r="C319">
        <v>6972153</v>
      </c>
      <c r="E319">
        <v>0.58701000000000003</v>
      </c>
      <c r="F319" t="s">
        <v>3517</v>
      </c>
      <c r="G319">
        <v>98</v>
      </c>
      <c r="H319" t="s">
        <v>3518</v>
      </c>
      <c r="I319">
        <v>30</v>
      </c>
      <c r="J319">
        <v>0.50345253019720215</v>
      </c>
      <c r="K319">
        <v>0</v>
      </c>
      <c r="L319">
        <v>0</v>
      </c>
      <c r="M319">
        <v>0</v>
      </c>
      <c r="O319">
        <v>200000</v>
      </c>
      <c r="R319" t="s">
        <v>136</v>
      </c>
      <c r="S319">
        <v>0.0048805688571428568</v>
      </c>
      <c r="T319">
        <v>0.0041159464028571431</v>
      </c>
      <c r="U319" t="s">
        <v>137</v>
      </c>
      <c r="V319">
        <v>0.028469985</v>
      </c>
      <c r="W319">
        <v>0.84113350540285714</v>
      </c>
      <c r="X319" t="s">
        <v>90</v>
      </c>
      <c r="Y319">
        <v>0</v>
      </c>
      <c r="Z319">
        <v>0</v>
      </c>
      <c r="AA319" t="s">
        <v>90</v>
      </c>
      <c r="AB319">
        <v>0</v>
      </c>
      <c r="AC319">
        <v>0.84113350540285714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Q319" t="s">
        <v>140</v>
      </c>
      <c r="AR319" t="s">
        <v>141</v>
      </c>
      <c r="AS319">
        <v>0.81342814285714282</v>
      </c>
    </row>
    <row r="320" spans="1:45" ht="12.75">
      <c r="A320" s="2" t="str">
        <f>HYPERLINK("https://ibp.a2mac1.com/costing(costing:projects/details/8191/material/5316932)","PA6")</f>
        <v>PA6</v>
      </c>
      <c r="B320">
        <v>5316932</v>
      </c>
      <c r="C320">
        <v>6972154</v>
      </c>
      <c r="E320">
        <v>1.72394</v>
      </c>
      <c r="F320" t="s">
        <v>2750</v>
      </c>
      <c r="G320">
        <v>95</v>
      </c>
      <c r="H320" t="s">
        <v>2751</v>
      </c>
      <c r="I320">
        <v>5</v>
      </c>
      <c r="J320">
        <v>0.50048257265952256</v>
      </c>
      <c r="K320">
        <v>0</v>
      </c>
      <c r="M320">
        <v>0</v>
      </c>
      <c r="O320">
        <v>800000</v>
      </c>
      <c r="R320" t="s">
        <v>136</v>
      </c>
      <c r="S320">
        <v>0.00014517389473684211</v>
      </c>
      <c r="T320">
        <v>0.00029208987621052632</v>
      </c>
      <c r="U320" t="s">
        <v>137</v>
      </c>
      <c r="V320">
        <v>0.0020324345263157896</v>
      </c>
      <c r="W320">
        <v>0.060248908402526315</v>
      </c>
      <c r="X320" t="s">
        <v>90</v>
      </c>
      <c r="Y320">
        <v>0</v>
      </c>
      <c r="Z320">
        <v>0</v>
      </c>
      <c r="AA320" t="s">
        <v>90</v>
      </c>
      <c r="AB320">
        <v>0</v>
      </c>
      <c r="AC320">
        <v>0.060248908402526315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Q320" t="s">
        <v>140</v>
      </c>
      <c r="AR320" t="s">
        <v>141</v>
      </c>
      <c r="AS320">
        <v>0.058069557894736841</v>
      </c>
    </row>
    <row r="321" spans="1:45" ht="12.75">
      <c r="A321" s="2" t="str">
        <f>HYPERLINK("https://ibp.a2mac1.com/costing(costing:projects/details/8191/material/5316683)","PA6")</f>
        <v>PA6</v>
      </c>
      <c r="B321">
        <v>5316683</v>
      </c>
      <c r="C321">
        <v>6971943</v>
      </c>
      <c r="E321">
        <v>1.72394</v>
      </c>
      <c r="F321" t="s">
        <v>3528</v>
      </c>
      <c r="G321">
        <v>95</v>
      </c>
      <c r="H321" t="s">
        <v>3529</v>
      </c>
      <c r="I321">
        <v>5</v>
      </c>
      <c r="J321">
        <v>0.50048257265952256</v>
      </c>
      <c r="K321">
        <v>0</v>
      </c>
      <c r="M321">
        <v>0</v>
      </c>
      <c r="O321">
        <v>400000</v>
      </c>
      <c r="R321" t="s">
        <v>136</v>
      </c>
      <c r="S321">
        <v>0.00011114876315789473</v>
      </c>
      <c r="T321">
        <v>0.00022363131147368421</v>
      </c>
      <c r="U321" t="s">
        <v>137</v>
      </c>
      <c r="V321">
        <v>0.0015560826842105262</v>
      </c>
      <c r="W321">
        <v>0.046128070495684209</v>
      </c>
      <c r="X321" t="s">
        <v>90</v>
      </c>
      <c r="Y321">
        <v>0</v>
      </c>
      <c r="Z321">
        <v>0</v>
      </c>
      <c r="AA321" t="s">
        <v>90</v>
      </c>
      <c r="AB321">
        <v>0</v>
      </c>
      <c r="AC321">
        <v>0.046128070495684209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Q321" t="s">
        <v>140</v>
      </c>
      <c r="AR321" t="s">
        <v>141</v>
      </c>
      <c r="AS321">
        <v>0.044459505263157895</v>
      </c>
    </row>
    <row r="322" spans="1:45" ht="12.75">
      <c r="A322" s="2" t="str">
        <f>HYPERLINK("https://ibp.a2mac1.com/costing(costing:projects/details/8191/material/5317845)","Steel sheet (default)")</f>
        <v>Steel sheet (default)</v>
      </c>
      <c r="B322">
        <v>5317845</v>
      </c>
      <c r="C322">
        <v>6973913</v>
      </c>
      <c r="E322">
        <v>0.52766000000000002</v>
      </c>
      <c r="F322" t="s">
        <v>3538</v>
      </c>
      <c r="G322">
        <v>100</v>
      </c>
      <c r="H322" t="s">
        <v>3539</v>
      </c>
      <c r="I322">
        <v>30</v>
      </c>
      <c r="J322">
        <v>0.50345253019720215</v>
      </c>
      <c r="K322">
        <v>0</v>
      </c>
      <c r="L322">
        <v>0</v>
      </c>
      <c r="M322">
        <v>0</v>
      </c>
      <c r="O322">
        <v>200000</v>
      </c>
      <c r="R322" t="s">
        <v>136</v>
      </c>
      <c r="S322">
        <v>0</v>
      </c>
      <c r="T322">
        <v>0.021578613487199999</v>
      </c>
      <c r="U322" t="s">
        <v>137</v>
      </c>
      <c r="V322">
        <v>0.14925918420000001</v>
      </c>
      <c r="W322">
        <v>4.4353859176872001</v>
      </c>
      <c r="X322" t="s">
        <v>138</v>
      </c>
      <c r="Y322">
        <v>0.26612315506123202</v>
      </c>
      <c r="Z322">
        <v>0</v>
      </c>
      <c r="AA322" t="s">
        <v>139</v>
      </c>
      <c r="AB322">
        <v>0.53224631012246404</v>
      </c>
      <c r="AC322">
        <v>5.2337553828708963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Q322" t="s">
        <v>140</v>
      </c>
      <c r="AR322" t="s">
        <v>141</v>
      </c>
      <c r="AS322">
        <v>4.2645481199999997</v>
      </c>
    </row>
    <row r="323" spans="1:45" ht="12.75">
      <c r="A323" s="2" t="str">
        <f>HYPERLINK("https://ibp.a2mac1.com/costing(costing:projects/details/8191/material/5317846)","Steel sheet (default)")</f>
        <v>Steel sheet (default)</v>
      </c>
      <c r="B323">
        <v>5317846</v>
      </c>
      <c r="C323">
        <v>6973914</v>
      </c>
      <c r="E323">
        <v>0.52766000000000002</v>
      </c>
      <c r="F323" t="s">
        <v>3544</v>
      </c>
      <c r="G323">
        <v>100</v>
      </c>
      <c r="H323" t="s">
        <v>3545</v>
      </c>
      <c r="I323">
        <v>30</v>
      </c>
      <c r="J323">
        <v>0.50345253019720215</v>
      </c>
      <c r="K323">
        <v>0</v>
      </c>
      <c r="L323">
        <v>0</v>
      </c>
      <c r="M323">
        <v>0</v>
      </c>
      <c r="O323">
        <v>200000</v>
      </c>
      <c r="R323" t="s">
        <v>136</v>
      </c>
      <c r="S323">
        <v>0</v>
      </c>
      <c r="T323">
        <v>0.0018476120432</v>
      </c>
      <c r="U323" t="s">
        <v>137</v>
      </c>
      <c r="V323">
        <v>0.0127799252</v>
      </c>
      <c r="W323">
        <v>0.37976825724320001</v>
      </c>
      <c r="X323" t="s">
        <v>138</v>
      </c>
      <c r="Y323">
        <v>0.022786095434592001</v>
      </c>
      <c r="Z323">
        <v>0</v>
      </c>
      <c r="AA323" t="s">
        <v>139</v>
      </c>
      <c r="AB323">
        <v>0.045572190869184001</v>
      </c>
      <c r="AC323">
        <v>0.44812654354697601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Q323" t="s">
        <v>140</v>
      </c>
      <c r="AR323" t="s">
        <v>141</v>
      </c>
      <c r="AS323">
        <v>0.36514071999999997</v>
      </c>
    </row>
    <row r="324" spans="1:45" ht="12.75">
      <c r="A324" s="2" t="str">
        <f>HYPERLINK("https://ibp.a2mac1.com/costing(costing:projects/details/8191/material/5317847)","PP-PE")</f>
        <v>PP-PE</v>
      </c>
      <c r="B324">
        <v>5317847</v>
      </c>
      <c r="C324">
        <v>6973915</v>
      </c>
      <c r="E324">
        <v>1.34768</v>
      </c>
      <c r="F324" t="s">
        <v>3549</v>
      </c>
      <c r="G324">
        <v>95</v>
      </c>
      <c r="H324" t="s">
        <v>3550</v>
      </c>
      <c r="I324">
        <v>5</v>
      </c>
      <c r="J324">
        <v>0.50345253019720215</v>
      </c>
      <c r="K324">
        <v>0</v>
      </c>
      <c r="M324">
        <v>0</v>
      </c>
      <c r="O324">
        <v>200000</v>
      </c>
      <c r="R324" t="s">
        <v>136</v>
      </c>
      <c r="S324">
        <v>0.00097884126315789482</v>
      </c>
      <c r="T324">
        <v>0.0019811747166315788</v>
      </c>
      <c r="U324" t="s">
        <v>137</v>
      </c>
      <c r="V324">
        <v>0.013703777684210527</v>
      </c>
      <c r="W324">
        <v>0.40624261640084208</v>
      </c>
      <c r="X324" t="s">
        <v>138</v>
      </c>
      <c r="Y324">
        <v>0.024374556984050527</v>
      </c>
      <c r="Z324">
        <v>0</v>
      </c>
      <c r="AA324" t="s">
        <v>139</v>
      </c>
      <c r="AB324">
        <v>0.048749113968101054</v>
      </c>
      <c r="AC324">
        <v>0.47936628735299369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Q324" t="s">
        <v>140</v>
      </c>
      <c r="AR324" t="s">
        <v>141</v>
      </c>
      <c r="AS324">
        <v>0.39153650526315792</v>
      </c>
    </row>
    <row r="325" spans="1:45" ht="12.75">
      <c r="A325" s="2" t="str">
        <f>HYPERLINK("https://ibp.a2mac1.com/costing(costing:projects/details/8191/material/5317848)","PP-PE")</f>
        <v>PP-PE</v>
      </c>
      <c r="B325">
        <v>5317848</v>
      </c>
      <c r="C325">
        <v>6973916</v>
      </c>
      <c r="E325">
        <v>1.34768</v>
      </c>
      <c r="F325" t="s">
        <v>1783</v>
      </c>
      <c r="G325">
        <v>95</v>
      </c>
      <c r="H325" t="s">
        <v>3554</v>
      </c>
      <c r="I325">
        <v>5</v>
      </c>
      <c r="J325">
        <v>0.50345253019720215</v>
      </c>
      <c r="K325">
        <v>0</v>
      </c>
      <c r="M325">
        <v>0</v>
      </c>
      <c r="O325">
        <v>200000</v>
      </c>
      <c r="R325" t="s">
        <v>136</v>
      </c>
      <c r="S325">
        <v>0.00025889642105263156</v>
      </c>
      <c r="T325">
        <v>0.00052400635621052628</v>
      </c>
      <c r="U325" t="s">
        <v>137</v>
      </c>
      <c r="V325">
        <v>0.0036245498947368423</v>
      </c>
      <c r="W325">
        <v>0.10744822825094737</v>
      </c>
      <c r="X325" t="s">
        <v>138</v>
      </c>
      <c r="Y325">
        <v>0.0064468936950568424</v>
      </c>
      <c r="Z325">
        <v>0</v>
      </c>
      <c r="AA325" t="s">
        <v>139</v>
      </c>
      <c r="AB325">
        <v>0.012893787390113685</v>
      </c>
      <c r="AC325">
        <v>0.12678890933611789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Q325" t="s">
        <v>140</v>
      </c>
      <c r="AR325" t="s">
        <v>141</v>
      </c>
      <c r="AS325">
        <v>0.10355856842105263</v>
      </c>
    </row>
    <row r="326" spans="1:45" ht="12.75">
      <c r="A326" s="2" t="str">
        <f>HYPERLINK("https://ibp.a2mac1.com/costing(costing:projects/details/8191/material/5317849)","PP-PE")</f>
        <v>PP-PE</v>
      </c>
      <c r="B326">
        <v>5317849</v>
      </c>
      <c r="C326">
        <v>6973917</v>
      </c>
      <c r="E326">
        <v>1.34768</v>
      </c>
      <c r="F326" t="s">
        <v>3558</v>
      </c>
      <c r="G326">
        <v>95</v>
      </c>
      <c r="H326" t="s">
        <v>3559</v>
      </c>
      <c r="I326">
        <v>5</v>
      </c>
      <c r="J326">
        <v>0.50345253019720215</v>
      </c>
      <c r="K326">
        <v>0</v>
      </c>
      <c r="M326">
        <v>0</v>
      </c>
      <c r="O326">
        <v>200000</v>
      </c>
      <c r="R326" t="s">
        <v>136</v>
      </c>
      <c r="S326">
        <v>0.00058872336842105265</v>
      </c>
      <c r="T326">
        <v>0.0011915760976842105</v>
      </c>
      <c r="U326" t="s">
        <v>137</v>
      </c>
      <c r="V326">
        <v>0.0082421271578947373</v>
      </c>
      <c r="W326">
        <v>0.24433432725557894</v>
      </c>
      <c r="X326" t="s">
        <v>138</v>
      </c>
      <c r="Y326">
        <v>0.014660059635334738</v>
      </c>
      <c r="Z326">
        <v>0</v>
      </c>
      <c r="AA326" t="s">
        <v>139</v>
      </c>
      <c r="AB326">
        <v>0.029320119270669475</v>
      </c>
      <c r="AC326">
        <v>0.28831450616158316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Q326" t="s">
        <v>140</v>
      </c>
      <c r="AR326" t="s">
        <v>141</v>
      </c>
      <c r="AS326">
        <v>0.23548934736842106</v>
      </c>
    </row>
    <row r="327" spans="1:45" ht="12.75">
      <c r="A327" s="2" t="str">
        <f>HYPERLINK("https://ibp.a2mac1.com/costing(costing:projects/details/8191/material/5317979)","PP-PE")</f>
        <v>PP-PE</v>
      </c>
      <c r="B327">
        <v>5317979</v>
      </c>
      <c r="C327">
        <v>6973985</v>
      </c>
      <c r="E327">
        <v>1.34768</v>
      </c>
      <c r="F327" t="s">
        <v>3566</v>
      </c>
      <c r="G327">
        <v>95</v>
      </c>
      <c r="H327" t="s">
        <v>3567</v>
      </c>
      <c r="I327">
        <v>5</v>
      </c>
      <c r="J327">
        <v>0.50345253019720215</v>
      </c>
      <c r="K327">
        <v>0</v>
      </c>
      <c r="M327">
        <v>0</v>
      </c>
      <c r="O327">
        <v>200000</v>
      </c>
      <c r="R327" t="s">
        <v>136</v>
      </c>
      <c r="S327">
        <v>0.0026173364210526316</v>
      </c>
      <c r="T327">
        <v>0.0052974889162105262</v>
      </c>
      <c r="U327" t="s">
        <v>137</v>
      </c>
      <c r="V327">
        <v>0.036642709894736843</v>
      </c>
      <c r="W327">
        <v>1.0862574308109474</v>
      </c>
      <c r="X327" t="s">
        <v>90</v>
      </c>
      <c r="Y327">
        <v>0</v>
      </c>
      <c r="Z327">
        <v>0</v>
      </c>
      <c r="AA327" t="s">
        <v>90</v>
      </c>
      <c r="AB327">
        <v>0</v>
      </c>
      <c r="AC327">
        <v>1.0862574308109474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Q327" t="s">
        <v>140</v>
      </c>
      <c r="AR327" t="s">
        <v>141</v>
      </c>
      <c r="AS327">
        <v>1.0469345684210527</v>
      </c>
    </row>
    <row r="328" spans="1:45" ht="12.75">
      <c r="A328" s="2" t="str">
        <f>HYPERLINK("https://ibp.a2mac1.com/costing(costing:projects/details/8191/material/5317980)","PP-PE")</f>
        <v>PP-PE</v>
      </c>
      <c r="B328">
        <v>5317980</v>
      </c>
      <c r="C328">
        <v>6973986</v>
      </c>
      <c r="E328">
        <v>1.34768</v>
      </c>
      <c r="F328" t="s">
        <v>1155</v>
      </c>
      <c r="G328">
        <v>95</v>
      </c>
      <c r="H328" t="s">
        <v>1156</v>
      </c>
      <c r="I328">
        <v>5</v>
      </c>
      <c r="J328">
        <v>0.50345253019720215</v>
      </c>
      <c r="K328">
        <v>0</v>
      </c>
      <c r="M328">
        <v>0</v>
      </c>
      <c r="O328">
        <v>200000</v>
      </c>
      <c r="R328" t="s">
        <v>136</v>
      </c>
      <c r="S328">
        <v>0.0013512265263157894</v>
      </c>
      <c r="T328">
        <v>0.0027348824892631579</v>
      </c>
      <c r="U328" t="s">
        <v>137</v>
      </c>
      <c r="V328">
        <v>0.018917171368421054</v>
      </c>
      <c r="W328">
        <v>0.56079143785768426</v>
      </c>
      <c r="X328" t="s">
        <v>90</v>
      </c>
      <c r="Y328">
        <v>0</v>
      </c>
      <c r="Z328">
        <v>0</v>
      </c>
      <c r="AA328" t="s">
        <v>90</v>
      </c>
      <c r="AB328">
        <v>0</v>
      </c>
      <c r="AC328">
        <v>0.56079143785768426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Q328" t="s">
        <v>140</v>
      </c>
      <c r="AR328" t="s">
        <v>141</v>
      </c>
      <c r="AS328">
        <v>0.54049061052631575</v>
      </c>
    </row>
    <row r="329" spans="1:45" ht="12.75">
      <c r="A329" s="2" t="str">
        <f>HYPERLINK("https://ibp.a2mac1.com/costing(costing:projects/details/8191/material/5317981)","PP")</f>
        <v>PP</v>
      </c>
      <c r="B329">
        <v>5317981</v>
      </c>
      <c r="C329">
        <v>6973987</v>
      </c>
      <c r="E329">
        <v>1.0113799999999999</v>
      </c>
      <c r="F329" t="s">
        <v>3574</v>
      </c>
      <c r="G329">
        <v>95</v>
      </c>
      <c r="H329" t="s">
        <v>3575</v>
      </c>
      <c r="I329">
        <v>5</v>
      </c>
      <c r="J329">
        <v>0.50345253019720215</v>
      </c>
      <c r="K329">
        <v>0</v>
      </c>
      <c r="M329">
        <v>0</v>
      </c>
      <c r="O329">
        <v>200000</v>
      </c>
      <c r="R329" t="s">
        <v>136</v>
      </c>
      <c r="S329">
        <v>0.0006361047894736842</v>
      </c>
      <c r="T329">
        <v>0.0012874760938947369</v>
      </c>
      <c r="U329" t="s">
        <v>137</v>
      </c>
      <c r="V329">
        <v>0.0089054670526315782</v>
      </c>
      <c r="W329">
        <v>0.26399875414652629</v>
      </c>
      <c r="X329" t="s">
        <v>90</v>
      </c>
      <c r="Y329">
        <v>0</v>
      </c>
      <c r="Z329">
        <v>0</v>
      </c>
      <c r="AA329" t="s">
        <v>90</v>
      </c>
      <c r="AB329">
        <v>0</v>
      </c>
      <c r="AC329">
        <v>0.26399875414652629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Q329" t="s">
        <v>140</v>
      </c>
      <c r="AR329" t="s">
        <v>141</v>
      </c>
      <c r="AS329">
        <v>0.25444191578947367</v>
      </c>
    </row>
    <row r="330" spans="1:45" ht="12.75">
      <c r="A330" s="2" t="str">
        <f>HYPERLINK("https://ibp.a2mac1.com/costing(costing:projects/details/8191/material/5317982)","Material")</f>
        <v>Material</v>
      </c>
      <c r="B330">
        <v>5317982</v>
      </c>
      <c r="C330">
        <v>6973988</v>
      </c>
      <c r="D330" t="s">
        <v>3579</v>
      </c>
      <c r="E330">
        <v>0.17532</v>
      </c>
      <c r="F330" t="s">
        <v>296</v>
      </c>
      <c r="G330">
        <v>100</v>
      </c>
      <c r="H330" t="s">
        <v>297</v>
      </c>
      <c r="I330">
        <v>0</v>
      </c>
      <c r="J330">
        <v>0.50345253019720215</v>
      </c>
      <c r="K330">
        <v>0</v>
      </c>
      <c r="L330">
        <v>0</v>
      </c>
      <c r="M330">
        <v>0</v>
      </c>
      <c r="O330">
        <v>200000</v>
      </c>
      <c r="R330" t="s">
        <v>136</v>
      </c>
      <c r="S330">
        <v>0</v>
      </c>
      <c r="T330">
        <v>0.00088711919999999997</v>
      </c>
      <c r="U330" t="s">
        <v>137</v>
      </c>
      <c r="V330">
        <v>0.0061361999999999996</v>
      </c>
      <c r="W330">
        <v>0.18234331919999999</v>
      </c>
      <c r="X330" t="s">
        <v>90</v>
      </c>
      <c r="Y330">
        <v>0</v>
      </c>
      <c r="Z330">
        <v>0</v>
      </c>
      <c r="AA330" t="s">
        <v>90</v>
      </c>
      <c r="AB330">
        <v>0</v>
      </c>
      <c r="AC330">
        <v>0.18234331919999999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Q330" t="s">
        <v>9</v>
      </c>
      <c r="AR330" t="s">
        <v>141</v>
      </c>
      <c r="AS330">
        <v>0.17532</v>
      </c>
    </row>
    <row r="331" spans="1:45" ht="12.75">
      <c r="A331" s="2" t="str">
        <f>HYPERLINK("https://ibp.a2mac1.com/costing(costing:projects/details/8191/material/5317983)","PP-PE")</f>
        <v>PP-PE</v>
      </c>
      <c r="B331">
        <v>5317983</v>
      </c>
      <c r="C331">
        <v>6973989</v>
      </c>
      <c r="E331">
        <v>1.34768</v>
      </c>
      <c r="F331" t="s">
        <v>2837</v>
      </c>
      <c r="G331">
        <v>95</v>
      </c>
      <c r="H331" t="s">
        <v>3586</v>
      </c>
      <c r="I331">
        <v>5</v>
      </c>
      <c r="J331">
        <v>0.50345253019720215</v>
      </c>
      <c r="K331">
        <v>0</v>
      </c>
      <c r="M331">
        <v>0</v>
      </c>
      <c r="O331">
        <v>200000</v>
      </c>
      <c r="R331" t="s">
        <v>136</v>
      </c>
      <c r="S331">
        <v>0.0039472837894736846</v>
      </c>
      <c r="T331">
        <v>0.0079893023898947365</v>
      </c>
      <c r="U331" t="s">
        <v>137</v>
      </c>
      <c r="V331">
        <v>0.055261973052631579</v>
      </c>
      <c r="W331">
        <v>1.6382175074425263</v>
      </c>
      <c r="X331" t="s">
        <v>90</v>
      </c>
      <c r="Y331">
        <v>0</v>
      </c>
      <c r="Z331">
        <v>0</v>
      </c>
      <c r="AA331" t="s">
        <v>90</v>
      </c>
      <c r="AB331">
        <v>0</v>
      </c>
      <c r="AC331">
        <v>1.6382175074425263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Q331" t="s">
        <v>140</v>
      </c>
      <c r="AR331" t="s">
        <v>141</v>
      </c>
      <c r="AS331">
        <v>1.5789135157894736</v>
      </c>
    </row>
    <row r="332" spans="1:45" ht="12.75">
      <c r="A332" s="2" t="str">
        <f>HYPERLINK("https://ibp.a2mac1.com/costing(costing:projects/details/8191/material/5317984)","PP-PE")</f>
        <v>PP-PE</v>
      </c>
      <c r="B332">
        <v>5317984</v>
      </c>
      <c r="C332">
        <v>6973990</v>
      </c>
      <c r="E332">
        <v>1.34768</v>
      </c>
      <c r="F332" t="s">
        <v>3592</v>
      </c>
      <c r="G332">
        <v>95</v>
      </c>
      <c r="H332" t="s">
        <v>3593</v>
      </c>
      <c r="I332">
        <v>5</v>
      </c>
      <c r="J332">
        <v>0.50345253019720215</v>
      </c>
      <c r="K332">
        <v>0</v>
      </c>
      <c r="M332">
        <v>0</v>
      </c>
      <c r="O332">
        <v>200000</v>
      </c>
      <c r="R332" t="s">
        <v>136</v>
      </c>
      <c r="S332">
        <v>0.0020747178947368421</v>
      </c>
      <c r="T332">
        <v>0.0041992290189473685</v>
      </c>
      <c r="U332" t="s">
        <v>137</v>
      </c>
      <c r="V332">
        <v>0.02904605052631579</v>
      </c>
      <c r="W332">
        <v>0.86105771954526311</v>
      </c>
      <c r="X332" t="s">
        <v>90</v>
      </c>
      <c r="Y332">
        <v>0</v>
      </c>
      <c r="Z332">
        <v>0</v>
      </c>
      <c r="AA332" t="s">
        <v>90</v>
      </c>
      <c r="AB332">
        <v>0</v>
      </c>
      <c r="AC332">
        <v>0.86105771954526311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Q332" t="s">
        <v>140</v>
      </c>
      <c r="AR332" t="s">
        <v>141</v>
      </c>
      <c r="AS332">
        <v>0.82988715789473688</v>
      </c>
    </row>
    <row r="333" spans="1:45" ht="12.75">
      <c r="A333" s="2" t="str">
        <f>HYPERLINK("https://ibp.a2mac1.com/costing(costing:projects/details/8191/material/5317850)","PP-PE")</f>
        <v>PP-PE</v>
      </c>
      <c r="B333">
        <v>5317850</v>
      </c>
      <c r="C333">
        <v>6973918</v>
      </c>
      <c r="E333">
        <v>1.34768</v>
      </c>
      <c r="F333" t="s">
        <v>3598</v>
      </c>
      <c r="G333">
        <v>95</v>
      </c>
      <c r="H333" t="s">
        <v>3599</v>
      </c>
      <c r="I333">
        <v>5</v>
      </c>
      <c r="J333">
        <v>0.50345253019720215</v>
      </c>
      <c r="K333">
        <v>0</v>
      </c>
      <c r="M333">
        <v>0</v>
      </c>
      <c r="O333">
        <v>200000</v>
      </c>
      <c r="R333" t="s">
        <v>136</v>
      </c>
      <c r="S333">
        <v>0.00041494357894736843</v>
      </c>
      <c r="T333">
        <v>0.00083984580378947365</v>
      </c>
      <c r="U333" t="s">
        <v>137</v>
      </c>
      <c r="V333">
        <v>0.005809210105263158</v>
      </c>
      <c r="W333">
        <v>0.17221154390905263</v>
      </c>
      <c r="X333" t="s">
        <v>90</v>
      </c>
      <c r="Y333">
        <v>0</v>
      </c>
      <c r="Z333">
        <v>0</v>
      </c>
      <c r="AA333" t="s">
        <v>90</v>
      </c>
      <c r="AB333">
        <v>0</v>
      </c>
      <c r="AC333">
        <v>0.17221154390905263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Q333" t="s">
        <v>140</v>
      </c>
      <c r="AR333" t="s">
        <v>141</v>
      </c>
      <c r="AS333">
        <v>0.16597743157894737</v>
      </c>
    </row>
    <row r="334" spans="1:45" ht="12.75">
      <c r="A334" s="2" t="str">
        <f>HYPERLINK("https://ibp.a2mac1.com/costing(costing:projects/details/8191/material/5317851)","PP-PE")</f>
        <v>PP-PE</v>
      </c>
      <c r="B334">
        <v>5317851</v>
      </c>
      <c r="C334">
        <v>6973919</v>
      </c>
      <c r="E334">
        <v>1.34768</v>
      </c>
      <c r="F334" t="s">
        <v>3603</v>
      </c>
      <c r="G334">
        <v>95</v>
      </c>
      <c r="H334" t="s">
        <v>3604</v>
      </c>
      <c r="I334">
        <v>5</v>
      </c>
      <c r="J334">
        <v>0.50345253019720215</v>
      </c>
      <c r="K334">
        <v>0</v>
      </c>
      <c r="M334">
        <v>0</v>
      </c>
      <c r="O334">
        <v>200000</v>
      </c>
      <c r="R334" t="s">
        <v>136</v>
      </c>
      <c r="S334">
        <v>0.00041849010526315788</v>
      </c>
      <c r="T334">
        <v>0.00084702397305263155</v>
      </c>
      <c r="U334" t="s">
        <v>137</v>
      </c>
      <c r="V334">
        <v>0.0058588614736842107</v>
      </c>
      <c r="W334">
        <v>0.17368343744673684</v>
      </c>
      <c r="X334" t="s">
        <v>90</v>
      </c>
      <c r="Y334">
        <v>0</v>
      </c>
      <c r="Z334">
        <v>0</v>
      </c>
      <c r="AA334" t="s">
        <v>90</v>
      </c>
      <c r="AB334">
        <v>0</v>
      </c>
      <c r="AC334">
        <v>0.17368343744673684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Q334" t="s">
        <v>140</v>
      </c>
      <c r="AR334" t="s">
        <v>141</v>
      </c>
      <c r="AS334">
        <v>0.16739604210526315</v>
      </c>
    </row>
    <row r="335" spans="1:45" ht="12.75">
      <c r="A335" s="2" t="str">
        <f>HYPERLINK("https://ibp.a2mac1.com/costing(costing:projects/details/8191/material/5317852)","PP")</f>
        <v>PP</v>
      </c>
      <c r="B335">
        <v>5317852</v>
      </c>
      <c r="C335">
        <v>6973920</v>
      </c>
      <c r="E335">
        <v>1.0113799999999999</v>
      </c>
      <c r="F335" t="s">
        <v>2691</v>
      </c>
      <c r="G335">
        <v>95</v>
      </c>
      <c r="H335" t="s">
        <v>3608</v>
      </c>
      <c r="I335">
        <v>5</v>
      </c>
      <c r="J335">
        <v>0.50345253019720215</v>
      </c>
      <c r="K335">
        <v>0</v>
      </c>
      <c r="M335">
        <v>0</v>
      </c>
      <c r="O335">
        <v>200000</v>
      </c>
      <c r="R335" t="s">
        <v>136</v>
      </c>
      <c r="S335">
        <v>0.00087830368421052633</v>
      </c>
      <c r="T335">
        <v>0.0017776866568421053</v>
      </c>
      <c r="U335" t="s">
        <v>137</v>
      </c>
      <c r="V335">
        <v>0.012296251578947369</v>
      </c>
      <c r="W335">
        <v>0.36451710823578948</v>
      </c>
      <c r="X335" t="s">
        <v>90</v>
      </c>
      <c r="Y335">
        <v>0</v>
      </c>
      <c r="Z335">
        <v>0</v>
      </c>
      <c r="AA335" t="s">
        <v>90</v>
      </c>
      <c r="AB335">
        <v>0</v>
      </c>
      <c r="AC335">
        <v>0.36451710823578948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Q335" t="s">
        <v>140</v>
      </c>
      <c r="AR335" t="s">
        <v>141</v>
      </c>
      <c r="AS335">
        <v>0.35132147368421052</v>
      </c>
    </row>
    <row r="336" spans="1:45" ht="12.75">
      <c r="A336" s="2" t="str">
        <f>HYPERLINK("https://ibp.a2mac1.com/costing(costing:projects/details/8191/material/5317985)","PC-ABS")</f>
        <v>PC-ABS</v>
      </c>
      <c r="B336">
        <v>5317985</v>
      </c>
      <c r="C336">
        <v>6973991</v>
      </c>
      <c r="E336">
        <v>2.29312</v>
      </c>
      <c r="F336" t="s">
        <v>3137</v>
      </c>
      <c r="G336">
        <v>95</v>
      </c>
      <c r="H336" t="s">
        <v>3138</v>
      </c>
      <c r="I336">
        <v>5</v>
      </c>
      <c r="J336">
        <v>3.4935340667824746</v>
      </c>
      <c r="K336">
        <v>0</v>
      </c>
      <c r="M336">
        <v>0</v>
      </c>
      <c r="O336">
        <v>200000</v>
      </c>
      <c r="R336" t="s">
        <v>136</v>
      </c>
      <c r="S336">
        <v>6.6379789473684217E-05</v>
      </c>
      <c r="T336">
        <v>0.00096117935157894732</v>
      </c>
      <c r="U336" t="s">
        <v>137</v>
      </c>
      <c r="V336">
        <v>0.00092931705263157892</v>
      </c>
      <c r="W336">
        <v>0.028376032404210525</v>
      </c>
      <c r="X336" t="s">
        <v>138</v>
      </c>
      <c r="Y336">
        <v>0.0017025619442526316</v>
      </c>
      <c r="Z336">
        <v>0</v>
      </c>
      <c r="AA336" t="s">
        <v>139</v>
      </c>
      <c r="AB336">
        <v>0.0034051238885052632</v>
      </c>
      <c r="AC336">
        <v>0.03348371823696842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Q336" t="s">
        <v>140</v>
      </c>
      <c r="AR336" t="s">
        <v>141</v>
      </c>
      <c r="AS336">
        <v>0.026551915789473683</v>
      </c>
    </row>
    <row r="337" spans="1:45" ht="12.75">
      <c r="A337" s="2" t="str">
        <f>HYPERLINK("https://ibp.a2mac1.com/costing(costing:projects/details/8191/material/5317986)","Chrome for plating")</f>
        <v>Chrome for plating</v>
      </c>
      <c r="B337">
        <v>5317986</v>
      </c>
      <c r="C337">
        <v>6973993</v>
      </c>
      <c r="E337">
        <v>20.779219999999999</v>
      </c>
      <c r="F337" t="s">
        <v>3616</v>
      </c>
      <c r="G337">
        <v>90</v>
      </c>
      <c r="H337" t="s">
        <v>3617</v>
      </c>
      <c r="I337">
        <v>0</v>
      </c>
      <c r="J337">
        <v>3.0049079516576462</v>
      </c>
      <c r="K337">
        <v>0</v>
      </c>
      <c r="L337">
        <v>0</v>
      </c>
      <c r="M337">
        <v>0</v>
      </c>
      <c r="O337">
        <v>200000</v>
      </c>
      <c r="R337" t="s">
        <v>136</v>
      </c>
      <c r="S337">
        <v>0</v>
      </c>
      <c r="T337">
        <v>0.0056506087347111111</v>
      </c>
      <c r="U337" t="s">
        <v>137</v>
      </c>
      <c r="V337">
        <v>0.0063838381444444444</v>
      </c>
      <c r="W337">
        <v>0.1944298224347111</v>
      </c>
      <c r="X337" t="s">
        <v>138</v>
      </c>
      <c r="Y337">
        <v>0.011665789346082667</v>
      </c>
      <c r="Z337">
        <v>0</v>
      </c>
      <c r="AA337" t="s">
        <v>139</v>
      </c>
      <c r="AB337">
        <v>0.023331578692165334</v>
      </c>
      <c r="AC337">
        <v>0.22942719047295912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Q337" t="s">
        <v>140</v>
      </c>
      <c r="AR337" t="s">
        <v>141</v>
      </c>
      <c r="AS337">
        <v>0.18239537555555554</v>
      </c>
    </row>
    <row r="338" spans="1:45" ht="12.75">
      <c r="A338" s="2" t="str">
        <f>HYPERLINK("https://ibp.a2mac1.com/costing(costing:projects/details/8191/material/5317987)","PC-ABS")</f>
        <v>PC-ABS</v>
      </c>
      <c r="B338">
        <v>5317987</v>
      </c>
      <c r="C338">
        <v>6973994</v>
      </c>
      <c r="E338">
        <v>2.29312</v>
      </c>
      <c r="F338" t="s">
        <v>3624</v>
      </c>
      <c r="G338">
        <v>95</v>
      </c>
      <c r="H338" t="s">
        <v>3625</v>
      </c>
      <c r="I338">
        <v>5</v>
      </c>
      <c r="J338">
        <v>1.5030632547327778</v>
      </c>
      <c r="K338">
        <v>0</v>
      </c>
      <c r="M338">
        <v>0</v>
      </c>
      <c r="O338">
        <v>200000</v>
      </c>
      <c r="R338" t="s">
        <v>136</v>
      </c>
      <c r="S338">
        <v>0.0012250088421052632</v>
      </c>
      <c r="T338">
        <v>0.0074774539722105267</v>
      </c>
      <c r="U338" t="s">
        <v>137</v>
      </c>
      <c r="V338">
        <v>0.017150123789473684</v>
      </c>
      <c r="W338">
        <v>0.51340610576168422</v>
      </c>
      <c r="X338" t="s">
        <v>138</v>
      </c>
      <c r="Y338">
        <v>0.030804366345701054</v>
      </c>
      <c r="Z338">
        <v>0</v>
      </c>
      <c r="AA338" t="s">
        <v>139</v>
      </c>
      <c r="AB338">
        <v>0.061608732691402109</v>
      </c>
      <c r="AC338">
        <v>0.60581920479878737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Q338" t="s">
        <v>140</v>
      </c>
      <c r="AR338" t="s">
        <v>141</v>
      </c>
      <c r="AS338">
        <v>0.49000353684210524</v>
      </c>
    </row>
    <row r="339" spans="1:45" ht="12.75">
      <c r="A339" s="2" t="str">
        <f>HYPERLINK("https://ibp.a2mac1.com/costing(costing:projects/details/8191/material/5317988)","Paint - Clear Coat")</f>
        <v>Paint - Clear Coat</v>
      </c>
      <c r="B339">
        <v>5317988</v>
      </c>
      <c r="C339">
        <v>6973995</v>
      </c>
      <c r="E339">
        <v>9.07</v>
      </c>
      <c r="F339" t="s">
        <v>3627</v>
      </c>
      <c r="G339">
        <v>100</v>
      </c>
      <c r="H339" t="s">
        <v>3627</v>
      </c>
      <c r="I339">
        <v>0</v>
      </c>
      <c r="J339">
        <v>1.0057812623742775</v>
      </c>
      <c r="K339">
        <v>0</v>
      </c>
      <c r="L339">
        <v>0</v>
      </c>
      <c r="M339">
        <v>0</v>
      </c>
      <c r="O339">
        <v>200000</v>
      </c>
      <c r="R339" t="s">
        <v>136</v>
      </c>
      <c r="S339">
        <v>0</v>
      </c>
      <c r="T339">
        <v>0.00085424162400000005</v>
      </c>
      <c r="U339" t="s">
        <v>137</v>
      </c>
      <c r="V339">
        <v>0.0029427615000000001</v>
      </c>
      <c r="W339">
        <v>0.087875903123999996</v>
      </c>
      <c r="X339" t="s">
        <v>138</v>
      </c>
      <c r="Y339">
        <v>0.0052725541874399998</v>
      </c>
      <c r="Z339">
        <v>0</v>
      </c>
      <c r="AA339" t="s">
        <v>139</v>
      </c>
      <c r="AB339">
        <v>0.01054510837488</v>
      </c>
      <c r="AC339">
        <v>0.10369356568632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Q339" t="s">
        <v>9</v>
      </c>
      <c r="AR339" t="s">
        <v>141</v>
      </c>
      <c r="AS339">
        <v>0.084078899999999998</v>
      </c>
    </row>
    <row r="340" spans="1:45" ht="12.75">
      <c r="A340" s="2" t="str">
        <f>HYPERLINK("https://ibp.a2mac1.com/costing(costing:projects/details/8191/material/5317989)","Paint - Primer")</f>
        <v>Paint - Primer</v>
      </c>
      <c r="B340">
        <v>5317989</v>
      </c>
      <c r="C340">
        <v>6973995</v>
      </c>
      <c r="E340">
        <v>6.96</v>
      </c>
      <c r="F340" t="s">
        <v>3629</v>
      </c>
      <c r="G340">
        <v>100</v>
      </c>
      <c r="H340" t="s">
        <v>3630</v>
      </c>
      <c r="I340">
        <v>0</v>
      </c>
      <c r="J340">
        <v>1.0057812623742775</v>
      </c>
      <c r="K340">
        <v>0</v>
      </c>
      <c r="L340">
        <v>0</v>
      </c>
      <c r="M340">
        <v>0</v>
      </c>
      <c r="O340">
        <v>200000</v>
      </c>
      <c r="R340" t="s">
        <v>136</v>
      </c>
      <c r="S340">
        <v>0</v>
      </c>
      <c r="T340">
        <v>0.00077077823999999997</v>
      </c>
      <c r="U340" t="s">
        <v>137</v>
      </c>
      <c r="V340">
        <v>0.0026552400000000001</v>
      </c>
      <c r="W340">
        <v>0.079290018239999996</v>
      </c>
      <c r="X340" t="s">
        <v>138</v>
      </c>
      <c r="Y340">
        <v>0.0047574010943999996</v>
      </c>
      <c r="Z340">
        <v>0</v>
      </c>
      <c r="AA340" t="s">
        <v>139</v>
      </c>
      <c r="AB340">
        <v>0.0095148021887999992</v>
      </c>
      <c r="AC340">
        <v>0.093562221523199998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Q340" t="s">
        <v>9</v>
      </c>
      <c r="AR340" t="s">
        <v>141</v>
      </c>
      <c r="AS340">
        <v>0.075864000000000001</v>
      </c>
    </row>
    <row r="341" spans="1:45" ht="12.75">
      <c r="A341" s="2" t="str">
        <f>HYPERLINK("https://ibp.a2mac1.com/costing(costing:projects/details/8191/material/5317990)","Paint - Base")</f>
        <v>Paint - Base</v>
      </c>
      <c r="B341">
        <v>5317990</v>
      </c>
      <c r="C341">
        <v>6973995</v>
      </c>
      <c r="E341">
        <v>11.27</v>
      </c>
      <c r="F341" t="s">
        <v>3631</v>
      </c>
      <c r="G341">
        <v>100</v>
      </c>
      <c r="H341" t="s">
        <v>3632</v>
      </c>
      <c r="I341">
        <v>0</v>
      </c>
      <c r="J341">
        <v>1.0057812623742775</v>
      </c>
      <c r="K341">
        <v>0</v>
      </c>
      <c r="L341">
        <v>0</v>
      </c>
      <c r="M341">
        <v>0</v>
      </c>
      <c r="O341">
        <v>200000</v>
      </c>
      <c r="R341" t="s">
        <v>136</v>
      </c>
      <c r="S341">
        <v>0</v>
      </c>
      <c r="T341">
        <v>0.00159159448</v>
      </c>
      <c r="U341" t="s">
        <v>137</v>
      </c>
      <c r="V341">
        <v>0.005482855</v>
      </c>
      <c r="W341">
        <v>0.16372744948000001</v>
      </c>
      <c r="X341" t="s">
        <v>138</v>
      </c>
      <c r="Y341">
        <v>0.0098236469688000004</v>
      </c>
      <c r="Z341">
        <v>0</v>
      </c>
      <c r="AA341" t="s">
        <v>139</v>
      </c>
      <c r="AB341">
        <v>0.019647293937600001</v>
      </c>
      <c r="AC341">
        <v>0.19319839038639999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Q341" t="s">
        <v>9</v>
      </c>
      <c r="AR341" t="s">
        <v>141</v>
      </c>
      <c r="AS341">
        <v>0.15665299999999999</v>
      </c>
    </row>
    <row r="342" spans="1:45" ht="12.75">
      <c r="A342" s="2" t="str">
        <f>HYPERLINK("https://ibp.a2mac1.com/costing(costing:projects/details/8191/material/5317991)","PC-ABS")</f>
        <v>PC-ABS</v>
      </c>
      <c r="B342">
        <v>5317991</v>
      </c>
      <c r="C342">
        <v>6973999</v>
      </c>
      <c r="E342">
        <v>2.29312</v>
      </c>
      <c r="F342" t="s">
        <v>3660</v>
      </c>
      <c r="G342">
        <v>95</v>
      </c>
      <c r="H342" t="s">
        <v>3661</v>
      </c>
      <c r="I342">
        <v>5</v>
      </c>
      <c r="J342">
        <v>0.50345253019720215</v>
      </c>
      <c r="K342">
        <v>0</v>
      </c>
      <c r="M342">
        <v>0</v>
      </c>
      <c r="O342">
        <v>200000</v>
      </c>
      <c r="R342" t="s">
        <v>136</v>
      </c>
      <c r="S342">
        <v>0.00082069557894736843</v>
      </c>
      <c r="T342">
        <v>0.0016610878517894737</v>
      </c>
      <c r="U342" t="s">
        <v>137</v>
      </c>
      <c r="V342">
        <v>0.011489738105263159</v>
      </c>
      <c r="W342">
        <v>0.34060836195705263</v>
      </c>
      <c r="X342" t="s">
        <v>90</v>
      </c>
      <c r="Y342">
        <v>0</v>
      </c>
      <c r="Z342">
        <v>0</v>
      </c>
      <c r="AA342" t="s">
        <v>90</v>
      </c>
      <c r="AB342">
        <v>0</v>
      </c>
      <c r="AC342">
        <v>0.34060836195705263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Q342" t="s">
        <v>140</v>
      </c>
      <c r="AR342" t="s">
        <v>141</v>
      </c>
      <c r="AS342">
        <v>0.32827823157894737</v>
      </c>
    </row>
    <row r="343" spans="1:45" ht="12.75">
      <c r="A343" s="2" t="str">
        <f>HYPERLINK("https://ibp.a2mac1.com/costing(costing:projects/details/8191/material/5317992)","PC-ABS")</f>
        <v>PC-ABS</v>
      </c>
      <c r="B343">
        <v>5317992</v>
      </c>
      <c r="C343">
        <v>6974000</v>
      </c>
      <c r="E343">
        <v>2.29312</v>
      </c>
      <c r="F343" t="s">
        <v>3665</v>
      </c>
      <c r="G343">
        <v>95</v>
      </c>
      <c r="H343" t="s">
        <v>3666</v>
      </c>
      <c r="I343">
        <v>5</v>
      </c>
      <c r="J343">
        <v>0.50345253019720215</v>
      </c>
      <c r="K343">
        <v>0</v>
      </c>
      <c r="M343">
        <v>0</v>
      </c>
      <c r="O343">
        <v>200000</v>
      </c>
      <c r="R343" t="s">
        <v>136</v>
      </c>
      <c r="S343">
        <v>0.00012672505263157895</v>
      </c>
      <c r="T343">
        <v>0.00025649150652631581</v>
      </c>
      <c r="U343" t="s">
        <v>137</v>
      </c>
      <c r="V343">
        <v>0.0017741507368421053</v>
      </c>
      <c r="W343">
        <v>0.052593938243368422</v>
      </c>
      <c r="X343" t="s">
        <v>90</v>
      </c>
      <c r="Y343">
        <v>0</v>
      </c>
      <c r="Z343">
        <v>0</v>
      </c>
      <c r="AA343" t="s">
        <v>90</v>
      </c>
      <c r="AB343">
        <v>0</v>
      </c>
      <c r="AC343">
        <v>0.052593938243368422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Q343" t="s">
        <v>140</v>
      </c>
      <c r="AR343" t="s">
        <v>141</v>
      </c>
      <c r="AS343">
        <v>0.050690021052631581</v>
      </c>
    </row>
    <row r="344" spans="1:45" ht="12.75">
      <c r="A344" s="2" t="str">
        <f>HYPERLINK("https://ibp.a2mac1.com/costing(costing:projects/details/8191/material/5318082)","PC-ABS")</f>
        <v>PC-ABS</v>
      </c>
      <c r="B344">
        <v>5318082</v>
      </c>
      <c r="C344">
        <v>6974104</v>
      </c>
      <c r="E344">
        <v>2.29312</v>
      </c>
      <c r="F344" t="s">
        <v>670</v>
      </c>
      <c r="G344">
        <v>95</v>
      </c>
      <c r="H344" t="s">
        <v>3722</v>
      </c>
      <c r="I344">
        <v>5</v>
      </c>
      <c r="J344">
        <v>0.50345253019720215</v>
      </c>
      <c r="K344">
        <v>0</v>
      </c>
      <c r="M344">
        <v>0</v>
      </c>
      <c r="O344">
        <v>200000</v>
      </c>
      <c r="R344" t="s">
        <v>136</v>
      </c>
      <c r="S344">
        <v>8.4483368421052628E-05</v>
      </c>
      <c r="T344">
        <v>0.00017099433768421053</v>
      </c>
      <c r="U344" t="s">
        <v>137</v>
      </c>
      <c r="V344">
        <v>0.0011827671578947369</v>
      </c>
      <c r="W344">
        <v>0.035062625495578946</v>
      </c>
      <c r="X344" t="s">
        <v>90</v>
      </c>
      <c r="Y344">
        <v>0</v>
      </c>
      <c r="Z344">
        <v>0</v>
      </c>
      <c r="AA344" t="s">
        <v>90</v>
      </c>
      <c r="AB344">
        <v>0</v>
      </c>
      <c r="AC344">
        <v>0.035062625495578946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Q344" t="s">
        <v>140</v>
      </c>
      <c r="AR344" t="s">
        <v>141</v>
      </c>
      <c r="AS344">
        <v>0.033793347368421052</v>
      </c>
    </row>
    <row r="345" spans="1:45" ht="12.75">
      <c r="A345" s="2" t="str">
        <f>HYPERLINK("https://ibp.a2mac1.com/costing(costing:projects/details/8191/material/5318083)","PA66")</f>
        <v>PA66</v>
      </c>
      <c r="B345">
        <v>5318083</v>
      </c>
      <c r="C345">
        <v>6974105</v>
      </c>
      <c r="E345">
        <v>2.03416</v>
      </c>
      <c r="F345" t="s">
        <v>3726</v>
      </c>
      <c r="G345">
        <v>95</v>
      </c>
      <c r="H345" t="s">
        <v>3727</v>
      </c>
      <c r="I345">
        <v>5</v>
      </c>
      <c r="J345">
        <v>0.50345253019720215</v>
      </c>
      <c r="K345">
        <v>0</v>
      </c>
      <c r="M345">
        <v>0</v>
      </c>
      <c r="O345">
        <v>200000</v>
      </c>
      <c r="R345" t="s">
        <v>136</v>
      </c>
      <c r="S345">
        <v>4.8177473684210525E-05</v>
      </c>
      <c r="T345">
        <v>9.7511206736842105E-05</v>
      </c>
      <c r="U345" t="s">
        <v>137</v>
      </c>
      <c r="V345">
        <v>0.00067448463157894739</v>
      </c>
      <c r="W345">
        <v>0.019994807838315788</v>
      </c>
      <c r="X345" t="s">
        <v>90</v>
      </c>
      <c r="Y345">
        <v>0</v>
      </c>
      <c r="Z345">
        <v>0</v>
      </c>
      <c r="AA345" t="s">
        <v>90</v>
      </c>
      <c r="AB345">
        <v>0</v>
      </c>
      <c r="AC345">
        <v>0.019994807838315788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Q345" t="s">
        <v>140</v>
      </c>
      <c r="AR345" t="s">
        <v>141</v>
      </c>
      <c r="AS345">
        <v>0.019270989473684212</v>
      </c>
    </row>
    <row r="346" spans="1:45" ht="12.75">
      <c r="A346" s="2" t="str">
        <f>HYPERLINK("https://ibp.a2mac1.com/costing(costing:projects/details/8191/material/5318084)","POM")</f>
        <v>POM</v>
      </c>
      <c r="B346">
        <v>5318084</v>
      </c>
      <c r="C346">
        <v>6974106</v>
      </c>
      <c r="E346">
        <v>2.12338</v>
      </c>
      <c r="F346" t="s">
        <v>3035</v>
      </c>
      <c r="G346">
        <v>95</v>
      </c>
      <c r="H346" t="s">
        <v>3036</v>
      </c>
      <c r="I346">
        <v>5</v>
      </c>
      <c r="J346">
        <v>0.50345253019720215</v>
      </c>
      <c r="K346">
        <v>0</v>
      </c>
      <c r="M346">
        <v>0</v>
      </c>
      <c r="O346">
        <v>200000</v>
      </c>
      <c r="R346" t="s">
        <v>136</v>
      </c>
      <c r="S346">
        <v>2.2351368421052631E-05</v>
      </c>
      <c r="T346">
        <v>4.5239169684210529E-05</v>
      </c>
      <c r="U346" t="s">
        <v>137</v>
      </c>
      <c r="V346">
        <v>0.00031291915789473683</v>
      </c>
      <c r="W346">
        <v>0.0092763543275789472</v>
      </c>
      <c r="X346" t="s">
        <v>90</v>
      </c>
      <c r="Y346">
        <v>0</v>
      </c>
      <c r="Z346">
        <v>0</v>
      </c>
      <c r="AA346" t="s">
        <v>90</v>
      </c>
      <c r="AB346">
        <v>0</v>
      </c>
      <c r="AC346">
        <v>0.0092763543275789472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Q346" t="s">
        <v>140</v>
      </c>
      <c r="AR346" t="s">
        <v>141</v>
      </c>
      <c r="AS346">
        <v>0.0089405473684210524</v>
      </c>
    </row>
    <row r="347" spans="1:45" ht="12.75">
      <c r="A347" s="2" t="str">
        <f>HYPERLINK("https://ibp.a2mac1.com/costing(costing:projects/details/8191/material/5318085)","POM")</f>
        <v>POM</v>
      </c>
      <c r="B347">
        <v>5318085</v>
      </c>
      <c r="C347">
        <v>6974107</v>
      </c>
      <c r="E347">
        <v>2.12338</v>
      </c>
      <c r="F347" t="s">
        <v>1280</v>
      </c>
      <c r="G347">
        <v>95</v>
      </c>
      <c r="H347" t="s">
        <v>1281</v>
      </c>
      <c r="I347">
        <v>5</v>
      </c>
      <c r="J347">
        <v>0.50345253019720215</v>
      </c>
      <c r="K347">
        <v>0</v>
      </c>
      <c r="M347">
        <v>0</v>
      </c>
      <c r="O347">
        <v>200000</v>
      </c>
      <c r="R347" t="s">
        <v>136</v>
      </c>
      <c r="S347">
        <v>1.6763526315789472E-05</v>
      </c>
      <c r="T347">
        <v>3.3929377263157895E-05</v>
      </c>
      <c r="U347" t="s">
        <v>137</v>
      </c>
      <c r="V347">
        <v>0.00023468936842105262</v>
      </c>
      <c r="W347">
        <v>0.0069572657456842104</v>
      </c>
      <c r="X347" t="s">
        <v>90</v>
      </c>
      <c r="Y347">
        <v>0</v>
      </c>
      <c r="Z347">
        <v>0</v>
      </c>
      <c r="AA347" t="s">
        <v>90</v>
      </c>
      <c r="AB347">
        <v>0</v>
      </c>
      <c r="AC347">
        <v>0.0069572657456842104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Q347" t="s">
        <v>140</v>
      </c>
      <c r="AR347" t="s">
        <v>141</v>
      </c>
      <c r="AS347">
        <v>0.0067054105263157898</v>
      </c>
    </row>
    <row r="348" spans="1:45" ht="12.75">
      <c r="A348" s="2" t="str">
        <f>HYPERLINK("https://ibp.a2mac1.com/costing(costing:projects/details/8191/material/5318086)","PA66")</f>
        <v>PA66</v>
      </c>
      <c r="B348">
        <v>5318086</v>
      </c>
      <c r="C348">
        <v>6974108</v>
      </c>
      <c r="E348">
        <v>2.03416</v>
      </c>
      <c r="F348" t="s">
        <v>3137</v>
      </c>
      <c r="G348">
        <v>95</v>
      </c>
      <c r="H348" t="s">
        <v>3138</v>
      </c>
      <c r="I348">
        <v>5</v>
      </c>
      <c r="J348">
        <v>0.50345253019720215</v>
      </c>
      <c r="K348">
        <v>0</v>
      </c>
      <c r="M348">
        <v>0</v>
      </c>
      <c r="O348">
        <v>200000</v>
      </c>
      <c r="R348" t="s">
        <v>136</v>
      </c>
      <c r="S348">
        <v>5.8883578947368424E-05</v>
      </c>
      <c r="T348">
        <v>0.00011918036378947368</v>
      </c>
      <c r="U348" t="s">
        <v>137</v>
      </c>
      <c r="V348">
        <v>0.00082437010526315794</v>
      </c>
      <c r="W348">
        <v>0.024438098469052632</v>
      </c>
      <c r="X348" t="s">
        <v>90</v>
      </c>
      <c r="Y348">
        <v>0</v>
      </c>
      <c r="Z348">
        <v>0</v>
      </c>
      <c r="AA348" t="s">
        <v>90</v>
      </c>
      <c r="AB348">
        <v>0</v>
      </c>
      <c r="AC348">
        <v>0.024438098469052632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Q348" t="s">
        <v>140</v>
      </c>
      <c r="AR348" t="s">
        <v>141</v>
      </c>
      <c r="AS348">
        <v>0.023553431578947369</v>
      </c>
    </row>
    <row r="349" spans="1:45" ht="12.75">
      <c r="A349" s="2" t="str">
        <f>HYPERLINK("https://ibp.a2mac1.com/costing(costing:projects/details/8191/material/5318087)","PBT")</f>
        <v>PBT</v>
      </c>
      <c r="B349">
        <v>5318087</v>
      </c>
      <c r="C349">
        <v>6974108</v>
      </c>
      <c r="E349">
        <v>2.2103899999999999</v>
      </c>
      <c r="F349" t="s">
        <v>3137</v>
      </c>
      <c r="G349">
        <v>95</v>
      </c>
      <c r="H349" t="s">
        <v>3138</v>
      </c>
      <c r="I349">
        <v>5</v>
      </c>
      <c r="J349">
        <v>0.50345253019720215</v>
      </c>
      <c r="K349">
        <v>0</v>
      </c>
      <c r="M349">
        <v>0</v>
      </c>
      <c r="O349">
        <v>200000</v>
      </c>
      <c r="R349" t="s">
        <v>136</v>
      </c>
      <c r="S349">
        <v>6.3984973684210532E-05</v>
      </c>
      <c r="T349">
        <v>0.00012950558673684211</v>
      </c>
      <c r="U349" t="s">
        <v>137</v>
      </c>
      <c r="V349">
        <v>0.00089578963157894737</v>
      </c>
      <c r="W349">
        <v>0.02655529971831579</v>
      </c>
      <c r="X349" t="s">
        <v>90</v>
      </c>
      <c r="Y349">
        <v>0</v>
      </c>
      <c r="Z349">
        <v>0</v>
      </c>
      <c r="AA349" t="s">
        <v>90</v>
      </c>
      <c r="AB349">
        <v>0</v>
      </c>
      <c r="AC349">
        <v>0.02655529971831579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Q349" t="s">
        <v>140</v>
      </c>
      <c r="AR349" t="s">
        <v>141</v>
      </c>
      <c r="AS349">
        <v>0.025593989473684211</v>
      </c>
    </row>
    <row r="350" spans="1:45" ht="12.75">
      <c r="A350" s="2" t="str">
        <f>HYPERLINK("https://ibp.a2mac1.com/costing(costing:projects/details/8191/material/5318088)","PA66")</f>
        <v>PA66</v>
      </c>
      <c r="B350">
        <v>5318088</v>
      </c>
      <c r="C350">
        <v>6974109</v>
      </c>
      <c r="E350">
        <v>2.03416</v>
      </c>
      <c r="F350" t="s">
        <v>3414</v>
      </c>
      <c r="G350">
        <v>95</v>
      </c>
      <c r="H350" t="s">
        <v>3415</v>
      </c>
      <c r="I350">
        <v>5</v>
      </c>
      <c r="J350">
        <v>0.50048257265952256</v>
      </c>
      <c r="K350">
        <v>0</v>
      </c>
      <c r="M350">
        <v>0</v>
      </c>
      <c r="O350">
        <v>400000</v>
      </c>
      <c r="R350" t="s">
        <v>136</v>
      </c>
      <c r="S350">
        <v>8.5648842105263157E-05</v>
      </c>
      <c r="T350">
        <v>0.00017232547031578946</v>
      </c>
      <c r="U350" t="s">
        <v>137</v>
      </c>
      <c r="V350">
        <v>0.0011990837894736842</v>
      </c>
      <c r="W350">
        <v>0.035545297259789471</v>
      </c>
      <c r="X350" t="s">
        <v>90</v>
      </c>
      <c r="Y350">
        <v>0</v>
      </c>
      <c r="Z350">
        <v>0</v>
      </c>
      <c r="AA350" t="s">
        <v>90</v>
      </c>
      <c r="AB350">
        <v>0</v>
      </c>
      <c r="AC350">
        <v>0.035545297259789471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Q350" t="s">
        <v>140</v>
      </c>
      <c r="AR350" t="s">
        <v>141</v>
      </c>
      <c r="AS350">
        <v>0.034259536842105261</v>
      </c>
    </row>
    <row r="351" spans="1:45" ht="12.75">
      <c r="A351" s="2" t="str">
        <f>HYPERLINK("https://ibp.a2mac1.com/costing(costing:projects/details/8191/material/5318089)","POM")</f>
        <v>POM</v>
      </c>
      <c r="B351">
        <v>5318089</v>
      </c>
      <c r="C351">
        <v>6974110</v>
      </c>
      <c r="E351">
        <v>2.12338</v>
      </c>
      <c r="F351" t="s">
        <v>3744</v>
      </c>
      <c r="G351">
        <v>95</v>
      </c>
      <c r="H351" t="s">
        <v>3745</v>
      </c>
      <c r="I351">
        <v>5</v>
      </c>
      <c r="J351">
        <v>0.50345253019720215</v>
      </c>
      <c r="K351">
        <v>0</v>
      </c>
      <c r="M351">
        <v>0</v>
      </c>
      <c r="O351">
        <v>200000</v>
      </c>
      <c r="R351" t="s">
        <v>136</v>
      </c>
      <c r="S351">
        <v>3.3527052631578945E-05</v>
      </c>
      <c r="T351">
        <v>6.7858754526315789E-05</v>
      </c>
      <c r="U351" t="s">
        <v>137</v>
      </c>
      <c r="V351">
        <v>0.00046937873684210524</v>
      </c>
      <c r="W351">
        <v>0.013914531491368421</v>
      </c>
      <c r="X351" t="s">
        <v>90</v>
      </c>
      <c r="Y351">
        <v>0</v>
      </c>
      <c r="Z351">
        <v>0</v>
      </c>
      <c r="AA351" t="s">
        <v>90</v>
      </c>
      <c r="AB351">
        <v>0</v>
      </c>
      <c r="AC351">
        <v>0.013914531491368421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Q351" t="s">
        <v>140</v>
      </c>
      <c r="AR351" t="s">
        <v>141</v>
      </c>
      <c r="AS351">
        <v>0.01341082105263158</v>
      </c>
    </row>
    <row r="352" spans="1:45" ht="12.75">
      <c r="A352" s="2" t="str">
        <f>HYPERLINK("https://ibp.a2mac1.com/costing(costing:projects/details/8191/material/5318090)","EPDM")</f>
        <v>EPDM</v>
      </c>
      <c r="B352">
        <v>5318090</v>
      </c>
      <c r="C352">
        <v>6974111</v>
      </c>
      <c r="E352">
        <v>2.78701</v>
      </c>
      <c r="F352" t="s">
        <v>3749</v>
      </c>
      <c r="G352">
        <v>95</v>
      </c>
      <c r="H352" t="s">
        <v>3750</v>
      </c>
      <c r="I352">
        <v>5</v>
      </c>
      <c r="J352">
        <v>0.50048257265952256</v>
      </c>
      <c r="K352">
        <v>0</v>
      </c>
      <c r="M352">
        <v>0</v>
      </c>
      <c r="O352">
        <v>400000</v>
      </c>
      <c r="R352" t="s">
        <v>136</v>
      </c>
      <c r="S352">
        <v>3.6671184210526315E-06</v>
      </c>
      <c r="T352">
        <v>7.378242263157895E-06</v>
      </c>
      <c r="U352" t="s">
        <v>137</v>
      </c>
      <c r="V352">
        <v>5.1339657894736841E-05</v>
      </c>
      <c r="W352">
        <v>0.0015218981501578948</v>
      </c>
      <c r="X352" t="s">
        <v>138</v>
      </c>
      <c r="Y352">
        <v>9.1313889009473687E-05</v>
      </c>
      <c r="Z352">
        <v>0</v>
      </c>
      <c r="AA352" t="s">
        <v>139</v>
      </c>
      <c r="AB352">
        <v>0.00018262777801894737</v>
      </c>
      <c r="AC352">
        <v>0.0017958398171863158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Q352" t="s">
        <v>140</v>
      </c>
      <c r="AR352" t="s">
        <v>141</v>
      </c>
      <c r="AS352">
        <v>0.0014668473684210526</v>
      </c>
    </row>
    <row r="353" spans="1:45" ht="12.75">
      <c r="A353" s="2" t="str">
        <f>HYPERLINK("https://ibp.a2mac1.com/costing(costing:projects/details/8191/material/5318091)","EPDM")</f>
        <v>EPDM</v>
      </c>
      <c r="B353">
        <v>5318091</v>
      </c>
      <c r="C353">
        <v>6974112</v>
      </c>
      <c r="E353">
        <v>2.78701</v>
      </c>
      <c r="F353" t="s">
        <v>3000</v>
      </c>
      <c r="G353">
        <v>95</v>
      </c>
      <c r="H353" t="s">
        <v>3098</v>
      </c>
      <c r="I353">
        <v>5</v>
      </c>
      <c r="J353">
        <v>0.50345253019720215</v>
      </c>
      <c r="K353">
        <v>0</v>
      </c>
      <c r="M353">
        <v>0</v>
      </c>
      <c r="O353">
        <v>200000</v>
      </c>
      <c r="R353" t="s">
        <v>136</v>
      </c>
      <c r="S353">
        <v>7.3342368421052629E-06</v>
      </c>
      <c r="T353">
        <v>1.4844495368421053E-05</v>
      </c>
      <c r="U353" t="s">
        <v>137</v>
      </c>
      <c r="V353">
        <v>0.00010267931578947368</v>
      </c>
      <c r="W353">
        <v>0.0030438843111578948</v>
      </c>
      <c r="X353" t="s">
        <v>90</v>
      </c>
      <c r="Y353">
        <v>0</v>
      </c>
      <c r="Z353">
        <v>0</v>
      </c>
      <c r="AA353" t="s">
        <v>90</v>
      </c>
      <c r="AB353">
        <v>0</v>
      </c>
      <c r="AC353">
        <v>0.0030438843111578948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Q353" t="s">
        <v>140</v>
      </c>
      <c r="AR353" t="s">
        <v>141</v>
      </c>
      <c r="AS353">
        <v>0.0029336947368421053</v>
      </c>
    </row>
    <row r="354" spans="1:45" ht="12.75">
      <c r="A354" s="2" t="str">
        <f>HYPERLINK("https://ibp.a2mac1.com/costing(costing:projects/details/8191/material/5318092)","PLASTIC UNKNOWN")</f>
        <v>PLASTIC UNKNOWN</v>
      </c>
      <c r="B354">
        <v>5318092</v>
      </c>
      <c r="C354">
        <v>6974113</v>
      </c>
      <c r="E354">
        <v>1.57609</v>
      </c>
      <c r="F354" t="s">
        <v>3749</v>
      </c>
      <c r="G354">
        <v>95</v>
      </c>
      <c r="H354" t="s">
        <v>3750</v>
      </c>
      <c r="I354">
        <v>0</v>
      </c>
      <c r="J354">
        <v>0.50048257265952256</v>
      </c>
      <c r="K354">
        <v>0</v>
      </c>
      <c r="M354">
        <v>0</v>
      </c>
      <c r="O354">
        <v>400000</v>
      </c>
      <c r="R354" t="s">
        <v>136</v>
      </c>
      <c r="S354">
        <v>0</v>
      </c>
      <c r="T354">
        <v>4.1724908947368421E-06</v>
      </c>
      <c r="U354" t="s">
        <v>137</v>
      </c>
      <c r="V354">
        <v>2.9033236842105262E-05</v>
      </c>
      <c r="W354">
        <v>0.000862726780368421</v>
      </c>
      <c r="X354" t="s">
        <v>90</v>
      </c>
      <c r="Y354">
        <v>0</v>
      </c>
      <c r="Z354">
        <v>0</v>
      </c>
      <c r="AA354" t="s">
        <v>90</v>
      </c>
      <c r="AB354">
        <v>0</v>
      </c>
      <c r="AC354">
        <v>0.000862726780368421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Q354" t="s">
        <v>9</v>
      </c>
      <c r="AR354" t="s">
        <v>141</v>
      </c>
      <c r="AS354">
        <v>0.00082952105263157895</v>
      </c>
    </row>
    <row r="355" spans="1:45" ht="12.75">
      <c r="A355" s="2" t="str">
        <f>HYPERLINK("https://ibp.a2mac1.com/costing(costing:projects/details/8191/material/5317993)","PP-PE")</f>
        <v>PP-PE</v>
      </c>
      <c r="B355">
        <v>5317993</v>
      </c>
      <c r="C355">
        <v>6974004</v>
      </c>
      <c r="E355">
        <v>1.34768</v>
      </c>
      <c r="F355" t="s">
        <v>3277</v>
      </c>
      <c r="G355">
        <v>95</v>
      </c>
      <c r="H355" t="s">
        <v>3762</v>
      </c>
      <c r="I355">
        <v>5</v>
      </c>
      <c r="J355">
        <v>0.50345253019720215</v>
      </c>
      <c r="K355">
        <v>0</v>
      </c>
      <c r="M355">
        <v>0</v>
      </c>
      <c r="O355">
        <v>200000</v>
      </c>
      <c r="R355" t="s">
        <v>136</v>
      </c>
      <c r="S355">
        <v>0.0028726863157894737</v>
      </c>
      <c r="T355">
        <v>0.0058143171031578948</v>
      </c>
      <c r="U355" t="s">
        <v>137</v>
      </c>
      <c r="V355">
        <v>0.040217608421052632</v>
      </c>
      <c r="W355">
        <v>1.1922337655242106</v>
      </c>
      <c r="X355" t="s">
        <v>90</v>
      </c>
      <c r="Y355">
        <v>0</v>
      </c>
      <c r="Z355">
        <v>0</v>
      </c>
      <c r="AA355" t="s">
        <v>90</v>
      </c>
      <c r="AB355">
        <v>0</v>
      </c>
      <c r="AC355">
        <v>1.1922337655242106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Q355" t="s">
        <v>140</v>
      </c>
      <c r="AR355" t="s">
        <v>141</v>
      </c>
      <c r="AS355">
        <v>1.1490745263157895</v>
      </c>
    </row>
    <row r="356" spans="1:45" ht="12.75">
      <c r="A356" s="2" t="str">
        <f>HYPERLINK("https://ibp.a2mac1.com/costing(costing:projects/details/8191/material/5317994)","PP-PE")</f>
        <v>PP-PE</v>
      </c>
      <c r="B356">
        <v>5317994</v>
      </c>
      <c r="C356">
        <v>6974005</v>
      </c>
      <c r="E356">
        <v>1.34768</v>
      </c>
      <c r="F356" t="s">
        <v>3766</v>
      </c>
      <c r="G356">
        <v>95</v>
      </c>
      <c r="H356" t="s">
        <v>3767</v>
      </c>
      <c r="I356">
        <v>5</v>
      </c>
      <c r="J356">
        <v>0.50345253019720215</v>
      </c>
      <c r="K356">
        <v>0</v>
      </c>
      <c r="M356">
        <v>0</v>
      </c>
      <c r="O356">
        <v>200000</v>
      </c>
      <c r="R356" t="s">
        <v>136</v>
      </c>
      <c r="S356">
        <v>0.0014859945263157894</v>
      </c>
      <c r="T356">
        <v>0.0030076529212631578</v>
      </c>
      <c r="U356" t="s">
        <v>137</v>
      </c>
      <c r="V356">
        <v>0.020803923368421053</v>
      </c>
      <c r="W356">
        <v>0.6167233922896842</v>
      </c>
      <c r="X356" t="s">
        <v>90</v>
      </c>
      <c r="Y356">
        <v>0</v>
      </c>
      <c r="Z356">
        <v>0</v>
      </c>
      <c r="AA356" t="s">
        <v>90</v>
      </c>
      <c r="AB356">
        <v>0</v>
      </c>
      <c r="AC356">
        <v>0.6167233922896842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Q356" t="s">
        <v>140</v>
      </c>
      <c r="AR356" t="s">
        <v>141</v>
      </c>
      <c r="AS356">
        <v>0.5943978105263158</v>
      </c>
    </row>
    <row r="357" spans="1:45" ht="12.75">
      <c r="A357" s="2" t="str">
        <f>HYPERLINK("https://ibp.a2mac1.com/costing(costing:projects/details/8191/material/5317995)","PP-PE")</f>
        <v>PP-PE</v>
      </c>
      <c r="B357">
        <v>5317995</v>
      </c>
      <c r="C357">
        <v>6974006</v>
      </c>
      <c r="E357">
        <v>1.34768</v>
      </c>
      <c r="F357" t="s">
        <v>3771</v>
      </c>
      <c r="G357">
        <v>95</v>
      </c>
      <c r="H357" t="s">
        <v>3772</v>
      </c>
      <c r="I357">
        <v>5</v>
      </c>
      <c r="J357">
        <v>0.50345253019720215</v>
      </c>
      <c r="K357">
        <v>0</v>
      </c>
      <c r="M357">
        <v>0</v>
      </c>
      <c r="O357">
        <v>200000</v>
      </c>
      <c r="R357" t="s">
        <v>136</v>
      </c>
      <c r="S357">
        <v>0.0027379183157894738</v>
      </c>
      <c r="T357">
        <v>0.0055415466711578945</v>
      </c>
      <c r="U357" t="s">
        <v>137</v>
      </c>
      <c r="V357">
        <v>0.038330856421052634</v>
      </c>
      <c r="W357">
        <v>1.1363018110922105</v>
      </c>
      <c r="X357" t="s">
        <v>90</v>
      </c>
      <c r="Y357">
        <v>0</v>
      </c>
      <c r="Z357">
        <v>0</v>
      </c>
      <c r="AA357" t="s">
        <v>90</v>
      </c>
      <c r="AB357">
        <v>0</v>
      </c>
      <c r="AC357">
        <v>1.1363018110922105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Q357" t="s">
        <v>140</v>
      </c>
      <c r="AR357" t="s">
        <v>141</v>
      </c>
      <c r="AS357">
        <v>1.0951673263157895</v>
      </c>
    </row>
    <row r="358" spans="1:45" ht="12.75">
      <c r="A358" s="2" t="str">
        <f>HYPERLINK("https://ibp.a2mac1.com/costing(costing:projects/details/8191/material/5317996)","PP-PE")</f>
        <v>PP-PE</v>
      </c>
      <c r="B358">
        <v>5317996</v>
      </c>
      <c r="C358">
        <v>6974007</v>
      </c>
      <c r="E358">
        <v>1.34768</v>
      </c>
      <c r="F358" t="s">
        <v>3776</v>
      </c>
      <c r="G358">
        <v>95</v>
      </c>
      <c r="H358" t="s">
        <v>3777</v>
      </c>
      <c r="I358">
        <v>5</v>
      </c>
      <c r="J358">
        <v>0.50345253019720215</v>
      </c>
      <c r="K358">
        <v>0</v>
      </c>
      <c r="M358">
        <v>0</v>
      </c>
      <c r="O358">
        <v>200000</v>
      </c>
      <c r="R358" t="s">
        <v>136</v>
      </c>
      <c r="S358">
        <v>0.0015923903157894737</v>
      </c>
      <c r="T358">
        <v>0.0032229979991578949</v>
      </c>
      <c r="U358" t="s">
        <v>137</v>
      </c>
      <c r="V358">
        <v>0.022293464421052633</v>
      </c>
      <c r="W358">
        <v>0.66088019842021051</v>
      </c>
      <c r="X358" t="s">
        <v>90</v>
      </c>
      <c r="Y358">
        <v>0</v>
      </c>
      <c r="Z358">
        <v>0</v>
      </c>
      <c r="AA358" t="s">
        <v>90</v>
      </c>
      <c r="AB358">
        <v>0</v>
      </c>
      <c r="AC358">
        <v>0.66088019842021051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Q358" t="s">
        <v>140</v>
      </c>
      <c r="AR358" t="s">
        <v>141</v>
      </c>
      <c r="AS358">
        <v>0.63695612631578946</v>
      </c>
    </row>
    <row r="359" spans="1:45" ht="12.75">
      <c r="A359" s="2" t="str">
        <f>HYPERLINK("https://ibp.a2mac1.com/costing(costing:projects/details/8191/material/5317997)","PET")</f>
        <v>PET</v>
      </c>
      <c r="B359">
        <v>5317997</v>
      </c>
      <c r="C359">
        <v>6974008</v>
      </c>
      <c r="E359">
        <v>1.3260000000000001</v>
      </c>
      <c r="F359" t="s">
        <v>3781</v>
      </c>
      <c r="G359">
        <v>95</v>
      </c>
      <c r="H359" t="s">
        <v>3782</v>
      </c>
      <c r="I359">
        <v>5</v>
      </c>
      <c r="J359">
        <v>0.50345253019720215</v>
      </c>
      <c r="K359">
        <v>0</v>
      </c>
      <c r="M359">
        <v>0</v>
      </c>
      <c r="O359">
        <v>200000</v>
      </c>
      <c r="R359" t="s">
        <v>136</v>
      </c>
      <c r="S359">
        <v>6.6299999999999999E-05</v>
      </c>
      <c r="T359">
        <v>0.00013419119999999999</v>
      </c>
      <c r="U359" t="s">
        <v>137</v>
      </c>
      <c r="V359">
        <v>0.00092820000000000001</v>
      </c>
      <c r="W359">
        <v>0.027516091199999999</v>
      </c>
      <c r="X359" t="s">
        <v>138</v>
      </c>
      <c r="Y359">
        <v>0.001650965472</v>
      </c>
      <c r="Z359">
        <v>0</v>
      </c>
      <c r="AA359" t="s">
        <v>139</v>
      </c>
      <c r="AB359">
        <v>0.0033019309439999999</v>
      </c>
      <c r="AC359">
        <v>0.032468987615999999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Q359" t="s">
        <v>140</v>
      </c>
      <c r="AR359" t="s">
        <v>141</v>
      </c>
      <c r="AS359">
        <v>0.026519999999999998</v>
      </c>
    </row>
    <row r="360" spans="1:45" ht="12.75">
      <c r="A360" s="2" t="str">
        <f>HYPERLINK("https://ibp.a2mac1.com/costing(costing:projects/details/8191/material/5317998)","PP-PE")</f>
        <v>PP-PE</v>
      </c>
      <c r="B360">
        <v>5317998</v>
      </c>
      <c r="C360">
        <v>6974009</v>
      </c>
      <c r="E360">
        <v>1.34768</v>
      </c>
      <c r="F360" t="s">
        <v>3786</v>
      </c>
      <c r="G360">
        <v>95</v>
      </c>
      <c r="H360" t="s">
        <v>3787</v>
      </c>
      <c r="I360">
        <v>5</v>
      </c>
      <c r="J360">
        <v>0.50345253019720215</v>
      </c>
      <c r="K360">
        <v>0</v>
      </c>
      <c r="M360">
        <v>0</v>
      </c>
      <c r="O360">
        <v>200000</v>
      </c>
      <c r="R360" t="s">
        <v>136</v>
      </c>
      <c r="S360">
        <v>0.0013583195789473683</v>
      </c>
      <c r="T360">
        <v>0.0027492388277894739</v>
      </c>
      <c r="U360" t="s">
        <v>137</v>
      </c>
      <c r="V360">
        <v>0.019016474105263158</v>
      </c>
      <c r="W360">
        <v>0.56373522493305261</v>
      </c>
      <c r="X360" t="s">
        <v>90</v>
      </c>
      <c r="Y360">
        <v>0</v>
      </c>
      <c r="Z360">
        <v>0</v>
      </c>
      <c r="AA360" t="s">
        <v>90</v>
      </c>
      <c r="AB360">
        <v>0</v>
      </c>
      <c r="AC360">
        <v>0.56373522493305261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Q360" t="s">
        <v>140</v>
      </c>
      <c r="AR360" t="s">
        <v>141</v>
      </c>
      <c r="AS360">
        <v>0.54332783157894737</v>
      </c>
    </row>
    <row r="361" spans="1:45" ht="12.75">
      <c r="A361" s="2" t="str">
        <f>HYPERLINK("https://ibp.a2mac1.com/costing(costing:projects/details/8191/material/5317999)","Material")</f>
        <v>Material</v>
      </c>
      <c r="B361">
        <v>5317999</v>
      </c>
      <c r="C361">
        <v>6974010</v>
      </c>
      <c r="E361">
        <v>5.76</v>
      </c>
      <c r="F361" t="s">
        <v>296</v>
      </c>
      <c r="G361">
        <v>100</v>
      </c>
      <c r="H361" t="s">
        <v>297</v>
      </c>
      <c r="I361">
        <v>0</v>
      </c>
      <c r="J361">
        <v>0.50345253019720215</v>
      </c>
      <c r="K361">
        <v>0</v>
      </c>
      <c r="L361">
        <v>0</v>
      </c>
      <c r="M361">
        <v>0</v>
      </c>
      <c r="O361">
        <v>200000</v>
      </c>
      <c r="R361" t="s">
        <v>136</v>
      </c>
      <c r="S361">
        <v>0</v>
      </c>
      <c r="T361">
        <v>0.029145600000000001</v>
      </c>
      <c r="U361" t="s">
        <v>137</v>
      </c>
      <c r="V361">
        <v>0.2016</v>
      </c>
      <c r="W361">
        <v>5.9907456000000003</v>
      </c>
      <c r="X361" t="s">
        <v>90</v>
      </c>
      <c r="Y361">
        <v>0</v>
      </c>
      <c r="Z361">
        <v>0</v>
      </c>
      <c r="AA361" t="s">
        <v>90</v>
      </c>
      <c r="AB361">
        <v>0</v>
      </c>
      <c r="AC361">
        <v>5.9907456000000003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Q361" t="s">
        <v>9</v>
      </c>
      <c r="AR361" t="s">
        <v>141</v>
      </c>
      <c r="AS361">
        <v>5.76</v>
      </c>
    </row>
    <row r="362" spans="1:45" ht="12.75">
      <c r="A362" s="2" t="str">
        <f>HYPERLINK("https://ibp.a2mac1.com/costing(costing:projects/details/8191/material/5318000)","PC-ABS")</f>
        <v>PC-ABS</v>
      </c>
      <c r="B362">
        <v>5318000</v>
      </c>
      <c r="C362">
        <v>6974011</v>
      </c>
      <c r="E362">
        <v>2.29312</v>
      </c>
      <c r="F362" t="s">
        <v>1375</v>
      </c>
      <c r="G362">
        <v>95</v>
      </c>
      <c r="H362" t="s">
        <v>1376</v>
      </c>
      <c r="I362">
        <v>5</v>
      </c>
      <c r="J362">
        <v>0.50345253019720215</v>
      </c>
      <c r="K362">
        <v>0</v>
      </c>
      <c r="M362">
        <v>0</v>
      </c>
      <c r="O362">
        <v>200000</v>
      </c>
      <c r="R362" t="s">
        <v>136</v>
      </c>
      <c r="S362">
        <v>0.0001629322105263158</v>
      </c>
      <c r="T362">
        <v>0.00032977479410526317</v>
      </c>
      <c r="U362" t="s">
        <v>137</v>
      </c>
      <c r="V362">
        <v>0.0022810509473684209</v>
      </c>
      <c r="W362">
        <v>0.067620777741473681</v>
      </c>
      <c r="X362" t="s">
        <v>138</v>
      </c>
      <c r="Y362">
        <v>0.0040572466644884213</v>
      </c>
      <c r="Z362">
        <v>0</v>
      </c>
      <c r="AA362" t="s">
        <v>139</v>
      </c>
      <c r="AB362">
        <v>0.0081144933289768427</v>
      </c>
      <c r="AC362">
        <v>0.07979251773493895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Q362" t="s">
        <v>140</v>
      </c>
      <c r="AR362" t="s">
        <v>141</v>
      </c>
      <c r="AS362">
        <v>0.065172884210526319</v>
      </c>
    </row>
    <row r="363" spans="1:45" ht="12.75">
      <c r="A363" s="2" t="str">
        <f>HYPERLINK("https://ibp.a2mac1.com/costing(costing:projects/details/8191/material/5318001)","Material")</f>
        <v>Material</v>
      </c>
      <c r="B363">
        <v>5318001</v>
      </c>
      <c r="C363">
        <v>6974012</v>
      </c>
      <c r="E363">
        <v>9.67</v>
      </c>
      <c r="F363" t="s">
        <v>296</v>
      </c>
      <c r="G363">
        <v>100</v>
      </c>
      <c r="H363" t="s">
        <v>297</v>
      </c>
      <c r="I363">
        <v>0</v>
      </c>
      <c r="J363">
        <v>0.50345253019720215</v>
      </c>
      <c r="K363">
        <v>0</v>
      </c>
      <c r="L363">
        <v>0</v>
      </c>
      <c r="M363">
        <v>0</v>
      </c>
      <c r="O363">
        <v>200000</v>
      </c>
      <c r="R363" t="s">
        <v>136</v>
      </c>
      <c r="S363">
        <v>0</v>
      </c>
      <c r="T363">
        <v>0.0489302</v>
      </c>
      <c r="U363" t="s">
        <v>137</v>
      </c>
      <c r="V363">
        <v>0.33844999999999997</v>
      </c>
      <c r="W363">
        <v>10.057380200000001</v>
      </c>
      <c r="X363" t="s">
        <v>90</v>
      </c>
      <c r="Y363">
        <v>0</v>
      </c>
      <c r="Z363">
        <v>0</v>
      </c>
      <c r="AA363" t="s">
        <v>90</v>
      </c>
      <c r="AB363">
        <v>0</v>
      </c>
      <c r="AC363">
        <v>10.057380200000001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Q363" t="s">
        <v>9</v>
      </c>
      <c r="AR363" t="s">
        <v>141</v>
      </c>
      <c r="AS363">
        <v>9.67</v>
      </c>
    </row>
    <row r="364" spans="1:45" ht="12.75">
      <c r="A364" s="2" t="str">
        <f>HYPERLINK("https://ibp.a2mac1.com/costing(costing:projects/details/8191/material/5318002)","PC-ABS")</f>
        <v>PC-ABS</v>
      </c>
      <c r="B364">
        <v>5318002</v>
      </c>
      <c r="C364">
        <v>6974013</v>
      </c>
      <c r="E364">
        <v>2.29312</v>
      </c>
      <c r="F364" t="s">
        <v>3395</v>
      </c>
      <c r="G364">
        <v>95</v>
      </c>
      <c r="H364" t="s">
        <v>3396</v>
      </c>
      <c r="I364">
        <v>5</v>
      </c>
      <c r="J364">
        <v>0.50345253019720215</v>
      </c>
      <c r="K364">
        <v>0</v>
      </c>
      <c r="M364">
        <v>0</v>
      </c>
      <c r="O364">
        <v>200000</v>
      </c>
      <c r="R364" t="s">
        <v>136</v>
      </c>
      <c r="S364">
        <v>0.00015689768421052632</v>
      </c>
      <c r="T364">
        <v>0.00031756091284210528</v>
      </c>
      <c r="U364" t="s">
        <v>137</v>
      </c>
      <c r="V364">
        <v>0.0021965675789473683</v>
      </c>
      <c r="W364">
        <v>0.06511630449178947</v>
      </c>
      <c r="X364" t="s">
        <v>138</v>
      </c>
      <c r="Y364">
        <v>0.003906978269507368</v>
      </c>
      <c r="Z364">
        <v>0</v>
      </c>
      <c r="AA364" t="s">
        <v>139</v>
      </c>
      <c r="AB364">
        <v>0.007813956539014736</v>
      </c>
      <c r="AC364">
        <v>0.076837239300311583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Q364" t="s">
        <v>140</v>
      </c>
      <c r="AR364" t="s">
        <v>141</v>
      </c>
      <c r="AS364">
        <v>0.06275907368421052</v>
      </c>
    </row>
    <row r="365" spans="1:45" ht="12.75">
      <c r="A365" s="2" t="str">
        <f>HYPERLINK("https://ibp.a2mac1.com/costing(costing:projects/details/8191/material/5318003)","Material")</f>
        <v>Material</v>
      </c>
      <c r="B365">
        <v>5318003</v>
      </c>
      <c r="C365">
        <v>6974014</v>
      </c>
      <c r="E365">
        <v>3.69</v>
      </c>
      <c r="F365" t="s">
        <v>296</v>
      </c>
      <c r="G365">
        <v>100</v>
      </c>
      <c r="H365" t="s">
        <v>297</v>
      </c>
      <c r="I365">
        <v>0</v>
      </c>
      <c r="J365">
        <v>0.50345253019720215</v>
      </c>
      <c r="K365">
        <v>0</v>
      </c>
      <c r="L365">
        <v>0</v>
      </c>
      <c r="M365">
        <v>0</v>
      </c>
      <c r="O365">
        <v>200000</v>
      </c>
      <c r="R365" t="s">
        <v>136</v>
      </c>
      <c r="S365">
        <v>0</v>
      </c>
      <c r="T365">
        <v>0.018671400000000001</v>
      </c>
      <c r="U365" t="s">
        <v>137</v>
      </c>
      <c r="V365">
        <v>0.12914999999999999</v>
      </c>
      <c r="W365">
        <v>3.8378214000000002</v>
      </c>
      <c r="X365" t="s">
        <v>90</v>
      </c>
      <c r="Y365">
        <v>0</v>
      </c>
      <c r="Z365">
        <v>0</v>
      </c>
      <c r="AA365" t="s">
        <v>90</v>
      </c>
      <c r="AB365">
        <v>0</v>
      </c>
      <c r="AC365">
        <v>3.8378214000000002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Q365" t="s">
        <v>9</v>
      </c>
      <c r="AR365" t="s">
        <v>141</v>
      </c>
      <c r="AS365">
        <v>3.69</v>
      </c>
    </row>
    <row r="366" spans="1:45" ht="12.75">
      <c r="A366" s="2" t="str">
        <f>HYPERLINK("https://ibp.a2mac1.com/costing(costing:projects/details/8191/material/5318004)","PC-ABS")</f>
        <v>PC-ABS</v>
      </c>
      <c r="B366">
        <v>5318004</v>
      </c>
      <c r="C366">
        <v>6974015</v>
      </c>
      <c r="E366">
        <v>2.29312</v>
      </c>
      <c r="F366" t="s">
        <v>3395</v>
      </c>
      <c r="G366">
        <v>95</v>
      </c>
      <c r="H366" t="s">
        <v>3396</v>
      </c>
      <c r="I366">
        <v>5</v>
      </c>
      <c r="J366">
        <v>1.5030632547327778</v>
      </c>
      <c r="K366">
        <v>0</v>
      </c>
      <c r="M366">
        <v>0</v>
      </c>
      <c r="O366">
        <v>200000</v>
      </c>
      <c r="R366" t="s">
        <v>136</v>
      </c>
      <c r="S366">
        <v>0.00015689768421052632</v>
      </c>
      <c r="T366">
        <v>0.00095770346442105268</v>
      </c>
      <c r="U366" t="s">
        <v>137</v>
      </c>
      <c r="V366">
        <v>0.0021965675789473683</v>
      </c>
      <c r="W366">
        <v>0.065756447043368416</v>
      </c>
      <c r="X366" t="s">
        <v>138</v>
      </c>
      <c r="Y366">
        <v>0.0039453868226021049</v>
      </c>
      <c r="Z366">
        <v>0</v>
      </c>
      <c r="AA366" t="s">
        <v>139</v>
      </c>
      <c r="AB366">
        <v>0.0078907736452042097</v>
      </c>
      <c r="AC366">
        <v>0.077592607511174735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Q366" t="s">
        <v>140</v>
      </c>
      <c r="AR366" t="s">
        <v>141</v>
      </c>
      <c r="AS366">
        <v>0.06275907368421052</v>
      </c>
    </row>
    <row r="367" spans="1:45" ht="12.75">
      <c r="A367" s="2" t="str">
        <f>HYPERLINK("https://ibp.a2mac1.com/costing(costing:projects/details/8191/material/5318007)","Paint - Base")</f>
        <v>Paint - Base</v>
      </c>
      <c r="B367">
        <v>5318007</v>
      </c>
      <c r="C367">
        <v>6974016</v>
      </c>
      <c r="E367">
        <v>11.27</v>
      </c>
      <c r="F367" t="s">
        <v>3816</v>
      </c>
      <c r="G367">
        <v>100</v>
      </c>
      <c r="H367" t="s">
        <v>3816</v>
      </c>
      <c r="I367">
        <v>0</v>
      </c>
      <c r="J367">
        <v>1.0057812623742775</v>
      </c>
      <c r="K367">
        <v>0</v>
      </c>
      <c r="L367">
        <v>0</v>
      </c>
      <c r="M367">
        <v>0</v>
      </c>
      <c r="O367">
        <v>200000</v>
      </c>
      <c r="R367" t="s">
        <v>136</v>
      </c>
      <c r="S367">
        <v>0</v>
      </c>
      <c r="T367">
        <v>0.00016717467199999999</v>
      </c>
      <c r="U367" t="s">
        <v>137</v>
      </c>
      <c r="V367">
        <v>0.00057589700000000002</v>
      </c>
      <c r="W367">
        <v>0.017197271672000001</v>
      </c>
      <c r="X367" t="s">
        <v>138</v>
      </c>
      <c r="Y367">
        <v>0.0010318363003199999</v>
      </c>
      <c r="Z367">
        <v>0</v>
      </c>
      <c r="AA367" t="s">
        <v>139</v>
      </c>
      <c r="AB367">
        <v>0.0020636726006399999</v>
      </c>
      <c r="AC367">
        <v>0.020292780572959999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Q367" t="s">
        <v>9</v>
      </c>
      <c r="AR367" t="s">
        <v>141</v>
      </c>
      <c r="AS367">
        <v>0.016454199999999999</v>
      </c>
    </row>
    <row r="368" spans="1:45" ht="12.75">
      <c r="A368" s="2" t="str">
        <f>HYPERLINK("https://ibp.a2mac1.com/costing(costing:projects/details/8191/material/5318008)","Paint - Primer")</f>
        <v>Paint - Primer</v>
      </c>
      <c r="B368">
        <v>5318008</v>
      </c>
      <c r="C368">
        <v>6974016</v>
      </c>
      <c r="E368">
        <v>6.96</v>
      </c>
      <c r="F368" t="s">
        <v>3818</v>
      </c>
      <c r="G368">
        <v>100</v>
      </c>
      <c r="H368" t="s">
        <v>3818</v>
      </c>
      <c r="I368">
        <v>0</v>
      </c>
      <c r="J368">
        <v>1.0057812623742775</v>
      </c>
      <c r="K368">
        <v>0</v>
      </c>
      <c r="L368">
        <v>0</v>
      </c>
      <c r="M368">
        <v>0</v>
      </c>
      <c r="O368">
        <v>200000</v>
      </c>
      <c r="R368" t="s">
        <v>136</v>
      </c>
      <c r="S368">
        <v>0</v>
      </c>
      <c r="T368">
        <v>8.2027775999999995E-05</v>
      </c>
      <c r="U368" t="s">
        <v>137</v>
      </c>
      <c r="V368">
        <v>0.00028257599999999999</v>
      </c>
      <c r="W368">
        <v>0.0084382037760000004</v>
      </c>
      <c r="X368" t="s">
        <v>138</v>
      </c>
      <c r="Y368">
        <v>0.00050629222656000002</v>
      </c>
      <c r="Z368">
        <v>0</v>
      </c>
      <c r="AA368" t="s">
        <v>139</v>
      </c>
      <c r="AB368">
        <v>0.00101258445312</v>
      </c>
      <c r="AC368">
        <v>0.0099570804556800008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Q368" t="s">
        <v>9</v>
      </c>
      <c r="AR368" t="s">
        <v>141</v>
      </c>
      <c r="AS368">
        <v>0.0080736000000000002</v>
      </c>
    </row>
    <row r="369" spans="1:45" ht="12.75">
      <c r="A369" s="2" t="str">
        <f>HYPERLINK("https://ibp.a2mac1.com/costing(costing:projects/details/8191/material/5318009)","Paint - Clear Coat")</f>
        <v>Paint - Clear Coat</v>
      </c>
      <c r="B369">
        <v>5318009</v>
      </c>
      <c r="C369">
        <v>6974016</v>
      </c>
      <c r="E369">
        <v>9.07</v>
      </c>
      <c r="F369" t="s">
        <v>3819</v>
      </c>
      <c r="G369">
        <v>100</v>
      </c>
      <c r="H369" t="s">
        <v>3819</v>
      </c>
      <c r="I369">
        <v>0</v>
      </c>
      <c r="J369">
        <v>1.0057812623742775</v>
      </c>
      <c r="K369">
        <v>0</v>
      </c>
      <c r="L369">
        <v>0</v>
      </c>
      <c r="M369">
        <v>0</v>
      </c>
      <c r="O369">
        <v>200000</v>
      </c>
      <c r="R369" t="s">
        <v>136</v>
      </c>
      <c r="S369">
        <v>0</v>
      </c>
      <c r="T369">
        <v>8.9386664000000004E-05</v>
      </c>
      <c r="U369" t="s">
        <v>137</v>
      </c>
      <c r="V369">
        <v>0.00030792649999999999</v>
      </c>
      <c r="W369">
        <v>0.009195213164</v>
      </c>
      <c r="X369" t="s">
        <v>138</v>
      </c>
      <c r="Y369">
        <v>0.00055171278984000004</v>
      </c>
      <c r="Z369">
        <v>0</v>
      </c>
      <c r="AA369" t="s">
        <v>139</v>
      </c>
      <c r="AB369">
        <v>0.0011034255796800001</v>
      </c>
      <c r="AC369">
        <v>0.01085035153352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Q369" t="s">
        <v>9</v>
      </c>
      <c r="AR369" t="s">
        <v>141</v>
      </c>
      <c r="AS369">
        <v>0.0087979000000000009</v>
      </c>
    </row>
    <row r="370" spans="1:45" ht="12.75">
      <c r="A370" s="2" t="str">
        <f>HYPERLINK("https://ibp.a2mac1.com/costing(costing:projects/details/8191/material/5317866)","PP-PE")</f>
        <v>PP-PE</v>
      </c>
      <c r="B370">
        <v>5317866</v>
      </c>
      <c r="C370">
        <v>6973921</v>
      </c>
      <c r="E370">
        <v>1.34768</v>
      </c>
      <c r="F370" t="s">
        <v>2737</v>
      </c>
      <c r="G370">
        <v>95</v>
      </c>
      <c r="H370" t="s">
        <v>2738</v>
      </c>
      <c r="I370">
        <v>5</v>
      </c>
      <c r="J370">
        <v>0.50345253019720215</v>
      </c>
      <c r="K370">
        <v>0</v>
      </c>
      <c r="M370">
        <v>0</v>
      </c>
      <c r="O370">
        <v>200000</v>
      </c>
      <c r="R370" t="s">
        <v>136</v>
      </c>
      <c r="S370">
        <v>0.00026953600000000002</v>
      </c>
      <c r="T370">
        <v>0.00054554086399999997</v>
      </c>
      <c r="U370" t="s">
        <v>137</v>
      </c>
      <c r="V370">
        <v>0.003773504</v>
      </c>
      <c r="W370">
        <v>0.11186390886399999</v>
      </c>
      <c r="X370" t="s">
        <v>90</v>
      </c>
      <c r="Y370">
        <v>0</v>
      </c>
      <c r="Z370">
        <v>0</v>
      </c>
      <c r="AA370" t="s">
        <v>90</v>
      </c>
      <c r="AB370">
        <v>0</v>
      </c>
      <c r="AC370">
        <v>0.11186390886399999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Q370" t="s">
        <v>140</v>
      </c>
      <c r="AR370" t="s">
        <v>141</v>
      </c>
      <c r="AS370">
        <v>0.1078144</v>
      </c>
    </row>
    <row r="371" spans="1:45" ht="12.75">
      <c r="A371" s="2" t="str">
        <f>HYPERLINK("https://ibp.a2mac1.com/costing(costing:projects/details/8191/material/5317867)","PP-PE")</f>
        <v>PP-PE</v>
      </c>
      <c r="B371">
        <v>5317867</v>
      </c>
      <c r="C371">
        <v>6973922</v>
      </c>
      <c r="E371">
        <v>1.34768</v>
      </c>
      <c r="F371" t="s">
        <v>3836</v>
      </c>
      <c r="G371">
        <v>95</v>
      </c>
      <c r="H371" t="s">
        <v>3837</v>
      </c>
      <c r="I371">
        <v>5</v>
      </c>
      <c r="J371">
        <v>0.50345253019720215</v>
      </c>
      <c r="K371">
        <v>0</v>
      </c>
      <c r="M371">
        <v>0</v>
      </c>
      <c r="O371">
        <v>200000</v>
      </c>
      <c r="R371" t="s">
        <v>136</v>
      </c>
      <c r="S371">
        <v>0.00022697768421052632</v>
      </c>
      <c r="T371">
        <v>0.00045940283284210526</v>
      </c>
      <c r="U371" t="s">
        <v>137</v>
      </c>
      <c r="V371">
        <v>0.0031776875789473686</v>
      </c>
      <c r="W371">
        <v>0.09420118641178947</v>
      </c>
      <c r="X371" t="s">
        <v>90</v>
      </c>
      <c r="Y371">
        <v>0</v>
      </c>
      <c r="Z371">
        <v>0</v>
      </c>
      <c r="AA371" t="s">
        <v>90</v>
      </c>
      <c r="AB371">
        <v>0</v>
      </c>
      <c r="AC371">
        <v>0.09420118641178947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Q371" t="s">
        <v>140</v>
      </c>
      <c r="AR371" t="s">
        <v>141</v>
      </c>
      <c r="AS371">
        <v>0.090791073684210521</v>
      </c>
    </row>
    <row r="372" spans="1:45" ht="12.75">
      <c r="A372" s="2" t="str">
        <f>HYPERLINK("https://ibp.a2mac1.com/costing(costing:projects/details/8191/material/5317769)","PVC skin")</f>
        <v>PVC skin</v>
      </c>
      <c r="B372">
        <v>5317769</v>
      </c>
      <c r="C372">
        <v>6973875</v>
      </c>
      <c r="D372" t="s">
        <v>526</v>
      </c>
      <c r="E372">
        <v>4.91</v>
      </c>
      <c r="F372" t="s">
        <v>3845</v>
      </c>
      <c r="G372">
        <v>85</v>
      </c>
      <c r="H372" t="s">
        <v>3846</v>
      </c>
      <c r="I372">
        <v>0</v>
      </c>
      <c r="J372">
        <v>0.50345253019720215</v>
      </c>
      <c r="K372">
        <v>0</v>
      </c>
      <c r="L372">
        <v>0</v>
      </c>
      <c r="M372">
        <v>0</v>
      </c>
      <c r="O372">
        <v>200000</v>
      </c>
      <c r="R372" t="s">
        <v>136</v>
      </c>
      <c r="S372">
        <v>0</v>
      </c>
      <c r="T372">
        <v>0.018998811764705883</v>
      </c>
      <c r="U372" t="s">
        <v>137</v>
      </c>
      <c r="V372">
        <v>0.13141470588235293</v>
      </c>
      <c r="W372">
        <v>3.9051193999999998</v>
      </c>
      <c r="X372" t="s">
        <v>90</v>
      </c>
      <c r="Y372">
        <v>0</v>
      </c>
      <c r="Z372">
        <v>0</v>
      </c>
      <c r="AA372" t="s">
        <v>90</v>
      </c>
      <c r="AB372">
        <v>0</v>
      </c>
      <c r="AC372">
        <v>3.9051193999999998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Q372" t="s">
        <v>9</v>
      </c>
      <c r="AR372" t="s">
        <v>141</v>
      </c>
      <c r="AS372">
        <v>3.7547058823529413</v>
      </c>
    </row>
    <row r="373" spans="1:45" ht="12.75">
      <c r="A373" s="2" t="str">
        <f>HYPERLINK("https://ibp.a2mac1.com/costing(costing:projects/details/8191/material/5317770)","PP-GF20")</f>
        <v>PP-GF20</v>
      </c>
      <c r="B373">
        <v>5317770</v>
      </c>
      <c r="C373">
        <v>6973875</v>
      </c>
      <c r="E373">
        <v>1.3471</v>
      </c>
      <c r="F373" t="s">
        <v>3848</v>
      </c>
      <c r="G373">
        <v>95</v>
      </c>
      <c r="H373" t="s">
        <v>3849</v>
      </c>
      <c r="I373">
        <v>30</v>
      </c>
      <c r="J373">
        <v>0.50345253019720215</v>
      </c>
      <c r="K373">
        <v>0</v>
      </c>
      <c r="L373">
        <v>0</v>
      </c>
      <c r="M373">
        <v>0</v>
      </c>
      <c r="O373">
        <v>200000</v>
      </c>
      <c r="R373" t="s">
        <v>136</v>
      </c>
      <c r="S373">
        <v>0.15716403000000001</v>
      </c>
      <c r="T373">
        <v>0.05301666612</v>
      </c>
      <c r="U373" t="s">
        <v>137</v>
      </c>
      <c r="V373">
        <v>0.36671607000000001</v>
      </c>
      <c r="W373">
        <v>10.740170706120001</v>
      </c>
      <c r="X373" t="s">
        <v>90</v>
      </c>
      <c r="Y373">
        <v>0</v>
      </c>
      <c r="Z373">
        <v>0</v>
      </c>
      <c r="AA373" t="s">
        <v>90</v>
      </c>
      <c r="AB373">
        <v>0</v>
      </c>
      <c r="AC373">
        <v>10.740170706120001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Q373" t="s">
        <v>140</v>
      </c>
      <c r="AR373" t="s">
        <v>141</v>
      </c>
      <c r="AS373">
        <v>10.477601999999999</v>
      </c>
    </row>
    <row r="374" spans="1:45" ht="12.75">
      <c r="A374" s="2" t="str">
        <f>HYPERLINK("https://ibp.a2mac1.com/costing(costing:projects/details/8191/material/5317771)","EPDM")</f>
        <v>EPDM</v>
      </c>
      <c r="B374">
        <v>5317771</v>
      </c>
      <c r="C374">
        <v>6973876</v>
      </c>
      <c r="E374">
        <v>2.78701</v>
      </c>
      <c r="F374" t="s">
        <v>3853</v>
      </c>
      <c r="G374">
        <v>95</v>
      </c>
      <c r="H374" t="s">
        <v>3854</v>
      </c>
      <c r="I374">
        <v>5</v>
      </c>
      <c r="J374">
        <v>0.50147257820584257</v>
      </c>
      <c r="K374">
        <v>0</v>
      </c>
      <c r="M374">
        <v>0</v>
      </c>
      <c r="O374">
        <v>600000</v>
      </c>
      <c r="R374" t="s">
        <v>136</v>
      </c>
      <c r="S374">
        <v>4.6425719210526316E-05</v>
      </c>
      <c r="T374">
        <v>9.3594249928421057E-05</v>
      </c>
      <c r="U374" t="s">
        <v>137</v>
      </c>
      <c r="V374">
        <v>0.00064996006894736842</v>
      </c>
      <c r="W374">
        <v>0.01926741628387579</v>
      </c>
      <c r="X374" t="s">
        <v>90</v>
      </c>
      <c r="Y374">
        <v>0</v>
      </c>
      <c r="Z374">
        <v>0</v>
      </c>
      <c r="AA374" t="s">
        <v>90</v>
      </c>
      <c r="AB374">
        <v>0</v>
      </c>
      <c r="AC374">
        <v>0.01926741628387579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Q374" t="s">
        <v>140</v>
      </c>
      <c r="AR374" t="s">
        <v>141</v>
      </c>
      <c r="AS374">
        <v>0.018570287684210526</v>
      </c>
    </row>
    <row r="375" spans="1:45" ht="12.75">
      <c r="A375" s="2" t="str">
        <f>HYPERLINK("https://ibp.a2mac1.com/costing(costing:projects/details/8191/material/5317772)","PA6")</f>
        <v>PA6</v>
      </c>
      <c r="B375">
        <v>5317772</v>
      </c>
      <c r="C375">
        <v>6973877</v>
      </c>
      <c r="E375">
        <v>1.72394</v>
      </c>
      <c r="F375" t="s">
        <v>2019</v>
      </c>
      <c r="G375">
        <v>95</v>
      </c>
      <c r="H375" t="s">
        <v>2020</v>
      </c>
      <c r="I375">
        <v>5</v>
      </c>
      <c r="J375">
        <v>0.50345253019720215</v>
      </c>
      <c r="K375">
        <v>0</v>
      </c>
      <c r="M375">
        <v>0</v>
      </c>
      <c r="O375">
        <v>200000</v>
      </c>
      <c r="R375" t="s">
        <v>136</v>
      </c>
      <c r="S375">
        <v>8.1660315789473686E-05</v>
      </c>
      <c r="T375">
        <v>0.00016528047915789475</v>
      </c>
      <c r="U375" t="s">
        <v>137</v>
      </c>
      <c r="V375">
        <v>0.0011432444210526316</v>
      </c>
      <c r="W375">
        <v>0.033890990900210527</v>
      </c>
      <c r="X375" t="s">
        <v>90</v>
      </c>
      <c r="Y375">
        <v>0</v>
      </c>
      <c r="Z375">
        <v>0</v>
      </c>
      <c r="AA375" t="s">
        <v>90</v>
      </c>
      <c r="AB375">
        <v>0</v>
      </c>
      <c r="AC375">
        <v>0.033890990900210527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Q375" t="s">
        <v>140</v>
      </c>
      <c r="AR375" t="s">
        <v>141</v>
      </c>
      <c r="AS375">
        <v>0.032664126315789473</v>
      </c>
    </row>
    <row r="376" spans="1:45" ht="12.75">
      <c r="A376" s="2" t="str">
        <f>HYPERLINK("https://ibp.a2mac1.com/costing(costing:projects/details/8191/material/5317868)","PUR")</f>
        <v>PUR</v>
      </c>
      <c r="B376">
        <v>5317868</v>
      </c>
      <c r="C376">
        <v>6973925</v>
      </c>
      <c r="E376">
        <v>3.37662</v>
      </c>
      <c r="F376" t="s">
        <v>3868</v>
      </c>
      <c r="G376">
        <v>98</v>
      </c>
      <c r="H376" t="s">
        <v>3869</v>
      </c>
      <c r="I376">
        <v>5</v>
      </c>
      <c r="J376">
        <v>4.745575431978815</v>
      </c>
      <c r="K376">
        <v>0</v>
      </c>
      <c r="L376">
        <v>0</v>
      </c>
      <c r="M376">
        <v>0</v>
      </c>
      <c r="O376">
        <v>200000</v>
      </c>
      <c r="R376" t="s">
        <v>136</v>
      </c>
      <c r="S376">
        <v>0.00011714804081632653</v>
      </c>
      <c r="T376">
        <v>0.0058363153934693881</v>
      </c>
      <c r="U376" t="s">
        <v>137</v>
      </c>
      <c r="V376">
        <v>0.0041001814285714288</v>
      </c>
      <c r="W376">
        <v>0.12696738959755102</v>
      </c>
      <c r="X376" t="s">
        <v>138</v>
      </c>
      <c r="Y376">
        <v>0.007618043375853061</v>
      </c>
      <c r="Z376">
        <v>0</v>
      </c>
      <c r="AA376" t="s">
        <v>139</v>
      </c>
      <c r="AB376">
        <v>0.015236086751706122</v>
      </c>
      <c r="AC376">
        <v>0.14982151972511021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P376" t="s">
        <v>511</v>
      </c>
      <c r="AQ376" t="s">
        <v>140</v>
      </c>
      <c r="AR376" t="s">
        <v>141</v>
      </c>
      <c r="AS376">
        <v>0.11714804081632653</v>
      </c>
    </row>
    <row r="377" spans="1:45" ht="12.75">
      <c r="A377" s="2" t="str">
        <f>HYPERLINK("https://ibp.a2mac1.com/costing(costing:projects/details/8191/material/5317869)","EVA 5 kg/m2")</f>
        <v>EVA 5 kg/m2</v>
      </c>
      <c r="B377">
        <v>5317869</v>
      </c>
      <c r="C377">
        <v>6973927</v>
      </c>
      <c r="E377">
        <v>6.9020999999999999</v>
      </c>
      <c r="F377" t="s">
        <v>3873</v>
      </c>
      <c r="G377">
        <v>86.87</v>
      </c>
      <c r="H377" t="s">
        <v>3874</v>
      </c>
      <c r="I377">
        <v>0</v>
      </c>
      <c r="J377">
        <v>2.001136786813273</v>
      </c>
      <c r="K377">
        <v>0</v>
      </c>
      <c r="L377">
        <v>0</v>
      </c>
      <c r="M377">
        <v>0</v>
      </c>
      <c r="O377">
        <v>200000</v>
      </c>
      <c r="R377" t="s">
        <v>136</v>
      </c>
      <c r="S377">
        <v>0</v>
      </c>
      <c r="T377">
        <v>0.0057823564343041324</v>
      </c>
      <c r="U377" t="s">
        <v>137</v>
      </c>
      <c r="V377">
        <v>0.0099109929089443993</v>
      </c>
      <c r="W377">
        <v>0.29886457531308852</v>
      </c>
      <c r="X377" t="s">
        <v>138</v>
      </c>
      <c r="Y377">
        <v>0.01793187451878531</v>
      </c>
      <c r="Z377">
        <v>0</v>
      </c>
      <c r="AA377" t="s">
        <v>139</v>
      </c>
      <c r="AB377">
        <v>0.035863749037570621</v>
      </c>
      <c r="AC377">
        <v>0.35266019886944444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Q377" t="s">
        <v>9</v>
      </c>
      <c r="AR377" t="s">
        <v>141</v>
      </c>
      <c r="AS377">
        <v>0.28317122596984001</v>
      </c>
    </row>
    <row r="378" spans="1:45" ht="12.75">
      <c r="A378" s="2" t="str">
        <f>HYPERLINK("https://ibp.a2mac1.com/costing(costing:projects/details/8191/material/5317870)","EPDM")</f>
        <v>EPDM</v>
      </c>
      <c r="B378">
        <v>5317870</v>
      </c>
      <c r="C378">
        <v>6973928</v>
      </c>
      <c r="E378">
        <v>2.78701</v>
      </c>
      <c r="F378" t="s">
        <v>3103</v>
      </c>
      <c r="G378">
        <v>100</v>
      </c>
      <c r="H378" t="s">
        <v>3880</v>
      </c>
      <c r="I378">
        <v>5</v>
      </c>
      <c r="J378">
        <v>0.50345253019720215</v>
      </c>
      <c r="K378">
        <v>0</v>
      </c>
      <c r="L378">
        <v>0</v>
      </c>
      <c r="M378">
        <v>0</v>
      </c>
      <c r="O378">
        <v>200000</v>
      </c>
      <c r="R378" t="s">
        <v>136</v>
      </c>
      <c r="S378">
        <v>0</v>
      </c>
      <c r="T378">
        <v>0.00031024995320000001</v>
      </c>
      <c r="U378" t="s">
        <v>137</v>
      </c>
      <c r="V378">
        <v>0.0021459977</v>
      </c>
      <c r="W378">
        <v>0.063770467653200005</v>
      </c>
      <c r="X378" t="s">
        <v>138</v>
      </c>
      <c r="Y378">
        <v>0.0038262280591919999</v>
      </c>
      <c r="Z378">
        <v>0</v>
      </c>
      <c r="AA378" t="s">
        <v>139</v>
      </c>
      <c r="AB378">
        <v>0.0076524561183839998</v>
      </c>
      <c r="AC378">
        <v>0.075249151830776004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Q378" t="s">
        <v>140</v>
      </c>
      <c r="AR378" t="s">
        <v>141</v>
      </c>
      <c r="AS378">
        <v>0.061314220000000003</v>
      </c>
    </row>
    <row r="379" spans="1:45" ht="12.75">
      <c r="A379" s="2" t="str">
        <f>HYPERLINK("https://ibp.a2mac1.com/costing(costing:projects/details/8191/material/5317871)","PP-PET")</f>
        <v>PP-PET</v>
      </c>
      <c r="B379">
        <v>5317871</v>
      </c>
      <c r="C379">
        <v>6973929</v>
      </c>
      <c r="E379">
        <v>1.9480500000000001</v>
      </c>
      <c r="F379" t="s">
        <v>3884</v>
      </c>
      <c r="G379">
        <v>90</v>
      </c>
      <c r="H379" t="s">
        <v>2817</v>
      </c>
      <c r="I379">
        <v>5</v>
      </c>
      <c r="J379">
        <v>2.001136786813273</v>
      </c>
      <c r="K379">
        <v>0</v>
      </c>
      <c r="L379">
        <v>0</v>
      </c>
      <c r="M379">
        <v>0</v>
      </c>
      <c r="O379">
        <v>200000</v>
      </c>
      <c r="R379" t="s">
        <v>136</v>
      </c>
      <c r="S379">
        <v>0.0023376600000000001</v>
      </c>
      <c r="T379">
        <v>0.0095470034400000001</v>
      </c>
      <c r="U379" t="s">
        <v>137</v>
      </c>
      <c r="V379">
        <v>0.016363619999999999</v>
      </c>
      <c r="W379">
        <v>0.49110496343999999</v>
      </c>
      <c r="X379" t="s">
        <v>138</v>
      </c>
      <c r="Y379">
        <v>0.029466297806400001</v>
      </c>
      <c r="Z379">
        <v>0</v>
      </c>
      <c r="AA379" t="s">
        <v>139</v>
      </c>
      <c r="AB379">
        <v>0.058932595612800003</v>
      </c>
      <c r="AC379">
        <v>0.57950385685920003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Q379" t="s">
        <v>140</v>
      </c>
      <c r="AR379" t="s">
        <v>141</v>
      </c>
      <c r="AS379">
        <v>0.467532</v>
      </c>
    </row>
    <row r="380" spans="1:45" ht="12.75">
      <c r="A380" s="2" t="str">
        <f>HYPERLINK("https://ibp.a2mac1.com/costing(costing:projects/details/8191/material/5317872)","PP-PET")</f>
        <v>PP-PET</v>
      </c>
      <c r="B380">
        <v>5317872</v>
      </c>
      <c r="C380">
        <v>6973930</v>
      </c>
      <c r="E380">
        <v>1.9480500000000001</v>
      </c>
      <c r="F380" t="s">
        <v>3888</v>
      </c>
      <c r="G380">
        <v>90</v>
      </c>
      <c r="H380" t="s">
        <v>3889</v>
      </c>
      <c r="I380">
        <v>5</v>
      </c>
      <c r="J380">
        <v>1.0057812623742775</v>
      </c>
      <c r="K380">
        <v>0</v>
      </c>
      <c r="L380">
        <v>0</v>
      </c>
      <c r="M380">
        <v>0</v>
      </c>
      <c r="O380">
        <v>200000</v>
      </c>
      <c r="R380" t="s">
        <v>136</v>
      </c>
      <c r="S380">
        <v>0.0076515074999999998</v>
      </c>
      <c r="T380">
        <v>0.015547863239999999</v>
      </c>
      <c r="U380" t="s">
        <v>137</v>
      </c>
      <c r="V380">
        <v>0.053560552499999997</v>
      </c>
      <c r="W380">
        <v>1.59175840824</v>
      </c>
      <c r="X380" t="s">
        <v>138</v>
      </c>
      <c r="Y380">
        <v>0.095505504494399998</v>
      </c>
      <c r="Z380">
        <v>0</v>
      </c>
      <c r="AA380" t="s">
        <v>139</v>
      </c>
      <c r="AB380">
        <v>0.1910110089888</v>
      </c>
      <c r="AC380">
        <v>1.8782749217232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Q380" t="s">
        <v>140</v>
      </c>
      <c r="AR380" t="s">
        <v>141</v>
      </c>
      <c r="AS380">
        <v>1.5303015</v>
      </c>
    </row>
    <row r="381" spans="1:45" ht="12.75">
      <c r="A381" s="2" t="str">
        <f>HYPERLINK("https://ibp.a2mac1.com/costing(costing:projects/details/8191/material/5317873)","PP-PET+Layer")</f>
        <v>PP-PET+Layer</v>
      </c>
      <c r="B381">
        <v>5317873</v>
      </c>
      <c r="C381">
        <v>6973931</v>
      </c>
      <c r="E381">
        <v>4.95</v>
      </c>
      <c r="F381" t="s">
        <v>3304</v>
      </c>
      <c r="G381">
        <v>90</v>
      </c>
      <c r="H381" t="s">
        <v>3896</v>
      </c>
      <c r="I381">
        <v>0</v>
      </c>
      <c r="J381">
        <v>2.001136786813273</v>
      </c>
      <c r="K381">
        <v>0</v>
      </c>
      <c r="L381">
        <v>0</v>
      </c>
      <c r="M381">
        <v>0</v>
      </c>
      <c r="O381">
        <v>200000</v>
      </c>
      <c r="R381" t="s">
        <v>136</v>
      </c>
      <c r="S381">
        <v>0</v>
      </c>
      <c r="T381">
        <v>0.023585100000000001</v>
      </c>
      <c r="U381" t="s">
        <v>137</v>
      </c>
      <c r="V381">
        <v>0.040425000000000003</v>
      </c>
      <c r="W381">
        <v>1.2190101</v>
      </c>
      <c r="X381" t="s">
        <v>138</v>
      </c>
      <c r="Y381">
        <v>0.073140605999999997</v>
      </c>
      <c r="Z381">
        <v>0</v>
      </c>
      <c r="AA381" t="s">
        <v>139</v>
      </c>
      <c r="AB381">
        <v>0.14628121199999999</v>
      </c>
      <c r="AC381">
        <v>1.438431918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Q381" t="s">
        <v>9</v>
      </c>
      <c r="AR381" t="s">
        <v>141</v>
      </c>
      <c r="AS381">
        <v>1.155</v>
      </c>
    </row>
    <row r="382" spans="1:45" ht="12.75">
      <c r="A382" s="2" t="str">
        <f>HYPERLINK("https://ibp.a2mac1.com/costing(costing:projects/details/8191/material/5317874)","PP-PET+Layer")</f>
        <v>PP-PET+Layer</v>
      </c>
      <c r="B382">
        <v>5317874</v>
      </c>
      <c r="C382">
        <v>6973932</v>
      </c>
      <c r="E382">
        <v>4.95</v>
      </c>
      <c r="F382" t="s">
        <v>3900</v>
      </c>
      <c r="G382">
        <v>90</v>
      </c>
      <c r="H382" t="s">
        <v>3901</v>
      </c>
      <c r="I382">
        <v>0</v>
      </c>
      <c r="J382">
        <v>2.001136786813273</v>
      </c>
      <c r="K382">
        <v>0</v>
      </c>
      <c r="L382">
        <v>0</v>
      </c>
      <c r="M382">
        <v>0</v>
      </c>
      <c r="O382">
        <v>200000</v>
      </c>
      <c r="R382" t="s">
        <v>136</v>
      </c>
      <c r="S382">
        <v>0</v>
      </c>
      <c r="T382">
        <v>0.0093217300000000003</v>
      </c>
      <c r="U382" t="s">
        <v>137</v>
      </c>
      <c r="V382">
        <v>0.015977499999999999</v>
      </c>
      <c r="W382">
        <v>0.48179923000000002</v>
      </c>
      <c r="X382" t="s">
        <v>138</v>
      </c>
      <c r="Y382">
        <v>0.0289079538</v>
      </c>
      <c r="Z382">
        <v>0</v>
      </c>
      <c r="AA382" t="s">
        <v>139</v>
      </c>
      <c r="AB382">
        <v>0.057815907600000001</v>
      </c>
      <c r="AC382">
        <v>0.56852309140000001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Q382" t="s">
        <v>9</v>
      </c>
      <c r="AR382" t="s">
        <v>141</v>
      </c>
      <c r="AS382">
        <v>0.45650000000000002</v>
      </c>
    </row>
    <row r="383" spans="1:45" ht="12.75">
      <c r="A383" s="2" t="str">
        <f>HYPERLINK("https://ibp.a2mac1.com/costing(costing:projects/details/8191/material/5317875)","PP-PET+Layer")</f>
        <v>PP-PET+Layer</v>
      </c>
      <c r="B383">
        <v>5317875</v>
      </c>
      <c r="C383">
        <v>6973933</v>
      </c>
      <c r="E383">
        <v>4.95</v>
      </c>
      <c r="F383" t="s">
        <v>3905</v>
      </c>
      <c r="G383">
        <v>90</v>
      </c>
      <c r="H383" t="s">
        <v>3906</v>
      </c>
      <c r="I383">
        <v>0</v>
      </c>
      <c r="J383">
        <v>2.001136786813273</v>
      </c>
      <c r="K383">
        <v>0</v>
      </c>
      <c r="L383">
        <v>0</v>
      </c>
      <c r="M383">
        <v>0</v>
      </c>
      <c r="O383">
        <v>200000</v>
      </c>
      <c r="R383" t="s">
        <v>136</v>
      </c>
      <c r="S383">
        <v>0</v>
      </c>
      <c r="T383">
        <v>0.0062893599999999999</v>
      </c>
      <c r="U383" t="s">
        <v>137</v>
      </c>
      <c r="V383">
        <v>0.01078</v>
      </c>
      <c r="W383">
        <v>0.32506935999999997</v>
      </c>
      <c r="X383" t="s">
        <v>138</v>
      </c>
      <c r="Y383">
        <v>0.0195041616</v>
      </c>
      <c r="Z383">
        <v>0</v>
      </c>
      <c r="AA383" t="s">
        <v>139</v>
      </c>
      <c r="AB383">
        <v>0.0390083232</v>
      </c>
      <c r="AC383">
        <v>0.38358184480000002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Q383" t="s">
        <v>9</v>
      </c>
      <c r="AR383" t="s">
        <v>141</v>
      </c>
      <c r="AS383">
        <v>0.308</v>
      </c>
    </row>
    <row r="384" spans="1:45" ht="12.75">
      <c r="A384" s="2" t="str">
        <f>HYPERLINK("https://ibp.a2mac1.com/costing(costing:projects/details/8191/material/5317876)","PP-PET")</f>
        <v>PP-PET</v>
      </c>
      <c r="B384">
        <v>5317876</v>
      </c>
      <c r="C384">
        <v>6973934</v>
      </c>
      <c r="E384">
        <v>1.9480500000000001</v>
      </c>
      <c r="F384" t="s">
        <v>670</v>
      </c>
      <c r="G384">
        <v>90</v>
      </c>
      <c r="H384" t="s">
        <v>3910</v>
      </c>
      <c r="I384">
        <v>5</v>
      </c>
      <c r="J384">
        <v>2.001136786813273</v>
      </c>
      <c r="K384">
        <v>0</v>
      </c>
      <c r="L384">
        <v>0</v>
      </c>
      <c r="M384">
        <v>0</v>
      </c>
      <c r="O384">
        <v>400000</v>
      </c>
      <c r="R384" t="s">
        <v>136</v>
      </c>
      <c r="S384">
        <v>0.00015151499999999999</v>
      </c>
      <c r="T384">
        <v>0.00061878726000000003</v>
      </c>
      <c r="U384" t="s">
        <v>137</v>
      </c>
      <c r="V384">
        <v>0.0010606050000000001</v>
      </c>
      <c r="W384">
        <v>0.031830877260000001</v>
      </c>
      <c r="X384" t="s">
        <v>138</v>
      </c>
      <c r="Y384">
        <v>0.0019098526356</v>
      </c>
      <c r="Z384">
        <v>0</v>
      </c>
      <c r="AA384" t="s">
        <v>139</v>
      </c>
      <c r="AB384">
        <v>0.0038197052712</v>
      </c>
      <c r="AC384">
        <v>0.037560435166800001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Q384" t="s">
        <v>140</v>
      </c>
      <c r="AR384" t="s">
        <v>141</v>
      </c>
      <c r="AS384">
        <v>0.030303</v>
      </c>
    </row>
    <row r="385" spans="1:45" ht="12.75">
      <c r="A385" s="2" t="str">
        <f>HYPERLINK("https://ibp.a2mac1.com/costing(costing:projects/details/8191/material/5317877)","PP-PET+Layer")</f>
        <v>PP-PET+Layer</v>
      </c>
      <c r="B385">
        <v>5317877</v>
      </c>
      <c r="C385">
        <v>6973935</v>
      </c>
      <c r="E385">
        <v>4.95</v>
      </c>
      <c r="F385" t="s">
        <v>3268</v>
      </c>
      <c r="G385">
        <v>90</v>
      </c>
      <c r="H385" t="s">
        <v>3917</v>
      </c>
      <c r="I385">
        <v>0</v>
      </c>
      <c r="J385">
        <v>2.001136786813273</v>
      </c>
      <c r="K385">
        <v>0</v>
      </c>
      <c r="L385">
        <v>0</v>
      </c>
      <c r="M385">
        <v>0</v>
      </c>
      <c r="O385">
        <v>400000</v>
      </c>
      <c r="R385" t="s">
        <v>136</v>
      </c>
      <c r="S385">
        <v>0</v>
      </c>
      <c r="T385">
        <v>0.0047170199999999997</v>
      </c>
      <c r="U385" t="s">
        <v>137</v>
      </c>
      <c r="V385">
        <v>0.0080850000000000002</v>
      </c>
      <c r="W385">
        <v>0.24380202000000001</v>
      </c>
      <c r="X385" t="s">
        <v>138</v>
      </c>
      <c r="Y385">
        <v>0.0146281212</v>
      </c>
      <c r="Z385">
        <v>0</v>
      </c>
      <c r="AA385" t="s">
        <v>139</v>
      </c>
      <c r="AB385">
        <v>0.0292562424</v>
      </c>
      <c r="AC385">
        <v>0.28768638359999998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Q385" t="s">
        <v>9</v>
      </c>
      <c r="AR385" t="s">
        <v>141</v>
      </c>
      <c r="AS385">
        <v>0.23100000000000001</v>
      </c>
    </row>
    <row r="386" spans="1:45" ht="12.75">
      <c r="A386" s="2" t="str">
        <f>HYPERLINK("https://ibp.a2mac1.com/costing(costing:projects/details/8191/material/5317878)","PP-PET+Layer")</f>
        <v>PP-PET+Layer</v>
      </c>
      <c r="B386">
        <v>5317878</v>
      </c>
      <c r="C386">
        <v>6973936</v>
      </c>
      <c r="E386">
        <v>4.95</v>
      </c>
      <c r="F386" t="s">
        <v>2743</v>
      </c>
      <c r="G386">
        <v>90</v>
      </c>
      <c r="H386" t="s">
        <v>3921</v>
      </c>
      <c r="I386">
        <v>0</v>
      </c>
      <c r="J386">
        <v>2.001136786813273</v>
      </c>
      <c r="K386">
        <v>0</v>
      </c>
      <c r="L386">
        <v>0</v>
      </c>
      <c r="M386">
        <v>0</v>
      </c>
      <c r="O386">
        <v>200000</v>
      </c>
      <c r="R386" t="s">
        <v>136</v>
      </c>
      <c r="S386">
        <v>0</v>
      </c>
      <c r="T386">
        <v>0.0057278099999999998</v>
      </c>
      <c r="U386" t="s">
        <v>137</v>
      </c>
      <c r="V386">
        <v>0.0098174999999999998</v>
      </c>
      <c r="W386">
        <v>0.29604531000000001</v>
      </c>
      <c r="X386" t="s">
        <v>138</v>
      </c>
      <c r="Y386">
        <v>0.017762718600000001</v>
      </c>
      <c r="Z386">
        <v>0</v>
      </c>
      <c r="AA386" t="s">
        <v>139</v>
      </c>
      <c r="AB386">
        <v>0.035525437200000003</v>
      </c>
      <c r="AC386">
        <v>0.34933346580000002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Q386" t="s">
        <v>9</v>
      </c>
      <c r="AR386" t="s">
        <v>141</v>
      </c>
      <c r="AS386">
        <v>0.28050000000000003</v>
      </c>
    </row>
    <row r="387" spans="1:45" ht="12.75">
      <c r="A387" s="2" t="str">
        <f>HYPERLINK("https://ibp.a2mac1.com/costing(costing:projects/details/8191/material/5317879)","PP-PET+Layer")</f>
        <v>PP-PET+Layer</v>
      </c>
      <c r="B387">
        <v>5317879</v>
      </c>
      <c r="C387">
        <v>6973937</v>
      </c>
      <c r="E387">
        <v>4.95</v>
      </c>
      <c r="F387" t="s">
        <v>532</v>
      </c>
      <c r="G387">
        <v>90</v>
      </c>
      <c r="H387" t="s">
        <v>3925</v>
      </c>
      <c r="I387">
        <v>0</v>
      </c>
      <c r="J387">
        <v>2.001136786813273</v>
      </c>
      <c r="K387">
        <v>0</v>
      </c>
      <c r="L387">
        <v>0</v>
      </c>
      <c r="M387">
        <v>0</v>
      </c>
      <c r="O387">
        <v>200000</v>
      </c>
      <c r="R387" t="s">
        <v>136</v>
      </c>
      <c r="S387">
        <v>0</v>
      </c>
      <c r="T387">
        <v>0.0065139799999999999</v>
      </c>
      <c r="U387" t="s">
        <v>137</v>
      </c>
      <c r="V387">
        <v>0.011165</v>
      </c>
      <c r="W387">
        <v>0.33667898000000002</v>
      </c>
      <c r="X387" t="s">
        <v>138</v>
      </c>
      <c r="Y387">
        <v>0.0202007388</v>
      </c>
      <c r="Z387">
        <v>0</v>
      </c>
      <c r="AA387" t="s">
        <v>139</v>
      </c>
      <c r="AB387">
        <v>0.040401477599999999</v>
      </c>
      <c r="AC387">
        <v>0.39728119639999998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Q387" t="s">
        <v>9</v>
      </c>
      <c r="AR387" t="s">
        <v>141</v>
      </c>
      <c r="AS387">
        <v>0.31900000000000001</v>
      </c>
    </row>
    <row r="388" spans="1:45" ht="12.75">
      <c r="A388" s="2" t="str">
        <f>HYPERLINK("https://ibp.a2mac1.com/costing(costing:projects/details/8191/material/5317880)","PP-PET+Layer")</f>
        <v>PP-PET+Layer</v>
      </c>
      <c r="B388">
        <v>5317880</v>
      </c>
      <c r="C388">
        <v>6973938</v>
      </c>
      <c r="E388">
        <v>4.95</v>
      </c>
      <c r="F388" t="s">
        <v>3900</v>
      </c>
      <c r="G388">
        <v>90</v>
      </c>
      <c r="H388" t="s">
        <v>3901</v>
      </c>
      <c r="I388">
        <v>0</v>
      </c>
      <c r="J388">
        <v>2.001136786813273</v>
      </c>
      <c r="K388">
        <v>0</v>
      </c>
      <c r="L388">
        <v>0</v>
      </c>
      <c r="M388">
        <v>0</v>
      </c>
      <c r="O388">
        <v>400000</v>
      </c>
      <c r="R388" t="s">
        <v>136</v>
      </c>
      <c r="S388">
        <v>0</v>
      </c>
      <c r="T388">
        <v>0.0093217300000000003</v>
      </c>
      <c r="U388" t="s">
        <v>137</v>
      </c>
      <c r="V388">
        <v>0.015977499999999999</v>
      </c>
      <c r="W388">
        <v>0.48179923000000002</v>
      </c>
      <c r="X388" t="s">
        <v>138</v>
      </c>
      <c r="Y388">
        <v>0.0289079538</v>
      </c>
      <c r="Z388">
        <v>0</v>
      </c>
      <c r="AA388" t="s">
        <v>139</v>
      </c>
      <c r="AB388">
        <v>0.057815907600000001</v>
      </c>
      <c r="AC388">
        <v>0.56852309140000001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Q388" t="s">
        <v>9</v>
      </c>
      <c r="AR388" t="s">
        <v>141</v>
      </c>
      <c r="AS388">
        <v>0.45650000000000002</v>
      </c>
    </row>
    <row r="389" spans="1:45" ht="12.75">
      <c r="A389" s="2" t="str">
        <f>HYPERLINK("https://ibp.a2mac1.com/costing(costing:projects/details/8191/material/5317881)","PP-PET")</f>
        <v>PP-PET</v>
      </c>
      <c r="B389">
        <v>5317881</v>
      </c>
      <c r="C389">
        <v>6973939</v>
      </c>
      <c r="E389">
        <v>1.9480500000000001</v>
      </c>
      <c r="F389" t="s">
        <v>3932</v>
      </c>
      <c r="G389">
        <v>90</v>
      </c>
      <c r="H389" t="s">
        <v>3933</v>
      </c>
      <c r="I389">
        <v>5</v>
      </c>
      <c r="J389">
        <v>2.001136786813273</v>
      </c>
      <c r="K389">
        <v>0</v>
      </c>
      <c r="L389">
        <v>0</v>
      </c>
      <c r="M389">
        <v>0</v>
      </c>
      <c r="O389">
        <v>400000</v>
      </c>
      <c r="R389" t="s">
        <v>136</v>
      </c>
      <c r="S389">
        <v>0.0021753225000000001</v>
      </c>
      <c r="T389">
        <v>0.0088840170899999998</v>
      </c>
      <c r="U389" t="s">
        <v>137</v>
      </c>
      <c r="V389">
        <v>0.015227257500000001</v>
      </c>
      <c r="W389">
        <v>0.45700045209000001</v>
      </c>
      <c r="X389" t="s">
        <v>138</v>
      </c>
      <c r="Y389">
        <v>0.027420027125399999</v>
      </c>
      <c r="Z389">
        <v>0</v>
      </c>
      <c r="AA389" t="s">
        <v>139</v>
      </c>
      <c r="AB389">
        <v>0.054840054250799998</v>
      </c>
      <c r="AC389">
        <v>0.53926053346619995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Q389" t="s">
        <v>140</v>
      </c>
      <c r="AR389" t="s">
        <v>141</v>
      </c>
      <c r="AS389">
        <v>0.43506450000000002</v>
      </c>
    </row>
    <row r="390" spans="1:45" ht="12.75">
      <c r="A390" s="2" t="str">
        <f>HYPERLINK("https://ibp.a2mac1.com/costing(costing:projects/details/8191/material/5317882)","PP-PET+Layer")</f>
        <v>PP-PET+Layer</v>
      </c>
      <c r="B390">
        <v>5317882</v>
      </c>
      <c r="C390">
        <v>6973940</v>
      </c>
      <c r="E390">
        <v>4.95</v>
      </c>
      <c r="F390" t="s">
        <v>3937</v>
      </c>
      <c r="G390">
        <v>90</v>
      </c>
      <c r="H390" t="s">
        <v>3938</v>
      </c>
      <c r="I390">
        <v>0</v>
      </c>
      <c r="J390">
        <v>2.001136786813273</v>
      </c>
      <c r="K390">
        <v>0</v>
      </c>
      <c r="L390">
        <v>0</v>
      </c>
      <c r="M390">
        <v>0</v>
      </c>
      <c r="O390">
        <v>400000</v>
      </c>
      <c r="R390" t="s">
        <v>136</v>
      </c>
      <c r="S390">
        <v>0</v>
      </c>
      <c r="T390">
        <v>0.0048068679999999997</v>
      </c>
      <c r="U390" t="s">
        <v>137</v>
      </c>
      <c r="V390">
        <v>0.0082389999999999998</v>
      </c>
      <c r="W390">
        <v>0.24844586799999999</v>
      </c>
      <c r="X390" t="s">
        <v>138</v>
      </c>
      <c r="Y390">
        <v>0.01490675208</v>
      </c>
      <c r="Z390">
        <v>0</v>
      </c>
      <c r="AA390" t="s">
        <v>139</v>
      </c>
      <c r="AB390">
        <v>0.02981350416</v>
      </c>
      <c r="AC390">
        <v>0.29316612423999999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Q390" t="s">
        <v>9</v>
      </c>
      <c r="AR390" t="s">
        <v>141</v>
      </c>
      <c r="AS390">
        <v>0.2354</v>
      </c>
    </row>
    <row r="391" spans="1:45" ht="12.75">
      <c r="A391" s="2" t="str">
        <f>HYPERLINK("https://ibp.a2mac1.com/costing(costing:projects/details/8191/material/5317883)","PP-PET+Adhesive")</f>
        <v>PP-PET+Adhesive</v>
      </c>
      <c r="B391">
        <v>5317883</v>
      </c>
      <c r="C391">
        <v>6973941</v>
      </c>
      <c r="E391">
        <v>5.25</v>
      </c>
      <c r="F391" t="s">
        <v>3942</v>
      </c>
      <c r="G391">
        <v>90</v>
      </c>
      <c r="H391" t="s">
        <v>3943</v>
      </c>
      <c r="I391">
        <v>0</v>
      </c>
      <c r="J391">
        <v>2.001136786813273</v>
      </c>
      <c r="K391">
        <v>0</v>
      </c>
      <c r="L391">
        <v>0</v>
      </c>
      <c r="M391">
        <v>0</v>
      </c>
      <c r="O391">
        <v>200000</v>
      </c>
      <c r="R391" t="s">
        <v>136</v>
      </c>
      <c r="S391">
        <v>0</v>
      </c>
      <c r="T391">
        <v>0.0015366049999999999</v>
      </c>
      <c r="U391" t="s">
        <v>137</v>
      </c>
      <c r="V391">
        <v>0.0026337499999999998</v>
      </c>
      <c r="W391">
        <v>0.079420354999999998</v>
      </c>
      <c r="X391" t="s">
        <v>138</v>
      </c>
      <c r="Y391">
        <v>0.0047652212999999997</v>
      </c>
      <c r="Z391">
        <v>0</v>
      </c>
      <c r="AA391" t="s">
        <v>139</v>
      </c>
      <c r="AB391">
        <v>0.0095304425999999994</v>
      </c>
      <c r="AC391">
        <v>0.093716018900000003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Q391" t="s">
        <v>9</v>
      </c>
      <c r="AR391" t="s">
        <v>141</v>
      </c>
      <c r="AS391">
        <v>0.075249999999999997</v>
      </c>
    </row>
    <row r="392" spans="1:45" ht="12.75">
      <c r="A392" s="2" t="str">
        <f>HYPERLINK("https://ibp.a2mac1.com/costing(costing:projects/details/8191/material/5317884)","PP-PET+Adhesive")</f>
        <v>PP-PET+Adhesive</v>
      </c>
      <c r="B392">
        <v>5317884</v>
      </c>
      <c r="C392">
        <v>6973942</v>
      </c>
      <c r="E392">
        <v>5.25</v>
      </c>
      <c r="F392" t="s">
        <v>3942</v>
      </c>
      <c r="G392">
        <v>90</v>
      </c>
      <c r="H392" t="s">
        <v>3943</v>
      </c>
      <c r="I392">
        <v>0</v>
      </c>
      <c r="J392">
        <v>2.001136786813273</v>
      </c>
      <c r="K392">
        <v>0</v>
      </c>
      <c r="L392">
        <v>0</v>
      </c>
      <c r="M392">
        <v>0</v>
      </c>
      <c r="O392">
        <v>200000</v>
      </c>
      <c r="R392" t="s">
        <v>136</v>
      </c>
      <c r="S392">
        <v>0</v>
      </c>
      <c r="T392">
        <v>0.0015366049999999999</v>
      </c>
      <c r="U392" t="s">
        <v>137</v>
      </c>
      <c r="V392">
        <v>0.0026337499999999998</v>
      </c>
      <c r="W392">
        <v>0.079420354999999998</v>
      </c>
      <c r="X392" t="s">
        <v>138</v>
      </c>
      <c r="Y392">
        <v>0.0047652212999999997</v>
      </c>
      <c r="Z392">
        <v>0</v>
      </c>
      <c r="AA392" t="s">
        <v>139</v>
      </c>
      <c r="AB392">
        <v>0.0095304425999999994</v>
      </c>
      <c r="AC392">
        <v>0.093716018900000003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Q392" t="s">
        <v>9</v>
      </c>
      <c r="AR392" t="s">
        <v>141</v>
      </c>
      <c r="AS392">
        <v>0.075249999999999997</v>
      </c>
    </row>
    <row r="393" spans="1:45" ht="12.75">
      <c r="A393" s="2" t="str">
        <f>HYPERLINK("https://ibp.a2mac1.com/costing(costing:projects/details/8191/material/5317885)","PP-PET+Layer")</f>
        <v>PP-PET+Layer</v>
      </c>
      <c r="B393">
        <v>5317885</v>
      </c>
      <c r="C393">
        <v>6973943</v>
      </c>
      <c r="E393">
        <v>4.95</v>
      </c>
      <c r="F393" t="s">
        <v>3103</v>
      </c>
      <c r="G393">
        <v>90</v>
      </c>
      <c r="H393" t="s">
        <v>3950</v>
      </c>
      <c r="I393">
        <v>0</v>
      </c>
      <c r="J393">
        <v>2.001136786813273</v>
      </c>
      <c r="K393">
        <v>0</v>
      </c>
      <c r="L393">
        <v>0</v>
      </c>
      <c r="M393">
        <v>0</v>
      </c>
      <c r="O393">
        <v>400000</v>
      </c>
      <c r="R393" t="s">
        <v>136</v>
      </c>
      <c r="S393">
        <v>0</v>
      </c>
      <c r="T393">
        <v>0.0024708199999999999</v>
      </c>
      <c r="U393" t="s">
        <v>137</v>
      </c>
      <c r="V393">
        <v>0.004235</v>
      </c>
      <c r="W393">
        <v>0.12770582</v>
      </c>
      <c r="X393" t="s">
        <v>138</v>
      </c>
      <c r="Y393">
        <v>0.0076623491999999998</v>
      </c>
      <c r="Z393">
        <v>0</v>
      </c>
      <c r="AA393" t="s">
        <v>139</v>
      </c>
      <c r="AB393">
        <v>0.0153246984</v>
      </c>
      <c r="AC393">
        <v>0.1506928676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Q393" t="s">
        <v>9</v>
      </c>
      <c r="AR393" t="s">
        <v>141</v>
      </c>
      <c r="AS393">
        <v>0.121</v>
      </c>
    </row>
    <row r="394" spans="1:45" ht="12.75">
      <c r="A394" s="2" t="str">
        <f>HYPERLINK("https://ibp.a2mac1.com/costing(costing:projects/details/8191/material/5317886)","PP-PET+Layer")</f>
        <v>PP-PET+Layer</v>
      </c>
      <c r="B394">
        <v>5317886</v>
      </c>
      <c r="C394">
        <v>6973944</v>
      </c>
      <c r="E394">
        <v>4.95</v>
      </c>
      <c r="F394" t="s">
        <v>3954</v>
      </c>
      <c r="G394">
        <v>90</v>
      </c>
      <c r="H394" t="s">
        <v>3955</v>
      </c>
      <c r="I394">
        <v>0</v>
      </c>
      <c r="J394">
        <v>2.001136786813273</v>
      </c>
      <c r="K394">
        <v>0</v>
      </c>
      <c r="L394">
        <v>0</v>
      </c>
      <c r="M394">
        <v>0</v>
      </c>
      <c r="O394">
        <v>200000</v>
      </c>
      <c r="R394" t="s">
        <v>136</v>
      </c>
      <c r="S394">
        <v>0</v>
      </c>
      <c r="T394">
        <v>0.035939199999999998</v>
      </c>
      <c r="U394" t="s">
        <v>137</v>
      </c>
      <c r="V394">
        <v>0.061600000000000002</v>
      </c>
      <c r="W394">
        <v>1.8575391999999999</v>
      </c>
      <c r="X394" t="s">
        <v>138</v>
      </c>
      <c r="Y394">
        <v>0.111452352</v>
      </c>
      <c r="Z394">
        <v>0</v>
      </c>
      <c r="AA394" t="s">
        <v>139</v>
      </c>
      <c r="AB394">
        <v>0.22290470400000001</v>
      </c>
      <c r="AC394">
        <v>2.1918962560000002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Q394" t="s">
        <v>9</v>
      </c>
      <c r="AR394" t="s">
        <v>141</v>
      </c>
      <c r="AS394">
        <v>1.76</v>
      </c>
    </row>
    <row r="395" spans="1:45" ht="12.75">
      <c r="A395" s="2" t="str">
        <f>HYPERLINK("https://ibp.a2mac1.com/costing(costing:projects/details/8191/material/5317887)","PP-PET+Layer")</f>
        <v>PP-PET+Layer</v>
      </c>
      <c r="B395">
        <v>5317887</v>
      </c>
      <c r="C395">
        <v>6973945</v>
      </c>
      <c r="E395">
        <v>4.95</v>
      </c>
      <c r="F395" t="s">
        <v>3954</v>
      </c>
      <c r="G395">
        <v>90</v>
      </c>
      <c r="H395" t="s">
        <v>3955</v>
      </c>
      <c r="I395">
        <v>0</v>
      </c>
      <c r="J395">
        <v>2.001136786813273</v>
      </c>
      <c r="K395">
        <v>0</v>
      </c>
      <c r="L395">
        <v>0</v>
      </c>
      <c r="M395">
        <v>0</v>
      </c>
      <c r="O395">
        <v>200000</v>
      </c>
      <c r="R395" t="s">
        <v>136</v>
      </c>
      <c r="S395">
        <v>0</v>
      </c>
      <c r="T395">
        <v>0.035939199999999998</v>
      </c>
      <c r="U395" t="s">
        <v>137</v>
      </c>
      <c r="V395">
        <v>0.061600000000000002</v>
      </c>
      <c r="W395">
        <v>1.8575391999999999</v>
      </c>
      <c r="X395" t="s">
        <v>138</v>
      </c>
      <c r="Y395">
        <v>0.111452352</v>
      </c>
      <c r="Z395">
        <v>0</v>
      </c>
      <c r="AA395" t="s">
        <v>139</v>
      </c>
      <c r="AB395">
        <v>0.22290470400000001</v>
      </c>
      <c r="AC395">
        <v>2.1918962560000002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Q395" t="s">
        <v>9</v>
      </c>
      <c r="AR395" t="s">
        <v>141</v>
      </c>
      <c r="AS395">
        <v>1.76</v>
      </c>
    </row>
    <row r="396" spans="1:45" ht="12.75">
      <c r="A396" s="2" t="str">
        <f>HYPERLINK("https://ibp.a2mac1.com/costing(costing:projects/details/8191/material/5318010)","PP-PET")</f>
        <v>PP-PET</v>
      </c>
      <c r="B396">
        <v>5318010</v>
      </c>
      <c r="C396">
        <v>6974017</v>
      </c>
      <c r="E396">
        <v>1.9480500000000001</v>
      </c>
      <c r="F396" t="s">
        <v>1375</v>
      </c>
      <c r="G396">
        <v>90</v>
      </c>
      <c r="H396" t="s">
        <v>3965</v>
      </c>
      <c r="I396">
        <v>5</v>
      </c>
      <c r="J396">
        <v>1.0057812623742775</v>
      </c>
      <c r="K396">
        <v>0</v>
      </c>
      <c r="L396">
        <v>0</v>
      </c>
      <c r="M396">
        <v>0</v>
      </c>
      <c r="O396">
        <v>200000</v>
      </c>
      <c r="R396" t="s">
        <v>136</v>
      </c>
      <c r="S396">
        <v>0.00029220750000000001</v>
      </c>
      <c r="T396">
        <v>0.00059376564000000005</v>
      </c>
      <c r="U396" t="s">
        <v>137</v>
      </c>
      <c r="V396">
        <v>0.0020454524999999999</v>
      </c>
      <c r="W396">
        <v>0.060788510640000001</v>
      </c>
      <c r="X396" t="s">
        <v>138</v>
      </c>
      <c r="Y396">
        <v>0.0036473106383999999</v>
      </c>
      <c r="Z396">
        <v>0</v>
      </c>
      <c r="AA396" t="s">
        <v>139</v>
      </c>
      <c r="AB396">
        <v>0.0072946212767999999</v>
      </c>
      <c r="AC396">
        <v>0.071730442555200002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Q396" t="s">
        <v>140</v>
      </c>
      <c r="AR396" t="s">
        <v>141</v>
      </c>
      <c r="AS396">
        <v>0.0584415</v>
      </c>
    </row>
    <row r="397" spans="1:45" ht="12.75">
      <c r="A397" s="2" t="str">
        <f>HYPERLINK("https://ibp.a2mac1.com/costing(costing:projects/details/8191/material/5317888)","PP-PET")</f>
        <v>PP-PET</v>
      </c>
      <c r="B397">
        <v>5317888</v>
      </c>
      <c r="C397">
        <v>6973946</v>
      </c>
      <c r="E397">
        <v>1.9480500000000001</v>
      </c>
      <c r="F397" t="s">
        <v>2510</v>
      </c>
      <c r="G397">
        <v>90</v>
      </c>
      <c r="H397" t="s">
        <v>2511</v>
      </c>
      <c r="I397">
        <v>5</v>
      </c>
      <c r="J397">
        <v>1.0057812623742775</v>
      </c>
      <c r="K397">
        <v>0</v>
      </c>
      <c r="L397">
        <v>0</v>
      </c>
      <c r="M397">
        <v>0</v>
      </c>
      <c r="O397">
        <v>200000</v>
      </c>
      <c r="R397" t="s">
        <v>136</v>
      </c>
      <c r="S397">
        <v>0.0049783500000000003</v>
      </c>
      <c r="T397">
        <v>0.010116007200000001</v>
      </c>
      <c r="U397" t="s">
        <v>137</v>
      </c>
      <c r="V397">
        <v>0.034848450000000003</v>
      </c>
      <c r="W397">
        <v>1.0356561071999999</v>
      </c>
      <c r="X397" t="s">
        <v>138</v>
      </c>
      <c r="Y397">
        <v>0.062139366432</v>
      </c>
      <c r="Z397">
        <v>0</v>
      </c>
      <c r="AA397" t="s">
        <v>139</v>
      </c>
      <c r="AB397">
        <v>0.124278732864</v>
      </c>
      <c r="AC397">
        <v>1.222074206496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Q397" t="s">
        <v>140</v>
      </c>
      <c r="AR397" t="s">
        <v>141</v>
      </c>
      <c r="AS397">
        <v>0.99567000000000005</v>
      </c>
    </row>
    <row r="398" spans="1:45" ht="12.75">
      <c r="A398" s="2" t="str">
        <f>HYPERLINK("https://ibp.a2mac1.com/costing(costing:projects/details/8191/material/5317799)","EVA 5 kg/m2")</f>
        <v>EVA 5 kg/m2</v>
      </c>
      <c r="B398">
        <v>5317799</v>
      </c>
      <c r="C398">
        <v>6973881</v>
      </c>
      <c r="E398">
        <v>6.9020999999999999</v>
      </c>
      <c r="F398" t="s">
        <v>3977</v>
      </c>
      <c r="G398">
        <v>86.87</v>
      </c>
      <c r="H398" t="s">
        <v>3978</v>
      </c>
      <c r="I398">
        <v>0</v>
      </c>
      <c r="J398">
        <v>2.001136786813273</v>
      </c>
      <c r="K398">
        <v>0</v>
      </c>
      <c r="L398">
        <v>0</v>
      </c>
      <c r="M398">
        <v>0</v>
      </c>
      <c r="O398">
        <v>200000</v>
      </c>
      <c r="R398" t="s">
        <v>136</v>
      </c>
      <c r="S398">
        <v>0</v>
      </c>
      <c r="T398">
        <v>0.16175671618970877</v>
      </c>
      <c r="U398" t="s">
        <v>137</v>
      </c>
      <c r="V398">
        <v>0.27725196212731668</v>
      </c>
      <c r="W398">
        <v>8.3604933105260741</v>
      </c>
      <c r="X398" t="s">
        <v>138</v>
      </c>
      <c r="Y398">
        <v>0.50162959863156442</v>
      </c>
      <c r="Z398">
        <v>0</v>
      </c>
      <c r="AA398" t="s">
        <v>139</v>
      </c>
      <c r="AB398">
        <v>1.0032591972631288</v>
      </c>
      <c r="AC398">
        <v>9.8653821064207659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Q398" t="s">
        <v>9</v>
      </c>
      <c r="AR398" t="s">
        <v>141</v>
      </c>
      <c r="AS398">
        <v>7.9214846322090482</v>
      </c>
    </row>
    <row r="399" spans="1:45" ht="12.75">
      <c r="A399" s="2" t="str">
        <f>HYPERLINK("https://ibp.a2mac1.com/costing(costing:projects/details/8191/material/5317800)","PUR")</f>
        <v>PUR</v>
      </c>
      <c r="B399">
        <v>5317800</v>
      </c>
      <c r="C399">
        <v>6973884</v>
      </c>
      <c r="E399">
        <v>3.37662</v>
      </c>
      <c r="F399" t="s">
        <v>3986</v>
      </c>
      <c r="G399">
        <v>98</v>
      </c>
      <c r="H399" t="s">
        <v>297</v>
      </c>
      <c r="I399">
        <v>5</v>
      </c>
      <c r="J399">
        <v>4.745575431978815</v>
      </c>
      <c r="K399">
        <v>0</v>
      </c>
      <c r="L399">
        <v>0</v>
      </c>
      <c r="M399">
        <v>0</v>
      </c>
      <c r="O399">
        <v>200000</v>
      </c>
      <c r="R399" t="s">
        <v>136</v>
      </c>
      <c r="S399">
        <v>0.0033766199999999999</v>
      </c>
      <c r="T399">
        <v>0.16822320839999999</v>
      </c>
      <c r="U399" t="s">
        <v>137</v>
      </c>
      <c r="V399">
        <v>0.1181817</v>
      </c>
      <c r="W399">
        <v>3.6596482884000001</v>
      </c>
      <c r="X399" t="s">
        <v>138</v>
      </c>
      <c r="Y399">
        <v>0.21957889730399999</v>
      </c>
      <c r="Z399">
        <v>0</v>
      </c>
      <c r="AA399" t="s">
        <v>139</v>
      </c>
      <c r="AB399">
        <v>0.43915779460799997</v>
      </c>
      <c r="AC399">
        <v>4.3183849803119996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P399" t="s">
        <v>511</v>
      </c>
      <c r="AQ399" t="s">
        <v>140</v>
      </c>
      <c r="AR399" t="s">
        <v>141</v>
      </c>
      <c r="AS399">
        <v>3.37662</v>
      </c>
    </row>
    <row r="400" spans="1:45" ht="12.75">
      <c r="A400" s="2" t="str">
        <f>HYPERLINK("https://ibp.a2mac1.com/costing(costing:projects/details/8191/material/5317801)","EVA 5 kg/m2")</f>
        <v>EVA 5 kg/m2</v>
      </c>
      <c r="B400">
        <v>5317801</v>
      </c>
      <c r="C400">
        <v>6973886</v>
      </c>
      <c r="E400">
        <v>6.9020999999999999</v>
      </c>
      <c r="F400" t="s">
        <v>3989</v>
      </c>
      <c r="G400">
        <v>86.87</v>
      </c>
      <c r="H400" t="s">
        <v>3990</v>
      </c>
      <c r="I400">
        <v>0</v>
      </c>
      <c r="J400">
        <v>2.001136786813273</v>
      </c>
      <c r="K400">
        <v>0</v>
      </c>
      <c r="L400">
        <v>0</v>
      </c>
      <c r="M400">
        <v>0</v>
      </c>
      <c r="O400">
        <v>200000</v>
      </c>
      <c r="R400" t="s">
        <v>136</v>
      </c>
      <c r="S400">
        <v>0</v>
      </c>
      <c r="T400">
        <v>0.18878647438148957</v>
      </c>
      <c r="U400" t="s">
        <v>137</v>
      </c>
      <c r="V400">
        <v>0.32358112651087834</v>
      </c>
      <c r="W400">
        <v>9.7575426440603206</v>
      </c>
      <c r="X400" t="s">
        <v>138</v>
      </c>
      <c r="Y400">
        <v>0.58545255864361923</v>
      </c>
      <c r="Z400">
        <v>0</v>
      </c>
      <c r="AA400" t="s">
        <v>139</v>
      </c>
      <c r="AB400">
        <v>1.1709051172872385</v>
      </c>
      <c r="AC400">
        <v>11.513900319991178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Q400" t="s">
        <v>9</v>
      </c>
      <c r="AR400" t="s">
        <v>141</v>
      </c>
      <c r="AS400">
        <v>9.2451750431679525</v>
      </c>
    </row>
    <row r="401" spans="1:45" ht="12.75">
      <c r="A401" s="2" t="str">
        <f>HYPERLINK("https://ibp.a2mac1.com/costing(costing:projects/details/8191/material/5317802)","PP-PET+Layer")</f>
        <v>PP-PET+Layer</v>
      </c>
      <c r="B401">
        <v>5317802</v>
      </c>
      <c r="C401">
        <v>6973887</v>
      </c>
      <c r="E401">
        <v>4.95</v>
      </c>
      <c r="F401" t="s">
        <v>3995</v>
      </c>
      <c r="G401">
        <v>90</v>
      </c>
      <c r="H401" t="s">
        <v>3996</v>
      </c>
      <c r="I401">
        <v>0</v>
      </c>
      <c r="J401">
        <v>2.001136786813273</v>
      </c>
      <c r="K401">
        <v>0</v>
      </c>
      <c r="L401">
        <v>0</v>
      </c>
      <c r="M401">
        <v>0</v>
      </c>
      <c r="O401">
        <v>200000</v>
      </c>
      <c r="R401" t="s">
        <v>136</v>
      </c>
      <c r="S401">
        <v>0</v>
      </c>
      <c r="T401">
        <v>0.017520359999999999</v>
      </c>
      <c r="U401" t="s">
        <v>137</v>
      </c>
      <c r="V401">
        <v>0.030030000000000001</v>
      </c>
      <c r="W401">
        <v>0.90555036</v>
      </c>
      <c r="X401" t="s">
        <v>138</v>
      </c>
      <c r="Y401">
        <v>0.054333021600000003</v>
      </c>
      <c r="Z401">
        <v>0</v>
      </c>
      <c r="AA401" t="s">
        <v>139</v>
      </c>
      <c r="AB401">
        <v>0.10866604320000001</v>
      </c>
      <c r="AC401">
        <v>1.0685494248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Q401" t="s">
        <v>9</v>
      </c>
      <c r="AR401" t="s">
        <v>141</v>
      </c>
      <c r="AS401">
        <v>0.85799999999999998</v>
      </c>
    </row>
    <row r="402" spans="1:45" ht="12.75">
      <c r="A402" s="2" t="str">
        <f>HYPERLINK("https://ibp.a2mac1.com/costing(costing:projects/details/8191/material/5317803)","PP-PET")</f>
        <v>PP-PET</v>
      </c>
      <c r="B402">
        <v>5317803</v>
      </c>
      <c r="C402">
        <v>6973888</v>
      </c>
      <c r="E402">
        <v>1.9480500000000001</v>
      </c>
      <c r="F402" t="s">
        <v>2911</v>
      </c>
      <c r="G402">
        <v>90</v>
      </c>
      <c r="H402" t="s">
        <v>4000</v>
      </c>
      <c r="I402">
        <v>5</v>
      </c>
      <c r="J402">
        <v>2.001136786813273</v>
      </c>
      <c r="K402">
        <v>0</v>
      </c>
      <c r="L402">
        <v>0</v>
      </c>
      <c r="M402">
        <v>0</v>
      </c>
      <c r="O402">
        <v>200000</v>
      </c>
      <c r="R402" t="s">
        <v>136</v>
      </c>
      <c r="S402">
        <v>0.00075757500000000002</v>
      </c>
      <c r="T402">
        <v>0.0030939362999999999</v>
      </c>
      <c r="U402" t="s">
        <v>137</v>
      </c>
      <c r="V402">
        <v>0.0053030250000000003</v>
      </c>
      <c r="W402">
        <v>0.15915438630000001</v>
      </c>
      <c r="X402" t="s">
        <v>138</v>
      </c>
      <c r="Y402">
        <v>0.0095492631780000007</v>
      </c>
      <c r="Z402">
        <v>0</v>
      </c>
      <c r="AA402" t="s">
        <v>139</v>
      </c>
      <c r="AB402">
        <v>0.019098526356000001</v>
      </c>
      <c r="AC402">
        <v>0.187802175834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Q402" t="s">
        <v>140</v>
      </c>
      <c r="AR402" t="s">
        <v>141</v>
      </c>
      <c r="AS402">
        <v>0.15151500000000001</v>
      </c>
    </row>
    <row r="403" spans="1:45" ht="12.75">
      <c r="A403" s="2" t="str">
        <f>HYPERLINK("https://ibp.a2mac1.com/costing(costing:projects/details/8191/material/5317804)","PP-PET")</f>
        <v>PP-PET</v>
      </c>
      <c r="B403">
        <v>5317804</v>
      </c>
      <c r="C403">
        <v>6973889</v>
      </c>
      <c r="E403">
        <v>1.9480500000000001</v>
      </c>
      <c r="F403" t="s">
        <v>3453</v>
      </c>
      <c r="G403">
        <v>90</v>
      </c>
      <c r="H403" t="s">
        <v>4005</v>
      </c>
      <c r="I403">
        <v>5</v>
      </c>
      <c r="J403">
        <v>2.001136786813273</v>
      </c>
      <c r="K403">
        <v>0</v>
      </c>
      <c r="L403">
        <v>0</v>
      </c>
      <c r="M403">
        <v>0</v>
      </c>
      <c r="O403">
        <v>200000</v>
      </c>
      <c r="R403" t="s">
        <v>136</v>
      </c>
      <c r="S403">
        <v>0.00073592999999999998</v>
      </c>
      <c r="T403">
        <v>0.0030055381199999998</v>
      </c>
      <c r="U403" t="s">
        <v>137</v>
      </c>
      <c r="V403">
        <v>0.0051515099999999998</v>
      </c>
      <c r="W403">
        <v>0.15460711812</v>
      </c>
      <c r="X403" t="s">
        <v>138</v>
      </c>
      <c r="Y403">
        <v>0.0092764270871999992</v>
      </c>
      <c r="Z403">
        <v>0</v>
      </c>
      <c r="AA403" t="s">
        <v>139</v>
      </c>
      <c r="AB403">
        <v>0.018552854174399998</v>
      </c>
      <c r="AC403">
        <v>0.1824363993816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Q403" t="s">
        <v>140</v>
      </c>
      <c r="AR403" t="s">
        <v>141</v>
      </c>
      <c r="AS403">
        <v>0.14718600000000001</v>
      </c>
    </row>
    <row r="404" spans="1:45" ht="12.75">
      <c r="A404" s="2" t="str">
        <f>HYPERLINK("https://ibp.a2mac1.com/costing(costing:projects/details/8191/material/5317805)","PP-PET")</f>
        <v>PP-PET</v>
      </c>
      <c r="B404">
        <v>5317805</v>
      </c>
      <c r="C404">
        <v>6973890</v>
      </c>
      <c r="E404">
        <v>1.9480500000000001</v>
      </c>
      <c r="F404" t="s">
        <v>3453</v>
      </c>
      <c r="G404">
        <v>90</v>
      </c>
      <c r="H404" t="s">
        <v>4005</v>
      </c>
      <c r="I404">
        <v>5</v>
      </c>
      <c r="J404">
        <v>2.001136786813273</v>
      </c>
      <c r="K404">
        <v>0</v>
      </c>
      <c r="L404">
        <v>0</v>
      </c>
      <c r="M404">
        <v>0</v>
      </c>
      <c r="O404">
        <v>200000</v>
      </c>
      <c r="R404" t="s">
        <v>136</v>
      </c>
      <c r="S404">
        <v>0.00073592999999999998</v>
      </c>
      <c r="T404">
        <v>0.0030055381199999998</v>
      </c>
      <c r="U404" t="s">
        <v>137</v>
      </c>
      <c r="V404">
        <v>0.0051515099999999998</v>
      </c>
      <c r="W404">
        <v>0.15460711812</v>
      </c>
      <c r="X404" t="s">
        <v>138</v>
      </c>
      <c r="Y404">
        <v>0.0092764270871999992</v>
      </c>
      <c r="Z404">
        <v>0</v>
      </c>
      <c r="AA404" t="s">
        <v>139</v>
      </c>
      <c r="AB404">
        <v>0.018552854174399998</v>
      </c>
      <c r="AC404">
        <v>0.1824363993816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Q404" t="s">
        <v>140</v>
      </c>
      <c r="AR404" t="s">
        <v>141</v>
      </c>
      <c r="AS404">
        <v>0.14718600000000001</v>
      </c>
    </row>
    <row r="405" spans="1:45" ht="12.75">
      <c r="A405" s="2" t="str">
        <f>HYPERLINK("https://ibp.a2mac1.com/costing(costing:projects/details/8191/material/5317806)","PP-PET")</f>
        <v>PP-PET</v>
      </c>
      <c r="B405">
        <v>5317806</v>
      </c>
      <c r="C405">
        <v>6973891</v>
      </c>
      <c r="E405">
        <v>1.9480500000000001</v>
      </c>
      <c r="F405" t="s">
        <v>4012</v>
      </c>
      <c r="G405">
        <v>90</v>
      </c>
      <c r="H405" t="s">
        <v>4013</v>
      </c>
      <c r="I405">
        <v>5</v>
      </c>
      <c r="J405">
        <v>2.001136786813273</v>
      </c>
      <c r="K405">
        <v>0</v>
      </c>
      <c r="L405">
        <v>0</v>
      </c>
      <c r="M405">
        <v>0</v>
      </c>
      <c r="O405">
        <v>200000</v>
      </c>
      <c r="R405" t="s">
        <v>136</v>
      </c>
      <c r="S405">
        <v>0.0019155825</v>
      </c>
      <c r="T405">
        <v>0.0078232389300000003</v>
      </c>
      <c r="U405" t="s">
        <v>137</v>
      </c>
      <c r="V405">
        <v>0.0134090775</v>
      </c>
      <c r="W405">
        <v>0.40243323393000002</v>
      </c>
      <c r="X405" t="s">
        <v>138</v>
      </c>
      <c r="Y405">
        <v>0.024145994035799999</v>
      </c>
      <c r="Z405">
        <v>0</v>
      </c>
      <c r="AA405" t="s">
        <v>139</v>
      </c>
      <c r="AB405">
        <v>0.048291988071599998</v>
      </c>
      <c r="AC405">
        <v>0.47487121603740001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Q405" t="s">
        <v>140</v>
      </c>
      <c r="AR405" t="s">
        <v>141</v>
      </c>
      <c r="AS405">
        <v>0.38311650000000003</v>
      </c>
    </row>
    <row r="406" spans="1:45" ht="12.75">
      <c r="A406" s="2" t="str">
        <f>HYPERLINK("https://ibp.a2mac1.com/costing(costing:projects/details/8191/material/5317807)","PP-PET+Fabric Layer+Adhesive")</f>
        <v>PP-PET+Fabric Layer+Adhesive</v>
      </c>
      <c r="B406">
        <v>5317807</v>
      </c>
      <c r="C406">
        <v>6973892</v>
      </c>
      <c r="E406">
        <v>5.75</v>
      </c>
      <c r="F406" t="s">
        <v>3255</v>
      </c>
      <c r="G406">
        <v>90</v>
      </c>
      <c r="H406" t="s">
        <v>4017</v>
      </c>
      <c r="I406">
        <v>0</v>
      </c>
      <c r="J406">
        <v>1.0028412184570303</v>
      </c>
      <c r="K406">
        <v>0</v>
      </c>
      <c r="L406">
        <v>0</v>
      </c>
      <c r="M406">
        <v>0</v>
      </c>
      <c r="O406">
        <v>400000</v>
      </c>
      <c r="R406" t="s">
        <v>136</v>
      </c>
      <c r="S406">
        <v>0</v>
      </c>
      <c r="T406">
        <v>0.0018121444444444445</v>
      </c>
      <c r="U406" t="s">
        <v>137</v>
      </c>
      <c r="V406">
        <v>0.0062611111111111114</v>
      </c>
      <c r="W406">
        <v>0.18696214444444445</v>
      </c>
      <c r="X406" t="s">
        <v>138</v>
      </c>
      <c r="Y406">
        <v>0.011217728666666666</v>
      </c>
      <c r="Z406">
        <v>0</v>
      </c>
      <c r="AA406" t="s">
        <v>139</v>
      </c>
      <c r="AB406">
        <v>0.022435457333333332</v>
      </c>
      <c r="AC406">
        <v>0.22061533044444445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Q406" t="s">
        <v>9</v>
      </c>
      <c r="AR406" t="s">
        <v>141</v>
      </c>
      <c r="AS406">
        <v>0.17888888888888888</v>
      </c>
    </row>
    <row r="407" spans="1:45" ht="12.75">
      <c r="A407" s="2" t="str">
        <f>HYPERLINK("https://ibp.a2mac1.com/costing(costing:projects/details/8191/material/5317808)","PP-PET+Fabric Layer+Adhesive")</f>
        <v>PP-PET+Fabric Layer+Adhesive</v>
      </c>
      <c r="B407">
        <v>5317808</v>
      </c>
      <c r="C407">
        <v>6973893</v>
      </c>
      <c r="E407">
        <v>5.75</v>
      </c>
      <c r="F407" t="s">
        <v>4022</v>
      </c>
      <c r="G407">
        <v>90</v>
      </c>
      <c r="H407" t="s">
        <v>4023</v>
      </c>
      <c r="I407">
        <v>0</v>
      </c>
      <c r="J407">
        <v>1.0028412184570303</v>
      </c>
      <c r="K407">
        <v>0</v>
      </c>
      <c r="L407">
        <v>0</v>
      </c>
      <c r="M407">
        <v>0</v>
      </c>
      <c r="O407">
        <v>400000</v>
      </c>
      <c r="R407" t="s">
        <v>136</v>
      </c>
      <c r="S407">
        <v>0</v>
      </c>
      <c r="T407">
        <v>0.0011390622222222223</v>
      </c>
      <c r="U407" t="s">
        <v>137</v>
      </c>
      <c r="V407">
        <v>0.0039355555555555559</v>
      </c>
      <c r="W407">
        <v>0.11751906222222222</v>
      </c>
      <c r="X407" t="s">
        <v>138</v>
      </c>
      <c r="Y407">
        <v>0.0070511437333333335</v>
      </c>
      <c r="Z407">
        <v>0</v>
      </c>
      <c r="AA407" t="s">
        <v>139</v>
      </c>
      <c r="AB407">
        <v>0.014102287466666667</v>
      </c>
      <c r="AC407">
        <v>0.13867249342222221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Q407" t="s">
        <v>9</v>
      </c>
      <c r="AR407" t="s">
        <v>141</v>
      </c>
      <c r="AS407">
        <v>0.11244444444444444</v>
      </c>
    </row>
    <row r="408" spans="1:45" ht="12.75">
      <c r="A408" s="2" t="str">
        <f>HYPERLINK("https://ibp.a2mac1.com/costing(costing:projects/details/8191/material/5317809)","PP-PET+Adhesive")</f>
        <v>PP-PET+Adhesive</v>
      </c>
      <c r="B408">
        <v>5317809</v>
      </c>
      <c r="C408">
        <v>6973894</v>
      </c>
      <c r="E408">
        <v>5.25</v>
      </c>
      <c r="F408" t="s">
        <v>2743</v>
      </c>
      <c r="G408">
        <v>90</v>
      </c>
      <c r="H408" t="s">
        <v>3921</v>
      </c>
      <c r="I408">
        <v>0</v>
      </c>
      <c r="J408">
        <v>1.0028412184570303</v>
      </c>
      <c r="K408">
        <v>0</v>
      </c>
      <c r="L408">
        <v>0</v>
      </c>
      <c r="M408">
        <v>0</v>
      </c>
      <c r="O408">
        <v>400000</v>
      </c>
      <c r="R408" t="s">
        <v>136</v>
      </c>
      <c r="S408">
        <v>0</v>
      </c>
      <c r="T408">
        <v>0.0030136749999999999</v>
      </c>
      <c r="U408" t="s">
        <v>137</v>
      </c>
      <c r="V408">
        <v>0.0104125</v>
      </c>
      <c r="W408">
        <v>0.31092617500000003</v>
      </c>
      <c r="X408" t="s">
        <v>138</v>
      </c>
      <c r="Y408">
        <v>0.0186555705</v>
      </c>
      <c r="Z408">
        <v>0</v>
      </c>
      <c r="AA408" t="s">
        <v>139</v>
      </c>
      <c r="AB408">
        <v>0.037311140999999999</v>
      </c>
      <c r="AC408">
        <v>0.36689288650000002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Q408" t="s">
        <v>9</v>
      </c>
      <c r="AR408" t="s">
        <v>141</v>
      </c>
      <c r="AS408">
        <v>0.2975</v>
      </c>
    </row>
    <row r="409" spans="1:45" ht="12.75">
      <c r="A409" s="2" t="str">
        <f>HYPERLINK("https://ibp.a2mac1.com/costing(costing:projects/details/8191/material/5317810)","PP-PET")</f>
        <v>PP-PET</v>
      </c>
      <c r="B409">
        <v>5317810</v>
      </c>
      <c r="C409">
        <v>6973895</v>
      </c>
      <c r="E409">
        <v>1.9480500000000001</v>
      </c>
      <c r="F409" t="s">
        <v>4030</v>
      </c>
      <c r="G409">
        <v>90</v>
      </c>
      <c r="H409" t="s">
        <v>4031</v>
      </c>
      <c r="I409">
        <v>5</v>
      </c>
      <c r="J409">
        <v>2.001136786813273</v>
      </c>
      <c r="K409">
        <v>0</v>
      </c>
      <c r="L409">
        <v>0</v>
      </c>
      <c r="M409">
        <v>0</v>
      </c>
      <c r="O409">
        <v>200000</v>
      </c>
      <c r="R409" t="s">
        <v>136</v>
      </c>
      <c r="S409">
        <v>0.0020562750000000002</v>
      </c>
      <c r="T409">
        <v>0.0083978270999999997</v>
      </c>
      <c r="U409" t="s">
        <v>137</v>
      </c>
      <c r="V409">
        <v>0.014393925</v>
      </c>
      <c r="W409">
        <v>0.43199047709999999</v>
      </c>
      <c r="X409" t="s">
        <v>138</v>
      </c>
      <c r="Y409">
        <v>0.025919428626</v>
      </c>
      <c r="Z409">
        <v>0</v>
      </c>
      <c r="AA409" t="s">
        <v>139</v>
      </c>
      <c r="AB409">
        <v>0.051838857251999999</v>
      </c>
      <c r="AC409">
        <v>0.50974876297799998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Q409" t="s">
        <v>140</v>
      </c>
      <c r="AR409" t="s">
        <v>141</v>
      </c>
      <c r="AS409">
        <v>0.41125499999999998</v>
      </c>
    </row>
    <row r="410" spans="1:45" ht="12.75">
      <c r="A410" s="2" t="str">
        <f>HYPERLINK("https://ibp.a2mac1.com/costing(costing:projects/details/8191/material/5317811)","PET SHOODY 1000 gsm")</f>
        <v>PET SHOODY 1000 gsm</v>
      </c>
      <c r="B410">
        <v>5317811</v>
      </c>
      <c r="C410">
        <v>6973899</v>
      </c>
      <c r="E410">
        <v>2.66</v>
      </c>
      <c r="F410" t="s">
        <v>3274</v>
      </c>
      <c r="G410">
        <v>86.87</v>
      </c>
      <c r="H410" t="s">
        <v>4040</v>
      </c>
      <c r="I410">
        <v>0</v>
      </c>
      <c r="J410">
        <v>2.001136786813273</v>
      </c>
      <c r="K410">
        <v>0</v>
      </c>
      <c r="L410">
        <v>0</v>
      </c>
      <c r="M410">
        <v>0</v>
      </c>
      <c r="O410">
        <v>200000</v>
      </c>
      <c r="R410" t="s">
        <v>136</v>
      </c>
      <c r="S410">
        <v>0</v>
      </c>
      <c r="T410">
        <v>0.012505398871877517</v>
      </c>
      <c r="U410" t="s">
        <v>137</v>
      </c>
      <c r="V410">
        <v>0.021434327155519742</v>
      </c>
      <c r="W410">
        <v>0.64634907332796132</v>
      </c>
      <c r="X410" t="s">
        <v>138</v>
      </c>
      <c r="Y410">
        <v>0.038780944399677678</v>
      </c>
      <c r="Z410">
        <v>0</v>
      </c>
      <c r="AA410" t="s">
        <v>139</v>
      </c>
      <c r="AB410">
        <v>0.077561888799355355</v>
      </c>
      <c r="AC410">
        <v>0.76269190652699437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Q410" t="s">
        <v>9</v>
      </c>
      <c r="AR410" t="s">
        <v>141</v>
      </c>
      <c r="AS410">
        <v>0.61240934730056407</v>
      </c>
    </row>
    <row r="411" spans="1:45" ht="12.75">
      <c r="A411" s="2" t="str">
        <f>HYPERLINK("https://ibp.a2mac1.com/costing(costing:projects/details/8191/material/5317812)","PET SHOODY 1000 gsm")</f>
        <v>PET SHOODY 1000 gsm</v>
      </c>
      <c r="B411">
        <v>5317812</v>
      </c>
      <c r="C411">
        <v>6973903</v>
      </c>
      <c r="E411">
        <v>2.66</v>
      </c>
      <c r="F411" t="s">
        <v>4048</v>
      </c>
      <c r="G411">
        <v>86.87</v>
      </c>
      <c r="H411" t="s">
        <v>4049</v>
      </c>
      <c r="I411">
        <v>0</v>
      </c>
      <c r="J411">
        <v>2.001136786813273</v>
      </c>
      <c r="K411">
        <v>0</v>
      </c>
      <c r="L411">
        <v>0</v>
      </c>
      <c r="M411">
        <v>0</v>
      </c>
      <c r="O411">
        <v>200000</v>
      </c>
      <c r="R411" t="s">
        <v>136</v>
      </c>
      <c r="S411">
        <v>0</v>
      </c>
      <c r="T411">
        <v>0.087537792103142623</v>
      </c>
      <c r="U411" t="s">
        <v>137</v>
      </c>
      <c r="V411">
        <v>0.1500402900886382</v>
      </c>
      <c r="W411">
        <v>4.5244435132957292</v>
      </c>
      <c r="X411" t="s">
        <v>138</v>
      </c>
      <c r="Y411">
        <v>0.27146661079774376</v>
      </c>
      <c r="Z411">
        <v>0</v>
      </c>
      <c r="AA411" t="s">
        <v>139</v>
      </c>
      <c r="AB411">
        <v>0.54293322159548751</v>
      </c>
      <c r="AC411">
        <v>5.3388433456889608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Q411" t="s">
        <v>9</v>
      </c>
      <c r="AR411" t="s">
        <v>141</v>
      </c>
      <c r="AS411">
        <v>4.2868654311039487</v>
      </c>
    </row>
    <row r="412" spans="1:45" ht="12.75">
      <c r="A412" s="2" t="str">
        <f>HYPERLINK("https://ibp.a2mac1.com/costing(costing:projects/details/8191/material/5317813)","PET SHOODY 1000 gsm")</f>
        <v>PET SHOODY 1000 gsm</v>
      </c>
      <c r="B412">
        <v>5317813</v>
      </c>
      <c r="C412">
        <v>6973907</v>
      </c>
      <c r="E412">
        <v>2.66</v>
      </c>
      <c r="F412" t="s">
        <v>4056</v>
      </c>
      <c r="G412">
        <v>86.87</v>
      </c>
      <c r="H412" t="s">
        <v>4057</v>
      </c>
      <c r="I412">
        <v>0</v>
      </c>
      <c r="J412">
        <v>2.001136786813273</v>
      </c>
      <c r="K412">
        <v>0</v>
      </c>
      <c r="L412">
        <v>0</v>
      </c>
      <c r="M412">
        <v>0</v>
      </c>
      <c r="O412">
        <v>200000</v>
      </c>
      <c r="R412" t="s">
        <v>136</v>
      </c>
      <c r="S412">
        <v>0</v>
      </c>
      <c r="T412">
        <v>0.048145785656728446</v>
      </c>
      <c r="U412" t="s">
        <v>137</v>
      </c>
      <c r="V412">
        <v>0.082522159548751001</v>
      </c>
      <c r="W412">
        <v>2.4884439323126513</v>
      </c>
      <c r="X412" t="s">
        <v>138</v>
      </c>
      <c r="Y412">
        <v>0.14930663593875906</v>
      </c>
      <c r="Z412">
        <v>0</v>
      </c>
      <c r="AA412" t="s">
        <v>139</v>
      </c>
      <c r="AB412">
        <v>0.29861327187751813</v>
      </c>
      <c r="AC412">
        <v>2.9363638401289283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Q412" t="s">
        <v>9</v>
      </c>
      <c r="AR412" t="s">
        <v>141</v>
      </c>
      <c r="AS412">
        <v>2.3577759871071717</v>
      </c>
    </row>
    <row r="413" spans="1:45" ht="12.75">
      <c r="A413" s="2" t="str">
        <f>HYPERLINK("https://ibp.a2mac1.com/costing(costing:projects/details/8191/material/5317889)","PA66")</f>
        <v>PA66</v>
      </c>
      <c r="B413">
        <v>5317889</v>
      </c>
      <c r="C413">
        <v>6973947</v>
      </c>
      <c r="E413">
        <v>2.03416</v>
      </c>
      <c r="F413" t="s">
        <v>4064</v>
      </c>
      <c r="G413">
        <v>95</v>
      </c>
      <c r="H413" t="s">
        <v>4065</v>
      </c>
      <c r="I413">
        <v>5</v>
      </c>
      <c r="J413">
        <v>0.50345253019720215</v>
      </c>
      <c r="K413">
        <v>0</v>
      </c>
      <c r="M413">
        <v>0</v>
      </c>
      <c r="O413">
        <v>200000</v>
      </c>
      <c r="R413" t="s">
        <v>136</v>
      </c>
      <c r="S413">
        <v>0.0094320787368421047</v>
      </c>
      <c r="T413">
        <v>0.019090527363368422</v>
      </c>
      <c r="U413" t="s">
        <v>137</v>
      </c>
      <c r="V413">
        <v>0.13204910231578948</v>
      </c>
      <c r="W413">
        <v>3.9145390456791578</v>
      </c>
      <c r="X413" t="s">
        <v>90</v>
      </c>
      <c r="Y413">
        <v>0</v>
      </c>
      <c r="Z413">
        <v>0</v>
      </c>
      <c r="AA413" t="s">
        <v>90</v>
      </c>
      <c r="AB413">
        <v>0</v>
      </c>
      <c r="AC413">
        <v>3.9145390456791578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Q413" t="s">
        <v>140</v>
      </c>
      <c r="AR413" t="s">
        <v>141</v>
      </c>
      <c r="AS413">
        <v>3.7728314947368422</v>
      </c>
    </row>
    <row r="414" spans="1:45" ht="12.75">
      <c r="A414" s="2" t="str">
        <f>HYPERLINK("https://ibp.a2mac1.com/costing(costing:projects/details/8191/material/5317890)","PP-PE")</f>
        <v>PP-PE</v>
      </c>
      <c r="B414">
        <v>5317890</v>
      </c>
      <c r="C414">
        <v>6973948</v>
      </c>
      <c r="E414">
        <v>1.34768</v>
      </c>
      <c r="F414" t="s">
        <v>4070</v>
      </c>
      <c r="G414">
        <v>95</v>
      </c>
      <c r="H414" t="s">
        <v>4071</v>
      </c>
      <c r="I414">
        <v>5</v>
      </c>
      <c r="J414">
        <v>0.50345253019720215</v>
      </c>
      <c r="K414">
        <v>0</v>
      </c>
      <c r="M414">
        <v>0</v>
      </c>
      <c r="O414">
        <v>200000</v>
      </c>
      <c r="R414" t="s">
        <v>136</v>
      </c>
      <c r="S414">
        <v>0.0021385553684210527</v>
      </c>
      <c r="T414">
        <v>0.0043284360656842104</v>
      </c>
      <c r="U414" t="s">
        <v>137</v>
      </c>
      <c r="V414">
        <v>0.029939775157894737</v>
      </c>
      <c r="W414">
        <v>0.88755180322357896</v>
      </c>
      <c r="X414" t="s">
        <v>90</v>
      </c>
      <c r="Y414">
        <v>0</v>
      </c>
      <c r="Z414">
        <v>0</v>
      </c>
      <c r="AA414" t="s">
        <v>90</v>
      </c>
      <c r="AB414">
        <v>0</v>
      </c>
      <c r="AC414">
        <v>0.88755180322357896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Q414" t="s">
        <v>140</v>
      </c>
      <c r="AR414" t="s">
        <v>141</v>
      </c>
      <c r="AS414">
        <v>0.85542214736842104</v>
      </c>
    </row>
    <row r="415" spans="1:45" ht="12.75">
      <c r="A415" s="2" t="str">
        <f>HYPERLINK("https://ibp.a2mac1.com/costing(costing:projects/details/8191/material/5317891)","PC-ABS")</f>
        <v>PC-ABS</v>
      </c>
      <c r="B415">
        <v>5317891</v>
      </c>
      <c r="C415">
        <v>6973949</v>
      </c>
      <c r="E415">
        <v>2.29312</v>
      </c>
      <c r="F415" t="s">
        <v>2725</v>
      </c>
      <c r="G415">
        <v>95</v>
      </c>
      <c r="H415" t="s">
        <v>2726</v>
      </c>
      <c r="I415">
        <v>5</v>
      </c>
      <c r="J415">
        <v>0.50345253019720215</v>
      </c>
      <c r="K415">
        <v>0</v>
      </c>
      <c r="M415">
        <v>0</v>
      </c>
      <c r="O415">
        <v>200000</v>
      </c>
      <c r="R415" t="s">
        <v>136</v>
      </c>
      <c r="S415">
        <v>0.0013336303157894737</v>
      </c>
      <c r="T415">
        <v>0.002699267759157895</v>
      </c>
      <c r="U415" t="s">
        <v>137</v>
      </c>
      <c r="V415">
        <v>0.018670824421052633</v>
      </c>
      <c r="W415">
        <v>0.55348858818021052</v>
      </c>
      <c r="X415" t="s">
        <v>138</v>
      </c>
      <c r="Y415">
        <v>0.033209315290812634</v>
      </c>
      <c r="Z415">
        <v>0</v>
      </c>
      <c r="AA415" t="s">
        <v>139</v>
      </c>
      <c r="AB415">
        <v>0.066418630581625268</v>
      </c>
      <c r="AC415">
        <v>0.65311653405264847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Q415" t="s">
        <v>140</v>
      </c>
      <c r="AR415" t="s">
        <v>141</v>
      </c>
      <c r="AS415">
        <v>0.53345212631578942</v>
      </c>
    </row>
    <row r="416" spans="1:45" ht="12.75">
      <c r="A416" s="2" t="str">
        <f>HYPERLINK("https://ibp.a2mac1.com/costing(costing:projects/details/8191/material/5318011)","PP-PE")</f>
        <v>PP-PE</v>
      </c>
      <c r="B416">
        <v>5318011</v>
      </c>
      <c r="C416">
        <v>6974018</v>
      </c>
      <c r="E416">
        <v>1.34768</v>
      </c>
      <c r="F416" t="s">
        <v>4081</v>
      </c>
      <c r="G416">
        <v>95</v>
      </c>
      <c r="H416" t="s">
        <v>4082</v>
      </c>
      <c r="I416">
        <v>5</v>
      </c>
      <c r="J416">
        <v>0.50345253019720215</v>
      </c>
      <c r="K416">
        <v>0</v>
      </c>
      <c r="M416">
        <v>0</v>
      </c>
      <c r="O416">
        <v>200000</v>
      </c>
      <c r="R416" t="s">
        <v>136</v>
      </c>
      <c r="S416">
        <v>0.0014186105263157894</v>
      </c>
      <c r="T416">
        <v>0.002871267705263158</v>
      </c>
      <c r="U416" t="s">
        <v>137</v>
      </c>
      <c r="V416">
        <v>0.019860547368421053</v>
      </c>
      <c r="W416">
        <v>0.58875741507368418</v>
      </c>
      <c r="X416" t="s">
        <v>90</v>
      </c>
      <c r="Y416">
        <v>0</v>
      </c>
      <c r="Z416">
        <v>0</v>
      </c>
      <c r="AA416" t="s">
        <v>90</v>
      </c>
      <c r="AB416">
        <v>0</v>
      </c>
      <c r="AC416">
        <v>0.58875741507368418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Q416" t="s">
        <v>140</v>
      </c>
      <c r="AR416" t="s">
        <v>141</v>
      </c>
      <c r="AS416">
        <v>0.56744421052631577</v>
      </c>
    </row>
    <row r="417" spans="1:45" ht="12.75">
      <c r="A417" s="2" t="str">
        <f>HYPERLINK("https://ibp.a2mac1.com/costing(costing:projects/details/8191/material/5318012)","PP-PE")</f>
        <v>PP-PE</v>
      </c>
      <c r="B417">
        <v>5318012</v>
      </c>
      <c r="C417">
        <v>6974019</v>
      </c>
      <c r="E417">
        <v>1.34768</v>
      </c>
      <c r="F417" t="s">
        <v>4088</v>
      </c>
      <c r="G417">
        <v>95</v>
      </c>
      <c r="H417" t="s">
        <v>4089</v>
      </c>
      <c r="I417">
        <v>5</v>
      </c>
      <c r="J417">
        <v>0.50345253019720215</v>
      </c>
      <c r="K417">
        <v>0</v>
      </c>
      <c r="M417">
        <v>0</v>
      </c>
      <c r="O417">
        <v>200000</v>
      </c>
      <c r="R417" t="s">
        <v>136</v>
      </c>
      <c r="S417">
        <v>0.0014257035789473685</v>
      </c>
      <c r="T417">
        <v>0.0028856240437894736</v>
      </c>
      <c r="U417" t="s">
        <v>137</v>
      </c>
      <c r="V417">
        <v>0.019959850105263157</v>
      </c>
      <c r="W417">
        <v>0.59170120214905264</v>
      </c>
      <c r="X417" t="s">
        <v>90</v>
      </c>
      <c r="Y417">
        <v>0</v>
      </c>
      <c r="Z417">
        <v>0</v>
      </c>
      <c r="AA417" t="s">
        <v>90</v>
      </c>
      <c r="AB417">
        <v>0</v>
      </c>
      <c r="AC417">
        <v>0.59170120214905264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Q417" t="s">
        <v>140</v>
      </c>
      <c r="AR417" t="s">
        <v>141</v>
      </c>
      <c r="AS417">
        <v>0.5702814315789474</v>
      </c>
    </row>
    <row r="418" spans="1:45" ht="12.75">
      <c r="A418" s="2" t="str">
        <f>HYPERLINK("https://ibp.a2mac1.com/costing(costing:projects/details/8191/material/5317892)","Steel sheet (default)")</f>
        <v>Steel sheet (default)</v>
      </c>
      <c r="B418">
        <v>5317892</v>
      </c>
      <c r="C418">
        <v>6973953</v>
      </c>
      <c r="E418">
        <v>0.52766000000000002</v>
      </c>
      <c r="F418" t="s">
        <v>4096</v>
      </c>
      <c r="G418">
        <v>100</v>
      </c>
      <c r="H418" t="s">
        <v>4097</v>
      </c>
      <c r="I418">
        <v>30</v>
      </c>
      <c r="J418">
        <v>0.30705427283965386</v>
      </c>
      <c r="K418">
        <v>0</v>
      </c>
      <c r="M418">
        <v>0</v>
      </c>
      <c r="O418">
        <v>200000</v>
      </c>
      <c r="R418" t="s">
        <v>136</v>
      </c>
      <c r="S418">
        <v>0</v>
      </c>
      <c r="T418">
        <v>0.0011473861168</v>
      </c>
      <c r="U418" t="s">
        <v>137</v>
      </c>
      <c r="V418">
        <v>0.0130384786</v>
      </c>
      <c r="W418">
        <v>0.38671382471679999</v>
      </c>
      <c r="X418" t="s">
        <v>138</v>
      </c>
      <c r="Y418">
        <v>0.023202829483007999</v>
      </c>
      <c r="Z418">
        <v>0</v>
      </c>
      <c r="AA418" t="s">
        <v>139</v>
      </c>
      <c r="AB418">
        <v>0.046405658966015999</v>
      </c>
      <c r="AC418">
        <v>0.456322313165824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Q418" t="s">
        <v>140</v>
      </c>
      <c r="AR418" t="s">
        <v>141</v>
      </c>
      <c r="AS418">
        <v>0.37252795999999999</v>
      </c>
    </row>
    <row r="419" spans="1:45" ht="12.75">
      <c r="A419" s="2" t="str">
        <f>HYPERLINK("https://ibp.a2mac1.com/costing(costing:projects/details/8191/material/5317893)","Steel sheet (default)")</f>
        <v>Steel sheet (default)</v>
      </c>
      <c r="B419">
        <v>5317893</v>
      </c>
      <c r="C419">
        <v>6973954</v>
      </c>
      <c r="E419">
        <v>0.52766000000000002</v>
      </c>
      <c r="F419" t="s">
        <v>4103</v>
      </c>
      <c r="G419">
        <v>100</v>
      </c>
      <c r="H419" t="s">
        <v>4104</v>
      </c>
      <c r="I419">
        <v>30</v>
      </c>
      <c r="J419">
        <v>0.30705427283965386</v>
      </c>
      <c r="K419">
        <v>0</v>
      </c>
      <c r="M419">
        <v>0</v>
      </c>
      <c r="O419">
        <v>200000</v>
      </c>
      <c r="R419" t="s">
        <v>136</v>
      </c>
      <c r="S419">
        <v>0</v>
      </c>
      <c r="T419">
        <v>0.00045992956239999998</v>
      </c>
      <c r="U419" t="s">
        <v>137</v>
      </c>
      <c r="V419">
        <v>0.0052264722999999999</v>
      </c>
      <c r="W419">
        <v>0.15501418186240001</v>
      </c>
      <c r="X419" t="s">
        <v>138</v>
      </c>
      <c r="Y419">
        <v>0.0093008509117439991</v>
      </c>
      <c r="Z419">
        <v>0</v>
      </c>
      <c r="AA419" t="s">
        <v>139</v>
      </c>
      <c r="AB419">
        <v>0.018601701823487998</v>
      </c>
      <c r="AC419">
        <v>0.182916734597632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Q419" t="s">
        <v>140</v>
      </c>
      <c r="AR419" t="s">
        <v>141</v>
      </c>
      <c r="AS419">
        <v>0.14932777999999999</v>
      </c>
    </row>
    <row r="420" spans="1:45" ht="12.75">
      <c r="A420" s="2" t="str">
        <f>HYPERLINK("https://ibp.a2mac1.com/costing(costing:projects/details/8191/material/5317896)","PP")</f>
        <v>PP</v>
      </c>
      <c r="B420">
        <v>5317896</v>
      </c>
      <c r="C420">
        <v>6973957</v>
      </c>
      <c r="E420">
        <v>1.0113799999999999</v>
      </c>
      <c r="F420" t="s">
        <v>4119</v>
      </c>
      <c r="G420">
        <v>98.039199999999994</v>
      </c>
      <c r="H420" t="s">
        <v>4120</v>
      </c>
      <c r="I420">
        <v>5</v>
      </c>
      <c r="J420">
        <v>0.10389195236953569</v>
      </c>
      <c r="K420">
        <v>0</v>
      </c>
      <c r="M420">
        <v>0</v>
      </c>
      <c r="O420">
        <v>200000</v>
      </c>
      <c r="R420" t="s">
        <v>136</v>
      </c>
      <c r="S420">
        <v>0.00034083784121453458</v>
      </c>
      <c r="T420">
        <v>0.00036155788949726234</v>
      </c>
      <c r="U420" t="s">
        <v>137</v>
      </c>
      <c r="V420">
        <v>0.012167813588850175</v>
      </c>
      <c r="W420">
        <v>0.3598403504614236</v>
      </c>
      <c r="X420" t="s">
        <v>90</v>
      </c>
      <c r="Y420">
        <v>0</v>
      </c>
      <c r="Z420">
        <v>0</v>
      </c>
      <c r="AA420" t="s">
        <v>90</v>
      </c>
      <c r="AB420">
        <v>0</v>
      </c>
      <c r="AC420">
        <v>0.3598403504614236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Q420" t="s">
        <v>140</v>
      </c>
      <c r="AR420" t="s">
        <v>141</v>
      </c>
      <c r="AS420">
        <v>0.34765181682429069</v>
      </c>
    </row>
    <row r="421" spans="1:45" ht="12.75">
      <c r="A421" s="2" t="str">
        <f>HYPERLINK("https://ibp.a2mac1.com/costing(costing:projects/details/8191/material/5317897)","PC-ABS")</f>
        <v>PC-ABS</v>
      </c>
      <c r="B421">
        <v>5317897</v>
      </c>
      <c r="C421">
        <v>6973958</v>
      </c>
      <c r="E421">
        <v>2.29312</v>
      </c>
      <c r="F421" t="s">
        <v>4126</v>
      </c>
      <c r="G421">
        <v>95</v>
      </c>
      <c r="H421" t="s">
        <v>4127</v>
      </c>
      <c r="I421">
        <v>5</v>
      </c>
      <c r="J421">
        <v>0.50345253019720215</v>
      </c>
      <c r="K421">
        <v>0</v>
      </c>
      <c r="M421">
        <v>0</v>
      </c>
      <c r="O421">
        <v>200000</v>
      </c>
      <c r="R421" t="s">
        <v>136</v>
      </c>
      <c r="S421">
        <v>0.00079052294736842101</v>
      </c>
      <c r="T421">
        <v>0.0016000184454736841</v>
      </c>
      <c r="U421" t="s">
        <v>137</v>
      </c>
      <c r="V421">
        <v>0.011067321263157895</v>
      </c>
      <c r="W421">
        <v>0.32808599570863156</v>
      </c>
      <c r="X421" t="s">
        <v>90</v>
      </c>
      <c r="Y421">
        <v>0</v>
      </c>
      <c r="Z421">
        <v>0</v>
      </c>
      <c r="AA421" t="s">
        <v>90</v>
      </c>
      <c r="AB421">
        <v>0</v>
      </c>
      <c r="AC421">
        <v>0.32808599570863156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Q421" t="s">
        <v>140</v>
      </c>
      <c r="AR421" t="s">
        <v>141</v>
      </c>
      <c r="AS421">
        <v>0.31620917894736844</v>
      </c>
    </row>
    <row r="422" spans="1:45" ht="12.75">
      <c r="A422" s="2" t="str">
        <f>HYPERLINK("https://ibp.a2mac1.com/costing(costing:projects/details/8191/material/5317898)","PC-ABS")</f>
        <v>PC-ABS</v>
      </c>
      <c r="B422">
        <v>5317898</v>
      </c>
      <c r="C422">
        <v>6973959</v>
      </c>
      <c r="E422">
        <v>2.29312</v>
      </c>
      <c r="F422" t="s">
        <v>2879</v>
      </c>
      <c r="G422">
        <v>95</v>
      </c>
      <c r="H422" t="s">
        <v>2880</v>
      </c>
      <c r="I422">
        <v>5</v>
      </c>
      <c r="J422">
        <v>0.50345253019720215</v>
      </c>
      <c r="K422">
        <v>0</v>
      </c>
      <c r="M422">
        <v>0</v>
      </c>
      <c r="O422">
        <v>200000</v>
      </c>
      <c r="R422" t="s">
        <v>136</v>
      </c>
      <c r="S422">
        <v>7.8448842105263158E-05</v>
      </c>
      <c r="T422">
        <v>0.00015878045642105264</v>
      </c>
      <c r="U422" t="s">
        <v>137</v>
      </c>
      <c r="V422">
        <v>0.0010982837894736842</v>
      </c>
      <c r="W422">
        <v>0.032558152245894735</v>
      </c>
      <c r="X422" t="s">
        <v>90</v>
      </c>
      <c r="Y422">
        <v>0</v>
      </c>
      <c r="Z422">
        <v>0</v>
      </c>
      <c r="AA422" t="s">
        <v>90</v>
      </c>
      <c r="AB422">
        <v>0</v>
      </c>
      <c r="AC422">
        <v>0.032558152245894735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Q422" t="s">
        <v>140</v>
      </c>
      <c r="AR422" t="s">
        <v>141</v>
      </c>
      <c r="AS422">
        <v>0.03137953684210526</v>
      </c>
    </row>
    <row r="423" spans="1:45" ht="12.75">
      <c r="A423" s="2" t="str">
        <f>HYPERLINK("https://ibp.a2mac1.com/costing(costing:projects/details/8191/material/5317899)","PC-ABS")</f>
        <v>PC-ABS</v>
      </c>
      <c r="B423">
        <v>5317899</v>
      </c>
      <c r="C423">
        <v>6973960</v>
      </c>
      <c r="E423">
        <v>2.29312</v>
      </c>
      <c r="F423" t="s">
        <v>4134</v>
      </c>
      <c r="G423">
        <v>95</v>
      </c>
      <c r="H423" t="s">
        <v>4135</v>
      </c>
      <c r="I423">
        <v>5</v>
      </c>
      <c r="J423">
        <v>0.50345253019720215</v>
      </c>
      <c r="K423">
        <v>0</v>
      </c>
      <c r="M423">
        <v>0</v>
      </c>
      <c r="O423">
        <v>200000</v>
      </c>
      <c r="R423" t="s">
        <v>136</v>
      </c>
      <c r="S423">
        <v>0.00082371284210526312</v>
      </c>
      <c r="T423">
        <v>0.0016671947924210527</v>
      </c>
      <c r="U423" t="s">
        <v>137</v>
      </c>
      <c r="V423">
        <v>0.011531979789473684</v>
      </c>
      <c r="W423">
        <v>0.34186059858189471</v>
      </c>
      <c r="X423" t="s">
        <v>90</v>
      </c>
      <c r="Y423">
        <v>0</v>
      </c>
      <c r="Z423">
        <v>0</v>
      </c>
      <c r="AA423" t="s">
        <v>90</v>
      </c>
      <c r="AB423">
        <v>0</v>
      </c>
      <c r="AC423">
        <v>0.34186059858189471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Q423" t="s">
        <v>140</v>
      </c>
      <c r="AR423" t="s">
        <v>141</v>
      </c>
      <c r="AS423">
        <v>0.32948513684210529</v>
      </c>
    </row>
    <row r="424" spans="1:45" ht="12.75">
      <c r="A424" s="2" t="str">
        <f>HYPERLINK("https://ibp.a2mac1.com/costing(costing:projects/details/8191/material/5317900)","TPU")</f>
        <v>TPU</v>
      </c>
      <c r="B424">
        <v>5317900</v>
      </c>
      <c r="C424">
        <v>6973960</v>
      </c>
      <c r="E424">
        <v>2.1818200000000001</v>
      </c>
      <c r="F424" t="s">
        <v>4134</v>
      </c>
      <c r="G424">
        <v>95</v>
      </c>
      <c r="H424" t="s">
        <v>4135</v>
      </c>
      <c r="I424">
        <v>5</v>
      </c>
      <c r="J424">
        <v>0.50345253019720215</v>
      </c>
      <c r="K424">
        <v>0</v>
      </c>
      <c r="M424">
        <v>0</v>
      </c>
      <c r="O424">
        <v>200000</v>
      </c>
      <c r="R424" t="s">
        <v>136</v>
      </c>
      <c r="S424">
        <v>0.00078373271052631583</v>
      </c>
      <c r="T424">
        <v>0.0015862750061052631</v>
      </c>
      <c r="U424" t="s">
        <v>137</v>
      </c>
      <c r="V424">
        <v>0.010972257947368421</v>
      </c>
      <c r="W424">
        <v>0.32526788445347371</v>
      </c>
      <c r="X424" t="s">
        <v>90</v>
      </c>
      <c r="Y424">
        <v>0</v>
      </c>
      <c r="Z424">
        <v>0</v>
      </c>
      <c r="AA424" t="s">
        <v>90</v>
      </c>
      <c r="AB424">
        <v>0</v>
      </c>
      <c r="AC424">
        <v>0.32526788445347371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Q424" t="s">
        <v>140</v>
      </c>
      <c r="AR424" t="s">
        <v>141</v>
      </c>
      <c r="AS424">
        <v>0.3134930842105263</v>
      </c>
    </row>
    <row r="425" spans="1:45" ht="12.75">
      <c r="A425" s="2" t="str">
        <f>HYPERLINK("https://ibp.a2mac1.com/costing(costing:projects/details/8191/material/5317901)","PC-ABS")</f>
        <v>PC-ABS</v>
      </c>
      <c r="B425">
        <v>5317901</v>
      </c>
      <c r="C425">
        <v>6973961</v>
      </c>
      <c r="E425">
        <v>2.29312</v>
      </c>
      <c r="F425" t="s">
        <v>3558</v>
      </c>
      <c r="G425">
        <v>95</v>
      </c>
      <c r="H425" t="s">
        <v>3559</v>
      </c>
      <c r="I425">
        <v>5</v>
      </c>
      <c r="J425">
        <v>0.50345253019720215</v>
      </c>
      <c r="K425">
        <v>0</v>
      </c>
      <c r="M425">
        <v>0</v>
      </c>
      <c r="O425">
        <v>200000</v>
      </c>
      <c r="R425" t="s">
        <v>136</v>
      </c>
      <c r="S425">
        <v>0.0010017313684210526</v>
      </c>
      <c r="T425">
        <v>0.0020275042896842105</v>
      </c>
      <c r="U425" t="s">
        <v>137</v>
      </c>
      <c r="V425">
        <v>0.014024239157894736</v>
      </c>
      <c r="W425">
        <v>0.41574255944757893</v>
      </c>
      <c r="X425" t="s">
        <v>90</v>
      </c>
      <c r="Y425">
        <v>0</v>
      </c>
      <c r="Z425">
        <v>0</v>
      </c>
      <c r="AA425" t="s">
        <v>90</v>
      </c>
      <c r="AB425">
        <v>0</v>
      </c>
      <c r="AC425">
        <v>0.41574255944757893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Q425" t="s">
        <v>140</v>
      </c>
      <c r="AR425" t="s">
        <v>141</v>
      </c>
      <c r="AS425">
        <v>0.40069254736842103</v>
      </c>
    </row>
    <row r="426" spans="1:45" ht="12.75">
      <c r="A426" s="2" t="str">
        <f>HYPERLINK("https://ibp.a2mac1.com/costing(costing:projects/details/8191/material/5317904)","PC-ABS")</f>
        <v>PC-ABS</v>
      </c>
      <c r="B426">
        <v>5317904</v>
      </c>
      <c r="C426">
        <v>6973962</v>
      </c>
      <c r="E426">
        <v>2.29312</v>
      </c>
      <c r="F426" t="s">
        <v>3995</v>
      </c>
      <c r="G426">
        <v>95</v>
      </c>
      <c r="H426" t="s">
        <v>4143</v>
      </c>
      <c r="I426">
        <v>5</v>
      </c>
      <c r="J426">
        <v>0.50345253019720215</v>
      </c>
      <c r="K426">
        <v>0</v>
      </c>
      <c r="M426">
        <v>0</v>
      </c>
      <c r="O426">
        <v>200000</v>
      </c>
      <c r="R426" t="s">
        <v>136</v>
      </c>
      <c r="S426">
        <v>0.00094138610526315789</v>
      </c>
      <c r="T426">
        <v>0.0019053654770526316</v>
      </c>
      <c r="U426" t="s">
        <v>137</v>
      </c>
      <c r="V426">
        <v>0.01317940547368421</v>
      </c>
      <c r="W426">
        <v>0.39069782695073685</v>
      </c>
      <c r="X426" t="s">
        <v>90</v>
      </c>
      <c r="Y426">
        <v>0</v>
      </c>
      <c r="Z426">
        <v>0</v>
      </c>
      <c r="AA426" t="s">
        <v>90</v>
      </c>
      <c r="AB426">
        <v>0</v>
      </c>
      <c r="AC426">
        <v>0.39069782695073685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Q426" t="s">
        <v>140</v>
      </c>
      <c r="AR426" t="s">
        <v>141</v>
      </c>
      <c r="AS426">
        <v>0.37655444210526318</v>
      </c>
    </row>
    <row r="427" spans="1:45" ht="12.75">
      <c r="A427" s="2" t="str">
        <f>HYPERLINK("https://ibp.a2mac1.com/costing(costing:projects/details/8191/material/5317905)","TPE")</f>
        <v>TPE</v>
      </c>
      <c r="B427">
        <v>5317905</v>
      </c>
      <c r="C427">
        <v>6973963</v>
      </c>
      <c r="E427">
        <v>1.5073099999999999</v>
      </c>
      <c r="F427" t="s">
        <v>3900</v>
      </c>
      <c r="G427">
        <v>95</v>
      </c>
      <c r="H427" t="s">
        <v>4147</v>
      </c>
      <c r="I427">
        <v>5</v>
      </c>
      <c r="J427">
        <v>0.50345253019720215</v>
      </c>
      <c r="K427">
        <v>0</v>
      </c>
      <c r="M427">
        <v>0</v>
      </c>
      <c r="O427">
        <v>200000</v>
      </c>
      <c r="R427" t="s">
        <v>136</v>
      </c>
      <c r="S427">
        <v>0.00032922823684210527</v>
      </c>
      <c r="T427">
        <v>0.00066635795136842102</v>
      </c>
      <c r="U427" t="s">
        <v>137</v>
      </c>
      <c r="V427">
        <v>0.0046091953157894735</v>
      </c>
      <c r="W427">
        <v>0.13663761976715791</v>
      </c>
      <c r="X427" t="s">
        <v>90</v>
      </c>
      <c r="Y427">
        <v>0</v>
      </c>
      <c r="Z427">
        <v>0</v>
      </c>
      <c r="AA427" t="s">
        <v>90</v>
      </c>
      <c r="AB427">
        <v>0</v>
      </c>
      <c r="AC427">
        <v>0.13663761976715791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Q427" t="s">
        <v>140</v>
      </c>
      <c r="AR427" t="s">
        <v>141</v>
      </c>
      <c r="AS427">
        <v>0.1316912947368421</v>
      </c>
    </row>
    <row r="428" spans="1:45" ht="12.75">
      <c r="A428" s="2" t="str">
        <f>HYPERLINK("https://ibp.a2mac1.com/costing(costing:projects/details/8191/material/5317906)","PC-ABS")</f>
        <v>PC-ABS</v>
      </c>
      <c r="B428">
        <v>5317906</v>
      </c>
      <c r="C428">
        <v>6973964</v>
      </c>
      <c r="E428">
        <v>2.29312</v>
      </c>
      <c r="F428" t="s">
        <v>3000</v>
      </c>
      <c r="G428">
        <v>95</v>
      </c>
      <c r="H428" t="s">
        <v>3098</v>
      </c>
      <c r="I428">
        <v>5</v>
      </c>
      <c r="J428">
        <v>0.50345253019720215</v>
      </c>
      <c r="K428">
        <v>0</v>
      </c>
      <c r="M428">
        <v>0</v>
      </c>
      <c r="O428">
        <v>200000</v>
      </c>
      <c r="R428" t="s">
        <v>136</v>
      </c>
      <c r="S428">
        <v>6.0345263157894739E-06</v>
      </c>
      <c r="T428">
        <v>1.2213881263157895E-05</v>
      </c>
      <c r="U428" t="s">
        <v>137</v>
      </c>
      <c r="V428">
        <v>8.4483368421052628E-05</v>
      </c>
      <c r="W428">
        <v>0.0025044732496842105</v>
      </c>
      <c r="X428" t="s">
        <v>138</v>
      </c>
      <c r="Y428">
        <v>0.00015026839498105264</v>
      </c>
      <c r="Z428">
        <v>0</v>
      </c>
      <c r="AA428" t="s">
        <v>139</v>
      </c>
      <c r="AB428">
        <v>0.00030053678996210529</v>
      </c>
      <c r="AC428">
        <v>0.0029552784346273684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Q428" t="s">
        <v>140</v>
      </c>
      <c r="AR428" t="s">
        <v>141</v>
      </c>
      <c r="AS428">
        <v>0.0024138105263157893</v>
      </c>
    </row>
    <row r="429" spans="1:45" ht="12.75">
      <c r="A429" s="2" t="str">
        <f>HYPERLINK("https://ibp.a2mac1.com/costing(costing:projects/details/8191/material/5317907)","PLASTIC UNKNOWN")</f>
        <v>PLASTIC UNKNOWN</v>
      </c>
      <c r="B429">
        <v>5317907</v>
      </c>
      <c r="C429">
        <v>6973965</v>
      </c>
      <c r="E429">
        <v>1.57609</v>
      </c>
      <c r="F429" t="s">
        <v>2805</v>
      </c>
      <c r="G429">
        <v>95</v>
      </c>
      <c r="H429" t="s">
        <v>2806</v>
      </c>
      <c r="I429">
        <v>0</v>
      </c>
      <c r="J429">
        <v>0.50048257265952256</v>
      </c>
      <c r="K429">
        <v>0</v>
      </c>
      <c r="M429">
        <v>0</v>
      </c>
      <c r="O429">
        <v>400000</v>
      </c>
      <c r="R429" t="s">
        <v>136</v>
      </c>
      <c r="S429">
        <v>0</v>
      </c>
      <c r="T429">
        <v>0.00073435839747368423</v>
      </c>
      <c r="U429" t="s">
        <v>137</v>
      </c>
      <c r="V429">
        <v>0.0051098496842105264</v>
      </c>
      <c r="W429">
        <v>0.15183991334484209</v>
      </c>
      <c r="X429" t="s">
        <v>90</v>
      </c>
      <c r="Y429">
        <v>0</v>
      </c>
      <c r="Z429">
        <v>0</v>
      </c>
      <c r="AA429" t="s">
        <v>90</v>
      </c>
      <c r="AB429">
        <v>0</v>
      </c>
      <c r="AC429">
        <v>0.15183991334484209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Q429" t="s">
        <v>9</v>
      </c>
      <c r="AR429" t="s">
        <v>141</v>
      </c>
      <c r="AS429">
        <v>0.14599570526315789</v>
      </c>
    </row>
    <row r="430" spans="1:45" ht="12.75">
      <c r="A430" s="2" t="str">
        <f>HYPERLINK("https://ibp.a2mac1.com/costing(costing:projects/details/8191/material/5317908)","PC-ABS")</f>
        <v>PC-ABS</v>
      </c>
      <c r="B430">
        <v>5317908</v>
      </c>
      <c r="C430">
        <v>6973966</v>
      </c>
      <c r="E430">
        <v>2.29312</v>
      </c>
      <c r="F430" t="s">
        <v>4161</v>
      </c>
      <c r="G430">
        <v>95</v>
      </c>
      <c r="H430" t="s">
        <v>4162</v>
      </c>
      <c r="I430">
        <v>5</v>
      </c>
      <c r="J430">
        <v>0.50048257265952256</v>
      </c>
      <c r="K430">
        <v>0</v>
      </c>
      <c r="M430">
        <v>0</v>
      </c>
      <c r="O430">
        <v>400000</v>
      </c>
      <c r="R430" t="s">
        <v>136</v>
      </c>
      <c r="S430">
        <v>4.5258947368421049E-05</v>
      </c>
      <c r="T430">
        <v>9.1061002105263163E-05</v>
      </c>
      <c r="U430" t="s">
        <v>137</v>
      </c>
      <c r="V430">
        <v>0.00063362526315789475</v>
      </c>
      <c r="W430">
        <v>0.018783006265263157</v>
      </c>
      <c r="X430" t="s">
        <v>138</v>
      </c>
      <c r="Y430">
        <v>0.0011269803759157895</v>
      </c>
      <c r="Z430">
        <v>0</v>
      </c>
      <c r="AA430" t="s">
        <v>139</v>
      </c>
      <c r="AB430">
        <v>0.0022539607518315789</v>
      </c>
      <c r="AC430">
        <v>0.022163947393010527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Q430" t="s">
        <v>140</v>
      </c>
      <c r="AR430" t="s">
        <v>141</v>
      </c>
      <c r="AS430">
        <v>0.018103578947368422</v>
      </c>
    </row>
    <row r="431" spans="1:45" ht="12.75">
      <c r="A431" s="2" t="str">
        <f>HYPERLINK("https://ibp.a2mac1.com/costing(costing:projects/details/8191/material/5317909)","Aluminum sheet (default, e.g. EN AW1050A)")</f>
        <v>Aluminum sheet (default, e.g. EN AW1050A)</v>
      </c>
      <c r="B431">
        <v>5317909</v>
      </c>
      <c r="C431">
        <v>6973967</v>
      </c>
      <c r="E431">
        <v>3.4857100000000001</v>
      </c>
      <c r="F431" t="s">
        <v>4166</v>
      </c>
      <c r="G431">
        <v>75</v>
      </c>
      <c r="H431" t="s">
        <v>4167</v>
      </c>
      <c r="I431">
        <v>30</v>
      </c>
      <c r="J431">
        <v>0.50345253019720215</v>
      </c>
      <c r="K431">
        <v>0</v>
      </c>
      <c r="M431">
        <v>0</v>
      </c>
      <c r="O431">
        <v>200000</v>
      </c>
      <c r="R431" t="s">
        <v>136</v>
      </c>
      <c r="S431">
        <v>0.0034857099999999999</v>
      </c>
      <c r="T431">
        <v>0.00023516923466666666</v>
      </c>
      <c r="U431" t="s">
        <v>137</v>
      </c>
      <c r="V431">
        <v>0.0016266646666666666</v>
      </c>
      <c r="W431">
        <v>0.044852257234666668</v>
      </c>
      <c r="X431" t="s">
        <v>90</v>
      </c>
      <c r="Y431">
        <v>0</v>
      </c>
      <c r="Z431">
        <v>0</v>
      </c>
      <c r="AA431" t="s">
        <v>90</v>
      </c>
      <c r="AB431">
        <v>0</v>
      </c>
      <c r="AC431">
        <v>0.044852257234666668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Q431" t="s">
        <v>140</v>
      </c>
      <c r="AR431" t="s">
        <v>141</v>
      </c>
      <c r="AS431">
        <v>0.046476133333333336</v>
      </c>
    </row>
    <row r="432" spans="1:45" ht="12.75">
      <c r="A432" s="2" t="str">
        <f>HYPERLINK("https://ibp.a2mac1.com/costing(costing:projects/details/8191/material/5317910)","Material")</f>
        <v>Material</v>
      </c>
      <c r="B432">
        <v>5317910</v>
      </c>
      <c r="C432">
        <v>6973968</v>
      </c>
      <c r="E432">
        <v>3.37</v>
      </c>
      <c r="F432" t="s">
        <v>296</v>
      </c>
      <c r="G432">
        <v>100</v>
      </c>
      <c r="H432" t="s">
        <v>297</v>
      </c>
      <c r="I432">
        <v>0</v>
      </c>
      <c r="J432">
        <v>0.50345253019720215</v>
      </c>
      <c r="K432">
        <v>0</v>
      </c>
      <c r="L432">
        <v>0</v>
      </c>
      <c r="M432">
        <v>0</v>
      </c>
      <c r="O432">
        <v>200000</v>
      </c>
      <c r="R432" t="s">
        <v>136</v>
      </c>
      <c r="S432">
        <v>0</v>
      </c>
      <c r="T432">
        <v>0.0170522</v>
      </c>
      <c r="U432" t="s">
        <v>137</v>
      </c>
      <c r="V432">
        <v>0.11795</v>
      </c>
      <c r="W432">
        <v>3.5050021999999998</v>
      </c>
      <c r="X432" t="s">
        <v>90</v>
      </c>
      <c r="Y432">
        <v>0</v>
      </c>
      <c r="Z432">
        <v>0</v>
      </c>
      <c r="AA432" t="s">
        <v>90</v>
      </c>
      <c r="AB432">
        <v>0</v>
      </c>
      <c r="AC432">
        <v>3.5050021999999998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Q432" t="s">
        <v>9</v>
      </c>
      <c r="AR432" t="s">
        <v>141</v>
      </c>
      <c r="AS432">
        <v>3.37</v>
      </c>
    </row>
    <row r="433" spans="1:45" ht="12.75">
      <c r="A433" s="2" t="str">
        <f>HYPERLINK("https://ibp.a2mac1.com/costing(costing:projects/details/8191/material/5317911)","PC-ABS")</f>
        <v>PC-ABS</v>
      </c>
      <c r="B433">
        <v>5317911</v>
      </c>
      <c r="C433">
        <v>6973969</v>
      </c>
      <c r="E433">
        <v>2.29312</v>
      </c>
      <c r="F433" t="s">
        <v>3905</v>
      </c>
      <c r="G433">
        <v>95</v>
      </c>
      <c r="H433" t="s">
        <v>4176</v>
      </c>
      <c r="I433">
        <v>5</v>
      </c>
      <c r="J433">
        <v>0.50345253019720215</v>
      </c>
      <c r="K433">
        <v>0</v>
      </c>
      <c r="M433">
        <v>0</v>
      </c>
      <c r="O433">
        <v>200000</v>
      </c>
      <c r="R433" t="s">
        <v>136</v>
      </c>
      <c r="S433">
        <v>0.00033793347368421051</v>
      </c>
      <c r="T433">
        <v>0.00068397735073684213</v>
      </c>
      <c r="U433" t="s">
        <v>137</v>
      </c>
      <c r="V433">
        <v>0.0047310686315789477</v>
      </c>
      <c r="W433">
        <v>0.14025050198231578</v>
      </c>
      <c r="X433" t="s">
        <v>90</v>
      </c>
      <c r="Y433">
        <v>0</v>
      </c>
      <c r="Z433">
        <v>0</v>
      </c>
      <c r="AA433" t="s">
        <v>90</v>
      </c>
      <c r="AB433">
        <v>0</v>
      </c>
      <c r="AC433">
        <v>0.14025050198231578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Q433" t="s">
        <v>140</v>
      </c>
      <c r="AR433" t="s">
        <v>141</v>
      </c>
      <c r="AS433">
        <v>0.13517338947368421</v>
      </c>
    </row>
    <row r="434" spans="1:45" ht="12.75">
      <c r="A434" s="2" t="str">
        <f>HYPERLINK("https://ibp.a2mac1.com/costing(costing:projects/details/8191/material/5317912)","PC-ABS")</f>
        <v>PC-ABS</v>
      </c>
      <c r="B434">
        <v>5317912</v>
      </c>
      <c r="C434">
        <v>6973970</v>
      </c>
      <c r="E434">
        <v>2.29312</v>
      </c>
      <c r="F434" t="s">
        <v>1878</v>
      </c>
      <c r="G434">
        <v>95</v>
      </c>
      <c r="H434" t="s">
        <v>4180</v>
      </c>
      <c r="I434">
        <v>5</v>
      </c>
      <c r="J434">
        <v>1.5030632547327778</v>
      </c>
      <c r="K434">
        <v>0</v>
      </c>
      <c r="M434">
        <v>0</v>
      </c>
      <c r="O434">
        <v>200000</v>
      </c>
      <c r="R434" t="s">
        <v>136</v>
      </c>
      <c r="S434">
        <v>0.0002715536842105263</v>
      </c>
      <c r="T434">
        <v>0.0016575636884210527</v>
      </c>
      <c r="U434" t="s">
        <v>137</v>
      </c>
      <c r="V434">
        <v>0.0038017515789473683</v>
      </c>
      <c r="W434">
        <v>0.11380923526736843</v>
      </c>
      <c r="X434" t="s">
        <v>90</v>
      </c>
      <c r="Y434">
        <v>0</v>
      </c>
      <c r="Z434">
        <v>0</v>
      </c>
      <c r="AA434" t="s">
        <v>90</v>
      </c>
      <c r="AB434">
        <v>0</v>
      </c>
      <c r="AC434">
        <v>0.11380923526736843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Q434" t="s">
        <v>140</v>
      </c>
      <c r="AR434" t="s">
        <v>141</v>
      </c>
      <c r="AS434">
        <v>0.10862147368421053</v>
      </c>
    </row>
    <row r="435" spans="1:45" ht="12.75">
      <c r="A435" s="2" t="str">
        <f>HYPERLINK("https://ibp.a2mac1.com/costing(costing:projects/details/8191/material/5317913)","Paint - Clear Coat")</f>
        <v>Paint - Clear Coat</v>
      </c>
      <c r="B435">
        <v>5317913</v>
      </c>
      <c r="C435">
        <v>6973971</v>
      </c>
      <c r="E435">
        <v>9.07</v>
      </c>
      <c r="F435" t="s">
        <v>4182</v>
      </c>
      <c r="G435">
        <v>100</v>
      </c>
      <c r="H435" t="s">
        <v>4182</v>
      </c>
      <c r="I435">
        <v>0</v>
      </c>
      <c r="J435">
        <v>1.0057812623742775</v>
      </c>
      <c r="K435">
        <v>0</v>
      </c>
      <c r="L435">
        <v>0</v>
      </c>
      <c r="M435">
        <v>0</v>
      </c>
      <c r="O435">
        <v>200000</v>
      </c>
      <c r="R435" t="s">
        <v>136</v>
      </c>
      <c r="S435">
        <v>0</v>
      </c>
      <c r="T435">
        <v>9.3072711999999994E-05</v>
      </c>
      <c r="U435" t="s">
        <v>137</v>
      </c>
      <c r="V435">
        <v>0.00032062449999999999</v>
      </c>
      <c r="W435">
        <v>0.0095743972119999993</v>
      </c>
      <c r="X435" t="s">
        <v>90</v>
      </c>
      <c r="Y435">
        <v>0</v>
      </c>
      <c r="Z435">
        <v>0</v>
      </c>
      <c r="AA435" t="s">
        <v>90</v>
      </c>
      <c r="AB435">
        <v>0</v>
      </c>
      <c r="AC435">
        <v>0.0095743972119999993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Q435" t="s">
        <v>9</v>
      </c>
      <c r="AR435" t="s">
        <v>141</v>
      </c>
      <c r="AS435">
        <v>0.0091607000000000008</v>
      </c>
    </row>
    <row r="436" spans="1:45" ht="12.75">
      <c r="A436" s="2" t="str">
        <f>HYPERLINK("https://ibp.a2mac1.com/costing(costing:projects/details/8191/material/5317914)","Paint - Primer")</f>
        <v>Paint - Primer</v>
      </c>
      <c r="B436">
        <v>5317914</v>
      </c>
      <c r="C436">
        <v>6973971</v>
      </c>
      <c r="E436">
        <v>6.96</v>
      </c>
      <c r="F436" t="s">
        <v>4184</v>
      </c>
      <c r="G436">
        <v>100</v>
      </c>
      <c r="H436" t="s">
        <v>4185</v>
      </c>
      <c r="I436">
        <v>0</v>
      </c>
      <c r="J436">
        <v>1.0057812623742775</v>
      </c>
      <c r="K436">
        <v>0</v>
      </c>
      <c r="L436">
        <v>0</v>
      </c>
      <c r="M436">
        <v>0</v>
      </c>
      <c r="O436">
        <v>200000</v>
      </c>
      <c r="R436" t="s">
        <v>136</v>
      </c>
      <c r="S436">
        <v>0</v>
      </c>
      <c r="T436">
        <v>8.4856319999999997E-05</v>
      </c>
      <c r="U436" t="s">
        <v>137</v>
      </c>
      <c r="V436">
        <v>0.00029231999999999999</v>
      </c>
      <c r="W436">
        <v>0.0087291763200000004</v>
      </c>
      <c r="X436" t="s">
        <v>90</v>
      </c>
      <c r="Y436">
        <v>0</v>
      </c>
      <c r="Z436">
        <v>0</v>
      </c>
      <c r="AA436" t="s">
        <v>90</v>
      </c>
      <c r="AB436">
        <v>0</v>
      </c>
      <c r="AC436">
        <v>0.0087291763200000004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Q436" t="s">
        <v>9</v>
      </c>
      <c r="AR436" t="s">
        <v>141</v>
      </c>
      <c r="AS436">
        <v>0.008352</v>
      </c>
    </row>
    <row r="437" spans="1:45" ht="12.75">
      <c r="A437" s="2" t="str">
        <f>HYPERLINK("https://ibp.a2mac1.com/costing(costing:projects/details/8191/material/5317915)","Paint - Base")</f>
        <v>Paint - Base</v>
      </c>
      <c r="B437">
        <v>5317915</v>
      </c>
      <c r="C437">
        <v>6973971</v>
      </c>
      <c r="E437">
        <v>11.27</v>
      </c>
      <c r="F437" t="s">
        <v>4186</v>
      </c>
      <c r="G437">
        <v>100</v>
      </c>
      <c r="H437" t="s">
        <v>4187</v>
      </c>
      <c r="I437">
        <v>0</v>
      </c>
      <c r="J437">
        <v>1.0057812623742775</v>
      </c>
      <c r="K437">
        <v>0</v>
      </c>
      <c r="L437">
        <v>0</v>
      </c>
      <c r="M437">
        <v>0</v>
      </c>
      <c r="O437">
        <v>200000</v>
      </c>
      <c r="R437" t="s">
        <v>136</v>
      </c>
      <c r="S437">
        <v>0</v>
      </c>
      <c r="T437">
        <v>0.00017175480000000001</v>
      </c>
      <c r="U437" t="s">
        <v>137</v>
      </c>
      <c r="V437">
        <v>0.00059167499999999995</v>
      </c>
      <c r="W437">
        <v>0.0176684298</v>
      </c>
      <c r="X437" t="s">
        <v>90</v>
      </c>
      <c r="Y437">
        <v>0</v>
      </c>
      <c r="Z437">
        <v>0</v>
      </c>
      <c r="AA437" t="s">
        <v>90</v>
      </c>
      <c r="AB437">
        <v>0</v>
      </c>
      <c r="AC437">
        <v>0.0176684298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Q437" t="s">
        <v>9</v>
      </c>
      <c r="AR437" t="s">
        <v>141</v>
      </c>
      <c r="AS437">
        <v>0.016905</v>
      </c>
    </row>
    <row r="438" spans="1:45" ht="12.75">
      <c r="A438" s="2" t="str">
        <f>HYPERLINK("https://ibp.a2mac1.com/costing(costing:projects/details/8191/material/5318013)","PC-ABS")</f>
        <v>PC-ABS</v>
      </c>
      <c r="B438">
        <v>5318013</v>
      </c>
      <c r="C438">
        <v>6974021</v>
      </c>
      <c r="E438">
        <v>2.29312</v>
      </c>
      <c r="F438" t="s">
        <v>3491</v>
      </c>
      <c r="G438">
        <v>95</v>
      </c>
      <c r="H438" t="s">
        <v>4193</v>
      </c>
      <c r="I438">
        <v>5</v>
      </c>
      <c r="J438">
        <v>0.50345253019720215</v>
      </c>
      <c r="K438">
        <v>0</v>
      </c>
      <c r="M438">
        <v>0</v>
      </c>
      <c r="O438">
        <v>200000</v>
      </c>
      <c r="R438" t="s">
        <v>136</v>
      </c>
      <c r="S438">
        <v>0.00040431326315789473</v>
      </c>
      <c r="T438">
        <v>0.00081833004463157896</v>
      </c>
      <c r="U438" t="s">
        <v>137</v>
      </c>
      <c r="V438">
        <v>0.0056603856842105263</v>
      </c>
      <c r="W438">
        <v>0.16779970772884212</v>
      </c>
      <c r="X438" t="s">
        <v>90</v>
      </c>
      <c r="Y438">
        <v>0</v>
      </c>
      <c r="Z438">
        <v>0</v>
      </c>
      <c r="AA438" t="s">
        <v>90</v>
      </c>
      <c r="AB438">
        <v>0</v>
      </c>
      <c r="AC438">
        <v>0.16779970772884212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Q438" t="s">
        <v>140</v>
      </c>
      <c r="AR438" t="s">
        <v>141</v>
      </c>
      <c r="AS438">
        <v>0.1617253052631579</v>
      </c>
    </row>
    <row r="439" spans="1:45" ht="12.75">
      <c r="A439" s="2" t="str">
        <f>HYPERLINK("https://ibp.a2mac1.com/costing(costing:projects/details/8191/material/5318014)","PC-ABS")</f>
        <v>PC-ABS</v>
      </c>
      <c r="B439">
        <v>5318014</v>
      </c>
      <c r="C439">
        <v>6974022</v>
      </c>
      <c r="E439">
        <v>2.29312</v>
      </c>
      <c r="F439" t="s">
        <v>4198</v>
      </c>
      <c r="G439">
        <v>95</v>
      </c>
      <c r="H439" t="s">
        <v>4199</v>
      </c>
      <c r="I439">
        <v>5</v>
      </c>
      <c r="J439">
        <v>0.50345253019720215</v>
      </c>
      <c r="K439">
        <v>0</v>
      </c>
      <c r="M439">
        <v>0</v>
      </c>
      <c r="O439">
        <v>200000</v>
      </c>
      <c r="R439" t="s">
        <v>136</v>
      </c>
      <c r="S439">
        <v>0.00046164126315789472</v>
      </c>
      <c r="T439">
        <v>0.000934361916631579</v>
      </c>
      <c r="U439" t="s">
        <v>137</v>
      </c>
      <c r="V439">
        <v>0.0064629776842105267</v>
      </c>
      <c r="W439">
        <v>0.19159220360084211</v>
      </c>
      <c r="X439" t="s">
        <v>90</v>
      </c>
      <c r="Y439">
        <v>0</v>
      </c>
      <c r="Z439">
        <v>0</v>
      </c>
      <c r="AA439" t="s">
        <v>90</v>
      </c>
      <c r="AB439">
        <v>0</v>
      </c>
      <c r="AC439">
        <v>0.19159220360084211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Q439" t="s">
        <v>140</v>
      </c>
      <c r="AR439" t="s">
        <v>141</v>
      </c>
      <c r="AS439">
        <v>0.18465650526315788</v>
      </c>
    </row>
    <row r="440" spans="1:45" ht="12.75">
      <c r="A440" s="2" t="str">
        <f>HYPERLINK("https://ibp.a2mac1.com/costing(costing:projects/details/8191/material/5318015)","PC-ABS")</f>
        <v>PC-ABS</v>
      </c>
      <c r="B440">
        <v>5318015</v>
      </c>
      <c r="C440">
        <v>6974023</v>
      </c>
      <c r="E440">
        <v>2.29312</v>
      </c>
      <c r="F440" t="s">
        <v>4204</v>
      </c>
      <c r="G440">
        <v>95</v>
      </c>
      <c r="H440" t="s">
        <v>4205</v>
      </c>
      <c r="I440">
        <v>5</v>
      </c>
      <c r="J440">
        <v>0.50345253019720215</v>
      </c>
      <c r="K440">
        <v>0</v>
      </c>
      <c r="M440">
        <v>0</v>
      </c>
      <c r="O440">
        <v>200000</v>
      </c>
      <c r="R440" t="s">
        <v>136</v>
      </c>
      <c r="S440">
        <v>0.0018646686315789474</v>
      </c>
      <c r="T440">
        <v>0.0037740893103157896</v>
      </c>
      <c r="U440" t="s">
        <v>137</v>
      </c>
      <c r="V440">
        <v>0.026105360842105262</v>
      </c>
      <c r="W440">
        <v>0.77388223415242108</v>
      </c>
      <c r="X440" t="s">
        <v>90</v>
      </c>
      <c r="Y440">
        <v>0</v>
      </c>
      <c r="Z440">
        <v>0</v>
      </c>
      <c r="AA440" t="s">
        <v>90</v>
      </c>
      <c r="AB440">
        <v>0</v>
      </c>
      <c r="AC440">
        <v>0.77388223415242108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Q440" t="s">
        <v>140</v>
      </c>
      <c r="AR440" t="s">
        <v>141</v>
      </c>
      <c r="AS440">
        <v>0.74586745263157894</v>
      </c>
    </row>
    <row r="441" spans="1:45" ht="12.75">
      <c r="A441" s="2" t="str">
        <f>HYPERLINK("https://ibp.a2mac1.com/costing(costing:projects/details/8191/material/5318016)","PC-ABS")</f>
        <v>PC-ABS</v>
      </c>
      <c r="B441">
        <v>5318016</v>
      </c>
      <c r="C441">
        <v>6974024</v>
      </c>
      <c r="E441">
        <v>2.29312</v>
      </c>
      <c r="F441" t="s">
        <v>1280</v>
      </c>
      <c r="G441">
        <v>95</v>
      </c>
      <c r="H441" t="s">
        <v>1281</v>
      </c>
      <c r="I441">
        <v>5</v>
      </c>
      <c r="J441">
        <v>0.50048257265952256</v>
      </c>
      <c r="K441">
        <v>0</v>
      </c>
      <c r="M441">
        <v>0</v>
      </c>
      <c r="O441">
        <v>800000</v>
      </c>
      <c r="R441" t="s">
        <v>136</v>
      </c>
      <c r="S441">
        <v>1.8103578947368422E-05</v>
      </c>
      <c r="T441">
        <v>3.6424400842105265E-05</v>
      </c>
      <c r="U441" t="s">
        <v>137</v>
      </c>
      <c r="V441">
        <v>0.0002534501052631579</v>
      </c>
      <c r="W441">
        <v>0.0075132025061052628</v>
      </c>
      <c r="X441" t="s">
        <v>90</v>
      </c>
      <c r="Y441">
        <v>0</v>
      </c>
      <c r="Z441">
        <v>0</v>
      </c>
      <c r="AA441" t="s">
        <v>90</v>
      </c>
      <c r="AB441">
        <v>0</v>
      </c>
      <c r="AC441">
        <v>0.0075132025061052628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Q441" t="s">
        <v>140</v>
      </c>
      <c r="AR441" t="s">
        <v>141</v>
      </c>
      <c r="AS441">
        <v>0.0072414315789473688</v>
      </c>
    </row>
    <row r="442" spans="1:45" ht="12.75">
      <c r="A442" s="2" t="str">
        <f>HYPERLINK("https://ibp.a2mac1.com/costing(costing:projects/details/8191/material/5318017)","TPE")</f>
        <v>TPE</v>
      </c>
      <c r="B442">
        <v>5318017</v>
      </c>
      <c r="C442">
        <v>6974025</v>
      </c>
      <c r="E442">
        <v>1.5073099999999999</v>
      </c>
      <c r="F442" t="s">
        <v>4212</v>
      </c>
      <c r="G442">
        <v>95</v>
      </c>
      <c r="H442" t="s">
        <v>4213</v>
      </c>
      <c r="I442">
        <v>5</v>
      </c>
      <c r="J442">
        <v>0.50345253019720215</v>
      </c>
      <c r="K442">
        <v>0</v>
      </c>
      <c r="M442">
        <v>0</v>
      </c>
      <c r="O442">
        <v>200000</v>
      </c>
      <c r="R442" t="s">
        <v>136</v>
      </c>
      <c r="S442">
        <v>0.00029352878947368422</v>
      </c>
      <c r="T442">
        <v>0.00059410226989473687</v>
      </c>
      <c r="U442" t="s">
        <v>137</v>
      </c>
      <c r="V442">
        <v>0.004109403052631579</v>
      </c>
      <c r="W442">
        <v>0.12182149232252631</v>
      </c>
      <c r="X442" t="s">
        <v>90</v>
      </c>
      <c r="Y442">
        <v>0</v>
      </c>
      <c r="Z442">
        <v>0</v>
      </c>
      <c r="AA442" t="s">
        <v>90</v>
      </c>
      <c r="AB442">
        <v>0</v>
      </c>
      <c r="AC442">
        <v>0.12182149232252631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Q442" t="s">
        <v>140</v>
      </c>
      <c r="AR442" t="s">
        <v>141</v>
      </c>
      <c r="AS442">
        <v>0.11741151578947369</v>
      </c>
    </row>
    <row r="443" spans="1:45" ht="12.75">
      <c r="A443" s="2" t="str">
        <f>HYPERLINK("https://ibp.a2mac1.com/costing(costing:projects/details/8191/material/5318018)","PC-ABS")</f>
        <v>PC-ABS</v>
      </c>
      <c r="B443">
        <v>5318018</v>
      </c>
      <c r="C443">
        <v>6974026</v>
      </c>
      <c r="E443">
        <v>2.29312</v>
      </c>
      <c r="F443" t="s">
        <v>3035</v>
      </c>
      <c r="G443">
        <v>95</v>
      </c>
      <c r="H443" t="s">
        <v>3036</v>
      </c>
      <c r="I443">
        <v>5</v>
      </c>
      <c r="J443">
        <v>0.50048257265952256</v>
      </c>
      <c r="K443">
        <v>0</v>
      </c>
      <c r="M443">
        <v>0</v>
      </c>
      <c r="O443">
        <v>400000</v>
      </c>
      <c r="R443" t="s">
        <v>136</v>
      </c>
      <c r="S443">
        <v>2.4138105263157896E-05</v>
      </c>
      <c r="T443">
        <v>4.8565867789473682E-05</v>
      </c>
      <c r="U443" t="s">
        <v>137</v>
      </c>
      <c r="V443">
        <v>0.00033793347368421051</v>
      </c>
      <c r="W443">
        <v>0.010017603341473684</v>
      </c>
      <c r="X443" t="s">
        <v>90</v>
      </c>
      <c r="Y443">
        <v>0</v>
      </c>
      <c r="Z443">
        <v>0</v>
      </c>
      <c r="AA443" t="s">
        <v>90</v>
      </c>
      <c r="AB443">
        <v>0</v>
      </c>
      <c r="AC443">
        <v>0.010017603341473684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Q443" t="s">
        <v>140</v>
      </c>
      <c r="AR443" t="s">
        <v>141</v>
      </c>
      <c r="AS443">
        <v>0.0096552421052631572</v>
      </c>
    </row>
    <row r="444" spans="1:45" ht="12.75">
      <c r="A444" s="2" t="str">
        <f>HYPERLINK("https://ibp.a2mac1.com/costing(costing:projects/details/8191/material/5317916)","PC-ABS")</f>
        <v>PC-ABS</v>
      </c>
      <c r="B444">
        <v>5317916</v>
      </c>
      <c r="C444">
        <v>6973972</v>
      </c>
      <c r="E444">
        <v>2.29312</v>
      </c>
      <c r="F444" t="s">
        <v>4223</v>
      </c>
      <c r="G444">
        <v>95</v>
      </c>
      <c r="H444" t="s">
        <v>4224</v>
      </c>
      <c r="I444">
        <v>5</v>
      </c>
      <c r="J444">
        <v>0.50345253019720215</v>
      </c>
      <c r="K444">
        <v>0</v>
      </c>
      <c r="M444">
        <v>0</v>
      </c>
      <c r="O444">
        <v>200000</v>
      </c>
      <c r="R444" t="s">
        <v>136</v>
      </c>
      <c r="S444">
        <v>0.00074224673684210524</v>
      </c>
      <c r="T444">
        <v>0.001502307395368421</v>
      </c>
      <c r="U444" t="s">
        <v>137</v>
      </c>
      <c r="V444">
        <v>0.010391454315789474</v>
      </c>
      <c r="W444">
        <v>0.30805020971115787</v>
      </c>
      <c r="X444" t="s">
        <v>90</v>
      </c>
      <c r="Y444">
        <v>0</v>
      </c>
      <c r="Z444">
        <v>0</v>
      </c>
      <c r="AA444" t="s">
        <v>90</v>
      </c>
      <c r="AB444">
        <v>0</v>
      </c>
      <c r="AC444">
        <v>0.30805020971115787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Q444" t="s">
        <v>140</v>
      </c>
      <c r="AR444" t="s">
        <v>141</v>
      </c>
      <c r="AS444">
        <v>0.29689869473684211</v>
      </c>
    </row>
    <row r="445" spans="1:45" ht="12.75">
      <c r="A445" s="2" t="str">
        <f>HYPERLINK("https://ibp.a2mac1.com/costing(costing:projects/details/8191/material/5317814)","PP-PE")</f>
        <v>PP-PE</v>
      </c>
      <c r="B445">
        <v>5317814</v>
      </c>
      <c r="C445">
        <v>6973908</v>
      </c>
      <c r="E445">
        <v>1.34768</v>
      </c>
      <c r="F445" t="s">
        <v>4229</v>
      </c>
      <c r="G445">
        <v>95</v>
      </c>
      <c r="H445" t="s">
        <v>4230</v>
      </c>
      <c r="I445">
        <v>5</v>
      </c>
      <c r="J445">
        <v>0.50345253019720215</v>
      </c>
      <c r="K445">
        <v>0</v>
      </c>
      <c r="M445">
        <v>0</v>
      </c>
      <c r="O445">
        <v>200000</v>
      </c>
      <c r="R445" t="s">
        <v>136</v>
      </c>
      <c r="S445">
        <v>0.00058163031578947364</v>
      </c>
      <c r="T445">
        <v>0.0011772197591578947</v>
      </c>
      <c r="U445" t="s">
        <v>137</v>
      </c>
      <c r="V445">
        <v>0.0081428244210526319</v>
      </c>
      <c r="W445">
        <v>0.24139054018021053</v>
      </c>
      <c r="X445" t="s">
        <v>90</v>
      </c>
      <c r="Y445">
        <v>0</v>
      </c>
      <c r="Z445">
        <v>0</v>
      </c>
      <c r="AA445" t="s">
        <v>90</v>
      </c>
      <c r="AB445">
        <v>0</v>
      </c>
      <c r="AC445">
        <v>0.24139054018021053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Q445" t="s">
        <v>140</v>
      </c>
      <c r="AR445" t="s">
        <v>141</v>
      </c>
      <c r="AS445">
        <v>0.23265212631578946</v>
      </c>
    </row>
    <row r="446" spans="1:45" ht="12.75">
      <c r="A446" s="2" t="str">
        <f>HYPERLINK("https://ibp.a2mac1.com/costing(costing:projects/details/8191/material/5317815)","PP-PE")</f>
        <v>PP-PE</v>
      </c>
      <c r="B446">
        <v>5317815</v>
      </c>
      <c r="C446">
        <v>6973909</v>
      </c>
      <c r="E446">
        <v>1.34768</v>
      </c>
      <c r="F446" t="s">
        <v>4234</v>
      </c>
      <c r="G446">
        <v>95</v>
      </c>
      <c r="H446" t="s">
        <v>4235</v>
      </c>
      <c r="I446">
        <v>5</v>
      </c>
      <c r="J446">
        <v>0.50345253019720215</v>
      </c>
      <c r="K446">
        <v>0</v>
      </c>
      <c r="M446">
        <v>0</v>
      </c>
      <c r="O446">
        <v>200000</v>
      </c>
      <c r="R446" t="s">
        <v>136</v>
      </c>
      <c r="S446">
        <v>0.00010639578947368421</v>
      </c>
      <c r="T446">
        <v>0.00021534507789473684</v>
      </c>
      <c r="U446" t="s">
        <v>137</v>
      </c>
      <c r="V446">
        <v>0.001489541052631579</v>
      </c>
      <c r="W446">
        <v>0.044156806130526319</v>
      </c>
      <c r="X446" t="s">
        <v>90</v>
      </c>
      <c r="Y446">
        <v>0</v>
      </c>
      <c r="Z446">
        <v>0</v>
      </c>
      <c r="AA446" t="s">
        <v>90</v>
      </c>
      <c r="AB446">
        <v>0</v>
      </c>
      <c r="AC446">
        <v>0.044156806130526319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Q446" t="s">
        <v>140</v>
      </c>
      <c r="AR446" t="s">
        <v>141</v>
      </c>
      <c r="AS446">
        <v>0.042558315789473687</v>
      </c>
    </row>
    <row r="447" spans="1:45" ht="12.75">
      <c r="A447" s="2" t="str">
        <f>HYPERLINK("https://ibp.a2mac1.com/costing(costing:projects/details/8191/material/5317816)","PC-ABS")</f>
        <v>PC-ABS</v>
      </c>
      <c r="B447">
        <v>5317816</v>
      </c>
      <c r="C447">
        <v>6973910</v>
      </c>
      <c r="E447">
        <v>2.29312</v>
      </c>
      <c r="F447" t="s">
        <v>3255</v>
      </c>
      <c r="G447">
        <v>95</v>
      </c>
      <c r="H447" t="s">
        <v>3256</v>
      </c>
      <c r="I447">
        <v>5</v>
      </c>
      <c r="J447">
        <v>0.50345253019720215</v>
      </c>
      <c r="K447">
        <v>0</v>
      </c>
      <c r="M447">
        <v>0</v>
      </c>
      <c r="O447">
        <v>200000</v>
      </c>
      <c r="R447" t="s">
        <v>136</v>
      </c>
      <c r="S447">
        <v>0.00016896673684210526</v>
      </c>
      <c r="T447">
        <v>0.00034198867536842107</v>
      </c>
      <c r="U447" t="s">
        <v>137</v>
      </c>
      <c r="V447">
        <v>0.0023655343157894739</v>
      </c>
      <c r="W447">
        <v>0.070125250991157892</v>
      </c>
      <c r="X447" t="s">
        <v>90</v>
      </c>
      <c r="Y447">
        <v>0</v>
      </c>
      <c r="Z447">
        <v>0</v>
      </c>
      <c r="AA447" t="s">
        <v>90</v>
      </c>
      <c r="AB447">
        <v>0</v>
      </c>
      <c r="AC447">
        <v>0.070125250991157892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Q447" t="s">
        <v>140</v>
      </c>
      <c r="AR447" t="s">
        <v>141</v>
      </c>
      <c r="AS447">
        <v>0.067586694736842104</v>
      </c>
    </row>
    <row r="448" spans="1:45" ht="12.75">
      <c r="A448" s="2" t="str">
        <f>HYPERLINK("https://ibp.a2mac1.com/costing(costing:projects/details/8191/material/5317817)","PC-ABS")</f>
        <v>PC-ABS</v>
      </c>
      <c r="B448">
        <v>5317817</v>
      </c>
      <c r="C448">
        <v>6973911</v>
      </c>
      <c r="E448">
        <v>2.29312</v>
      </c>
      <c r="F448" t="s">
        <v>3781</v>
      </c>
      <c r="G448">
        <v>95</v>
      </c>
      <c r="H448" t="s">
        <v>3782</v>
      </c>
      <c r="I448">
        <v>5</v>
      </c>
      <c r="J448">
        <v>0.50345253019720215</v>
      </c>
      <c r="K448">
        <v>0</v>
      </c>
      <c r="M448">
        <v>0</v>
      </c>
      <c r="O448">
        <v>200000</v>
      </c>
      <c r="R448" t="s">
        <v>136</v>
      </c>
      <c r="S448">
        <v>0.00011465599999999999</v>
      </c>
      <c r="T448">
        <v>0.000232063744</v>
      </c>
      <c r="U448" t="s">
        <v>137</v>
      </c>
      <c r="V448">
        <v>0.001605184</v>
      </c>
      <c r="W448">
        <v>0.047584991744000001</v>
      </c>
      <c r="X448" t="s">
        <v>90</v>
      </c>
      <c r="Y448">
        <v>0</v>
      </c>
      <c r="Z448">
        <v>0</v>
      </c>
      <c r="AA448" t="s">
        <v>90</v>
      </c>
      <c r="AB448">
        <v>0</v>
      </c>
      <c r="AC448">
        <v>0.047584991744000001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Q448" t="s">
        <v>140</v>
      </c>
      <c r="AR448" t="s">
        <v>141</v>
      </c>
      <c r="AS448">
        <v>0.045862399999999998</v>
      </c>
    </row>
    <row r="449" spans="1:45" ht="12.75">
      <c r="A449" s="2" t="str">
        <f>HYPERLINK("https://ibp.a2mac1.com/costing(costing:projects/details/8191/material/5318019)","Material")</f>
        <v>Material</v>
      </c>
      <c r="B449">
        <v>5318019</v>
      </c>
      <c r="C449">
        <v>6974027</v>
      </c>
      <c r="E449">
        <v>4.68</v>
      </c>
      <c r="F449" t="s">
        <v>296</v>
      </c>
      <c r="G449">
        <v>100</v>
      </c>
      <c r="H449" t="s">
        <v>297</v>
      </c>
      <c r="I449">
        <v>0</v>
      </c>
      <c r="J449">
        <v>0.50345253019720215</v>
      </c>
      <c r="K449">
        <v>0</v>
      </c>
      <c r="L449">
        <v>0</v>
      </c>
      <c r="M449">
        <v>0</v>
      </c>
      <c r="O449">
        <v>200000</v>
      </c>
      <c r="R449" t="s">
        <v>136</v>
      </c>
      <c r="S449">
        <v>0</v>
      </c>
      <c r="T449">
        <v>0.023680799999999998</v>
      </c>
      <c r="U449" t="s">
        <v>137</v>
      </c>
      <c r="V449">
        <v>0.1638</v>
      </c>
      <c r="W449">
        <v>4.8674808000000001</v>
      </c>
      <c r="X449" t="s">
        <v>138</v>
      </c>
      <c r="Y449">
        <v>0.29204884800000003</v>
      </c>
      <c r="Z449">
        <v>0</v>
      </c>
      <c r="AA449" t="s">
        <v>139</v>
      </c>
      <c r="AB449">
        <v>0.58409769600000006</v>
      </c>
      <c r="AC449">
        <v>5.7436273440000001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Q449" t="s">
        <v>9</v>
      </c>
      <c r="AR449" t="s">
        <v>141</v>
      </c>
      <c r="AS449">
        <v>4.68</v>
      </c>
    </row>
    <row r="450" spans="1:45" ht="12.75">
      <c r="A450" s="2" t="str">
        <f>HYPERLINK("https://ibp.a2mac1.com/costing(costing:projects/details/8191/material/5318020)","Material")</f>
        <v>Material</v>
      </c>
      <c r="B450">
        <v>5318020</v>
      </c>
      <c r="C450">
        <v>6974028</v>
      </c>
      <c r="E450">
        <v>4.68</v>
      </c>
      <c r="F450" t="s">
        <v>296</v>
      </c>
      <c r="G450">
        <v>100</v>
      </c>
      <c r="H450" t="s">
        <v>297</v>
      </c>
      <c r="I450">
        <v>0</v>
      </c>
      <c r="J450">
        <v>0.50345253019720215</v>
      </c>
      <c r="K450">
        <v>0</v>
      </c>
      <c r="L450">
        <v>0</v>
      </c>
      <c r="M450">
        <v>0</v>
      </c>
      <c r="O450">
        <v>200000</v>
      </c>
      <c r="R450" t="s">
        <v>136</v>
      </c>
      <c r="S450">
        <v>0</v>
      </c>
      <c r="T450">
        <v>0.023680799999999998</v>
      </c>
      <c r="U450" t="s">
        <v>137</v>
      </c>
      <c r="V450">
        <v>0.1638</v>
      </c>
      <c r="W450">
        <v>4.8674808000000001</v>
      </c>
      <c r="X450" t="s">
        <v>138</v>
      </c>
      <c r="Y450">
        <v>0.29204884800000003</v>
      </c>
      <c r="Z450">
        <v>0</v>
      </c>
      <c r="AA450" t="s">
        <v>139</v>
      </c>
      <c r="AB450">
        <v>0.58409769600000006</v>
      </c>
      <c r="AC450">
        <v>5.7436273440000001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Q450" t="s">
        <v>9</v>
      </c>
      <c r="AR450" t="s">
        <v>141</v>
      </c>
      <c r="AS450">
        <v>4.68</v>
      </c>
    </row>
    <row r="451" spans="1:45" ht="12.75">
      <c r="A451" s="2" t="str">
        <f>HYPERLINK("https://ibp.a2mac1.com/costing(costing:projects/details/8191/material/5318021)","PC-ABS")</f>
        <v>PC-ABS</v>
      </c>
      <c r="B451">
        <v>5318021</v>
      </c>
      <c r="C451">
        <v>6974030</v>
      </c>
      <c r="E451">
        <v>2.29312</v>
      </c>
      <c r="F451" t="s">
        <v>4272</v>
      </c>
      <c r="G451">
        <v>95</v>
      </c>
      <c r="H451" t="s">
        <v>4273</v>
      </c>
      <c r="I451">
        <v>5</v>
      </c>
      <c r="J451">
        <v>0.50048257265952256</v>
      </c>
      <c r="K451">
        <v>0</v>
      </c>
      <c r="L451">
        <v>0</v>
      </c>
      <c r="M451">
        <v>0</v>
      </c>
      <c r="O451">
        <v>400000</v>
      </c>
      <c r="R451" t="s">
        <v>136</v>
      </c>
      <c r="S451">
        <v>2.7155368421052631E-05</v>
      </c>
      <c r="T451">
        <v>5.4636601263157898E-05</v>
      </c>
      <c r="U451" t="s">
        <v>137</v>
      </c>
      <c r="V451">
        <v>0.00038017515789473685</v>
      </c>
      <c r="W451">
        <v>0.011269803759157895</v>
      </c>
      <c r="X451" t="s">
        <v>138</v>
      </c>
      <c r="Y451">
        <v>0.00067618822554947372</v>
      </c>
      <c r="Z451">
        <v>0</v>
      </c>
      <c r="AA451" t="s">
        <v>139</v>
      </c>
      <c r="AB451">
        <v>0.0013523764510989474</v>
      </c>
      <c r="AC451">
        <v>0.013298368435806316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Q451" t="s">
        <v>140</v>
      </c>
      <c r="AR451" t="s">
        <v>141</v>
      </c>
      <c r="AS451">
        <v>0.010862147368421053</v>
      </c>
    </row>
    <row r="452" spans="1:45" ht="12.75">
      <c r="A452" s="2" t="str">
        <f>HYPERLINK("https://ibp.a2mac1.com/costing(costing:projects/details/8191/material/5318022)","PP")</f>
        <v>PP</v>
      </c>
      <c r="B452">
        <v>5318022</v>
      </c>
      <c r="C452">
        <v>6974031</v>
      </c>
      <c r="E452">
        <v>1.0113799999999999</v>
      </c>
      <c r="F452" t="s">
        <v>4279</v>
      </c>
      <c r="G452">
        <v>85.022900000000007</v>
      </c>
      <c r="H452" t="s">
        <v>4280</v>
      </c>
      <c r="I452">
        <v>5</v>
      </c>
      <c r="J452">
        <v>0.0019999600007999841</v>
      </c>
      <c r="K452">
        <v>0</v>
      </c>
      <c r="M452">
        <v>0</v>
      </c>
      <c r="O452">
        <v>400000</v>
      </c>
      <c r="R452" t="s">
        <v>136</v>
      </c>
      <c r="S452">
        <v>0.00010689500874235059</v>
      </c>
      <c r="T452">
        <v>2.8548920349694022E-07</v>
      </c>
      <c r="U452" t="s">
        <v>137</v>
      </c>
      <c r="V452">
        <v>0.00049960610611964539</v>
      </c>
      <c r="W452">
        <v>0.014667456761427803</v>
      </c>
      <c r="X452" t="s">
        <v>138</v>
      </c>
      <c r="Y452">
        <v>0.00088004740568566823</v>
      </c>
      <c r="Z452">
        <v>0</v>
      </c>
      <c r="AA452" t="s">
        <v>139</v>
      </c>
      <c r="AB452">
        <v>0.0017600948113713365</v>
      </c>
      <c r="AC452">
        <v>0.017307598978484807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Q452" t="s">
        <v>140</v>
      </c>
      <c r="AR452" t="s">
        <v>141</v>
      </c>
      <c r="AS452">
        <v>0.014274460174847011</v>
      </c>
    </row>
    <row r="453" spans="1:45" ht="12.75">
      <c r="A453" s="2" t="str">
        <f>HYPERLINK("https://ibp.a2mac1.com/costing(costing:projects/details/8191/material/5318023)","PP")</f>
        <v>PP</v>
      </c>
      <c r="B453">
        <v>5318023</v>
      </c>
      <c r="C453">
        <v>6974032</v>
      </c>
      <c r="E453">
        <v>1.0113799999999999</v>
      </c>
      <c r="F453" t="s">
        <v>4279</v>
      </c>
      <c r="G453">
        <v>85.022900000000007</v>
      </c>
      <c r="H453" t="s">
        <v>4280</v>
      </c>
      <c r="I453">
        <v>5</v>
      </c>
      <c r="J453">
        <v>0.0019999600007999841</v>
      </c>
      <c r="K453">
        <v>0</v>
      </c>
      <c r="M453">
        <v>0</v>
      </c>
      <c r="O453">
        <v>400000</v>
      </c>
      <c r="R453" t="s">
        <v>136</v>
      </c>
      <c r="S453">
        <v>0.00010689500874235059</v>
      </c>
      <c r="T453">
        <v>2.8548920349694022E-07</v>
      </c>
      <c r="U453" t="s">
        <v>137</v>
      </c>
      <c r="V453">
        <v>0.00049960610611964539</v>
      </c>
      <c r="W453">
        <v>0.014667456761427803</v>
      </c>
      <c r="X453" t="s">
        <v>138</v>
      </c>
      <c r="Y453">
        <v>0.00088004740568566823</v>
      </c>
      <c r="Z453">
        <v>0</v>
      </c>
      <c r="AA453" t="s">
        <v>139</v>
      </c>
      <c r="AB453">
        <v>0.0017600948113713365</v>
      </c>
      <c r="AC453">
        <v>0.017307598978484807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Q453" t="s">
        <v>140</v>
      </c>
      <c r="AR453" t="s">
        <v>141</v>
      </c>
      <c r="AS453">
        <v>0.014274460174847011</v>
      </c>
    </row>
    <row r="454" spans="1:45" ht="12.75">
      <c r="A454" s="2" t="str">
        <f>HYPERLINK("https://ibp.a2mac1.com/costing(costing:projects/details/8191/material/5318024)","Material")</f>
        <v>Material</v>
      </c>
      <c r="B454">
        <v>5318024</v>
      </c>
      <c r="C454">
        <v>6974035</v>
      </c>
      <c r="E454">
        <v>0.78</v>
      </c>
      <c r="F454" t="s">
        <v>296</v>
      </c>
      <c r="G454">
        <v>100</v>
      </c>
      <c r="H454" t="s">
        <v>297</v>
      </c>
      <c r="I454">
        <v>0</v>
      </c>
      <c r="J454">
        <v>1.0028412184570303</v>
      </c>
      <c r="K454">
        <v>0</v>
      </c>
      <c r="L454">
        <v>0</v>
      </c>
      <c r="M454">
        <v>0</v>
      </c>
      <c r="O454">
        <v>400000</v>
      </c>
      <c r="R454" t="s">
        <v>136</v>
      </c>
      <c r="S454">
        <v>0</v>
      </c>
      <c r="T454">
        <v>0.0079013999999999994</v>
      </c>
      <c r="U454" t="s">
        <v>137</v>
      </c>
      <c r="V454">
        <v>0.027300000000000001</v>
      </c>
      <c r="W454">
        <v>0.81520139999999996</v>
      </c>
      <c r="X454" t="s">
        <v>138</v>
      </c>
      <c r="Y454">
        <v>0.048912084000000002</v>
      </c>
      <c r="Z454">
        <v>0</v>
      </c>
      <c r="AA454" t="s">
        <v>139</v>
      </c>
      <c r="AB454">
        <v>0.097824168000000003</v>
      </c>
      <c r="AC454">
        <v>0.96193765200000003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Q454" t="s">
        <v>9</v>
      </c>
      <c r="AR454" t="s">
        <v>141</v>
      </c>
      <c r="AS454">
        <v>0.78</v>
      </c>
    </row>
    <row r="455" spans="1:45" ht="12.75">
      <c r="A455" s="2" t="str">
        <f>HYPERLINK("https://ibp.a2mac1.com/costing(costing:projects/details/8191/material/5318025)","Material")</f>
        <v>Material</v>
      </c>
      <c r="B455">
        <v>5318025</v>
      </c>
      <c r="C455">
        <v>6974036</v>
      </c>
      <c r="E455">
        <v>0.72</v>
      </c>
      <c r="F455" t="s">
        <v>296</v>
      </c>
      <c r="G455">
        <v>100</v>
      </c>
      <c r="H455" t="s">
        <v>297</v>
      </c>
      <c r="I455">
        <v>0</v>
      </c>
      <c r="J455">
        <v>1.0028412184570303</v>
      </c>
      <c r="K455">
        <v>0</v>
      </c>
      <c r="L455">
        <v>0</v>
      </c>
      <c r="M455">
        <v>0</v>
      </c>
      <c r="O455">
        <v>400000</v>
      </c>
      <c r="R455" t="s">
        <v>136</v>
      </c>
      <c r="S455">
        <v>0</v>
      </c>
      <c r="T455">
        <v>0.0072935999999999999</v>
      </c>
      <c r="U455" t="s">
        <v>137</v>
      </c>
      <c r="V455">
        <v>0.0252</v>
      </c>
      <c r="W455">
        <v>0.75249359999999998</v>
      </c>
      <c r="X455" t="s">
        <v>138</v>
      </c>
      <c r="Y455">
        <v>0.045149615999999997</v>
      </c>
      <c r="Z455">
        <v>0</v>
      </c>
      <c r="AA455" t="s">
        <v>139</v>
      </c>
      <c r="AB455">
        <v>0.090299231999999993</v>
      </c>
      <c r="AC455">
        <v>0.887942448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Q455" t="s">
        <v>9</v>
      </c>
      <c r="AR455" t="s">
        <v>141</v>
      </c>
      <c r="AS455">
        <v>0.72</v>
      </c>
    </row>
    <row r="456" spans="1:45" ht="12.75">
      <c r="A456" s="2" t="str">
        <f>HYPERLINK("https://ibp.a2mac1.com/costing(costing:projects/details/8191/material/5317919)","HDPE")</f>
        <v>HDPE</v>
      </c>
      <c r="B456">
        <v>5317919</v>
      </c>
      <c r="C456">
        <v>6973973</v>
      </c>
      <c r="E456">
        <v>0.96494000000000002</v>
      </c>
      <c r="F456" t="s">
        <v>3035</v>
      </c>
      <c r="G456">
        <v>76.417000000000002</v>
      </c>
      <c r="H456" t="s">
        <v>4298</v>
      </c>
      <c r="I456">
        <v>5</v>
      </c>
      <c r="J456">
        <v>0.0019999600007999841</v>
      </c>
      <c r="K456">
        <v>0</v>
      </c>
      <c r="M456">
        <v>0</v>
      </c>
      <c r="O456">
        <v>400000</v>
      </c>
      <c r="R456" t="s">
        <v>136</v>
      </c>
      <c r="S456">
        <v>5.9557899472630437E-05</v>
      </c>
      <c r="T456">
        <v>1.0101835978905217E-07</v>
      </c>
      <c r="U456" t="s">
        <v>137</v>
      </c>
      <c r="V456">
        <v>0.0001767821296308413</v>
      </c>
      <c r="W456">
        <v>0.0051682432379706088</v>
      </c>
      <c r="X456" t="s">
        <v>138</v>
      </c>
      <c r="Y456">
        <v>0.0003100945942782365</v>
      </c>
      <c r="Z456">
        <v>0</v>
      </c>
      <c r="AA456" t="s">
        <v>139</v>
      </c>
      <c r="AB456">
        <v>0.000620189188556473</v>
      </c>
      <c r="AC456">
        <v>0.0060985270208053178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Q456" t="s">
        <v>140</v>
      </c>
      <c r="AR456" t="s">
        <v>141</v>
      </c>
      <c r="AS456">
        <v>0.0050509179894526086</v>
      </c>
    </row>
    <row r="457" spans="1:45" ht="12.75">
      <c r="A457" s="2" t="str">
        <f>HYPERLINK("https://ibp.a2mac1.com/costing(costing:projects/details/8191/material/5318131)","PP-PE")</f>
        <v>PP-PE</v>
      </c>
      <c r="B457">
        <v>5318131</v>
      </c>
      <c r="C457">
        <v>6974114</v>
      </c>
      <c r="E457">
        <v>1.34768</v>
      </c>
      <c r="F457" t="s">
        <v>4308</v>
      </c>
      <c r="G457">
        <v>95</v>
      </c>
      <c r="H457" t="s">
        <v>4309</v>
      </c>
      <c r="I457">
        <v>5</v>
      </c>
      <c r="J457">
        <v>0.50345253019720215</v>
      </c>
      <c r="K457">
        <v>0</v>
      </c>
      <c r="M457">
        <v>0</v>
      </c>
      <c r="O457">
        <v>200000</v>
      </c>
      <c r="R457" t="s">
        <v>136</v>
      </c>
      <c r="S457">
        <v>0.0014115174736842105</v>
      </c>
      <c r="T457">
        <v>0.002856911366736842</v>
      </c>
      <c r="U457" t="s">
        <v>137</v>
      </c>
      <c r="V457">
        <v>0.019761244631578946</v>
      </c>
      <c r="W457">
        <v>0.58581362799831582</v>
      </c>
      <c r="X457" t="s">
        <v>138</v>
      </c>
      <c r="Y457">
        <v>0.035148817679898949</v>
      </c>
      <c r="Z457">
        <v>0</v>
      </c>
      <c r="AA457" t="s">
        <v>139</v>
      </c>
      <c r="AB457">
        <v>0.070297635359797897</v>
      </c>
      <c r="AC457">
        <v>0.69126008103801262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Q457" t="s">
        <v>140</v>
      </c>
      <c r="AR457" t="s">
        <v>141</v>
      </c>
      <c r="AS457">
        <v>0.56460698947368426</v>
      </c>
    </row>
    <row r="458" spans="1:45" ht="12.75">
      <c r="A458" s="2" t="str">
        <f>HYPERLINK("https://ibp.a2mac1.com/costing(costing:projects/details/8191/material/5318026)","PP-GF25")</f>
        <v>PP-GF25</v>
      </c>
      <c r="B458">
        <v>5318026</v>
      </c>
      <c r="C458">
        <v>6974037</v>
      </c>
      <c r="E458">
        <v>1.3090900000000001</v>
      </c>
      <c r="F458" t="s">
        <v>4314</v>
      </c>
      <c r="G458">
        <v>95</v>
      </c>
      <c r="H458" t="s">
        <v>4315</v>
      </c>
      <c r="I458">
        <v>30</v>
      </c>
      <c r="J458">
        <v>0.50345253019720215</v>
      </c>
      <c r="K458">
        <v>0</v>
      </c>
      <c r="L458">
        <v>0</v>
      </c>
      <c r="M458">
        <v>0</v>
      </c>
      <c r="O458">
        <v>200000</v>
      </c>
      <c r="R458" t="s">
        <v>136</v>
      </c>
      <c r="S458">
        <v>0.0068417177368421053</v>
      </c>
      <c r="T458">
        <v>0.0023079394498947367</v>
      </c>
      <c r="U458" t="s">
        <v>137</v>
      </c>
      <c r="V458">
        <v>0.015964008052631578</v>
      </c>
      <c r="W458">
        <v>0.4675447455551579</v>
      </c>
      <c r="X458" t="s">
        <v>138</v>
      </c>
      <c r="Y458">
        <v>0.028052684733309474</v>
      </c>
      <c r="Z458">
        <v>0</v>
      </c>
      <c r="AA458" t="s">
        <v>139</v>
      </c>
      <c r="AB458">
        <v>0.056105369466618947</v>
      </c>
      <c r="AC458">
        <v>0.55170279975508629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P458" t="s">
        <v>4316</v>
      </c>
      <c r="AQ458" t="s">
        <v>140</v>
      </c>
      <c r="AR458" t="s">
        <v>141</v>
      </c>
      <c r="AS458">
        <v>0.45611451578947371</v>
      </c>
    </row>
    <row r="459" spans="1:45" ht="12.75">
      <c r="A459" s="2" t="str">
        <f>HYPERLINK("https://ibp.a2mac1.com/costing(costing:projects/details/8191/material/5318027)","Fabric  skin")</f>
        <v>Fabric  skin</v>
      </c>
      <c r="B459">
        <v>5318027</v>
      </c>
      <c r="C459">
        <v>6974037</v>
      </c>
      <c r="D459" t="s">
        <v>4318</v>
      </c>
      <c r="E459">
        <v>2.06</v>
      </c>
      <c r="F459" t="s">
        <v>3403</v>
      </c>
      <c r="G459">
        <v>100</v>
      </c>
      <c r="H459" t="s">
        <v>2738</v>
      </c>
      <c r="I459">
        <v>0</v>
      </c>
      <c r="J459">
        <v>0.50345253019720215</v>
      </c>
      <c r="K459">
        <v>0</v>
      </c>
      <c r="L459">
        <v>0</v>
      </c>
      <c r="M459">
        <v>0</v>
      </c>
      <c r="O459">
        <v>200000</v>
      </c>
      <c r="R459" t="s">
        <v>79</v>
      </c>
      <c r="S459">
        <v>0</v>
      </c>
      <c r="T459">
        <v>0.00083388799999999997</v>
      </c>
      <c r="U459" t="s">
        <v>137</v>
      </c>
      <c r="V459">
        <v>0.0057679999999999997</v>
      </c>
      <c r="W459">
        <v>0.171401888</v>
      </c>
      <c r="X459" t="s">
        <v>138</v>
      </c>
      <c r="Y459">
        <v>0.01028411328</v>
      </c>
      <c r="Z459">
        <v>0</v>
      </c>
      <c r="AA459" t="s">
        <v>139</v>
      </c>
      <c r="AB459">
        <v>0.02056822656</v>
      </c>
      <c r="AC459">
        <v>0.20225422783999999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P459" t="s">
        <v>4319</v>
      </c>
      <c r="AQ459" t="s">
        <v>9</v>
      </c>
      <c r="AR459" t="s">
        <v>141</v>
      </c>
      <c r="AS459">
        <v>0.1648</v>
      </c>
    </row>
    <row r="460" spans="1:45" ht="12.75">
      <c r="A460" s="2" t="str">
        <f>HYPERLINK("https://ibp.a2mac1.com/costing(costing:projects/details/8191/material/5318028)","PP-PE")</f>
        <v>PP-PE</v>
      </c>
      <c r="B460">
        <v>5318028</v>
      </c>
      <c r="C460">
        <v>6974038</v>
      </c>
      <c r="E460">
        <v>1.34768</v>
      </c>
      <c r="F460" t="s">
        <v>4322</v>
      </c>
      <c r="G460">
        <v>95</v>
      </c>
      <c r="H460" t="s">
        <v>4323</v>
      </c>
      <c r="I460">
        <v>5</v>
      </c>
      <c r="J460">
        <v>0.50345253019720215</v>
      </c>
      <c r="K460">
        <v>0</v>
      </c>
      <c r="M460">
        <v>0</v>
      </c>
      <c r="O460">
        <v>200000</v>
      </c>
      <c r="R460" t="s">
        <v>136</v>
      </c>
      <c r="S460">
        <v>0.00018441936842105263</v>
      </c>
      <c r="T460">
        <v>0.00037326480168421055</v>
      </c>
      <c r="U460" t="s">
        <v>137</v>
      </c>
      <c r="V460">
        <v>0.0025818711578947367</v>
      </c>
      <c r="W460">
        <v>0.076538463959578945</v>
      </c>
      <c r="X460" t="s">
        <v>138</v>
      </c>
      <c r="Y460">
        <v>0.0045923078375747365</v>
      </c>
      <c r="Z460">
        <v>0</v>
      </c>
      <c r="AA460" t="s">
        <v>139</v>
      </c>
      <c r="AB460">
        <v>0.0091846156751494729</v>
      </c>
      <c r="AC460">
        <v>0.090315387472303152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Q460" t="s">
        <v>140</v>
      </c>
      <c r="AR460" t="s">
        <v>141</v>
      </c>
      <c r="AS460">
        <v>0.073767747368421052</v>
      </c>
    </row>
    <row r="461" spans="1:45" ht="12.75">
      <c r="A461" s="2" t="str">
        <f>HYPERLINK("https://ibp.a2mac1.com/costing(costing:projects/details/8191/material/5318029)","PP-PE")</f>
        <v>PP-PE</v>
      </c>
      <c r="B461">
        <v>5318029</v>
      </c>
      <c r="C461">
        <v>6974039</v>
      </c>
      <c r="E461">
        <v>1.34768</v>
      </c>
      <c r="F461" t="s">
        <v>2192</v>
      </c>
      <c r="G461">
        <v>95</v>
      </c>
      <c r="H461" t="s">
        <v>3439</v>
      </c>
      <c r="I461">
        <v>5</v>
      </c>
      <c r="J461">
        <v>0.50345253019720215</v>
      </c>
      <c r="K461">
        <v>0</v>
      </c>
      <c r="M461">
        <v>0</v>
      </c>
      <c r="O461">
        <v>200000</v>
      </c>
      <c r="R461" t="s">
        <v>136</v>
      </c>
      <c r="S461">
        <v>0.0010107600000000001</v>
      </c>
      <c r="T461">
        <v>0.0020457782400000002</v>
      </c>
      <c r="U461" t="s">
        <v>137</v>
      </c>
      <c r="V461">
        <v>0.014150640000000001</v>
      </c>
      <c r="W461">
        <v>0.41948965824000001</v>
      </c>
      <c r="X461" t="s">
        <v>138</v>
      </c>
      <c r="Y461">
        <v>0.025169379494399999</v>
      </c>
      <c r="Z461">
        <v>0</v>
      </c>
      <c r="AA461" t="s">
        <v>139</v>
      </c>
      <c r="AB461">
        <v>0.050338758988799998</v>
      </c>
      <c r="AC461">
        <v>0.49499779672319999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Q461" t="s">
        <v>140</v>
      </c>
      <c r="AR461" t="s">
        <v>141</v>
      </c>
      <c r="AS461">
        <v>0.404304</v>
      </c>
    </row>
    <row r="462" spans="1:45" ht="12.75">
      <c r="A462" s="2" t="str">
        <f>HYPERLINK("https://ibp.a2mac1.com/costing(costing:projects/details/8191/material/5318030)","PP-PE-TD15")</f>
        <v>PP-PE-TD15</v>
      </c>
      <c r="B462">
        <v>5318030</v>
      </c>
      <c r="C462">
        <v>6974040</v>
      </c>
      <c r="E462">
        <v>1.3684700000000001</v>
      </c>
      <c r="F462" t="s">
        <v>4330</v>
      </c>
      <c r="G462">
        <v>95</v>
      </c>
      <c r="H462" t="s">
        <v>4331</v>
      </c>
      <c r="I462">
        <v>5</v>
      </c>
      <c r="J462">
        <v>0.50345253019720215</v>
      </c>
      <c r="K462">
        <v>0</v>
      </c>
      <c r="L462">
        <v>0</v>
      </c>
      <c r="M462">
        <v>0</v>
      </c>
      <c r="O462">
        <v>200000</v>
      </c>
      <c r="R462" t="s">
        <v>136</v>
      </c>
      <c r="S462">
        <v>0.0010623648684210526</v>
      </c>
      <c r="T462">
        <v>0.0021502264936842106</v>
      </c>
      <c r="U462" t="s">
        <v>137</v>
      </c>
      <c r="V462">
        <v>0.014873108157894737</v>
      </c>
      <c r="W462">
        <v>0.44090691715157893</v>
      </c>
      <c r="X462" t="s">
        <v>138</v>
      </c>
      <c r="Y462">
        <v>0.026454415029094736</v>
      </c>
      <c r="Z462">
        <v>0</v>
      </c>
      <c r="AA462" t="s">
        <v>139</v>
      </c>
      <c r="AB462">
        <v>0.052908830058189471</v>
      </c>
      <c r="AC462">
        <v>0.52027016223886313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P462" t="s">
        <v>4332</v>
      </c>
      <c r="AQ462" t="s">
        <v>140</v>
      </c>
      <c r="AR462" t="s">
        <v>141</v>
      </c>
      <c r="AS462">
        <v>0.42494594736842106</v>
      </c>
    </row>
    <row r="463" spans="1:45" ht="12.75">
      <c r="A463" s="2" t="str">
        <f>HYPERLINK("https://ibp.a2mac1.com/costing(costing:projects/details/8191/material/5318031)","Fabric  skin")</f>
        <v>Fabric  skin</v>
      </c>
      <c r="B463">
        <v>5318031</v>
      </c>
      <c r="C463">
        <v>6974040</v>
      </c>
      <c r="D463" t="s">
        <v>4318</v>
      </c>
      <c r="E463">
        <v>2.06</v>
      </c>
      <c r="F463" t="s">
        <v>4334</v>
      </c>
      <c r="G463">
        <v>100</v>
      </c>
      <c r="H463" t="s">
        <v>4335</v>
      </c>
      <c r="I463">
        <v>0</v>
      </c>
      <c r="J463">
        <v>0.50345253019720215</v>
      </c>
      <c r="K463">
        <v>0</v>
      </c>
      <c r="L463">
        <v>0</v>
      </c>
      <c r="M463">
        <v>0</v>
      </c>
      <c r="O463">
        <v>200000</v>
      </c>
      <c r="R463" t="s">
        <v>79</v>
      </c>
      <c r="S463">
        <v>0</v>
      </c>
      <c r="T463">
        <v>0.00071922839999999995</v>
      </c>
      <c r="U463" t="s">
        <v>137</v>
      </c>
      <c r="V463">
        <v>0.0049749</v>
      </c>
      <c r="W463">
        <v>0.14783412839999999</v>
      </c>
      <c r="X463" t="s">
        <v>138</v>
      </c>
      <c r="Y463">
        <v>0.0088700477039999996</v>
      </c>
      <c r="Z463">
        <v>0</v>
      </c>
      <c r="AA463" t="s">
        <v>139</v>
      </c>
      <c r="AB463">
        <v>0.017740095407999999</v>
      </c>
      <c r="AC463">
        <v>0.17444427151200001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P463" t="s">
        <v>4319</v>
      </c>
      <c r="AQ463" t="s">
        <v>9</v>
      </c>
      <c r="AR463" t="s">
        <v>141</v>
      </c>
      <c r="AS463">
        <v>0.14213999999999999</v>
      </c>
    </row>
    <row r="464" spans="1:45" ht="12.75">
      <c r="A464" s="2" t="str">
        <f>HYPERLINK("https://ibp.a2mac1.com/costing(costing:projects/details/8191/material/5318032)","PP-PE")</f>
        <v>PP-PE</v>
      </c>
      <c r="B464">
        <v>5318032</v>
      </c>
      <c r="C464">
        <v>6974041</v>
      </c>
      <c r="E464">
        <v>1.34768</v>
      </c>
      <c r="F464" t="s">
        <v>4338</v>
      </c>
      <c r="G464">
        <v>95</v>
      </c>
      <c r="H464" t="s">
        <v>4339</v>
      </c>
      <c r="I464">
        <v>5</v>
      </c>
      <c r="J464">
        <v>0.50345253019720215</v>
      </c>
      <c r="K464">
        <v>0</v>
      </c>
      <c r="M464">
        <v>0</v>
      </c>
      <c r="O464">
        <v>200000</v>
      </c>
      <c r="R464" t="s">
        <v>136</v>
      </c>
      <c r="S464">
        <v>0.0016172160000000001</v>
      </c>
      <c r="T464">
        <v>0.0032732451839999998</v>
      </c>
      <c r="U464" t="s">
        <v>137</v>
      </c>
      <c r="V464">
        <v>0.022641023999999999</v>
      </c>
      <c r="W464">
        <v>0.67118345318399997</v>
      </c>
      <c r="X464" t="s">
        <v>138</v>
      </c>
      <c r="Y464">
        <v>0.040271007191040001</v>
      </c>
      <c r="Z464">
        <v>0</v>
      </c>
      <c r="AA464" t="s">
        <v>139</v>
      </c>
      <c r="AB464">
        <v>0.080542014382080002</v>
      </c>
      <c r="AC464">
        <v>0.79199647475711998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Q464" t="s">
        <v>140</v>
      </c>
      <c r="AR464" t="s">
        <v>141</v>
      </c>
      <c r="AS464">
        <v>0.64688639999999997</v>
      </c>
    </row>
    <row r="465" spans="1:45" ht="12.75">
      <c r="A465" s="2" t="str">
        <f>HYPERLINK("https://ibp.a2mac1.com/costing(costing:projects/details/8191/material/5318033)","PP-PE-TD15")</f>
        <v>PP-PE-TD15</v>
      </c>
      <c r="B465">
        <v>5318033</v>
      </c>
      <c r="C465">
        <v>6974042</v>
      </c>
      <c r="E465">
        <v>1.3684700000000001</v>
      </c>
      <c r="F465" t="s">
        <v>1885</v>
      </c>
      <c r="G465">
        <v>95</v>
      </c>
      <c r="H465" t="s">
        <v>3354</v>
      </c>
      <c r="I465">
        <v>5</v>
      </c>
      <c r="J465">
        <v>0.50345253019720215</v>
      </c>
      <c r="K465">
        <v>0</v>
      </c>
      <c r="L465">
        <v>0</v>
      </c>
      <c r="M465">
        <v>0</v>
      </c>
      <c r="O465">
        <v>200000</v>
      </c>
      <c r="R465" t="s">
        <v>136</v>
      </c>
      <c r="S465">
        <v>0.00014404947368421052</v>
      </c>
      <c r="T465">
        <v>0.00029155613473684212</v>
      </c>
      <c r="U465" t="s">
        <v>137</v>
      </c>
      <c r="V465">
        <v>0.0020166926315789472</v>
      </c>
      <c r="W465">
        <v>0.059783988766315792</v>
      </c>
      <c r="X465" t="s">
        <v>138</v>
      </c>
      <c r="Y465">
        <v>0.0035870393259789472</v>
      </c>
      <c r="Z465">
        <v>0</v>
      </c>
      <c r="AA465" t="s">
        <v>139</v>
      </c>
      <c r="AB465">
        <v>0.0071740786519578943</v>
      </c>
      <c r="AC465">
        <v>0.070545106744252628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P465" t="s">
        <v>4332</v>
      </c>
      <c r="AQ465" t="s">
        <v>140</v>
      </c>
      <c r="AR465" t="s">
        <v>141</v>
      </c>
      <c r="AS465">
        <v>0.057619789473684208</v>
      </c>
    </row>
    <row r="466" spans="1:45" ht="12.75">
      <c r="A466" s="2" t="str">
        <f>HYPERLINK("https://ibp.a2mac1.com/costing(costing:projects/details/8191/material/5318034)","PP-PE")</f>
        <v>PP-PE</v>
      </c>
      <c r="B466">
        <v>5318034</v>
      </c>
      <c r="C466">
        <v>6974043</v>
      </c>
      <c r="E466">
        <v>1.34768</v>
      </c>
      <c r="F466" t="s">
        <v>4346</v>
      </c>
      <c r="G466">
        <v>95</v>
      </c>
      <c r="H466" t="s">
        <v>4347</v>
      </c>
      <c r="I466">
        <v>5</v>
      </c>
      <c r="J466">
        <v>0.50345253019720215</v>
      </c>
      <c r="K466">
        <v>0</v>
      </c>
      <c r="M466">
        <v>0</v>
      </c>
      <c r="O466">
        <v>200000</v>
      </c>
      <c r="R466" t="s">
        <v>136</v>
      </c>
      <c r="S466">
        <v>0.0028868724210526315</v>
      </c>
      <c r="T466">
        <v>0.005843029780210526</v>
      </c>
      <c r="U466" t="s">
        <v>137</v>
      </c>
      <c r="V466">
        <v>0.04041621389473684</v>
      </c>
      <c r="W466">
        <v>1.1981213396749473</v>
      </c>
      <c r="X466" t="s">
        <v>138</v>
      </c>
      <c r="Y466">
        <v>0.07188728038049684</v>
      </c>
      <c r="Z466">
        <v>0</v>
      </c>
      <c r="AA466" t="s">
        <v>139</v>
      </c>
      <c r="AB466">
        <v>0.14377456076099368</v>
      </c>
      <c r="AC466">
        <v>1.4137831808164378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Q466" t="s">
        <v>140</v>
      </c>
      <c r="AR466" t="s">
        <v>141</v>
      </c>
      <c r="AS466">
        <v>1.1547489684210526</v>
      </c>
    </row>
    <row r="467" spans="1:45" ht="12.75">
      <c r="A467" s="2" t="str">
        <f>HYPERLINK("https://ibp.a2mac1.com/costing(costing:projects/details/8191/material/5318035)","PP-TD15")</f>
        <v>PP-TD15</v>
      </c>
      <c r="B467">
        <v>5318035</v>
      </c>
      <c r="C467">
        <v>6974044</v>
      </c>
      <c r="E467">
        <v>1.32677</v>
      </c>
      <c r="F467" t="s">
        <v>4351</v>
      </c>
      <c r="G467">
        <v>95</v>
      </c>
      <c r="H467" t="s">
        <v>4352</v>
      </c>
      <c r="I467">
        <v>5</v>
      </c>
      <c r="J467">
        <v>0.50345253019720215</v>
      </c>
      <c r="K467">
        <v>0</v>
      </c>
      <c r="L467">
        <v>0</v>
      </c>
      <c r="M467">
        <v>0</v>
      </c>
      <c r="O467">
        <v>200000</v>
      </c>
      <c r="R467" t="s">
        <v>136</v>
      </c>
      <c r="S467">
        <v>0.0019238165</v>
      </c>
      <c r="T467">
        <v>0.0038938045960000001</v>
      </c>
      <c r="U467" t="s">
        <v>137</v>
      </c>
      <c r="V467">
        <v>0.026933431000000001</v>
      </c>
      <c r="W467">
        <v>0.79843001909599998</v>
      </c>
      <c r="X467" t="s">
        <v>138</v>
      </c>
      <c r="Y467">
        <v>0.047905801145759999</v>
      </c>
      <c r="Z467">
        <v>0</v>
      </c>
      <c r="AA467" t="s">
        <v>139</v>
      </c>
      <c r="AB467">
        <v>0.095811602291519998</v>
      </c>
      <c r="AC467">
        <v>0.94214742253327999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P467" t="s">
        <v>4353</v>
      </c>
      <c r="AQ467" t="s">
        <v>140</v>
      </c>
      <c r="AR467" t="s">
        <v>141</v>
      </c>
      <c r="AS467">
        <v>0.76952659999999995</v>
      </c>
    </row>
    <row r="468" spans="1:45" ht="12.75">
      <c r="A468" s="2" t="str">
        <f>HYPERLINK("https://ibp.a2mac1.com/costing(costing:projects/details/8191/material/5318036)","Fabric  skin")</f>
        <v>Fabric  skin</v>
      </c>
      <c r="B468">
        <v>5318036</v>
      </c>
      <c r="C468">
        <v>6974044</v>
      </c>
      <c r="D468" t="s">
        <v>4318</v>
      </c>
      <c r="E468">
        <v>2.06</v>
      </c>
      <c r="F468" t="s">
        <v>1775</v>
      </c>
      <c r="G468">
        <v>100</v>
      </c>
      <c r="H468" t="s">
        <v>4355</v>
      </c>
      <c r="I468">
        <v>0</v>
      </c>
      <c r="J468">
        <v>0.50345253019720215</v>
      </c>
      <c r="K468">
        <v>0</v>
      </c>
      <c r="L468">
        <v>0</v>
      </c>
      <c r="M468">
        <v>0</v>
      </c>
      <c r="O468">
        <v>200000</v>
      </c>
      <c r="R468" t="s">
        <v>79</v>
      </c>
      <c r="S468">
        <v>0</v>
      </c>
      <c r="T468">
        <v>0.0013550680000000001</v>
      </c>
      <c r="U468" t="s">
        <v>137</v>
      </c>
      <c r="V468">
        <v>0.0093729999999999994</v>
      </c>
      <c r="W468">
        <v>0.27852806800000002</v>
      </c>
      <c r="X468" t="s">
        <v>138</v>
      </c>
      <c r="Y468">
        <v>0.016711684080000001</v>
      </c>
      <c r="Z468">
        <v>0</v>
      </c>
      <c r="AA468" t="s">
        <v>139</v>
      </c>
      <c r="AB468">
        <v>0.033423368160000001</v>
      </c>
      <c r="AC468">
        <v>0.32866312024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P468" t="s">
        <v>4319</v>
      </c>
      <c r="AQ468" t="s">
        <v>9</v>
      </c>
      <c r="AR468" t="s">
        <v>141</v>
      </c>
      <c r="AS468">
        <v>0.26779999999999998</v>
      </c>
    </row>
    <row r="469" spans="1:45" ht="12.75">
      <c r="A469" s="2" t="str">
        <f>HYPERLINK("https://ibp.a2mac1.com/costing(costing:projects/details/8191/material/5318132)","PP-PE")</f>
        <v>PP-PE</v>
      </c>
      <c r="B469">
        <v>5318132</v>
      </c>
      <c r="C469">
        <v>6974115</v>
      </c>
      <c r="E469">
        <v>1.34768</v>
      </c>
      <c r="F469" t="s">
        <v>4362</v>
      </c>
      <c r="G469">
        <v>95</v>
      </c>
      <c r="H469" t="s">
        <v>4363</v>
      </c>
      <c r="I469">
        <v>5</v>
      </c>
      <c r="J469">
        <v>0.50345253019720215</v>
      </c>
      <c r="K469">
        <v>0</v>
      </c>
      <c r="M469">
        <v>0</v>
      </c>
      <c r="O469">
        <v>200000</v>
      </c>
      <c r="R469" t="s">
        <v>136</v>
      </c>
      <c r="S469">
        <v>0.0014008778947368422</v>
      </c>
      <c r="T469">
        <v>0.0028353768589473682</v>
      </c>
      <c r="U469" t="s">
        <v>137</v>
      </c>
      <c r="V469">
        <v>0.019612290526315791</v>
      </c>
      <c r="W469">
        <v>0.58139794738526318</v>
      </c>
      <c r="X469" t="s">
        <v>138</v>
      </c>
      <c r="Y469">
        <v>0.034883876843115787</v>
      </c>
      <c r="Z469">
        <v>0</v>
      </c>
      <c r="AA469" t="s">
        <v>139</v>
      </c>
      <c r="AB469">
        <v>0.069767753686231573</v>
      </c>
      <c r="AC469">
        <v>0.68604957791461052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Q469" t="s">
        <v>140</v>
      </c>
      <c r="AR469" t="s">
        <v>141</v>
      </c>
      <c r="AS469">
        <v>0.56035115789473688</v>
      </c>
    </row>
    <row r="470" spans="1:45" ht="12.75">
      <c r="A470" s="2" t="str">
        <f>HYPERLINK("https://ibp.a2mac1.com/costing(costing:projects/details/8191/material/5318037)","PP-GF25")</f>
        <v>PP-GF25</v>
      </c>
      <c r="B470">
        <v>5318037</v>
      </c>
      <c r="C470">
        <v>6974045</v>
      </c>
      <c r="E470">
        <v>1.3090900000000001</v>
      </c>
      <c r="F470" t="s">
        <v>4314</v>
      </c>
      <c r="G470">
        <v>95</v>
      </c>
      <c r="H470" t="s">
        <v>4315</v>
      </c>
      <c r="I470">
        <v>30</v>
      </c>
      <c r="J470">
        <v>0.50345253019720215</v>
      </c>
      <c r="K470">
        <v>0</v>
      </c>
      <c r="L470">
        <v>0</v>
      </c>
      <c r="M470">
        <v>0</v>
      </c>
      <c r="O470">
        <v>200000</v>
      </c>
      <c r="R470" t="s">
        <v>136</v>
      </c>
      <c r="S470">
        <v>0.0068417177368421053</v>
      </c>
      <c r="T470">
        <v>0.0023079394498947367</v>
      </c>
      <c r="U470" t="s">
        <v>137</v>
      </c>
      <c r="V470">
        <v>0.015964008052631578</v>
      </c>
      <c r="W470">
        <v>0.4675447455551579</v>
      </c>
      <c r="X470" t="s">
        <v>138</v>
      </c>
      <c r="Y470">
        <v>0.028052684733309474</v>
      </c>
      <c r="Z470">
        <v>0</v>
      </c>
      <c r="AA470" t="s">
        <v>139</v>
      </c>
      <c r="AB470">
        <v>0.056105369466618947</v>
      </c>
      <c r="AC470">
        <v>0.55170279975508629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P470" t="s">
        <v>4316</v>
      </c>
      <c r="AQ470" t="s">
        <v>140</v>
      </c>
      <c r="AR470" t="s">
        <v>141</v>
      </c>
      <c r="AS470">
        <v>0.45611451578947371</v>
      </c>
    </row>
    <row r="471" spans="1:45" ht="12.75">
      <c r="A471" s="2" t="str">
        <f>HYPERLINK("https://ibp.a2mac1.com/costing(costing:projects/details/8191/material/5318038)","Fabric  skin")</f>
        <v>Fabric  skin</v>
      </c>
      <c r="B471">
        <v>5318038</v>
      </c>
      <c r="C471">
        <v>6974045</v>
      </c>
      <c r="D471" t="s">
        <v>4318</v>
      </c>
      <c r="E471">
        <v>2.06</v>
      </c>
      <c r="F471" t="s">
        <v>3403</v>
      </c>
      <c r="G471">
        <v>100</v>
      </c>
      <c r="H471" t="s">
        <v>2738</v>
      </c>
      <c r="I471">
        <v>0</v>
      </c>
      <c r="J471">
        <v>0.50345253019720215</v>
      </c>
      <c r="K471">
        <v>0</v>
      </c>
      <c r="L471">
        <v>0</v>
      </c>
      <c r="M471">
        <v>0</v>
      </c>
      <c r="O471">
        <v>200000</v>
      </c>
      <c r="R471" t="s">
        <v>79</v>
      </c>
      <c r="S471">
        <v>0</v>
      </c>
      <c r="T471">
        <v>0.00083388799999999997</v>
      </c>
      <c r="U471" t="s">
        <v>137</v>
      </c>
      <c r="V471">
        <v>0.0057679999999999997</v>
      </c>
      <c r="W471">
        <v>0.171401888</v>
      </c>
      <c r="X471" t="s">
        <v>138</v>
      </c>
      <c r="Y471">
        <v>0.01028411328</v>
      </c>
      <c r="Z471">
        <v>0</v>
      </c>
      <c r="AA471" t="s">
        <v>139</v>
      </c>
      <c r="AB471">
        <v>0.02056822656</v>
      </c>
      <c r="AC471">
        <v>0.20225422783999999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P471" t="s">
        <v>4319</v>
      </c>
      <c r="AQ471" t="s">
        <v>9</v>
      </c>
      <c r="AR471" t="s">
        <v>141</v>
      </c>
      <c r="AS471">
        <v>0.1648</v>
      </c>
    </row>
    <row r="472" spans="1:45" ht="12.75">
      <c r="A472" s="2" t="str">
        <f>HYPERLINK("https://ibp.a2mac1.com/costing(costing:projects/details/8191/material/5318039)","PP-PE")</f>
        <v>PP-PE</v>
      </c>
      <c r="B472">
        <v>5318039</v>
      </c>
      <c r="C472">
        <v>6974046</v>
      </c>
      <c r="E472">
        <v>1.34768</v>
      </c>
      <c r="F472" t="s">
        <v>4322</v>
      </c>
      <c r="G472">
        <v>95</v>
      </c>
      <c r="H472" t="s">
        <v>4323</v>
      </c>
      <c r="I472">
        <v>5</v>
      </c>
      <c r="J472">
        <v>0.50345253019720215</v>
      </c>
      <c r="K472">
        <v>0</v>
      </c>
      <c r="M472">
        <v>0</v>
      </c>
      <c r="O472">
        <v>200000</v>
      </c>
      <c r="R472" t="s">
        <v>136</v>
      </c>
      <c r="S472">
        <v>0.00018441936842105263</v>
      </c>
      <c r="T472">
        <v>0.00037326480168421055</v>
      </c>
      <c r="U472" t="s">
        <v>137</v>
      </c>
      <c r="V472">
        <v>0.0025818711578947367</v>
      </c>
      <c r="W472">
        <v>0.076538463959578945</v>
      </c>
      <c r="X472" t="s">
        <v>138</v>
      </c>
      <c r="Y472">
        <v>0.0045923078375747365</v>
      </c>
      <c r="Z472">
        <v>0</v>
      </c>
      <c r="AA472" t="s">
        <v>139</v>
      </c>
      <c r="AB472">
        <v>0.0091846156751494729</v>
      </c>
      <c r="AC472">
        <v>0.090315387472303152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Q472" t="s">
        <v>140</v>
      </c>
      <c r="AR472" t="s">
        <v>141</v>
      </c>
      <c r="AS472">
        <v>0.073767747368421052</v>
      </c>
    </row>
    <row r="473" spans="1:45" ht="12.75">
      <c r="A473" s="2" t="str">
        <f>HYPERLINK("https://ibp.a2mac1.com/costing(costing:projects/details/8191/material/5318040)","PP-PE")</f>
        <v>PP-PE</v>
      </c>
      <c r="B473">
        <v>5318040</v>
      </c>
      <c r="C473">
        <v>6974047</v>
      </c>
      <c r="E473">
        <v>1.34768</v>
      </c>
      <c r="F473" t="s">
        <v>2192</v>
      </c>
      <c r="G473">
        <v>95</v>
      </c>
      <c r="H473" t="s">
        <v>3439</v>
      </c>
      <c r="I473">
        <v>5</v>
      </c>
      <c r="J473">
        <v>0.50345253019720215</v>
      </c>
      <c r="K473">
        <v>0</v>
      </c>
      <c r="M473">
        <v>0</v>
      </c>
      <c r="O473">
        <v>200000</v>
      </c>
      <c r="R473" t="s">
        <v>136</v>
      </c>
      <c r="S473">
        <v>0.0010107600000000001</v>
      </c>
      <c r="T473">
        <v>0.0020457782400000002</v>
      </c>
      <c r="U473" t="s">
        <v>137</v>
      </c>
      <c r="V473">
        <v>0.014150640000000001</v>
      </c>
      <c r="W473">
        <v>0.41948965824000001</v>
      </c>
      <c r="X473" t="s">
        <v>138</v>
      </c>
      <c r="Y473">
        <v>0.025169379494399999</v>
      </c>
      <c r="Z473">
        <v>0</v>
      </c>
      <c r="AA473" t="s">
        <v>139</v>
      </c>
      <c r="AB473">
        <v>0.050338758988799998</v>
      </c>
      <c r="AC473">
        <v>0.49499779672319999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Q473" t="s">
        <v>140</v>
      </c>
      <c r="AR473" t="s">
        <v>141</v>
      </c>
      <c r="AS473">
        <v>0.404304</v>
      </c>
    </row>
    <row r="474" spans="1:45" ht="12.75">
      <c r="A474" s="2" t="str">
        <f>HYPERLINK("https://ibp.a2mac1.com/costing(costing:projects/details/8191/material/5318041)","PP-PE-TD15")</f>
        <v>PP-PE-TD15</v>
      </c>
      <c r="B474">
        <v>5318041</v>
      </c>
      <c r="C474">
        <v>6974048</v>
      </c>
      <c r="E474">
        <v>1.3684700000000001</v>
      </c>
      <c r="F474" t="s">
        <v>4330</v>
      </c>
      <c r="G474">
        <v>95</v>
      </c>
      <c r="H474" t="s">
        <v>4331</v>
      </c>
      <c r="I474">
        <v>5</v>
      </c>
      <c r="J474">
        <v>0.50345253019720215</v>
      </c>
      <c r="K474">
        <v>0</v>
      </c>
      <c r="L474">
        <v>0</v>
      </c>
      <c r="M474">
        <v>0</v>
      </c>
      <c r="O474">
        <v>200000</v>
      </c>
      <c r="R474" t="s">
        <v>136</v>
      </c>
      <c r="S474">
        <v>0.0010623648684210526</v>
      </c>
      <c r="T474">
        <v>0.0021502264936842106</v>
      </c>
      <c r="U474" t="s">
        <v>137</v>
      </c>
      <c r="V474">
        <v>0.014873108157894737</v>
      </c>
      <c r="W474">
        <v>0.44090691715157893</v>
      </c>
      <c r="X474" t="s">
        <v>138</v>
      </c>
      <c r="Y474">
        <v>0.026454415029094736</v>
      </c>
      <c r="Z474">
        <v>0</v>
      </c>
      <c r="AA474" t="s">
        <v>139</v>
      </c>
      <c r="AB474">
        <v>0.052908830058189471</v>
      </c>
      <c r="AC474">
        <v>0.52027016223886313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P474" t="s">
        <v>4332</v>
      </c>
      <c r="AQ474" t="s">
        <v>140</v>
      </c>
      <c r="AR474" t="s">
        <v>141</v>
      </c>
      <c r="AS474">
        <v>0.42494594736842106</v>
      </c>
    </row>
    <row r="475" spans="1:45" ht="12.75">
      <c r="A475" s="2" t="str">
        <f>HYPERLINK("https://ibp.a2mac1.com/costing(costing:projects/details/8191/material/5318042)","Fabric  skin")</f>
        <v>Fabric  skin</v>
      </c>
      <c r="B475">
        <v>5318042</v>
      </c>
      <c r="C475">
        <v>6974048</v>
      </c>
      <c r="D475" t="s">
        <v>4318</v>
      </c>
      <c r="E475">
        <v>2.06</v>
      </c>
      <c r="F475" t="s">
        <v>4334</v>
      </c>
      <c r="G475">
        <v>100</v>
      </c>
      <c r="H475" t="s">
        <v>4335</v>
      </c>
      <c r="I475">
        <v>0</v>
      </c>
      <c r="J475">
        <v>0.50345253019720215</v>
      </c>
      <c r="K475">
        <v>0</v>
      </c>
      <c r="L475">
        <v>0</v>
      </c>
      <c r="M475">
        <v>0</v>
      </c>
      <c r="O475">
        <v>200000</v>
      </c>
      <c r="R475" t="s">
        <v>79</v>
      </c>
      <c r="S475">
        <v>0</v>
      </c>
      <c r="T475">
        <v>0.00071922839999999995</v>
      </c>
      <c r="U475" t="s">
        <v>137</v>
      </c>
      <c r="V475">
        <v>0.0049749</v>
      </c>
      <c r="W475">
        <v>0.14783412839999999</v>
      </c>
      <c r="X475" t="s">
        <v>138</v>
      </c>
      <c r="Y475">
        <v>0.0088700477039999996</v>
      </c>
      <c r="Z475">
        <v>0</v>
      </c>
      <c r="AA475" t="s">
        <v>139</v>
      </c>
      <c r="AB475">
        <v>0.017740095407999999</v>
      </c>
      <c r="AC475">
        <v>0.17444427151200001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P475" t="s">
        <v>4319</v>
      </c>
      <c r="AQ475" t="s">
        <v>9</v>
      </c>
      <c r="AR475" t="s">
        <v>141</v>
      </c>
      <c r="AS475">
        <v>0.14213999999999999</v>
      </c>
    </row>
    <row r="476" spans="1:45" ht="12.75">
      <c r="A476" s="2" t="str">
        <f>HYPERLINK("https://ibp.a2mac1.com/costing(costing:projects/details/8191/material/5318043)","PP-PE")</f>
        <v>PP-PE</v>
      </c>
      <c r="B476">
        <v>5318043</v>
      </c>
      <c r="C476">
        <v>6974049</v>
      </c>
      <c r="E476">
        <v>1.34768</v>
      </c>
      <c r="F476" t="s">
        <v>2510</v>
      </c>
      <c r="G476">
        <v>95</v>
      </c>
      <c r="H476" t="s">
        <v>4380</v>
      </c>
      <c r="I476">
        <v>5</v>
      </c>
      <c r="J476">
        <v>0.50345253019720215</v>
      </c>
      <c r="K476">
        <v>0</v>
      </c>
      <c r="M476">
        <v>0</v>
      </c>
      <c r="O476">
        <v>200000</v>
      </c>
      <c r="R476" t="s">
        <v>136</v>
      </c>
      <c r="S476">
        <v>0.0016314021052631579</v>
      </c>
      <c r="T476">
        <v>0.0033019578610526314</v>
      </c>
      <c r="U476" t="s">
        <v>137</v>
      </c>
      <c r="V476">
        <v>0.02283962947368421</v>
      </c>
      <c r="W476">
        <v>0.6770710273347369</v>
      </c>
      <c r="X476" t="s">
        <v>138</v>
      </c>
      <c r="Y476">
        <v>0.04062426164008421</v>
      </c>
      <c r="Z476">
        <v>0</v>
      </c>
      <c r="AA476" t="s">
        <v>139</v>
      </c>
      <c r="AB476">
        <v>0.081248523280168419</v>
      </c>
      <c r="AC476">
        <v>0.79894381225498945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Q476" t="s">
        <v>140</v>
      </c>
      <c r="AR476" t="s">
        <v>141</v>
      </c>
      <c r="AS476">
        <v>0.65256084210526311</v>
      </c>
    </row>
    <row r="477" spans="1:45" ht="12.75">
      <c r="A477" s="2" t="str">
        <f>HYPERLINK("https://ibp.a2mac1.com/costing(costing:projects/details/8191/material/5318044)","PP-PE-TD15")</f>
        <v>PP-PE-TD15</v>
      </c>
      <c r="B477">
        <v>5318044</v>
      </c>
      <c r="C477">
        <v>6974050</v>
      </c>
      <c r="E477">
        <v>1.3684700000000001</v>
      </c>
      <c r="F477" t="s">
        <v>1885</v>
      </c>
      <c r="G477">
        <v>95</v>
      </c>
      <c r="H477" t="s">
        <v>3354</v>
      </c>
      <c r="I477">
        <v>5</v>
      </c>
      <c r="J477">
        <v>0.50345253019720215</v>
      </c>
      <c r="K477">
        <v>0</v>
      </c>
      <c r="L477">
        <v>0</v>
      </c>
      <c r="M477">
        <v>0</v>
      </c>
      <c r="O477">
        <v>200000</v>
      </c>
      <c r="R477" t="s">
        <v>136</v>
      </c>
      <c r="S477">
        <v>0.00014404947368421052</v>
      </c>
      <c r="T477">
        <v>0.00029155613473684212</v>
      </c>
      <c r="U477" t="s">
        <v>137</v>
      </c>
      <c r="V477">
        <v>0.0020166926315789472</v>
      </c>
      <c r="W477">
        <v>0.059783988766315792</v>
      </c>
      <c r="X477" t="s">
        <v>138</v>
      </c>
      <c r="Y477">
        <v>0.0035870393259789472</v>
      </c>
      <c r="Z477">
        <v>0</v>
      </c>
      <c r="AA477" t="s">
        <v>139</v>
      </c>
      <c r="AB477">
        <v>0.0071740786519578943</v>
      </c>
      <c r="AC477">
        <v>0.070545106744252628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P477" t="s">
        <v>4332</v>
      </c>
      <c r="AQ477" t="s">
        <v>140</v>
      </c>
      <c r="AR477" t="s">
        <v>141</v>
      </c>
      <c r="AS477">
        <v>0.057619789473684208</v>
      </c>
    </row>
    <row r="478" spans="1:45" ht="12.75">
      <c r="A478" s="2" t="str">
        <f>HYPERLINK("https://ibp.a2mac1.com/costing(costing:projects/details/8191/material/5318045)","PP-PE")</f>
        <v>PP-PE</v>
      </c>
      <c r="B478">
        <v>5318045</v>
      </c>
      <c r="C478">
        <v>6974051</v>
      </c>
      <c r="E478">
        <v>1.34768</v>
      </c>
      <c r="F478" t="s">
        <v>4387</v>
      </c>
      <c r="G478">
        <v>95</v>
      </c>
      <c r="H478" t="s">
        <v>4388</v>
      </c>
      <c r="I478">
        <v>5</v>
      </c>
      <c r="J478">
        <v>0.50345253019720215</v>
      </c>
      <c r="K478">
        <v>0</v>
      </c>
      <c r="M478">
        <v>0</v>
      </c>
      <c r="O478">
        <v>200000</v>
      </c>
      <c r="R478" t="s">
        <v>136</v>
      </c>
      <c r="S478">
        <v>0.002823034947368421</v>
      </c>
      <c r="T478">
        <v>0.005713822733473684</v>
      </c>
      <c r="U478" t="s">
        <v>137</v>
      </c>
      <c r="V478">
        <v>0.039522489263157892</v>
      </c>
      <c r="W478">
        <v>1.1716272559966316</v>
      </c>
      <c r="X478" t="s">
        <v>138</v>
      </c>
      <c r="Y478">
        <v>0.070297635359797897</v>
      </c>
      <c r="Z478">
        <v>0</v>
      </c>
      <c r="AA478" t="s">
        <v>139</v>
      </c>
      <c r="AB478">
        <v>0.14059527071959579</v>
      </c>
      <c r="AC478">
        <v>1.3825201620760252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Q478" t="s">
        <v>140</v>
      </c>
      <c r="AR478" t="s">
        <v>141</v>
      </c>
      <c r="AS478">
        <v>1.1292139789473685</v>
      </c>
    </row>
    <row r="479" spans="1:45" ht="12.75">
      <c r="A479" s="2" t="str">
        <f>HYPERLINK("https://ibp.a2mac1.com/costing(costing:projects/details/8191/material/5318046)","PP-TD15")</f>
        <v>PP-TD15</v>
      </c>
      <c r="B479">
        <v>5318046</v>
      </c>
      <c r="C479">
        <v>6974052</v>
      </c>
      <c r="E479">
        <v>1.32677</v>
      </c>
      <c r="F479" t="s">
        <v>4392</v>
      </c>
      <c r="G479">
        <v>95</v>
      </c>
      <c r="H479" t="s">
        <v>4393</v>
      </c>
      <c r="I479">
        <v>5</v>
      </c>
      <c r="J479">
        <v>0.50345253019720215</v>
      </c>
      <c r="K479">
        <v>0</v>
      </c>
      <c r="L479">
        <v>0</v>
      </c>
      <c r="M479">
        <v>0</v>
      </c>
      <c r="O479">
        <v>200000</v>
      </c>
      <c r="R479" t="s">
        <v>136</v>
      </c>
      <c r="S479">
        <v>0.00195524</v>
      </c>
      <c r="T479">
        <v>0.0039574057600000002</v>
      </c>
      <c r="U479" t="s">
        <v>137</v>
      </c>
      <c r="V479">
        <v>0.027373359999999999</v>
      </c>
      <c r="W479">
        <v>0.81147152576000003</v>
      </c>
      <c r="X479" t="s">
        <v>138</v>
      </c>
      <c r="Y479">
        <v>0.048688291545599997</v>
      </c>
      <c r="Z479">
        <v>0</v>
      </c>
      <c r="AA479" t="s">
        <v>139</v>
      </c>
      <c r="AB479">
        <v>0.097376583091199995</v>
      </c>
      <c r="AC479">
        <v>0.95753640039679999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P479" t="s">
        <v>4353</v>
      </c>
      <c r="AQ479" t="s">
        <v>140</v>
      </c>
      <c r="AR479" t="s">
        <v>141</v>
      </c>
      <c r="AS479">
        <v>0.78209600000000001</v>
      </c>
    </row>
    <row r="480" spans="1:45" ht="12.75">
      <c r="A480" s="2" t="str">
        <f>HYPERLINK("https://ibp.a2mac1.com/costing(costing:projects/details/8191/material/5318047)","Fabric  skin")</f>
        <v>Fabric  skin</v>
      </c>
      <c r="B480">
        <v>5318047</v>
      </c>
      <c r="C480">
        <v>6974052</v>
      </c>
      <c r="D480" t="s">
        <v>4318</v>
      </c>
      <c r="E480">
        <v>2.06</v>
      </c>
      <c r="F480" t="s">
        <v>1775</v>
      </c>
      <c r="G480">
        <v>100</v>
      </c>
      <c r="H480" t="s">
        <v>4355</v>
      </c>
      <c r="I480">
        <v>0</v>
      </c>
      <c r="J480">
        <v>0.50345253019720215</v>
      </c>
      <c r="K480">
        <v>0</v>
      </c>
      <c r="L480">
        <v>0</v>
      </c>
      <c r="M480">
        <v>0</v>
      </c>
      <c r="O480">
        <v>200000</v>
      </c>
      <c r="R480" t="s">
        <v>79</v>
      </c>
      <c r="S480">
        <v>0</v>
      </c>
      <c r="T480">
        <v>0.0013550680000000001</v>
      </c>
      <c r="U480" t="s">
        <v>137</v>
      </c>
      <c r="V480">
        <v>0.0093729999999999994</v>
      </c>
      <c r="W480">
        <v>0.27852806800000002</v>
      </c>
      <c r="X480" t="s">
        <v>138</v>
      </c>
      <c r="Y480">
        <v>0.016711684080000001</v>
      </c>
      <c r="Z480">
        <v>0</v>
      </c>
      <c r="AA480" t="s">
        <v>139</v>
      </c>
      <c r="AB480">
        <v>0.033423368160000001</v>
      </c>
      <c r="AC480">
        <v>0.32866312024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P480" t="s">
        <v>4319</v>
      </c>
      <c r="AQ480" t="s">
        <v>9</v>
      </c>
      <c r="AR480" t="s">
        <v>141</v>
      </c>
      <c r="AS480">
        <v>0.26779999999999998</v>
      </c>
    </row>
    <row r="481" spans="1:45" ht="12.75">
      <c r="A481" s="2" t="str">
        <f>HYPERLINK("https://ibp.a2mac1.com/costing(costing:projects/details/8191/material/5318133)","PET-PE")</f>
        <v>PET-PE</v>
      </c>
      <c r="B481">
        <v>5318133</v>
      </c>
      <c r="C481">
        <v>6974116</v>
      </c>
      <c r="E481">
        <v>1.3610599999999999</v>
      </c>
      <c r="F481" t="s">
        <v>4400</v>
      </c>
      <c r="G481">
        <v>95</v>
      </c>
      <c r="H481" t="s">
        <v>4401</v>
      </c>
      <c r="I481">
        <v>5</v>
      </c>
      <c r="J481">
        <v>0.50345253019720215</v>
      </c>
      <c r="K481">
        <v>0</v>
      </c>
      <c r="M481">
        <v>0</v>
      </c>
      <c r="O481">
        <v>200000</v>
      </c>
      <c r="R481" t="s">
        <v>136</v>
      </c>
      <c r="S481">
        <v>0.0010243767368421054</v>
      </c>
      <c r="T481">
        <v>0.0020733385153684212</v>
      </c>
      <c r="U481" t="s">
        <v>137</v>
      </c>
      <c r="V481">
        <v>0.014341274315789474</v>
      </c>
      <c r="W481">
        <v>0.42514093083115789</v>
      </c>
      <c r="X481" t="s">
        <v>138</v>
      </c>
      <c r="Y481">
        <v>0.025508455849869473</v>
      </c>
      <c r="Z481">
        <v>0</v>
      </c>
      <c r="AA481" t="s">
        <v>139</v>
      </c>
      <c r="AB481">
        <v>0.051016911699738945</v>
      </c>
      <c r="AC481">
        <v>0.50166629838076626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Q481" t="s">
        <v>140</v>
      </c>
      <c r="AR481" t="s">
        <v>141</v>
      </c>
      <c r="AS481">
        <v>0.40975069473684211</v>
      </c>
    </row>
    <row r="482" spans="1:45" ht="12.75">
      <c r="A482" s="2" t="str">
        <f>HYPERLINK("https://ibp.a2mac1.com/costing(costing:projects/details/8191/material/5318134)","PP")</f>
        <v>PP</v>
      </c>
      <c r="B482">
        <v>5318134</v>
      </c>
      <c r="C482">
        <v>6974116</v>
      </c>
      <c r="E482">
        <v>1.0113799999999999</v>
      </c>
      <c r="F482" t="s">
        <v>4400</v>
      </c>
      <c r="G482">
        <v>95</v>
      </c>
      <c r="H482" t="s">
        <v>4401</v>
      </c>
      <c r="I482">
        <v>5</v>
      </c>
      <c r="J482">
        <v>0.50345253019720215</v>
      </c>
      <c r="K482">
        <v>0</v>
      </c>
      <c r="L482">
        <v>0</v>
      </c>
      <c r="M482">
        <v>0</v>
      </c>
      <c r="O482">
        <v>200000</v>
      </c>
      <c r="R482" t="s">
        <v>136</v>
      </c>
      <c r="S482">
        <v>0.00076119652631578946</v>
      </c>
      <c r="T482">
        <v>0.001540661769263158</v>
      </c>
      <c r="U482" t="s">
        <v>137</v>
      </c>
      <c r="V482">
        <v>0.010656751368421053</v>
      </c>
      <c r="W482">
        <v>0.31591482713768421</v>
      </c>
      <c r="X482" t="s">
        <v>138</v>
      </c>
      <c r="Y482">
        <v>0.018954889628261053</v>
      </c>
      <c r="Z482">
        <v>0</v>
      </c>
      <c r="AA482" t="s">
        <v>139</v>
      </c>
      <c r="AB482">
        <v>0.037909779256522107</v>
      </c>
      <c r="AC482">
        <v>0.37277949602246735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P482" t="s">
        <v>4403</v>
      </c>
      <c r="AQ482" t="s">
        <v>140</v>
      </c>
      <c r="AR482" t="s">
        <v>141</v>
      </c>
      <c r="AS482">
        <v>0.30447861052631581</v>
      </c>
    </row>
    <row r="483" spans="1:45" ht="12.75">
      <c r="A483" s="2" t="str">
        <f>HYPERLINK("https://ibp.a2mac1.com/costing(costing:projects/details/8191/material/5318135)","BW")</f>
        <v>BW</v>
      </c>
      <c r="B483">
        <v>5318135</v>
      </c>
      <c r="C483">
        <v>6974116</v>
      </c>
      <c r="E483">
        <v>0.46</v>
      </c>
      <c r="F483" t="s">
        <v>4400</v>
      </c>
      <c r="G483">
        <v>100</v>
      </c>
      <c r="H483" t="s">
        <v>4404</v>
      </c>
      <c r="I483">
        <v>0</v>
      </c>
      <c r="J483">
        <v>0.50345253019720215</v>
      </c>
      <c r="K483">
        <v>0</v>
      </c>
      <c r="L483">
        <v>0</v>
      </c>
      <c r="M483">
        <v>0</v>
      </c>
      <c r="O483">
        <v>200000</v>
      </c>
      <c r="R483" t="s">
        <v>136</v>
      </c>
      <c r="S483">
        <v>0</v>
      </c>
      <c r="T483">
        <v>0.00066569359999999996</v>
      </c>
      <c r="U483" t="s">
        <v>137</v>
      </c>
      <c r="V483">
        <v>0.0046046000000000004</v>
      </c>
      <c r="W483">
        <v>0.13683029360000001</v>
      </c>
      <c r="X483" t="s">
        <v>138</v>
      </c>
      <c r="Y483">
        <v>0.0082098176160000005</v>
      </c>
      <c r="Z483">
        <v>0</v>
      </c>
      <c r="AA483" t="s">
        <v>139</v>
      </c>
      <c r="AB483">
        <v>0.016419635232000001</v>
      </c>
      <c r="AC483">
        <v>0.16145974644800001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Q483" t="s">
        <v>9</v>
      </c>
      <c r="AR483" t="s">
        <v>141</v>
      </c>
      <c r="AS483">
        <v>0.13156000000000001</v>
      </c>
    </row>
    <row r="484" spans="1:45" ht="12.75">
      <c r="A484" s="2" t="str">
        <f>HYPERLINK("https://ibp.a2mac1.com/costing(costing:projects/details/8191/material/5318136)","PP-PE-TD15")</f>
        <v>PP-PE-TD15</v>
      </c>
      <c r="B484">
        <v>5318136</v>
      </c>
      <c r="C484">
        <v>6974117</v>
      </c>
      <c r="E484">
        <v>1.3684700000000001</v>
      </c>
      <c r="F484" t="s">
        <v>2478</v>
      </c>
      <c r="G484">
        <v>95</v>
      </c>
      <c r="H484" t="s">
        <v>4408</v>
      </c>
      <c r="I484">
        <v>5</v>
      </c>
      <c r="J484">
        <v>0.50345253019720215</v>
      </c>
      <c r="K484">
        <v>0</v>
      </c>
      <c r="L484">
        <v>0</v>
      </c>
      <c r="M484">
        <v>0</v>
      </c>
      <c r="O484">
        <v>200000</v>
      </c>
      <c r="R484" t="s">
        <v>136</v>
      </c>
      <c r="S484">
        <v>0.002283184157894737</v>
      </c>
      <c r="T484">
        <v>0.0046211647355789472</v>
      </c>
      <c r="U484" t="s">
        <v>137</v>
      </c>
      <c r="V484">
        <v>0.031964578210526319</v>
      </c>
      <c r="W484">
        <v>0.94757622194610525</v>
      </c>
      <c r="X484" t="s">
        <v>138</v>
      </c>
      <c r="Y484">
        <v>0.056854573316766313</v>
      </c>
      <c r="Z484">
        <v>0</v>
      </c>
      <c r="AA484" t="s">
        <v>139</v>
      </c>
      <c r="AB484">
        <v>0.11370914663353263</v>
      </c>
      <c r="AC484">
        <v>1.1181399418964042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P484" t="s">
        <v>4332</v>
      </c>
      <c r="AQ484" t="s">
        <v>140</v>
      </c>
      <c r="AR484" t="s">
        <v>141</v>
      </c>
      <c r="AS484">
        <v>0.91327366315789471</v>
      </c>
    </row>
    <row r="485" spans="1:45" ht="12.75">
      <c r="A485" s="2" t="str">
        <f>HYPERLINK("https://ibp.a2mac1.com/costing(costing:projects/details/8191/material/5318137)","PET-PE")</f>
        <v>PET-PE</v>
      </c>
      <c r="B485">
        <v>5318137</v>
      </c>
      <c r="C485">
        <v>6974118</v>
      </c>
      <c r="E485">
        <v>1.3610599999999999</v>
      </c>
      <c r="F485" t="s">
        <v>4414</v>
      </c>
      <c r="G485">
        <v>95</v>
      </c>
      <c r="H485" t="s">
        <v>4415</v>
      </c>
      <c r="I485">
        <v>5</v>
      </c>
      <c r="J485">
        <v>0.50345253019720215</v>
      </c>
      <c r="K485">
        <v>0</v>
      </c>
      <c r="M485">
        <v>0</v>
      </c>
      <c r="O485">
        <v>200000</v>
      </c>
      <c r="R485" t="s">
        <v>136</v>
      </c>
      <c r="S485">
        <v>0.00099930457894736847</v>
      </c>
      <c r="T485">
        <v>0.0020225924677894735</v>
      </c>
      <c r="U485" t="s">
        <v>137</v>
      </c>
      <c r="V485">
        <v>0.013990264105263158</v>
      </c>
      <c r="W485">
        <v>0.41473538357305262</v>
      </c>
      <c r="X485" t="s">
        <v>138</v>
      </c>
      <c r="Y485">
        <v>0.024884123014383159</v>
      </c>
      <c r="Z485">
        <v>0</v>
      </c>
      <c r="AA485" t="s">
        <v>139</v>
      </c>
      <c r="AB485">
        <v>0.049768246028766318</v>
      </c>
      <c r="AC485">
        <v>0.4893877526162021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Q485" t="s">
        <v>140</v>
      </c>
      <c r="AR485" t="s">
        <v>141</v>
      </c>
      <c r="AS485">
        <v>0.39972183157894736</v>
      </c>
    </row>
    <row r="486" spans="1:45" ht="12.75">
      <c r="A486" s="2" t="str">
        <f>HYPERLINK("https://ibp.a2mac1.com/costing(costing:projects/details/8191/material/5318138)","PP")</f>
        <v>PP</v>
      </c>
      <c r="B486">
        <v>5318138</v>
      </c>
      <c r="C486">
        <v>6974118</v>
      </c>
      <c r="E486">
        <v>1.0113799999999999</v>
      </c>
      <c r="F486" t="s">
        <v>4414</v>
      </c>
      <c r="G486">
        <v>95</v>
      </c>
      <c r="H486" t="s">
        <v>4415</v>
      </c>
      <c r="I486">
        <v>5</v>
      </c>
      <c r="J486">
        <v>0.50345253019720215</v>
      </c>
      <c r="K486">
        <v>0</v>
      </c>
      <c r="L486">
        <v>0</v>
      </c>
      <c r="M486">
        <v>0</v>
      </c>
      <c r="O486">
        <v>200000</v>
      </c>
      <c r="R486" t="s">
        <v>136</v>
      </c>
      <c r="S486">
        <v>0.00074256584210526317</v>
      </c>
      <c r="T486">
        <v>0.0015029532644210526</v>
      </c>
      <c r="U486" t="s">
        <v>137</v>
      </c>
      <c r="V486">
        <v>0.010395921789473685</v>
      </c>
      <c r="W486">
        <v>0.30818264605389473</v>
      </c>
      <c r="X486" t="s">
        <v>138</v>
      </c>
      <c r="Y486">
        <v>0.018490958763233683</v>
      </c>
      <c r="Z486">
        <v>0</v>
      </c>
      <c r="AA486" t="s">
        <v>139</v>
      </c>
      <c r="AB486">
        <v>0.036981917526467366</v>
      </c>
      <c r="AC486">
        <v>0.36365552234359577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P486" t="s">
        <v>4403</v>
      </c>
      <c r="AQ486" t="s">
        <v>140</v>
      </c>
      <c r="AR486" t="s">
        <v>141</v>
      </c>
      <c r="AS486">
        <v>0.29702633684210528</v>
      </c>
    </row>
    <row r="487" spans="1:45" ht="12.75">
      <c r="A487" s="2" t="str">
        <f>HYPERLINK("https://ibp.a2mac1.com/costing(costing:projects/details/8191/material/5318139)","BW")</f>
        <v>BW</v>
      </c>
      <c r="B487">
        <v>5318139</v>
      </c>
      <c r="C487">
        <v>6974118</v>
      </c>
      <c r="E487">
        <v>0.46</v>
      </c>
      <c r="F487" t="s">
        <v>4414</v>
      </c>
      <c r="G487">
        <v>100</v>
      </c>
      <c r="H487" t="s">
        <v>4417</v>
      </c>
      <c r="I487">
        <v>0</v>
      </c>
      <c r="J487">
        <v>0.50345253019720215</v>
      </c>
      <c r="K487">
        <v>0</v>
      </c>
      <c r="L487">
        <v>0</v>
      </c>
      <c r="M487">
        <v>0</v>
      </c>
      <c r="O487">
        <v>200000</v>
      </c>
      <c r="R487" t="s">
        <v>136</v>
      </c>
      <c r="S487">
        <v>0</v>
      </c>
      <c r="T487">
        <v>0.00064940039999999998</v>
      </c>
      <c r="U487" t="s">
        <v>137</v>
      </c>
      <c r="V487">
        <v>0.0044919000000000001</v>
      </c>
      <c r="W487">
        <v>0.1334813004</v>
      </c>
      <c r="X487" t="s">
        <v>138</v>
      </c>
      <c r="Y487">
        <v>0.0080088780240000004</v>
      </c>
      <c r="Z487">
        <v>0</v>
      </c>
      <c r="AA487" t="s">
        <v>139</v>
      </c>
      <c r="AB487">
        <v>0.016017756048000001</v>
      </c>
      <c r="AC487">
        <v>0.15750793447200001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Q487" t="s">
        <v>9</v>
      </c>
      <c r="AR487" t="s">
        <v>141</v>
      </c>
      <c r="AS487">
        <v>0.12834000000000001</v>
      </c>
    </row>
    <row r="488" spans="1:45" ht="12.75">
      <c r="A488" s="2" t="str">
        <f>HYPERLINK("https://ibp.a2mac1.com/costing(costing:projects/details/8191/material/5318140)","PP-PE-TD15")</f>
        <v>PP-PE-TD15</v>
      </c>
      <c r="B488">
        <v>5318140</v>
      </c>
      <c r="C488">
        <v>6974119</v>
      </c>
      <c r="E488">
        <v>1.3684700000000001</v>
      </c>
      <c r="F488" t="s">
        <v>4420</v>
      </c>
      <c r="G488">
        <v>95</v>
      </c>
      <c r="H488" t="s">
        <v>4421</v>
      </c>
      <c r="I488">
        <v>5</v>
      </c>
      <c r="J488">
        <v>0.50345253019720215</v>
      </c>
      <c r="K488">
        <v>0</v>
      </c>
      <c r="L488">
        <v>0</v>
      </c>
      <c r="M488">
        <v>0</v>
      </c>
      <c r="O488">
        <v>200000</v>
      </c>
      <c r="R488" t="s">
        <v>136</v>
      </c>
      <c r="S488">
        <v>0.0022507730263157896</v>
      </c>
      <c r="T488">
        <v>0.004555564605263158</v>
      </c>
      <c r="U488" t="s">
        <v>137</v>
      </c>
      <c r="V488">
        <v>0.031510822368421051</v>
      </c>
      <c r="W488">
        <v>0.93412482447368417</v>
      </c>
      <c r="X488" t="s">
        <v>138</v>
      </c>
      <c r="Y488">
        <v>0.056047489468421051</v>
      </c>
      <c r="Z488">
        <v>0</v>
      </c>
      <c r="AA488" t="s">
        <v>139</v>
      </c>
      <c r="AB488">
        <v>0.1120949789368421</v>
      </c>
      <c r="AC488">
        <v>1.1022672928789474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P488" t="s">
        <v>4332</v>
      </c>
      <c r="AQ488" t="s">
        <v>140</v>
      </c>
      <c r="AR488" t="s">
        <v>141</v>
      </c>
      <c r="AS488">
        <v>0.90030921052631574</v>
      </c>
    </row>
    <row r="489" spans="1:45" ht="12.75">
      <c r="A489" s="2" t="str">
        <f>HYPERLINK("https://ibp.a2mac1.com/costing(costing:projects/details/8191/material/5318141)","PP-PE-TD15")</f>
        <v>PP-PE-TD15</v>
      </c>
      <c r="B489">
        <v>5318141</v>
      </c>
      <c r="C489">
        <v>6974120</v>
      </c>
      <c r="E489">
        <v>1.3684700000000001</v>
      </c>
      <c r="F489" t="s">
        <v>3744</v>
      </c>
      <c r="G489">
        <v>95</v>
      </c>
      <c r="H489" t="s">
        <v>3745</v>
      </c>
      <c r="I489">
        <v>5</v>
      </c>
      <c r="J489">
        <v>0.50345253019720215</v>
      </c>
      <c r="K489">
        <v>0</v>
      </c>
      <c r="L489">
        <v>0</v>
      </c>
      <c r="M489">
        <v>0</v>
      </c>
      <c r="O489">
        <v>200000</v>
      </c>
      <c r="R489" t="s">
        <v>136</v>
      </c>
      <c r="S489">
        <v>2.1607421052631578E-05</v>
      </c>
      <c r="T489">
        <v>4.3733420210526317E-05</v>
      </c>
      <c r="U489" t="s">
        <v>137</v>
      </c>
      <c r="V489">
        <v>0.0003025038947368421</v>
      </c>
      <c r="W489">
        <v>0.0089675983149473688</v>
      </c>
      <c r="X489" t="s">
        <v>138</v>
      </c>
      <c r="Y489">
        <v>0.00053805589889684212</v>
      </c>
      <c r="Z489">
        <v>0</v>
      </c>
      <c r="AA489" t="s">
        <v>139</v>
      </c>
      <c r="AB489">
        <v>0.0010761117977936842</v>
      </c>
      <c r="AC489">
        <v>0.010581766011637895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P489" t="s">
        <v>4332</v>
      </c>
      <c r="AQ489" t="s">
        <v>140</v>
      </c>
      <c r="AR489" t="s">
        <v>141</v>
      </c>
      <c r="AS489">
        <v>0.0086429684210526311</v>
      </c>
    </row>
    <row r="490" spans="1:45" ht="12.75">
      <c r="A490" s="2" t="str">
        <f>HYPERLINK("https://ibp.a2mac1.com/costing(costing:projects/details/8191/material/5318048)","PLASTIC UNKNOWN")</f>
        <v>PLASTIC UNKNOWN</v>
      </c>
      <c r="B490">
        <v>5318048</v>
      </c>
      <c r="C490">
        <v>6974053</v>
      </c>
      <c r="E490">
        <v>1.57609</v>
      </c>
      <c r="F490" t="s">
        <v>4429</v>
      </c>
      <c r="G490">
        <v>95</v>
      </c>
      <c r="H490" t="s">
        <v>4430</v>
      </c>
      <c r="I490">
        <v>0</v>
      </c>
      <c r="J490">
        <v>0.50345253019720215</v>
      </c>
      <c r="K490">
        <v>0</v>
      </c>
      <c r="M490">
        <v>0</v>
      </c>
      <c r="O490">
        <v>200000</v>
      </c>
      <c r="R490" t="s">
        <v>136</v>
      </c>
      <c r="S490">
        <v>0</v>
      </c>
      <c r="T490">
        <v>0.0073873826863157894</v>
      </c>
      <c r="U490" t="s">
        <v>137</v>
      </c>
      <c r="V490">
        <v>0.051098496842105261</v>
      </c>
      <c r="W490">
        <v>1.5184429321599999</v>
      </c>
      <c r="X490" t="s">
        <v>138</v>
      </c>
      <c r="Y490">
        <v>0.091106575929600003</v>
      </c>
      <c r="Z490">
        <v>0</v>
      </c>
      <c r="AA490" t="s">
        <v>139</v>
      </c>
      <c r="AB490">
        <v>0.18221315185920001</v>
      </c>
      <c r="AC490">
        <v>1.7917626599487999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Q490" t="s">
        <v>9</v>
      </c>
      <c r="AR490" t="s">
        <v>141</v>
      </c>
      <c r="AS490">
        <v>1.459957052631579</v>
      </c>
    </row>
    <row r="491" spans="1:45" ht="12.75">
      <c r="A491" s="2" t="str">
        <f>HYPERLINK("https://ibp.a2mac1.com/costing(costing:projects/details/8191/material/5317932)","PC-ASA")</f>
        <v>PC-ASA</v>
      </c>
      <c r="B491">
        <v>5317932</v>
      </c>
      <c r="C491">
        <v>6973975</v>
      </c>
      <c r="E491">
        <v>2.8031299999999999</v>
      </c>
      <c r="F491" t="s">
        <v>3421</v>
      </c>
      <c r="G491">
        <v>95</v>
      </c>
      <c r="H491" t="s">
        <v>3422</v>
      </c>
      <c r="I491">
        <v>5</v>
      </c>
      <c r="J491">
        <v>0.50345253019720215</v>
      </c>
      <c r="K491">
        <v>0</v>
      </c>
      <c r="M491">
        <v>0</v>
      </c>
      <c r="O491">
        <v>200000</v>
      </c>
      <c r="R491" t="s">
        <v>136</v>
      </c>
      <c r="S491">
        <v>0.0005311193684210526</v>
      </c>
      <c r="T491">
        <v>0.0010749856016842106</v>
      </c>
      <c r="U491" t="s">
        <v>137</v>
      </c>
      <c r="V491">
        <v>0.0074356711578947368</v>
      </c>
      <c r="W491">
        <v>0.22042728475957896</v>
      </c>
      <c r="X491" t="s">
        <v>138</v>
      </c>
      <c r="Y491">
        <v>0.013225637085574737</v>
      </c>
      <c r="Z491">
        <v>0</v>
      </c>
      <c r="AA491" t="s">
        <v>139</v>
      </c>
      <c r="AB491">
        <v>0.026451274171149473</v>
      </c>
      <c r="AC491">
        <v>0.26010419601630314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Q491" t="s">
        <v>140</v>
      </c>
      <c r="AR491" t="s">
        <v>141</v>
      </c>
      <c r="AS491">
        <v>0.21244774736842106</v>
      </c>
    </row>
    <row r="492" spans="1:45" ht="12.75">
      <c r="A492" s="2" t="str">
        <f>HYPERLINK("https://ibp.a2mac1.com/costing(costing:projects/details/8191/material/5317933)","Steel sheet (default)")</f>
        <v>Steel sheet (default)</v>
      </c>
      <c r="B492">
        <v>5317933</v>
      </c>
      <c r="C492">
        <v>6973976</v>
      </c>
      <c r="E492">
        <v>0.52766000000000002</v>
      </c>
      <c r="F492" t="s">
        <v>3726</v>
      </c>
      <c r="G492">
        <v>100</v>
      </c>
      <c r="H492" t="s">
        <v>4446</v>
      </c>
      <c r="I492">
        <v>30</v>
      </c>
      <c r="J492">
        <v>0.50345253019720215</v>
      </c>
      <c r="K492">
        <v>0</v>
      </c>
      <c r="L492">
        <v>0</v>
      </c>
      <c r="M492">
        <v>0</v>
      </c>
      <c r="O492">
        <v>200000</v>
      </c>
      <c r="R492" t="s">
        <v>136</v>
      </c>
      <c r="S492">
        <v>0</v>
      </c>
      <c r="T492">
        <v>2.4029636399999999E-05</v>
      </c>
      <c r="U492" t="s">
        <v>137</v>
      </c>
      <c r="V492">
        <v>0.00016621290000000001</v>
      </c>
      <c r="W492">
        <v>0.0049391825364000002</v>
      </c>
      <c r="X492" t="s">
        <v>138</v>
      </c>
      <c r="Y492">
        <v>0.00029635095218400002</v>
      </c>
      <c r="Z492">
        <v>0</v>
      </c>
      <c r="AA492" t="s">
        <v>139</v>
      </c>
      <c r="AB492">
        <v>0.00059270190436800003</v>
      </c>
      <c r="AC492">
        <v>0.0058282353929520001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Q492" t="s">
        <v>140</v>
      </c>
      <c r="AR492" t="s">
        <v>141</v>
      </c>
      <c r="AS492">
        <v>0.0047489400000000001</v>
      </c>
    </row>
    <row r="493" spans="1:45" ht="12.75">
      <c r="A493" s="2" t="str">
        <f>HYPERLINK("https://ibp.a2mac1.com/costing(costing:projects/details/8191/material/5317934)","ASA-PC")</f>
        <v>ASA-PC</v>
      </c>
      <c r="B493">
        <v>5317934</v>
      </c>
      <c r="C493">
        <v>6973977</v>
      </c>
      <c r="E493">
        <v>2.92</v>
      </c>
      <c r="F493" t="s">
        <v>4212</v>
      </c>
      <c r="G493">
        <v>95</v>
      </c>
      <c r="H493" t="s">
        <v>4213</v>
      </c>
      <c r="I493">
        <v>5</v>
      </c>
      <c r="J493">
        <v>0.50345253019720215</v>
      </c>
      <c r="K493">
        <v>0</v>
      </c>
      <c r="M493">
        <v>0</v>
      </c>
      <c r="O493">
        <v>200000</v>
      </c>
      <c r="R493" t="s">
        <v>136</v>
      </c>
      <c r="S493">
        <v>0.00056863157894736845</v>
      </c>
      <c r="T493">
        <v>0.0011509103157894738</v>
      </c>
      <c r="U493" t="s">
        <v>137</v>
      </c>
      <c r="V493">
        <v>0.0079608421052631585</v>
      </c>
      <c r="W493">
        <v>0.23599575242105264</v>
      </c>
      <c r="X493" t="s">
        <v>138</v>
      </c>
      <c r="Y493">
        <v>0.014159745145263157</v>
      </c>
      <c r="Z493">
        <v>0</v>
      </c>
      <c r="AA493" t="s">
        <v>139</v>
      </c>
      <c r="AB493">
        <v>0.028319490290526314</v>
      </c>
      <c r="AC493">
        <v>0.2784749878568421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Q493" t="s">
        <v>140</v>
      </c>
      <c r="AR493" t="s">
        <v>141</v>
      </c>
      <c r="AS493">
        <v>0.22745263157894738</v>
      </c>
    </row>
    <row r="494" spans="1:45" ht="12.75">
      <c r="A494" s="2" t="str">
        <f>HYPERLINK("https://ibp.a2mac1.com/costing(costing:projects/details/8191/material/5317935)","Material")</f>
        <v>Material</v>
      </c>
      <c r="B494">
        <v>5317935</v>
      </c>
      <c r="C494">
        <v>6973978</v>
      </c>
      <c r="E494">
        <v>4.8727799999999997</v>
      </c>
      <c r="F494" t="s">
        <v>296</v>
      </c>
      <c r="G494">
        <v>100</v>
      </c>
      <c r="H494" t="s">
        <v>297</v>
      </c>
      <c r="I494">
        <v>0</v>
      </c>
      <c r="J494">
        <v>1.0057812623742775</v>
      </c>
      <c r="K494">
        <v>0</v>
      </c>
      <c r="L494">
        <v>0</v>
      </c>
      <c r="M494">
        <v>0</v>
      </c>
      <c r="O494">
        <v>200000</v>
      </c>
      <c r="R494" t="s">
        <v>136</v>
      </c>
      <c r="S494">
        <v>0</v>
      </c>
      <c r="T494">
        <v>0.049507444800000001</v>
      </c>
      <c r="U494" t="s">
        <v>137</v>
      </c>
      <c r="V494">
        <v>0.17054730000000001</v>
      </c>
      <c r="W494">
        <v>5.0928347448000002</v>
      </c>
      <c r="X494" t="s">
        <v>138</v>
      </c>
      <c r="Y494">
        <v>0.30557008468800001</v>
      </c>
      <c r="Z494">
        <v>0</v>
      </c>
      <c r="AA494" t="s">
        <v>139</v>
      </c>
      <c r="AB494">
        <v>0.61114016937600002</v>
      </c>
      <c r="AC494">
        <v>6.0095449988640004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Q494" t="s">
        <v>9</v>
      </c>
      <c r="AR494" t="s">
        <v>141</v>
      </c>
      <c r="AS494">
        <v>4.8727799999999997</v>
      </c>
    </row>
    <row r="495" spans="1:45" ht="12.75">
      <c r="A495" s="2" t="str">
        <f>HYPERLINK("https://ibp.a2mac1.com/costing(costing:projects/details/8191/material/5318142)","Material")</f>
        <v>Material</v>
      </c>
      <c r="B495">
        <v>5318142</v>
      </c>
      <c r="C495">
        <v>6974121</v>
      </c>
      <c r="E495">
        <v>3.1893500000000001</v>
      </c>
      <c r="F495" t="s">
        <v>296</v>
      </c>
      <c r="G495">
        <v>100</v>
      </c>
      <c r="H495" t="s">
        <v>297</v>
      </c>
      <c r="I495">
        <v>0</v>
      </c>
      <c r="J495">
        <v>1.0057812623742775</v>
      </c>
      <c r="K495">
        <v>0</v>
      </c>
      <c r="L495">
        <v>0</v>
      </c>
      <c r="M495">
        <v>0</v>
      </c>
      <c r="O495">
        <v>200000</v>
      </c>
      <c r="R495" t="s">
        <v>136</v>
      </c>
      <c r="S495">
        <v>0</v>
      </c>
      <c r="T495">
        <v>0.032403795999999999</v>
      </c>
      <c r="U495" t="s">
        <v>137</v>
      </c>
      <c r="V495">
        <v>0.11162725</v>
      </c>
      <c r="W495">
        <v>3.333381046</v>
      </c>
      <c r="X495" t="s">
        <v>138</v>
      </c>
      <c r="Y495">
        <v>0.20000286276000001</v>
      </c>
      <c r="Z495">
        <v>0</v>
      </c>
      <c r="AA495" t="s">
        <v>139</v>
      </c>
      <c r="AB495">
        <v>0.40000572552000002</v>
      </c>
      <c r="AC495">
        <v>3.9333896342800001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Q495" t="s">
        <v>9</v>
      </c>
      <c r="AR495" t="s">
        <v>141</v>
      </c>
      <c r="AS495">
        <v>3.1893500000000001</v>
      </c>
    </row>
    <row r="496" spans="1:45" ht="12.75">
      <c r="A496" s="2" t="str">
        <f>HYPERLINK("https://ibp.a2mac1.com/costing(costing:projects/details/8191/material/5318143)","Material")</f>
        <v>Material</v>
      </c>
      <c r="B496">
        <v>5318143</v>
      </c>
      <c r="C496">
        <v>6974122</v>
      </c>
      <c r="E496">
        <v>3.1956799999999999</v>
      </c>
      <c r="F496" t="s">
        <v>296</v>
      </c>
      <c r="G496">
        <v>100</v>
      </c>
      <c r="H496" t="s">
        <v>297</v>
      </c>
      <c r="I496">
        <v>0</v>
      </c>
      <c r="J496">
        <v>1.0057812623742775</v>
      </c>
      <c r="K496">
        <v>0</v>
      </c>
      <c r="L496">
        <v>0</v>
      </c>
      <c r="M496">
        <v>0</v>
      </c>
      <c r="O496">
        <v>200000</v>
      </c>
      <c r="R496" t="s">
        <v>136</v>
      </c>
      <c r="S496">
        <v>0</v>
      </c>
      <c r="T496">
        <v>0.032468108799999999</v>
      </c>
      <c r="U496" t="s">
        <v>137</v>
      </c>
      <c r="V496">
        <v>0.1118488</v>
      </c>
      <c r="W496">
        <v>3.3399969087999999</v>
      </c>
      <c r="X496" t="s">
        <v>138</v>
      </c>
      <c r="Y496">
        <v>0.20039981452799999</v>
      </c>
      <c r="Z496">
        <v>0</v>
      </c>
      <c r="AA496" t="s">
        <v>139</v>
      </c>
      <c r="AB496">
        <v>0.40079962905599997</v>
      </c>
      <c r="AC496">
        <v>3.9411963523839999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Q496" t="s">
        <v>9</v>
      </c>
      <c r="AR496" t="s">
        <v>141</v>
      </c>
      <c r="AS496">
        <v>3.1956799999999999</v>
      </c>
    </row>
    <row r="497" spans="1:45" ht="12.75">
      <c r="A497" s="2" t="str">
        <f>HYPERLINK("https://ibp.a2mac1.com/costing(costing:projects/details/8191/material/5318144)","Material")</f>
        <v>Material</v>
      </c>
      <c r="B497">
        <v>5318144</v>
      </c>
      <c r="C497">
        <v>6974123</v>
      </c>
      <c r="E497">
        <v>4.7430300000000001</v>
      </c>
      <c r="F497" t="s">
        <v>296</v>
      </c>
      <c r="G497">
        <v>100</v>
      </c>
      <c r="H497" t="s">
        <v>297</v>
      </c>
      <c r="I497">
        <v>0</v>
      </c>
      <c r="J497">
        <v>1.0057812623742775</v>
      </c>
      <c r="K497">
        <v>0</v>
      </c>
      <c r="L497">
        <v>0</v>
      </c>
      <c r="M497">
        <v>0</v>
      </c>
      <c r="O497">
        <v>200000</v>
      </c>
      <c r="R497" t="s">
        <v>136</v>
      </c>
      <c r="S497">
        <v>0</v>
      </c>
      <c r="T497">
        <v>0.0481891848</v>
      </c>
      <c r="U497" t="s">
        <v>137</v>
      </c>
      <c r="V497">
        <v>0.16600604999999999</v>
      </c>
      <c r="W497">
        <v>4.9572252348000001</v>
      </c>
      <c r="X497" t="s">
        <v>138</v>
      </c>
      <c r="Y497">
        <v>0.29743351408800001</v>
      </c>
      <c r="Z497">
        <v>0</v>
      </c>
      <c r="AA497" t="s">
        <v>139</v>
      </c>
      <c r="AB497">
        <v>0.59486702817600001</v>
      </c>
      <c r="AC497">
        <v>5.8495257770639997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Q497" t="s">
        <v>9</v>
      </c>
      <c r="AR497" t="s">
        <v>141</v>
      </c>
      <c r="AS497">
        <v>4.7430300000000001</v>
      </c>
    </row>
    <row r="498" spans="1:45" ht="12.75">
      <c r="A498" s="2" t="str">
        <f>HYPERLINK("https://ibp.a2mac1.com/costing(costing:projects/details/8191/material/5318145)","Material")</f>
        <v>Material</v>
      </c>
      <c r="B498">
        <v>5318145</v>
      </c>
      <c r="C498">
        <v>6974124</v>
      </c>
      <c r="E498">
        <v>3.4626600000000001</v>
      </c>
      <c r="F498" t="s">
        <v>296</v>
      </c>
      <c r="G498">
        <v>100</v>
      </c>
      <c r="H498" t="s">
        <v>297</v>
      </c>
      <c r="I498">
        <v>0</v>
      </c>
      <c r="J498">
        <v>1.0057812623742775</v>
      </c>
      <c r="K498">
        <v>0</v>
      </c>
      <c r="L498">
        <v>0</v>
      </c>
      <c r="M498">
        <v>0</v>
      </c>
      <c r="O498">
        <v>200000</v>
      </c>
      <c r="R498" t="s">
        <v>136</v>
      </c>
      <c r="S498">
        <v>0</v>
      </c>
      <c r="T498">
        <v>0.035180625600000001</v>
      </c>
      <c r="U498" t="s">
        <v>137</v>
      </c>
      <c r="V498">
        <v>0.1211931</v>
      </c>
      <c r="W498">
        <v>3.6190337256</v>
      </c>
      <c r="X498" t="s">
        <v>138</v>
      </c>
      <c r="Y498">
        <v>0.21714202353600001</v>
      </c>
      <c r="Z498">
        <v>0</v>
      </c>
      <c r="AA498" t="s">
        <v>139</v>
      </c>
      <c r="AB498">
        <v>0.43428404707200002</v>
      </c>
      <c r="AC498">
        <v>4.2704597962079998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Q498" t="s">
        <v>9</v>
      </c>
      <c r="AR498" t="s">
        <v>141</v>
      </c>
      <c r="AS498">
        <v>3.4626600000000001</v>
      </c>
    </row>
    <row r="499" spans="1:45" ht="12.75">
      <c r="A499" s="2" t="str">
        <f>HYPERLINK("https://ibp.a2mac1.com/costing(costing:projects/details/8191/material/5318049)","PA66")</f>
        <v>PA66</v>
      </c>
      <c r="B499">
        <v>5318049</v>
      </c>
      <c r="C499">
        <v>6974054</v>
      </c>
      <c r="E499">
        <v>2.03416</v>
      </c>
      <c r="F499" t="s">
        <v>2980</v>
      </c>
      <c r="G499">
        <v>95</v>
      </c>
      <c r="H499" t="s">
        <v>2981</v>
      </c>
      <c r="I499">
        <v>5</v>
      </c>
      <c r="J499">
        <v>0.50048257265952256</v>
      </c>
      <c r="K499">
        <v>0</v>
      </c>
      <c r="M499">
        <v>0</v>
      </c>
      <c r="O499">
        <v>800000</v>
      </c>
      <c r="R499" t="s">
        <v>136</v>
      </c>
      <c r="S499">
        <v>2.6765263157894736E-05</v>
      </c>
      <c r="T499">
        <v>5.3851709473684212E-05</v>
      </c>
      <c r="U499" t="s">
        <v>137</v>
      </c>
      <c r="V499">
        <v>0.00037471368421052633</v>
      </c>
      <c r="W499">
        <v>0.01110790539368421</v>
      </c>
      <c r="X499" t="s">
        <v>138</v>
      </c>
      <c r="Y499">
        <v>0.00066647432362105261</v>
      </c>
      <c r="Z499">
        <v>0</v>
      </c>
      <c r="AA499" t="s">
        <v>139</v>
      </c>
      <c r="AB499">
        <v>0.0013329486472421052</v>
      </c>
      <c r="AC499">
        <v>0.013107328364547368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Q499" t="s">
        <v>140</v>
      </c>
      <c r="AR499" t="s">
        <v>141</v>
      </c>
      <c r="AS499">
        <v>0.010706105263157895</v>
      </c>
    </row>
    <row r="500" spans="1:45" ht="12.75">
      <c r="A500" s="2" t="str">
        <f>HYPERLINK("https://ibp.a2mac1.com/costing(costing:projects/details/8191/material/5318050)","HDPE")</f>
        <v>HDPE</v>
      </c>
      <c r="B500">
        <v>5318050</v>
      </c>
      <c r="C500">
        <v>6974055</v>
      </c>
      <c r="E500">
        <v>0.96494000000000002</v>
      </c>
      <c r="F500" t="s">
        <v>4186</v>
      </c>
      <c r="G500">
        <v>63.747900000000001</v>
      </c>
      <c r="H500" t="s">
        <v>4486</v>
      </c>
      <c r="I500">
        <v>5</v>
      </c>
      <c r="J500">
        <v>0.0019999600007999841</v>
      </c>
      <c r="K500">
        <v>0</v>
      </c>
      <c r="M500">
        <v>0</v>
      </c>
      <c r="O500">
        <v>400000</v>
      </c>
      <c r="R500" t="s">
        <v>136</v>
      </c>
      <c r="S500">
        <v>4.115559262422762E-05</v>
      </c>
      <c r="T500">
        <v>4.5410437049691047E-08</v>
      </c>
      <c r="U500" t="s">
        <v>137</v>
      </c>
      <c r="V500">
        <v>7.9468264836959334E-05</v>
      </c>
      <c r="W500">
        <v>0.0023088799351343339</v>
      </c>
      <c r="X500" t="s">
        <v>138</v>
      </c>
      <c r="Y500">
        <v>0.00013853279610806003</v>
      </c>
      <c r="Z500">
        <v>0</v>
      </c>
      <c r="AA500" t="s">
        <v>139</v>
      </c>
      <c r="AB500">
        <v>0.00027706559221612006</v>
      </c>
      <c r="AC500">
        <v>0.0027244783234585141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Q500" t="s">
        <v>140</v>
      </c>
      <c r="AR500" t="s">
        <v>141</v>
      </c>
      <c r="AS500">
        <v>0.0022705218524845523</v>
      </c>
    </row>
    <row r="501" spans="1:45" ht="12.75">
      <c r="A501" s="2" t="str">
        <f>HYPERLINK("https://ibp.a2mac1.com/costing(costing:projects/details/8191/material/5318051)","Fabric - NP-PET felt")</f>
        <v>Fabric - NP-PET felt</v>
      </c>
      <c r="B501">
        <v>5318051</v>
      </c>
      <c r="C501">
        <v>6974056</v>
      </c>
      <c r="E501">
        <v>4.58</v>
      </c>
      <c r="F501" t="s">
        <v>4491</v>
      </c>
      <c r="G501">
        <v>90</v>
      </c>
      <c r="H501" t="s">
        <v>4492</v>
      </c>
      <c r="I501">
        <v>0</v>
      </c>
      <c r="J501">
        <v>6.926527801046146</v>
      </c>
      <c r="K501">
        <v>0</v>
      </c>
      <c r="L501">
        <v>0</v>
      </c>
      <c r="M501">
        <v>0</v>
      </c>
      <c r="O501">
        <v>200000</v>
      </c>
      <c r="R501" t="s">
        <v>136</v>
      </c>
      <c r="S501">
        <v>0</v>
      </c>
      <c r="T501">
        <v>1.5906034666666666</v>
      </c>
      <c r="U501" t="s">
        <v>137</v>
      </c>
      <c r="V501">
        <v>0.74806666666666666</v>
      </c>
      <c r="W501">
        <v>23.712003466666665</v>
      </c>
      <c r="X501" t="s">
        <v>138</v>
      </c>
      <c r="Y501">
        <v>1.4227202080000001</v>
      </c>
      <c r="Z501">
        <v>0</v>
      </c>
      <c r="AA501" t="s">
        <v>139</v>
      </c>
      <c r="AB501">
        <v>2.8454404160000002</v>
      </c>
      <c r="AC501">
        <v>27.980164090666666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Q501" t="s">
        <v>140</v>
      </c>
      <c r="AR501" t="s">
        <v>141</v>
      </c>
      <c r="AS501">
        <v>21.373333333333335</v>
      </c>
    </row>
    <row r="502" spans="1:45" ht="12.75">
      <c r="A502" s="2" t="str">
        <f>HYPERLINK("https://ibp.a2mac1.com/costing(costing:projects/details/8191/material/5318052)","Adhesive, standard (default)")</f>
        <v>Adhesive, standard (default)</v>
      </c>
      <c r="B502">
        <v>5318052</v>
      </c>
      <c r="C502">
        <v>6974058</v>
      </c>
      <c r="E502">
        <v>5.80281</v>
      </c>
      <c r="F502" t="s">
        <v>3377</v>
      </c>
      <c r="G502">
        <v>98</v>
      </c>
      <c r="H502" t="s">
        <v>4497</v>
      </c>
      <c r="I502">
        <v>0</v>
      </c>
      <c r="J502">
        <v>3.0838712178480745</v>
      </c>
      <c r="K502">
        <v>0</v>
      </c>
      <c r="L502">
        <v>0</v>
      </c>
      <c r="M502">
        <v>0</v>
      </c>
      <c r="O502">
        <v>200000</v>
      </c>
      <c r="R502" t="s">
        <v>136</v>
      </c>
      <c r="S502">
        <v>0</v>
      </c>
      <c r="T502">
        <v>0.018841368795918367</v>
      </c>
      <c r="U502" t="s">
        <v>137</v>
      </c>
      <c r="V502">
        <v>0.020724321428571429</v>
      </c>
      <c r="W502">
        <v>0.63168915961224492</v>
      </c>
      <c r="X502" t="s">
        <v>138</v>
      </c>
      <c r="Y502">
        <v>0.037901349576734696</v>
      </c>
      <c r="Z502">
        <v>0</v>
      </c>
      <c r="AA502" t="s">
        <v>139</v>
      </c>
      <c r="AB502">
        <v>0.075802699153469391</v>
      </c>
      <c r="AC502">
        <v>0.74539320834244893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Q502" t="s">
        <v>140</v>
      </c>
      <c r="AR502" t="s">
        <v>141</v>
      </c>
      <c r="AS502">
        <v>0.59212346938775506</v>
      </c>
    </row>
    <row r="503" spans="1:45" ht="12.75">
      <c r="A503" s="2" t="str">
        <f>HYPERLINK("https://ibp.a2mac1.com/costing(costing:projects/details/8191/material/5318053)","Recycled fabrics")</f>
        <v>Recycled fabrics</v>
      </c>
      <c r="B503">
        <v>5318053</v>
      </c>
      <c r="C503">
        <v>6974058</v>
      </c>
      <c r="E503">
        <v>2</v>
      </c>
      <c r="F503" t="s">
        <v>4491</v>
      </c>
      <c r="G503">
        <v>90</v>
      </c>
      <c r="H503" t="s">
        <v>4492</v>
      </c>
      <c r="I503">
        <v>0</v>
      </c>
      <c r="J503">
        <v>3.0838712178480745</v>
      </c>
      <c r="K503">
        <v>0</v>
      </c>
      <c r="L503">
        <v>0</v>
      </c>
      <c r="M503">
        <v>0</v>
      </c>
      <c r="O503">
        <v>200000</v>
      </c>
      <c r="R503" t="s">
        <v>136</v>
      </c>
      <c r="S503">
        <v>0</v>
      </c>
      <c r="T503">
        <v>0.29698666666666668</v>
      </c>
      <c r="U503" t="s">
        <v>137</v>
      </c>
      <c r="V503">
        <v>0.32666666666666666</v>
      </c>
      <c r="W503">
        <v>9.9569866666666673</v>
      </c>
      <c r="X503" t="s">
        <v>138</v>
      </c>
      <c r="Y503">
        <v>0.59741920000000004</v>
      </c>
      <c r="Z503">
        <v>0</v>
      </c>
      <c r="AA503" t="s">
        <v>139</v>
      </c>
      <c r="AB503">
        <v>1.1948384000000001</v>
      </c>
      <c r="AC503">
        <v>11.749244266666667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Q503" t="s">
        <v>9</v>
      </c>
      <c r="AR503" t="s">
        <v>141</v>
      </c>
      <c r="AS503">
        <v>9.3333333333333339</v>
      </c>
    </row>
    <row r="504" spans="1:45" ht="12.75">
      <c r="A504" s="2" t="str">
        <f>HYPERLINK("https://ibp.a2mac1.com/costing(costing:projects/details/8191/material/5318146)","Material")</f>
        <v>Material</v>
      </c>
      <c r="B504">
        <v>5318146</v>
      </c>
      <c r="C504">
        <v>6974125</v>
      </c>
      <c r="E504">
        <v>10.27</v>
      </c>
      <c r="F504" t="s">
        <v>296</v>
      </c>
      <c r="G504">
        <v>100</v>
      </c>
      <c r="H504" t="s">
        <v>297</v>
      </c>
      <c r="I504">
        <v>0</v>
      </c>
      <c r="J504">
        <v>0.50345253019720215</v>
      </c>
      <c r="K504">
        <v>0</v>
      </c>
      <c r="L504">
        <v>0</v>
      </c>
      <c r="M504">
        <v>0</v>
      </c>
      <c r="O504">
        <v>200000</v>
      </c>
      <c r="R504" t="s">
        <v>136</v>
      </c>
      <c r="S504">
        <v>0</v>
      </c>
      <c r="T504">
        <v>0.051966199999999997</v>
      </c>
      <c r="U504" t="s">
        <v>137</v>
      </c>
      <c r="V504">
        <v>0.35944999999999999</v>
      </c>
      <c r="W504">
        <v>10.681416199999999</v>
      </c>
      <c r="X504" t="s">
        <v>138</v>
      </c>
      <c r="Y504">
        <v>0.64088497200000005</v>
      </c>
      <c r="Z504">
        <v>0</v>
      </c>
      <c r="AA504" t="s">
        <v>139</v>
      </c>
      <c r="AB504">
        <v>1.2817699440000001</v>
      </c>
      <c r="AC504">
        <v>12.604071116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Q504" t="s">
        <v>9</v>
      </c>
      <c r="AR504" t="s">
        <v>141</v>
      </c>
      <c r="AS504">
        <v>10.27</v>
      </c>
    </row>
    <row r="505" spans="1:45" ht="12.75">
      <c r="A505" s="2" t="str">
        <f>HYPERLINK("https://ibp.a2mac1.com/costing(costing:projects/details/8191/material/5318147)","PP")</f>
        <v>PP</v>
      </c>
      <c r="B505">
        <v>5318147</v>
      </c>
      <c r="C505">
        <v>6974126</v>
      </c>
      <c r="E505">
        <v>1.0113799999999999</v>
      </c>
      <c r="F505" t="s">
        <v>4515</v>
      </c>
      <c r="G505">
        <v>93.370699999999999</v>
      </c>
      <c r="H505" t="s">
        <v>4516</v>
      </c>
      <c r="I505">
        <v>5</v>
      </c>
      <c r="J505">
        <v>0.0019999600007999841</v>
      </c>
      <c r="K505">
        <v>0</v>
      </c>
      <c r="L505">
        <v>0</v>
      </c>
      <c r="M505">
        <v>0</v>
      </c>
      <c r="O505">
        <v>200000</v>
      </c>
      <c r="R505" t="s">
        <v>136</v>
      </c>
      <c r="S505">
        <v>0.0024917295014367461</v>
      </c>
      <c r="T505">
        <v>1.5034646200574699E-05</v>
      </c>
      <c r="U505" t="s">
        <v>137</v>
      </c>
      <c r="V505">
        <v>0.026310630851005722</v>
      </c>
      <c r="W505">
        <v>0.77556624602450452</v>
      </c>
      <c r="X505" t="s">
        <v>138</v>
      </c>
      <c r="Y505">
        <v>0.046533974761470268</v>
      </c>
      <c r="Z505">
        <v>0</v>
      </c>
      <c r="AA505" t="s">
        <v>139</v>
      </c>
      <c r="AB505">
        <v>0.093067949522940535</v>
      </c>
      <c r="AC505">
        <v>0.91516817030891529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Q505" t="s">
        <v>140</v>
      </c>
      <c r="AR505" t="s">
        <v>141</v>
      </c>
      <c r="AS505">
        <v>0.75173231002873497</v>
      </c>
    </row>
    <row r="506" spans="1:45" ht="12.75">
      <c r="A506" s="2" t="str">
        <f>HYPERLINK("https://ibp.a2mac1.com/costing(costing:projects/details/8191/material/5318148)","PP")</f>
        <v>PP</v>
      </c>
      <c r="B506">
        <v>5318148</v>
      </c>
      <c r="C506">
        <v>6974127</v>
      </c>
      <c r="E506">
        <v>1.0113799999999999</v>
      </c>
      <c r="F506" t="s">
        <v>4521</v>
      </c>
      <c r="G506">
        <v>93.370699999999999</v>
      </c>
      <c r="H506" t="s">
        <v>4522</v>
      </c>
      <c r="I506">
        <v>5</v>
      </c>
      <c r="J506">
        <v>0.0019999600007999841</v>
      </c>
      <c r="K506">
        <v>0</v>
      </c>
      <c r="L506">
        <v>0</v>
      </c>
      <c r="M506">
        <v>0</v>
      </c>
      <c r="O506">
        <v>200000</v>
      </c>
      <c r="R506" t="s">
        <v>136</v>
      </c>
      <c r="S506">
        <v>0.0024522352298001408</v>
      </c>
      <c r="T506">
        <v>1.4796344891920057E-05</v>
      </c>
      <c r="U506" t="s">
        <v>137</v>
      </c>
      <c r="V506">
        <v>0.025893603560860099</v>
      </c>
      <c r="W506">
        <v>0.76327340927195464</v>
      </c>
      <c r="X506" t="s">
        <v>138</v>
      </c>
      <c r="Y506">
        <v>0.045796404556317283</v>
      </c>
      <c r="Z506">
        <v>0</v>
      </c>
      <c r="AA506" t="s">
        <v>139</v>
      </c>
      <c r="AB506">
        <v>0.091592809112634566</v>
      </c>
      <c r="AC506">
        <v>0.90066262294090649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Q506" t="s">
        <v>140</v>
      </c>
      <c r="AR506" t="s">
        <v>141</v>
      </c>
      <c r="AS506">
        <v>0.73981724459600284</v>
      </c>
    </row>
    <row r="507" spans="1:45" ht="12.75">
      <c r="A507" s="2" t="str">
        <f>HYPERLINK("https://ibp.a2mac1.com/costing(costing:projects/details/8191/material/5318149)","ABS")</f>
        <v>ABS</v>
      </c>
      <c r="B507">
        <v>5318149</v>
      </c>
      <c r="C507">
        <v>6974129</v>
      </c>
      <c r="E507">
        <v>2.5272700000000001</v>
      </c>
      <c r="F507" t="s">
        <v>2750</v>
      </c>
      <c r="G507">
        <v>90.732799999999997</v>
      </c>
      <c r="H507" t="s">
        <v>4528</v>
      </c>
      <c r="I507">
        <v>5</v>
      </c>
      <c r="J507">
        <v>0.0019999600007999841</v>
      </c>
      <c r="K507">
        <v>0</v>
      </c>
      <c r="M507">
        <v>0</v>
      </c>
      <c r="O507">
        <v>200000</v>
      </c>
      <c r="R507" t="s">
        <v>136</v>
      </c>
      <c r="S507">
        <v>0.00041300551146222753</v>
      </c>
      <c r="T507">
        <v>1.782655004584891E-06</v>
      </c>
      <c r="U507" t="s">
        <v>137</v>
      </c>
      <c r="V507">
        <v>0.0031196462580235593</v>
      </c>
      <c r="W507">
        <v>0.091841173630810471</v>
      </c>
      <c r="X507" t="s">
        <v>138</v>
      </c>
      <c r="Y507">
        <v>0.005510470417848628</v>
      </c>
      <c r="Z507">
        <v>0</v>
      </c>
      <c r="AA507" t="s">
        <v>139</v>
      </c>
      <c r="AB507">
        <v>0.011020940835697256</v>
      </c>
      <c r="AC507">
        <v>0.10837258488435635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Q507" t="s">
        <v>140</v>
      </c>
      <c r="AR507" t="s">
        <v>141</v>
      </c>
      <c r="AS507">
        <v>0.089132750229244551</v>
      </c>
    </row>
    <row r="508" spans="1:45" ht="12.75">
      <c r="A508" s="2" t="str">
        <f>HYPERLINK("https://ibp.a2mac1.com/costing(costing:projects/details/8191/material/5318150)","PA6")</f>
        <v>PA6</v>
      </c>
      <c r="B508">
        <v>5318150</v>
      </c>
      <c r="C508">
        <v>6974131</v>
      </c>
      <c r="E508">
        <v>1.72394</v>
      </c>
      <c r="F508" t="s">
        <v>4535</v>
      </c>
      <c r="G508">
        <v>93.222300000000004</v>
      </c>
      <c r="H508" t="s">
        <v>4536</v>
      </c>
      <c r="I508">
        <v>5</v>
      </c>
      <c r="J508">
        <v>0.0019999600007999841</v>
      </c>
      <c r="K508">
        <v>0</v>
      </c>
      <c r="M508">
        <v>0</v>
      </c>
      <c r="O508">
        <v>200000</v>
      </c>
      <c r="R508" t="s">
        <v>136</v>
      </c>
      <c r="S508">
        <v>0.00039481644021548492</v>
      </c>
      <c r="T508">
        <v>2.3300909760861939E-06</v>
      </c>
      <c r="U508" t="s">
        <v>137</v>
      </c>
      <c r="V508">
        <v>0.0040776592081508394</v>
      </c>
      <c r="W508">
        <v>0.12018972166322114</v>
      </c>
      <c r="X508" t="s">
        <v>138</v>
      </c>
      <c r="Y508">
        <v>0.0072113832997932684</v>
      </c>
      <c r="Z508">
        <v>0</v>
      </c>
      <c r="AA508" t="s">
        <v>139</v>
      </c>
      <c r="AB508">
        <v>0.014422766599586537</v>
      </c>
      <c r="AC508">
        <v>0.14182387156260096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Q508" t="s">
        <v>140</v>
      </c>
      <c r="AR508" t="s">
        <v>141</v>
      </c>
      <c r="AS508">
        <v>0.1165045488043097</v>
      </c>
    </row>
    <row r="509" spans="1:45" ht="12.75">
      <c r="A509" s="2" t="str">
        <f>HYPERLINK("https://ibp.a2mac1.com/costing(costing:projects/details/8191/material/5318058)","Material")</f>
        <v>Material</v>
      </c>
      <c r="B509">
        <v>5318058</v>
      </c>
      <c r="C509">
        <v>6974061</v>
      </c>
      <c r="E509">
        <v>9.50</v>
      </c>
      <c r="F509" t="s">
        <v>296</v>
      </c>
      <c r="G509">
        <v>100</v>
      </c>
      <c r="H509" t="s">
        <v>297</v>
      </c>
      <c r="I509">
        <v>0</v>
      </c>
      <c r="J509">
        <v>0.50345253019720215</v>
      </c>
      <c r="K509">
        <v>0</v>
      </c>
      <c r="L509">
        <v>0</v>
      </c>
      <c r="M509">
        <v>0</v>
      </c>
      <c r="O509">
        <v>200000</v>
      </c>
      <c r="R509" t="s">
        <v>136</v>
      </c>
      <c r="S509">
        <v>0</v>
      </c>
      <c r="T509">
        <v>0.048070000000000002</v>
      </c>
      <c r="U509" t="s">
        <v>137</v>
      </c>
      <c r="V509">
        <v>0.3325</v>
      </c>
      <c r="W509">
        <v>9.8805700000000005</v>
      </c>
      <c r="X509" t="s">
        <v>138</v>
      </c>
      <c r="Y509">
        <v>0.59283419999999998</v>
      </c>
      <c r="Z509">
        <v>0</v>
      </c>
      <c r="AA509" t="s">
        <v>139</v>
      </c>
      <c r="AB509">
        <v>1.1856684</v>
      </c>
      <c r="AC509">
        <v>11.6590726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Q509" t="s">
        <v>9</v>
      </c>
      <c r="AR509" t="s">
        <v>141</v>
      </c>
      <c r="AS509">
        <v>9.50</v>
      </c>
    </row>
    <row r="510" spans="1:45" ht="12.75">
      <c r="A510" s="2" t="str">
        <f>HYPERLINK("https://ibp.a2mac1.com/costing(costing:projects/details/8191/material/5317940)","POM")</f>
        <v>POM</v>
      </c>
      <c r="B510">
        <v>5317940</v>
      </c>
      <c r="C510">
        <v>6973979</v>
      </c>
      <c r="E510">
        <v>2.12338</v>
      </c>
      <c r="F510" t="s">
        <v>1280</v>
      </c>
      <c r="G510">
        <v>71.064599999999999</v>
      </c>
      <c r="H510" t="s">
        <v>4557</v>
      </c>
      <c r="I510">
        <v>5</v>
      </c>
      <c r="J510">
        <v>0.0019999600007999841</v>
      </c>
      <c r="K510">
        <v>0</v>
      </c>
      <c r="M510">
        <v>0</v>
      </c>
      <c r="O510">
        <v>200000</v>
      </c>
      <c r="R510" t="s">
        <v>136</v>
      </c>
      <c r="S510">
        <v>0.00012968661538656379</v>
      </c>
      <c r="T510">
        <v>1.7927744615462552E-07</v>
      </c>
      <c r="U510" t="s">
        <v>137</v>
      </c>
      <c r="V510">
        <v>0.00031373553077059462</v>
      </c>
      <c r="W510">
        <v>0.0091481005005614614</v>
      </c>
      <c r="X510" t="s">
        <v>138</v>
      </c>
      <c r="Y510">
        <v>0.00054888603003368762</v>
      </c>
      <c r="Z510">
        <v>0</v>
      </c>
      <c r="AA510" t="s">
        <v>139</v>
      </c>
      <c r="AB510">
        <v>0.0010977720600673752</v>
      </c>
      <c r="AC510">
        <v>0.010794758590662524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Q510" t="s">
        <v>140</v>
      </c>
      <c r="AR510" t="s">
        <v>141</v>
      </c>
      <c r="AS510">
        <v>0.0089638723077312757</v>
      </c>
    </row>
    <row r="511" spans="1:45" ht="12.75">
      <c r="A511" s="2" t="str">
        <f>HYPERLINK("https://ibp.a2mac1.com/costing(costing:projects/details/8191/material/5317941)","EPP")</f>
        <v>EPP</v>
      </c>
      <c r="B511">
        <v>5317941</v>
      </c>
      <c r="C511">
        <v>6973980</v>
      </c>
      <c r="E511">
        <v>2.5973999999999999</v>
      </c>
      <c r="F511" t="s">
        <v>4567</v>
      </c>
      <c r="G511">
        <v>97</v>
      </c>
      <c r="H511" t="s">
        <v>4568</v>
      </c>
      <c r="I511">
        <v>5</v>
      </c>
      <c r="J511">
        <v>2.001136786813273</v>
      </c>
      <c r="K511">
        <v>0</v>
      </c>
      <c r="L511">
        <v>0</v>
      </c>
      <c r="M511">
        <v>0</v>
      </c>
      <c r="O511">
        <v>200000</v>
      </c>
      <c r="R511" t="s">
        <v>136</v>
      </c>
      <c r="S511">
        <v>0.0013053943298969072</v>
      </c>
      <c r="T511">
        <v>0.017770768144329898</v>
      </c>
      <c r="U511" t="s">
        <v>137</v>
      </c>
      <c r="V511">
        <v>0.030459201030927835</v>
      </c>
      <c r="W511">
        <v>0.91718746144329899</v>
      </c>
      <c r="X511" t="s">
        <v>138</v>
      </c>
      <c r="Y511">
        <v>0.055031247686597937</v>
      </c>
      <c r="Z511">
        <v>0</v>
      </c>
      <c r="AA511" t="s">
        <v>139</v>
      </c>
      <c r="AB511">
        <v>0.11006249537319587</v>
      </c>
      <c r="AC511">
        <v>1.0822812045030927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Q511" t="s">
        <v>140</v>
      </c>
      <c r="AR511" t="s">
        <v>141</v>
      </c>
      <c r="AS511">
        <v>0.87026288659793816</v>
      </c>
    </row>
    <row r="512" spans="1:45" ht="12.75">
      <c r="A512" s="2" t="str">
        <f>HYPERLINK("https://ibp.a2mac1.com/costing(costing:projects/details/8191/material/5317942)","EPP")</f>
        <v>EPP</v>
      </c>
      <c r="B512">
        <v>5317942</v>
      </c>
      <c r="C512">
        <v>6973982</v>
      </c>
      <c r="E512">
        <v>2.5973999999999999</v>
      </c>
      <c r="F512" t="s">
        <v>4573</v>
      </c>
      <c r="G512">
        <v>97</v>
      </c>
      <c r="H512" t="s">
        <v>4574</v>
      </c>
      <c r="I512">
        <v>5</v>
      </c>
      <c r="J512">
        <v>2.001136786813273</v>
      </c>
      <c r="K512">
        <v>0</v>
      </c>
      <c r="L512">
        <v>0</v>
      </c>
      <c r="M512">
        <v>0</v>
      </c>
      <c r="O512">
        <v>200000</v>
      </c>
      <c r="R512" t="s">
        <v>136</v>
      </c>
      <c r="S512">
        <v>0.00095595030927835055</v>
      </c>
      <c r="T512">
        <v>0.013013670210309278</v>
      </c>
      <c r="U512" t="s">
        <v>137</v>
      </c>
      <c r="V512">
        <v>0.022305507216494845</v>
      </c>
      <c r="W512">
        <v>0.67166343330309275</v>
      </c>
      <c r="X512" t="s">
        <v>138</v>
      </c>
      <c r="Y512">
        <v>0.04029980599818557</v>
      </c>
      <c r="Z512">
        <v>0</v>
      </c>
      <c r="AA512" t="s">
        <v>139</v>
      </c>
      <c r="AB512">
        <v>0.08059961199637114</v>
      </c>
      <c r="AC512">
        <v>0.79256285129764947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Q512" t="s">
        <v>140</v>
      </c>
      <c r="AR512" t="s">
        <v>141</v>
      </c>
      <c r="AS512">
        <v>0.63730020618556704</v>
      </c>
    </row>
    <row r="513" spans="1:45" ht="12.75">
      <c r="A513" s="2" t="str">
        <f>HYPERLINK("https://ibp.a2mac1.com/costing(costing:projects/details/8191/material/5317943)","Material")</f>
        <v>Material</v>
      </c>
      <c r="B513">
        <v>5317943</v>
      </c>
      <c r="C513">
        <v>6973984</v>
      </c>
      <c r="E513">
        <v>41.682020000000001</v>
      </c>
      <c r="F513" t="s">
        <v>296</v>
      </c>
      <c r="G513">
        <v>100</v>
      </c>
      <c r="H513" t="s">
        <v>297</v>
      </c>
      <c r="I513">
        <v>0</v>
      </c>
      <c r="J513">
        <v>2.001136786813273</v>
      </c>
      <c r="K513">
        <v>0</v>
      </c>
      <c r="L513">
        <v>0</v>
      </c>
      <c r="M513">
        <v>0</v>
      </c>
      <c r="O513">
        <v>200000</v>
      </c>
      <c r="R513" t="s">
        <v>136</v>
      </c>
      <c r="S513">
        <v>0</v>
      </c>
      <c r="T513">
        <v>0.85114684839999999</v>
      </c>
      <c r="U513" t="s">
        <v>137</v>
      </c>
      <c r="V513">
        <v>1.4588707000000001</v>
      </c>
      <c r="W513">
        <v>43.992037548399999</v>
      </c>
      <c r="X513" t="s">
        <v>138</v>
      </c>
      <c r="Y513">
        <v>2.6395222529039999</v>
      </c>
      <c r="Z513">
        <v>0</v>
      </c>
      <c r="AA513" t="s">
        <v>139</v>
      </c>
      <c r="AB513">
        <v>5.2790445058079998</v>
      </c>
      <c r="AC513">
        <v>51.910604307112003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Q513" t="s">
        <v>9</v>
      </c>
      <c r="AR513" t="s">
        <v>141</v>
      </c>
      <c r="AS513">
        <v>41.682020000000001</v>
      </c>
    </row>
    <row r="514" spans="1:45" ht="12.75">
      <c r="A514" s="2" t="str">
        <f>HYPERLINK("https://ibp.a2mac1.com/costing(costing:projects/details/8191/material/5320241)","Standard Structural Steel sheet")</f>
        <v>Standard Structural Steel sheet</v>
      </c>
      <c r="B514">
        <v>5320241</v>
      </c>
      <c r="C514">
        <v>6975797</v>
      </c>
      <c r="E514">
        <v>0.61129999999999995</v>
      </c>
      <c r="F514" t="s">
        <v>4596</v>
      </c>
      <c r="G514">
        <v>55</v>
      </c>
      <c r="H514" t="s">
        <v>4597</v>
      </c>
      <c r="I514">
        <v>30</v>
      </c>
      <c r="J514">
        <v>0.10389195236953569</v>
      </c>
      <c r="K514">
        <v>0</v>
      </c>
      <c r="L514">
        <v>0</v>
      </c>
      <c r="M514">
        <v>0</v>
      </c>
      <c r="O514">
        <v>200000</v>
      </c>
      <c r="R514" t="s">
        <v>136</v>
      </c>
      <c r="S514">
        <v>0.84626149090909086</v>
      </c>
      <c r="T514">
        <v>0.0065193477818181822</v>
      </c>
      <c r="U514" t="s">
        <v>137</v>
      </c>
      <c r="V514">
        <v>0.21940112727272729</v>
      </c>
      <c r="W514">
        <v>5.6482626205090911</v>
      </c>
      <c r="X514" t="s">
        <v>90</v>
      </c>
      <c r="Y514">
        <v>0</v>
      </c>
      <c r="Z514">
        <v>0</v>
      </c>
      <c r="AA514" t="s">
        <v>90</v>
      </c>
      <c r="AB514">
        <v>0</v>
      </c>
      <c r="AC514">
        <v>5.6482626205090911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Q514" t="s">
        <v>140</v>
      </c>
      <c r="AR514" t="s">
        <v>141</v>
      </c>
      <c r="AS514">
        <v>6.2686036363636362</v>
      </c>
    </row>
    <row r="515" spans="1:45" ht="12.75">
      <c r="A515" s="2" t="str">
        <f>HYPERLINK("https://ibp.a2mac1.com/costing(costing:projects/details/8191/material/5320242)","Standard Structural Steel sheet")</f>
        <v>Standard Structural Steel sheet</v>
      </c>
      <c r="B515">
        <v>5320242</v>
      </c>
      <c r="C515">
        <v>6975798</v>
      </c>
      <c r="E515">
        <v>0.61129999999999995</v>
      </c>
      <c r="F515" t="s">
        <v>4602</v>
      </c>
      <c r="G515">
        <v>85</v>
      </c>
      <c r="H515" t="s">
        <v>4603</v>
      </c>
      <c r="I515">
        <v>30</v>
      </c>
      <c r="J515">
        <v>0.10389195236953569</v>
      </c>
      <c r="K515">
        <v>0</v>
      </c>
      <c r="L515">
        <v>0</v>
      </c>
      <c r="M515">
        <v>0</v>
      </c>
      <c r="O515">
        <v>200000</v>
      </c>
      <c r="R515" t="s">
        <v>136</v>
      </c>
      <c r="S515">
        <v>0.014563323529411764</v>
      </c>
      <c r="T515">
        <v>0.0003365745882352941</v>
      </c>
      <c r="U515" t="s">
        <v>137</v>
      </c>
      <c r="V515">
        <v>0.011327029411764706</v>
      </c>
      <c r="W515">
        <v>0.32072969223529413</v>
      </c>
      <c r="X515" t="s">
        <v>138</v>
      </c>
      <c r="Y515">
        <v>0.019243781534117647</v>
      </c>
      <c r="Z515">
        <v>0</v>
      </c>
      <c r="AA515" t="s">
        <v>139</v>
      </c>
      <c r="AB515">
        <v>0.038487563068235295</v>
      </c>
      <c r="AC515">
        <v>0.37846103683764704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Q515" t="s">
        <v>140</v>
      </c>
      <c r="AR515" t="s">
        <v>141</v>
      </c>
      <c r="AS515">
        <v>0.32362941176470589</v>
      </c>
    </row>
    <row r="516" spans="1:45" ht="12.75">
      <c r="A516" s="2" t="str">
        <f>HYPERLINK("https://ibp.a2mac1.com/costing(costing:projects/details/8191/material/5320243)","Standard Structural Steel sheet")</f>
        <v>Standard Structural Steel sheet</v>
      </c>
      <c r="B516">
        <v>5320243</v>
      </c>
      <c r="C516">
        <v>6975799</v>
      </c>
      <c r="E516">
        <v>0.61129999999999995</v>
      </c>
      <c r="F516" t="s">
        <v>4056</v>
      </c>
      <c r="G516">
        <v>80</v>
      </c>
      <c r="H516" t="s">
        <v>4607</v>
      </c>
      <c r="I516">
        <v>30</v>
      </c>
      <c r="J516">
        <v>0.10389195236953569</v>
      </c>
      <c r="K516">
        <v>0</v>
      </c>
      <c r="L516">
        <v>0</v>
      </c>
      <c r="M516">
        <v>0</v>
      </c>
      <c r="O516">
        <v>200000</v>
      </c>
      <c r="R516" t="s">
        <v>136</v>
      </c>
      <c r="S516">
        <v>0.035302575000000003</v>
      </c>
      <c r="T516">
        <v>0.00061191130000000002</v>
      </c>
      <c r="U516" t="s">
        <v>137</v>
      </c>
      <c r="V516">
        <v>0.020593168750000002</v>
      </c>
      <c r="W516">
        <v>0.57427875505000003</v>
      </c>
      <c r="X516" t="s">
        <v>138</v>
      </c>
      <c r="Y516">
        <v>0.034456725303000001</v>
      </c>
      <c r="Z516">
        <v>0</v>
      </c>
      <c r="AA516" t="s">
        <v>139</v>
      </c>
      <c r="AB516">
        <v>0.068913450606000001</v>
      </c>
      <c r="AC516">
        <v>0.67764893095900003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Q516" t="s">
        <v>140</v>
      </c>
      <c r="AR516" t="s">
        <v>141</v>
      </c>
      <c r="AS516">
        <v>0.58837625000000005</v>
      </c>
    </row>
    <row r="517" spans="1:45" ht="12.75">
      <c r="A517" s="2" t="str">
        <f>HYPERLINK("https://ibp.a2mac1.com/costing(costing:projects/details/8191/material/5320342)","Standard Structural Steel sheet")</f>
        <v>Standard Structural Steel sheet</v>
      </c>
      <c r="B517">
        <v>5320342</v>
      </c>
      <c r="C517">
        <v>6975878</v>
      </c>
      <c r="E517">
        <v>0.61129999999999995</v>
      </c>
      <c r="F517" t="s">
        <v>3845</v>
      </c>
      <c r="G517">
        <v>75</v>
      </c>
      <c r="H517" t="s">
        <v>4612</v>
      </c>
      <c r="I517">
        <v>30</v>
      </c>
      <c r="J517">
        <v>0.10389195236953569</v>
      </c>
      <c r="K517">
        <v>0</v>
      </c>
      <c r="L517">
        <v>0</v>
      </c>
      <c r="M517">
        <v>0</v>
      </c>
      <c r="O517">
        <v>200000</v>
      </c>
      <c r="R517" t="s">
        <v>136</v>
      </c>
      <c r="S517">
        <v>0.039734499999999999</v>
      </c>
      <c r="T517">
        <v>0.00055098506666666669</v>
      </c>
      <c r="U517" t="s">
        <v>137</v>
      </c>
      <c r="V517">
        <v>0.018542766666666665</v>
      </c>
      <c r="W517">
        <v>0.50915258506666672</v>
      </c>
      <c r="X517" t="s">
        <v>138</v>
      </c>
      <c r="Y517">
        <v>0.030549155104000001</v>
      </c>
      <c r="Z517">
        <v>0</v>
      </c>
      <c r="AA517" t="s">
        <v>139</v>
      </c>
      <c r="AB517">
        <v>0.061098310208000002</v>
      </c>
      <c r="AC517">
        <v>0.60080005037866668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Q517" t="s">
        <v>140</v>
      </c>
      <c r="AR517" t="s">
        <v>141</v>
      </c>
      <c r="AS517">
        <v>0.52979333333333334</v>
      </c>
    </row>
    <row r="518" spans="1:45" ht="12.75">
      <c r="A518" s="2" t="str">
        <f>HYPERLINK("https://ibp.a2mac1.com/costing(costing:projects/details/8191/material/5320343)","Standard Structural Steel sheet")</f>
        <v>Standard Structural Steel sheet</v>
      </c>
      <c r="B518">
        <v>5320343</v>
      </c>
      <c r="C518">
        <v>6975879</v>
      </c>
      <c r="E518">
        <v>0.61129999999999995</v>
      </c>
      <c r="F518" t="s">
        <v>3845</v>
      </c>
      <c r="G518">
        <v>70</v>
      </c>
      <c r="H518" t="s">
        <v>4615</v>
      </c>
      <c r="I518">
        <v>30</v>
      </c>
      <c r="J518">
        <v>0.10389195236953569</v>
      </c>
      <c r="K518">
        <v>0</v>
      </c>
      <c r="L518">
        <v>0</v>
      </c>
      <c r="M518">
        <v>0</v>
      </c>
      <c r="O518">
        <v>200000</v>
      </c>
      <c r="R518" t="s">
        <v>136</v>
      </c>
      <c r="S518">
        <v>0.051087214285714284</v>
      </c>
      <c r="T518">
        <v>0.00059034114285714287</v>
      </c>
      <c r="U518" t="s">
        <v>137</v>
      </c>
      <c r="V518">
        <v>0.019867249999999999</v>
      </c>
      <c r="W518">
        <v>0.53700609114285713</v>
      </c>
      <c r="X518" t="s">
        <v>138</v>
      </c>
      <c r="Y518">
        <v>0.032220365468571426</v>
      </c>
      <c r="Z518">
        <v>0</v>
      </c>
      <c r="AA518" t="s">
        <v>139</v>
      </c>
      <c r="AB518">
        <v>0.064440730937142851</v>
      </c>
      <c r="AC518">
        <v>0.63366718754857143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Q518" t="s">
        <v>140</v>
      </c>
      <c r="AR518" t="s">
        <v>141</v>
      </c>
      <c r="AS518">
        <v>0.56763571428571424</v>
      </c>
    </row>
    <row r="519" spans="1:45" ht="12.75">
      <c r="A519" s="2" t="str">
        <f>HYPERLINK("https://ibp.a2mac1.com/costing(costing:projects/details/8191/material/5320344)","Standard Structural Steel sheet")</f>
        <v>Standard Structural Steel sheet</v>
      </c>
      <c r="B519">
        <v>5320344</v>
      </c>
      <c r="C519">
        <v>6975880</v>
      </c>
      <c r="E519">
        <v>0.61129999999999995</v>
      </c>
      <c r="F519" t="s">
        <v>2059</v>
      </c>
      <c r="G519">
        <v>85</v>
      </c>
      <c r="H519" t="s">
        <v>4618</v>
      </c>
      <c r="I519">
        <v>30</v>
      </c>
      <c r="J519">
        <v>0.10389195236953569</v>
      </c>
      <c r="K519">
        <v>0</v>
      </c>
      <c r="L519">
        <v>0</v>
      </c>
      <c r="M519">
        <v>0</v>
      </c>
      <c r="O519">
        <v>200000</v>
      </c>
      <c r="R519" t="s">
        <v>136</v>
      </c>
      <c r="S519">
        <v>0.0019417764705882354</v>
      </c>
      <c r="T519">
        <v>4.4876611764705885E-05</v>
      </c>
      <c r="U519" t="s">
        <v>137</v>
      </c>
      <c r="V519">
        <v>0.0015102705882352942</v>
      </c>
      <c r="W519">
        <v>0.042763958964705882</v>
      </c>
      <c r="X519" t="s">
        <v>138</v>
      </c>
      <c r="Y519">
        <v>0.0025658375378823529</v>
      </c>
      <c r="Z519">
        <v>0</v>
      </c>
      <c r="AA519" t="s">
        <v>139</v>
      </c>
      <c r="AB519">
        <v>0.0051316750757647057</v>
      </c>
      <c r="AC519">
        <v>0.050461471578352943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Q519" t="s">
        <v>140</v>
      </c>
      <c r="AR519" t="s">
        <v>141</v>
      </c>
      <c r="AS519">
        <v>0.043150588235294114</v>
      </c>
    </row>
    <row r="520" spans="1:45" ht="12.75">
      <c r="A520" s="2" t="str">
        <f>HYPERLINK("https://ibp.a2mac1.com/costing(costing:projects/details/8191/material/5320345)","Standard Structural Steel sheet")</f>
        <v>Standard Structural Steel sheet</v>
      </c>
      <c r="B520">
        <v>5320345</v>
      </c>
      <c r="C520">
        <v>6975881</v>
      </c>
      <c r="E520">
        <v>0.61129999999999995</v>
      </c>
      <c r="F520" t="s">
        <v>4624</v>
      </c>
      <c r="G520">
        <v>50</v>
      </c>
      <c r="H520" t="s">
        <v>4625</v>
      </c>
      <c r="I520">
        <v>30</v>
      </c>
      <c r="J520">
        <v>0.10389195236953569</v>
      </c>
      <c r="K520">
        <v>0</v>
      </c>
      <c r="L520">
        <v>0</v>
      </c>
      <c r="M520">
        <v>0</v>
      </c>
      <c r="O520">
        <v>200000</v>
      </c>
      <c r="R520" t="s">
        <v>136</v>
      </c>
      <c r="S520">
        <v>0.2494104</v>
      </c>
      <c r="T520">
        <v>0.0017292454400000001</v>
      </c>
      <c r="U520" t="s">
        <v>137</v>
      </c>
      <c r="V520">
        <v>0.058195759999999999</v>
      </c>
      <c r="W520">
        <v>1.4732506054400001</v>
      </c>
      <c r="X520" t="s">
        <v>138</v>
      </c>
      <c r="Y520">
        <v>0.088395036326400001</v>
      </c>
      <c r="Z520">
        <v>0</v>
      </c>
      <c r="AA520" t="s">
        <v>139</v>
      </c>
      <c r="AB520">
        <v>0.1767900726528</v>
      </c>
      <c r="AC520">
        <v>1.7384357144192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Q520" t="s">
        <v>140</v>
      </c>
      <c r="AR520" t="s">
        <v>141</v>
      </c>
      <c r="AS520">
        <v>1.662736</v>
      </c>
    </row>
    <row r="521" spans="1:45" ht="12.75">
      <c r="A521" s="2" t="str">
        <f>HYPERLINK("https://ibp.a2mac1.com/costing(costing:projects/details/8191/material/5320244)","Standard Structural Steel sheet")</f>
        <v>Standard Structural Steel sheet</v>
      </c>
      <c r="B521">
        <v>5320244</v>
      </c>
      <c r="C521">
        <v>6975800</v>
      </c>
      <c r="E521">
        <v>0.61129999999999995</v>
      </c>
      <c r="F521" t="s">
        <v>504</v>
      </c>
      <c r="G521">
        <v>75</v>
      </c>
      <c r="H521" t="s">
        <v>505</v>
      </c>
      <c r="I521">
        <v>30</v>
      </c>
      <c r="J521">
        <v>0.10389195236953569</v>
      </c>
      <c r="K521">
        <v>0</v>
      </c>
      <c r="L521">
        <v>0</v>
      </c>
      <c r="M521">
        <v>0</v>
      </c>
      <c r="O521">
        <v>200000</v>
      </c>
      <c r="R521" t="s">
        <v>136</v>
      </c>
      <c r="S521">
        <v>0.0134486</v>
      </c>
      <c r="T521">
        <v>0.00018648725333333333</v>
      </c>
      <c r="U521" t="s">
        <v>137</v>
      </c>
      <c r="V521">
        <v>0.0062760133333333336</v>
      </c>
      <c r="W521">
        <v>0.17232856725333334</v>
      </c>
      <c r="X521" t="s">
        <v>138</v>
      </c>
      <c r="Y521">
        <v>0.010339714035200001</v>
      </c>
      <c r="Z521">
        <v>0</v>
      </c>
      <c r="AA521" t="s">
        <v>139</v>
      </c>
      <c r="AB521">
        <v>0.020679428070400001</v>
      </c>
      <c r="AC521">
        <v>0.20334770935893334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Q521" t="s">
        <v>140</v>
      </c>
      <c r="AR521" t="s">
        <v>141</v>
      </c>
      <c r="AS521">
        <v>0.17931466666666668</v>
      </c>
    </row>
    <row r="522" spans="1:45" ht="12.75">
      <c r="A522" s="2" t="str">
        <f>HYPERLINK("https://ibp.a2mac1.com/costing(costing:projects/details/8191/material/5320546)","Standard Structural Steel sheet")</f>
        <v>Standard Structural Steel sheet</v>
      </c>
      <c r="B522">
        <v>5320546</v>
      </c>
      <c r="C522">
        <v>6976137</v>
      </c>
      <c r="E522">
        <v>0.61129999999999995</v>
      </c>
      <c r="F522" t="s">
        <v>4030</v>
      </c>
      <c r="G522">
        <v>75</v>
      </c>
      <c r="H522" t="s">
        <v>4635</v>
      </c>
      <c r="I522">
        <v>30</v>
      </c>
      <c r="J522">
        <v>0.10389195236953569</v>
      </c>
      <c r="K522">
        <v>0</v>
      </c>
      <c r="L522">
        <v>0</v>
      </c>
      <c r="M522">
        <v>0</v>
      </c>
      <c r="O522">
        <v>200000</v>
      </c>
      <c r="R522" t="s">
        <v>136</v>
      </c>
      <c r="S522">
        <v>0.0116147</v>
      </c>
      <c r="T522">
        <v>0.00016105717333333332</v>
      </c>
      <c r="U522" t="s">
        <v>137</v>
      </c>
      <c r="V522">
        <v>0.0054201933333333334</v>
      </c>
      <c r="W522">
        <v>0.14882921717333333</v>
      </c>
      <c r="X522" t="s">
        <v>138</v>
      </c>
      <c r="Y522">
        <v>0.0089297530304000006</v>
      </c>
      <c r="Z522">
        <v>0</v>
      </c>
      <c r="AA522" t="s">
        <v>139</v>
      </c>
      <c r="AB522">
        <v>0.017859506060800001</v>
      </c>
      <c r="AC522">
        <v>0.17561847626453334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Q522" t="s">
        <v>140</v>
      </c>
      <c r="AR522" t="s">
        <v>141</v>
      </c>
      <c r="AS522">
        <v>0.15486266666666668</v>
      </c>
    </row>
    <row r="523" spans="1:45" ht="12.75">
      <c r="A523" s="2" t="str">
        <f>HYPERLINK("https://ibp.a2mac1.com/costing(costing:projects/details/8191/material/5320245)","Standard Structural Steel sheet")</f>
        <v>Standard Structural Steel sheet</v>
      </c>
      <c r="B523">
        <v>5320245</v>
      </c>
      <c r="C523">
        <v>6975801</v>
      </c>
      <c r="E523">
        <v>0.61129999999999995</v>
      </c>
      <c r="F523" t="s">
        <v>4624</v>
      </c>
      <c r="G523">
        <v>50</v>
      </c>
      <c r="H523" t="s">
        <v>4625</v>
      </c>
      <c r="I523">
        <v>30</v>
      </c>
      <c r="J523">
        <v>0.10389195236953569</v>
      </c>
      <c r="K523">
        <v>0</v>
      </c>
      <c r="L523">
        <v>0</v>
      </c>
      <c r="M523">
        <v>0</v>
      </c>
      <c r="O523">
        <v>200000</v>
      </c>
      <c r="R523" t="s">
        <v>136</v>
      </c>
      <c r="S523">
        <v>0.2494104</v>
      </c>
      <c r="T523">
        <v>0.0017292454400000001</v>
      </c>
      <c r="U523" t="s">
        <v>137</v>
      </c>
      <c r="V523">
        <v>0.058195759999999999</v>
      </c>
      <c r="W523">
        <v>1.4732506054400001</v>
      </c>
      <c r="X523" t="s">
        <v>138</v>
      </c>
      <c r="Y523">
        <v>0.088395036326400001</v>
      </c>
      <c r="Z523">
        <v>0</v>
      </c>
      <c r="AA523" t="s">
        <v>139</v>
      </c>
      <c r="AB523">
        <v>0.1767900726528</v>
      </c>
      <c r="AC523">
        <v>1.7384357144192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Q523" t="s">
        <v>140</v>
      </c>
      <c r="AR523" t="s">
        <v>141</v>
      </c>
      <c r="AS523">
        <v>1.662736</v>
      </c>
    </row>
    <row r="524" spans="1:45" ht="12.75">
      <c r="A524" s="2" t="str">
        <f>HYPERLINK("https://ibp.a2mac1.com/costing(costing:projects/details/8191/material/5320346)","Standard Structural Steel sheet")</f>
        <v>Standard Structural Steel sheet</v>
      </c>
      <c r="B524">
        <v>5320346</v>
      </c>
      <c r="C524">
        <v>6975882</v>
      </c>
      <c r="E524">
        <v>0.61129999999999995</v>
      </c>
      <c r="F524" t="s">
        <v>4644</v>
      </c>
      <c r="G524">
        <v>75</v>
      </c>
      <c r="H524" t="s">
        <v>4645</v>
      </c>
      <c r="I524">
        <v>30</v>
      </c>
      <c r="J524">
        <v>0.10389195236953569</v>
      </c>
      <c r="K524">
        <v>0</v>
      </c>
      <c r="L524">
        <v>0</v>
      </c>
      <c r="M524">
        <v>0</v>
      </c>
      <c r="O524">
        <v>200000</v>
      </c>
      <c r="R524" t="s">
        <v>136</v>
      </c>
      <c r="S524">
        <v>0.057462199999999998</v>
      </c>
      <c r="T524">
        <v>0.00079680917333333336</v>
      </c>
      <c r="U524" t="s">
        <v>137</v>
      </c>
      <c r="V524">
        <v>0.026815693333333335</v>
      </c>
      <c r="W524">
        <v>0.73631296917333333</v>
      </c>
      <c r="X524" t="s">
        <v>138</v>
      </c>
      <c r="Y524">
        <v>0.0441787781504</v>
      </c>
      <c r="Z524">
        <v>0</v>
      </c>
      <c r="AA524" t="s">
        <v>139</v>
      </c>
      <c r="AB524">
        <v>0.0883575563008</v>
      </c>
      <c r="AC524">
        <v>0.86884930362453339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Q524" t="s">
        <v>140</v>
      </c>
      <c r="AR524" t="s">
        <v>141</v>
      </c>
      <c r="AS524">
        <v>0.76616266666666666</v>
      </c>
    </row>
    <row r="525" spans="1:45" ht="12.75">
      <c r="A525" s="2" t="str">
        <f>HYPERLINK("https://ibp.a2mac1.com/costing(costing:projects/details/8191/material/5320347)","Standard Structural Steel sheet")</f>
        <v>Standard Structural Steel sheet</v>
      </c>
      <c r="B525">
        <v>5320347</v>
      </c>
      <c r="C525">
        <v>6975883</v>
      </c>
      <c r="E525">
        <v>0.61129999999999995</v>
      </c>
      <c r="F525" t="s">
        <v>4648</v>
      </c>
      <c r="G525">
        <v>80</v>
      </c>
      <c r="H525" t="s">
        <v>4649</v>
      </c>
      <c r="I525">
        <v>30</v>
      </c>
      <c r="J525">
        <v>0.10389195236953569</v>
      </c>
      <c r="K525">
        <v>0</v>
      </c>
      <c r="L525">
        <v>0</v>
      </c>
      <c r="M525">
        <v>0</v>
      </c>
      <c r="O525">
        <v>200000</v>
      </c>
      <c r="R525" t="s">
        <v>136</v>
      </c>
      <c r="S525">
        <v>0.013295774999999999</v>
      </c>
      <c r="T525">
        <v>0.00023046009999999999</v>
      </c>
      <c r="U525" t="s">
        <v>137</v>
      </c>
      <c r="V525">
        <v>0.0077558687499999996</v>
      </c>
      <c r="W525">
        <v>0.21628680384999999</v>
      </c>
      <c r="X525" t="s">
        <v>138</v>
      </c>
      <c r="Y525">
        <v>0.012977208230999999</v>
      </c>
      <c r="Z525">
        <v>0</v>
      </c>
      <c r="AA525" t="s">
        <v>139</v>
      </c>
      <c r="AB525">
        <v>0.025954416461999998</v>
      </c>
      <c r="AC525">
        <v>0.25521842854299998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Q525" t="s">
        <v>140</v>
      </c>
      <c r="AR525" t="s">
        <v>141</v>
      </c>
      <c r="AS525">
        <v>0.22159624999999999</v>
      </c>
    </row>
    <row r="526" spans="1:45" ht="12.75">
      <c r="A526" s="2" t="str">
        <f>HYPERLINK("https://ibp.a2mac1.com/costing(costing:projects/details/8191/material/5320348)","Standard Structural Steel sheet")</f>
        <v>Standard Structural Steel sheet</v>
      </c>
      <c r="B526">
        <v>5320348</v>
      </c>
      <c r="C526">
        <v>6975884</v>
      </c>
      <c r="E526">
        <v>0.61129999999999995</v>
      </c>
      <c r="F526" t="s">
        <v>2822</v>
      </c>
      <c r="G526">
        <v>80</v>
      </c>
      <c r="H526" t="s">
        <v>4653</v>
      </c>
      <c r="I526">
        <v>30</v>
      </c>
      <c r="J526">
        <v>0.10389195236953569</v>
      </c>
      <c r="K526">
        <v>0</v>
      </c>
      <c r="L526">
        <v>0</v>
      </c>
      <c r="M526">
        <v>0</v>
      </c>
      <c r="O526">
        <v>200000</v>
      </c>
      <c r="R526" t="s">
        <v>136</v>
      </c>
      <c r="S526">
        <v>0.01558815</v>
      </c>
      <c r="T526">
        <v>0.00027019460000000001</v>
      </c>
      <c r="U526" t="s">
        <v>137</v>
      </c>
      <c r="V526">
        <v>0.0090930874999999994</v>
      </c>
      <c r="W526">
        <v>0.25357763210000001</v>
      </c>
      <c r="X526" t="s">
        <v>138</v>
      </c>
      <c r="Y526">
        <v>0.015214657926</v>
      </c>
      <c r="Z526">
        <v>0</v>
      </c>
      <c r="AA526" t="s">
        <v>139</v>
      </c>
      <c r="AB526">
        <v>0.030429315852</v>
      </c>
      <c r="AC526">
        <v>0.29922160587800001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Q526" t="s">
        <v>140</v>
      </c>
      <c r="AR526" t="s">
        <v>141</v>
      </c>
      <c r="AS526">
        <v>0.25980249999999999</v>
      </c>
    </row>
    <row r="527" spans="1:45" ht="12.75">
      <c r="A527" s="2" t="str">
        <f>HYPERLINK("https://ibp.a2mac1.com/costing(costing:projects/details/8191/material/5320349)","Standard Structural Steel sheet")</f>
        <v>Standard Structural Steel sheet</v>
      </c>
      <c r="B527">
        <v>5320349</v>
      </c>
      <c r="C527">
        <v>6975885</v>
      </c>
      <c r="E527">
        <v>0.61129999999999995</v>
      </c>
      <c r="F527" t="s">
        <v>4658</v>
      </c>
      <c r="G527">
        <v>70</v>
      </c>
      <c r="H527" t="s">
        <v>4659</v>
      </c>
      <c r="I527">
        <v>30</v>
      </c>
      <c r="J527">
        <v>0.10389195236953569</v>
      </c>
      <c r="K527">
        <v>0</v>
      </c>
      <c r="L527">
        <v>0</v>
      </c>
      <c r="M527">
        <v>0</v>
      </c>
      <c r="O527">
        <v>200000</v>
      </c>
      <c r="R527" t="s">
        <v>136</v>
      </c>
      <c r="S527">
        <v>0.16740887142857142</v>
      </c>
      <c r="T527">
        <v>0.0019345025142857143</v>
      </c>
      <c r="U527" t="s">
        <v>137</v>
      </c>
      <c r="V527">
        <v>0.065103449999999993</v>
      </c>
      <c r="W527">
        <v>1.7597276525142858</v>
      </c>
      <c r="X527" t="s">
        <v>138</v>
      </c>
      <c r="Y527">
        <v>0.10558365915085714</v>
      </c>
      <c r="Z527">
        <v>0</v>
      </c>
      <c r="AA527" t="s">
        <v>139</v>
      </c>
      <c r="AB527">
        <v>0.21116731830171429</v>
      </c>
      <c r="AC527">
        <v>2.0764786299668572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Q527" t="s">
        <v>140</v>
      </c>
      <c r="AR527" t="s">
        <v>141</v>
      </c>
      <c r="AS527">
        <v>1.8600985714285714</v>
      </c>
    </row>
    <row r="528" spans="1:45" ht="12.75">
      <c r="A528" s="2" t="str">
        <f>HYPERLINK("https://ibp.a2mac1.com/costing(costing:projects/details/8191/material/5320246)","Standard Structural Steel sheet")</f>
        <v>Standard Structural Steel sheet</v>
      </c>
      <c r="B528">
        <v>5320246</v>
      </c>
      <c r="C528">
        <v>6975802</v>
      </c>
      <c r="E528">
        <v>0.61129999999999995</v>
      </c>
      <c r="F528" t="s">
        <v>4664</v>
      </c>
      <c r="G528">
        <v>85</v>
      </c>
      <c r="H528" t="s">
        <v>4665</v>
      </c>
      <c r="I528">
        <v>30</v>
      </c>
      <c r="J528">
        <v>0.10389195236953569</v>
      </c>
      <c r="K528">
        <v>0</v>
      </c>
      <c r="L528">
        <v>0</v>
      </c>
      <c r="M528">
        <v>0</v>
      </c>
      <c r="O528">
        <v>200000</v>
      </c>
      <c r="R528" t="s">
        <v>136</v>
      </c>
      <c r="S528">
        <v>0.15016404705882352</v>
      </c>
      <c r="T528">
        <v>0.0034704579764705881</v>
      </c>
      <c r="U528" t="s">
        <v>137</v>
      </c>
      <c r="V528">
        <v>0.11679425882352941</v>
      </c>
      <c r="W528">
        <v>3.3070794932705883</v>
      </c>
      <c r="X528" t="s">
        <v>90</v>
      </c>
      <c r="Y528">
        <v>0</v>
      </c>
      <c r="Z528">
        <v>0</v>
      </c>
      <c r="AA528" t="s">
        <v>90</v>
      </c>
      <c r="AB528">
        <v>0</v>
      </c>
      <c r="AC528">
        <v>3.3070794932705883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Q528" t="s">
        <v>140</v>
      </c>
      <c r="AR528" t="s">
        <v>141</v>
      </c>
      <c r="AS528">
        <v>3.3369788235294116</v>
      </c>
    </row>
    <row r="529" spans="1:45" ht="12.75">
      <c r="A529" s="2" t="str">
        <f>HYPERLINK("https://ibp.a2mac1.com/costing(costing:projects/details/8191/material/5320059)","ABS")</f>
        <v>ABS</v>
      </c>
      <c r="B529">
        <v>5320059</v>
      </c>
      <c r="C529">
        <v>6975601</v>
      </c>
      <c r="E529">
        <v>2.5272700000000001</v>
      </c>
      <c r="F529" t="s">
        <v>4673</v>
      </c>
      <c r="G529">
        <v>95</v>
      </c>
      <c r="H529" t="s">
        <v>4674</v>
      </c>
      <c r="I529">
        <v>5</v>
      </c>
      <c r="J529">
        <v>0.50345253019720215</v>
      </c>
      <c r="K529">
        <v>0</v>
      </c>
      <c r="M529">
        <v>0</v>
      </c>
      <c r="O529">
        <v>200000</v>
      </c>
      <c r="R529" t="s">
        <v>136</v>
      </c>
      <c r="S529">
        <v>0.0015695676842105264</v>
      </c>
      <c r="T529">
        <v>0.0031768049928421051</v>
      </c>
      <c r="U529" t="s">
        <v>137</v>
      </c>
      <c r="V529">
        <v>0.02197394757894737</v>
      </c>
      <c r="W529">
        <v>0.65140825857178952</v>
      </c>
      <c r="X529" t="s">
        <v>90</v>
      </c>
      <c r="Y529">
        <v>0</v>
      </c>
      <c r="Z529">
        <v>0</v>
      </c>
      <c r="AA529" t="s">
        <v>90</v>
      </c>
      <c r="AB529">
        <v>0</v>
      </c>
      <c r="AC529">
        <v>0.65140825857178952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Q529" t="s">
        <v>140</v>
      </c>
      <c r="AR529" t="s">
        <v>141</v>
      </c>
      <c r="AS529">
        <v>0.62782707368421053</v>
      </c>
    </row>
    <row r="530" spans="1:45" ht="12.75">
      <c r="A530" s="2" t="str">
        <f>HYPERLINK("https://ibp.a2mac1.com/costing(costing:projects/details/8191/material/5320060)","ABS")</f>
        <v>ABS</v>
      </c>
      <c r="B530">
        <v>5320060</v>
      </c>
      <c r="C530">
        <v>6975602</v>
      </c>
      <c r="E530">
        <v>2.5272700000000001</v>
      </c>
      <c r="F530" t="s">
        <v>4678</v>
      </c>
      <c r="G530">
        <v>95</v>
      </c>
      <c r="H530" t="s">
        <v>4679</v>
      </c>
      <c r="I530">
        <v>5</v>
      </c>
      <c r="J530">
        <v>0.50345253019720215</v>
      </c>
      <c r="K530">
        <v>0</v>
      </c>
      <c r="M530">
        <v>0</v>
      </c>
      <c r="O530">
        <v>200000</v>
      </c>
      <c r="R530" t="s">
        <v>136</v>
      </c>
      <c r="S530">
        <v>0.00011306207894736843</v>
      </c>
      <c r="T530">
        <v>0.00022883764778947369</v>
      </c>
      <c r="U530" t="s">
        <v>137</v>
      </c>
      <c r="V530">
        <v>0.001582869105263158</v>
      </c>
      <c r="W530">
        <v>0.046923476253052633</v>
      </c>
      <c r="X530" t="s">
        <v>90</v>
      </c>
      <c r="Y530">
        <v>0</v>
      </c>
      <c r="Z530">
        <v>0</v>
      </c>
      <c r="AA530" t="s">
        <v>90</v>
      </c>
      <c r="AB530">
        <v>0</v>
      </c>
      <c r="AC530">
        <v>0.046923476253052633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Q530" t="s">
        <v>140</v>
      </c>
      <c r="AR530" t="s">
        <v>141</v>
      </c>
      <c r="AS530">
        <v>0.045224831578947369</v>
      </c>
    </row>
    <row r="531" spans="1:45" ht="12.75">
      <c r="A531" s="2" t="str">
        <f>HYPERLINK("https://ibp.a2mac1.com/costing(costing:projects/details/8191/material/5319730)","PP")</f>
        <v>PP</v>
      </c>
      <c r="B531">
        <v>5319730</v>
      </c>
      <c r="C531">
        <v>6975366</v>
      </c>
      <c r="E531">
        <v>1.0113799999999999</v>
      </c>
      <c r="F531" t="s">
        <v>4685</v>
      </c>
      <c r="G531">
        <v>95</v>
      </c>
      <c r="H531" t="s">
        <v>4686</v>
      </c>
      <c r="I531">
        <v>5</v>
      </c>
      <c r="J531">
        <v>0.50345253019720215</v>
      </c>
      <c r="K531">
        <v>0</v>
      </c>
      <c r="M531">
        <v>0</v>
      </c>
      <c r="O531">
        <v>200000</v>
      </c>
      <c r="R531" t="s">
        <v>136</v>
      </c>
      <c r="S531">
        <v>0.0035691067894736842</v>
      </c>
      <c r="T531">
        <v>0.0072238721418947365</v>
      </c>
      <c r="U531" t="s">
        <v>137</v>
      </c>
      <c r="V531">
        <v>0.04996749505263158</v>
      </c>
      <c r="W531">
        <v>1.4812649761945262</v>
      </c>
      <c r="X531" t="s">
        <v>90</v>
      </c>
      <c r="Y531">
        <v>0</v>
      </c>
      <c r="Z531">
        <v>0</v>
      </c>
      <c r="AA531" t="s">
        <v>90</v>
      </c>
      <c r="AB531">
        <v>0</v>
      </c>
      <c r="AC531">
        <v>1.4812649761945262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Q531" t="s">
        <v>140</v>
      </c>
      <c r="AR531" t="s">
        <v>141</v>
      </c>
      <c r="AS531">
        <v>1.4276427157894738</v>
      </c>
    </row>
    <row r="532" spans="1:45" ht="12.75">
      <c r="A532" s="2" t="str">
        <f>HYPERLINK("https://ibp.a2mac1.com/costing(costing:projects/details/8191/material/5319731)","PVC")</f>
        <v>PVC</v>
      </c>
      <c r="B532">
        <v>5319731</v>
      </c>
      <c r="C532">
        <v>6975367</v>
      </c>
      <c r="E532">
        <v>1.2835000000000001</v>
      </c>
      <c r="F532" t="s">
        <v>4690</v>
      </c>
      <c r="G532">
        <v>95</v>
      </c>
      <c r="H532" t="s">
        <v>4691</v>
      </c>
      <c r="I532">
        <v>5</v>
      </c>
      <c r="J532">
        <v>0.50345253019720215</v>
      </c>
      <c r="K532">
        <v>0</v>
      </c>
      <c r="M532">
        <v>0</v>
      </c>
      <c r="O532">
        <v>200000</v>
      </c>
      <c r="R532" t="s">
        <v>136</v>
      </c>
      <c r="S532">
        <v>0.00094404802631578946</v>
      </c>
      <c r="T532">
        <v>0.0019107532052631579</v>
      </c>
      <c r="U532" t="s">
        <v>137</v>
      </c>
      <c r="V532">
        <v>0.013216672368421053</v>
      </c>
      <c r="W532">
        <v>0.39180258807368423</v>
      </c>
      <c r="X532" t="s">
        <v>90</v>
      </c>
      <c r="Y532">
        <v>0</v>
      </c>
      <c r="Z532">
        <v>0</v>
      </c>
      <c r="AA532" t="s">
        <v>90</v>
      </c>
      <c r="AB532">
        <v>0</v>
      </c>
      <c r="AC532">
        <v>0.39180258807368423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Q532" t="s">
        <v>140</v>
      </c>
      <c r="AR532" t="s">
        <v>141</v>
      </c>
      <c r="AS532">
        <v>0.37761921052631581</v>
      </c>
    </row>
    <row r="533" spans="1:45" ht="12.75">
      <c r="A533" s="2" t="str">
        <f>HYPERLINK("https://ibp.a2mac1.com/costing(costing:projects/details/8191/material/5319732)","PP")</f>
        <v>PP</v>
      </c>
      <c r="B533">
        <v>5319732</v>
      </c>
      <c r="C533">
        <v>6975367</v>
      </c>
      <c r="E533">
        <v>1.0113799999999999</v>
      </c>
      <c r="F533" t="s">
        <v>4690</v>
      </c>
      <c r="G533">
        <v>95</v>
      </c>
      <c r="H533" t="s">
        <v>4691</v>
      </c>
      <c r="I533">
        <v>5</v>
      </c>
      <c r="J533">
        <v>0.50345253019720215</v>
      </c>
      <c r="K533">
        <v>0</v>
      </c>
      <c r="M533">
        <v>0</v>
      </c>
      <c r="O533">
        <v>200000</v>
      </c>
      <c r="R533" t="s">
        <v>136</v>
      </c>
      <c r="S533">
        <v>0.00074389660526315792</v>
      </c>
      <c r="T533">
        <v>0.0015056467290526317</v>
      </c>
      <c r="U533" t="s">
        <v>137</v>
      </c>
      <c r="V533">
        <v>0.01041455247368421</v>
      </c>
      <c r="W533">
        <v>0.30873494470273682</v>
      </c>
      <c r="X533" t="s">
        <v>90</v>
      </c>
      <c r="Y533">
        <v>0</v>
      </c>
      <c r="Z533">
        <v>0</v>
      </c>
      <c r="AA533" t="s">
        <v>90</v>
      </c>
      <c r="AB533">
        <v>0</v>
      </c>
      <c r="AC533">
        <v>0.30873494470273682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Q533" t="s">
        <v>140</v>
      </c>
      <c r="AR533" t="s">
        <v>141</v>
      </c>
      <c r="AS533">
        <v>0.29755864210526317</v>
      </c>
    </row>
    <row r="534" spans="1:45" ht="12.75">
      <c r="A534" s="2" t="str">
        <f>HYPERLINK("https://ibp.a2mac1.com/costing(costing:projects/details/8191/material/5319733)","ABS")</f>
        <v>ABS</v>
      </c>
      <c r="B534">
        <v>5319733</v>
      </c>
      <c r="C534">
        <v>6975368</v>
      </c>
      <c r="E534">
        <v>2.5272700000000001</v>
      </c>
      <c r="F534" t="s">
        <v>4696</v>
      </c>
      <c r="G534">
        <v>95</v>
      </c>
      <c r="H534" t="s">
        <v>4697</v>
      </c>
      <c r="I534">
        <v>5</v>
      </c>
      <c r="J534">
        <v>0.50345253019720215</v>
      </c>
      <c r="K534">
        <v>0</v>
      </c>
      <c r="M534">
        <v>0</v>
      </c>
      <c r="O534">
        <v>200000</v>
      </c>
      <c r="R534" t="s">
        <v>136</v>
      </c>
      <c r="S534">
        <v>0.0017059072500000001</v>
      </c>
      <c r="T534">
        <v>0.0034527562740000002</v>
      </c>
      <c r="U534" t="s">
        <v>137</v>
      </c>
      <c r="V534">
        <v>0.023882701499999999</v>
      </c>
      <c r="W534">
        <v>0.70799245052399995</v>
      </c>
      <c r="X534" t="s">
        <v>90</v>
      </c>
      <c r="Y534">
        <v>0</v>
      </c>
      <c r="Z534">
        <v>0</v>
      </c>
      <c r="AA534" t="s">
        <v>90</v>
      </c>
      <c r="AB534">
        <v>0</v>
      </c>
      <c r="AC534">
        <v>0.70799245052399995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Q534" t="s">
        <v>140</v>
      </c>
      <c r="AR534" t="s">
        <v>141</v>
      </c>
      <c r="AS534">
        <v>0.68236289999999999</v>
      </c>
    </row>
    <row r="535" spans="1:45" ht="12.75">
      <c r="A535" s="2" t="str">
        <f>HYPERLINK("https://ibp.a2mac1.com/costing(costing:projects/details/8191/material/5319734)","PVC")</f>
        <v>PVC</v>
      </c>
      <c r="B535">
        <v>5319734</v>
      </c>
      <c r="C535">
        <v>6975368</v>
      </c>
      <c r="E535">
        <v>1.2835000000000001</v>
      </c>
      <c r="F535" t="s">
        <v>4696</v>
      </c>
      <c r="G535">
        <v>95</v>
      </c>
      <c r="H535" t="s">
        <v>4697</v>
      </c>
      <c r="I535">
        <v>5</v>
      </c>
      <c r="J535">
        <v>0.50345253019720215</v>
      </c>
      <c r="K535">
        <v>0</v>
      </c>
      <c r="M535">
        <v>0</v>
      </c>
      <c r="O535">
        <v>200000</v>
      </c>
      <c r="R535" t="s">
        <v>136</v>
      </c>
      <c r="S535">
        <v>0.00086636250000000003</v>
      </c>
      <c r="T535">
        <v>0.0017535177</v>
      </c>
      <c r="U535" t="s">
        <v>137</v>
      </c>
      <c r="V535">
        <v>0.012129075</v>
      </c>
      <c r="W535">
        <v>0.35956123020000003</v>
      </c>
      <c r="X535" t="s">
        <v>90</v>
      </c>
      <c r="Y535">
        <v>0</v>
      </c>
      <c r="Z535">
        <v>0</v>
      </c>
      <c r="AA535" t="s">
        <v>90</v>
      </c>
      <c r="AB535">
        <v>0</v>
      </c>
      <c r="AC535">
        <v>0.35956123020000003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Q535" t="s">
        <v>140</v>
      </c>
      <c r="AR535" t="s">
        <v>141</v>
      </c>
      <c r="AS535">
        <v>0.34654499999999999</v>
      </c>
    </row>
    <row r="536" spans="1:45" ht="12.75">
      <c r="A536" s="2" t="str">
        <f>HYPERLINK("https://ibp.a2mac1.com/costing(costing:projects/details/8191/material/5319735)","PP")</f>
        <v>PP</v>
      </c>
      <c r="B536">
        <v>5319735</v>
      </c>
      <c r="C536">
        <v>6975369</v>
      </c>
      <c r="E536">
        <v>1.0113799999999999</v>
      </c>
      <c r="F536" t="s">
        <v>4702</v>
      </c>
      <c r="G536">
        <v>95</v>
      </c>
      <c r="H536" t="s">
        <v>4703</v>
      </c>
      <c r="I536">
        <v>5</v>
      </c>
      <c r="J536">
        <v>0.50345253019720215</v>
      </c>
      <c r="K536">
        <v>0</v>
      </c>
      <c r="M536">
        <v>0</v>
      </c>
      <c r="O536">
        <v>200000</v>
      </c>
      <c r="R536" t="s">
        <v>136</v>
      </c>
      <c r="S536">
        <v>0.0015064238947368421</v>
      </c>
      <c r="T536">
        <v>0.0030490019629473685</v>
      </c>
      <c r="U536" t="s">
        <v>137</v>
      </c>
      <c r="V536">
        <v>0.021089934526315791</v>
      </c>
      <c r="W536">
        <v>0.62520207048926313</v>
      </c>
      <c r="X536" t="s">
        <v>90</v>
      </c>
      <c r="Y536">
        <v>0</v>
      </c>
      <c r="Z536">
        <v>0</v>
      </c>
      <c r="AA536" t="s">
        <v>90</v>
      </c>
      <c r="AB536">
        <v>0</v>
      </c>
      <c r="AC536">
        <v>0.62520207048926313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Q536" t="s">
        <v>140</v>
      </c>
      <c r="AR536" t="s">
        <v>141</v>
      </c>
      <c r="AS536">
        <v>0.60256955789473687</v>
      </c>
    </row>
    <row r="537" spans="1:45" ht="12.75">
      <c r="A537" s="2" t="str">
        <f>HYPERLINK("https://ibp.a2mac1.com/costing(costing:projects/details/8191/material/5319736)","ABS")</f>
        <v>ABS</v>
      </c>
      <c r="B537">
        <v>5319736</v>
      </c>
      <c r="C537">
        <v>6975370</v>
      </c>
      <c r="E537">
        <v>2.5272700000000001</v>
      </c>
      <c r="F537" t="s">
        <v>3000</v>
      </c>
      <c r="G537">
        <v>95</v>
      </c>
      <c r="H537" t="s">
        <v>3098</v>
      </c>
      <c r="I537">
        <v>5</v>
      </c>
      <c r="J537">
        <v>0.50345253019720215</v>
      </c>
      <c r="K537">
        <v>0</v>
      </c>
      <c r="M537">
        <v>0</v>
      </c>
      <c r="O537">
        <v>200000</v>
      </c>
      <c r="R537" t="s">
        <v>136</v>
      </c>
      <c r="S537">
        <v>6.6507105263157891E-06</v>
      </c>
      <c r="T537">
        <v>1.3461038105263157E-05</v>
      </c>
      <c r="U537" t="s">
        <v>137</v>
      </c>
      <c r="V537">
        <v>9.3109947368421049E-05</v>
      </c>
      <c r="W537">
        <v>0.0027602044854736843</v>
      </c>
      <c r="X537" t="s">
        <v>90</v>
      </c>
      <c r="Y537">
        <v>0</v>
      </c>
      <c r="Z537">
        <v>0</v>
      </c>
      <c r="AA537" t="s">
        <v>90</v>
      </c>
      <c r="AB537">
        <v>0</v>
      </c>
      <c r="AC537">
        <v>0.0027602044854736843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Q537" t="s">
        <v>140</v>
      </c>
      <c r="AR537" t="s">
        <v>141</v>
      </c>
      <c r="AS537">
        <v>0.0026602842105263157</v>
      </c>
    </row>
    <row r="538" spans="1:45" ht="12.75">
      <c r="A538" s="2" t="str">
        <f>HYPERLINK("https://ibp.a2mac1.com/costing(costing:projects/details/8191/material/5320061)","PC-ABS")</f>
        <v>PC-ABS</v>
      </c>
      <c r="B538">
        <v>5320061</v>
      </c>
      <c r="C538">
        <v>6975603</v>
      </c>
      <c r="E538">
        <v>2.29312</v>
      </c>
      <c r="F538" t="s">
        <v>4234</v>
      </c>
      <c r="G538">
        <v>95</v>
      </c>
      <c r="H538" t="s">
        <v>4235</v>
      </c>
      <c r="I538">
        <v>5</v>
      </c>
      <c r="J538">
        <v>0.50345253019720215</v>
      </c>
      <c r="K538">
        <v>0</v>
      </c>
      <c r="M538">
        <v>0</v>
      </c>
      <c r="O538">
        <v>200000</v>
      </c>
      <c r="R538" t="s">
        <v>136</v>
      </c>
      <c r="S538">
        <v>0.0001810357894736842</v>
      </c>
      <c r="T538">
        <v>0.00036641643789473685</v>
      </c>
      <c r="U538" t="s">
        <v>137</v>
      </c>
      <c r="V538">
        <v>0.002534501052631579</v>
      </c>
      <c r="W538">
        <v>0.075134197490526314</v>
      </c>
      <c r="X538" t="s">
        <v>138</v>
      </c>
      <c r="Y538">
        <v>0.0045080518494315788</v>
      </c>
      <c r="Z538">
        <v>0</v>
      </c>
      <c r="AA538" t="s">
        <v>139</v>
      </c>
      <c r="AB538">
        <v>0.0090161036988631576</v>
      </c>
      <c r="AC538">
        <v>0.088658353038821053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Q538" t="s">
        <v>140</v>
      </c>
      <c r="AR538" t="s">
        <v>141</v>
      </c>
      <c r="AS538">
        <v>0.072414315789473688</v>
      </c>
    </row>
    <row r="539" spans="1:45" ht="12.75">
      <c r="A539" s="2" t="str">
        <f>HYPERLINK("https://ibp.a2mac1.com/costing(costing:projects/details/8191/material/5320062)","ABS-PC")</f>
        <v>ABS-PC</v>
      </c>
      <c r="B539">
        <v>5320062</v>
      </c>
      <c r="C539">
        <v>6975605</v>
      </c>
      <c r="E539">
        <v>2.29312</v>
      </c>
      <c r="F539" t="s">
        <v>4718</v>
      </c>
      <c r="G539">
        <v>98.039199999999994</v>
      </c>
      <c r="H539" t="s">
        <v>4719</v>
      </c>
      <c r="I539">
        <v>5</v>
      </c>
      <c r="J539">
        <v>0.20557651238448796</v>
      </c>
      <c r="K539">
        <v>0</v>
      </c>
      <c r="M539">
        <v>0</v>
      </c>
      <c r="O539">
        <v>200000</v>
      </c>
      <c r="R539" t="s">
        <v>136</v>
      </c>
      <c r="S539">
        <v>0.00021326190020318404</v>
      </c>
      <c r="T539">
        <v>0.00044810231988837119</v>
      </c>
      <c r="U539" t="s">
        <v>137</v>
      </c>
      <c r="V539">
        <v>0.0076133889301422284</v>
      </c>
      <c r="W539">
        <v>0.2253736273538911</v>
      </c>
      <c r="X539" t="s">
        <v>138</v>
      </c>
      <c r="Y539">
        <v>0.013522417641233466</v>
      </c>
      <c r="Z539">
        <v>0</v>
      </c>
      <c r="AA539" t="s">
        <v>139</v>
      </c>
      <c r="AB539">
        <v>0.027044835282466931</v>
      </c>
      <c r="AC539">
        <v>0.2659408802775915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Q539" t="s">
        <v>140</v>
      </c>
      <c r="AR539" t="s">
        <v>141</v>
      </c>
      <c r="AS539">
        <v>0.21752539800406367</v>
      </c>
    </row>
    <row r="540" spans="1:45" ht="12.75">
      <c r="A540" s="2" t="str">
        <f>HYPERLINK("https://ibp.a2mac1.com/costing(costing:projects/details/8191/material/5320063)","PA 6 GF 40")</f>
        <v>PA 6 GF 40</v>
      </c>
      <c r="B540">
        <v>5320063</v>
      </c>
      <c r="C540">
        <v>6975606</v>
      </c>
      <c r="E540">
        <v>2.7592300000000001</v>
      </c>
      <c r="F540" t="s">
        <v>3421</v>
      </c>
      <c r="G540">
        <v>98.039199999999994</v>
      </c>
      <c r="H540" t="s">
        <v>4727</v>
      </c>
      <c r="I540">
        <v>0</v>
      </c>
      <c r="J540">
        <v>0.20557651238448796</v>
      </c>
      <c r="K540">
        <v>0</v>
      </c>
      <c r="L540">
        <v>0</v>
      </c>
      <c r="M540">
        <v>0</v>
      </c>
      <c r="O540">
        <v>200000</v>
      </c>
      <c r="R540" t="s">
        <v>136</v>
      </c>
      <c r="S540">
        <v>0</v>
      </c>
      <c r="T540">
        <v>0.00041743404026144647</v>
      </c>
      <c r="U540" t="s">
        <v>137</v>
      </c>
      <c r="V540">
        <v>0.0070923259267721486</v>
      </c>
      <c r="W540">
        <v>0.21014764358909496</v>
      </c>
      <c r="X540" t="s">
        <v>138</v>
      </c>
      <c r="Y540">
        <v>0.012608858615345699</v>
      </c>
      <c r="Z540">
        <v>0</v>
      </c>
      <c r="AA540" t="s">
        <v>139</v>
      </c>
      <c r="AB540">
        <v>0.025217717230691397</v>
      </c>
      <c r="AC540">
        <v>0.24797421943513206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Q540" t="s">
        <v>9</v>
      </c>
      <c r="AR540" t="s">
        <v>141</v>
      </c>
      <c r="AS540">
        <v>0.20263788362206139</v>
      </c>
    </row>
    <row r="541" spans="1:45" ht="12.75">
      <c r="A541" s="2" t="str">
        <f>HYPERLINK("https://ibp.a2mac1.com/costing(costing:projects/details/8191/material/5320064)","PBT-GF30")</f>
        <v>PBT-GF30</v>
      </c>
      <c r="B541">
        <v>5320064</v>
      </c>
      <c r="C541">
        <v>6975608</v>
      </c>
      <c r="E541">
        <v>1.9208099999999999</v>
      </c>
      <c r="F541" t="s">
        <v>4733</v>
      </c>
      <c r="G541">
        <v>98.039199999999994</v>
      </c>
      <c r="H541" t="s">
        <v>4734</v>
      </c>
      <c r="I541">
        <v>5</v>
      </c>
      <c r="J541">
        <v>0.20557651238448796</v>
      </c>
      <c r="K541">
        <v>0</v>
      </c>
      <c r="M541">
        <v>0</v>
      </c>
      <c r="O541">
        <v>200000</v>
      </c>
      <c r="R541" t="s">
        <v>136</v>
      </c>
      <c r="S541">
        <v>0.00040913586852197898</v>
      </c>
      <c r="T541">
        <v>0.00085966940958310558</v>
      </c>
      <c r="U541" t="s">
        <v>137</v>
      </c>
      <c r="V541">
        <v>0.014606033657965384</v>
      </c>
      <c r="W541">
        <v>0.43237181456946611</v>
      </c>
      <c r="X541" t="s">
        <v>138</v>
      </c>
      <c r="Y541">
        <v>0.025942308874167964</v>
      </c>
      <c r="Z541">
        <v>0</v>
      </c>
      <c r="AA541" t="s">
        <v>139</v>
      </c>
      <c r="AB541">
        <v>0.051884617748335929</v>
      </c>
      <c r="AC541">
        <v>0.51019874119196995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Q541" t="s">
        <v>140</v>
      </c>
      <c r="AR541" t="s">
        <v>141</v>
      </c>
      <c r="AS541">
        <v>0.41731524737043957</v>
      </c>
    </row>
    <row r="542" spans="1:45" ht="12.75">
      <c r="A542" s="2" t="str">
        <f>HYPERLINK("https://ibp.a2mac1.com/costing(costing:projects/details/8191/material/5320065)","PA6-GF30")</f>
        <v>PA6-GF30</v>
      </c>
      <c r="B542">
        <v>5320065</v>
      </c>
      <c r="C542">
        <v>6975611</v>
      </c>
      <c r="E542">
        <v>2.1428600000000002</v>
      </c>
      <c r="F542" t="s">
        <v>4740</v>
      </c>
      <c r="G542">
        <v>98.039199999999994</v>
      </c>
      <c r="H542" t="s">
        <v>4741</v>
      </c>
      <c r="I542">
        <v>5</v>
      </c>
      <c r="J542">
        <v>0.20557651238448796</v>
      </c>
      <c r="K542">
        <v>0</v>
      </c>
      <c r="M542">
        <v>0</v>
      </c>
      <c r="O542">
        <v>200000</v>
      </c>
      <c r="R542" t="s">
        <v>136</v>
      </c>
      <c r="S542">
        <v>0.00016928732137349141</v>
      </c>
      <c r="T542">
        <v>0.00035570367404058785</v>
      </c>
      <c r="U542" t="s">
        <v>137</v>
      </c>
      <c r="V542">
        <v>0.0060435090249614442</v>
      </c>
      <c r="W542">
        <v>0.17890161180509837</v>
      </c>
      <c r="X542" t="s">
        <v>138</v>
      </c>
      <c r="Y542">
        <v>0.010734096708305902</v>
      </c>
      <c r="Z542">
        <v>0</v>
      </c>
      <c r="AA542" t="s">
        <v>139</v>
      </c>
      <c r="AB542">
        <v>0.021468193416611804</v>
      </c>
      <c r="AC542">
        <v>0.21110390193001607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Q542" t="s">
        <v>140</v>
      </c>
      <c r="AR542" t="s">
        <v>141</v>
      </c>
      <c r="AS542">
        <v>0.17267168642746983</v>
      </c>
    </row>
    <row r="543" spans="1:45" ht="12.75">
      <c r="A543" s="2" t="str">
        <f>HYPERLINK("https://ibp.a2mac1.com/costing(costing:projects/details/8191/material/5320066)","PC-ABS")</f>
        <v>PC-ABS</v>
      </c>
      <c r="B543">
        <v>5320066</v>
      </c>
      <c r="C543">
        <v>6975612</v>
      </c>
      <c r="E543">
        <v>2.29312</v>
      </c>
      <c r="F543" t="s">
        <v>4746</v>
      </c>
      <c r="G543">
        <v>95</v>
      </c>
      <c r="H543" t="s">
        <v>4747</v>
      </c>
      <c r="I543">
        <v>5</v>
      </c>
      <c r="J543">
        <v>0.50345253019720215</v>
      </c>
      <c r="K543">
        <v>0</v>
      </c>
      <c r="M543">
        <v>0</v>
      </c>
      <c r="O543">
        <v>200000</v>
      </c>
      <c r="R543" t="s">
        <v>136</v>
      </c>
      <c r="S543">
        <v>0.00012069052631578948</v>
      </c>
      <c r="T543">
        <v>0.00024427762526315792</v>
      </c>
      <c r="U543" t="s">
        <v>137</v>
      </c>
      <c r="V543">
        <v>0.0016896673684210527</v>
      </c>
      <c r="W543">
        <v>0.050089464993684212</v>
      </c>
      <c r="X543" t="s">
        <v>138</v>
      </c>
      <c r="Y543">
        <v>0.0030053678996210527</v>
      </c>
      <c r="Z543">
        <v>0</v>
      </c>
      <c r="AA543" t="s">
        <v>139</v>
      </c>
      <c r="AB543">
        <v>0.0060107357992421053</v>
      </c>
      <c r="AC543">
        <v>0.059105568692547371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Q543" t="s">
        <v>140</v>
      </c>
      <c r="AR543" t="s">
        <v>141</v>
      </c>
      <c r="AS543">
        <v>0.04827621052631579</v>
      </c>
    </row>
    <row r="544" spans="1:45" ht="12.75">
      <c r="A544" s="2" t="str">
        <f>HYPERLINK("https://ibp.a2mac1.com/costing(costing:projects/details/8191/material/5320067)","TPE")</f>
        <v>TPE</v>
      </c>
      <c r="B544">
        <v>5320067</v>
      </c>
      <c r="C544">
        <v>6975613</v>
      </c>
      <c r="E544">
        <v>1.5073099999999999</v>
      </c>
      <c r="F544" t="s">
        <v>4754</v>
      </c>
      <c r="G544">
        <v>95</v>
      </c>
      <c r="H544" t="s">
        <v>4755</v>
      </c>
      <c r="I544">
        <v>5</v>
      </c>
      <c r="J544">
        <v>0.50345253019720215</v>
      </c>
      <c r="K544">
        <v>0</v>
      </c>
      <c r="M544">
        <v>0</v>
      </c>
      <c r="O544">
        <v>200000</v>
      </c>
      <c r="R544" t="s">
        <v>136</v>
      </c>
      <c r="S544">
        <v>9.916513157894737E-06</v>
      </c>
      <c r="T544">
        <v>2.0071022631578948E-05</v>
      </c>
      <c r="U544" t="s">
        <v>137</v>
      </c>
      <c r="V544">
        <v>0.00013883118421052632</v>
      </c>
      <c r="W544">
        <v>0.0041155909568421052</v>
      </c>
      <c r="X544" t="s">
        <v>138</v>
      </c>
      <c r="Y544">
        <v>0.00024693545741052633</v>
      </c>
      <c r="Z544">
        <v>0</v>
      </c>
      <c r="AA544" t="s">
        <v>139</v>
      </c>
      <c r="AB544">
        <v>0.00049387091482105266</v>
      </c>
      <c r="AC544">
        <v>0.0048563973290736842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Q544" t="s">
        <v>140</v>
      </c>
      <c r="AR544" t="s">
        <v>141</v>
      </c>
      <c r="AS544">
        <v>0.0039666052631578946</v>
      </c>
    </row>
    <row r="545" spans="1:45" ht="12.75">
      <c r="A545" s="2" t="str">
        <f>HYPERLINK("https://ibp.a2mac1.com/costing(costing:projects/details/8191/material/5320068)","PP")</f>
        <v>PP</v>
      </c>
      <c r="B545">
        <v>5320068</v>
      </c>
      <c r="C545">
        <v>6975613</v>
      </c>
      <c r="E545">
        <v>1.0113799999999999</v>
      </c>
      <c r="F545" t="s">
        <v>4754</v>
      </c>
      <c r="G545">
        <v>95</v>
      </c>
      <c r="H545" t="s">
        <v>4755</v>
      </c>
      <c r="I545">
        <v>5</v>
      </c>
      <c r="J545">
        <v>0.50345253019720215</v>
      </c>
      <c r="K545">
        <v>0</v>
      </c>
      <c r="M545">
        <v>0</v>
      </c>
      <c r="O545">
        <v>200000</v>
      </c>
      <c r="R545" t="s">
        <v>136</v>
      </c>
      <c r="S545">
        <v>6.6538157894736838E-06</v>
      </c>
      <c r="T545">
        <v>1.3467323157894738E-05</v>
      </c>
      <c r="U545" t="s">
        <v>137</v>
      </c>
      <c r="V545">
        <v>9.3153421052631584E-05</v>
      </c>
      <c r="W545">
        <v>0.0027614932442105262</v>
      </c>
      <c r="X545" t="s">
        <v>138</v>
      </c>
      <c r="Y545">
        <v>0.00016568959465263158</v>
      </c>
      <c r="Z545">
        <v>0</v>
      </c>
      <c r="AA545" t="s">
        <v>139</v>
      </c>
      <c r="AB545">
        <v>0.00033137918930526317</v>
      </c>
      <c r="AC545">
        <v>0.0032585620281684212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Q545" t="s">
        <v>140</v>
      </c>
      <c r="AR545" t="s">
        <v>141</v>
      </c>
      <c r="AS545">
        <v>0.0026615263157894736</v>
      </c>
    </row>
    <row r="546" spans="1:45" ht="12.75">
      <c r="A546" s="2" t="str">
        <f>HYPERLINK("https://ibp.a2mac1.com/costing(costing:projects/details/8191/material/5319737)","Standard Structural Steel sheet")</f>
        <v>Standard Structural Steel sheet</v>
      </c>
      <c r="B546">
        <v>5319737</v>
      </c>
      <c r="C546">
        <v>6975373</v>
      </c>
      <c r="E546">
        <v>0.61129999999999995</v>
      </c>
      <c r="F546" t="s">
        <v>3377</v>
      </c>
      <c r="G546">
        <v>70</v>
      </c>
      <c r="H546" t="s">
        <v>4769</v>
      </c>
      <c r="I546">
        <v>30</v>
      </c>
      <c r="J546">
        <v>0.70499453877469964</v>
      </c>
      <c r="K546">
        <v>0</v>
      </c>
      <c r="M546">
        <v>0</v>
      </c>
      <c r="O546">
        <v>200000</v>
      </c>
      <c r="R546" t="s">
        <v>136</v>
      </c>
      <c r="S546">
        <v>0.0078595714285714293</v>
      </c>
      <c r="T546">
        <v>0.0006200328571428572</v>
      </c>
      <c r="U546" t="s">
        <v>137</v>
      </c>
      <c r="V546">
        <v>0.0030565000000000002</v>
      </c>
      <c r="W546">
        <v>0.083145532857142851</v>
      </c>
      <c r="X546" t="s">
        <v>138</v>
      </c>
      <c r="Y546">
        <v>0.0049887319714285719</v>
      </c>
      <c r="Z546">
        <v>0</v>
      </c>
      <c r="AA546" t="s">
        <v>139</v>
      </c>
      <c r="AB546">
        <v>0.0099774639428571437</v>
      </c>
      <c r="AC546">
        <v>0.098111728771428569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Q546" t="s">
        <v>140</v>
      </c>
      <c r="AR546" t="s">
        <v>141</v>
      </c>
      <c r="AS546">
        <v>0.087328571428571422</v>
      </c>
    </row>
    <row r="547" spans="1:45" ht="12.75">
      <c r="A547" s="2" t="str">
        <f>HYPERLINK("https://ibp.a2mac1.com/costing(costing:projects/details/8191/material/5319738)","ZL0410 / ZnAl4Cu1 / Z35531 / Z-A4UI / ZX03 / 2.2141.05 / Zamak5 (Ingot)")</f>
        <v>ZL0410 / ZnAl4Cu1 / Z35531 / Z-A4UI / ZX03 / 2.2141.05 / Zamak5 (Ingot)</v>
      </c>
      <c r="B547">
        <v>5319738</v>
      </c>
      <c r="C547">
        <v>6975375</v>
      </c>
      <c r="E547">
        <v>2.8088600000000001</v>
      </c>
      <c r="F547" t="s">
        <v>4777</v>
      </c>
      <c r="G547">
        <v>90</v>
      </c>
      <c r="H547" t="s">
        <v>4778</v>
      </c>
      <c r="I547">
        <v>30</v>
      </c>
      <c r="J547">
        <v>0.50345253019720215</v>
      </c>
      <c r="K547">
        <v>0</v>
      </c>
      <c r="L547">
        <v>0</v>
      </c>
      <c r="M547">
        <v>0</v>
      </c>
      <c r="O547">
        <v>200000</v>
      </c>
      <c r="R547" t="s">
        <v>136</v>
      </c>
      <c r="S547">
        <v>0.015448730000000001</v>
      </c>
      <c r="T547">
        <v>0.0026056857933333334</v>
      </c>
      <c r="U547" t="s">
        <v>137</v>
      </c>
      <c r="V547">
        <v>0.018023518333333332</v>
      </c>
      <c r="W547">
        <v>0.52013814079333331</v>
      </c>
      <c r="X547" t="s">
        <v>138</v>
      </c>
      <c r="Y547">
        <v>0.031208288447599999</v>
      </c>
      <c r="Z547">
        <v>0</v>
      </c>
      <c r="AA547" t="s">
        <v>139</v>
      </c>
      <c r="AB547">
        <v>0.062416576895199999</v>
      </c>
      <c r="AC547">
        <v>0.61376300613613333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Q547" t="s">
        <v>140</v>
      </c>
      <c r="AR547" t="s">
        <v>141</v>
      </c>
      <c r="AS547">
        <v>0.51495766666666665</v>
      </c>
    </row>
    <row r="548" spans="1:45" ht="12.75">
      <c r="A548" s="2" t="str">
        <f>HYPERLINK("https://ibp.a2mac1.com/costing(costing:projects/details/8191/material/5319739)","Standard Structural Steel sheet")</f>
        <v>Standard Structural Steel sheet</v>
      </c>
      <c r="B548">
        <v>5319739</v>
      </c>
      <c r="C548">
        <v>6975376</v>
      </c>
      <c r="E548">
        <v>0.61129999999999995</v>
      </c>
      <c r="F548" t="s">
        <v>2059</v>
      </c>
      <c r="G548">
        <v>75</v>
      </c>
      <c r="H548" t="s">
        <v>2738</v>
      </c>
      <c r="I548">
        <v>30</v>
      </c>
      <c r="J548">
        <v>0.50345253019720215</v>
      </c>
      <c r="K548">
        <v>0</v>
      </c>
      <c r="L548">
        <v>0</v>
      </c>
      <c r="M548">
        <v>0</v>
      </c>
      <c r="O548">
        <v>200000</v>
      </c>
      <c r="R548" t="s">
        <v>136</v>
      </c>
      <c r="S548">
        <v>0.0036678000000000001</v>
      </c>
      <c r="T548">
        <v>0.00024745424</v>
      </c>
      <c r="U548" t="s">
        <v>137</v>
      </c>
      <c r="V548">
        <v>0.0017116399999999999</v>
      </c>
      <c r="W548">
        <v>0.047195294239999998</v>
      </c>
      <c r="X548" t="s">
        <v>138</v>
      </c>
      <c r="Y548">
        <v>0.0028317176544</v>
      </c>
      <c r="Z548">
        <v>0</v>
      </c>
      <c r="AA548" t="s">
        <v>139</v>
      </c>
      <c r="AB548">
        <v>0.0056634353088</v>
      </c>
      <c r="AC548">
        <v>0.055690447203200003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Q548" t="s">
        <v>140</v>
      </c>
      <c r="AR548" t="s">
        <v>141</v>
      </c>
      <c r="AS548">
        <v>0.048904000000000003</v>
      </c>
    </row>
    <row r="549" spans="1:45" ht="12.75">
      <c r="A549" s="2" t="str">
        <f>HYPERLINK("https://ibp.a2mac1.com/costing(costing:projects/details/8191/material/5319740)","ABS-PC")</f>
        <v>ABS-PC</v>
      </c>
      <c r="B549">
        <v>5319740</v>
      </c>
      <c r="C549">
        <v>6975378</v>
      </c>
      <c r="E549">
        <v>2.29312</v>
      </c>
      <c r="F549" t="s">
        <v>3726</v>
      </c>
      <c r="G549">
        <v>98.039199999999994</v>
      </c>
      <c r="H549" t="s">
        <v>4786</v>
      </c>
      <c r="I549">
        <v>5</v>
      </c>
      <c r="J549">
        <v>0.20557651238448796</v>
      </c>
      <c r="K549">
        <v>0</v>
      </c>
      <c r="M549">
        <v>0</v>
      </c>
      <c r="O549">
        <v>200000</v>
      </c>
      <c r="R549" t="s">
        <v>136</v>
      </c>
      <c r="S549">
        <v>2.0638248406759746E-05</v>
      </c>
      <c r="T549">
        <v>4.3364740634358503E-05</v>
      </c>
      <c r="U549" t="s">
        <v>137</v>
      </c>
      <c r="V549">
        <v>0.00073677957388473185</v>
      </c>
      <c r="W549">
        <v>0.021810351034247527</v>
      </c>
      <c r="X549" t="s">
        <v>138</v>
      </c>
      <c r="Y549">
        <v>0.0013086210620548515</v>
      </c>
      <c r="Z549">
        <v>0</v>
      </c>
      <c r="AA549" t="s">
        <v>139</v>
      </c>
      <c r="AB549">
        <v>0.0026172421241097031</v>
      </c>
      <c r="AC549">
        <v>0.025736214220412081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Q549" t="s">
        <v>140</v>
      </c>
      <c r="AR549" t="s">
        <v>141</v>
      </c>
      <c r="AS549">
        <v>0.021050844968135196</v>
      </c>
    </row>
    <row r="550" spans="1:45" ht="12.75">
      <c r="A550" s="2" t="str">
        <f>HYPERLINK("https://ibp.a2mac1.com/costing(costing:projects/details/8191/material/5319756)","Standard Structural Steel sheet")</f>
        <v>Standard Structural Steel sheet</v>
      </c>
      <c r="B550">
        <v>5319756</v>
      </c>
      <c r="C550">
        <v>6975379</v>
      </c>
      <c r="E550">
        <v>0.61129999999999995</v>
      </c>
      <c r="F550" t="s">
        <v>2840</v>
      </c>
      <c r="G550">
        <v>75</v>
      </c>
      <c r="H550" t="s">
        <v>3917</v>
      </c>
      <c r="I550">
        <v>30</v>
      </c>
      <c r="J550">
        <v>0.50345253019720215</v>
      </c>
      <c r="K550">
        <v>0</v>
      </c>
      <c r="L550">
        <v>0</v>
      </c>
      <c r="M550">
        <v>0</v>
      </c>
      <c r="O550">
        <v>200000</v>
      </c>
      <c r="R550" t="s">
        <v>136</v>
      </c>
      <c r="S550">
        <v>0.00213955</v>
      </c>
      <c r="T550">
        <v>0.00014434830666666668</v>
      </c>
      <c r="U550" t="s">
        <v>137</v>
      </c>
      <c r="V550">
        <v>0.00099845666666666675</v>
      </c>
      <c r="W550">
        <v>0.027530588306666666</v>
      </c>
      <c r="X550" t="s">
        <v>138</v>
      </c>
      <c r="Y550">
        <v>0.0016518352984</v>
      </c>
      <c r="Z550">
        <v>0</v>
      </c>
      <c r="AA550" t="s">
        <v>139</v>
      </c>
      <c r="AB550">
        <v>0.0033036705967999999</v>
      </c>
      <c r="AC550">
        <v>0.032486094201866669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Q550" t="s">
        <v>140</v>
      </c>
      <c r="AR550" t="s">
        <v>141</v>
      </c>
      <c r="AS550">
        <v>0.028527333333333332</v>
      </c>
    </row>
    <row r="551" spans="1:45" ht="12.75">
      <c r="A551" s="2" t="str">
        <f>HYPERLINK("https://ibp.a2mac1.com/costing(costing:projects/details/8191/material/5319764)","Material")</f>
        <v>Material</v>
      </c>
      <c r="B551">
        <v>5319764</v>
      </c>
      <c r="C551">
        <v>6975382</v>
      </c>
      <c r="E551">
        <v>6.2653999999999996</v>
      </c>
      <c r="F551" t="s">
        <v>296</v>
      </c>
      <c r="G551">
        <v>100</v>
      </c>
      <c r="H551" t="s">
        <v>296</v>
      </c>
      <c r="I551">
        <v>0</v>
      </c>
      <c r="J551">
        <v>0</v>
      </c>
      <c r="K551">
        <v>0</v>
      </c>
      <c r="L551">
        <v>0</v>
      </c>
      <c r="M551">
        <v>0</v>
      </c>
      <c r="O551">
        <v>200000</v>
      </c>
      <c r="R551" t="s">
        <v>136</v>
      </c>
      <c r="S551">
        <v>0</v>
      </c>
      <c r="T551">
        <v>0</v>
      </c>
      <c r="U551" t="s">
        <v>137</v>
      </c>
      <c r="V551">
        <v>0.21928900000000001</v>
      </c>
      <c r="W551">
        <v>6.4846890000000004</v>
      </c>
      <c r="X551" t="s">
        <v>90</v>
      </c>
      <c r="Y551">
        <v>0</v>
      </c>
      <c r="Z551">
        <v>0</v>
      </c>
      <c r="AA551" t="s">
        <v>90</v>
      </c>
      <c r="AB551">
        <v>0</v>
      </c>
      <c r="AC551">
        <v>6.4846890000000004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P551" t="s">
        <v>4319</v>
      </c>
      <c r="AQ551" t="s">
        <v>9</v>
      </c>
      <c r="AR551" t="s">
        <v>141</v>
      </c>
      <c r="AS551">
        <v>6.2653999999999996</v>
      </c>
    </row>
    <row r="552" spans="1:45" ht="12.75">
      <c r="A552" s="2" t="str">
        <f>HYPERLINK("https://ibp.a2mac1.com/costing(costing:projects/details/8191/material/5319761)","PA6")</f>
        <v>PA6</v>
      </c>
      <c r="B552">
        <v>5319761</v>
      </c>
      <c r="C552">
        <v>6975381</v>
      </c>
      <c r="E552">
        <v>1.72394</v>
      </c>
      <c r="F552" t="s">
        <v>4800</v>
      </c>
      <c r="G552">
        <v>95</v>
      </c>
      <c r="H552" t="s">
        <v>4801</v>
      </c>
      <c r="I552">
        <v>5</v>
      </c>
      <c r="J552">
        <v>0.50345253019720215</v>
      </c>
      <c r="K552">
        <v>0</v>
      </c>
      <c r="M552">
        <v>0</v>
      </c>
      <c r="O552">
        <v>200000</v>
      </c>
      <c r="R552" t="s">
        <v>136</v>
      </c>
      <c r="S552">
        <v>0.00040489906578947371</v>
      </c>
      <c r="T552">
        <v>0.00081951570915789478</v>
      </c>
      <c r="U552" t="s">
        <v>137</v>
      </c>
      <c r="V552">
        <v>0.0056685869210526315</v>
      </c>
      <c r="W552">
        <v>0.16804282988021052</v>
      </c>
      <c r="X552" t="s">
        <v>138</v>
      </c>
      <c r="Y552">
        <v>0.010082569792812631</v>
      </c>
      <c r="Z552">
        <v>0</v>
      </c>
      <c r="AA552" t="s">
        <v>139</v>
      </c>
      <c r="AB552">
        <v>0.020165139585625262</v>
      </c>
      <c r="AC552">
        <v>0.19829053925864842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Q552" t="s">
        <v>140</v>
      </c>
      <c r="AR552" t="s">
        <v>141</v>
      </c>
      <c r="AS552">
        <v>0.16195962631578947</v>
      </c>
    </row>
    <row r="553" spans="1:45" ht="12.75">
      <c r="A553" s="2" t="str">
        <f>HYPERLINK("https://ibp.a2mac1.com/costing(costing:projects/details/8191/material/5319762)","PA66")</f>
        <v>PA66</v>
      </c>
      <c r="B553">
        <v>5319762</v>
      </c>
      <c r="C553">
        <v>6975381</v>
      </c>
      <c r="E553">
        <v>2.03416</v>
      </c>
      <c r="F553" t="s">
        <v>4800</v>
      </c>
      <c r="G553">
        <v>95</v>
      </c>
      <c r="H553" t="s">
        <v>4801</v>
      </c>
      <c r="I553">
        <v>5</v>
      </c>
      <c r="J553">
        <v>0.50345253019720215</v>
      </c>
      <c r="K553">
        <v>0</v>
      </c>
      <c r="M553">
        <v>0</v>
      </c>
      <c r="O553">
        <v>200000</v>
      </c>
      <c r="R553" t="s">
        <v>136</v>
      </c>
      <c r="S553">
        <v>0.00047775994736842103</v>
      </c>
      <c r="T553">
        <v>0.00096698613347368423</v>
      </c>
      <c r="U553" t="s">
        <v>137</v>
      </c>
      <c r="V553">
        <v>0.0066886392631578945</v>
      </c>
      <c r="W553">
        <v>0.19828184439663157</v>
      </c>
      <c r="X553" t="s">
        <v>138</v>
      </c>
      <c r="Y553">
        <v>0.011896910663797895</v>
      </c>
      <c r="Z553">
        <v>0</v>
      </c>
      <c r="AA553" t="s">
        <v>139</v>
      </c>
      <c r="AB553">
        <v>0.02379382132759579</v>
      </c>
      <c r="AC553">
        <v>0.23397257638802527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Q553" t="s">
        <v>140</v>
      </c>
      <c r="AR553" t="s">
        <v>141</v>
      </c>
      <c r="AS553">
        <v>0.19110397894736841</v>
      </c>
    </row>
    <row r="554" spans="1:45" ht="12.75">
      <c r="A554" s="2" t="str">
        <f>HYPERLINK("https://ibp.a2mac1.com/costing(costing:projects/details/8191/material/5319763)","Glass (default, float glass)")</f>
        <v>Glass (default, float glass)</v>
      </c>
      <c r="B554">
        <v>5319763</v>
      </c>
      <c r="C554">
        <v>6975381</v>
      </c>
      <c r="E554">
        <v>0.76</v>
      </c>
      <c r="F554" t="s">
        <v>4800</v>
      </c>
      <c r="G554">
        <v>95</v>
      </c>
      <c r="H554" t="s">
        <v>4801</v>
      </c>
      <c r="I554">
        <v>0</v>
      </c>
      <c r="J554">
        <v>0.50345253019720215</v>
      </c>
      <c r="K554">
        <v>0</v>
      </c>
      <c r="M554">
        <v>0</v>
      </c>
      <c r="O554">
        <v>200000</v>
      </c>
      <c r="R554" t="s">
        <v>136</v>
      </c>
      <c r="S554">
        <v>0</v>
      </c>
      <c r="T554">
        <v>0.00036128400000000002</v>
      </c>
      <c r="U554" t="s">
        <v>137</v>
      </c>
      <c r="V554">
        <v>0.0024989999999999999</v>
      </c>
      <c r="W554">
        <v>0.074260283999999996</v>
      </c>
      <c r="X554" t="s">
        <v>138</v>
      </c>
      <c r="Y554">
        <v>0.0044556170400000001</v>
      </c>
      <c r="Z554">
        <v>0</v>
      </c>
      <c r="AA554" t="s">
        <v>139</v>
      </c>
      <c r="AB554">
        <v>0.0089112340800000002</v>
      </c>
      <c r="AC554">
        <v>0.087627135120000005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Q554" t="s">
        <v>140</v>
      </c>
      <c r="AR554" t="s">
        <v>141</v>
      </c>
      <c r="AS554">
        <v>0.071400000000000005</v>
      </c>
    </row>
    <row r="555" spans="1:45" ht="12.75">
      <c r="A555" s="2" t="str">
        <f>HYPERLINK("https://ibp.a2mac1.com/costing(costing:projects/details/8191/material/5320069)","EPDM")</f>
        <v>EPDM</v>
      </c>
      <c r="B555">
        <v>5320069</v>
      </c>
      <c r="C555">
        <v>6975615</v>
      </c>
      <c r="E555">
        <v>2.78701</v>
      </c>
      <c r="F555" t="s">
        <v>4816</v>
      </c>
      <c r="G555">
        <v>95</v>
      </c>
      <c r="H555" t="s">
        <v>4817</v>
      </c>
      <c r="I555">
        <v>5</v>
      </c>
      <c r="J555">
        <v>0.20557651238448796</v>
      </c>
      <c r="K555">
        <v>0</v>
      </c>
      <c r="L555">
        <v>0</v>
      </c>
      <c r="M555">
        <v>0</v>
      </c>
      <c r="O555">
        <v>200000</v>
      </c>
      <c r="R555" t="s">
        <v>136</v>
      </c>
      <c r="S555">
        <v>0.0085370516842105271</v>
      </c>
      <c r="T555">
        <v>0.007034530587789474</v>
      </c>
      <c r="U555" t="s">
        <v>137</v>
      </c>
      <c r="V555">
        <v>0.11951872357894737</v>
      </c>
      <c r="W555">
        <v>3.532836876166737</v>
      </c>
      <c r="X555" t="s">
        <v>138</v>
      </c>
      <c r="Y555">
        <v>0.2119702125700042</v>
      </c>
      <c r="Z555">
        <v>0</v>
      </c>
      <c r="AA555" t="s">
        <v>139</v>
      </c>
      <c r="AB555">
        <v>0.4239404251400084</v>
      </c>
      <c r="AC555">
        <v>4.1687475138767498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P555" t="s">
        <v>4818</v>
      </c>
      <c r="AQ555" t="s">
        <v>140</v>
      </c>
      <c r="AR555" t="s">
        <v>141</v>
      </c>
      <c r="AS555">
        <v>3.4148206736842104</v>
      </c>
    </row>
    <row r="556" spans="1:45" ht="12.75">
      <c r="A556" s="2" t="str">
        <f>HYPERLINK("https://ibp.a2mac1.com/costing(costing:projects/details/8191/material/5320070)","Standard Structural Steel sheet")</f>
        <v>Standard Structural Steel sheet</v>
      </c>
      <c r="B556">
        <v>5320070</v>
      </c>
      <c r="C556">
        <v>6975615</v>
      </c>
      <c r="E556">
        <v>0.61129999999999995</v>
      </c>
      <c r="F556" t="s">
        <v>4820</v>
      </c>
      <c r="G556">
        <v>95</v>
      </c>
      <c r="H556" t="s">
        <v>4821</v>
      </c>
      <c r="I556">
        <v>30</v>
      </c>
      <c r="J556">
        <v>0.20557651238448796</v>
      </c>
      <c r="K556">
        <v>0</v>
      </c>
      <c r="L556">
        <v>0</v>
      </c>
      <c r="M556">
        <v>0</v>
      </c>
      <c r="O556">
        <v>200000</v>
      </c>
      <c r="R556" t="s">
        <v>136</v>
      </c>
      <c r="S556">
        <v>0.0028087626315789474</v>
      </c>
      <c r="T556">
        <v>0.00038573673473684208</v>
      </c>
      <c r="U556" t="s">
        <v>137</v>
      </c>
      <c r="V556">
        <v>0.0065537794736842108</v>
      </c>
      <c r="W556">
        <v>0.19138159568210528</v>
      </c>
      <c r="X556" t="s">
        <v>138</v>
      </c>
      <c r="Y556">
        <v>0.011482895740926315</v>
      </c>
      <c r="Z556">
        <v>0</v>
      </c>
      <c r="AA556" t="s">
        <v>139</v>
      </c>
      <c r="AB556">
        <v>0.02296579148185263</v>
      </c>
      <c r="AC556">
        <v>0.22583028290488422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Q556" t="s">
        <v>140</v>
      </c>
      <c r="AR556" t="s">
        <v>141</v>
      </c>
      <c r="AS556">
        <v>0.18725084210526316</v>
      </c>
    </row>
    <row r="557" spans="1:45" ht="12.75">
      <c r="A557" s="2" t="str">
        <f>HYPERLINK("https://ibp.a2mac1.com/costing(costing:projects/details/8191/material/5320071)","EPDM")</f>
        <v>EPDM</v>
      </c>
      <c r="B557">
        <v>5320071</v>
      </c>
      <c r="C557">
        <v>6975616</v>
      </c>
      <c r="E557">
        <v>2.78701</v>
      </c>
      <c r="F557" t="s">
        <v>4827</v>
      </c>
      <c r="G557">
        <v>95</v>
      </c>
      <c r="H557" t="s">
        <v>4828</v>
      </c>
      <c r="I557">
        <v>5</v>
      </c>
      <c r="J557">
        <v>0.20557651238448796</v>
      </c>
      <c r="K557">
        <v>0</v>
      </c>
      <c r="L557">
        <v>0</v>
      </c>
      <c r="M557">
        <v>0</v>
      </c>
      <c r="O557">
        <v>200000</v>
      </c>
      <c r="R557" t="s">
        <v>136</v>
      </c>
      <c r="S557">
        <v>0.0022607785065789474</v>
      </c>
      <c r="T557">
        <v>0.0018628814894210526</v>
      </c>
      <c r="U557" t="s">
        <v>137</v>
      </c>
      <c r="V557">
        <v>0.031650899092105264</v>
      </c>
      <c r="W557">
        <v>0.93556440470652635</v>
      </c>
      <c r="X557" t="s">
        <v>138</v>
      </c>
      <c r="Y557">
        <v>0.056133864282391581</v>
      </c>
      <c r="Z557">
        <v>0</v>
      </c>
      <c r="AA557" t="s">
        <v>139</v>
      </c>
      <c r="AB557">
        <v>0.11226772856478316</v>
      </c>
      <c r="AC557">
        <v>1.1039659975537011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P557" t="s">
        <v>4818</v>
      </c>
      <c r="AQ557" t="s">
        <v>140</v>
      </c>
      <c r="AR557" t="s">
        <v>141</v>
      </c>
      <c r="AS557">
        <v>0.90431140263157894</v>
      </c>
    </row>
    <row r="558" spans="1:45" ht="12.75">
      <c r="A558" s="2" t="str">
        <f>HYPERLINK("https://ibp.a2mac1.com/costing(costing:projects/details/8191/material/5320072)","Standard Structural Steel sheet")</f>
        <v>Standard Structural Steel sheet</v>
      </c>
      <c r="B558">
        <v>5320072</v>
      </c>
      <c r="C558">
        <v>6975616</v>
      </c>
      <c r="E558">
        <v>0.61129999999999995</v>
      </c>
      <c r="F558" t="s">
        <v>4830</v>
      </c>
      <c r="G558">
        <v>95</v>
      </c>
      <c r="H558" t="s">
        <v>4831</v>
      </c>
      <c r="I558">
        <v>30</v>
      </c>
      <c r="J558">
        <v>0.20557651238448796</v>
      </c>
      <c r="K558">
        <v>0</v>
      </c>
      <c r="L558">
        <v>0</v>
      </c>
      <c r="M558">
        <v>0</v>
      </c>
      <c r="O558">
        <v>200000</v>
      </c>
      <c r="R558" t="s">
        <v>136</v>
      </c>
      <c r="S558">
        <v>0.00099175381578947368</v>
      </c>
      <c r="T558">
        <v>0.00013620085736842105</v>
      </c>
      <c r="U558" t="s">
        <v>137</v>
      </c>
      <c r="V558">
        <v>0.0023140922368421052</v>
      </c>
      <c r="W558">
        <v>0.067575460331052634</v>
      </c>
      <c r="X558" t="s">
        <v>138</v>
      </c>
      <c r="Y558">
        <v>0.0040545276198631578</v>
      </c>
      <c r="Z558">
        <v>0</v>
      </c>
      <c r="AA558" t="s">
        <v>139</v>
      </c>
      <c r="AB558">
        <v>0.0081090552397263156</v>
      </c>
      <c r="AC558">
        <v>0.079739043190642109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Q558" t="s">
        <v>140</v>
      </c>
      <c r="AR558" t="s">
        <v>141</v>
      </c>
      <c r="AS558">
        <v>0.066116921052631575</v>
      </c>
    </row>
    <row r="559" spans="1:45" ht="12.75">
      <c r="A559" s="2" t="str">
        <f>HYPERLINK("https://ibp.a2mac1.com/costing(costing:projects/details/8191/material/5319765)","PP-EPDM")</f>
        <v>PP-EPDM</v>
      </c>
      <c r="B559">
        <v>5319765</v>
      </c>
      <c r="C559">
        <v>6975383</v>
      </c>
      <c r="E559">
        <v>1.7894600000000001</v>
      </c>
      <c r="F559" t="s">
        <v>4836</v>
      </c>
      <c r="G559">
        <v>95</v>
      </c>
      <c r="H559" t="s">
        <v>4837</v>
      </c>
      <c r="I559">
        <v>5</v>
      </c>
      <c r="J559">
        <v>0.10389195236953569</v>
      </c>
      <c r="K559">
        <v>0</v>
      </c>
      <c r="L559">
        <v>0</v>
      </c>
      <c r="M559">
        <v>0</v>
      </c>
      <c r="O559">
        <v>200000</v>
      </c>
      <c r="R559" t="s">
        <v>136</v>
      </c>
      <c r="S559">
        <v>0.00082409342105263159</v>
      </c>
      <c r="T559">
        <v>0.00034282286315789472</v>
      </c>
      <c r="U559" t="s">
        <v>137</v>
      </c>
      <c r="V559">
        <v>0.011537307894736842</v>
      </c>
      <c r="W559">
        <v>0.34069340575789475</v>
      </c>
      <c r="X559" t="s">
        <v>138</v>
      </c>
      <c r="Y559">
        <v>0.020441604345473683</v>
      </c>
      <c r="Z559">
        <v>0</v>
      </c>
      <c r="AA559" t="s">
        <v>139</v>
      </c>
      <c r="AB559">
        <v>0.040883208690947366</v>
      </c>
      <c r="AC559">
        <v>0.40201821879431576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Q559" t="s">
        <v>140</v>
      </c>
      <c r="AR559" t="s">
        <v>141</v>
      </c>
      <c r="AS559">
        <v>0.32963736842105262</v>
      </c>
    </row>
    <row r="560" spans="1:45" ht="12.75">
      <c r="A560" s="2" t="str">
        <f>HYPERLINK("https://ibp.a2mac1.com/costing(costing:projects/details/8191/material/5319766)","EPDM")</f>
        <v>EPDM</v>
      </c>
      <c r="B560">
        <v>5319766</v>
      </c>
      <c r="C560">
        <v>6975384</v>
      </c>
      <c r="E560">
        <v>2.78701</v>
      </c>
      <c r="F560" t="s">
        <v>3274</v>
      </c>
      <c r="G560">
        <v>95</v>
      </c>
      <c r="H560" t="s">
        <v>4843</v>
      </c>
      <c r="I560">
        <v>5</v>
      </c>
      <c r="J560">
        <v>0.10389195236953569</v>
      </c>
      <c r="K560">
        <v>0</v>
      </c>
      <c r="L560">
        <v>0</v>
      </c>
      <c r="M560">
        <v>0</v>
      </c>
      <c r="O560">
        <v>200000</v>
      </c>
      <c r="R560" t="s">
        <v>136</v>
      </c>
      <c r="S560">
        <v>0.0014668473684210526</v>
      </c>
      <c r="T560">
        <v>0.00061020850526315791</v>
      </c>
      <c r="U560" t="s">
        <v>137</v>
      </c>
      <c r="V560">
        <v>0.020535863157894737</v>
      </c>
      <c r="W560">
        <v>0.60641817166315792</v>
      </c>
      <c r="X560" t="s">
        <v>138</v>
      </c>
      <c r="Y560">
        <v>0.036385090299789473</v>
      </c>
      <c r="Z560">
        <v>0</v>
      </c>
      <c r="AA560" t="s">
        <v>139</v>
      </c>
      <c r="AB560">
        <v>0.072770180599578946</v>
      </c>
      <c r="AC560">
        <v>0.71557344256252631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P560" t="s">
        <v>4818</v>
      </c>
      <c r="AQ560" t="s">
        <v>140</v>
      </c>
      <c r="AR560" t="s">
        <v>141</v>
      </c>
      <c r="AS560">
        <v>0.58673894736842103</v>
      </c>
    </row>
    <row r="561" spans="1:45" ht="12.75">
      <c r="A561" s="2" t="str">
        <f>HYPERLINK("https://ibp.a2mac1.com/costing(costing:projects/details/8191/material/5319767)","Aluminum for extrusion (default, e.g. EN-AW6016)")</f>
        <v>Aluminum for extrusion (default, e.g. EN-AW6016)</v>
      </c>
      <c r="B561">
        <v>5319767</v>
      </c>
      <c r="C561">
        <v>6975384</v>
      </c>
      <c r="E561">
        <v>2.3603000000000001</v>
      </c>
      <c r="F561" t="s">
        <v>1783</v>
      </c>
      <c r="G561">
        <v>100</v>
      </c>
      <c r="H561" t="s">
        <v>4845</v>
      </c>
      <c r="I561">
        <v>30</v>
      </c>
      <c r="J561">
        <v>0.10389195236953569</v>
      </c>
      <c r="K561">
        <v>0</v>
      </c>
      <c r="L561">
        <v>0</v>
      </c>
      <c r="M561">
        <v>0</v>
      </c>
      <c r="O561">
        <v>200000</v>
      </c>
      <c r="R561" t="s">
        <v>136</v>
      </c>
      <c r="S561">
        <v>0</v>
      </c>
      <c r="T561">
        <v>0.00017919397599999999</v>
      </c>
      <c r="U561" t="s">
        <v>137</v>
      </c>
      <c r="V561">
        <v>0.0060305665</v>
      </c>
      <c r="W561">
        <v>0.17851166047600001</v>
      </c>
      <c r="X561" t="s">
        <v>138</v>
      </c>
      <c r="Y561">
        <v>0.01071069962856</v>
      </c>
      <c r="Z561">
        <v>0</v>
      </c>
      <c r="AA561" t="s">
        <v>139</v>
      </c>
      <c r="AB561">
        <v>0.02142139925712</v>
      </c>
      <c r="AC561">
        <v>0.21064375936168001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Q561" t="s">
        <v>140</v>
      </c>
      <c r="AR561" t="s">
        <v>141</v>
      </c>
      <c r="AS561">
        <v>0.17230190000000001</v>
      </c>
    </row>
    <row r="562" spans="1:45" ht="12.75">
      <c r="A562" s="2" t="str">
        <f>HYPERLINK("https://ibp.a2mac1.com/costing(costing:projects/details/8191/material/5319768)","EPDM")</f>
        <v>EPDM</v>
      </c>
      <c r="B562">
        <v>5319768</v>
      </c>
      <c r="C562">
        <v>6975385</v>
      </c>
      <c r="E562">
        <v>2.78701</v>
      </c>
      <c r="F562" t="s">
        <v>2616</v>
      </c>
      <c r="G562">
        <v>95</v>
      </c>
      <c r="H562" t="s">
        <v>2617</v>
      </c>
      <c r="I562">
        <v>5</v>
      </c>
      <c r="J562">
        <v>0.10389195236953569</v>
      </c>
      <c r="K562">
        <v>0</v>
      </c>
      <c r="L562">
        <v>0</v>
      </c>
      <c r="M562">
        <v>0</v>
      </c>
      <c r="O562">
        <v>200000</v>
      </c>
      <c r="R562" t="s">
        <v>136</v>
      </c>
      <c r="S562">
        <v>0.0036671184210526316</v>
      </c>
      <c r="T562">
        <v>0.0015255212631578947</v>
      </c>
      <c r="U562" t="s">
        <v>137</v>
      </c>
      <c r="V562">
        <v>0.051339657894736844</v>
      </c>
      <c r="W562">
        <v>1.5160454291578946</v>
      </c>
      <c r="X562" t="s">
        <v>138</v>
      </c>
      <c r="Y562">
        <v>0.090962725749473686</v>
      </c>
      <c r="Z562">
        <v>0</v>
      </c>
      <c r="AA562" t="s">
        <v>139</v>
      </c>
      <c r="AB562">
        <v>0.18192545149894737</v>
      </c>
      <c r="AC562">
        <v>1.7889336064063157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P562" t="s">
        <v>4818</v>
      </c>
      <c r="AQ562" t="s">
        <v>140</v>
      </c>
      <c r="AR562" t="s">
        <v>141</v>
      </c>
      <c r="AS562">
        <v>1.4668473684210526</v>
      </c>
    </row>
    <row r="563" spans="1:45" ht="12.75">
      <c r="A563" s="2" t="str">
        <f>HYPERLINK("https://ibp.a2mac1.com/costing(costing:projects/details/8191/material/5319769)","Aluminum for extrusion (default, e.g. EN-AW6016)")</f>
        <v>Aluminum for extrusion (default, e.g. EN-AW6016)</v>
      </c>
      <c r="B563">
        <v>5319769</v>
      </c>
      <c r="C563">
        <v>6975385</v>
      </c>
      <c r="E563">
        <v>2.3603000000000001</v>
      </c>
      <c r="F563" t="s">
        <v>4851</v>
      </c>
      <c r="G563">
        <v>100</v>
      </c>
      <c r="H563" t="s">
        <v>4852</v>
      </c>
      <c r="I563">
        <v>30</v>
      </c>
      <c r="J563">
        <v>0.10389195236953569</v>
      </c>
      <c r="K563">
        <v>0</v>
      </c>
      <c r="L563">
        <v>0</v>
      </c>
      <c r="M563">
        <v>0</v>
      </c>
      <c r="O563">
        <v>200000</v>
      </c>
      <c r="R563" t="s">
        <v>136</v>
      </c>
      <c r="S563">
        <v>0</v>
      </c>
      <c r="T563">
        <v>0.00068977407200000002</v>
      </c>
      <c r="U563" t="s">
        <v>137</v>
      </c>
      <c r="V563">
        <v>0.023213550499999999</v>
      </c>
      <c r="W563">
        <v>0.68714762457199996</v>
      </c>
      <c r="X563" t="s">
        <v>138</v>
      </c>
      <c r="Y563">
        <v>0.041228857474320001</v>
      </c>
      <c r="Z563">
        <v>0</v>
      </c>
      <c r="AA563" t="s">
        <v>139</v>
      </c>
      <c r="AB563">
        <v>0.082457714948640001</v>
      </c>
      <c r="AC563">
        <v>0.81083419699495995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Q563" t="s">
        <v>140</v>
      </c>
      <c r="AR563" t="s">
        <v>141</v>
      </c>
      <c r="AS563">
        <v>0.66324430000000001</v>
      </c>
    </row>
    <row r="564" spans="1:45" ht="12.75">
      <c r="A564" s="2" t="str">
        <f>HYPERLINK("https://ibp.a2mac1.com/costing(costing:projects/details/8191/material/5320247)","Standard Structural Steel sheet")</f>
        <v>Standard Structural Steel sheet</v>
      </c>
      <c r="B564">
        <v>5320247</v>
      </c>
      <c r="C564">
        <v>6975803</v>
      </c>
      <c r="E564">
        <v>0.61129999999999995</v>
      </c>
      <c r="F564" t="s">
        <v>3304</v>
      </c>
      <c r="G564">
        <v>80</v>
      </c>
      <c r="H564" t="s">
        <v>4860</v>
      </c>
      <c r="I564">
        <v>30</v>
      </c>
      <c r="J564">
        <v>0.10389195236953569</v>
      </c>
      <c r="K564">
        <v>0</v>
      </c>
      <c r="L564">
        <v>0</v>
      </c>
      <c r="M564">
        <v>0</v>
      </c>
      <c r="O564">
        <v>200000</v>
      </c>
      <c r="R564" t="s">
        <v>136</v>
      </c>
      <c r="S564">
        <v>0.0096279750000000004</v>
      </c>
      <c r="T564">
        <v>0.00016688489999999999</v>
      </c>
      <c r="U564" t="s">
        <v>137</v>
      </c>
      <c r="V564">
        <v>0.00561631875</v>
      </c>
      <c r="W564">
        <v>0.15662147865000001</v>
      </c>
      <c r="X564" t="s">
        <v>90</v>
      </c>
      <c r="Y564">
        <v>0</v>
      </c>
      <c r="Z564">
        <v>0</v>
      </c>
      <c r="AA564" t="s">
        <v>90</v>
      </c>
      <c r="AB564">
        <v>0</v>
      </c>
      <c r="AC564">
        <v>0.15662147865000001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Q564" t="s">
        <v>140</v>
      </c>
      <c r="AR564" t="s">
        <v>141</v>
      </c>
      <c r="AS564">
        <v>0.16046625</v>
      </c>
    </row>
    <row r="565" spans="1:45" ht="12.75">
      <c r="A565" s="2" t="str">
        <f>HYPERLINK("https://ibp.a2mac1.com/costing(costing:projects/details/8191/material/5320248)","Standard Structural Steel sheet")</f>
        <v>Standard Structural Steel sheet</v>
      </c>
      <c r="B565">
        <v>5320248</v>
      </c>
      <c r="C565">
        <v>6975804</v>
      </c>
      <c r="E565">
        <v>0.61129999999999995</v>
      </c>
      <c r="F565" t="s">
        <v>1775</v>
      </c>
      <c r="G565">
        <v>80</v>
      </c>
      <c r="H565" t="s">
        <v>4865</v>
      </c>
      <c r="I565">
        <v>30</v>
      </c>
      <c r="J565">
        <v>0.10389195236953569</v>
      </c>
      <c r="K565">
        <v>0</v>
      </c>
      <c r="L565">
        <v>0</v>
      </c>
      <c r="M565">
        <v>0</v>
      </c>
      <c r="O565">
        <v>200000</v>
      </c>
      <c r="R565" t="s">
        <v>136</v>
      </c>
      <c r="S565">
        <v>0.0059601749999999998</v>
      </c>
      <c r="T565">
        <v>0.0001033097</v>
      </c>
      <c r="U565" t="s">
        <v>137</v>
      </c>
      <c r="V565">
        <v>0.0034767687499999999</v>
      </c>
      <c r="W565">
        <v>0.096956153449999999</v>
      </c>
      <c r="X565" t="s">
        <v>90</v>
      </c>
      <c r="Y565">
        <v>0</v>
      </c>
      <c r="Z565">
        <v>0</v>
      </c>
      <c r="AA565" t="s">
        <v>90</v>
      </c>
      <c r="AB565">
        <v>0</v>
      </c>
      <c r="AC565">
        <v>0.096956153449999999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Q565" t="s">
        <v>140</v>
      </c>
      <c r="AR565" t="s">
        <v>141</v>
      </c>
      <c r="AS565">
        <v>0.099336250000000001</v>
      </c>
    </row>
    <row r="566" spans="1:45" ht="12.75">
      <c r="A566" s="2" t="str">
        <f>HYPERLINK("https://ibp.a2mac1.com/costing(costing:projects/details/8191/material/5320249)","Standard Structural Steel sheet")</f>
        <v>Standard Structural Steel sheet</v>
      </c>
      <c r="B566">
        <v>5320249</v>
      </c>
      <c r="C566">
        <v>6975805</v>
      </c>
      <c r="E566">
        <v>0.61129999999999995</v>
      </c>
      <c r="F566" t="s">
        <v>3304</v>
      </c>
      <c r="G566">
        <v>70</v>
      </c>
      <c r="H566" t="s">
        <v>3439</v>
      </c>
      <c r="I566">
        <v>30</v>
      </c>
      <c r="J566">
        <v>0.10389195236953569</v>
      </c>
      <c r="K566">
        <v>0</v>
      </c>
      <c r="L566">
        <v>0</v>
      </c>
      <c r="M566">
        <v>0</v>
      </c>
      <c r="O566">
        <v>200000</v>
      </c>
      <c r="R566" t="s">
        <v>136</v>
      </c>
      <c r="S566">
        <v>0.016505100000000002</v>
      </c>
      <c r="T566">
        <v>0.0001907256</v>
      </c>
      <c r="U566" t="s">
        <v>137</v>
      </c>
      <c r="V566">
        <v>0.0064186499999999997</v>
      </c>
      <c r="W566">
        <v>0.1734942756</v>
      </c>
      <c r="X566" t="s">
        <v>90</v>
      </c>
      <c r="Y566">
        <v>0</v>
      </c>
      <c r="Z566">
        <v>0</v>
      </c>
      <c r="AA566" t="s">
        <v>90</v>
      </c>
      <c r="AB566">
        <v>0</v>
      </c>
      <c r="AC566">
        <v>0.1734942756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Q566" t="s">
        <v>140</v>
      </c>
      <c r="AR566" t="s">
        <v>141</v>
      </c>
      <c r="AS566">
        <v>0.18339</v>
      </c>
    </row>
    <row r="567" spans="1:45" ht="12.75">
      <c r="A567" s="2" t="str">
        <f>HYPERLINK("https://ibp.a2mac1.com/costing(costing:projects/details/8191/material/5320250)","Standard Structural Steel sheet")</f>
        <v>Standard Structural Steel sheet</v>
      </c>
      <c r="B567">
        <v>5320250</v>
      </c>
      <c r="C567">
        <v>6975806</v>
      </c>
      <c r="E567">
        <v>0.61129999999999995</v>
      </c>
      <c r="F567" t="s">
        <v>2706</v>
      </c>
      <c r="G567">
        <v>80</v>
      </c>
      <c r="H567" t="s">
        <v>4877</v>
      </c>
      <c r="I567">
        <v>30</v>
      </c>
      <c r="J567">
        <v>0.10389195236953569</v>
      </c>
      <c r="K567">
        <v>0</v>
      </c>
      <c r="L567">
        <v>0</v>
      </c>
      <c r="M567">
        <v>0</v>
      </c>
      <c r="O567">
        <v>200000</v>
      </c>
      <c r="R567" t="s">
        <v>136</v>
      </c>
      <c r="S567">
        <v>0.0050432250000000001</v>
      </c>
      <c r="T567">
        <v>8.7415899999999998E-05</v>
      </c>
      <c r="U567" t="s">
        <v>137</v>
      </c>
      <c r="V567">
        <v>0.0029418812499999998</v>
      </c>
      <c r="W567">
        <v>0.082039822149999997</v>
      </c>
      <c r="X567" t="s">
        <v>90</v>
      </c>
      <c r="Y567">
        <v>0</v>
      </c>
      <c r="Z567">
        <v>0</v>
      </c>
      <c r="AA567" t="s">
        <v>90</v>
      </c>
      <c r="AB567">
        <v>0</v>
      </c>
      <c r="AC567">
        <v>0.082039822149999997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Q567" t="s">
        <v>140</v>
      </c>
      <c r="AR567" t="s">
        <v>141</v>
      </c>
      <c r="AS567">
        <v>0.084053749999999997</v>
      </c>
    </row>
    <row r="568" spans="1:45" ht="12.75">
      <c r="A568" s="2" t="str">
        <f>HYPERLINK("https://ibp.a2mac1.com/costing(costing:projects/details/8191/material/5319774)","PP-TD20")</f>
        <v>PP-TD20</v>
      </c>
      <c r="B568">
        <v>5319774</v>
      </c>
      <c r="C568">
        <v>6975387</v>
      </c>
      <c r="E568">
        <v>1.1148100000000001</v>
      </c>
      <c r="F568" t="s">
        <v>4910</v>
      </c>
      <c r="G568">
        <v>98.039199999999994</v>
      </c>
      <c r="H568" t="s">
        <v>4911</v>
      </c>
      <c r="I568">
        <v>5</v>
      </c>
      <c r="J568">
        <v>0.20557651238448796</v>
      </c>
      <c r="K568">
        <v>0</v>
      </c>
      <c r="M568">
        <v>0</v>
      </c>
      <c r="O568">
        <v>200000</v>
      </c>
      <c r="R568" t="s">
        <v>136</v>
      </c>
      <c r="S568">
        <v>0.00073801024211539879</v>
      </c>
      <c r="T568">
        <v>0.0015506947151751544</v>
      </c>
      <c r="U568" t="s">
        <v>137</v>
      </c>
      <c r="V568">
        <v>0.026346754869480779</v>
      </c>
      <c r="W568">
        <v>0.77992386418484849</v>
      </c>
      <c r="X568" t="s">
        <v>138</v>
      </c>
      <c r="Y568">
        <v>0.046795431851090911</v>
      </c>
      <c r="Z568">
        <v>0</v>
      </c>
      <c r="AA568" t="s">
        <v>139</v>
      </c>
      <c r="AB568">
        <v>0.093590863702181823</v>
      </c>
      <c r="AC568">
        <v>0.92031015973812125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Q568" t="s">
        <v>140</v>
      </c>
      <c r="AR568" t="s">
        <v>141</v>
      </c>
      <c r="AS568">
        <v>0.75276442484230799</v>
      </c>
    </row>
    <row r="569" spans="1:45" ht="12.75">
      <c r="A569" s="2" t="str">
        <f>HYPERLINK("https://ibp.a2mac1.com/costing(costing:projects/details/8191/material/5319775)","PMMA")</f>
        <v>PMMA</v>
      </c>
      <c r="B569">
        <v>5319775</v>
      </c>
      <c r="C569">
        <v>6975389</v>
      </c>
      <c r="E569">
        <v>2.10</v>
      </c>
      <c r="F569" t="s">
        <v>4916</v>
      </c>
      <c r="G569">
        <v>98.039199999999994</v>
      </c>
      <c r="H569" t="s">
        <v>4917</v>
      </c>
      <c r="I569">
        <v>5</v>
      </c>
      <c r="J569">
        <v>0.20557651238448796</v>
      </c>
      <c r="K569">
        <v>0</v>
      </c>
      <c r="M569">
        <v>0</v>
      </c>
      <c r="O569">
        <v>200000</v>
      </c>
      <c r="R569" t="s">
        <v>136</v>
      </c>
      <c r="S569">
        <v>0.00039690323870451822</v>
      </c>
      <c r="T569">
        <v>0.00083396641343462617</v>
      </c>
      <c r="U569" t="s">
        <v>137</v>
      </c>
      <c r="V569">
        <v>0.014169332267093163</v>
      </c>
      <c r="W569">
        <v>0.41944446021591364</v>
      </c>
      <c r="X569" t="s">
        <v>138</v>
      </c>
      <c r="Y569">
        <v>0.025166667612954819</v>
      </c>
      <c r="Z569">
        <v>0</v>
      </c>
      <c r="AA569" t="s">
        <v>139</v>
      </c>
      <c r="AB569">
        <v>0.050333335225909638</v>
      </c>
      <c r="AC569">
        <v>0.49494446305477807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Q569" t="s">
        <v>140</v>
      </c>
      <c r="AR569" t="s">
        <v>141</v>
      </c>
      <c r="AS569">
        <v>0.40483806477409034</v>
      </c>
    </row>
    <row r="570" spans="1:45" ht="12.75">
      <c r="A570" s="2" t="str">
        <f>HYPERLINK("https://ibp.a2mac1.com/costing(costing:projects/details/8191/material/5319776)","ABS")</f>
        <v>ABS</v>
      </c>
      <c r="B570">
        <v>5319776</v>
      </c>
      <c r="C570">
        <v>6975391</v>
      </c>
      <c r="E570">
        <v>2.5272700000000001</v>
      </c>
      <c r="F570" t="s">
        <v>2879</v>
      </c>
      <c r="G570">
        <v>95</v>
      </c>
      <c r="H570" t="s">
        <v>2880</v>
      </c>
      <c r="I570">
        <v>5</v>
      </c>
      <c r="J570">
        <v>0.50345253019720215</v>
      </c>
      <c r="K570">
        <v>0</v>
      </c>
      <c r="M570">
        <v>0</v>
      </c>
      <c r="O570">
        <v>200000</v>
      </c>
      <c r="R570" t="s">
        <v>136</v>
      </c>
      <c r="S570">
        <v>8.6459236842105261E-05</v>
      </c>
      <c r="T570">
        <v>0.00017499349536842106</v>
      </c>
      <c r="U570" t="s">
        <v>137</v>
      </c>
      <c r="V570">
        <v>0.0012104293157894736</v>
      </c>
      <c r="W570">
        <v>0.035882658311157896</v>
      </c>
      <c r="X570" t="s">
        <v>138</v>
      </c>
      <c r="Y570">
        <v>0.0021529594986694736</v>
      </c>
      <c r="Z570">
        <v>0</v>
      </c>
      <c r="AA570" t="s">
        <v>139</v>
      </c>
      <c r="AB570">
        <v>0.0043059189973389473</v>
      </c>
      <c r="AC570">
        <v>0.042341536807166319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Q570" t="s">
        <v>140</v>
      </c>
      <c r="AR570" t="s">
        <v>141</v>
      </c>
      <c r="AS570">
        <v>0.034583694736842106</v>
      </c>
    </row>
    <row r="571" spans="1:45" ht="12.75">
      <c r="A571" s="2" t="str">
        <f>HYPERLINK("https://ibp.a2mac1.com/costing(costing:projects/details/8191/material/5319777)","PMMA")</f>
        <v>PMMA</v>
      </c>
      <c r="B571">
        <v>5319777</v>
      </c>
      <c r="C571">
        <v>6975391</v>
      </c>
      <c r="E571">
        <v>2.10</v>
      </c>
      <c r="F571" t="s">
        <v>2879</v>
      </c>
      <c r="G571">
        <v>95</v>
      </c>
      <c r="H571" t="s">
        <v>2880</v>
      </c>
      <c r="I571">
        <v>5</v>
      </c>
      <c r="J571">
        <v>0.50345253019720215</v>
      </c>
      <c r="K571">
        <v>0</v>
      </c>
      <c r="M571">
        <v>0</v>
      </c>
      <c r="O571">
        <v>200000</v>
      </c>
      <c r="R571" t="s">
        <v>136</v>
      </c>
      <c r="S571">
        <v>7.1842105263157898E-05</v>
      </c>
      <c r="T571">
        <v>0.00014540842105263159</v>
      </c>
      <c r="U571" t="s">
        <v>137</v>
      </c>
      <c r="V571">
        <v>0.0010057894736842106</v>
      </c>
      <c r="W571">
        <v>0.029816197894736843</v>
      </c>
      <c r="X571" t="s">
        <v>138</v>
      </c>
      <c r="Y571">
        <v>0.0017889718736842106</v>
      </c>
      <c r="Z571">
        <v>0</v>
      </c>
      <c r="AA571" t="s">
        <v>139</v>
      </c>
      <c r="AB571">
        <v>0.0035779437473684212</v>
      </c>
      <c r="AC571">
        <v>0.035183113515789476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Q571" t="s">
        <v>140</v>
      </c>
      <c r="AR571" t="s">
        <v>141</v>
      </c>
      <c r="AS571">
        <v>0.028736842105263158</v>
      </c>
    </row>
    <row r="572" spans="1:45" ht="12.75">
      <c r="A572" s="2" t="str">
        <f>HYPERLINK("https://ibp.a2mac1.com/costing(costing:projects/details/8191/material/5319778)","ABS")</f>
        <v>ABS</v>
      </c>
      <c r="B572">
        <v>5319778</v>
      </c>
      <c r="C572">
        <v>6975392</v>
      </c>
      <c r="E572">
        <v>2.5272700000000001</v>
      </c>
      <c r="F572" t="s">
        <v>4279</v>
      </c>
      <c r="G572">
        <v>95</v>
      </c>
      <c r="H572" t="s">
        <v>4925</v>
      </c>
      <c r="I572">
        <v>5</v>
      </c>
      <c r="J572">
        <v>0.50345253019720215</v>
      </c>
      <c r="K572">
        <v>0</v>
      </c>
      <c r="M572">
        <v>0</v>
      </c>
      <c r="O572">
        <v>200000</v>
      </c>
      <c r="R572" t="s">
        <v>136</v>
      </c>
      <c r="S572">
        <v>7.9808526315789473E-05</v>
      </c>
      <c r="T572">
        <v>0.0001615324572631579</v>
      </c>
      <c r="U572" t="s">
        <v>137</v>
      </c>
      <c r="V572">
        <v>0.0011173193684210526</v>
      </c>
      <c r="W572">
        <v>0.033122453825684212</v>
      </c>
      <c r="X572" t="s">
        <v>138</v>
      </c>
      <c r="Y572">
        <v>0.0019873472295410528</v>
      </c>
      <c r="Z572">
        <v>0</v>
      </c>
      <c r="AA572" t="s">
        <v>139</v>
      </c>
      <c r="AB572">
        <v>0.0039746944590821056</v>
      </c>
      <c r="AC572">
        <v>0.039084495514307371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Q572" t="s">
        <v>140</v>
      </c>
      <c r="AR572" t="s">
        <v>141</v>
      </c>
      <c r="AS572">
        <v>0.031923410526315789</v>
      </c>
    </row>
    <row r="573" spans="1:45" ht="12.75">
      <c r="A573" s="2" t="str">
        <f>HYPERLINK("https://ibp.a2mac1.com/costing(costing:projects/details/8191/material/5320073)","Aluminum for casting (default, e.g. A380/ADC10/EN-AC46500)")</f>
        <v>Aluminum for casting (default, e.g. A380/ADC10/EN-AC46500)</v>
      </c>
      <c r="B573">
        <v>5320073</v>
      </c>
      <c r="C573">
        <v>6975625</v>
      </c>
      <c r="E573">
        <v>2.4518200000000001</v>
      </c>
      <c r="F573" t="s">
        <v>4936</v>
      </c>
      <c r="G573">
        <v>100</v>
      </c>
      <c r="H573" t="s">
        <v>4937</v>
      </c>
      <c r="I573">
        <v>50</v>
      </c>
      <c r="J573">
        <v>0.81136305024896349</v>
      </c>
      <c r="K573">
        <v>0</v>
      </c>
      <c r="M573">
        <v>0</v>
      </c>
      <c r="O573">
        <v>200000</v>
      </c>
      <c r="R573" t="s">
        <v>136</v>
      </c>
      <c r="S573">
        <v>0</v>
      </c>
      <c r="T573">
        <v>0.0079621873771999994</v>
      </c>
      <c r="U573" t="s">
        <v>137</v>
      </c>
      <c r="V573">
        <v>0.0340680389</v>
      </c>
      <c r="W573">
        <v>1.0154027662772001</v>
      </c>
      <c r="X573" t="s">
        <v>90</v>
      </c>
      <c r="Y573">
        <v>0</v>
      </c>
      <c r="Z573">
        <v>0</v>
      </c>
      <c r="AA573" t="s">
        <v>90</v>
      </c>
      <c r="AB573">
        <v>0</v>
      </c>
      <c r="AC573">
        <v>1.0154027662772001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Q573" t="s">
        <v>140</v>
      </c>
      <c r="AR573" t="s">
        <v>141</v>
      </c>
      <c r="AS573">
        <v>0.97337253999999995</v>
      </c>
    </row>
    <row r="574" spans="1:45" ht="12.75">
      <c r="A574" s="2" t="str">
        <f>HYPERLINK("https://ibp.a2mac1.com/costing(costing:projects/details/8191/material/5320074)","PA66-GF30")</f>
        <v>PA66-GF30</v>
      </c>
      <c r="B574">
        <v>5320074</v>
      </c>
      <c r="C574">
        <v>6975626</v>
      </c>
      <c r="E574">
        <v>2.4020800000000002</v>
      </c>
      <c r="F574" t="s">
        <v>2725</v>
      </c>
      <c r="G574">
        <v>98.039199999999994</v>
      </c>
      <c r="H574" t="s">
        <v>4954</v>
      </c>
      <c r="I574">
        <v>5</v>
      </c>
      <c r="J574">
        <v>0.20557651238448796</v>
      </c>
      <c r="K574">
        <v>0</v>
      </c>
      <c r="M574">
        <v>0</v>
      </c>
      <c r="O574">
        <v>200000</v>
      </c>
      <c r="R574" t="s">
        <v>136</v>
      </c>
      <c r="S574">
        <v>0.00053086401181568193</v>
      </c>
      <c r="T574">
        <v>0.0011154425380868061</v>
      </c>
      <c r="U574" t="s">
        <v>137</v>
      </c>
      <c r="V574">
        <v>0.018951693608270977</v>
      </c>
      <c r="W574">
        <v>0.56101323237085576</v>
      </c>
      <c r="X574" t="s">
        <v>90</v>
      </c>
      <c r="Y574">
        <v>0</v>
      </c>
      <c r="Z574">
        <v>0</v>
      </c>
      <c r="AA574" t="s">
        <v>90</v>
      </c>
      <c r="AB574">
        <v>0</v>
      </c>
      <c r="AC574">
        <v>0.56101323237085576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Q574" t="s">
        <v>140</v>
      </c>
      <c r="AR574" t="s">
        <v>141</v>
      </c>
      <c r="AS574">
        <v>0.54147696023631364</v>
      </c>
    </row>
    <row r="575" spans="1:45" ht="12.75">
      <c r="A575" s="2" t="str">
        <f>HYPERLINK("https://ibp.a2mac1.com/costing(costing:projects/details/8191/material/5320075)","ASA")</f>
        <v>ASA</v>
      </c>
      <c r="B575">
        <v>5320075</v>
      </c>
      <c r="C575">
        <v>6975628</v>
      </c>
      <c r="E575">
        <v>2.4129900000000002</v>
      </c>
      <c r="F575" t="s">
        <v>2925</v>
      </c>
      <c r="G575">
        <v>98.039199999999994</v>
      </c>
      <c r="H575" t="s">
        <v>4961</v>
      </c>
      <c r="I575">
        <v>5</v>
      </c>
      <c r="J575">
        <v>0.20557651238448796</v>
      </c>
      <c r="K575">
        <v>0</v>
      </c>
      <c r="M575">
        <v>0</v>
      </c>
      <c r="O575">
        <v>200000</v>
      </c>
      <c r="R575" t="s">
        <v>136</v>
      </c>
      <c r="S575">
        <v>0.00034023436629021861</v>
      </c>
      <c r="T575">
        <v>0.00071489473129115696</v>
      </c>
      <c r="U575" t="s">
        <v>137</v>
      </c>
      <c r="V575">
        <v>0.012146269706403152</v>
      </c>
      <c r="W575">
        <v>0.35955720739720848</v>
      </c>
      <c r="X575" t="s">
        <v>90</v>
      </c>
      <c r="Y575">
        <v>0</v>
      </c>
      <c r="Z575">
        <v>0</v>
      </c>
      <c r="AA575" t="s">
        <v>90</v>
      </c>
      <c r="AB575">
        <v>0</v>
      </c>
      <c r="AC575">
        <v>0.35955720739720848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Q575" t="s">
        <v>140</v>
      </c>
      <c r="AR575" t="s">
        <v>141</v>
      </c>
      <c r="AS575">
        <v>0.34703627732580439</v>
      </c>
    </row>
    <row r="576" spans="1:45" ht="12.75">
      <c r="A576" s="2" t="str">
        <f>HYPERLINK("https://ibp.a2mac1.com/costing(costing:projects/details/8191/material/5320076)","ASA")</f>
        <v>ASA</v>
      </c>
      <c r="B576">
        <v>5320076</v>
      </c>
      <c r="C576">
        <v>6975631</v>
      </c>
      <c r="E576">
        <v>2.4129900000000002</v>
      </c>
      <c r="F576" t="s">
        <v>3377</v>
      </c>
      <c r="G576">
        <v>98.039199999999994</v>
      </c>
      <c r="H576" t="s">
        <v>4967</v>
      </c>
      <c r="I576">
        <v>5</v>
      </c>
      <c r="J576">
        <v>0.20557651238448796</v>
      </c>
      <c r="K576">
        <v>0</v>
      </c>
      <c r="M576">
        <v>0</v>
      </c>
      <c r="O576">
        <v>200000</v>
      </c>
      <c r="R576" t="s">
        <v>136</v>
      </c>
      <c r="S576">
        <v>0.00024130096900015503</v>
      </c>
      <c r="T576">
        <v>0.00050701753992280635</v>
      </c>
      <c r="U576" t="s">
        <v>137</v>
      </c>
      <c r="V576">
        <v>0.0086143756783001093</v>
      </c>
      <c r="W576">
        <v>0.25500511162922584</v>
      </c>
      <c r="X576" t="s">
        <v>90</v>
      </c>
      <c r="Y576">
        <v>0</v>
      </c>
      <c r="Z576">
        <v>0</v>
      </c>
      <c r="AA576" t="s">
        <v>90</v>
      </c>
      <c r="AB576">
        <v>0</v>
      </c>
      <c r="AC576">
        <v>0.25500511162922584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Q576" t="s">
        <v>140</v>
      </c>
      <c r="AR576" t="s">
        <v>141</v>
      </c>
      <c r="AS576">
        <v>0.24612501938000311</v>
      </c>
    </row>
    <row r="577" spans="1:45" ht="12.75">
      <c r="A577" s="2" t="str">
        <f>HYPERLINK("https://ibp.a2mac1.com/costing(costing:projects/details/8191/material/5320077)","ASA")</f>
        <v>ASA</v>
      </c>
      <c r="B577">
        <v>5320077</v>
      </c>
      <c r="C577">
        <v>6975632</v>
      </c>
      <c r="E577">
        <v>2.4129900000000002</v>
      </c>
      <c r="F577" t="s">
        <v>4973</v>
      </c>
      <c r="G577">
        <v>98.039199999999994</v>
      </c>
      <c r="H577" t="s">
        <v>4974</v>
      </c>
      <c r="I577">
        <v>5</v>
      </c>
      <c r="J577">
        <v>0.20557651238448796</v>
      </c>
      <c r="K577">
        <v>0</v>
      </c>
      <c r="M577">
        <v>0</v>
      </c>
      <c r="O577">
        <v>200000</v>
      </c>
      <c r="R577" t="s">
        <v>136</v>
      </c>
      <c r="S577">
        <v>0.00023406193993015038</v>
      </c>
      <c r="T577">
        <v>0.0004918070137251222</v>
      </c>
      <c r="U577" t="s">
        <v>137</v>
      </c>
      <c r="V577">
        <v>0.0083559444079511058</v>
      </c>
      <c r="W577">
        <v>0.24735495828034909</v>
      </c>
      <c r="X577" t="s">
        <v>90</v>
      </c>
      <c r="Y577">
        <v>0</v>
      </c>
      <c r="Z577">
        <v>0</v>
      </c>
      <c r="AA577" t="s">
        <v>90</v>
      </c>
      <c r="AB577">
        <v>0</v>
      </c>
      <c r="AC577">
        <v>0.24735495828034909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Q577" t="s">
        <v>140</v>
      </c>
      <c r="AR577" t="s">
        <v>141</v>
      </c>
      <c r="AS577">
        <v>0.238741268798603</v>
      </c>
    </row>
    <row r="578" spans="1:45" ht="12.75">
      <c r="A578" s="2" t="str">
        <f>HYPERLINK("https://ibp.a2mac1.com/costing(costing:projects/details/8191/material/5320078)","PP")</f>
        <v>PP</v>
      </c>
      <c r="B578">
        <v>5320078</v>
      </c>
      <c r="C578">
        <v>6975634</v>
      </c>
      <c r="E578">
        <v>1.0113799999999999</v>
      </c>
      <c r="F578" t="s">
        <v>4678</v>
      </c>
      <c r="G578">
        <v>95</v>
      </c>
      <c r="H578" t="s">
        <v>4679</v>
      </c>
      <c r="I578">
        <v>5</v>
      </c>
      <c r="J578">
        <v>0.50345253019720215</v>
      </c>
      <c r="K578">
        <v>0</v>
      </c>
      <c r="M578">
        <v>0</v>
      </c>
      <c r="O578">
        <v>200000</v>
      </c>
      <c r="R578" t="s">
        <v>136</v>
      </c>
      <c r="S578">
        <v>4.5245947368421055E-05</v>
      </c>
      <c r="T578">
        <v>9.157779747368421E-05</v>
      </c>
      <c r="U578" t="s">
        <v>137</v>
      </c>
      <c r="V578">
        <v>0.0006334432631578947</v>
      </c>
      <c r="W578">
        <v>0.018778154060631578</v>
      </c>
      <c r="X578" t="s">
        <v>90</v>
      </c>
      <c r="Y578">
        <v>0</v>
      </c>
      <c r="Z578">
        <v>0</v>
      </c>
      <c r="AA578" t="s">
        <v>90</v>
      </c>
      <c r="AB578">
        <v>0</v>
      </c>
      <c r="AC578">
        <v>0.018778154060631578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Q578" t="s">
        <v>140</v>
      </c>
      <c r="AR578" t="s">
        <v>141</v>
      </c>
      <c r="AS578">
        <v>0.018098378947368422</v>
      </c>
    </row>
    <row r="579" spans="1:45" ht="12.75">
      <c r="A579" s="2" t="str">
        <f>HYPERLINK("https://ibp.a2mac1.com/costing(costing:projects/details/8191/material/5320079)","TPE")</f>
        <v>TPE</v>
      </c>
      <c r="B579">
        <v>5320079</v>
      </c>
      <c r="C579">
        <v>6975634</v>
      </c>
      <c r="E579">
        <v>1.5073099999999999</v>
      </c>
      <c r="F579" t="s">
        <v>4678</v>
      </c>
      <c r="G579">
        <v>95</v>
      </c>
      <c r="H579" t="s">
        <v>4679</v>
      </c>
      <c r="I579">
        <v>5</v>
      </c>
      <c r="J579">
        <v>0.50345253019720215</v>
      </c>
      <c r="K579">
        <v>0</v>
      </c>
      <c r="M579">
        <v>0</v>
      </c>
      <c r="O579">
        <v>200000</v>
      </c>
      <c r="R579" t="s">
        <v>136</v>
      </c>
      <c r="S579">
        <v>6.7432289473684214E-05</v>
      </c>
      <c r="T579">
        <v>0.00013648295389473685</v>
      </c>
      <c r="U579" t="s">
        <v>137</v>
      </c>
      <c r="V579">
        <v>0.00094405205263157891</v>
      </c>
      <c r="W579">
        <v>0.027986018506526315</v>
      </c>
      <c r="X579" t="s">
        <v>90</v>
      </c>
      <c r="Y579">
        <v>0</v>
      </c>
      <c r="Z579">
        <v>0</v>
      </c>
      <c r="AA579" t="s">
        <v>90</v>
      </c>
      <c r="AB579">
        <v>0</v>
      </c>
      <c r="AC579">
        <v>0.027986018506526315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Q579" t="s">
        <v>140</v>
      </c>
      <c r="AR579" t="s">
        <v>141</v>
      </c>
      <c r="AS579">
        <v>0.026972915789473684</v>
      </c>
    </row>
    <row r="580" spans="1:45" ht="12.75">
      <c r="A580" s="2" t="str">
        <f>HYPERLINK("https://ibp.a2mac1.com/costing(costing:projects/details/8191/material/5320080)","PP")</f>
        <v>PP</v>
      </c>
      <c r="B580">
        <v>5320080</v>
      </c>
      <c r="C580">
        <v>6975635</v>
      </c>
      <c r="E580">
        <v>1.0113799999999999</v>
      </c>
      <c r="F580" t="s">
        <v>4161</v>
      </c>
      <c r="G580">
        <v>95</v>
      </c>
      <c r="H580" t="s">
        <v>4162</v>
      </c>
      <c r="I580">
        <v>5</v>
      </c>
      <c r="J580">
        <v>0.50345253019720215</v>
      </c>
      <c r="K580">
        <v>0</v>
      </c>
      <c r="M580">
        <v>0</v>
      </c>
      <c r="O580">
        <v>200000</v>
      </c>
      <c r="R580" t="s">
        <v>136</v>
      </c>
      <c r="S580">
        <v>1.9961447368421053E-05</v>
      </c>
      <c r="T580">
        <v>4.0401969473684208E-05</v>
      </c>
      <c r="U580" t="s">
        <v>137</v>
      </c>
      <c r="V580">
        <v>0.00027946026315789471</v>
      </c>
      <c r="W580">
        <v>0.0082844797326315795</v>
      </c>
      <c r="X580" t="s">
        <v>90</v>
      </c>
      <c r="Y580">
        <v>0</v>
      </c>
      <c r="Z580">
        <v>0</v>
      </c>
      <c r="AA580" t="s">
        <v>90</v>
      </c>
      <c r="AB580">
        <v>0</v>
      </c>
      <c r="AC580">
        <v>0.0082844797326315795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Q580" t="s">
        <v>140</v>
      </c>
      <c r="AR580" t="s">
        <v>141</v>
      </c>
      <c r="AS580">
        <v>0.0079845789473684207</v>
      </c>
    </row>
    <row r="581" spans="1:45" ht="12.75">
      <c r="A581" s="2" t="str">
        <f>HYPERLINK("https://ibp.a2mac1.com/costing(costing:projects/details/8191/material/5320081)","TPE")</f>
        <v>TPE</v>
      </c>
      <c r="B581">
        <v>5320081</v>
      </c>
      <c r="C581">
        <v>6975635</v>
      </c>
      <c r="E581">
        <v>1.5073099999999999</v>
      </c>
      <c r="F581" t="s">
        <v>4161</v>
      </c>
      <c r="G581">
        <v>95</v>
      </c>
      <c r="H581" t="s">
        <v>4162</v>
      </c>
      <c r="I581">
        <v>5</v>
      </c>
      <c r="J581">
        <v>0.50345253019720215</v>
      </c>
      <c r="K581">
        <v>0</v>
      </c>
      <c r="M581">
        <v>0</v>
      </c>
      <c r="O581">
        <v>200000</v>
      </c>
      <c r="R581" t="s">
        <v>136</v>
      </c>
      <c r="S581">
        <v>2.9749539473684209E-05</v>
      </c>
      <c r="T581">
        <v>6.0213067894736844E-05</v>
      </c>
      <c r="U581" t="s">
        <v>137</v>
      </c>
      <c r="V581">
        <v>0.00041649355263157894</v>
      </c>
      <c r="W581">
        <v>0.012346772870526317</v>
      </c>
      <c r="X581" t="s">
        <v>90</v>
      </c>
      <c r="Y581">
        <v>0</v>
      </c>
      <c r="Z581">
        <v>0</v>
      </c>
      <c r="AA581" t="s">
        <v>90</v>
      </c>
      <c r="AB581">
        <v>0</v>
      </c>
      <c r="AC581">
        <v>0.012346772870526317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Q581" t="s">
        <v>140</v>
      </c>
      <c r="AR581" t="s">
        <v>141</v>
      </c>
      <c r="AS581">
        <v>0.011899815789473684</v>
      </c>
    </row>
    <row r="582" spans="1:45" ht="12.75">
      <c r="A582" s="2" t="str">
        <f>HYPERLINK("https://ibp.a2mac1.com/costing(costing:projects/details/8191/material/5320082)","Aluminum for casting (default, e.g. A380/ADC10/EN-AC46500)")</f>
        <v>Aluminum for casting (default, e.g. A380/ADC10/EN-AC46500)</v>
      </c>
      <c r="B582">
        <v>5320082</v>
      </c>
      <c r="C582">
        <v>6975636</v>
      </c>
      <c r="E582">
        <v>2.4518200000000001</v>
      </c>
      <c r="F582" t="s">
        <v>3360</v>
      </c>
      <c r="G582">
        <v>100</v>
      </c>
      <c r="H582" t="s">
        <v>4993</v>
      </c>
      <c r="I582">
        <v>50</v>
      </c>
      <c r="J582">
        <v>0.30705427283965386</v>
      </c>
      <c r="K582">
        <v>0</v>
      </c>
      <c r="M582">
        <v>0</v>
      </c>
      <c r="O582">
        <v>200000</v>
      </c>
      <c r="R582" t="s">
        <v>136</v>
      </c>
      <c r="S582">
        <v>0</v>
      </c>
      <c r="T582">
        <v>0.0002189965624</v>
      </c>
      <c r="U582" t="s">
        <v>137</v>
      </c>
      <c r="V582">
        <v>0.0024885973</v>
      </c>
      <c r="W582">
        <v>0.073810373862399997</v>
      </c>
      <c r="X582" t="s">
        <v>90</v>
      </c>
      <c r="Y582">
        <v>0</v>
      </c>
      <c r="Z582">
        <v>0</v>
      </c>
      <c r="AA582" t="s">
        <v>90</v>
      </c>
      <c r="AB582">
        <v>0</v>
      </c>
      <c r="AC582">
        <v>0.073810373862399997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Q582" t="s">
        <v>140</v>
      </c>
      <c r="AR582" t="s">
        <v>141</v>
      </c>
      <c r="AS582">
        <v>0.071102780000000004</v>
      </c>
    </row>
    <row r="583" spans="1:45" ht="12.75">
      <c r="A583" s="2" t="str">
        <f>HYPERLINK("https://ibp.a2mac1.com/costing(costing:projects/details/8191/material/5320083)","ABS")</f>
        <v>ABS</v>
      </c>
      <c r="B583">
        <v>5320083</v>
      </c>
      <c r="C583">
        <v>6975657</v>
      </c>
      <c r="E583">
        <v>2.5272700000000001</v>
      </c>
      <c r="F583" t="s">
        <v>4012</v>
      </c>
      <c r="G583">
        <v>98.039199999999994</v>
      </c>
      <c r="H583" t="s">
        <v>5001</v>
      </c>
      <c r="I583">
        <v>5</v>
      </c>
      <c r="J583">
        <v>0.30705427283965386</v>
      </c>
      <c r="K583">
        <v>0</v>
      </c>
      <c r="M583">
        <v>0</v>
      </c>
      <c r="O583">
        <v>200000</v>
      </c>
      <c r="R583" t="s">
        <v>136</v>
      </c>
      <c r="S583">
        <v>0.00044733044018719042</v>
      </c>
      <c r="T583">
        <v>0.0014053220683155308</v>
      </c>
      <c r="U583" t="s">
        <v>137</v>
      </c>
      <c r="V583">
        <v>0.015969568958131033</v>
      </c>
      <c r="W583">
        <v>0.47320095939000317</v>
      </c>
      <c r="X583" t="s">
        <v>90</v>
      </c>
      <c r="Y583">
        <v>0</v>
      </c>
      <c r="Z583">
        <v>0</v>
      </c>
      <c r="AA583" t="s">
        <v>90</v>
      </c>
      <c r="AB583">
        <v>0</v>
      </c>
      <c r="AC583">
        <v>0.47320095939000317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Q583" t="s">
        <v>140</v>
      </c>
      <c r="AR583" t="s">
        <v>141</v>
      </c>
      <c r="AS583">
        <v>0.45627339880374379</v>
      </c>
    </row>
    <row r="584" spans="1:45" ht="12.75">
      <c r="A584" s="2" t="str">
        <f>HYPERLINK("https://ibp.a2mac1.com/costing(costing:projects/details/8191/material/5320084)","Paint: Primer")</f>
        <v>Paint: Primer</v>
      </c>
      <c r="B584">
        <v>5320084</v>
      </c>
      <c r="C584">
        <v>6975658</v>
      </c>
      <c r="E584">
        <v>7</v>
      </c>
      <c r="F584" t="s">
        <v>5004</v>
      </c>
      <c r="G584">
        <v>90</v>
      </c>
      <c r="H584" t="s">
        <v>5005</v>
      </c>
      <c r="I584">
        <v>0</v>
      </c>
      <c r="J584">
        <v>0.10389195236953569</v>
      </c>
      <c r="K584">
        <v>0</v>
      </c>
      <c r="M584">
        <v>0</v>
      </c>
      <c r="O584">
        <v>200000</v>
      </c>
      <c r="R584" t="s">
        <v>136</v>
      </c>
      <c r="S584">
        <v>0</v>
      </c>
      <c r="T584">
        <v>0.00015037244444444445</v>
      </c>
      <c r="U584" t="s">
        <v>137</v>
      </c>
      <c r="V584">
        <v>0.0050606111111111112</v>
      </c>
      <c r="W584">
        <v>0.14979987244444445</v>
      </c>
      <c r="X584" t="s">
        <v>90</v>
      </c>
      <c r="Y584">
        <v>0</v>
      </c>
      <c r="Z584">
        <v>0</v>
      </c>
      <c r="AA584" t="s">
        <v>90</v>
      </c>
      <c r="AB584">
        <v>0</v>
      </c>
      <c r="AC584">
        <v>0.14979987244444445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Q584" t="s">
        <v>9</v>
      </c>
      <c r="AR584" t="s">
        <v>141</v>
      </c>
      <c r="AS584">
        <v>0.14458888888888888</v>
      </c>
    </row>
    <row r="585" spans="1:45" ht="12.75">
      <c r="A585" s="2" t="str">
        <f>HYPERLINK("https://ibp.a2mac1.com/costing(costing:projects/details/8191/material/5320085)","Paint: Base")</f>
        <v>Paint: Base</v>
      </c>
      <c r="B585">
        <v>5320085</v>
      </c>
      <c r="C585">
        <v>6975658</v>
      </c>
      <c r="E585">
        <v>11</v>
      </c>
      <c r="F585" t="s">
        <v>5007</v>
      </c>
      <c r="G585">
        <v>90</v>
      </c>
      <c r="H585" t="s">
        <v>5008</v>
      </c>
      <c r="I585">
        <v>0</v>
      </c>
      <c r="J585">
        <v>0.10389195236953569</v>
      </c>
      <c r="K585">
        <v>0</v>
      </c>
      <c r="M585">
        <v>0</v>
      </c>
      <c r="O585">
        <v>200000</v>
      </c>
      <c r="R585" t="s">
        <v>136</v>
      </c>
      <c r="S585">
        <v>0</v>
      </c>
      <c r="T585">
        <v>0.00019130222222222222</v>
      </c>
      <c r="U585" t="s">
        <v>137</v>
      </c>
      <c r="V585">
        <v>0.0064380555555555554</v>
      </c>
      <c r="W585">
        <v>0.19057380222222223</v>
      </c>
      <c r="X585" t="s">
        <v>90</v>
      </c>
      <c r="Y585">
        <v>0</v>
      </c>
      <c r="Z585">
        <v>0</v>
      </c>
      <c r="AA585" t="s">
        <v>90</v>
      </c>
      <c r="AB585">
        <v>0</v>
      </c>
      <c r="AC585">
        <v>0.19057380222222223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Q585" t="s">
        <v>9</v>
      </c>
      <c r="AR585" t="s">
        <v>141</v>
      </c>
      <c r="AS585">
        <v>0.18394444444444444</v>
      </c>
    </row>
    <row r="586" spans="1:45" ht="12.75">
      <c r="A586" s="2" t="str">
        <f>HYPERLINK("https://ibp.a2mac1.com/costing(costing:projects/details/8191/material/5320086)","Paint: Clear Coat")</f>
        <v>Paint: Clear Coat</v>
      </c>
      <c r="B586">
        <v>5320086</v>
      </c>
      <c r="C586">
        <v>6975658</v>
      </c>
      <c r="E586">
        <v>9</v>
      </c>
      <c r="F586" t="s">
        <v>5004</v>
      </c>
      <c r="G586">
        <v>90</v>
      </c>
      <c r="H586" t="s">
        <v>5005</v>
      </c>
      <c r="I586">
        <v>0</v>
      </c>
      <c r="J586">
        <v>0.10389195236953569</v>
      </c>
      <c r="K586">
        <v>0</v>
      </c>
      <c r="M586">
        <v>0</v>
      </c>
      <c r="O586">
        <v>200000</v>
      </c>
      <c r="R586" t="s">
        <v>136</v>
      </c>
      <c r="S586">
        <v>0</v>
      </c>
      <c r="T586">
        <v>0.00019333600000000001</v>
      </c>
      <c r="U586" t="s">
        <v>137</v>
      </c>
      <c r="V586">
        <v>0.0065065000000000001</v>
      </c>
      <c r="W586">
        <v>0.192599836</v>
      </c>
      <c r="X586" t="s">
        <v>90</v>
      </c>
      <c r="Y586">
        <v>0</v>
      </c>
      <c r="Z586">
        <v>0</v>
      </c>
      <c r="AA586" t="s">
        <v>90</v>
      </c>
      <c r="AB586">
        <v>0</v>
      </c>
      <c r="AC586">
        <v>0.192599836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Q586" t="s">
        <v>9</v>
      </c>
      <c r="AR586" t="s">
        <v>141</v>
      </c>
      <c r="AS586">
        <v>0.18590000000000001</v>
      </c>
    </row>
    <row r="587" spans="1:45" ht="12.75">
      <c r="A587" s="2" t="str">
        <f>HYPERLINK("https://ibp.a2mac1.com/costing(costing:projects/details/8191/material/5319788)","ABS-PC")</f>
        <v>ABS-PC</v>
      </c>
      <c r="B587">
        <v>5319788</v>
      </c>
      <c r="C587">
        <v>6975394</v>
      </c>
      <c r="E587">
        <v>2.29312</v>
      </c>
      <c r="F587" t="s">
        <v>5021</v>
      </c>
      <c r="G587">
        <v>98.039199999999994</v>
      </c>
      <c r="H587" t="s">
        <v>5022</v>
      </c>
      <c r="I587">
        <v>5</v>
      </c>
      <c r="J587">
        <v>0.20557651238448796</v>
      </c>
      <c r="K587">
        <v>0</v>
      </c>
      <c r="M587">
        <v>0</v>
      </c>
      <c r="O587">
        <v>200000</v>
      </c>
      <c r="R587" t="s">
        <v>136</v>
      </c>
      <c r="S587">
        <v>0.00041505810684705708</v>
      </c>
      <c r="T587">
        <v>0.00087211311720209871</v>
      </c>
      <c r="U587" t="s">
        <v>137</v>
      </c>
      <c r="V587">
        <v>0.01481745587479294</v>
      </c>
      <c r="W587">
        <v>0.43863039302208912</v>
      </c>
      <c r="X587" t="s">
        <v>138</v>
      </c>
      <c r="Y587">
        <v>0.026317823581325346</v>
      </c>
      <c r="Z587">
        <v>0</v>
      </c>
      <c r="AA587" t="s">
        <v>139</v>
      </c>
      <c r="AB587">
        <v>0.052635647162650692</v>
      </c>
      <c r="AC587">
        <v>0.51758386376606513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Q587" t="s">
        <v>140</v>
      </c>
      <c r="AR587" t="s">
        <v>141</v>
      </c>
      <c r="AS587">
        <v>0.42335588213694114</v>
      </c>
    </row>
    <row r="588" spans="1:45" ht="12.75">
      <c r="A588" s="2" t="str">
        <f>HYPERLINK("https://ibp.a2mac1.com/costing(costing:projects/details/8191/material/5320251)","Standard Structural Steel sheet")</f>
        <v>Standard Structural Steel sheet</v>
      </c>
      <c r="B588">
        <v>5320251</v>
      </c>
      <c r="C588">
        <v>6975807</v>
      </c>
      <c r="E588">
        <v>0.61129999999999995</v>
      </c>
      <c r="F588" t="s">
        <v>5041</v>
      </c>
      <c r="G588">
        <v>55</v>
      </c>
      <c r="H588" t="s">
        <v>5042</v>
      </c>
      <c r="I588">
        <v>30</v>
      </c>
      <c r="J588">
        <v>0.10389195236953569</v>
      </c>
      <c r="K588">
        <v>0</v>
      </c>
      <c r="L588">
        <v>0</v>
      </c>
      <c r="M588">
        <v>0</v>
      </c>
      <c r="O588">
        <v>200000</v>
      </c>
      <c r="R588" t="s">
        <v>136</v>
      </c>
      <c r="S588">
        <v>0.76523645454545453</v>
      </c>
      <c r="T588">
        <v>0.005895154909090909</v>
      </c>
      <c r="U588" t="s">
        <v>137</v>
      </c>
      <c r="V588">
        <v>0.19839463636363636</v>
      </c>
      <c r="W588">
        <v>5.1074715185454549</v>
      </c>
      <c r="X588" t="s">
        <v>90</v>
      </c>
      <c r="Y588">
        <v>0</v>
      </c>
      <c r="Z588">
        <v>0</v>
      </c>
      <c r="AA588" t="s">
        <v>90</v>
      </c>
      <c r="AB588">
        <v>0</v>
      </c>
      <c r="AC588">
        <v>5.1074715185454549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Q588" t="s">
        <v>140</v>
      </c>
      <c r="AR588" t="s">
        <v>141</v>
      </c>
      <c r="AS588">
        <v>5.6684181818181818</v>
      </c>
    </row>
    <row r="589" spans="1:45" ht="12.75">
      <c r="A589" s="2" t="str">
        <f>HYPERLINK("https://ibp.a2mac1.com/costing(costing:projects/details/8191/material/5320252)","Standard Structural Steel sheet")</f>
        <v>Standard Structural Steel sheet</v>
      </c>
      <c r="B589">
        <v>5320252</v>
      </c>
      <c r="C589">
        <v>6975808</v>
      </c>
      <c r="E589">
        <v>0.61129999999999995</v>
      </c>
      <c r="F589" t="s">
        <v>5046</v>
      </c>
      <c r="G589">
        <v>80</v>
      </c>
      <c r="H589" t="s">
        <v>5047</v>
      </c>
      <c r="I589">
        <v>30</v>
      </c>
      <c r="J589">
        <v>0.10389195236953569</v>
      </c>
      <c r="K589">
        <v>0</v>
      </c>
      <c r="L589">
        <v>0</v>
      </c>
      <c r="M589">
        <v>0</v>
      </c>
      <c r="O589">
        <v>200000</v>
      </c>
      <c r="R589" t="s">
        <v>136</v>
      </c>
      <c r="S589">
        <v>0.030717825000000001</v>
      </c>
      <c r="T589">
        <v>0.00053244230000000004</v>
      </c>
      <c r="U589" t="s">
        <v>137</v>
      </c>
      <c r="V589">
        <v>0.01791873125</v>
      </c>
      <c r="W589">
        <v>0.49969709855</v>
      </c>
      <c r="X589" t="s">
        <v>138</v>
      </c>
      <c r="Y589">
        <v>0.029981825912999999</v>
      </c>
      <c r="Z589">
        <v>0</v>
      </c>
      <c r="AA589" t="s">
        <v>139</v>
      </c>
      <c r="AB589">
        <v>0.059963651825999997</v>
      </c>
      <c r="AC589">
        <v>0.58964257628899996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Q589" t="s">
        <v>140</v>
      </c>
      <c r="AR589" t="s">
        <v>141</v>
      </c>
      <c r="AS589">
        <v>0.51196375000000005</v>
      </c>
    </row>
    <row r="590" spans="1:45" ht="12.75">
      <c r="A590" s="2" t="str">
        <f>HYPERLINK("https://ibp.a2mac1.com/costing(costing:projects/details/8191/material/5320253)","Standard Structural Steel sheet")</f>
        <v>Standard Structural Steel sheet</v>
      </c>
      <c r="B590">
        <v>5320253</v>
      </c>
      <c r="C590">
        <v>6975809</v>
      </c>
      <c r="E590">
        <v>0.61129999999999995</v>
      </c>
      <c r="F590" t="s">
        <v>3435</v>
      </c>
      <c r="G590">
        <v>80</v>
      </c>
      <c r="H590" t="s">
        <v>5050</v>
      </c>
      <c r="I590">
        <v>30</v>
      </c>
      <c r="J590">
        <v>0.10389195236953569</v>
      </c>
      <c r="K590">
        <v>0</v>
      </c>
      <c r="L590">
        <v>0</v>
      </c>
      <c r="M590">
        <v>0</v>
      </c>
      <c r="O590">
        <v>200000</v>
      </c>
      <c r="R590" t="s">
        <v>136</v>
      </c>
      <c r="S590">
        <v>0.019714425000000001</v>
      </c>
      <c r="T590">
        <v>0.00034171670000000001</v>
      </c>
      <c r="U590" t="s">
        <v>137</v>
      </c>
      <c r="V590">
        <v>0.01150008125</v>
      </c>
      <c r="W590">
        <v>0.32070112294999997</v>
      </c>
      <c r="X590" t="s">
        <v>138</v>
      </c>
      <c r="Y590">
        <v>0.019242067376999999</v>
      </c>
      <c r="Z590">
        <v>0</v>
      </c>
      <c r="AA590" t="s">
        <v>139</v>
      </c>
      <c r="AB590">
        <v>0.038484134753999998</v>
      </c>
      <c r="AC590">
        <v>0.37842732508100002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Q590" t="s">
        <v>140</v>
      </c>
      <c r="AR590" t="s">
        <v>141</v>
      </c>
      <c r="AS590">
        <v>0.32857375</v>
      </c>
    </row>
    <row r="591" spans="1:45" ht="12.75">
      <c r="A591" s="2" t="str">
        <f>HYPERLINK("https://ibp.a2mac1.com/costing(costing:projects/details/8191/material/5320350)","Standard Structural Steel sheet")</f>
        <v>Standard Structural Steel sheet</v>
      </c>
      <c r="B591">
        <v>5320350</v>
      </c>
      <c r="C591">
        <v>6975886</v>
      </c>
      <c r="E591">
        <v>0.61129999999999995</v>
      </c>
      <c r="F591" t="s">
        <v>3435</v>
      </c>
      <c r="G591">
        <v>80</v>
      </c>
      <c r="H591" t="s">
        <v>5050</v>
      </c>
      <c r="I591">
        <v>30</v>
      </c>
      <c r="J591">
        <v>0.10389195236953569</v>
      </c>
      <c r="K591">
        <v>0</v>
      </c>
      <c r="L591">
        <v>0</v>
      </c>
      <c r="M591">
        <v>0</v>
      </c>
      <c r="O591">
        <v>200000</v>
      </c>
      <c r="R591" t="s">
        <v>136</v>
      </c>
      <c r="S591">
        <v>0.019714425000000001</v>
      </c>
      <c r="T591">
        <v>0.00034171670000000001</v>
      </c>
      <c r="U591" t="s">
        <v>137</v>
      </c>
      <c r="V591">
        <v>0.01150008125</v>
      </c>
      <c r="W591">
        <v>0.32070112294999997</v>
      </c>
      <c r="X591" t="s">
        <v>138</v>
      </c>
      <c r="Y591">
        <v>0.019242067376999999</v>
      </c>
      <c r="Z591">
        <v>0</v>
      </c>
      <c r="AA591" t="s">
        <v>139</v>
      </c>
      <c r="AB591">
        <v>0.038484134753999998</v>
      </c>
      <c r="AC591">
        <v>0.37842732508100002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Q591" t="s">
        <v>140</v>
      </c>
      <c r="AR591" t="s">
        <v>141</v>
      </c>
      <c r="AS591">
        <v>0.32857375</v>
      </c>
    </row>
    <row r="592" spans="1:45" ht="12.75">
      <c r="A592" s="2" t="str">
        <f>HYPERLINK("https://ibp.a2mac1.com/costing(costing:projects/details/8191/material/5320351)","Standard Structural Steel sheet")</f>
        <v>Standard Structural Steel sheet</v>
      </c>
      <c r="B592">
        <v>5320351</v>
      </c>
      <c r="C592">
        <v>6975887</v>
      </c>
      <c r="E592">
        <v>0.61129999999999995</v>
      </c>
      <c r="F592" t="s">
        <v>5057</v>
      </c>
      <c r="G592">
        <v>80</v>
      </c>
      <c r="H592" t="s">
        <v>5058</v>
      </c>
      <c r="I592">
        <v>30</v>
      </c>
      <c r="J592">
        <v>0.10389195236953569</v>
      </c>
      <c r="K592">
        <v>0</v>
      </c>
      <c r="L592">
        <v>0</v>
      </c>
      <c r="M592">
        <v>0</v>
      </c>
      <c r="O592">
        <v>200000</v>
      </c>
      <c r="R592" t="s">
        <v>136</v>
      </c>
      <c r="S592">
        <v>0.0440136</v>
      </c>
      <c r="T592">
        <v>0.00076290240000000001</v>
      </c>
      <c r="U592" t="s">
        <v>137</v>
      </c>
      <c r="V592">
        <v>0.025674599999999999</v>
      </c>
      <c r="W592">
        <v>0.71598390239999998</v>
      </c>
      <c r="X592" t="s">
        <v>138</v>
      </c>
      <c r="Y592">
        <v>0.042959034144</v>
      </c>
      <c r="Z592">
        <v>0</v>
      </c>
      <c r="AA592" t="s">
        <v>139</v>
      </c>
      <c r="AB592">
        <v>0.085918068287999999</v>
      </c>
      <c r="AC592">
        <v>0.844861004832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Q592" t="s">
        <v>140</v>
      </c>
      <c r="AR592" t="s">
        <v>141</v>
      </c>
      <c r="AS592">
        <v>0.73355999999999999</v>
      </c>
    </row>
    <row r="593" spans="1:45" ht="12.75">
      <c r="A593" s="2" t="str">
        <f>HYPERLINK("https://ibp.a2mac1.com/costing(costing:projects/details/8191/material/5320352)","Standard Structural Steel sheet")</f>
        <v>Standard Structural Steel sheet</v>
      </c>
      <c r="B593">
        <v>5320352</v>
      </c>
      <c r="C593">
        <v>6975888</v>
      </c>
      <c r="E593">
        <v>0.61129999999999995</v>
      </c>
      <c r="F593" t="s">
        <v>5064</v>
      </c>
      <c r="G593">
        <v>80</v>
      </c>
      <c r="H593" t="s">
        <v>5065</v>
      </c>
      <c r="I593">
        <v>30</v>
      </c>
      <c r="J593">
        <v>0.10389195236953569</v>
      </c>
      <c r="K593">
        <v>0</v>
      </c>
      <c r="L593">
        <v>0</v>
      </c>
      <c r="M593">
        <v>0</v>
      </c>
      <c r="O593">
        <v>200000</v>
      </c>
      <c r="R593" t="s">
        <v>136</v>
      </c>
      <c r="S593">
        <v>0.041721225000000001</v>
      </c>
      <c r="T593">
        <v>0.00072316790000000002</v>
      </c>
      <c r="U593" t="s">
        <v>137</v>
      </c>
      <c r="V593">
        <v>0.024337381250000002</v>
      </c>
      <c r="W593">
        <v>0.67869307415000002</v>
      </c>
      <c r="X593" t="s">
        <v>138</v>
      </c>
      <c r="Y593">
        <v>0.040721584449000002</v>
      </c>
      <c r="Z593">
        <v>0</v>
      </c>
      <c r="AA593" t="s">
        <v>139</v>
      </c>
      <c r="AB593">
        <v>0.081443168898000004</v>
      </c>
      <c r="AC593">
        <v>0.80085782749699996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Q593" t="s">
        <v>140</v>
      </c>
      <c r="AR593" t="s">
        <v>141</v>
      </c>
      <c r="AS593">
        <v>0.69535374999999999</v>
      </c>
    </row>
    <row r="594" spans="1:45" ht="12.75">
      <c r="A594" s="2" t="str">
        <f>HYPERLINK("https://ibp.a2mac1.com/costing(costing:projects/details/8191/material/5320254)","Standard Structural Steel sheet")</f>
        <v>Standard Structural Steel sheet</v>
      </c>
      <c r="B594">
        <v>5320254</v>
      </c>
      <c r="C594">
        <v>6975810</v>
      </c>
      <c r="E594">
        <v>0.61129999999999995</v>
      </c>
      <c r="F594" t="s">
        <v>5070</v>
      </c>
      <c r="G594">
        <v>80</v>
      </c>
      <c r="H594" t="s">
        <v>5071</v>
      </c>
      <c r="I594">
        <v>30</v>
      </c>
      <c r="J594">
        <v>0.10389195236953569</v>
      </c>
      <c r="K594">
        <v>0</v>
      </c>
      <c r="L594">
        <v>0</v>
      </c>
      <c r="M594">
        <v>0</v>
      </c>
      <c r="O594">
        <v>200000</v>
      </c>
      <c r="R594" t="s">
        <v>136</v>
      </c>
      <c r="S594">
        <v>0.064644974999999993</v>
      </c>
      <c r="T594">
        <v>0.0011205129</v>
      </c>
      <c r="U594" t="s">
        <v>137</v>
      </c>
      <c r="V594">
        <v>0.037709568749999998</v>
      </c>
      <c r="W594">
        <v>1.05160135665</v>
      </c>
      <c r="X594" t="s">
        <v>138</v>
      </c>
      <c r="Y594">
        <v>0.063096081398999998</v>
      </c>
      <c r="Z594">
        <v>0</v>
      </c>
      <c r="AA594" t="s">
        <v>139</v>
      </c>
      <c r="AB594">
        <v>0.126192162798</v>
      </c>
      <c r="AC594">
        <v>1.2408896008470001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Q594" t="s">
        <v>140</v>
      </c>
      <c r="AR594" t="s">
        <v>141</v>
      </c>
      <c r="AS594">
        <v>1.07741625</v>
      </c>
    </row>
    <row r="595" spans="1:45" ht="12.75">
      <c r="A595" s="2" t="str">
        <f>HYPERLINK("https://ibp.a2mac1.com/costing(costing:projects/details/8191/material/5320353)","Standard Structural Steel sheet")</f>
        <v>Standard Structural Steel sheet</v>
      </c>
      <c r="B595">
        <v>5320353</v>
      </c>
      <c r="C595">
        <v>6975889</v>
      </c>
      <c r="E595">
        <v>0.61129999999999995</v>
      </c>
      <c r="F595" t="s">
        <v>5077</v>
      </c>
      <c r="G595">
        <v>75</v>
      </c>
      <c r="H595" t="s">
        <v>5078</v>
      </c>
      <c r="I595">
        <v>30</v>
      </c>
      <c r="J595">
        <v>0.10389195236953569</v>
      </c>
      <c r="K595">
        <v>0</v>
      </c>
      <c r="L595">
        <v>0</v>
      </c>
      <c r="M595">
        <v>0</v>
      </c>
      <c r="O595">
        <v>200000</v>
      </c>
      <c r="R595" t="s">
        <v>136</v>
      </c>
      <c r="S595">
        <v>0.064186499999999994</v>
      </c>
      <c r="T595">
        <v>0.00089005279999999996</v>
      </c>
      <c r="U595" t="s">
        <v>137</v>
      </c>
      <c r="V595">
        <v>0.0299537</v>
      </c>
      <c r="W595">
        <v>0.82247725279999995</v>
      </c>
      <c r="X595" t="s">
        <v>138</v>
      </c>
      <c r="Y595">
        <v>0.049348635167999998</v>
      </c>
      <c r="Z595">
        <v>0</v>
      </c>
      <c r="AA595" t="s">
        <v>139</v>
      </c>
      <c r="AB595">
        <v>0.098697270335999995</v>
      </c>
      <c r="AC595">
        <v>0.97052315830400004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Q595" t="s">
        <v>140</v>
      </c>
      <c r="AR595" t="s">
        <v>141</v>
      </c>
      <c r="AS595">
        <v>0.85582000000000003</v>
      </c>
    </row>
    <row r="596" spans="1:45" ht="12.75">
      <c r="A596" s="2" t="str">
        <f>HYPERLINK("https://ibp.a2mac1.com/costing(costing:projects/details/8191/material/5320255)","Standard Structural Steel sheet")</f>
        <v>Standard Structural Steel sheet</v>
      </c>
      <c r="B596">
        <v>5320255</v>
      </c>
      <c r="C596">
        <v>6975811</v>
      </c>
      <c r="E596">
        <v>0.61129999999999995</v>
      </c>
      <c r="F596" t="s">
        <v>5083</v>
      </c>
      <c r="G596">
        <v>75</v>
      </c>
      <c r="H596" t="s">
        <v>5084</v>
      </c>
      <c r="I596">
        <v>30</v>
      </c>
      <c r="J596">
        <v>0.10389195236953569</v>
      </c>
      <c r="K596">
        <v>0</v>
      </c>
      <c r="L596">
        <v>0</v>
      </c>
      <c r="M596">
        <v>0</v>
      </c>
      <c r="O596">
        <v>200000</v>
      </c>
      <c r="R596" t="s">
        <v>136</v>
      </c>
      <c r="S596">
        <v>0.25307819999999998</v>
      </c>
      <c r="T596">
        <v>0.0035093510399999998</v>
      </c>
      <c r="U596" t="s">
        <v>137</v>
      </c>
      <c r="V596">
        <v>0.11810316</v>
      </c>
      <c r="W596">
        <v>3.2429103110400002</v>
      </c>
      <c r="X596" t="s">
        <v>90</v>
      </c>
      <c r="Y596">
        <v>0</v>
      </c>
      <c r="Z596">
        <v>0</v>
      </c>
      <c r="AA596" t="s">
        <v>90</v>
      </c>
      <c r="AB596">
        <v>0</v>
      </c>
      <c r="AC596">
        <v>3.2429103110400002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Q596" t="s">
        <v>140</v>
      </c>
      <c r="AR596" t="s">
        <v>141</v>
      </c>
      <c r="AS596">
        <v>3.3743759999999998</v>
      </c>
    </row>
    <row r="597" spans="1:45" ht="12.75">
      <c r="A597" s="2" t="str">
        <f>HYPERLINK("https://ibp.a2mac1.com/costing(costing:projects/details/8191/material/5320354)","Standard Structural Steel sheet")</f>
        <v>Standard Structural Steel sheet</v>
      </c>
      <c r="B597">
        <v>5320354</v>
      </c>
      <c r="C597">
        <v>6975890</v>
      </c>
      <c r="E597">
        <v>0.61129999999999995</v>
      </c>
      <c r="F597" t="s">
        <v>5089</v>
      </c>
      <c r="G597">
        <v>85</v>
      </c>
      <c r="H597" t="s">
        <v>5090</v>
      </c>
      <c r="I597">
        <v>30</v>
      </c>
      <c r="J597">
        <v>0.10389195236953569</v>
      </c>
      <c r="K597">
        <v>0</v>
      </c>
      <c r="L597">
        <v>0</v>
      </c>
      <c r="M597">
        <v>0</v>
      </c>
      <c r="O597">
        <v>200000</v>
      </c>
      <c r="R597" t="s">
        <v>136</v>
      </c>
      <c r="S597">
        <v>0.013268805882352941</v>
      </c>
      <c r="T597">
        <v>0.00030665684705882351</v>
      </c>
      <c r="U597" t="s">
        <v>137</v>
      </c>
      <c r="V597">
        <v>0.010320182352941177</v>
      </c>
      <c r="W597">
        <v>0.29222038625882352</v>
      </c>
      <c r="X597" t="s">
        <v>138</v>
      </c>
      <c r="Y597">
        <v>0.017533223175529411</v>
      </c>
      <c r="Z597">
        <v>0</v>
      </c>
      <c r="AA597" t="s">
        <v>139</v>
      </c>
      <c r="AB597">
        <v>0.035066446351058822</v>
      </c>
      <c r="AC597">
        <v>0.34482005578541175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Q597" t="s">
        <v>140</v>
      </c>
      <c r="AR597" t="s">
        <v>141</v>
      </c>
      <c r="AS597">
        <v>0.29486235294117646</v>
      </c>
    </row>
    <row r="598" spans="1:45" ht="12.75">
      <c r="A598" s="2" t="str">
        <f>HYPERLINK("https://ibp.a2mac1.com/costing(costing:projects/details/8191/material/5319789)","PP")</f>
        <v>PP</v>
      </c>
      <c r="B598">
        <v>5319789</v>
      </c>
      <c r="C598">
        <v>6975396</v>
      </c>
      <c r="E598">
        <v>1.0113799999999999</v>
      </c>
      <c r="F598" t="s">
        <v>5100</v>
      </c>
      <c r="G598">
        <v>95</v>
      </c>
      <c r="H598" t="s">
        <v>5101</v>
      </c>
      <c r="I598">
        <v>5</v>
      </c>
      <c r="J598">
        <v>0.50345253019720215</v>
      </c>
      <c r="K598">
        <v>0</v>
      </c>
      <c r="M598">
        <v>0</v>
      </c>
      <c r="O598">
        <v>200000</v>
      </c>
      <c r="R598" t="s">
        <v>136</v>
      </c>
      <c r="S598">
        <v>0.0032098007368421052</v>
      </c>
      <c r="T598">
        <v>0.0064966366913684209</v>
      </c>
      <c r="U598" t="s">
        <v>137</v>
      </c>
      <c r="V598">
        <v>0.044937210315789476</v>
      </c>
      <c r="W598">
        <v>1.3321443410071578</v>
      </c>
      <c r="X598" t="s">
        <v>138</v>
      </c>
      <c r="Y598">
        <v>0.079928660460429471</v>
      </c>
      <c r="Z598">
        <v>0</v>
      </c>
      <c r="AA598" t="s">
        <v>139</v>
      </c>
      <c r="AB598">
        <v>0.15985732092085894</v>
      </c>
      <c r="AC598">
        <v>1.5719303223884462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Q598" t="s">
        <v>140</v>
      </c>
      <c r="AR598" t="s">
        <v>141</v>
      </c>
      <c r="AS598">
        <v>1.2839202947368422</v>
      </c>
    </row>
    <row r="599" spans="1:45" ht="12.75">
      <c r="A599" s="2" t="str">
        <f>HYPERLINK("https://ibp.a2mac1.com/costing(costing:projects/details/8191/material/5319790)","PP")</f>
        <v>PP</v>
      </c>
      <c r="B599">
        <v>5319790</v>
      </c>
      <c r="C599">
        <v>6975397</v>
      </c>
      <c r="E599">
        <v>1.0113799999999999</v>
      </c>
      <c r="F599" t="s">
        <v>5105</v>
      </c>
      <c r="G599">
        <v>95</v>
      </c>
      <c r="H599" t="s">
        <v>5106</v>
      </c>
      <c r="I599">
        <v>5</v>
      </c>
      <c r="J599">
        <v>0.50345253019720215</v>
      </c>
      <c r="K599">
        <v>0</v>
      </c>
      <c r="M599">
        <v>0</v>
      </c>
      <c r="O599">
        <v>200000</v>
      </c>
      <c r="R599" t="s">
        <v>136</v>
      </c>
      <c r="S599">
        <v>0.00071595057894736837</v>
      </c>
      <c r="T599">
        <v>0.0014490839717894736</v>
      </c>
      <c r="U599" t="s">
        <v>137</v>
      </c>
      <c r="V599">
        <v>0.010023308105263157</v>
      </c>
      <c r="W599">
        <v>0.2971366730770526</v>
      </c>
      <c r="X599" t="s">
        <v>90</v>
      </c>
      <c r="Y599">
        <v>0</v>
      </c>
      <c r="Z599">
        <v>0</v>
      </c>
      <c r="AA599" t="s">
        <v>90</v>
      </c>
      <c r="AB599">
        <v>0</v>
      </c>
      <c r="AC599">
        <v>0.2971366730770526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Q599" t="s">
        <v>140</v>
      </c>
      <c r="AR599" t="s">
        <v>141</v>
      </c>
      <c r="AS599">
        <v>0.28638023157894738</v>
      </c>
    </row>
    <row r="600" spans="1:45" ht="12.75">
      <c r="A600" s="2" t="str">
        <f>HYPERLINK("https://ibp.a2mac1.com/costing(costing:projects/details/8191/material/5319791)","PVC")</f>
        <v>PVC</v>
      </c>
      <c r="B600">
        <v>5319791</v>
      </c>
      <c r="C600">
        <v>6975397</v>
      </c>
      <c r="E600">
        <v>1.2835000000000001</v>
      </c>
      <c r="F600" t="s">
        <v>5105</v>
      </c>
      <c r="G600">
        <v>95</v>
      </c>
      <c r="H600" t="s">
        <v>5106</v>
      </c>
      <c r="I600">
        <v>5</v>
      </c>
      <c r="J600">
        <v>0.50345253019720215</v>
      </c>
      <c r="K600">
        <v>0</v>
      </c>
      <c r="M600">
        <v>0</v>
      </c>
      <c r="O600">
        <v>200000</v>
      </c>
      <c r="R600" t="s">
        <v>136</v>
      </c>
      <c r="S600">
        <v>0.00090858289473684213</v>
      </c>
      <c r="T600">
        <v>0.0018389717789473684</v>
      </c>
      <c r="U600" t="s">
        <v>137</v>
      </c>
      <c r="V600">
        <v>0.012720160526315789</v>
      </c>
      <c r="W600">
        <v>0.37708370730526314</v>
      </c>
      <c r="X600" t="s">
        <v>90</v>
      </c>
      <c r="Y600">
        <v>0</v>
      </c>
      <c r="Z600">
        <v>0</v>
      </c>
      <c r="AA600" t="s">
        <v>90</v>
      </c>
      <c r="AB600">
        <v>0</v>
      </c>
      <c r="AC600">
        <v>0.37708370730526314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Q600" t="s">
        <v>140</v>
      </c>
      <c r="AR600" t="s">
        <v>141</v>
      </c>
      <c r="AS600">
        <v>0.36343315789473685</v>
      </c>
    </row>
    <row r="601" spans="1:45" ht="12.75">
      <c r="A601" s="2" t="str">
        <f>HYPERLINK("https://ibp.a2mac1.com/costing(costing:projects/details/8191/material/5319792)","PP")</f>
        <v>PP</v>
      </c>
      <c r="B601">
        <v>5319792</v>
      </c>
      <c r="C601">
        <v>6975398</v>
      </c>
      <c r="E601">
        <v>1.0113799999999999</v>
      </c>
      <c r="F601" t="s">
        <v>5112</v>
      </c>
      <c r="G601">
        <v>95</v>
      </c>
      <c r="H601" t="s">
        <v>5113</v>
      </c>
      <c r="I601">
        <v>5</v>
      </c>
      <c r="J601">
        <v>0.50345253019720215</v>
      </c>
      <c r="K601">
        <v>0</v>
      </c>
      <c r="M601">
        <v>0</v>
      </c>
      <c r="O601">
        <v>200000</v>
      </c>
      <c r="R601" t="s">
        <v>136</v>
      </c>
      <c r="S601">
        <v>0.0009714571052631579</v>
      </c>
      <c r="T601">
        <v>0.0019662291810526315</v>
      </c>
      <c r="U601" t="s">
        <v>137</v>
      </c>
      <c r="V601">
        <v>0.013600399473684211</v>
      </c>
      <c r="W601">
        <v>0.40317801365473682</v>
      </c>
      <c r="X601" t="s">
        <v>90</v>
      </c>
      <c r="Y601">
        <v>0</v>
      </c>
      <c r="Z601">
        <v>0</v>
      </c>
      <c r="AA601" t="s">
        <v>90</v>
      </c>
      <c r="AB601">
        <v>0</v>
      </c>
      <c r="AC601">
        <v>0.40317801365473682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Q601" t="s">
        <v>140</v>
      </c>
      <c r="AR601" t="s">
        <v>141</v>
      </c>
      <c r="AS601">
        <v>0.38858284210526317</v>
      </c>
    </row>
    <row r="602" spans="1:45" ht="12.75">
      <c r="A602" s="2" t="str">
        <f>HYPERLINK("https://ibp.a2mac1.com/costing(costing:projects/details/8191/material/5319793)","PP")</f>
        <v>PP</v>
      </c>
      <c r="B602">
        <v>5319793</v>
      </c>
      <c r="C602">
        <v>6975399</v>
      </c>
      <c r="E602">
        <v>1.0113799999999999</v>
      </c>
      <c r="F602" t="s">
        <v>5117</v>
      </c>
      <c r="G602">
        <v>95</v>
      </c>
      <c r="H602" t="s">
        <v>5118</v>
      </c>
      <c r="I602">
        <v>5</v>
      </c>
      <c r="J602">
        <v>0.50345253019720215</v>
      </c>
      <c r="K602">
        <v>0</v>
      </c>
      <c r="M602">
        <v>0</v>
      </c>
      <c r="O602">
        <v>200000</v>
      </c>
      <c r="R602" t="s">
        <v>136</v>
      </c>
      <c r="S602">
        <v>0.00082773468421052634</v>
      </c>
      <c r="T602">
        <v>0.0016753350008421053</v>
      </c>
      <c r="U602" t="s">
        <v>137</v>
      </c>
      <c r="V602">
        <v>0.011588285578947368</v>
      </c>
      <c r="W602">
        <v>0.34352975957978948</v>
      </c>
      <c r="X602" t="s">
        <v>90</v>
      </c>
      <c r="Y602">
        <v>0</v>
      </c>
      <c r="Z602">
        <v>0</v>
      </c>
      <c r="AA602" t="s">
        <v>90</v>
      </c>
      <c r="AB602">
        <v>0</v>
      </c>
      <c r="AC602">
        <v>0.34352975957978948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Q602" t="s">
        <v>140</v>
      </c>
      <c r="AR602" t="s">
        <v>141</v>
      </c>
      <c r="AS602">
        <v>0.3310938736842105</v>
      </c>
    </row>
    <row r="603" spans="1:45" ht="12.75">
      <c r="A603" s="2" t="str">
        <f>HYPERLINK("https://ibp.a2mac1.com/costing(costing:projects/details/8191/material/5320087)","PC-ABS")</f>
        <v>PC-ABS</v>
      </c>
      <c r="B603">
        <v>5320087</v>
      </c>
      <c r="C603">
        <v>6975660</v>
      </c>
      <c r="E603">
        <v>2.29312</v>
      </c>
      <c r="F603" t="s">
        <v>2024</v>
      </c>
      <c r="G603">
        <v>95</v>
      </c>
      <c r="H603" t="s">
        <v>2025</v>
      </c>
      <c r="I603">
        <v>5</v>
      </c>
      <c r="J603">
        <v>0.50345253019720215</v>
      </c>
      <c r="K603">
        <v>0</v>
      </c>
      <c r="M603">
        <v>0</v>
      </c>
      <c r="O603">
        <v>200000</v>
      </c>
      <c r="R603" t="s">
        <v>136</v>
      </c>
      <c r="S603">
        <v>0.00018707031578947368</v>
      </c>
      <c r="T603">
        <v>0.00037863031915789475</v>
      </c>
      <c r="U603" t="s">
        <v>137</v>
      </c>
      <c r="V603">
        <v>0.0026189844210526315</v>
      </c>
      <c r="W603">
        <v>0.077638670740210525</v>
      </c>
      <c r="X603" t="s">
        <v>138</v>
      </c>
      <c r="Y603">
        <v>0.0046583202444126313</v>
      </c>
      <c r="Z603">
        <v>0</v>
      </c>
      <c r="AA603" t="s">
        <v>139</v>
      </c>
      <c r="AB603">
        <v>0.0093166404888252626</v>
      </c>
      <c r="AC603">
        <v>0.09161363147344842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Q603" t="s">
        <v>140</v>
      </c>
      <c r="AR603" t="s">
        <v>141</v>
      </c>
      <c r="AS603">
        <v>0.074828126315789473</v>
      </c>
    </row>
    <row r="604" spans="1:45" ht="12.75">
      <c r="A604" s="2" t="str">
        <f>HYPERLINK("https://ibp.a2mac1.com/costing(costing:projects/details/8191/material/5320088)","ABS-PC")</f>
        <v>ABS-PC</v>
      </c>
      <c r="B604">
        <v>5320088</v>
      </c>
      <c r="C604">
        <v>6975661</v>
      </c>
      <c r="E604">
        <v>2.29312</v>
      </c>
      <c r="F604" t="s">
        <v>4718</v>
      </c>
      <c r="G604">
        <v>98.039199999999994</v>
      </c>
      <c r="H604" t="s">
        <v>4719</v>
      </c>
      <c r="I604">
        <v>5</v>
      </c>
      <c r="J604">
        <v>0.20557651238448796</v>
      </c>
      <c r="K604">
        <v>0</v>
      </c>
      <c r="M604">
        <v>0</v>
      </c>
      <c r="O604">
        <v>200000</v>
      </c>
      <c r="R604" t="s">
        <v>136</v>
      </c>
      <c r="S604">
        <v>0.00021326190020318404</v>
      </c>
      <c r="T604">
        <v>0.00044810231988837119</v>
      </c>
      <c r="U604" t="s">
        <v>137</v>
      </c>
      <c r="V604">
        <v>0.0076133889301422284</v>
      </c>
      <c r="W604">
        <v>0.2253736273538911</v>
      </c>
      <c r="X604" t="s">
        <v>138</v>
      </c>
      <c r="Y604">
        <v>0.013522417641233466</v>
      </c>
      <c r="Z604">
        <v>0</v>
      </c>
      <c r="AA604" t="s">
        <v>139</v>
      </c>
      <c r="AB604">
        <v>0.027044835282466931</v>
      </c>
      <c r="AC604">
        <v>0.2659408802775915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Q604" t="s">
        <v>140</v>
      </c>
      <c r="AR604" t="s">
        <v>141</v>
      </c>
      <c r="AS604">
        <v>0.21752539800406367</v>
      </c>
    </row>
    <row r="605" spans="1:45" ht="12.75">
      <c r="A605" s="2" t="str">
        <f>HYPERLINK("https://ibp.a2mac1.com/costing(costing:projects/details/8191/material/5320089)","PA 6 GF 40")</f>
        <v>PA 6 GF 40</v>
      </c>
      <c r="B605">
        <v>5320089</v>
      </c>
      <c r="C605">
        <v>6975663</v>
      </c>
      <c r="E605">
        <v>2.7592300000000001</v>
      </c>
      <c r="F605" t="s">
        <v>3421</v>
      </c>
      <c r="G605">
        <v>98.039199999999994</v>
      </c>
      <c r="H605" t="s">
        <v>4727</v>
      </c>
      <c r="I605">
        <v>0</v>
      </c>
      <c r="J605">
        <v>0.20557651238448796</v>
      </c>
      <c r="K605">
        <v>0</v>
      </c>
      <c r="L605">
        <v>0</v>
      </c>
      <c r="M605">
        <v>0</v>
      </c>
      <c r="O605">
        <v>200000</v>
      </c>
      <c r="R605" t="s">
        <v>136</v>
      </c>
      <c r="S605">
        <v>0</v>
      </c>
      <c r="T605">
        <v>0.00041743404026144647</v>
      </c>
      <c r="U605" t="s">
        <v>137</v>
      </c>
      <c r="V605">
        <v>0.0070923259267721486</v>
      </c>
      <c r="W605">
        <v>0.21014764358909496</v>
      </c>
      <c r="X605" t="s">
        <v>138</v>
      </c>
      <c r="Y605">
        <v>0.012608858615345699</v>
      </c>
      <c r="Z605">
        <v>0</v>
      </c>
      <c r="AA605" t="s">
        <v>139</v>
      </c>
      <c r="AB605">
        <v>0.025217717230691397</v>
      </c>
      <c r="AC605">
        <v>0.24797421943513206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Q605" t="s">
        <v>9</v>
      </c>
      <c r="AR605" t="s">
        <v>141</v>
      </c>
      <c r="AS605">
        <v>0.20263788362206139</v>
      </c>
    </row>
    <row r="606" spans="1:45" ht="12.75">
      <c r="A606" s="2" t="str">
        <f>HYPERLINK("https://ibp.a2mac1.com/costing(costing:projects/details/8191/material/5320090)","PBT-GF30")</f>
        <v>PBT-GF30</v>
      </c>
      <c r="B606">
        <v>5320090</v>
      </c>
      <c r="C606">
        <v>6975665</v>
      </c>
      <c r="E606">
        <v>1.9208099999999999</v>
      </c>
      <c r="F606" t="s">
        <v>4733</v>
      </c>
      <c r="G606">
        <v>98.039199999999994</v>
      </c>
      <c r="H606" t="s">
        <v>4734</v>
      </c>
      <c r="I606">
        <v>5</v>
      </c>
      <c r="J606">
        <v>0.20557651238448796</v>
      </c>
      <c r="K606">
        <v>0</v>
      </c>
      <c r="M606">
        <v>0</v>
      </c>
      <c r="O606">
        <v>200000</v>
      </c>
      <c r="R606" t="s">
        <v>136</v>
      </c>
      <c r="S606">
        <v>0.00040913586852197898</v>
      </c>
      <c r="T606">
        <v>0.00085966940958310558</v>
      </c>
      <c r="U606" t="s">
        <v>137</v>
      </c>
      <c r="V606">
        <v>0.014606033657965384</v>
      </c>
      <c r="W606">
        <v>0.43237181456946611</v>
      </c>
      <c r="X606" t="s">
        <v>138</v>
      </c>
      <c r="Y606">
        <v>0.025942308874167964</v>
      </c>
      <c r="Z606">
        <v>0</v>
      </c>
      <c r="AA606" t="s">
        <v>139</v>
      </c>
      <c r="AB606">
        <v>0.051884617748335929</v>
      </c>
      <c r="AC606">
        <v>0.51019874119196995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Q606" t="s">
        <v>140</v>
      </c>
      <c r="AR606" t="s">
        <v>141</v>
      </c>
      <c r="AS606">
        <v>0.41731524737043957</v>
      </c>
    </row>
    <row r="607" spans="1:45" ht="12.75">
      <c r="A607" s="2" t="str">
        <f>HYPERLINK("https://ibp.a2mac1.com/costing(costing:projects/details/8191/material/5320091)","PA6-GF30")</f>
        <v>PA6-GF30</v>
      </c>
      <c r="B607">
        <v>5320091</v>
      </c>
      <c r="C607">
        <v>6975667</v>
      </c>
      <c r="E607">
        <v>2.1428600000000002</v>
      </c>
      <c r="F607" t="s">
        <v>4740</v>
      </c>
      <c r="G607">
        <v>98.039199999999994</v>
      </c>
      <c r="H607" t="s">
        <v>4741</v>
      </c>
      <c r="I607">
        <v>5</v>
      </c>
      <c r="J607">
        <v>0.20557651238448796</v>
      </c>
      <c r="K607">
        <v>0</v>
      </c>
      <c r="M607">
        <v>0</v>
      </c>
      <c r="O607">
        <v>200000</v>
      </c>
      <c r="R607" t="s">
        <v>136</v>
      </c>
      <c r="S607">
        <v>0.00016928732137349141</v>
      </c>
      <c r="T607">
        <v>0.00035570367404058785</v>
      </c>
      <c r="U607" t="s">
        <v>137</v>
      </c>
      <c r="V607">
        <v>0.0060435090249614442</v>
      </c>
      <c r="W607">
        <v>0.17890161180509837</v>
      </c>
      <c r="X607" t="s">
        <v>138</v>
      </c>
      <c r="Y607">
        <v>0.010734096708305902</v>
      </c>
      <c r="Z607">
        <v>0</v>
      </c>
      <c r="AA607" t="s">
        <v>139</v>
      </c>
      <c r="AB607">
        <v>0.021468193416611804</v>
      </c>
      <c r="AC607">
        <v>0.21110390193001607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Q607" t="s">
        <v>140</v>
      </c>
      <c r="AR607" t="s">
        <v>141</v>
      </c>
      <c r="AS607">
        <v>0.17267168642746983</v>
      </c>
    </row>
    <row r="608" spans="1:45" ht="12.75">
      <c r="A608" s="2" t="str">
        <f>HYPERLINK("https://ibp.a2mac1.com/costing(costing:projects/details/8191/material/5320092)","PC-ABS")</f>
        <v>PC-ABS</v>
      </c>
      <c r="B608">
        <v>5320092</v>
      </c>
      <c r="C608">
        <v>6975669</v>
      </c>
      <c r="E608">
        <v>2.29312</v>
      </c>
      <c r="F608" t="s">
        <v>3360</v>
      </c>
      <c r="G608">
        <v>95</v>
      </c>
      <c r="H608" t="s">
        <v>3361</v>
      </c>
      <c r="I608">
        <v>5</v>
      </c>
      <c r="J608">
        <v>0.50345253019720215</v>
      </c>
      <c r="K608">
        <v>0</v>
      </c>
      <c r="M608">
        <v>0</v>
      </c>
      <c r="O608">
        <v>200000</v>
      </c>
      <c r="R608" t="s">
        <v>136</v>
      </c>
      <c r="S608">
        <v>0.00017500126315789474</v>
      </c>
      <c r="T608">
        <v>0.00035420255663157896</v>
      </c>
      <c r="U608" t="s">
        <v>137</v>
      </c>
      <c r="V608">
        <v>0.0024500176842105264</v>
      </c>
      <c r="W608">
        <v>0.072629724240842103</v>
      </c>
      <c r="X608" t="s">
        <v>138</v>
      </c>
      <c r="Y608">
        <v>0.0043577834544505263</v>
      </c>
      <c r="Z608">
        <v>0</v>
      </c>
      <c r="AA608" t="s">
        <v>139</v>
      </c>
      <c r="AB608">
        <v>0.0087155669089010526</v>
      </c>
      <c r="AC608">
        <v>0.085703074604193685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Q608" t="s">
        <v>140</v>
      </c>
      <c r="AR608" t="s">
        <v>141</v>
      </c>
      <c r="AS608">
        <v>0.070000505263157889</v>
      </c>
    </row>
    <row r="609" spans="1:45" ht="12.75">
      <c r="A609" s="2" t="str">
        <f>HYPERLINK("https://ibp.a2mac1.com/costing(costing:projects/details/8191/material/5320093)","PPH")</f>
        <v>PPH</v>
      </c>
      <c r="B609">
        <v>5320093</v>
      </c>
      <c r="C609">
        <v>6975670</v>
      </c>
      <c r="E609">
        <v>2.2282199999999999</v>
      </c>
      <c r="F609" t="s">
        <v>3132</v>
      </c>
      <c r="G609">
        <v>95</v>
      </c>
      <c r="H609" t="s">
        <v>3133</v>
      </c>
      <c r="I609">
        <v>0</v>
      </c>
      <c r="J609">
        <v>0.50345253019720215</v>
      </c>
      <c r="K609">
        <v>0</v>
      </c>
      <c r="M609">
        <v>0</v>
      </c>
      <c r="O609">
        <v>200000</v>
      </c>
      <c r="R609" t="s">
        <v>136</v>
      </c>
      <c r="S609">
        <v>0</v>
      </c>
      <c r="T609">
        <v>2.3736406736842104E-05</v>
      </c>
      <c r="U609" t="s">
        <v>137</v>
      </c>
      <c r="V609">
        <v>0.00016418463157894737</v>
      </c>
      <c r="W609">
        <v>0.0048789105119999999</v>
      </c>
      <c r="X609" t="s">
        <v>138</v>
      </c>
      <c r="Y609">
        <v>0.00029273463072</v>
      </c>
      <c r="Z609">
        <v>0</v>
      </c>
      <c r="AA609" t="s">
        <v>139</v>
      </c>
      <c r="AB609">
        <v>0.00058546926143999999</v>
      </c>
      <c r="AC609">
        <v>0.0057571144041600004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Q609" t="s">
        <v>9</v>
      </c>
      <c r="AR609" t="s">
        <v>141</v>
      </c>
      <c r="AS609">
        <v>0.0046909894736842104</v>
      </c>
    </row>
    <row r="610" spans="1:45" ht="12.75">
      <c r="A610" s="2" t="str">
        <f>HYPERLINK("https://ibp.a2mac1.com/costing(costing:projects/details/8191/material/5319794)","Standard Structural Steel sheet")</f>
        <v>Standard Structural Steel sheet</v>
      </c>
      <c r="B610">
        <v>5319794</v>
      </c>
      <c r="C610">
        <v>6975401</v>
      </c>
      <c r="E610">
        <v>0.61129999999999995</v>
      </c>
      <c r="F610" t="s">
        <v>3377</v>
      </c>
      <c r="G610">
        <v>70</v>
      </c>
      <c r="H610" t="s">
        <v>4769</v>
      </c>
      <c r="I610">
        <v>30</v>
      </c>
      <c r="J610">
        <v>0.70499453877469964</v>
      </c>
      <c r="K610">
        <v>0</v>
      </c>
      <c r="M610">
        <v>0</v>
      </c>
      <c r="O610">
        <v>200000</v>
      </c>
      <c r="R610" t="s">
        <v>136</v>
      </c>
      <c r="S610">
        <v>0.0078595714285714293</v>
      </c>
      <c r="T610">
        <v>0.0006200328571428572</v>
      </c>
      <c r="U610" t="s">
        <v>137</v>
      </c>
      <c r="V610">
        <v>0.0030565000000000002</v>
      </c>
      <c r="W610">
        <v>0.083145532857142851</v>
      </c>
      <c r="X610" t="s">
        <v>138</v>
      </c>
      <c r="Y610">
        <v>0.0049887319714285719</v>
      </c>
      <c r="Z610">
        <v>0</v>
      </c>
      <c r="AA610" t="s">
        <v>139</v>
      </c>
      <c r="AB610">
        <v>0.0099774639428571437</v>
      </c>
      <c r="AC610">
        <v>0.098111728771428569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Q610" t="s">
        <v>140</v>
      </c>
      <c r="AR610" t="s">
        <v>141</v>
      </c>
      <c r="AS610">
        <v>0.087328571428571422</v>
      </c>
    </row>
    <row r="611" spans="1:45" ht="12.75">
      <c r="A611" s="2" t="str">
        <f>HYPERLINK("https://ibp.a2mac1.com/costing(costing:projects/details/8191/material/5320094)","Material")</f>
        <v>Material</v>
      </c>
      <c r="B611">
        <v>5320094</v>
      </c>
      <c r="C611">
        <v>6975671</v>
      </c>
      <c r="E611">
        <v>6.2930900000000003</v>
      </c>
      <c r="F611" t="s">
        <v>296</v>
      </c>
      <c r="G611">
        <v>100</v>
      </c>
      <c r="H611" t="s">
        <v>296</v>
      </c>
      <c r="I611">
        <v>0</v>
      </c>
      <c r="J611">
        <v>0</v>
      </c>
      <c r="K611">
        <v>0</v>
      </c>
      <c r="L611">
        <v>0</v>
      </c>
      <c r="M611">
        <v>0</v>
      </c>
      <c r="O611">
        <v>200000</v>
      </c>
      <c r="R611" t="s">
        <v>136</v>
      </c>
      <c r="S611">
        <v>0</v>
      </c>
      <c r="T611">
        <v>0</v>
      </c>
      <c r="U611" t="s">
        <v>90</v>
      </c>
      <c r="V611">
        <v>0</v>
      </c>
      <c r="W611">
        <v>6.2930900000000003</v>
      </c>
      <c r="X611" t="s">
        <v>90</v>
      </c>
      <c r="Y611">
        <v>0</v>
      </c>
      <c r="Z611">
        <v>0</v>
      </c>
      <c r="AA611" t="s">
        <v>90</v>
      </c>
      <c r="AB611">
        <v>0</v>
      </c>
      <c r="AC611">
        <v>6.2930900000000003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P611" t="s">
        <v>4319</v>
      </c>
      <c r="AQ611" t="s">
        <v>9</v>
      </c>
      <c r="AR611" t="s">
        <v>141</v>
      </c>
      <c r="AS611">
        <v>6.2930900000000003</v>
      </c>
    </row>
    <row r="612" spans="1:45" ht="12.75">
      <c r="A612" s="2" t="str">
        <f>HYPERLINK("https://ibp.a2mac1.com/costing(costing:projects/details/8191/material/5319799)","PA6")</f>
        <v>PA6</v>
      </c>
      <c r="B612">
        <v>5319799</v>
      </c>
      <c r="C612">
        <v>6975405</v>
      </c>
      <c r="E612">
        <v>1.72394</v>
      </c>
      <c r="F612" t="s">
        <v>5176</v>
      </c>
      <c r="G612">
        <v>95</v>
      </c>
      <c r="H612" t="s">
        <v>5177</v>
      </c>
      <c r="I612">
        <v>5</v>
      </c>
      <c r="J612">
        <v>0.50345253019720215</v>
      </c>
      <c r="K612">
        <v>0</v>
      </c>
      <c r="M612">
        <v>0</v>
      </c>
      <c r="O612">
        <v>200000</v>
      </c>
      <c r="R612" t="s">
        <v>136</v>
      </c>
      <c r="S612">
        <v>0.00090280015789473683</v>
      </c>
      <c r="T612">
        <v>0.0018272675195789474</v>
      </c>
      <c r="U612" t="s">
        <v>137</v>
      </c>
      <c r="V612">
        <v>0.012639202210526316</v>
      </c>
      <c r="W612">
        <v>0.37468373273010525</v>
      </c>
      <c r="X612" t="s">
        <v>138</v>
      </c>
      <c r="Y612">
        <v>0.022481023963806315</v>
      </c>
      <c r="Z612">
        <v>0</v>
      </c>
      <c r="AA612" t="s">
        <v>139</v>
      </c>
      <c r="AB612">
        <v>0.044962047927612631</v>
      </c>
      <c r="AC612">
        <v>0.44212680462152421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Q612" t="s">
        <v>140</v>
      </c>
      <c r="AR612" t="s">
        <v>141</v>
      </c>
      <c r="AS612">
        <v>0.36112006315789474</v>
      </c>
    </row>
    <row r="613" spans="1:45" ht="12.75">
      <c r="A613" s="2" t="str">
        <f>HYPERLINK("https://ibp.a2mac1.com/costing(costing:projects/details/8191/material/5319800)","PP")</f>
        <v>PP</v>
      </c>
      <c r="B613">
        <v>5319800</v>
      </c>
      <c r="C613">
        <v>6975405</v>
      </c>
      <c r="E613">
        <v>1.0113799999999999</v>
      </c>
      <c r="F613" t="s">
        <v>5176</v>
      </c>
      <c r="G613">
        <v>95</v>
      </c>
      <c r="H613" t="s">
        <v>5177</v>
      </c>
      <c r="I613">
        <v>5</v>
      </c>
      <c r="J613">
        <v>0.50345253019720215</v>
      </c>
      <c r="K613">
        <v>0</v>
      </c>
      <c r="M613">
        <v>0</v>
      </c>
      <c r="O613">
        <v>200000</v>
      </c>
      <c r="R613" t="s">
        <v>136</v>
      </c>
      <c r="S613">
        <v>0.00052964373684210523</v>
      </c>
      <c r="T613">
        <v>0.001071998923368421</v>
      </c>
      <c r="U613" t="s">
        <v>137</v>
      </c>
      <c r="V613">
        <v>0.0074150123157894739</v>
      </c>
      <c r="W613">
        <v>0.21981486223915789</v>
      </c>
      <c r="X613" t="s">
        <v>138</v>
      </c>
      <c r="Y613">
        <v>0.013188891734349473</v>
      </c>
      <c r="Z613">
        <v>0</v>
      </c>
      <c r="AA613" t="s">
        <v>139</v>
      </c>
      <c r="AB613">
        <v>0.026377783468698946</v>
      </c>
      <c r="AC613">
        <v>0.25938153744220632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Q613" t="s">
        <v>140</v>
      </c>
      <c r="AR613" t="s">
        <v>141</v>
      </c>
      <c r="AS613">
        <v>0.21185749473684209</v>
      </c>
    </row>
    <row r="614" spans="1:45" ht="12.75">
      <c r="A614" s="2" t="str">
        <f>HYPERLINK("https://ibp.a2mac1.com/costing(costing:projects/details/8191/material/5319801)","Glass (default, float glass)")</f>
        <v>Glass (default, float glass)</v>
      </c>
      <c r="B614">
        <v>5319801</v>
      </c>
      <c r="C614">
        <v>6975405</v>
      </c>
      <c r="E614">
        <v>0.76</v>
      </c>
      <c r="F614" t="s">
        <v>5176</v>
      </c>
      <c r="G614">
        <v>95</v>
      </c>
      <c r="H614" t="s">
        <v>5177</v>
      </c>
      <c r="I614">
        <v>0</v>
      </c>
      <c r="J614">
        <v>0.50345253019720215</v>
      </c>
      <c r="K614">
        <v>0</v>
      </c>
      <c r="M614">
        <v>0</v>
      </c>
      <c r="O614">
        <v>200000</v>
      </c>
      <c r="R614" t="s">
        <v>136</v>
      </c>
      <c r="S614">
        <v>0</v>
      </c>
      <c r="T614">
        <v>0.00080555199999999996</v>
      </c>
      <c r="U614" t="s">
        <v>137</v>
      </c>
      <c r="V614">
        <v>0.0055719999999999997</v>
      </c>
      <c r="W614">
        <v>0.16557755199999999</v>
      </c>
      <c r="X614" t="s">
        <v>138</v>
      </c>
      <c r="Y614">
        <v>0.0099346531199999994</v>
      </c>
      <c r="Z614">
        <v>0</v>
      </c>
      <c r="AA614" t="s">
        <v>139</v>
      </c>
      <c r="AB614">
        <v>0.019869306239999999</v>
      </c>
      <c r="AC614">
        <v>0.19538151136000001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Q614" t="s">
        <v>140</v>
      </c>
      <c r="AR614" t="s">
        <v>141</v>
      </c>
      <c r="AS614">
        <v>0.15920000000000001</v>
      </c>
    </row>
    <row r="615" spans="1:45" ht="12.75">
      <c r="A615" s="2" t="str">
        <f>HYPERLINK("https://ibp.a2mac1.com/costing(costing:projects/details/8191/material/5320095)","EPDM")</f>
        <v>EPDM</v>
      </c>
      <c r="B615">
        <v>5320095</v>
      </c>
      <c r="C615">
        <v>6975672</v>
      </c>
      <c r="E615">
        <v>2.78701</v>
      </c>
      <c r="F615" t="s">
        <v>5190</v>
      </c>
      <c r="G615">
        <v>95</v>
      </c>
      <c r="H615" t="s">
        <v>5191</v>
      </c>
      <c r="I615">
        <v>5</v>
      </c>
      <c r="J615">
        <v>0.20557651238448796</v>
      </c>
      <c r="K615">
        <v>0</v>
      </c>
      <c r="L615">
        <v>0</v>
      </c>
      <c r="M615">
        <v>0</v>
      </c>
      <c r="O615">
        <v>200000</v>
      </c>
      <c r="R615" t="s">
        <v>136</v>
      </c>
      <c r="S615">
        <v>0.0077860258315789474</v>
      </c>
      <c r="T615">
        <v>0.0064156852852210525</v>
      </c>
      <c r="U615" t="s">
        <v>137</v>
      </c>
      <c r="V615">
        <v>0.10900436164210527</v>
      </c>
      <c r="W615">
        <v>3.2220443537273264</v>
      </c>
      <c r="X615" t="s">
        <v>138</v>
      </c>
      <c r="Y615">
        <v>0.19332266122363959</v>
      </c>
      <c r="Z615">
        <v>0</v>
      </c>
      <c r="AA615" t="s">
        <v>139</v>
      </c>
      <c r="AB615">
        <v>0.38664532244727917</v>
      </c>
      <c r="AC615">
        <v>3.8020123373982448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P615" t="s">
        <v>4818</v>
      </c>
      <c r="AQ615" t="s">
        <v>140</v>
      </c>
      <c r="AR615" t="s">
        <v>141</v>
      </c>
      <c r="AS615">
        <v>3.1144103326315791</v>
      </c>
    </row>
    <row r="616" spans="1:45" ht="12.75">
      <c r="A616" s="2" t="str">
        <f>HYPERLINK("https://ibp.a2mac1.com/costing(costing:projects/details/8191/material/5320096)","Standard Structural Steel sheet")</f>
        <v>Standard Structural Steel sheet</v>
      </c>
      <c r="B616">
        <v>5320096</v>
      </c>
      <c r="C616">
        <v>6975672</v>
      </c>
      <c r="E616">
        <v>0.61129999999999995</v>
      </c>
      <c r="F616" t="s">
        <v>5193</v>
      </c>
      <c r="G616">
        <v>95</v>
      </c>
      <c r="H616" t="s">
        <v>5194</v>
      </c>
      <c r="I616">
        <v>30</v>
      </c>
      <c r="J616">
        <v>0.20557651238448796</v>
      </c>
      <c r="K616">
        <v>0</v>
      </c>
      <c r="L616">
        <v>0</v>
      </c>
      <c r="M616">
        <v>0</v>
      </c>
      <c r="O616">
        <v>200000</v>
      </c>
      <c r="R616" t="s">
        <v>136</v>
      </c>
      <c r="S616">
        <v>0.0025616687368421051</v>
      </c>
      <c r="T616">
        <v>0.00035180250652631581</v>
      </c>
      <c r="U616" t="s">
        <v>137</v>
      </c>
      <c r="V616">
        <v>0.0059772270526315787</v>
      </c>
      <c r="W616">
        <v>0.17454527661178948</v>
      </c>
      <c r="X616" t="s">
        <v>138</v>
      </c>
      <c r="Y616">
        <v>0.010472716596707369</v>
      </c>
      <c r="Z616">
        <v>0</v>
      </c>
      <c r="AA616" t="s">
        <v>139</v>
      </c>
      <c r="AB616">
        <v>0.020945433193414738</v>
      </c>
      <c r="AC616">
        <v>0.20596342640191159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Q616" t="s">
        <v>140</v>
      </c>
      <c r="AR616" t="s">
        <v>141</v>
      </c>
      <c r="AS616">
        <v>0.17077791578947368</v>
      </c>
    </row>
    <row r="617" spans="1:45" ht="12.75">
      <c r="A617" s="2" t="str">
        <f>HYPERLINK("https://ibp.a2mac1.com/costing(costing:projects/details/8191/material/5320097)","EPDM")</f>
        <v>EPDM</v>
      </c>
      <c r="B617">
        <v>5320097</v>
      </c>
      <c r="C617">
        <v>6975674</v>
      </c>
      <c r="E617">
        <v>2.78701</v>
      </c>
      <c r="F617" t="s">
        <v>5198</v>
      </c>
      <c r="G617">
        <v>95</v>
      </c>
      <c r="H617" t="s">
        <v>5199</v>
      </c>
      <c r="I617">
        <v>5</v>
      </c>
      <c r="J617">
        <v>0.20557651238448796</v>
      </c>
      <c r="K617">
        <v>0</v>
      </c>
      <c r="L617">
        <v>0</v>
      </c>
      <c r="M617">
        <v>0</v>
      </c>
      <c r="O617">
        <v>200000</v>
      </c>
      <c r="R617" t="s">
        <v>136</v>
      </c>
      <c r="S617">
        <v>0.0022648123368421052</v>
      </c>
      <c r="T617">
        <v>0.0018662053655578948</v>
      </c>
      <c r="U617" t="s">
        <v>137</v>
      </c>
      <c r="V617">
        <v>0.031707372715789474</v>
      </c>
      <c r="W617">
        <v>0.93723370048134735</v>
      </c>
      <c r="X617" t="s">
        <v>138</v>
      </c>
      <c r="Y617">
        <v>0.056234022028880844</v>
      </c>
      <c r="Z617">
        <v>0</v>
      </c>
      <c r="AA617" t="s">
        <v>139</v>
      </c>
      <c r="AB617">
        <v>0.11246804405776169</v>
      </c>
      <c r="AC617">
        <v>1.1059357665679899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P617" t="s">
        <v>4818</v>
      </c>
      <c r="AQ617" t="s">
        <v>140</v>
      </c>
      <c r="AR617" t="s">
        <v>141</v>
      </c>
      <c r="AS617">
        <v>0.9059249347368421</v>
      </c>
    </row>
    <row r="618" spans="1:45" ht="12.75">
      <c r="A618" s="2" t="str">
        <f>HYPERLINK("https://ibp.a2mac1.com/costing(costing:projects/details/8191/material/5320098)","Standard Structural Steel sheet")</f>
        <v>Standard Structural Steel sheet</v>
      </c>
      <c r="B618">
        <v>5320098</v>
      </c>
      <c r="C618">
        <v>6975674</v>
      </c>
      <c r="E618">
        <v>0.61129999999999995</v>
      </c>
      <c r="F618" t="s">
        <v>5201</v>
      </c>
      <c r="G618">
        <v>95</v>
      </c>
      <c r="H618" t="s">
        <v>5202</v>
      </c>
      <c r="I618">
        <v>30</v>
      </c>
      <c r="J618">
        <v>0.20557651238448796</v>
      </c>
      <c r="K618">
        <v>0</v>
      </c>
      <c r="L618">
        <v>0</v>
      </c>
      <c r="M618">
        <v>0</v>
      </c>
      <c r="O618">
        <v>200000</v>
      </c>
      <c r="R618" t="s">
        <v>136</v>
      </c>
      <c r="S618">
        <v>0.00074514252631578952</v>
      </c>
      <c r="T618">
        <v>0.00010233290694736843</v>
      </c>
      <c r="U618" t="s">
        <v>137</v>
      </c>
      <c r="V618">
        <v>0.001738665894736842</v>
      </c>
      <c r="W618">
        <v>0.050772024696421052</v>
      </c>
      <c r="X618" t="s">
        <v>138</v>
      </c>
      <c r="Y618">
        <v>0.003046321481785263</v>
      </c>
      <c r="Z618">
        <v>0</v>
      </c>
      <c r="AA618" t="s">
        <v>139</v>
      </c>
      <c r="AB618">
        <v>0.006092642963570526</v>
      </c>
      <c r="AC618">
        <v>0.059910989141776845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Q618" t="s">
        <v>140</v>
      </c>
      <c r="AR618" t="s">
        <v>141</v>
      </c>
      <c r="AS618">
        <v>0.04967616842105263</v>
      </c>
    </row>
    <row r="619" spans="1:45" ht="12.75">
      <c r="A619" s="2" t="str">
        <f>HYPERLINK("https://ibp.a2mac1.com/costing(costing:projects/details/8191/material/5319802)","EPDM")</f>
        <v>EPDM</v>
      </c>
      <c r="B619">
        <v>5319802</v>
      </c>
      <c r="C619">
        <v>6975406</v>
      </c>
      <c r="E619">
        <v>2.78701</v>
      </c>
      <c r="F619" t="s">
        <v>2616</v>
      </c>
      <c r="G619">
        <v>95</v>
      </c>
      <c r="H619" t="s">
        <v>2617</v>
      </c>
      <c r="I619">
        <v>5</v>
      </c>
      <c r="J619">
        <v>0.10389195236953569</v>
      </c>
      <c r="K619">
        <v>0</v>
      </c>
      <c r="L619">
        <v>0</v>
      </c>
      <c r="M619">
        <v>0</v>
      </c>
      <c r="O619">
        <v>200000</v>
      </c>
      <c r="R619" t="s">
        <v>136</v>
      </c>
      <c r="S619">
        <v>0.0036671184210526316</v>
      </c>
      <c r="T619">
        <v>0.0015255212631578947</v>
      </c>
      <c r="U619" t="s">
        <v>137</v>
      </c>
      <c r="V619">
        <v>0.051339657894736844</v>
      </c>
      <c r="W619">
        <v>1.5160454291578946</v>
      </c>
      <c r="X619" t="s">
        <v>138</v>
      </c>
      <c r="Y619">
        <v>0.090962725749473686</v>
      </c>
      <c r="Z619">
        <v>0</v>
      </c>
      <c r="AA619" t="s">
        <v>139</v>
      </c>
      <c r="AB619">
        <v>0.18192545149894737</v>
      </c>
      <c r="AC619">
        <v>1.7889336064063157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P619" t="s">
        <v>4818</v>
      </c>
      <c r="AQ619" t="s">
        <v>140</v>
      </c>
      <c r="AR619" t="s">
        <v>141</v>
      </c>
      <c r="AS619">
        <v>1.4668473684210526</v>
      </c>
    </row>
    <row r="620" spans="1:45" ht="12.75">
      <c r="A620" s="2" t="str">
        <f>HYPERLINK("https://ibp.a2mac1.com/costing(costing:projects/details/8191/material/5319803)","Aluminum for extrusion (default, e.g. EN-AW6016)")</f>
        <v>Aluminum for extrusion (default, e.g. EN-AW6016)</v>
      </c>
      <c r="B620">
        <v>5319803</v>
      </c>
      <c r="C620">
        <v>6975406</v>
      </c>
      <c r="E620">
        <v>2.3603000000000001</v>
      </c>
      <c r="F620" t="s">
        <v>3070</v>
      </c>
      <c r="G620">
        <v>100</v>
      </c>
      <c r="H620" t="s">
        <v>5208</v>
      </c>
      <c r="I620">
        <v>30</v>
      </c>
      <c r="J620">
        <v>0.10389195236953569</v>
      </c>
      <c r="K620">
        <v>0</v>
      </c>
      <c r="L620">
        <v>0</v>
      </c>
      <c r="M620">
        <v>0</v>
      </c>
      <c r="O620">
        <v>200000</v>
      </c>
      <c r="R620" t="s">
        <v>136</v>
      </c>
      <c r="S620">
        <v>0</v>
      </c>
      <c r="T620">
        <v>0.000316657848</v>
      </c>
      <c r="U620" t="s">
        <v>137</v>
      </c>
      <c r="V620">
        <v>0.010656754500000001</v>
      </c>
      <c r="W620">
        <v>0.31545211234800002</v>
      </c>
      <c r="X620" t="s">
        <v>138</v>
      </c>
      <c r="Y620">
        <v>0.018927126740879999</v>
      </c>
      <c r="Z620">
        <v>0</v>
      </c>
      <c r="AA620" t="s">
        <v>139</v>
      </c>
      <c r="AB620">
        <v>0.037854253481759997</v>
      </c>
      <c r="AC620">
        <v>0.37223349257063998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Q620" t="s">
        <v>140</v>
      </c>
      <c r="AR620" t="s">
        <v>141</v>
      </c>
      <c r="AS620">
        <v>0.30447869999999999</v>
      </c>
    </row>
    <row r="621" spans="1:45" ht="12.75">
      <c r="A621" s="2" t="str">
        <f>HYPERLINK("https://ibp.a2mac1.com/costing(costing:projects/details/8191/material/5319804)","PP-EPDM")</f>
        <v>PP-EPDM</v>
      </c>
      <c r="B621">
        <v>5319804</v>
      </c>
      <c r="C621">
        <v>6975407</v>
      </c>
      <c r="E621">
        <v>1.7894600000000001</v>
      </c>
      <c r="F621" t="s">
        <v>4836</v>
      </c>
      <c r="G621">
        <v>95</v>
      </c>
      <c r="H621" t="s">
        <v>4837</v>
      </c>
      <c r="I621">
        <v>5</v>
      </c>
      <c r="J621">
        <v>0.10389195236953569</v>
      </c>
      <c r="K621">
        <v>0</v>
      </c>
      <c r="L621">
        <v>0</v>
      </c>
      <c r="M621">
        <v>0</v>
      </c>
      <c r="O621">
        <v>200000</v>
      </c>
      <c r="R621" t="s">
        <v>136</v>
      </c>
      <c r="S621">
        <v>0.00082409342105263159</v>
      </c>
      <c r="T621">
        <v>0.00034282286315789472</v>
      </c>
      <c r="U621" t="s">
        <v>137</v>
      </c>
      <c r="V621">
        <v>0.011537307894736842</v>
      </c>
      <c r="W621">
        <v>0.34069340575789475</v>
      </c>
      <c r="X621" t="s">
        <v>138</v>
      </c>
      <c r="Y621">
        <v>0.020441604345473683</v>
      </c>
      <c r="Z621">
        <v>0</v>
      </c>
      <c r="AA621" t="s">
        <v>139</v>
      </c>
      <c r="AB621">
        <v>0.040883208690947366</v>
      </c>
      <c r="AC621">
        <v>0.40201821879431576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Q621" t="s">
        <v>140</v>
      </c>
      <c r="AR621" t="s">
        <v>141</v>
      </c>
      <c r="AS621">
        <v>0.32963736842105262</v>
      </c>
    </row>
    <row r="622" spans="1:45" ht="12.75">
      <c r="A622" s="2" t="str">
        <f>HYPERLINK("https://ibp.a2mac1.com/costing(costing:projects/details/8191/material/5319805)","EPDM")</f>
        <v>EPDM</v>
      </c>
      <c r="B622">
        <v>5319805</v>
      </c>
      <c r="C622">
        <v>6975408</v>
      </c>
      <c r="E622">
        <v>2.78701</v>
      </c>
      <c r="F622" t="s">
        <v>3274</v>
      </c>
      <c r="G622">
        <v>95</v>
      </c>
      <c r="H622" t="s">
        <v>4843</v>
      </c>
      <c r="I622">
        <v>5</v>
      </c>
      <c r="J622">
        <v>0.10389195236953569</v>
      </c>
      <c r="K622">
        <v>0</v>
      </c>
      <c r="L622">
        <v>0</v>
      </c>
      <c r="M622">
        <v>0</v>
      </c>
      <c r="O622">
        <v>200000</v>
      </c>
      <c r="R622" t="s">
        <v>136</v>
      </c>
      <c r="S622">
        <v>0.0014668473684210526</v>
      </c>
      <c r="T622">
        <v>0.00061020850526315791</v>
      </c>
      <c r="U622" t="s">
        <v>137</v>
      </c>
      <c r="V622">
        <v>0.020535863157894737</v>
      </c>
      <c r="W622">
        <v>0.60641817166315792</v>
      </c>
      <c r="X622" t="s">
        <v>138</v>
      </c>
      <c r="Y622">
        <v>0.036385090299789473</v>
      </c>
      <c r="Z622">
        <v>0</v>
      </c>
      <c r="AA622" t="s">
        <v>139</v>
      </c>
      <c r="AB622">
        <v>0.072770180599578946</v>
      </c>
      <c r="AC622">
        <v>0.71557344256252631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P622" t="s">
        <v>4818</v>
      </c>
      <c r="AQ622" t="s">
        <v>140</v>
      </c>
      <c r="AR622" t="s">
        <v>141</v>
      </c>
      <c r="AS622">
        <v>0.58673894736842103</v>
      </c>
    </row>
    <row r="623" spans="1:45" ht="12.75">
      <c r="A623" s="2" t="str">
        <f>HYPERLINK("https://ibp.a2mac1.com/costing(costing:projects/details/8191/material/5319806)","Aluminum for extrusion (default, e.g. EN-AW6016)")</f>
        <v>Aluminum for extrusion (default, e.g. EN-AW6016)</v>
      </c>
      <c r="B623">
        <v>5319806</v>
      </c>
      <c r="C623">
        <v>6975408</v>
      </c>
      <c r="E623">
        <v>2.3603000000000001</v>
      </c>
      <c r="F623" t="s">
        <v>1783</v>
      </c>
      <c r="G623">
        <v>100</v>
      </c>
      <c r="H623" t="s">
        <v>4845</v>
      </c>
      <c r="I623">
        <v>30</v>
      </c>
      <c r="J623">
        <v>0.10389195236953569</v>
      </c>
      <c r="K623">
        <v>0</v>
      </c>
      <c r="L623">
        <v>0</v>
      </c>
      <c r="M623">
        <v>0</v>
      </c>
      <c r="O623">
        <v>200000</v>
      </c>
      <c r="R623" t="s">
        <v>136</v>
      </c>
      <c r="S623">
        <v>0</v>
      </c>
      <c r="T623">
        <v>0.00017919397599999999</v>
      </c>
      <c r="U623" t="s">
        <v>137</v>
      </c>
      <c r="V623">
        <v>0.0060305665</v>
      </c>
      <c r="W623">
        <v>0.17851166047600001</v>
      </c>
      <c r="X623" t="s">
        <v>138</v>
      </c>
      <c r="Y623">
        <v>0.01071069962856</v>
      </c>
      <c r="Z623">
        <v>0</v>
      </c>
      <c r="AA623" t="s">
        <v>139</v>
      </c>
      <c r="AB623">
        <v>0.02142139925712</v>
      </c>
      <c r="AC623">
        <v>0.21064375936168001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Q623" t="s">
        <v>140</v>
      </c>
      <c r="AR623" t="s">
        <v>141</v>
      </c>
      <c r="AS623">
        <v>0.17230190000000001</v>
      </c>
    </row>
    <row r="624" spans="1:45" ht="12.75">
      <c r="A624" s="2" t="str">
        <f>HYPERLINK("https://ibp.a2mac1.com/costing(costing:projects/details/8191/material/5320256)","Standard Structural Steel sheet")</f>
        <v>Standard Structural Steel sheet</v>
      </c>
      <c r="B624">
        <v>5320256</v>
      </c>
      <c r="C624">
        <v>6975812</v>
      </c>
      <c r="E624">
        <v>0.61129999999999995</v>
      </c>
      <c r="F624" t="s">
        <v>5221</v>
      </c>
      <c r="G624">
        <v>80</v>
      </c>
      <c r="H624" t="s">
        <v>5222</v>
      </c>
      <c r="I624">
        <v>30</v>
      </c>
      <c r="J624">
        <v>0.10389195236953569</v>
      </c>
      <c r="K624">
        <v>0</v>
      </c>
      <c r="L624">
        <v>0</v>
      </c>
      <c r="M624">
        <v>0</v>
      </c>
      <c r="O624">
        <v>200000</v>
      </c>
      <c r="R624" t="s">
        <v>136</v>
      </c>
      <c r="S624">
        <v>0.0090319574999999999</v>
      </c>
      <c r="T624">
        <v>0.00015655393</v>
      </c>
      <c r="U624" t="s">
        <v>137</v>
      </c>
      <c r="V624">
        <v>0.0052686418749999997</v>
      </c>
      <c r="W624">
        <v>0.14692586330499999</v>
      </c>
      <c r="X624" t="s">
        <v>90</v>
      </c>
      <c r="Y624">
        <v>0</v>
      </c>
      <c r="Z624">
        <v>0</v>
      </c>
      <c r="AA624" t="s">
        <v>90</v>
      </c>
      <c r="AB624">
        <v>0</v>
      </c>
      <c r="AC624">
        <v>0.14692586330499999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Q624" t="s">
        <v>140</v>
      </c>
      <c r="AR624" t="s">
        <v>141</v>
      </c>
      <c r="AS624">
        <v>0.150532625</v>
      </c>
    </row>
    <row r="625" spans="1:45" ht="12.75">
      <c r="A625" s="2" t="str">
        <f>HYPERLINK("https://ibp.a2mac1.com/costing(costing:projects/details/8191/material/5320257)","Standard Structural Steel sheet")</f>
        <v>Standard Structural Steel sheet</v>
      </c>
      <c r="B625">
        <v>5320257</v>
      </c>
      <c r="C625">
        <v>6975813</v>
      </c>
      <c r="E625">
        <v>0.61129999999999995</v>
      </c>
      <c r="F625" t="s">
        <v>5227</v>
      </c>
      <c r="G625">
        <v>80</v>
      </c>
      <c r="H625" t="s">
        <v>2762</v>
      </c>
      <c r="I625">
        <v>30</v>
      </c>
      <c r="J625">
        <v>0.10389195236953569</v>
      </c>
      <c r="K625">
        <v>0</v>
      </c>
      <c r="L625">
        <v>0</v>
      </c>
      <c r="M625">
        <v>0</v>
      </c>
      <c r="O625">
        <v>200000</v>
      </c>
      <c r="R625" t="s">
        <v>136</v>
      </c>
      <c r="S625">
        <v>0.0055017</v>
      </c>
      <c r="T625">
        <v>9.5362800000000001E-05</v>
      </c>
      <c r="U625" t="s">
        <v>137</v>
      </c>
      <c r="V625">
        <v>0.0032093249999999999</v>
      </c>
      <c r="W625">
        <v>0.089497987799999998</v>
      </c>
      <c r="X625" t="s">
        <v>90</v>
      </c>
      <c r="Y625">
        <v>0</v>
      </c>
      <c r="Z625">
        <v>0</v>
      </c>
      <c r="AA625" t="s">
        <v>90</v>
      </c>
      <c r="AB625">
        <v>0</v>
      </c>
      <c r="AC625">
        <v>0.089497987799999998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Q625" t="s">
        <v>140</v>
      </c>
      <c r="AR625" t="s">
        <v>141</v>
      </c>
      <c r="AS625">
        <v>0.091694999999999999</v>
      </c>
    </row>
    <row r="626" spans="1:45" ht="12.75">
      <c r="A626" s="2" t="str">
        <f>HYPERLINK("https://ibp.a2mac1.com/costing(costing:projects/details/8191/material/5320258)","Standard Structural Steel sheet")</f>
        <v>Standard Structural Steel sheet</v>
      </c>
      <c r="B626">
        <v>5320258</v>
      </c>
      <c r="C626">
        <v>6975814</v>
      </c>
      <c r="E626">
        <v>0.61129999999999995</v>
      </c>
      <c r="F626" t="s">
        <v>3304</v>
      </c>
      <c r="G626">
        <v>80</v>
      </c>
      <c r="H626" t="s">
        <v>4860</v>
      </c>
      <c r="I626">
        <v>30</v>
      </c>
      <c r="J626">
        <v>0.10389195236953569</v>
      </c>
      <c r="K626">
        <v>0</v>
      </c>
      <c r="L626">
        <v>0</v>
      </c>
      <c r="M626">
        <v>0</v>
      </c>
      <c r="O626">
        <v>200000</v>
      </c>
      <c r="R626" t="s">
        <v>136</v>
      </c>
      <c r="S626">
        <v>0.0096279750000000004</v>
      </c>
      <c r="T626">
        <v>0.00016688489999999999</v>
      </c>
      <c r="U626" t="s">
        <v>137</v>
      </c>
      <c r="V626">
        <v>0.00561631875</v>
      </c>
      <c r="W626">
        <v>0.15662147865000001</v>
      </c>
      <c r="X626" t="s">
        <v>90</v>
      </c>
      <c r="Y626">
        <v>0</v>
      </c>
      <c r="Z626">
        <v>0</v>
      </c>
      <c r="AA626" t="s">
        <v>90</v>
      </c>
      <c r="AB626">
        <v>0</v>
      </c>
      <c r="AC626">
        <v>0.15662147865000001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Q626" t="s">
        <v>140</v>
      </c>
      <c r="AR626" t="s">
        <v>141</v>
      </c>
      <c r="AS626">
        <v>0.16046625</v>
      </c>
    </row>
    <row r="627" spans="1:45" ht="12.75">
      <c r="A627" s="2" t="str">
        <f>HYPERLINK("https://ibp.a2mac1.com/costing(costing:projects/details/8191/material/5320259)","Standard Structural Steel sheet")</f>
        <v>Standard Structural Steel sheet</v>
      </c>
      <c r="B627">
        <v>5320259</v>
      </c>
      <c r="C627">
        <v>6975815</v>
      </c>
      <c r="E627">
        <v>0.61129999999999995</v>
      </c>
      <c r="F627" t="s">
        <v>3377</v>
      </c>
      <c r="G627">
        <v>80</v>
      </c>
      <c r="H627" t="s">
        <v>5239</v>
      </c>
      <c r="I627">
        <v>30</v>
      </c>
      <c r="J627">
        <v>0.10389195236953569</v>
      </c>
      <c r="K627">
        <v>0</v>
      </c>
      <c r="L627">
        <v>0</v>
      </c>
      <c r="M627">
        <v>0</v>
      </c>
      <c r="O627">
        <v>200000</v>
      </c>
      <c r="R627" t="s">
        <v>136</v>
      </c>
      <c r="S627">
        <v>0.0045847500000000003</v>
      </c>
      <c r="T627">
        <v>7.9468999999999994E-05</v>
      </c>
      <c r="U627" t="s">
        <v>137</v>
      </c>
      <c r="V627">
        <v>0.0026744375000000002</v>
      </c>
      <c r="W627">
        <v>0.074581656499999996</v>
      </c>
      <c r="X627" t="s">
        <v>90</v>
      </c>
      <c r="Y627">
        <v>0</v>
      </c>
      <c r="Z627">
        <v>0</v>
      </c>
      <c r="AA627" t="s">
        <v>90</v>
      </c>
      <c r="AB627">
        <v>0</v>
      </c>
      <c r="AC627">
        <v>0.074581656499999996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Q627" t="s">
        <v>140</v>
      </c>
      <c r="AR627" t="s">
        <v>141</v>
      </c>
      <c r="AS627">
        <v>0.076412499999999994</v>
      </c>
    </row>
    <row r="628" spans="1:45" ht="12.75">
      <c r="A628" s="2" t="str">
        <f>HYPERLINK("https://ibp.a2mac1.com/costing(costing:projects/details/8191/material/5319811)","PP-TD20")</f>
        <v>PP-TD20</v>
      </c>
      <c r="B628">
        <v>5319811</v>
      </c>
      <c r="C628">
        <v>6975410</v>
      </c>
      <c r="E628">
        <v>1.1148100000000001</v>
      </c>
      <c r="F628" t="s">
        <v>5264</v>
      </c>
      <c r="G628">
        <v>98.039199999999994</v>
      </c>
      <c r="H628" t="s">
        <v>5265</v>
      </c>
      <c r="I628">
        <v>5</v>
      </c>
      <c r="J628">
        <v>0.20557651238448796</v>
      </c>
      <c r="K628">
        <v>0</v>
      </c>
      <c r="M628">
        <v>0</v>
      </c>
      <c r="O628">
        <v>200000</v>
      </c>
      <c r="R628" t="s">
        <v>136</v>
      </c>
      <c r="S628">
        <v>0.00050724268906723023</v>
      </c>
      <c r="T628">
        <v>0.0010658098117895698</v>
      </c>
      <c r="U628" t="s">
        <v>137</v>
      </c>
      <c r="V628">
        <v>0.018108419132347061</v>
      </c>
      <c r="W628">
        <v>0.53605039003641397</v>
      </c>
      <c r="X628" t="s">
        <v>138</v>
      </c>
      <c r="Y628">
        <v>0.03216302340218484</v>
      </c>
      <c r="Z628">
        <v>0</v>
      </c>
      <c r="AA628" t="s">
        <v>139</v>
      </c>
      <c r="AB628">
        <v>0.06432604680436968</v>
      </c>
      <c r="AC628">
        <v>0.63253946024296848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Q628" t="s">
        <v>140</v>
      </c>
      <c r="AR628" t="s">
        <v>141</v>
      </c>
      <c r="AS628">
        <v>0.51738340378134462</v>
      </c>
    </row>
    <row r="629" spans="1:45" ht="12.75">
      <c r="A629" s="2" t="str">
        <f>HYPERLINK("https://ibp.a2mac1.com/costing(costing:projects/details/8191/material/5319812)","PMMA")</f>
        <v>PMMA</v>
      </c>
      <c r="B629">
        <v>5319812</v>
      </c>
      <c r="C629">
        <v>6975412</v>
      </c>
      <c r="E629">
        <v>2.10</v>
      </c>
      <c r="F629" t="s">
        <v>5271</v>
      </c>
      <c r="G629">
        <v>98.039199999999994</v>
      </c>
      <c r="H629" t="s">
        <v>5272</v>
      </c>
      <c r="I629">
        <v>5</v>
      </c>
      <c r="J629">
        <v>0.20557651238448796</v>
      </c>
      <c r="K629">
        <v>0</v>
      </c>
      <c r="M629">
        <v>0</v>
      </c>
      <c r="O629">
        <v>200000</v>
      </c>
      <c r="R629" t="s">
        <v>136</v>
      </c>
      <c r="S629">
        <v>0.00040320329011252643</v>
      </c>
      <c r="T629">
        <v>0.00084720397555263611</v>
      </c>
      <c r="U629" t="s">
        <v>137</v>
      </c>
      <c r="V629">
        <v>0.014394242303078768</v>
      </c>
      <c r="W629">
        <v>0.42610230879076938</v>
      </c>
      <c r="X629" t="s">
        <v>138</v>
      </c>
      <c r="Y629">
        <v>0.025566138527446165</v>
      </c>
      <c r="Z629">
        <v>0</v>
      </c>
      <c r="AA629" t="s">
        <v>139</v>
      </c>
      <c r="AB629">
        <v>0.051132277054892331</v>
      </c>
      <c r="AC629">
        <v>0.50280072437310785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Q629" t="s">
        <v>140</v>
      </c>
      <c r="AR629" t="s">
        <v>141</v>
      </c>
      <c r="AS629">
        <v>0.41126406580225056</v>
      </c>
    </row>
    <row r="630" spans="1:45" ht="12.75">
      <c r="A630" s="2" t="str">
        <f>HYPERLINK("https://ibp.a2mac1.com/costing(costing:projects/details/8191/material/5320260)","Standard Structural Steel sheet")</f>
        <v>Standard Structural Steel sheet</v>
      </c>
      <c r="B630">
        <v>5320260</v>
      </c>
      <c r="C630">
        <v>6975816</v>
      </c>
      <c r="E630">
        <v>0.61129999999999995</v>
      </c>
      <c r="F630" t="s">
        <v>4648</v>
      </c>
      <c r="G630">
        <v>75</v>
      </c>
      <c r="H630" t="s">
        <v>5293</v>
      </c>
      <c r="I630">
        <v>30</v>
      </c>
      <c r="J630">
        <v>0.1008980929261446</v>
      </c>
      <c r="K630">
        <v>0</v>
      </c>
      <c r="L630">
        <v>0</v>
      </c>
      <c r="M630">
        <v>0</v>
      </c>
      <c r="O630">
        <v>800000</v>
      </c>
      <c r="R630" t="s">
        <v>136</v>
      </c>
      <c r="S630">
        <v>0.017727699999999999</v>
      </c>
      <c r="T630">
        <v>0.00023873302666666666</v>
      </c>
      <c r="U630" t="s">
        <v>137</v>
      </c>
      <c r="V630">
        <v>0.0082729266666666662</v>
      </c>
      <c r="W630">
        <v>0.22715329302666667</v>
      </c>
      <c r="X630" t="s">
        <v>90</v>
      </c>
      <c r="Y630">
        <v>0</v>
      </c>
      <c r="Z630">
        <v>0</v>
      </c>
      <c r="AA630" t="s">
        <v>90</v>
      </c>
      <c r="AB630">
        <v>0</v>
      </c>
      <c r="AC630">
        <v>0.22715329302666667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Q630" t="s">
        <v>140</v>
      </c>
      <c r="AR630" t="s">
        <v>141</v>
      </c>
      <c r="AS630">
        <v>0.23636933333333332</v>
      </c>
    </row>
    <row r="631" spans="1:45" ht="12.75">
      <c r="A631" s="2" t="str">
        <f>HYPERLINK("https://ibp.a2mac1.com/costing(costing:projects/details/8191/material/5320261)","Standard Structural Steel sheet")</f>
        <v>Standard Structural Steel sheet</v>
      </c>
      <c r="B631">
        <v>5320261</v>
      </c>
      <c r="C631">
        <v>6975817</v>
      </c>
      <c r="E631">
        <v>0.61129999999999995</v>
      </c>
      <c r="F631" t="s">
        <v>5297</v>
      </c>
      <c r="G631">
        <v>80</v>
      </c>
      <c r="H631" t="s">
        <v>5298</v>
      </c>
      <c r="I631">
        <v>30</v>
      </c>
      <c r="J631">
        <v>0.1008980929261446</v>
      </c>
      <c r="K631">
        <v>0</v>
      </c>
      <c r="L631">
        <v>0</v>
      </c>
      <c r="M631">
        <v>0</v>
      </c>
      <c r="O631">
        <v>800000</v>
      </c>
      <c r="R631" t="s">
        <v>136</v>
      </c>
      <c r="S631">
        <v>0.020172900000000001</v>
      </c>
      <c r="T631">
        <v>0.00033957714999999997</v>
      </c>
      <c r="U631" t="s">
        <v>137</v>
      </c>
      <c r="V631">
        <v>0.011767524999999999</v>
      </c>
      <c r="W631">
        <v>0.32814920214999999</v>
      </c>
      <c r="X631" t="s">
        <v>90</v>
      </c>
      <c r="Y631">
        <v>0</v>
      </c>
      <c r="Z631">
        <v>0</v>
      </c>
      <c r="AA631" t="s">
        <v>90</v>
      </c>
      <c r="AB631">
        <v>0</v>
      </c>
      <c r="AC631">
        <v>0.32814920214999999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Q631" t="s">
        <v>140</v>
      </c>
      <c r="AR631" t="s">
        <v>141</v>
      </c>
      <c r="AS631">
        <v>0.33621499999999999</v>
      </c>
    </row>
    <row r="632" spans="1:45" ht="12.75">
      <c r="A632" s="2" t="str">
        <f>HYPERLINK("https://ibp.a2mac1.com/costing(costing:projects/details/8191/material/5320262)","Standard Structural Steel sheet")</f>
        <v>Standard Structural Steel sheet</v>
      </c>
      <c r="B632">
        <v>5320262</v>
      </c>
      <c r="C632">
        <v>6975818</v>
      </c>
      <c r="E632">
        <v>0.61129999999999995</v>
      </c>
      <c r="F632" t="s">
        <v>5227</v>
      </c>
      <c r="G632">
        <v>85</v>
      </c>
      <c r="H632" t="s">
        <v>5302</v>
      </c>
      <c r="I632">
        <v>30</v>
      </c>
      <c r="J632">
        <v>0.1008980929261446</v>
      </c>
      <c r="K632">
        <v>0</v>
      </c>
      <c r="L632">
        <v>0</v>
      </c>
      <c r="M632">
        <v>0</v>
      </c>
      <c r="O632">
        <v>800000</v>
      </c>
      <c r="R632" t="s">
        <v>136</v>
      </c>
      <c r="S632">
        <v>0.0038835529411764707</v>
      </c>
      <c r="T632">
        <v>8.7164188235294113E-05</v>
      </c>
      <c r="U632" t="s">
        <v>137</v>
      </c>
      <c r="V632">
        <v>0.0030205411764705884</v>
      </c>
      <c r="W632">
        <v>0.085525328894117653</v>
      </c>
      <c r="X632" t="s">
        <v>90</v>
      </c>
      <c r="Y632">
        <v>0</v>
      </c>
      <c r="Z632">
        <v>0</v>
      </c>
      <c r="AA632" t="s">
        <v>90</v>
      </c>
      <c r="AB632">
        <v>0</v>
      </c>
      <c r="AC632">
        <v>0.085525328894117653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Q632" t="s">
        <v>140</v>
      </c>
      <c r="AR632" t="s">
        <v>141</v>
      </c>
      <c r="AS632">
        <v>0.086301176470588228</v>
      </c>
    </row>
    <row r="633" spans="1:45" ht="12.75">
      <c r="A633" s="2" t="str">
        <f>HYPERLINK("https://ibp.a2mac1.com/costing(costing:projects/details/8191/material/5320263)","Standard Structural Steel sheet")</f>
        <v>Standard Structural Steel sheet</v>
      </c>
      <c r="B633">
        <v>5320263</v>
      </c>
      <c r="C633">
        <v>6975819</v>
      </c>
      <c r="E633">
        <v>0.61129999999999995</v>
      </c>
      <c r="F633" t="s">
        <v>5227</v>
      </c>
      <c r="G633">
        <v>85</v>
      </c>
      <c r="H633" t="s">
        <v>5302</v>
      </c>
      <c r="I633">
        <v>30</v>
      </c>
      <c r="J633">
        <v>0.1008980929261446</v>
      </c>
      <c r="K633">
        <v>0</v>
      </c>
      <c r="L633">
        <v>0</v>
      </c>
      <c r="M633">
        <v>0</v>
      </c>
      <c r="O633">
        <v>800000</v>
      </c>
      <c r="R633" t="s">
        <v>136</v>
      </c>
      <c r="S633">
        <v>0.0038835529411764707</v>
      </c>
      <c r="T633">
        <v>8.7164188235294113E-05</v>
      </c>
      <c r="U633" t="s">
        <v>137</v>
      </c>
      <c r="V633">
        <v>0.0030205411764705884</v>
      </c>
      <c r="W633">
        <v>0.085525328894117653</v>
      </c>
      <c r="X633" t="s">
        <v>90</v>
      </c>
      <c r="Y633">
        <v>0</v>
      </c>
      <c r="Z633">
        <v>0</v>
      </c>
      <c r="AA633" t="s">
        <v>90</v>
      </c>
      <c r="AB633">
        <v>0</v>
      </c>
      <c r="AC633">
        <v>0.085525328894117653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Q633" t="s">
        <v>140</v>
      </c>
      <c r="AR633" t="s">
        <v>141</v>
      </c>
      <c r="AS633">
        <v>0.086301176470588228</v>
      </c>
    </row>
    <row r="634" spans="1:45" ht="12.75">
      <c r="A634" s="2" t="str">
        <f>HYPERLINK("https://ibp.a2mac1.com/costing(costing:projects/details/8191/material/5319813)","Standard Structural Steel sheet")</f>
        <v>Standard Structural Steel sheet</v>
      </c>
      <c r="B634">
        <v>5319813</v>
      </c>
      <c r="C634">
        <v>6975414</v>
      </c>
      <c r="E634">
        <v>0.61129999999999995</v>
      </c>
      <c r="F634" t="s">
        <v>2024</v>
      </c>
      <c r="G634">
        <v>75</v>
      </c>
      <c r="H634" t="s">
        <v>5316</v>
      </c>
      <c r="I634">
        <v>30</v>
      </c>
      <c r="J634">
        <v>0.50345253019720215</v>
      </c>
      <c r="K634">
        <v>0</v>
      </c>
      <c r="L634">
        <v>0</v>
      </c>
      <c r="M634">
        <v>0</v>
      </c>
      <c r="O634">
        <v>200000</v>
      </c>
      <c r="R634" t="s">
        <v>136</v>
      </c>
      <c r="S634">
        <v>0.00189503</v>
      </c>
      <c r="T634">
        <v>0.00012785135733333334</v>
      </c>
      <c r="U634" t="s">
        <v>137</v>
      </c>
      <c r="V634">
        <v>0.00088434733333333333</v>
      </c>
      <c r="W634">
        <v>0.024384235357333334</v>
      </c>
      <c r="X634" t="s">
        <v>138</v>
      </c>
      <c r="Y634">
        <v>0.0014630541214400001</v>
      </c>
      <c r="Z634">
        <v>0</v>
      </c>
      <c r="AA634" t="s">
        <v>139</v>
      </c>
      <c r="AB634">
        <v>0.0029261082428800001</v>
      </c>
      <c r="AC634">
        <v>0.028773397721653333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Q634" t="s">
        <v>140</v>
      </c>
      <c r="AR634" t="s">
        <v>141</v>
      </c>
      <c r="AS634">
        <v>0.025267066666666668</v>
      </c>
    </row>
    <row r="635" spans="1:45" ht="12.75">
      <c r="A635" s="2" t="str">
        <f>HYPERLINK("https://ibp.a2mac1.com/costing(costing:projects/details/8191/material/5319814)","PA6-GF25")</f>
        <v>PA6-GF25</v>
      </c>
      <c r="B635">
        <v>5319814</v>
      </c>
      <c r="C635">
        <v>6975415</v>
      </c>
      <c r="E635">
        <v>1.9588300000000001</v>
      </c>
      <c r="F635" t="s">
        <v>608</v>
      </c>
      <c r="G635">
        <v>98.039199999999994</v>
      </c>
      <c r="H635" t="s">
        <v>5320</v>
      </c>
      <c r="I635">
        <v>5</v>
      </c>
      <c r="J635">
        <v>0.20557651238448796</v>
      </c>
      <c r="K635">
        <v>0</v>
      </c>
      <c r="M635">
        <v>0</v>
      </c>
      <c r="O635">
        <v>200000</v>
      </c>
      <c r="R635" t="s">
        <v>136</v>
      </c>
      <c r="S635">
        <v>0.0001194896050273768</v>
      </c>
      <c r="T635">
        <v>0.00025106954952712794</v>
      </c>
      <c r="U635" t="s">
        <v>137</v>
      </c>
      <c r="V635">
        <v>0.0042657447735191638</v>
      </c>
      <c r="W635">
        <v>0.12627574681856646</v>
      </c>
      <c r="X635" t="s">
        <v>138</v>
      </c>
      <c r="Y635">
        <v>0.0075765448091139869</v>
      </c>
      <c r="Z635">
        <v>0</v>
      </c>
      <c r="AA635" t="s">
        <v>139</v>
      </c>
      <c r="AB635">
        <v>0.015153089618227974</v>
      </c>
      <c r="AC635">
        <v>0.14900538124590842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Q635" t="s">
        <v>140</v>
      </c>
      <c r="AR635" t="s">
        <v>141</v>
      </c>
      <c r="AS635">
        <v>0.12187842210054754</v>
      </c>
    </row>
    <row r="636" spans="1:45" ht="12.75">
      <c r="A636" s="2" t="str">
        <f>HYPERLINK("https://ibp.a2mac1.com/costing(costing:projects/details/8191/material/5319815)","PA6-GF30")</f>
        <v>PA6-GF30</v>
      </c>
      <c r="B636">
        <v>5319815</v>
      </c>
      <c r="C636">
        <v>6975420</v>
      </c>
      <c r="E636">
        <v>2.1428600000000002</v>
      </c>
      <c r="F636" t="s">
        <v>1375</v>
      </c>
      <c r="G636">
        <v>98.039199999999994</v>
      </c>
      <c r="H636" t="s">
        <v>5325</v>
      </c>
      <c r="I636">
        <v>5</v>
      </c>
      <c r="J636">
        <v>0.20557651238448796</v>
      </c>
      <c r="K636">
        <v>0</v>
      </c>
      <c r="M636">
        <v>0</v>
      </c>
      <c r="O636">
        <v>200000</v>
      </c>
      <c r="R636" t="s">
        <v>136</v>
      </c>
      <c r="S636">
        <v>5.7857692114990738E-05</v>
      </c>
      <c r="T636">
        <v>0.00012156961011513761</v>
      </c>
      <c r="U636" t="s">
        <v>137</v>
      </c>
      <c r="V636">
        <v>0.0020655030844804936</v>
      </c>
      <c r="W636">
        <v>0.061143588844780453</v>
      </c>
      <c r="X636" t="s">
        <v>138</v>
      </c>
      <c r="Y636">
        <v>0.0036686153306868274</v>
      </c>
      <c r="Z636">
        <v>0</v>
      </c>
      <c r="AA636" t="s">
        <v>139</v>
      </c>
      <c r="AB636">
        <v>0.0073372306613736548</v>
      </c>
      <c r="AC636">
        <v>0.072149434836840942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Q636" t="s">
        <v>140</v>
      </c>
      <c r="AR636" t="s">
        <v>141</v>
      </c>
      <c r="AS636">
        <v>0.059014373842299815</v>
      </c>
    </row>
    <row r="637" spans="1:45" ht="12.75">
      <c r="A637" s="2" t="str">
        <f>HYPERLINK("https://ibp.a2mac1.com/costing(costing:projects/details/8191/material/5319816)","TPC")</f>
        <v>TPC</v>
      </c>
      <c r="B637">
        <v>5319816</v>
      </c>
      <c r="C637">
        <v>6975422</v>
      </c>
      <c r="E637">
        <v>2.0047199999999998</v>
      </c>
      <c r="F637" t="s">
        <v>5330</v>
      </c>
      <c r="G637">
        <v>95</v>
      </c>
      <c r="H637" t="s">
        <v>5331</v>
      </c>
      <c r="I637">
        <v>5</v>
      </c>
      <c r="J637">
        <v>0.50345253019720215</v>
      </c>
      <c r="K637">
        <v>0</v>
      </c>
      <c r="M637">
        <v>0</v>
      </c>
      <c r="O637">
        <v>200000</v>
      </c>
      <c r="R637" t="s">
        <v>136</v>
      </c>
      <c r="S637">
        <v>0.00020221294105263158</v>
      </c>
      <c r="T637">
        <v>0.0004092789926905263</v>
      </c>
      <c r="U637" t="s">
        <v>137</v>
      </c>
      <c r="V637">
        <v>0.002830981174736842</v>
      </c>
      <c r="W637">
        <v>0.083923223647427367</v>
      </c>
      <c r="X637" t="s">
        <v>138</v>
      </c>
      <c r="Y637">
        <v>0.0050353934188456422</v>
      </c>
      <c r="Z637">
        <v>0</v>
      </c>
      <c r="AA637" t="s">
        <v>139</v>
      </c>
      <c r="AB637">
        <v>0.010070786837691284</v>
      </c>
      <c r="AC637">
        <v>0.099029403903964294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Q637" t="s">
        <v>140</v>
      </c>
      <c r="AR637" t="s">
        <v>141</v>
      </c>
      <c r="AS637">
        <v>0.080885176421052626</v>
      </c>
    </row>
    <row r="638" spans="1:45" ht="12.75">
      <c r="A638" s="2" t="str">
        <f>HYPERLINK("https://ibp.a2mac1.com/costing(costing:projects/details/8191/material/5319817)","EPDM")</f>
        <v>EPDM</v>
      </c>
      <c r="B638">
        <v>5319817</v>
      </c>
      <c r="C638">
        <v>6975422</v>
      </c>
      <c r="E638">
        <v>2.78701</v>
      </c>
      <c r="F638" t="s">
        <v>5330</v>
      </c>
      <c r="G638">
        <v>95</v>
      </c>
      <c r="H638" t="s">
        <v>5331</v>
      </c>
      <c r="I638">
        <v>5</v>
      </c>
      <c r="J638">
        <v>0.50345253019720215</v>
      </c>
      <c r="K638">
        <v>0</v>
      </c>
      <c r="M638">
        <v>0</v>
      </c>
      <c r="O638">
        <v>200000</v>
      </c>
      <c r="R638" t="s">
        <v>136</v>
      </c>
      <c r="S638">
        <v>0.00028112129815789476</v>
      </c>
      <c r="T638">
        <v>0.00056898950747157897</v>
      </c>
      <c r="U638" t="s">
        <v>137</v>
      </c>
      <c r="V638">
        <v>0.0039356981742105267</v>
      </c>
      <c r="W638">
        <v>0.11667208564668211</v>
      </c>
      <c r="X638" t="s">
        <v>138</v>
      </c>
      <c r="Y638">
        <v>0.0070003251388009264</v>
      </c>
      <c r="Z638">
        <v>0</v>
      </c>
      <c r="AA638" t="s">
        <v>139</v>
      </c>
      <c r="AB638">
        <v>0.014000650277601853</v>
      </c>
      <c r="AC638">
        <v>0.13767306106308488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Q638" t="s">
        <v>140</v>
      </c>
      <c r="AR638" t="s">
        <v>141</v>
      </c>
      <c r="AS638">
        <v>0.1124485192631579</v>
      </c>
    </row>
    <row r="639" spans="1:45" ht="12.75">
      <c r="A639" s="2" t="str">
        <f>HYPERLINK("https://ibp.a2mac1.com/costing(costing:projects/details/8191/material/5319818)","TPC")</f>
        <v>TPC</v>
      </c>
      <c r="B639">
        <v>5319818</v>
      </c>
      <c r="C639">
        <v>6975423</v>
      </c>
      <c r="E639">
        <v>2.0047199999999998</v>
      </c>
      <c r="F639" t="s">
        <v>5336</v>
      </c>
      <c r="G639">
        <v>95</v>
      </c>
      <c r="H639" t="s">
        <v>5337</v>
      </c>
      <c r="I639">
        <v>5</v>
      </c>
      <c r="J639">
        <v>0.50345253019720215</v>
      </c>
      <c r="K639">
        <v>0</v>
      </c>
      <c r="M639">
        <v>0</v>
      </c>
      <c r="O639">
        <v>200000</v>
      </c>
      <c r="R639" t="s">
        <v>136</v>
      </c>
      <c r="S639">
        <v>0.00012487295368421053</v>
      </c>
      <c r="T639">
        <v>0.00025274285825684209</v>
      </c>
      <c r="U639" t="s">
        <v>137</v>
      </c>
      <c r="V639">
        <v>0.0017482213515789473</v>
      </c>
      <c r="W639">
        <v>0.051825272729835788</v>
      </c>
      <c r="X639" t="s">
        <v>138</v>
      </c>
      <c r="Y639">
        <v>0.0031095163637901474</v>
      </c>
      <c r="Z639">
        <v>0</v>
      </c>
      <c r="AA639" t="s">
        <v>139</v>
      </c>
      <c r="AB639">
        <v>0.0062190327275802948</v>
      </c>
      <c r="AC639">
        <v>0.061153821821206232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Q639" t="s">
        <v>140</v>
      </c>
      <c r="AR639" t="s">
        <v>141</v>
      </c>
      <c r="AS639">
        <v>0.049949181473684212</v>
      </c>
    </row>
    <row r="640" spans="1:45" ht="12.75">
      <c r="A640" s="2" t="str">
        <f>HYPERLINK("https://ibp.a2mac1.com/costing(costing:projects/details/8191/material/5319819)","POM")</f>
        <v>POM</v>
      </c>
      <c r="B640">
        <v>5319819</v>
      </c>
      <c r="C640">
        <v>6975423</v>
      </c>
      <c r="E640">
        <v>2.12338</v>
      </c>
      <c r="F640" t="s">
        <v>5336</v>
      </c>
      <c r="G640">
        <v>95</v>
      </c>
      <c r="H640" t="s">
        <v>5337</v>
      </c>
      <c r="I640">
        <v>5</v>
      </c>
      <c r="J640">
        <v>0.50345253019720215</v>
      </c>
      <c r="K640">
        <v>0</v>
      </c>
      <c r="M640">
        <v>0</v>
      </c>
      <c r="O640">
        <v>200000</v>
      </c>
      <c r="R640" t="s">
        <v>136</v>
      </c>
      <c r="S640">
        <v>0.00013226422263157894</v>
      </c>
      <c r="T640">
        <v>0.00026770278660631582</v>
      </c>
      <c r="U640" t="s">
        <v>137</v>
      </c>
      <c r="V640">
        <v>0.0018516991168421053</v>
      </c>
      <c r="W640">
        <v>0.054892826733448419</v>
      </c>
      <c r="X640" t="s">
        <v>138</v>
      </c>
      <c r="Y640">
        <v>0.0032935696040069054</v>
      </c>
      <c r="Z640">
        <v>0</v>
      </c>
      <c r="AA640" t="s">
        <v>139</v>
      </c>
      <c r="AB640">
        <v>0.0065871392080138107</v>
      </c>
      <c r="AC640">
        <v>0.064773535545469135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Q640" t="s">
        <v>140</v>
      </c>
      <c r="AR640" t="s">
        <v>141</v>
      </c>
      <c r="AS640">
        <v>0.052905689052631578</v>
      </c>
    </row>
    <row r="641" spans="1:45" ht="12.75">
      <c r="A641" s="2" t="str">
        <f>HYPERLINK("https://ibp.a2mac1.com/costing(costing:projects/details/8191/material/5319820)","PBT-GF30")</f>
        <v>PBT-GF30</v>
      </c>
      <c r="B641">
        <v>5319820</v>
      </c>
      <c r="C641">
        <v>6975425</v>
      </c>
      <c r="E641">
        <v>1.9208099999999999</v>
      </c>
      <c r="F641" t="s">
        <v>2911</v>
      </c>
      <c r="G641">
        <v>98.039199999999994</v>
      </c>
      <c r="H641" t="s">
        <v>5342</v>
      </c>
      <c r="I641">
        <v>5</v>
      </c>
      <c r="J641">
        <v>0.20557651238448796</v>
      </c>
      <c r="K641">
        <v>0</v>
      </c>
      <c r="M641">
        <v>0</v>
      </c>
      <c r="O641">
        <v>200000</v>
      </c>
      <c r="R641" t="s">
        <v>136</v>
      </c>
      <c r="S641">
        <v>0.00013445779716684755</v>
      </c>
      <c r="T641">
        <v>0.00028252046324327412</v>
      </c>
      <c r="U641" t="s">
        <v>137</v>
      </c>
      <c r="V641">
        <v>0.004800104958016793</v>
      </c>
      <c r="W641">
        <v>0.14209402356743017</v>
      </c>
      <c r="X641" t="s">
        <v>138</v>
      </c>
      <c r="Y641">
        <v>0.0085256414140458103</v>
      </c>
      <c r="Z641">
        <v>0</v>
      </c>
      <c r="AA641" t="s">
        <v>139</v>
      </c>
      <c r="AB641">
        <v>0.017051282828091621</v>
      </c>
      <c r="AC641">
        <v>0.16767094780956759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Q641" t="s">
        <v>140</v>
      </c>
      <c r="AR641" t="s">
        <v>141</v>
      </c>
      <c r="AS641">
        <v>0.13714585594333695</v>
      </c>
    </row>
    <row r="642" spans="1:45" ht="12.75">
      <c r="A642" s="2" t="str">
        <f>HYPERLINK("https://ibp.a2mac1.com/costing(costing:projects/details/8191/material/5319821)","Standard Structural Steel sheet")</f>
        <v>Standard Structural Steel sheet</v>
      </c>
      <c r="B642">
        <v>5319821</v>
      </c>
      <c r="C642">
        <v>6975426</v>
      </c>
      <c r="E642">
        <v>0.61129999999999995</v>
      </c>
      <c r="F642" t="s">
        <v>3453</v>
      </c>
      <c r="G642">
        <v>75</v>
      </c>
      <c r="H642" t="s">
        <v>5348</v>
      </c>
      <c r="I642">
        <v>30</v>
      </c>
      <c r="J642">
        <v>0.50345253019720215</v>
      </c>
      <c r="K642">
        <v>0</v>
      </c>
      <c r="L642">
        <v>0</v>
      </c>
      <c r="M642">
        <v>0</v>
      </c>
      <c r="O642">
        <v>200000</v>
      </c>
      <c r="R642" t="s">
        <v>136</v>
      </c>
      <c r="S642">
        <v>0.0041568400000000002</v>
      </c>
      <c r="T642">
        <v>0.00028044813866666667</v>
      </c>
      <c r="U642" t="s">
        <v>137</v>
      </c>
      <c r="V642">
        <v>0.0019398586666666666</v>
      </c>
      <c r="W642">
        <v>0.053488000138666669</v>
      </c>
      <c r="X642" t="s">
        <v>138</v>
      </c>
      <c r="Y642">
        <v>0.0032092800083200002</v>
      </c>
      <c r="Z642">
        <v>0</v>
      </c>
      <c r="AA642" t="s">
        <v>139</v>
      </c>
      <c r="AB642">
        <v>0.0064185600166400004</v>
      </c>
      <c r="AC642">
        <v>0.06311584016362666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Q642" t="s">
        <v>140</v>
      </c>
      <c r="AR642" t="s">
        <v>141</v>
      </c>
      <c r="AS642">
        <v>0.055424533333333331</v>
      </c>
    </row>
    <row r="643" spans="1:45" ht="12.75">
      <c r="A643" s="2" t="str">
        <f>HYPERLINK("https://ibp.a2mac1.com/costing(costing:projects/details/8191/material/5319822)","EPDM")</f>
        <v>EPDM</v>
      </c>
      <c r="B643">
        <v>5319822</v>
      </c>
      <c r="C643">
        <v>6975427</v>
      </c>
      <c r="E643">
        <v>2.78701</v>
      </c>
      <c r="F643" t="s">
        <v>2980</v>
      </c>
      <c r="G643">
        <v>95</v>
      </c>
      <c r="H643" t="s">
        <v>2981</v>
      </c>
      <c r="I643">
        <v>5</v>
      </c>
      <c r="J643">
        <v>0.50345253019720215</v>
      </c>
      <c r="K643">
        <v>0</v>
      </c>
      <c r="M643">
        <v>0</v>
      </c>
      <c r="O643">
        <v>200000</v>
      </c>
      <c r="R643" t="s">
        <v>136</v>
      </c>
      <c r="S643">
        <v>3.6671184210526317E-05</v>
      </c>
      <c r="T643">
        <v>7.4222476842105266E-05</v>
      </c>
      <c r="U643" t="s">
        <v>137</v>
      </c>
      <c r="V643">
        <v>0.0005133965789473684</v>
      </c>
      <c r="W643">
        <v>0.015219421555789474</v>
      </c>
      <c r="X643" t="s">
        <v>138</v>
      </c>
      <c r="Y643">
        <v>0.00091316529334736839</v>
      </c>
      <c r="Z643">
        <v>0</v>
      </c>
      <c r="AA643" t="s">
        <v>139</v>
      </c>
      <c r="AB643">
        <v>0.0018263305866947368</v>
      </c>
      <c r="AC643">
        <v>0.01795891743583158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Q643" t="s">
        <v>140</v>
      </c>
      <c r="AR643" t="s">
        <v>141</v>
      </c>
      <c r="AS643">
        <v>0.014668473684210526</v>
      </c>
    </row>
    <row r="644" spans="1:45" ht="12.75">
      <c r="A644" s="2" t="str">
        <f>HYPERLINK("https://ibp.a2mac1.com/costing(costing:projects/details/8191/material/5319823)","EPDM")</f>
        <v>EPDM</v>
      </c>
      <c r="B644">
        <v>5319823</v>
      </c>
      <c r="C644">
        <v>6975428</v>
      </c>
      <c r="E644">
        <v>2.78701</v>
      </c>
      <c r="F644" t="s">
        <v>5357</v>
      </c>
      <c r="G644">
        <v>95</v>
      </c>
      <c r="H644" t="s">
        <v>5358</v>
      </c>
      <c r="I644">
        <v>5</v>
      </c>
      <c r="J644">
        <v>0.10389195236953569</v>
      </c>
      <c r="K644">
        <v>0</v>
      </c>
      <c r="L644">
        <v>0</v>
      </c>
      <c r="M644">
        <v>0</v>
      </c>
      <c r="O644">
        <v>200000</v>
      </c>
      <c r="R644" t="s">
        <v>136</v>
      </c>
      <c r="S644">
        <v>0.0048332620789473682</v>
      </c>
      <c r="T644">
        <v>0.0020106370248421054</v>
      </c>
      <c r="U644" t="s">
        <v>137</v>
      </c>
      <c r="V644">
        <v>0.067665669105263157</v>
      </c>
      <c r="W644">
        <v>1.9981478756301052</v>
      </c>
      <c r="X644" t="s">
        <v>138</v>
      </c>
      <c r="Y644">
        <v>0.11988887253780632</v>
      </c>
      <c r="Z644">
        <v>0</v>
      </c>
      <c r="AA644" t="s">
        <v>139</v>
      </c>
      <c r="AB644">
        <v>0.23977774507561264</v>
      </c>
      <c r="AC644">
        <v>2.3578144932435241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P644" t="s">
        <v>4818</v>
      </c>
      <c r="AQ644" t="s">
        <v>140</v>
      </c>
      <c r="AR644" t="s">
        <v>141</v>
      </c>
      <c r="AS644">
        <v>1.9333048315789474</v>
      </c>
    </row>
    <row r="645" spans="1:45" ht="12.75">
      <c r="A645" s="2" t="str">
        <f>HYPERLINK("https://ibp.a2mac1.com/costing(costing:projects/details/8191/material/5319824)","Standard Structural Steel sheet")</f>
        <v>Standard Structural Steel sheet</v>
      </c>
      <c r="B645">
        <v>5319824</v>
      </c>
      <c r="C645">
        <v>6975428</v>
      </c>
      <c r="E645">
        <v>0.61129999999999995</v>
      </c>
      <c r="F645" t="s">
        <v>5360</v>
      </c>
      <c r="G645">
        <v>95</v>
      </c>
      <c r="H645" t="s">
        <v>5361</v>
      </c>
      <c r="I645">
        <v>30</v>
      </c>
      <c r="J645">
        <v>0.10389195236953569</v>
      </c>
      <c r="K645">
        <v>0</v>
      </c>
      <c r="L645">
        <v>0</v>
      </c>
      <c r="M645">
        <v>0</v>
      </c>
      <c r="O645">
        <v>200000</v>
      </c>
      <c r="R645" t="s">
        <v>136</v>
      </c>
      <c r="S645">
        <v>0.0020486593421052634</v>
      </c>
      <c r="T645">
        <v>0.00014204038105263158</v>
      </c>
      <c r="U645" t="s">
        <v>137</v>
      </c>
      <c r="V645">
        <v>0.0047802051315789474</v>
      </c>
      <c r="W645">
        <v>0.13945087564421052</v>
      </c>
      <c r="X645" t="s">
        <v>138</v>
      </c>
      <c r="Y645">
        <v>0.008367052538652631</v>
      </c>
      <c r="Z645">
        <v>0</v>
      </c>
      <c r="AA645" t="s">
        <v>139</v>
      </c>
      <c r="AB645">
        <v>0.016734105077305262</v>
      </c>
      <c r="AC645">
        <v>0.16455203326016843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Q645" t="s">
        <v>140</v>
      </c>
      <c r="AR645" t="s">
        <v>141</v>
      </c>
      <c r="AS645">
        <v>0.13657728947368422</v>
      </c>
    </row>
    <row r="646" spans="1:45" ht="12.75">
      <c r="A646" s="2" t="str">
        <f>HYPERLINK("https://ibp.a2mac1.com/costing(costing:projects/details/8191/material/5319825)","PP")</f>
        <v>PP</v>
      </c>
      <c r="B646">
        <v>5319825</v>
      </c>
      <c r="C646">
        <v>6975429</v>
      </c>
      <c r="E646">
        <v>1.0113799999999999</v>
      </c>
      <c r="F646" t="s">
        <v>3414</v>
      </c>
      <c r="G646">
        <v>95</v>
      </c>
      <c r="H646" t="s">
        <v>3415</v>
      </c>
      <c r="I646">
        <v>5</v>
      </c>
      <c r="J646">
        <v>0.50048257265952256</v>
      </c>
      <c r="K646">
        <v>0</v>
      </c>
      <c r="M646">
        <v>0</v>
      </c>
      <c r="O646">
        <v>400000</v>
      </c>
      <c r="R646" t="s">
        <v>136</v>
      </c>
      <c r="S646">
        <v>4.2584421052631581E-05</v>
      </c>
      <c r="T646">
        <v>8.5679855157894737E-05</v>
      </c>
      <c r="U646" t="s">
        <v>137</v>
      </c>
      <c r="V646">
        <v>0.00059618189473684211</v>
      </c>
      <c r="W646">
        <v>0.017673045749894738</v>
      </c>
      <c r="X646" t="s">
        <v>138</v>
      </c>
      <c r="Y646">
        <v>0.0010603827449936843</v>
      </c>
      <c r="Z646">
        <v>0</v>
      </c>
      <c r="AA646" t="s">
        <v>139</v>
      </c>
      <c r="AB646">
        <v>0.0021207654899873685</v>
      </c>
      <c r="AC646">
        <v>0.020854193984875789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Q646" t="s">
        <v>140</v>
      </c>
      <c r="AR646" t="s">
        <v>141</v>
      </c>
      <c r="AS646">
        <v>0.017033768421052631</v>
      </c>
    </row>
    <row r="647" spans="1:45" ht="12.75">
      <c r="A647" s="2" t="str">
        <f>HYPERLINK("https://ibp.a2mac1.com/costing(costing:projects/details/8191/material/5319826)","PP")</f>
        <v>PP</v>
      </c>
      <c r="B647">
        <v>5319826</v>
      </c>
      <c r="C647">
        <v>6975430</v>
      </c>
      <c r="E647">
        <v>1.0113799999999999</v>
      </c>
      <c r="F647" t="s">
        <v>3665</v>
      </c>
      <c r="G647">
        <v>95</v>
      </c>
      <c r="H647" t="s">
        <v>3666</v>
      </c>
      <c r="I647">
        <v>5</v>
      </c>
      <c r="J647">
        <v>0.50345253019720215</v>
      </c>
      <c r="K647">
        <v>0</v>
      </c>
      <c r="M647">
        <v>0</v>
      </c>
      <c r="O647">
        <v>200000</v>
      </c>
      <c r="R647" t="s">
        <v>136</v>
      </c>
      <c r="S647">
        <v>5.5892052631578945E-05</v>
      </c>
      <c r="T647">
        <v>0.00011312551452631578</v>
      </c>
      <c r="U647" t="s">
        <v>137</v>
      </c>
      <c r="V647">
        <v>0.00078248873684210526</v>
      </c>
      <c r="W647">
        <v>0.023196543251368423</v>
      </c>
      <c r="X647" t="s">
        <v>138</v>
      </c>
      <c r="Y647">
        <v>0.0013917925950821053</v>
      </c>
      <c r="Z647">
        <v>0</v>
      </c>
      <c r="AA647" t="s">
        <v>139</v>
      </c>
      <c r="AB647">
        <v>0.0027835851901642106</v>
      </c>
      <c r="AC647">
        <v>0.027371921036614736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Q647" t="s">
        <v>140</v>
      </c>
      <c r="AR647" t="s">
        <v>141</v>
      </c>
      <c r="AS647">
        <v>0.022356821052631579</v>
      </c>
    </row>
    <row r="648" spans="1:45" ht="12.75">
      <c r="A648" s="2" t="str">
        <f>HYPERLINK("https://ibp.a2mac1.com/costing(costing:projects/details/8191/material/5319827)","PP")</f>
        <v>PP</v>
      </c>
      <c r="B648">
        <v>5319827</v>
      </c>
      <c r="C648">
        <v>6975431</v>
      </c>
      <c r="E648">
        <v>1.0113799999999999</v>
      </c>
      <c r="F648" t="s">
        <v>4746</v>
      </c>
      <c r="G648">
        <v>95</v>
      </c>
      <c r="H648" t="s">
        <v>4747</v>
      </c>
      <c r="I648">
        <v>5</v>
      </c>
      <c r="J648">
        <v>0.50345253019720215</v>
      </c>
      <c r="K648">
        <v>0</v>
      </c>
      <c r="M648">
        <v>0</v>
      </c>
      <c r="O648">
        <v>200000</v>
      </c>
      <c r="R648" t="s">
        <v>136</v>
      </c>
      <c r="S648">
        <v>5.3230526315789471E-05</v>
      </c>
      <c r="T648">
        <v>0.0001077385852631579</v>
      </c>
      <c r="U648" t="s">
        <v>137</v>
      </c>
      <c r="V648">
        <v>0.00074522736842105267</v>
      </c>
      <c r="W648">
        <v>0.02209194595368421</v>
      </c>
      <c r="X648" t="s">
        <v>138</v>
      </c>
      <c r="Y648">
        <v>0.0013255167572210527</v>
      </c>
      <c r="Z648">
        <v>0</v>
      </c>
      <c r="AA648" t="s">
        <v>139</v>
      </c>
      <c r="AB648">
        <v>0.0026510335144421054</v>
      </c>
      <c r="AC648">
        <v>0.026068496225347369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Q648" t="s">
        <v>140</v>
      </c>
      <c r="AR648" t="s">
        <v>141</v>
      </c>
      <c r="AS648">
        <v>0.021292210526315788</v>
      </c>
    </row>
    <row r="649" spans="1:45" ht="12.75">
      <c r="A649" s="2" t="str">
        <f>HYPERLINK("https://ibp.a2mac1.com/costing(costing:projects/details/8191/material/5319828)","EPDM")</f>
        <v>EPDM</v>
      </c>
      <c r="B649">
        <v>5319828</v>
      </c>
      <c r="C649">
        <v>6975432</v>
      </c>
      <c r="E649">
        <v>2.78701</v>
      </c>
      <c r="F649" t="s">
        <v>670</v>
      </c>
      <c r="G649">
        <v>95</v>
      </c>
      <c r="H649" t="s">
        <v>3722</v>
      </c>
      <c r="I649">
        <v>5</v>
      </c>
      <c r="J649">
        <v>0.50048257265952256</v>
      </c>
      <c r="K649">
        <v>0</v>
      </c>
      <c r="M649">
        <v>0</v>
      </c>
      <c r="O649">
        <v>800000</v>
      </c>
      <c r="R649" t="s">
        <v>136</v>
      </c>
      <c r="S649">
        <v>0.00010267931578947368</v>
      </c>
      <c r="T649">
        <v>0.00020659078336842106</v>
      </c>
      <c r="U649" t="s">
        <v>137</v>
      </c>
      <c r="V649">
        <v>0.0014375104210526315</v>
      </c>
      <c r="W649">
        <v>0.042613148204421053</v>
      </c>
      <c r="X649" t="s">
        <v>138</v>
      </c>
      <c r="Y649">
        <v>0.0025567888922652634</v>
      </c>
      <c r="Z649">
        <v>0</v>
      </c>
      <c r="AA649" t="s">
        <v>139</v>
      </c>
      <c r="AB649">
        <v>0.0051135777845305267</v>
      </c>
      <c r="AC649">
        <v>0.050283514881216844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Q649" t="s">
        <v>140</v>
      </c>
      <c r="AR649" t="s">
        <v>141</v>
      </c>
      <c r="AS649">
        <v>0.041071726315789474</v>
      </c>
    </row>
    <row r="650" spans="1:45" ht="12.75">
      <c r="A650" s="2" t="str">
        <f>HYPERLINK("https://ibp.a2mac1.com/costing(costing:projects/details/8191/material/5319829)","PP")</f>
        <v>PP</v>
      </c>
      <c r="B650">
        <v>5319829</v>
      </c>
      <c r="C650">
        <v>6975433</v>
      </c>
      <c r="E650">
        <v>1.0113799999999999</v>
      </c>
      <c r="F650" t="s">
        <v>3403</v>
      </c>
      <c r="G650">
        <v>95</v>
      </c>
      <c r="H650" t="s">
        <v>5380</v>
      </c>
      <c r="I650">
        <v>5</v>
      </c>
      <c r="J650">
        <v>0.50345253019720215</v>
      </c>
      <c r="K650">
        <v>0</v>
      </c>
      <c r="M650">
        <v>0</v>
      </c>
      <c r="O650">
        <v>200000</v>
      </c>
      <c r="R650" t="s">
        <v>136</v>
      </c>
      <c r="S650">
        <v>0.00021292210526315788</v>
      </c>
      <c r="T650">
        <v>0.00043095434105263161</v>
      </c>
      <c r="U650" t="s">
        <v>137</v>
      </c>
      <c r="V650">
        <v>0.0029809094736842107</v>
      </c>
      <c r="W650">
        <v>0.088367783814736839</v>
      </c>
      <c r="X650" t="s">
        <v>138</v>
      </c>
      <c r="Y650">
        <v>0.0053020670288842107</v>
      </c>
      <c r="Z650">
        <v>0</v>
      </c>
      <c r="AA650" t="s">
        <v>139</v>
      </c>
      <c r="AB650">
        <v>0.010604134057768421</v>
      </c>
      <c r="AC650">
        <v>0.10427398490138948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Q650" t="s">
        <v>140</v>
      </c>
      <c r="AR650" t="s">
        <v>141</v>
      </c>
      <c r="AS650">
        <v>0.085168842105263154</v>
      </c>
    </row>
    <row r="651" spans="1:45" ht="12.75">
      <c r="A651" s="2" t="str">
        <f>HYPERLINK("https://ibp.a2mac1.com/costing(costing:projects/details/8191/material/5319830)","PP")</f>
        <v>PP</v>
      </c>
      <c r="B651">
        <v>5319830</v>
      </c>
      <c r="C651">
        <v>6975434</v>
      </c>
      <c r="E651">
        <v>1.0113799999999999</v>
      </c>
      <c r="F651" t="s">
        <v>3403</v>
      </c>
      <c r="G651">
        <v>95</v>
      </c>
      <c r="H651" t="s">
        <v>5380</v>
      </c>
      <c r="I651">
        <v>5</v>
      </c>
      <c r="J651">
        <v>0.50345253019720215</v>
      </c>
      <c r="K651">
        <v>0</v>
      </c>
      <c r="M651">
        <v>0</v>
      </c>
      <c r="O651">
        <v>200000</v>
      </c>
      <c r="R651" t="s">
        <v>136</v>
      </c>
      <c r="S651">
        <v>0.00021292210526315788</v>
      </c>
      <c r="T651">
        <v>0.00043095434105263161</v>
      </c>
      <c r="U651" t="s">
        <v>137</v>
      </c>
      <c r="V651">
        <v>0.0029809094736842107</v>
      </c>
      <c r="W651">
        <v>0.088367783814736839</v>
      </c>
      <c r="X651" t="s">
        <v>138</v>
      </c>
      <c r="Y651">
        <v>0.0053020670288842107</v>
      </c>
      <c r="Z651">
        <v>0</v>
      </c>
      <c r="AA651" t="s">
        <v>139</v>
      </c>
      <c r="AB651">
        <v>0.010604134057768421</v>
      </c>
      <c r="AC651">
        <v>0.10427398490138948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Q651" t="s">
        <v>140</v>
      </c>
      <c r="AR651" t="s">
        <v>141</v>
      </c>
      <c r="AS651">
        <v>0.085168842105263154</v>
      </c>
    </row>
    <row r="652" spans="1:45" ht="12.75">
      <c r="A652" s="2" t="str">
        <f>HYPERLINK("https://ibp.a2mac1.com/costing(costing:projects/details/8191/material/5319831)","POM")</f>
        <v>POM</v>
      </c>
      <c r="B652">
        <v>5319831</v>
      </c>
      <c r="C652">
        <v>6975435</v>
      </c>
      <c r="E652">
        <v>2.12338</v>
      </c>
      <c r="F652" t="s">
        <v>3132</v>
      </c>
      <c r="G652">
        <v>95</v>
      </c>
      <c r="H652" t="s">
        <v>3133</v>
      </c>
      <c r="I652">
        <v>5</v>
      </c>
      <c r="J652">
        <v>0.50345253019720215</v>
      </c>
      <c r="K652">
        <v>0</v>
      </c>
      <c r="L652">
        <v>0</v>
      </c>
      <c r="M652">
        <v>0</v>
      </c>
      <c r="O652">
        <v>200000</v>
      </c>
      <c r="R652" t="s">
        <v>136</v>
      </c>
      <c r="S652">
        <v>1.1175684210526315E-05</v>
      </c>
      <c r="T652">
        <v>2.2619584842105264E-05</v>
      </c>
      <c r="U652" t="s">
        <v>137</v>
      </c>
      <c r="V652">
        <v>0.00015645957894736841</v>
      </c>
      <c r="W652">
        <v>0.0046381771637894736</v>
      </c>
      <c r="X652" t="s">
        <v>138</v>
      </c>
      <c r="Y652">
        <v>0.00027829062982736842</v>
      </c>
      <c r="Z652">
        <v>0</v>
      </c>
      <c r="AA652" t="s">
        <v>139</v>
      </c>
      <c r="AB652">
        <v>0.00055658125965473684</v>
      </c>
      <c r="AC652">
        <v>0.0054730490532715788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P652" t="s">
        <v>5390</v>
      </c>
      <c r="AQ652" t="s">
        <v>140</v>
      </c>
      <c r="AR652" t="s">
        <v>141</v>
      </c>
      <c r="AS652">
        <v>0.0044702736842105262</v>
      </c>
    </row>
    <row r="653" spans="1:45" ht="12.75">
      <c r="A653" s="2" t="str">
        <f>HYPERLINK("https://ibp.a2mac1.com/costing(costing:projects/details/8191/material/5320264)","Standard Structural Steel sheet")</f>
        <v>Standard Structural Steel sheet</v>
      </c>
      <c r="B653">
        <v>5320264</v>
      </c>
      <c r="C653">
        <v>6975820</v>
      </c>
      <c r="E653">
        <v>0.61129999999999995</v>
      </c>
      <c r="F653" t="s">
        <v>5398</v>
      </c>
      <c r="G653">
        <v>75</v>
      </c>
      <c r="H653" t="s">
        <v>5399</v>
      </c>
      <c r="I653">
        <v>30</v>
      </c>
      <c r="J653">
        <v>0.10389195236953569</v>
      </c>
      <c r="K653">
        <v>0</v>
      </c>
      <c r="L653">
        <v>0</v>
      </c>
      <c r="M653">
        <v>0</v>
      </c>
      <c r="O653">
        <v>200000</v>
      </c>
      <c r="R653" t="s">
        <v>136</v>
      </c>
      <c r="S653">
        <v>0.26163639999999999</v>
      </c>
      <c r="T653">
        <v>0.0036280247466666665</v>
      </c>
      <c r="U653" t="s">
        <v>137</v>
      </c>
      <c r="V653">
        <v>0.12209698666666667</v>
      </c>
      <c r="W653">
        <v>3.3525739447466667</v>
      </c>
      <c r="X653" t="s">
        <v>90</v>
      </c>
      <c r="Y653">
        <v>0</v>
      </c>
      <c r="Z653">
        <v>0</v>
      </c>
      <c r="AA653" t="s">
        <v>90</v>
      </c>
      <c r="AB653">
        <v>0</v>
      </c>
      <c r="AC653">
        <v>3.3525739447466667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Q653" t="s">
        <v>140</v>
      </c>
      <c r="AR653" t="s">
        <v>141</v>
      </c>
      <c r="AS653">
        <v>3.4884853333333332</v>
      </c>
    </row>
    <row r="654" spans="1:45" ht="12.75">
      <c r="A654" s="2" t="str">
        <f>HYPERLINK("https://ibp.a2mac1.com/costing(costing:projects/details/8191/material/5320265)","Standard Structural Steel sheet")</f>
        <v>Standard Structural Steel sheet</v>
      </c>
      <c r="B654">
        <v>5320265</v>
      </c>
      <c r="C654">
        <v>6975821</v>
      </c>
      <c r="E654">
        <v>0.61129999999999995</v>
      </c>
      <c r="F654" t="s">
        <v>5403</v>
      </c>
      <c r="G654">
        <v>85</v>
      </c>
      <c r="H654" t="s">
        <v>5404</v>
      </c>
      <c r="I654">
        <v>30</v>
      </c>
      <c r="J654">
        <v>0.10389195236953569</v>
      </c>
      <c r="K654">
        <v>0</v>
      </c>
      <c r="L654">
        <v>0</v>
      </c>
      <c r="M654">
        <v>0</v>
      </c>
      <c r="O654">
        <v>200000</v>
      </c>
      <c r="R654" t="s">
        <v>136</v>
      </c>
      <c r="S654">
        <v>0.021359541176470587</v>
      </c>
      <c r="T654">
        <v>0.00049364272941176469</v>
      </c>
      <c r="U654" t="s">
        <v>137</v>
      </c>
      <c r="V654">
        <v>0.016612976470588237</v>
      </c>
      <c r="W654">
        <v>0.4704035486117647</v>
      </c>
      <c r="X654" t="s">
        <v>138</v>
      </c>
      <c r="Y654">
        <v>0.028224212916705883</v>
      </c>
      <c r="Z654">
        <v>0</v>
      </c>
      <c r="AA654" t="s">
        <v>139</v>
      </c>
      <c r="AB654">
        <v>0.056448425833411767</v>
      </c>
      <c r="AC654">
        <v>0.55507618736188236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Q654" t="s">
        <v>140</v>
      </c>
      <c r="AR654" t="s">
        <v>141</v>
      </c>
      <c r="AS654">
        <v>0.47465647058823529</v>
      </c>
    </row>
    <row r="655" spans="1:45" ht="12.75">
      <c r="A655" s="2" t="str">
        <f>HYPERLINK("https://ibp.a2mac1.com/costing(costing:projects/details/8191/material/5320266)","Standard Structural Steel sheet")</f>
        <v>Standard Structural Steel sheet</v>
      </c>
      <c r="B655">
        <v>5320266</v>
      </c>
      <c r="C655">
        <v>6975822</v>
      </c>
      <c r="E655">
        <v>0.61129999999999995</v>
      </c>
      <c r="F655" t="s">
        <v>5407</v>
      </c>
      <c r="G655">
        <v>85</v>
      </c>
      <c r="H655" t="s">
        <v>5408</v>
      </c>
      <c r="I655">
        <v>30</v>
      </c>
      <c r="J655">
        <v>0.10389195236953569</v>
      </c>
      <c r="K655">
        <v>0</v>
      </c>
      <c r="L655">
        <v>0</v>
      </c>
      <c r="M655">
        <v>0</v>
      </c>
      <c r="O655">
        <v>200000</v>
      </c>
      <c r="R655" t="s">
        <v>136</v>
      </c>
      <c r="S655">
        <v>0.0058253294117647063</v>
      </c>
      <c r="T655">
        <v>0.00013462983529411763</v>
      </c>
      <c r="U655" t="s">
        <v>137</v>
      </c>
      <c r="V655">
        <v>0.004530811764705882</v>
      </c>
      <c r="W655">
        <v>0.12829187689411764</v>
      </c>
      <c r="X655" t="s">
        <v>138</v>
      </c>
      <c r="Y655">
        <v>0.0076975126136470586</v>
      </c>
      <c r="Z655">
        <v>0</v>
      </c>
      <c r="AA655" t="s">
        <v>139</v>
      </c>
      <c r="AB655">
        <v>0.015395025227294117</v>
      </c>
      <c r="AC655">
        <v>0.15138441473505881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Q655" t="s">
        <v>140</v>
      </c>
      <c r="AR655" t="s">
        <v>141</v>
      </c>
      <c r="AS655">
        <v>0.12945176470588235</v>
      </c>
    </row>
    <row r="656" spans="1:45" ht="12.75">
      <c r="A656" s="2" t="str">
        <f>HYPERLINK("https://ibp.a2mac1.com/costing(costing:projects/details/8191/material/5320267)","Standard Structural Steel sheet")</f>
        <v>Standard Structural Steel sheet</v>
      </c>
      <c r="B656">
        <v>5320267</v>
      </c>
      <c r="C656">
        <v>6975823</v>
      </c>
      <c r="E656">
        <v>0.61129999999999995</v>
      </c>
      <c r="F656" t="s">
        <v>5411</v>
      </c>
      <c r="G656">
        <v>80</v>
      </c>
      <c r="H656" t="s">
        <v>5412</v>
      </c>
      <c r="I656">
        <v>30</v>
      </c>
      <c r="J656">
        <v>0.1008980929261446</v>
      </c>
      <c r="K656">
        <v>0</v>
      </c>
      <c r="L656">
        <v>0</v>
      </c>
      <c r="M656">
        <v>0</v>
      </c>
      <c r="O656">
        <v>400000</v>
      </c>
      <c r="R656" t="s">
        <v>136</v>
      </c>
      <c r="S656">
        <v>0.016046624999999998</v>
      </c>
      <c r="T656">
        <v>0.00027011818749999997</v>
      </c>
      <c r="U656" t="s">
        <v>137</v>
      </c>
      <c r="V656">
        <v>0.0093605312499999999</v>
      </c>
      <c r="W656">
        <v>0.26102777443750003</v>
      </c>
      <c r="X656" t="s">
        <v>138</v>
      </c>
      <c r="Y656">
        <v>0.015661666466250002</v>
      </c>
      <c r="Z656">
        <v>0</v>
      </c>
      <c r="AA656" t="s">
        <v>139</v>
      </c>
      <c r="AB656">
        <v>0.031323332932500003</v>
      </c>
      <c r="AC656">
        <v>0.30801277383624998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Q656" t="s">
        <v>140</v>
      </c>
      <c r="AR656" t="s">
        <v>141</v>
      </c>
      <c r="AS656">
        <v>0.26744374999999998</v>
      </c>
    </row>
    <row r="657" spans="1:45" ht="12.75">
      <c r="A657" s="2" t="str">
        <f>HYPERLINK("https://ibp.a2mac1.com/costing(costing:projects/details/8191/material/5320099)","Standard Structural Steel sheet")</f>
        <v>Standard Structural Steel sheet</v>
      </c>
      <c r="B657">
        <v>5320099</v>
      </c>
      <c r="C657">
        <v>6975676</v>
      </c>
      <c r="E657">
        <v>0.61129999999999995</v>
      </c>
      <c r="F657" t="s">
        <v>5416</v>
      </c>
      <c r="G657">
        <v>75</v>
      </c>
      <c r="H657" t="s">
        <v>5417</v>
      </c>
      <c r="I657">
        <v>30</v>
      </c>
      <c r="J657">
        <v>0.10389195236953569</v>
      </c>
      <c r="K657">
        <v>0</v>
      </c>
      <c r="L657">
        <v>0</v>
      </c>
      <c r="M657">
        <v>0</v>
      </c>
      <c r="O657">
        <v>200000</v>
      </c>
      <c r="R657" t="s">
        <v>136</v>
      </c>
      <c r="S657">
        <v>0.1870578</v>
      </c>
      <c r="T657">
        <v>0.0025938681599999998</v>
      </c>
      <c r="U657" t="s">
        <v>137</v>
      </c>
      <c r="V657">
        <v>0.087293640000000006</v>
      </c>
      <c r="W657">
        <v>2.3969337081600002</v>
      </c>
      <c r="X657" t="s">
        <v>90</v>
      </c>
      <c r="Y657">
        <v>0</v>
      </c>
      <c r="Z657">
        <v>0</v>
      </c>
      <c r="AA657" t="s">
        <v>90</v>
      </c>
      <c r="AB657">
        <v>0</v>
      </c>
      <c r="AC657">
        <v>2.3969337081600002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Q657" t="s">
        <v>140</v>
      </c>
      <c r="AR657" t="s">
        <v>141</v>
      </c>
      <c r="AS657">
        <v>2.4941040000000001</v>
      </c>
    </row>
    <row r="658" spans="1:45" ht="12.75">
      <c r="A658" s="2" t="str">
        <f>HYPERLINK("https://ibp.a2mac1.com/costing(costing:projects/details/8191/material/5320268)","SMC")</f>
        <v>SMC</v>
      </c>
      <c r="B658">
        <v>5320268</v>
      </c>
      <c r="C658">
        <v>6975824</v>
      </c>
      <c r="E658">
        <v>2.2446299999999999</v>
      </c>
      <c r="F658" t="s">
        <v>5432</v>
      </c>
      <c r="G658">
        <v>90</v>
      </c>
      <c r="H658" t="s">
        <v>5433</v>
      </c>
      <c r="I658">
        <v>5</v>
      </c>
      <c r="J658">
        <v>0.10389195236953569</v>
      </c>
      <c r="K658">
        <v>0</v>
      </c>
      <c r="L658">
        <v>0</v>
      </c>
      <c r="M658">
        <v>0</v>
      </c>
      <c r="O658">
        <v>200000</v>
      </c>
      <c r="R658" t="s">
        <v>136</v>
      </c>
      <c r="S658">
        <v>0.051214974500000003</v>
      </c>
      <c r="T658">
        <v>0.010652714696</v>
      </c>
      <c r="U658" t="s">
        <v>137</v>
      </c>
      <c r="V658">
        <v>0.35850482150000001</v>
      </c>
      <c r="W658">
        <v>10.560937461696</v>
      </c>
      <c r="X658" t="s">
        <v>90</v>
      </c>
      <c r="Y658">
        <v>0</v>
      </c>
      <c r="Z658">
        <v>0</v>
      </c>
      <c r="AA658" t="s">
        <v>90</v>
      </c>
      <c r="AB658">
        <v>0</v>
      </c>
      <c r="AC658">
        <v>10.560937461696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Q658" t="s">
        <v>140</v>
      </c>
      <c r="AR658" t="s">
        <v>141</v>
      </c>
      <c r="AS658">
        <v>10.242994899999999</v>
      </c>
    </row>
    <row r="659" spans="1:45" ht="12.75">
      <c r="A659" s="2" t="str">
        <f>HYPERLINK("https://ibp.a2mac1.com/costing(costing:projects/details/8191/material/5320269)","PP-GF40")</f>
        <v>PP-GF40</v>
      </c>
      <c r="B659">
        <v>5320269</v>
      </c>
      <c r="C659">
        <v>6975825</v>
      </c>
      <c r="E659">
        <v>1.1950499999999999</v>
      </c>
      <c r="F659" t="s">
        <v>5437</v>
      </c>
      <c r="G659">
        <v>95</v>
      </c>
      <c r="H659" t="s">
        <v>5438</v>
      </c>
      <c r="I659">
        <v>30</v>
      </c>
      <c r="J659">
        <v>0.10389195236953569</v>
      </c>
      <c r="K659">
        <v>0</v>
      </c>
      <c r="L659">
        <v>0</v>
      </c>
      <c r="M659">
        <v>0</v>
      </c>
      <c r="O659">
        <v>200000</v>
      </c>
      <c r="R659" t="s">
        <v>136</v>
      </c>
      <c r="S659">
        <v>0.021699592105263159</v>
      </c>
      <c r="T659">
        <v>0.0015045050526315789</v>
      </c>
      <c r="U659" t="s">
        <v>137</v>
      </c>
      <c r="V659">
        <v>0.050632381578947366</v>
      </c>
      <c r="W659">
        <v>1.4770767682105264</v>
      </c>
      <c r="X659" t="s">
        <v>138</v>
      </c>
      <c r="Y659">
        <v>0.088624606092631578</v>
      </c>
      <c r="Z659">
        <v>0</v>
      </c>
      <c r="AA659" t="s">
        <v>139</v>
      </c>
      <c r="AB659">
        <v>0.17724921218526316</v>
      </c>
      <c r="AC659">
        <v>1.7429505864884212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Q659" t="s">
        <v>140</v>
      </c>
      <c r="AR659" t="s">
        <v>141</v>
      </c>
      <c r="AS659">
        <v>1.4466394736842105</v>
      </c>
    </row>
    <row r="660" spans="1:45" ht="12.75">
      <c r="A660" s="2" t="str">
        <f>HYPERLINK("https://ibp.a2mac1.com/costing(costing:projects/details/8191/material/5320270)","PP  T20")</f>
        <v>PP  T20</v>
      </c>
      <c r="B660">
        <v>5320270</v>
      </c>
      <c r="C660">
        <v>6975826</v>
      </c>
      <c r="E660">
        <v>1.75427</v>
      </c>
      <c r="F660" t="s">
        <v>5443</v>
      </c>
      <c r="G660">
        <v>95</v>
      </c>
      <c r="H660" t="s">
        <v>5444</v>
      </c>
      <c r="I660">
        <v>0</v>
      </c>
      <c r="J660">
        <v>0.10389195236953569</v>
      </c>
      <c r="K660">
        <v>0</v>
      </c>
      <c r="L660">
        <v>0</v>
      </c>
      <c r="M660">
        <v>0</v>
      </c>
      <c r="O660">
        <v>200000</v>
      </c>
      <c r="R660" t="s">
        <v>136</v>
      </c>
      <c r="S660">
        <v>0</v>
      </c>
      <c r="T660">
        <v>0.0021297945759999998</v>
      </c>
      <c r="U660" t="s">
        <v>137</v>
      </c>
      <c r="V660">
        <v>0.071675778999999995</v>
      </c>
      <c r="W660">
        <v>2.1216849735759999</v>
      </c>
      <c r="X660" t="s">
        <v>90</v>
      </c>
      <c r="Y660">
        <v>0</v>
      </c>
      <c r="Z660">
        <v>0</v>
      </c>
      <c r="AA660" t="s">
        <v>90</v>
      </c>
      <c r="AB660">
        <v>0</v>
      </c>
      <c r="AC660">
        <v>2.1216849735759999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P660" t="s">
        <v>5445</v>
      </c>
      <c r="AQ660" t="s">
        <v>9</v>
      </c>
      <c r="AR660" t="s">
        <v>141</v>
      </c>
      <c r="AS660">
        <v>2.0478793999999998</v>
      </c>
    </row>
    <row r="661" spans="1:45" ht="12.75">
      <c r="A661" s="2" t="str">
        <f>HYPERLINK("https://ibp.a2mac1.com/costing(costing:projects/details/8191/material/5320271)","PP  T20")</f>
        <v>PP  T20</v>
      </c>
      <c r="B661">
        <v>5320271</v>
      </c>
      <c r="C661">
        <v>6975827</v>
      </c>
      <c r="E661">
        <v>1.75427</v>
      </c>
      <c r="F661" t="s">
        <v>5448</v>
      </c>
      <c r="G661">
        <v>95</v>
      </c>
      <c r="H661" t="s">
        <v>5449</v>
      </c>
      <c r="I661">
        <v>0</v>
      </c>
      <c r="J661">
        <v>0.10389195236953569</v>
      </c>
      <c r="K661">
        <v>0</v>
      </c>
      <c r="L661">
        <v>0</v>
      </c>
      <c r="M661">
        <v>0</v>
      </c>
      <c r="O661">
        <v>200000</v>
      </c>
      <c r="R661" t="s">
        <v>136</v>
      </c>
      <c r="S661">
        <v>0</v>
      </c>
      <c r="T661">
        <v>0.0020222485920000002</v>
      </c>
      <c r="U661" t="s">
        <v>137</v>
      </c>
      <c r="V661">
        <v>0.068056442999999994</v>
      </c>
      <c r="W661">
        <v>2.014548491592</v>
      </c>
      <c r="X661" t="s">
        <v>90</v>
      </c>
      <c r="Y661">
        <v>0</v>
      </c>
      <c r="Z661">
        <v>0</v>
      </c>
      <c r="AA661" t="s">
        <v>90</v>
      </c>
      <c r="AB661">
        <v>0</v>
      </c>
      <c r="AC661">
        <v>2.014548491592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P661" t="s">
        <v>5445</v>
      </c>
      <c r="AQ661" t="s">
        <v>9</v>
      </c>
      <c r="AR661" t="s">
        <v>141</v>
      </c>
      <c r="AS661">
        <v>1.9444698</v>
      </c>
    </row>
    <row r="662" spans="1:45" ht="12.75">
      <c r="A662" s="2" t="str">
        <f>HYPERLINK("https://ibp.a2mac1.com/costing(costing:projects/details/8191/material/5320272)","Standard Structural Steel sheet")</f>
        <v>Standard Structural Steel sheet</v>
      </c>
      <c r="B662">
        <v>5320272</v>
      </c>
      <c r="C662">
        <v>6975828</v>
      </c>
      <c r="E662">
        <v>0.61129999999999995</v>
      </c>
      <c r="F662" t="s">
        <v>2822</v>
      </c>
      <c r="G662">
        <v>60</v>
      </c>
      <c r="H662" t="s">
        <v>5453</v>
      </c>
      <c r="I662">
        <v>30</v>
      </c>
      <c r="J662">
        <v>0.10389195236953569</v>
      </c>
      <c r="K662">
        <v>0</v>
      </c>
      <c r="L662">
        <v>0</v>
      </c>
      <c r="M662">
        <v>0</v>
      </c>
      <c r="O662">
        <v>200000</v>
      </c>
      <c r="R662" t="s">
        <v>136</v>
      </c>
      <c r="S662">
        <v>0.041568399999999998</v>
      </c>
      <c r="T662">
        <v>0.00036025946666666666</v>
      </c>
      <c r="U662" t="s">
        <v>137</v>
      </c>
      <c r="V662">
        <v>0.012124116666666667</v>
      </c>
      <c r="W662">
        <v>0.31731930946666664</v>
      </c>
      <c r="X662" t="s">
        <v>138</v>
      </c>
      <c r="Y662">
        <v>0.019039158568000002</v>
      </c>
      <c r="Z662">
        <v>0</v>
      </c>
      <c r="AA662" t="s">
        <v>139</v>
      </c>
      <c r="AB662">
        <v>0.038078317136000003</v>
      </c>
      <c r="AC662">
        <v>0.37443678517066664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Q662" t="s">
        <v>140</v>
      </c>
      <c r="AR662" t="s">
        <v>141</v>
      </c>
      <c r="AS662">
        <v>0.34640333333333334</v>
      </c>
    </row>
    <row r="663" spans="1:45" ht="12.75">
      <c r="A663" s="2" t="str">
        <f>HYPERLINK("https://ibp.a2mac1.com/costing(costing:projects/details/8191/material/5320100)","PP-PE")</f>
        <v>PP-PE</v>
      </c>
      <c r="B663">
        <v>5320100</v>
      </c>
      <c r="C663">
        <v>6975677</v>
      </c>
      <c r="E663">
        <v>1.34768</v>
      </c>
      <c r="F663" t="s">
        <v>2750</v>
      </c>
      <c r="G663">
        <v>98.039199999999994</v>
      </c>
      <c r="H663" t="s">
        <v>5460</v>
      </c>
      <c r="I663">
        <v>5</v>
      </c>
      <c r="J663">
        <v>0.20557651238448796</v>
      </c>
      <c r="K663">
        <v>0</v>
      </c>
      <c r="M663">
        <v>0</v>
      </c>
      <c r="O663">
        <v>200000</v>
      </c>
      <c r="R663" t="s">
        <v>136</v>
      </c>
      <c r="S663">
        <v>4.3126111906257908E-05</v>
      </c>
      <c r="T663">
        <v>9.0615861410537829E-05</v>
      </c>
      <c r="U663" t="s">
        <v>137</v>
      </c>
      <c r="V663">
        <v>0.0015395898783343805</v>
      </c>
      <c r="W663">
        <v>0.045575361865963816</v>
      </c>
      <c r="X663" t="s">
        <v>138</v>
      </c>
      <c r="Y663">
        <v>0.0027345217119578292</v>
      </c>
      <c r="Z663">
        <v>0</v>
      </c>
      <c r="AA663" t="s">
        <v>139</v>
      </c>
      <c r="AB663">
        <v>0.0054690434239156585</v>
      </c>
      <c r="AC663">
        <v>0.053778927001837305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Q663" t="s">
        <v>140</v>
      </c>
      <c r="AR663" t="s">
        <v>141</v>
      </c>
      <c r="AS663">
        <v>0.043988282238125155</v>
      </c>
    </row>
    <row r="664" spans="1:45" ht="12.75">
      <c r="A664" s="2" t="str">
        <f>HYPERLINK("https://ibp.a2mac1.com/costing(costing:projects/details/8191/material/5320101)","PP-PE")</f>
        <v>PP-PE</v>
      </c>
      <c r="B664">
        <v>5320101</v>
      </c>
      <c r="C664">
        <v>6975680</v>
      </c>
      <c r="E664">
        <v>1.34768</v>
      </c>
      <c r="F664" t="s">
        <v>2750</v>
      </c>
      <c r="G664">
        <v>98.039199999999994</v>
      </c>
      <c r="H664" t="s">
        <v>5460</v>
      </c>
      <c r="I664">
        <v>5</v>
      </c>
      <c r="J664">
        <v>0.20557651238448796</v>
      </c>
      <c r="K664">
        <v>0</v>
      </c>
      <c r="M664">
        <v>0</v>
      </c>
      <c r="O664">
        <v>200000</v>
      </c>
      <c r="R664" t="s">
        <v>136</v>
      </c>
      <c r="S664">
        <v>4.3126111906257908E-05</v>
      </c>
      <c r="T664">
        <v>9.0615861410537829E-05</v>
      </c>
      <c r="U664" t="s">
        <v>137</v>
      </c>
      <c r="V664">
        <v>0.0015395898783343805</v>
      </c>
      <c r="W664">
        <v>0.045575361865963816</v>
      </c>
      <c r="X664" t="s">
        <v>138</v>
      </c>
      <c r="Y664">
        <v>0.0027345217119578292</v>
      </c>
      <c r="Z664">
        <v>0</v>
      </c>
      <c r="AA664" t="s">
        <v>139</v>
      </c>
      <c r="AB664">
        <v>0.0054690434239156585</v>
      </c>
      <c r="AC664">
        <v>0.053778927001837305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Q664" t="s">
        <v>140</v>
      </c>
      <c r="AR664" t="s">
        <v>141</v>
      </c>
      <c r="AS664">
        <v>0.043988282238125155</v>
      </c>
    </row>
    <row r="665" spans="1:45" ht="12.75">
      <c r="A665" s="2" t="str">
        <f>HYPERLINK("https://ibp.a2mac1.com/costing(costing:projects/details/8191/material/5319832)","PP-PE")</f>
        <v>PP-PE</v>
      </c>
      <c r="B665">
        <v>5319832</v>
      </c>
      <c r="C665">
        <v>6975436</v>
      </c>
      <c r="E665">
        <v>1.34768</v>
      </c>
      <c r="F665" t="s">
        <v>5471</v>
      </c>
      <c r="G665">
        <v>98.039199999999994</v>
      </c>
      <c r="H665" t="s">
        <v>5472</v>
      </c>
      <c r="I665">
        <v>5</v>
      </c>
      <c r="J665">
        <v>0.20557651238448796</v>
      </c>
      <c r="K665">
        <v>0</v>
      </c>
      <c r="M665">
        <v>0</v>
      </c>
      <c r="O665">
        <v>200000</v>
      </c>
      <c r="R665" t="s">
        <v>136</v>
      </c>
      <c r="S665">
        <v>0.0028234126388628224</v>
      </c>
      <c r="T665">
        <v>0.0059325071767211482</v>
      </c>
      <c r="U665" t="s">
        <v>137</v>
      </c>
      <c r="V665">
        <v>0.10079502484720397</v>
      </c>
      <c r="W665">
        <v>2.9837619721623185</v>
      </c>
      <c r="X665" t="s">
        <v>138</v>
      </c>
      <c r="Y665">
        <v>0.17902571832973913</v>
      </c>
      <c r="Z665">
        <v>0</v>
      </c>
      <c r="AA665" t="s">
        <v>139</v>
      </c>
      <c r="AB665">
        <v>0.35805143665947825</v>
      </c>
      <c r="AC665">
        <v>3.520839127151536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Q665" t="s">
        <v>140</v>
      </c>
      <c r="AR665" t="s">
        <v>141</v>
      </c>
      <c r="AS665">
        <v>2.8798578527772563</v>
      </c>
    </row>
    <row r="666" spans="1:45" ht="12.75">
      <c r="A666" s="2" t="str">
        <f>HYPERLINK("https://ibp.a2mac1.com/costing(costing:projects/details/8191/material/5319833)","PP-PE")</f>
        <v>PP-PE</v>
      </c>
      <c r="B666">
        <v>5319833</v>
      </c>
      <c r="C666">
        <v>6975439</v>
      </c>
      <c r="E666">
        <v>1.34768</v>
      </c>
      <c r="F666" t="s">
        <v>5477</v>
      </c>
      <c r="G666">
        <v>93.370699999999999</v>
      </c>
      <c r="H666" t="s">
        <v>5478</v>
      </c>
      <c r="I666">
        <v>5</v>
      </c>
      <c r="J666">
        <v>0.20557651238448796</v>
      </c>
      <c r="K666">
        <v>0</v>
      </c>
      <c r="M666">
        <v>0</v>
      </c>
      <c r="O666">
        <v>200000</v>
      </c>
      <c r="R666" t="s">
        <v>136</v>
      </c>
      <c r="S666">
        <v>0.0038130470769352698</v>
      </c>
      <c r="T666">
        <v>0.0023697455171697332</v>
      </c>
      <c r="U666" t="s">
        <v>137</v>
      </c>
      <c r="V666">
        <v>0.040262666553854687</v>
      </c>
      <c r="W666">
        <v>1.1891812665327945</v>
      </c>
      <c r="X666" t="s">
        <v>138</v>
      </c>
      <c r="Y666">
        <v>0.071350875991967669</v>
      </c>
      <c r="Z666">
        <v>0</v>
      </c>
      <c r="AA666" t="s">
        <v>139</v>
      </c>
      <c r="AB666">
        <v>0.14270175198393534</v>
      </c>
      <c r="AC666">
        <v>1.4032338945086975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Q666" t="s">
        <v>140</v>
      </c>
      <c r="AR666" t="s">
        <v>141</v>
      </c>
      <c r="AS666">
        <v>1.1503619015387054</v>
      </c>
    </row>
    <row r="667" spans="1:45" ht="12.75">
      <c r="A667" s="2" t="str">
        <f>HYPERLINK("https://ibp.a2mac1.com/costing(costing:projects/details/8191/material/5319834)","PP-PE")</f>
        <v>PP-PE</v>
      </c>
      <c r="B667">
        <v>5319834</v>
      </c>
      <c r="C667">
        <v>6975441</v>
      </c>
      <c r="E667">
        <v>1.34768</v>
      </c>
      <c r="F667" t="s">
        <v>5483</v>
      </c>
      <c r="G667">
        <v>98.039199999999994</v>
      </c>
      <c r="H667" t="s">
        <v>5484</v>
      </c>
      <c r="I667">
        <v>5</v>
      </c>
      <c r="J667">
        <v>0.20557651238448796</v>
      </c>
      <c r="K667">
        <v>0</v>
      </c>
      <c r="M667">
        <v>0</v>
      </c>
      <c r="O667">
        <v>200000</v>
      </c>
      <c r="R667" t="s">
        <v>136</v>
      </c>
      <c r="S667">
        <v>0.00059567942070518727</v>
      </c>
      <c r="T667">
        <v>0.0012516315857330537</v>
      </c>
      <c r="U667" t="s">
        <v>137</v>
      </c>
      <c r="V667">
        <v>0.02126558519449363</v>
      </c>
      <c r="W667">
        <v>0.6295096857736252</v>
      </c>
      <c r="X667" t="s">
        <v>138</v>
      </c>
      <c r="Y667">
        <v>0.037770581146417515</v>
      </c>
      <c r="Z667">
        <v>0</v>
      </c>
      <c r="AA667" t="s">
        <v>139</v>
      </c>
      <c r="AB667">
        <v>0.075541162292835029</v>
      </c>
      <c r="AC667">
        <v>0.74282142921287775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Q667" t="s">
        <v>140</v>
      </c>
      <c r="AR667" t="s">
        <v>141</v>
      </c>
      <c r="AS667">
        <v>0.6075881484141038</v>
      </c>
    </row>
    <row r="668" spans="1:45" ht="12.75">
      <c r="A668" s="2" t="str">
        <f>HYPERLINK("https://ibp.a2mac1.com/costing(costing:projects/details/8191/material/5319835)","PP-PE")</f>
        <v>PP-PE</v>
      </c>
      <c r="B668">
        <v>5319835</v>
      </c>
      <c r="C668">
        <v>6975443</v>
      </c>
      <c r="E668">
        <v>1.34768</v>
      </c>
      <c r="F668" t="s">
        <v>5483</v>
      </c>
      <c r="G668">
        <v>98.039199999999994</v>
      </c>
      <c r="H668" t="s">
        <v>5484</v>
      </c>
      <c r="I668">
        <v>5</v>
      </c>
      <c r="J668">
        <v>0.20557651238448796</v>
      </c>
      <c r="K668">
        <v>0</v>
      </c>
      <c r="M668">
        <v>0</v>
      </c>
      <c r="O668">
        <v>200000</v>
      </c>
      <c r="R668" t="s">
        <v>136</v>
      </c>
      <c r="S668">
        <v>0.00059567942070518727</v>
      </c>
      <c r="T668">
        <v>0.0012516315857330537</v>
      </c>
      <c r="U668" t="s">
        <v>137</v>
      </c>
      <c r="V668">
        <v>0.02126558519449363</v>
      </c>
      <c r="W668">
        <v>0.6295096857736252</v>
      </c>
      <c r="X668" t="s">
        <v>138</v>
      </c>
      <c r="Y668">
        <v>0.037770581146417515</v>
      </c>
      <c r="Z668">
        <v>0</v>
      </c>
      <c r="AA668" t="s">
        <v>139</v>
      </c>
      <c r="AB668">
        <v>0.075541162292835029</v>
      </c>
      <c r="AC668">
        <v>0.74282142921287775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Q668" t="s">
        <v>140</v>
      </c>
      <c r="AR668" t="s">
        <v>141</v>
      </c>
      <c r="AS668">
        <v>0.6075881484141038</v>
      </c>
    </row>
    <row r="669" spans="1:45" ht="12.75">
      <c r="A669" s="2" t="str">
        <f>HYPERLINK("https://ibp.a2mac1.com/costing(costing:projects/details/8191/material/5320102)","Standard Structural Steel sheet")</f>
        <v>Standard Structural Steel sheet</v>
      </c>
      <c r="B669">
        <v>5320102</v>
      </c>
      <c r="C669">
        <v>6975681</v>
      </c>
      <c r="E669">
        <v>0.61129999999999995</v>
      </c>
      <c r="F669" t="s">
        <v>5496</v>
      </c>
      <c r="G669">
        <v>80</v>
      </c>
      <c r="H669" t="s">
        <v>5497</v>
      </c>
      <c r="I669">
        <v>30</v>
      </c>
      <c r="J669">
        <v>0.1008980929261446</v>
      </c>
      <c r="K669">
        <v>0</v>
      </c>
      <c r="L669">
        <v>0</v>
      </c>
      <c r="M669">
        <v>0</v>
      </c>
      <c r="O669">
        <v>800000</v>
      </c>
      <c r="R669" t="s">
        <v>136</v>
      </c>
      <c r="S669">
        <v>0.0041262750000000004</v>
      </c>
      <c r="T669">
        <v>6.9458962500000001E-05</v>
      </c>
      <c r="U669" t="s">
        <v>137</v>
      </c>
      <c r="V669">
        <v>0.0024069937500000001</v>
      </c>
      <c r="W669">
        <v>0.067121427712500001</v>
      </c>
      <c r="X669" t="s">
        <v>90</v>
      </c>
      <c r="Y669">
        <v>0</v>
      </c>
      <c r="Z669">
        <v>0</v>
      </c>
      <c r="AA669" t="s">
        <v>90</v>
      </c>
      <c r="AB669">
        <v>0</v>
      </c>
      <c r="AC669">
        <v>0.067121427712500001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Q669" t="s">
        <v>140</v>
      </c>
      <c r="AR669" t="s">
        <v>141</v>
      </c>
      <c r="AS669">
        <v>0.068771250000000006</v>
      </c>
    </row>
    <row r="670" spans="1:45" ht="12.75">
      <c r="A670" s="2" t="str">
        <f>HYPERLINK("https://ibp.a2mac1.com/costing(costing:projects/details/8191/material/5320103)","Standard Structural Steel sheet")</f>
        <v>Standard Structural Steel sheet</v>
      </c>
      <c r="B670">
        <v>5320103</v>
      </c>
      <c r="C670">
        <v>6975682</v>
      </c>
      <c r="E670">
        <v>0.61129999999999995</v>
      </c>
      <c r="F670" t="s">
        <v>2059</v>
      </c>
      <c r="G670">
        <v>80</v>
      </c>
      <c r="H670" t="s">
        <v>5501</v>
      </c>
      <c r="I670">
        <v>30</v>
      </c>
      <c r="J670">
        <v>0.1008980929261446</v>
      </c>
      <c r="K670">
        <v>0</v>
      </c>
      <c r="L670">
        <v>0</v>
      </c>
      <c r="M670">
        <v>0</v>
      </c>
      <c r="O670">
        <v>800000</v>
      </c>
      <c r="R670" t="s">
        <v>136</v>
      </c>
      <c r="S670">
        <v>0.00275085</v>
      </c>
      <c r="T670">
        <v>4.6305974999999998E-05</v>
      </c>
      <c r="U670" t="s">
        <v>137</v>
      </c>
      <c r="V670">
        <v>0.0016046624999999999</v>
      </c>
      <c r="W670">
        <v>0.044747618475000001</v>
      </c>
      <c r="X670" t="s">
        <v>90</v>
      </c>
      <c r="Y670">
        <v>0</v>
      </c>
      <c r="Z670">
        <v>0</v>
      </c>
      <c r="AA670" t="s">
        <v>90</v>
      </c>
      <c r="AB670">
        <v>0</v>
      </c>
      <c r="AC670">
        <v>0.044747618475000001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Q670" t="s">
        <v>140</v>
      </c>
      <c r="AR670" t="s">
        <v>141</v>
      </c>
      <c r="AS670">
        <v>0.045847499999999999</v>
      </c>
    </row>
    <row r="671" spans="1:45" ht="12.75">
      <c r="A671" s="2" t="str">
        <f>HYPERLINK("https://ibp.a2mac1.com/costing(costing:projects/details/8191/material/5319836)","EPDM")</f>
        <v>EPDM</v>
      </c>
      <c r="B671">
        <v>5319836</v>
      </c>
      <c r="C671">
        <v>6975444</v>
      </c>
      <c r="E671">
        <v>2.78701</v>
      </c>
      <c r="F671" t="s">
        <v>5508</v>
      </c>
      <c r="G671">
        <v>95</v>
      </c>
      <c r="H671" t="s">
        <v>5509</v>
      </c>
      <c r="I671">
        <v>5</v>
      </c>
      <c r="J671">
        <v>0.20557651238448796</v>
      </c>
      <c r="K671">
        <v>0</v>
      </c>
      <c r="L671">
        <v>0</v>
      </c>
      <c r="M671">
        <v>0</v>
      </c>
      <c r="O671">
        <v>200000</v>
      </c>
      <c r="R671" t="s">
        <v>136</v>
      </c>
      <c r="S671">
        <v>0.0070115304210526313</v>
      </c>
      <c r="T671">
        <v>0.0057775010669473686</v>
      </c>
      <c r="U671" t="s">
        <v>137</v>
      </c>
      <c r="V671">
        <v>0.098161425894736837</v>
      </c>
      <c r="W671">
        <v>2.9015395649616842</v>
      </c>
      <c r="X671" t="s">
        <v>138</v>
      </c>
      <c r="Y671">
        <v>0.17409237389770105</v>
      </c>
      <c r="Z671">
        <v>0</v>
      </c>
      <c r="AA671" t="s">
        <v>139</v>
      </c>
      <c r="AB671">
        <v>0.34818474779540209</v>
      </c>
      <c r="AC671">
        <v>3.4238166866547872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P671" t="s">
        <v>4818</v>
      </c>
      <c r="AQ671" t="s">
        <v>140</v>
      </c>
      <c r="AR671" t="s">
        <v>141</v>
      </c>
      <c r="AS671">
        <v>2.8046121684210528</v>
      </c>
    </row>
    <row r="672" spans="1:45" ht="12.75">
      <c r="A672" s="2" t="str">
        <f>HYPERLINK("https://ibp.a2mac1.com/costing(costing:projects/details/8191/material/5319837)","Standard Structural Steel sheet")</f>
        <v>Standard Structural Steel sheet</v>
      </c>
      <c r="B672">
        <v>5319837</v>
      </c>
      <c r="C672">
        <v>6975444</v>
      </c>
      <c r="E672">
        <v>0.61129999999999995</v>
      </c>
      <c r="F672" t="s">
        <v>3574</v>
      </c>
      <c r="G672">
        <v>95</v>
      </c>
      <c r="H672" t="s">
        <v>3575</v>
      </c>
      <c r="I672">
        <v>30</v>
      </c>
      <c r="J672">
        <v>0.20557651238448796</v>
      </c>
      <c r="K672">
        <v>0</v>
      </c>
      <c r="L672">
        <v>0</v>
      </c>
      <c r="M672">
        <v>0</v>
      </c>
      <c r="O672">
        <v>200000</v>
      </c>
      <c r="R672" t="s">
        <v>136</v>
      </c>
      <c r="S672">
        <v>0.002306853157894737</v>
      </c>
      <c r="T672">
        <v>0.00031680783368421054</v>
      </c>
      <c r="U672" t="s">
        <v>137</v>
      </c>
      <c r="V672">
        <v>0.0053826573684210522</v>
      </c>
      <c r="W672">
        <v>0.15718282257052632</v>
      </c>
      <c r="X672" t="s">
        <v>138</v>
      </c>
      <c r="Y672">
        <v>0.0094309693542315789</v>
      </c>
      <c r="Z672">
        <v>0</v>
      </c>
      <c r="AA672" t="s">
        <v>139</v>
      </c>
      <c r="AB672">
        <v>0.018861938708463158</v>
      </c>
      <c r="AC672">
        <v>0.18547573063322106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Q672" t="s">
        <v>140</v>
      </c>
      <c r="AR672" t="s">
        <v>141</v>
      </c>
      <c r="AS672">
        <v>0.15379021052631578</v>
      </c>
    </row>
    <row r="673" spans="1:45" ht="12.75">
      <c r="A673" s="2" t="str">
        <f>HYPERLINK("https://ibp.a2mac1.com/costing(costing:projects/details/8191/material/5319838)","EPDM")</f>
        <v>EPDM</v>
      </c>
      <c r="B673">
        <v>5319838</v>
      </c>
      <c r="C673">
        <v>6975446</v>
      </c>
      <c r="E673">
        <v>2.78701</v>
      </c>
      <c r="F673" t="s">
        <v>1788</v>
      </c>
      <c r="G673">
        <v>95</v>
      </c>
      <c r="H673" t="s">
        <v>5514</v>
      </c>
      <c r="I673">
        <v>5</v>
      </c>
      <c r="J673">
        <v>0.10389195236953569</v>
      </c>
      <c r="K673">
        <v>0</v>
      </c>
      <c r="L673">
        <v>0</v>
      </c>
      <c r="M673">
        <v>0</v>
      </c>
      <c r="O673">
        <v>200000</v>
      </c>
      <c r="R673" t="s">
        <v>136</v>
      </c>
      <c r="S673">
        <v>0.00065274707894736846</v>
      </c>
      <c r="T673">
        <v>0.00027154278484210526</v>
      </c>
      <c r="U673" t="s">
        <v>137</v>
      </c>
      <c r="V673">
        <v>0.0091384591052631574</v>
      </c>
      <c r="W673">
        <v>0.26985608639010528</v>
      </c>
      <c r="X673" t="s">
        <v>138</v>
      </c>
      <c r="Y673">
        <v>0.016191365183406317</v>
      </c>
      <c r="Z673">
        <v>0</v>
      </c>
      <c r="AA673" t="s">
        <v>139</v>
      </c>
      <c r="AB673">
        <v>0.032382730366812634</v>
      </c>
      <c r="AC673">
        <v>0.31843018194032419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P673" t="s">
        <v>4818</v>
      </c>
      <c r="AQ673" t="s">
        <v>140</v>
      </c>
      <c r="AR673" t="s">
        <v>141</v>
      </c>
      <c r="AS673">
        <v>0.26109883157894737</v>
      </c>
    </row>
    <row r="674" spans="1:45" ht="12.75">
      <c r="A674" s="2" t="str">
        <f>HYPERLINK("https://ibp.a2mac1.com/costing(costing:projects/details/8191/material/5319839)","EPDM")</f>
        <v>EPDM</v>
      </c>
      <c r="B674">
        <v>5319839</v>
      </c>
      <c r="C674">
        <v>6975447</v>
      </c>
      <c r="E674">
        <v>2.78701</v>
      </c>
      <c r="F674" t="s">
        <v>3035</v>
      </c>
      <c r="G674">
        <v>95</v>
      </c>
      <c r="H674" t="s">
        <v>3036</v>
      </c>
      <c r="I674">
        <v>5</v>
      </c>
      <c r="J674">
        <v>0.1008980929261446</v>
      </c>
      <c r="K674">
        <v>0</v>
      </c>
      <c r="L674">
        <v>0</v>
      </c>
      <c r="M674">
        <v>0</v>
      </c>
      <c r="O674">
        <v>400000</v>
      </c>
      <c r="R674" t="s">
        <v>136</v>
      </c>
      <c r="S674">
        <v>2.9336947368421052E-05</v>
      </c>
      <c r="T674">
        <v>1.1852126736842105E-05</v>
      </c>
      <c r="U674" t="s">
        <v>137</v>
      </c>
      <c r="V674">
        <v>0.00041071726315789473</v>
      </c>
      <c r="W674">
        <v>0.012128011389894737</v>
      </c>
      <c r="X674" t="s">
        <v>138</v>
      </c>
      <c r="Y674">
        <v>0.00072768068339368417</v>
      </c>
      <c r="Z674">
        <v>0</v>
      </c>
      <c r="AA674" t="s">
        <v>139</v>
      </c>
      <c r="AB674">
        <v>0.0014553613667873683</v>
      </c>
      <c r="AC674">
        <v>0.014311053440075789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P674" t="s">
        <v>4818</v>
      </c>
      <c r="AQ674" t="s">
        <v>140</v>
      </c>
      <c r="AR674" t="s">
        <v>141</v>
      </c>
      <c r="AS674">
        <v>0.011734778947368421</v>
      </c>
    </row>
    <row r="675" spans="1:45" ht="12.75">
      <c r="A675" s="2" t="str">
        <f>HYPERLINK("https://ibp.a2mac1.com/costing(costing:projects/details/8191/material/5319850)","PA6")</f>
        <v>PA6</v>
      </c>
      <c r="B675">
        <v>5319850</v>
      </c>
      <c r="C675">
        <v>6975448</v>
      </c>
      <c r="E675">
        <v>1.72394</v>
      </c>
      <c r="F675" t="s">
        <v>629</v>
      </c>
      <c r="G675">
        <v>98.039199999999994</v>
      </c>
      <c r="H675" t="s">
        <v>5527</v>
      </c>
      <c r="I675">
        <v>5</v>
      </c>
      <c r="J675">
        <v>0.20557651238448796</v>
      </c>
      <c r="K675">
        <v>0</v>
      </c>
      <c r="M675">
        <v>0</v>
      </c>
      <c r="O675">
        <v>200000</v>
      </c>
      <c r="R675" t="s">
        <v>136</v>
      </c>
      <c r="S675">
        <v>2.5859311010289761E-05</v>
      </c>
      <c r="T675">
        <v>5.433514961362394E-05</v>
      </c>
      <c r="U675" t="s">
        <v>137</v>
      </c>
      <c r="V675">
        <v>0.00092317001770720285</v>
      </c>
      <c r="W675">
        <v>0.027327932076516331</v>
      </c>
      <c r="X675" t="s">
        <v>138</v>
      </c>
      <c r="Y675">
        <v>0.0016396759245909799</v>
      </c>
      <c r="Z675">
        <v>0</v>
      </c>
      <c r="AA675" t="s">
        <v>139</v>
      </c>
      <c r="AB675">
        <v>0.0032793518491819598</v>
      </c>
      <c r="AC675">
        <v>0.032246959850289275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Q675" t="s">
        <v>140</v>
      </c>
      <c r="AR675" t="s">
        <v>141</v>
      </c>
      <c r="AS675">
        <v>0.026376286220205797</v>
      </c>
    </row>
    <row r="676" spans="1:45" ht="12.75">
      <c r="A676" s="2" t="str">
        <f>HYPERLINK("https://ibp.a2mac1.com/costing(costing:projects/details/8191/material/5320104)","PP-GF20")</f>
        <v>PP-GF20</v>
      </c>
      <c r="B676">
        <v>5320104</v>
      </c>
      <c r="C676">
        <v>6975683</v>
      </c>
      <c r="E676">
        <v>1.3471</v>
      </c>
      <c r="F676" t="s">
        <v>5537</v>
      </c>
      <c r="G676">
        <v>95</v>
      </c>
      <c r="H676" t="s">
        <v>5538</v>
      </c>
      <c r="I676">
        <v>30</v>
      </c>
      <c r="J676">
        <v>0.50345253019720215</v>
      </c>
      <c r="K676">
        <v>0</v>
      </c>
      <c r="L676">
        <v>0</v>
      </c>
      <c r="M676">
        <v>0</v>
      </c>
      <c r="O676">
        <v>200000</v>
      </c>
      <c r="R676" t="s">
        <v>136</v>
      </c>
      <c r="S676">
        <v>0.0055301999999999999</v>
      </c>
      <c r="T676">
        <v>0.0018655207999999999</v>
      </c>
      <c r="U676" t="s">
        <v>137</v>
      </c>
      <c r="V676">
        <v>0.0129038</v>
      </c>
      <c r="W676">
        <v>0.37791912080000001</v>
      </c>
      <c r="X676" t="s">
        <v>138</v>
      </c>
      <c r="Y676">
        <v>0.022675147247999999</v>
      </c>
      <c r="Z676">
        <v>0</v>
      </c>
      <c r="AA676" t="s">
        <v>139</v>
      </c>
      <c r="AB676">
        <v>0.045350294495999997</v>
      </c>
      <c r="AC676">
        <v>0.445944562544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Q676" t="s">
        <v>140</v>
      </c>
      <c r="AR676" t="s">
        <v>141</v>
      </c>
      <c r="AS676">
        <v>0.36868000000000001</v>
      </c>
    </row>
    <row r="677" spans="1:45" ht="12.75">
      <c r="A677" s="2" t="str">
        <f>HYPERLINK("https://ibp.a2mac1.com/costing(costing:projects/details/8191/material/5320105)","PP + EPDM / PE")</f>
        <v>PP + EPDM / PE</v>
      </c>
      <c r="B677">
        <v>5320105</v>
      </c>
      <c r="C677">
        <v>6975684</v>
      </c>
      <c r="E677">
        <v>2.0508799999999998</v>
      </c>
      <c r="F677" t="s">
        <v>2755</v>
      </c>
      <c r="G677">
        <v>95</v>
      </c>
      <c r="H677" t="s">
        <v>2756</v>
      </c>
      <c r="I677">
        <v>0</v>
      </c>
      <c r="J677">
        <v>0.50345253019720215</v>
      </c>
      <c r="K677">
        <v>0</v>
      </c>
      <c r="L677">
        <v>0</v>
      </c>
      <c r="M677">
        <v>0</v>
      </c>
      <c r="O677">
        <v>200000</v>
      </c>
      <c r="R677" t="s">
        <v>136</v>
      </c>
      <c r="S677">
        <v>0</v>
      </c>
      <c r="T677">
        <v>0.00025124359410526315</v>
      </c>
      <c r="U677" t="s">
        <v>137</v>
      </c>
      <c r="V677">
        <v>0.0017378509473684211</v>
      </c>
      <c r="W677">
        <v>0.051641978752000002</v>
      </c>
      <c r="X677" t="s">
        <v>138</v>
      </c>
      <c r="Y677">
        <v>0.0030985187251199998</v>
      </c>
      <c r="Z677">
        <v>0</v>
      </c>
      <c r="AA677" t="s">
        <v>139</v>
      </c>
      <c r="AB677">
        <v>0.0061970374502399997</v>
      </c>
      <c r="AC677">
        <v>0.060937534927360003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Q677" t="s">
        <v>9</v>
      </c>
      <c r="AR677" t="s">
        <v>141</v>
      </c>
      <c r="AS677">
        <v>0.049652884210526313</v>
      </c>
    </row>
    <row r="678" spans="1:45" ht="12.75">
      <c r="A678" s="2" t="str">
        <f>HYPERLINK("https://ibp.a2mac1.com/costing(costing:projects/details/8191/material/5320106)","EPDM")</f>
        <v>EPDM</v>
      </c>
      <c r="B678">
        <v>5320106</v>
      </c>
      <c r="C678">
        <v>6975685</v>
      </c>
      <c r="E678">
        <v>2.78701</v>
      </c>
      <c r="F678" t="s">
        <v>5555</v>
      </c>
      <c r="G678">
        <v>95</v>
      </c>
      <c r="H678" t="s">
        <v>5556</v>
      </c>
      <c r="I678">
        <v>5</v>
      </c>
      <c r="J678">
        <v>0.50345253019720215</v>
      </c>
      <c r="K678">
        <v>0</v>
      </c>
      <c r="L678">
        <v>0</v>
      </c>
      <c r="M678">
        <v>0</v>
      </c>
      <c r="O678">
        <v>200000</v>
      </c>
      <c r="R678" t="s">
        <v>136</v>
      </c>
      <c r="S678">
        <v>0.0014155077105263158</v>
      </c>
      <c r="T678">
        <v>0.002864987606105263</v>
      </c>
      <c r="U678" t="s">
        <v>137</v>
      </c>
      <c r="V678">
        <v>0.01981710794736842</v>
      </c>
      <c r="W678">
        <v>0.58746967205347367</v>
      </c>
      <c r="X678" t="s">
        <v>138</v>
      </c>
      <c r="Y678">
        <v>0.035248180323208422</v>
      </c>
      <c r="Z678">
        <v>0</v>
      </c>
      <c r="AA678" t="s">
        <v>139</v>
      </c>
      <c r="AB678">
        <v>0.070496360646416845</v>
      </c>
      <c r="AC678">
        <v>0.69321421302309894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Q678" t="s">
        <v>140</v>
      </c>
      <c r="AR678" t="s">
        <v>141</v>
      </c>
      <c r="AS678">
        <v>0.56620308421052634</v>
      </c>
    </row>
    <row r="679" spans="1:45" ht="12.75">
      <c r="A679" s="2" t="str">
        <f>HYPERLINK("https://ibp.a2mac1.com/costing(costing:projects/details/8191/material/5320107)","PP-PE")</f>
        <v>PP-PE</v>
      </c>
      <c r="B679">
        <v>5320107</v>
      </c>
      <c r="C679">
        <v>6975687</v>
      </c>
      <c r="E679">
        <v>1.34768</v>
      </c>
      <c r="F679" t="s">
        <v>5564</v>
      </c>
      <c r="G679">
        <v>98.039199999999994</v>
      </c>
      <c r="H679" t="s">
        <v>5565</v>
      </c>
      <c r="I679">
        <v>5</v>
      </c>
      <c r="J679">
        <v>0.20557651238448796</v>
      </c>
      <c r="K679">
        <v>0</v>
      </c>
      <c r="M679">
        <v>0</v>
      </c>
      <c r="O679">
        <v>200000</v>
      </c>
      <c r="R679" t="s">
        <v>136</v>
      </c>
      <c r="S679">
        <v>0.00013207371771291484</v>
      </c>
      <c r="T679">
        <v>0.0002775110755697721</v>
      </c>
      <c r="U679" t="s">
        <v>137</v>
      </c>
      <c r="V679">
        <v>0.0047149940023990403</v>
      </c>
      <c r="W679">
        <v>0.13957454571451419</v>
      </c>
      <c r="X679" t="s">
        <v>138</v>
      </c>
      <c r="Y679">
        <v>0.0083744727428708525</v>
      </c>
      <c r="Z679">
        <v>0</v>
      </c>
      <c r="AA679" t="s">
        <v>139</v>
      </c>
      <c r="AB679">
        <v>0.016748945485741705</v>
      </c>
      <c r="AC679">
        <v>0.16469796394312675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Q679" t="s">
        <v>140</v>
      </c>
      <c r="AR679" t="s">
        <v>141</v>
      </c>
      <c r="AS679">
        <v>0.13471411435425829</v>
      </c>
    </row>
    <row r="680" spans="1:45" ht="12.75">
      <c r="A680" s="2" t="str">
        <f>HYPERLINK("https://ibp.a2mac1.com/costing(costing:projects/details/8191/material/5319855)","Standard Structural Steel sheet")</f>
        <v>Standard Structural Steel sheet</v>
      </c>
      <c r="B680">
        <v>5319855</v>
      </c>
      <c r="C680">
        <v>6975450</v>
      </c>
      <c r="E680">
        <v>0.61129999999999995</v>
      </c>
      <c r="F680" t="s">
        <v>5584</v>
      </c>
      <c r="G680">
        <v>75</v>
      </c>
      <c r="H680" t="s">
        <v>5585</v>
      </c>
      <c r="I680">
        <v>30</v>
      </c>
      <c r="J680">
        <v>0.50048257265952256</v>
      </c>
      <c r="K680">
        <v>0</v>
      </c>
      <c r="L680">
        <v>0</v>
      </c>
      <c r="M680">
        <v>0</v>
      </c>
      <c r="O680">
        <v>400000</v>
      </c>
      <c r="R680" t="s">
        <v>136</v>
      </c>
      <c r="S680">
        <v>0.021334369999999998</v>
      </c>
      <c r="T680">
        <v>0.0014308250813333332</v>
      </c>
      <c r="U680" t="s">
        <v>137</v>
      </c>
      <c r="V680">
        <v>0.009956039333333333</v>
      </c>
      <c r="W680">
        <v>0.27451076108133332</v>
      </c>
      <c r="X680" t="s">
        <v>138</v>
      </c>
      <c r="Y680">
        <v>0.016470645664880001</v>
      </c>
      <c r="Z680">
        <v>0</v>
      </c>
      <c r="AA680" t="s">
        <v>139</v>
      </c>
      <c r="AB680">
        <v>0.032941291329760002</v>
      </c>
      <c r="AC680">
        <v>0.32392269807597335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Q680" t="s">
        <v>140</v>
      </c>
      <c r="AR680" t="s">
        <v>141</v>
      </c>
      <c r="AS680">
        <v>0.28445826666666668</v>
      </c>
    </row>
    <row r="681" spans="1:45" ht="12.75">
      <c r="A681" s="2" t="str">
        <f>HYPERLINK("https://ibp.a2mac1.com/costing(costing:projects/details/8191/material/5319856)","EPDM")</f>
        <v>EPDM</v>
      </c>
      <c r="B681">
        <v>5319856</v>
      </c>
      <c r="C681">
        <v>6975451</v>
      </c>
      <c r="E681">
        <v>2.78701</v>
      </c>
      <c r="F681" t="s">
        <v>3035</v>
      </c>
      <c r="G681">
        <v>95</v>
      </c>
      <c r="H681" t="s">
        <v>3036</v>
      </c>
      <c r="I681">
        <v>5</v>
      </c>
      <c r="J681">
        <v>0.50048257265952256</v>
      </c>
      <c r="K681">
        <v>0</v>
      </c>
      <c r="M681">
        <v>0</v>
      </c>
      <c r="O681">
        <v>400000</v>
      </c>
      <c r="R681" t="s">
        <v>136</v>
      </c>
      <c r="S681">
        <v>2.9336947368421052E-05</v>
      </c>
      <c r="T681">
        <v>5.902593810526316E-05</v>
      </c>
      <c r="U681" t="s">
        <v>137</v>
      </c>
      <c r="V681">
        <v>0.00041071726315789473</v>
      </c>
      <c r="W681">
        <v>0.012175185201263159</v>
      </c>
      <c r="X681" t="s">
        <v>138</v>
      </c>
      <c r="Y681">
        <v>0.0007305111120757895</v>
      </c>
      <c r="Z681">
        <v>0</v>
      </c>
      <c r="AA681" t="s">
        <v>139</v>
      </c>
      <c r="AB681">
        <v>0.001461022224151579</v>
      </c>
      <c r="AC681">
        <v>0.014366718537490527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Q681" t="s">
        <v>140</v>
      </c>
      <c r="AR681" t="s">
        <v>141</v>
      </c>
      <c r="AS681">
        <v>0.011734778947368421</v>
      </c>
    </row>
    <row r="682" spans="1:45" ht="12.75">
      <c r="A682" s="2" t="str">
        <f>HYPERLINK("https://ibp.a2mac1.com/costing(costing:projects/details/8191/material/5319857)","POM")</f>
        <v>POM</v>
      </c>
      <c r="B682">
        <v>5319857</v>
      </c>
      <c r="C682">
        <v>6975452</v>
      </c>
      <c r="E682">
        <v>2.12338</v>
      </c>
      <c r="F682" t="s">
        <v>5597</v>
      </c>
      <c r="G682">
        <v>95</v>
      </c>
      <c r="H682" t="s">
        <v>5598</v>
      </c>
      <c r="I682">
        <v>5</v>
      </c>
      <c r="J682">
        <v>0.50048257265952256</v>
      </c>
      <c r="K682">
        <v>0</v>
      </c>
      <c r="M682">
        <v>0</v>
      </c>
      <c r="O682">
        <v>400000</v>
      </c>
      <c r="R682" t="s">
        <v>136</v>
      </c>
      <c r="S682">
        <v>4.8893618421052629E-05</v>
      </c>
      <c r="T682">
        <v>9.8373960263157891E-05</v>
      </c>
      <c r="U682" t="s">
        <v>137</v>
      </c>
      <c r="V682">
        <v>0.00068451065789473689</v>
      </c>
      <c r="W682">
        <v>0.020291438368157895</v>
      </c>
      <c r="X682" t="s">
        <v>138</v>
      </c>
      <c r="Y682">
        <v>0.0012174863020894737</v>
      </c>
      <c r="Z682">
        <v>0</v>
      </c>
      <c r="AA682" t="s">
        <v>139</v>
      </c>
      <c r="AB682">
        <v>0.0024349726041789474</v>
      </c>
      <c r="AC682">
        <v>0.023943897274426317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Q682" t="s">
        <v>140</v>
      </c>
      <c r="AR682" t="s">
        <v>141</v>
      </c>
      <c r="AS682">
        <v>0.019557447368421053</v>
      </c>
    </row>
    <row r="683" spans="1:45" ht="12.75">
      <c r="A683" s="2" t="str">
        <f>HYPERLINK("https://ibp.a2mac1.com/costing(costing:projects/details/8191/material/5319858)","TPE")</f>
        <v>TPE</v>
      </c>
      <c r="B683">
        <v>5319858</v>
      </c>
      <c r="C683">
        <v>6975452</v>
      </c>
      <c r="E683">
        <v>1.5073099999999999</v>
      </c>
      <c r="F683" t="s">
        <v>5597</v>
      </c>
      <c r="G683">
        <v>95</v>
      </c>
      <c r="H683" t="s">
        <v>5598</v>
      </c>
      <c r="I683">
        <v>5</v>
      </c>
      <c r="J683">
        <v>0.50048257265952256</v>
      </c>
      <c r="K683">
        <v>0</v>
      </c>
      <c r="M683">
        <v>0</v>
      </c>
      <c r="O683">
        <v>400000</v>
      </c>
      <c r="R683" t="s">
        <v>136</v>
      </c>
      <c r="S683">
        <v>3.470779605263158E-05</v>
      </c>
      <c r="T683">
        <v>6.9832085657894736E-05</v>
      </c>
      <c r="U683" t="s">
        <v>137</v>
      </c>
      <c r="V683">
        <v>0.00048590914473684211</v>
      </c>
      <c r="W683">
        <v>0.014404151855394736</v>
      </c>
      <c r="X683" t="s">
        <v>138</v>
      </c>
      <c r="Y683">
        <v>0.0008642491113236842</v>
      </c>
      <c r="Z683">
        <v>0</v>
      </c>
      <c r="AA683" t="s">
        <v>139</v>
      </c>
      <c r="AB683">
        <v>0.0017284982226473684</v>
      </c>
      <c r="AC683">
        <v>0.01699689918936579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Q683" t="s">
        <v>140</v>
      </c>
      <c r="AR683" t="s">
        <v>141</v>
      </c>
      <c r="AS683">
        <v>0.013883118421052632</v>
      </c>
    </row>
    <row r="684" spans="1:45" ht="12.75">
      <c r="A684" s="2" t="str">
        <f>HYPERLINK("https://ibp.a2mac1.com/costing(costing:projects/details/8191/material/5319859)","EPDM")</f>
        <v>EPDM</v>
      </c>
      <c r="B684">
        <v>5319859</v>
      </c>
      <c r="C684">
        <v>6975453</v>
      </c>
      <c r="E684">
        <v>2.78701</v>
      </c>
      <c r="F684" t="s">
        <v>5603</v>
      </c>
      <c r="G684">
        <v>95</v>
      </c>
      <c r="H684" t="s">
        <v>5604</v>
      </c>
      <c r="I684">
        <v>5</v>
      </c>
      <c r="J684">
        <v>0.50048257265952256</v>
      </c>
      <c r="K684">
        <v>0</v>
      </c>
      <c r="M684">
        <v>0</v>
      </c>
      <c r="O684">
        <v>400000</v>
      </c>
      <c r="R684" t="s">
        <v>136</v>
      </c>
      <c r="S684">
        <v>0.00011368067105263158</v>
      </c>
      <c r="T684">
        <v>0.00022872551015789473</v>
      </c>
      <c r="U684" t="s">
        <v>137</v>
      </c>
      <c r="V684">
        <v>0.0015915293947368421</v>
      </c>
      <c r="W684">
        <v>0.047178842654894734</v>
      </c>
      <c r="X684" t="s">
        <v>138</v>
      </c>
      <c r="Y684">
        <v>0.0028307305592936843</v>
      </c>
      <c r="Z684">
        <v>0</v>
      </c>
      <c r="AA684" t="s">
        <v>139</v>
      </c>
      <c r="AB684">
        <v>0.0056614611185873687</v>
      </c>
      <c r="AC684">
        <v>0.055671034332775787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Q684" t="s">
        <v>140</v>
      </c>
      <c r="AR684" t="s">
        <v>141</v>
      </c>
      <c r="AS684">
        <v>0.045472268421052633</v>
      </c>
    </row>
    <row r="685" spans="1:45" ht="12.75">
      <c r="A685" s="2" t="str">
        <f>HYPERLINK("https://ibp.a2mac1.com/costing(costing:projects/details/8191/material/5319860)","PLASTIC UNKNOWN")</f>
        <v>PLASTIC UNKNOWN</v>
      </c>
      <c r="B685">
        <v>5319860</v>
      </c>
      <c r="C685">
        <v>6975454</v>
      </c>
      <c r="E685">
        <v>1.57609</v>
      </c>
      <c r="F685" t="s">
        <v>5608</v>
      </c>
      <c r="G685">
        <v>95</v>
      </c>
      <c r="H685" t="s">
        <v>5609</v>
      </c>
      <c r="I685">
        <v>0</v>
      </c>
      <c r="J685">
        <v>0.50048257265952256</v>
      </c>
      <c r="K685">
        <v>0</v>
      </c>
      <c r="M685">
        <v>0</v>
      </c>
      <c r="O685">
        <v>400000</v>
      </c>
      <c r="R685" t="s">
        <v>136</v>
      </c>
      <c r="S685">
        <v>0</v>
      </c>
      <c r="T685">
        <v>4.5897399842105265E-05</v>
      </c>
      <c r="U685" t="s">
        <v>137</v>
      </c>
      <c r="V685">
        <v>0.0003193656052631579</v>
      </c>
      <c r="W685">
        <v>0.0094899945840526308</v>
      </c>
      <c r="X685" t="s">
        <v>138</v>
      </c>
      <c r="Y685">
        <v>0.00056939967504315793</v>
      </c>
      <c r="Z685">
        <v>0</v>
      </c>
      <c r="AA685" t="s">
        <v>139</v>
      </c>
      <c r="AB685">
        <v>0.0011387993500863159</v>
      </c>
      <c r="AC685">
        <v>0.011198193609182104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Q685" t="s">
        <v>9</v>
      </c>
      <c r="AR685" t="s">
        <v>141</v>
      </c>
      <c r="AS685">
        <v>0.009124731578947368</v>
      </c>
    </row>
    <row r="686" spans="1:45" ht="12.75">
      <c r="A686" s="2" t="str">
        <f>HYPERLINK("https://ibp.a2mac1.com/costing(costing:projects/details/8191/material/5319861)","PP")</f>
        <v>PP</v>
      </c>
      <c r="B686">
        <v>5319861</v>
      </c>
      <c r="C686">
        <v>6975455</v>
      </c>
      <c r="E686">
        <v>1.0113799999999999</v>
      </c>
      <c r="F686" t="s">
        <v>5613</v>
      </c>
      <c r="G686">
        <v>95</v>
      </c>
      <c r="H686" t="s">
        <v>5614</v>
      </c>
      <c r="I686">
        <v>5</v>
      </c>
      <c r="J686">
        <v>0.50048257265952256</v>
      </c>
      <c r="K686">
        <v>0</v>
      </c>
      <c r="M686">
        <v>0</v>
      </c>
      <c r="O686">
        <v>400000</v>
      </c>
      <c r="R686" t="s">
        <v>136</v>
      </c>
      <c r="S686">
        <v>4.8705931578947371E-06</v>
      </c>
      <c r="T686">
        <v>9.7996334336842101E-06</v>
      </c>
      <c r="U686" t="s">
        <v>137</v>
      </c>
      <c r="V686">
        <v>6.8188304210526322E-05</v>
      </c>
      <c r="W686">
        <v>0.0020213546076442105</v>
      </c>
      <c r="X686" t="s">
        <v>138</v>
      </c>
      <c r="Y686">
        <v>0.00012128127645865264</v>
      </c>
      <c r="Z686">
        <v>0</v>
      </c>
      <c r="AA686" t="s">
        <v>139</v>
      </c>
      <c r="AB686">
        <v>0.00024256255291730527</v>
      </c>
      <c r="AC686">
        <v>0.0023851984370201686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Q686" t="s">
        <v>140</v>
      </c>
      <c r="AR686" t="s">
        <v>141</v>
      </c>
      <c r="AS686">
        <v>0.0019482372631578948</v>
      </c>
    </row>
    <row r="687" spans="1:45" ht="12.75">
      <c r="A687" s="2" t="str">
        <f>HYPERLINK("https://ibp.a2mac1.com/costing(costing:projects/details/8191/material/5319862)","TPO")</f>
        <v>TPO</v>
      </c>
      <c r="B687">
        <v>5319862</v>
      </c>
      <c r="C687">
        <v>6975455</v>
      </c>
      <c r="E687">
        <v>2.7350599999999998</v>
      </c>
      <c r="F687" t="s">
        <v>5613</v>
      </c>
      <c r="G687">
        <v>95</v>
      </c>
      <c r="H687" t="s">
        <v>5614</v>
      </c>
      <c r="I687">
        <v>5</v>
      </c>
      <c r="J687">
        <v>0.50048257265952256</v>
      </c>
      <c r="K687">
        <v>0</v>
      </c>
      <c r="M687">
        <v>0</v>
      </c>
      <c r="O687">
        <v>400000</v>
      </c>
      <c r="R687" t="s">
        <v>136</v>
      </c>
      <c r="S687">
        <v>1.3171473157894736E-05</v>
      </c>
      <c r="T687">
        <v>2.6501003993684211E-05</v>
      </c>
      <c r="U687" t="s">
        <v>137</v>
      </c>
      <c r="V687">
        <v>0.00018440062421052632</v>
      </c>
      <c r="W687">
        <v>0.0054663194182042107</v>
      </c>
      <c r="X687" t="s">
        <v>138</v>
      </c>
      <c r="Y687">
        <v>0.00032797916509225264</v>
      </c>
      <c r="Z687">
        <v>0</v>
      </c>
      <c r="AA687" t="s">
        <v>139</v>
      </c>
      <c r="AB687">
        <v>0.00065595833018450528</v>
      </c>
      <c r="AC687">
        <v>0.0064502569134809685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Q687" t="s">
        <v>140</v>
      </c>
      <c r="AR687" t="s">
        <v>141</v>
      </c>
      <c r="AS687">
        <v>0.0052685892631578945</v>
      </c>
    </row>
    <row r="688" spans="1:45" ht="12.75">
      <c r="A688" s="2" t="str">
        <f>HYPERLINK("https://ibp.a2mac1.com/costing(costing:projects/details/8191/material/5319863)","EPDM-PP")</f>
        <v>EPDM-PP</v>
      </c>
      <c r="B688">
        <v>5319863</v>
      </c>
      <c r="C688">
        <v>6975455</v>
      </c>
      <c r="E688">
        <v>2.0514899999999998</v>
      </c>
      <c r="F688" t="s">
        <v>5613</v>
      </c>
      <c r="G688">
        <v>95</v>
      </c>
      <c r="H688" t="s">
        <v>5614</v>
      </c>
      <c r="I688">
        <v>0</v>
      </c>
      <c r="J688">
        <v>0.50048257265952256</v>
      </c>
      <c r="K688">
        <v>0</v>
      </c>
      <c r="M688">
        <v>0</v>
      </c>
      <c r="O688">
        <v>400000</v>
      </c>
      <c r="R688" t="s">
        <v>136</v>
      </c>
      <c r="S688">
        <v>0</v>
      </c>
      <c r="T688">
        <v>1.9877642422105262E-05</v>
      </c>
      <c r="U688" t="s">
        <v>137</v>
      </c>
      <c r="V688">
        <v>0.0001383136152631579</v>
      </c>
      <c r="W688">
        <v>0.0041100088366326313</v>
      </c>
      <c r="X688" t="s">
        <v>138</v>
      </c>
      <c r="Y688">
        <v>0.00024660053019795789</v>
      </c>
      <c r="Z688">
        <v>0</v>
      </c>
      <c r="AA688" t="s">
        <v>139</v>
      </c>
      <c r="AB688">
        <v>0.00049320106039591578</v>
      </c>
      <c r="AC688">
        <v>0.0048498104272265054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Q688" t="s">
        <v>9</v>
      </c>
      <c r="AR688" t="s">
        <v>141</v>
      </c>
      <c r="AS688">
        <v>0.0039518175789473682</v>
      </c>
    </row>
    <row r="689" spans="1:45" ht="12.75">
      <c r="A689" s="2" t="str">
        <f>HYPERLINK("https://ibp.a2mac1.com/costing(costing:projects/details/8191/material/5319864)","PS")</f>
        <v>PS</v>
      </c>
      <c r="B689">
        <v>5319864</v>
      </c>
      <c r="C689">
        <v>6975456</v>
      </c>
      <c r="E689">
        <v>1.734</v>
      </c>
      <c r="F689" t="s">
        <v>5623</v>
      </c>
      <c r="G689">
        <v>95</v>
      </c>
      <c r="H689" t="s">
        <v>5624</v>
      </c>
      <c r="I689">
        <v>5</v>
      </c>
      <c r="J689">
        <v>0.50048257265952256</v>
      </c>
      <c r="K689">
        <v>0</v>
      </c>
      <c r="L689">
        <v>0</v>
      </c>
      <c r="M689">
        <v>0</v>
      </c>
      <c r="O689">
        <v>400000</v>
      </c>
      <c r="R689" t="s">
        <v>136</v>
      </c>
      <c r="S689">
        <v>4.3350000000000003E-05</v>
      </c>
      <c r="T689">
        <v>8.7220199999999995E-05</v>
      </c>
      <c r="U689" t="s">
        <v>137</v>
      </c>
      <c r="V689">
        <v>0.00060689999999999995</v>
      </c>
      <c r="W689">
        <v>0.017990770199999999</v>
      </c>
      <c r="X689" t="s">
        <v>138</v>
      </c>
      <c r="Y689">
        <v>0.001079446212</v>
      </c>
      <c r="Z689">
        <v>0</v>
      </c>
      <c r="AA689" t="s">
        <v>139</v>
      </c>
      <c r="AB689">
        <v>0.002158892424</v>
      </c>
      <c r="AC689">
        <v>0.021229108835999998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P689" t="s">
        <v>5625</v>
      </c>
      <c r="AQ689" t="s">
        <v>140</v>
      </c>
      <c r="AR689" t="s">
        <v>141</v>
      </c>
      <c r="AS689">
        <v>0.017340000000000001</v>
      </c>
    </row>
    <row r="690" spans="1:45" ht="12.75">
      <c r="A690" s="2" t="str">
        <f>HYPERLINK("https://ibp.a2mac1.com/costing(costing:projects/details/8191/material/5319865)","TPU")</f>
        <v>TPU</v>
      </c>
      <c r="B690">
        <v>5319865</v>
      </c>
      <c r="C690">
        <v>6975456</v>
      </c>
      <c r="E690">
        <v>2.1818200000000001</v>
      </c>
      <c r="F690" t="s">
        <v>4166</v>
      </c>
      <c r="G690">
        <v>100</v>
      </c>
      <c r="H690" t="s">
        <v>5624</v>
      </c>
      <c r="I690">
        <v>5</v>
      </c>
      <c r="J690">
        <v>0.50048257265952256</v>
      </c>
      <c r="K690">
        <v>0</v>
      </c>
      <c r="L690">
        <v>0</v>
      </c>
      <c r="M690">
        <v>0</v>
      </c>
      <c r="O690">
        <v>400000</v>
      </c>
      <c r="R690" t="s">
        <v>136</v>
      </c>
      <c r="S690">
        <v>0</v>
      </c>
      <c r="T690">
        <v>0.000109745546</v>
      </c>
      <c r="U690" t="s">
        <v>137</v>
      </c>
      <c r="V690">
        <v>0.00076363699999999995</v>
      </c>
      <c r="W690">
        <v>0.022691582546</v>
      </c>
      <c r="X690" t="s">
        <v>138</v>
      </c>
      <c r="Y690">
        <v>0.00136149495276</v>
      </c>
      <c r="Z690">
        <v>0</v>
      </c>
      <c r="AA690" t="s">
        <v>139</v>
      </c>
      <c r="AB690">
        <v>0.00272298990552</v>
      </c>
      <c r="AC690">
        <v>0.026776067404279999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P690" t="s">
        <v>5627</v>
      </c>
      <c r="AQ690" t="s">
        <v>140</v>
      </c>
      <c r="AR690" t="s">
        <v>141</v>
      </c>
      <c r="AS690">
        <v>0.021818199999999999</v>
      </c>
    </row>
    <row r="691" spans="1:45" ht="12.75">
      <c r="A691" s="2" t="str">
        <f>HYPERLINK("https://ibp.a2mac1.com/costing(costing:projects/details/8191/material/5319866)","ASA")</f>
        <v>ASA</v>
      </c>
      <c r="B691">
        <v>5319866</v>
      </c>
      <c r="C691">
        <v>6975457</v>
      </c>
      <c r="E691">
        <v>2.4129900000000002</v>
      </c>
      <c r="F691" t="s">
        <v>3845</v>
      </c>
      <c r="G691">
        <v>98.039199999999994</v>
      </c>
      <c r="H691" t="s">
        <v>5634</v>
      </c>
      <c r="I691">
        <v>5</v>
      </c>
      <c r="J691">
        <v>1.2052953961667654</v>
      </c>
      <c r="K691">
        <v>0</v>
      </c>
      <c r="M691">
        <v>0</v>
      </c>
      <c r="O691">
        <v>200000</v>
      </c>
      <c r="R691" t="s">
        <v>136</v>
      </c>
      <c r="S691">
        <v>0.0015684562985010077</v>
      </c>
      <c r="T691">
        <v>0.019517714036834246</v>
      </c>
      <c r="U691" t="s">
        <v>137</v>
      </c>
      <c r="V691">
        <v>0.055993441908950704</v>
      </c>
      <c r="W691">
        <v>1.6737553256173041</v>
      </c>
      <c r="X691" t="s">
        <v>138</v>
      </c>
      <c r="Y691">
        <v>0.10042531953703825</v>
      </c>
      <c r="Z691">
        <v>0</v>
      </c>
      <c r="AA691" t="s">
        <v>139</v>
      </c>
      <c r="AB691">
        <v>0.20085063907407649</v>
      </c>
      <c r="AC691">
        <v>1.9750312842284188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Q691" t="s">
        <v>140</v>
      </c>
      <c r="AR691" t="s">
        <v>141</v>
      </c>
      <c r="AS691">
        <v>1.5998126259700201</v>
      </c>
    </row>
    <row r="692" spans="1:45" ht="12.75">
      <c r="A692" s="2" t="str">
        <f>HYPERLINK("https://ibp.a2mac1.com/costing(costing:projects/details/8191/material/5319867)","Paint - Base")</f>
        <v>Paint - Base</v>
      </c>
      <c r="B692">
        <v>5319867</v>
      </c>
      <c r="C692">
        <v>6975459</v>
      </c>
      <c r="E692">
        <v>11.27</v>
      </c>
      <c r="F692" t="s">
        <v>3377</v>
      </c>
      <c r="G692">
        <v>98</v>
      </c>
      <c r="H692" t="s">
        <v>4497</v>
      </c>
      <c r="I692">
        <v>0</v>
      </c>
      <c r="J692">
        <v>1.0057812623742775</v>
      </c>
      <c r="K692">
        <v>0</v>
      </c>
      <c r="L692">
        <v>0</v>
      </c>
      <c r="M692">
        <v>0</v>
      </c>
      <c r="O692">
        <v>200000</v>
      </c>
      <c r="R692" t="s">
        <v>136</v>
      </c>
      <c r="S692">
        <v>0</v>
      </c>
      <c r="T692">
        <v>0.011684</v>
      </c>
      <c r="U692" t="s">
        <v>137</v>
      </c>
      <c r="V692">
        <v>0.040250000000000001</v>
      </c>
      <c r="W692">
        <v>1.2019340000000001</v>
      </c>
      <c r="X692" t="s">
        <v>138</v>
      </c>
      <c r="Y692">
        <v>0.072116040000000006</v>
      </c>
      <c r="Z692">
        <v>0</v>
      </c>
      <c r="AA692" t="s">
        <v>139</v>
      </c>
      <c r="AB692">
        <v>0.14423208000000001</v>
      </c>
      <c r="AC692">
        <v>1.41828212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Q692" t="s">
        <v>9</v>
      </c>
      <c r="AR692" t="s">
        <v>141</v>
      </c>
      <c r="AS692">
        <v>1.15</v>
      </c>
    </row>
    <row r="693" spans="1:45" ht="12.75">
      <c r="A693" s="2" t="str">
        <f>HYPERLINK("https://ibp.a2mac1.com/costing(costing:projects/details/8191/material/5319868)","Paint - Primer")</f>
        <v>Paint - Primer</v>
      </c>
      <c r="B693">
        <v>5319868</v>
      </c>
      <c r="C693">
        <v>6975459</v>
      </c>
      <c r="E693">
        <v>6.96</v>
      </c>
      <c r="F693" t="s">
        <v>509</v>
      </c>
      <c r="G693">
        <v>95</v>
      </c>
      <c r="H693" t="s">
        <v>510</v>
      </c>
      <c r="I693">
        <v>0</v>
      </c>
      <c r="J693">
        <v>1.0057812623742775</v>
      </c>
      <c r="K693">
        <v>0</v>
      </c>
      <c r="L693">
        <v>0</v>
      </c>
      <c r="M693">
        <v>0</v>
      </c>
      <c r="O693">
        <v>200000</v>
      </c>
      <c r="R693" t="s">
        <v>136</v>
      </c>
      <c r="S693">
        <v>0</v>
      </c>
      <c r="T693">
        <v>0.0037217684210526314</v>
      </c>
      <c r="U693" t="s">
        <v>137</v>
      </c>
      <c r="V693">
        <v>0.012821052631578947</v>
      </c>
      <c r="W693">
        <v>0.38285861052631581</v>
      </c>
      <c r="X693" t="s">
        <v>138</v>
      </c>
      <c r="Y693">
        <v>0.022971516631578946</v>
      </c>
      <c r="Z693">
        <v>0</v>
      </c>
      <c r="AA693" t="s">
        <v>139</v>
      </c>
      <c r="AB693">
        <v>0.045943033263157892</v>
      </c>
      <c r="AC693">
        <v>0.45177316042105264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Q693" t="s">
        <v>9</v>
      </c>
      <c r="AR693" t="s">
        <v>141</v>
      </c>
      <c r="AS693">
        <v>0.36631578947368421</v>
      </c>
    </row>
    <row r="694" spans="1:45" ht="12.75">
      <c r="A694" s="2" t="str">
        <f>HYPERLINK("https://ibp.a2mac1.com/costing(costing:projects/details/8191/material/5319869)","Paint - Clear Coat")</f>
        <v>Paint - Clear Coat</v>
      </c>
      <c r="B694">
        <v>5319869</v>
      </c>
      <c r="C694">
        <v>6975459</v>
      </c>
      <c r="E694">
        <v>9.07</v>
      </c>
      <c r="F694" t="s">
        <v>509</v>
      </c>
      <c r="G694">
        <v>98</v>
      </c>
      <c r="H694" t="s">
        <v>3483</v>
      </c>
      <c r="I694">
        <v>0</v>
      </c>
      <c r="J694">
        <v>1.0057812623742775</v>
      </c>
      <c r="K694">
        <v>0</v>
      </c>
      <c r="L694">
        <v>0</v>
      </c>
      <c r="M694">
        <v>0</v>
      </c>
      <c r="O694">
        <v>200000</v>
      </c>
      <c r="R694" t="s">
        <v>136</v>
      </c>
      <c r="S694">
        <v>0</v>
      </c>
      <c r="T694">
        <v>0.0047015918367346943</v>
      </c>
      <c r="U694" t="s">
        <v>137</v>
      </c>
      <c r="V694">
        <v>0.01619642857142857</v>
      </c>
      <c r="W694">
        <v>0.48365312244897957</v>
      </c>
      <c r="X694" t="s">
        <v>138</v>
      </c>
      <c r="Y694">
        <v>0.029019187346938775</v>
      </c>
      <c r="Z694">
        <v>0</v>
      </c>
      <c r="AA694" t="s">
        <v>139</v>
      </c>
      <c r="AB694">
        <v>0.058038374693877549</v>
      </c>
      <c r="AC694">
        <v>0.57071068448979589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Q694" t="s">
        <v>9</v>
      </c>
      <c r="AR694" t="s">
        <v>141</v>
      </c>
      <c r="AS694">
        <v>0.46275510204081632</v>
      </c>
    </row>
    <row r="695" spans="1:45" ht="12.75">
      <c r="A695" s="2" t="str">
        <f>HYPERLINK("https://ibp.a2mac1.com/costing(costing:projects/details/8191/material/5319870)","ABS-PC")</f>
        <v>ABS-PC</v>
      </c>
      <c r="B695">
        <v>5319870</v>
      </c>
      <c r="C695">
        <v>6975462</v>
      </c>
      <c r="E695">
        <v>2.29312</v>
      </c>
      <c r="F695" t="s">
        <v>496</v>
      </c>
      <c r="G695">
        <v>98.039199999999994</v>
      </c>
      <c r="H695" t="s">
        <v>497</v>
      </c>
      <c r="I695">
        <v>5</v>
      </c>
      <c r="J695">
        <v>0.20557651238448796</v>
      </c>
      <c r="K695">
        <v>0</v>
      </c>
      <c r="M695">
        <v>0</v>
      </c>
      <c r="O695">
        <v>200000</v>
      </c>
      <c r="R695" t="s">
        <v>136</v>
      </c>
      <c r="S695">
        <v>0.00058475037152485947</v>
      </c>
      <c r="T695">
        <v>0.0012286676513068241</v>
      </c>
      <c r="U695" t="s">
        <v>137</v>
      </c>
      <c r="V695">
        <v>0.020875421260067403</v>
      </c>
      <c r="W695">
        <v>0.61795994597034654</v>
      </c>
      <c r="X695" t="s">
        <v>138</v>
      </c>
      <c r="Y695">
        <v>0.037077596758220796</v>
      </c>
      <c r="Z695">
        <v>0</v>
      </c>
      <c r="AA695" t="s">
        <v>139</v>
      </c>
      <c r="AB695">
        <v>0.074155193516441592</v>
      </c>
      <c r="AC695">
        <v>0.72919273624500891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Q695" t="s">
        <v>140</v>
      </c>
      <c r="AR695" t="s">
        <v>141</v>
      </c>
      <c r="AS695">
        <v>0.5964406074304972</v>
      </c>
    </row>
    <row r="696" spans="1:45" ht="12.75">
      <c r="A696" s="2" t="str">
        <f>HYPERLINK("https://ibp.a2mac1.com/costing(costing:projects/details/8191/material/5319589)","PMMA-ASA")</f>
        <v>PMMA-ASA</v>
      </c>
      <c r="B696">
        <v>5319589</v>
      </c>
      <c r="C696">
        <v>6975284</v>
      </c>
      <c r="E696">
        <v>2.6603300000000001</v>
      </c>
      <c r="F696" t="s">
        <v>3549</v>
      </c>
      <c r="G696">
        <v>98.039199999999994</v>
      </c>
      <c r="H696" t="s">
        <v>5646</v>
      </c>
      <c r="I696">
        <v>5</v>
      </c>
      <c r="J696">
        <v>0.20258874484795864</v>
      </c>
      <c r="K696">
        <v>0</v>
      </c>
      <c r="M696">
        <v>0</v>
      </c>
      <c r="O696">
        <v>400000</v>
      </c>
      <c r="R696" t="s">
        <v>136</v>
      </c>
      <c r="S696">
        <v>0.00073425707148977145</v>
      </c>
      <c r="T696">
        <v>0.0015203405295024846</v>
      </c>
      <c r="U696" t="s">
        <v>137</v>
      </c>
      <c r="V696">
        <v>0.026212767750042842</v>
      </c>
      <c r="W696">
        <v>0.775935072637851</v>
      </c>
      <c r="X696" t="s">
        <v>138</v>
      </c>
      <c r="Y696">
        <v>0.04655610435827106</v>
      </c>
      <c r="Z696">
        <v>0</v>
      </c>
      <c r="AA696" t="s">
        <v>139</v>
      </c>
      <c r="AB696">
        <v>0.093112208716542119</v>
      </c>
      <c r="AC696">
        <v>0.9156033857126642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Q696" t="s">
        <v>140</v>
      </c>
      <c r="AR696" t="s">
        <v>141</v>
      </c>
      <c r="AS696">
        <v>0.74893622142979543</v>
      </c>
    </row>
    <row r="697" spans="1:45" ht="12.75">
      <c r="A697" s="2" t="str">
        <f>HYPERLINK("https://ibp.a2mac1.com/costing(costing:projects/details/8191/material/5319590)","Material")</f>
        <v>Material</v>
      </c>
      <c r="B697">
        <v>5319590</v>
      </c>
      <c r="C697">
        <v>6975285</v>
      </c>
      <c r="E697">
        <v>20.060369999999999</v>
      </c>
      <c r="F697" t="s">
        <v>296</v>
      </c>
      <c r="G697">
        <v>100</v>
      </c>
      <c r="H697" t="s">
        <v>297</v>
      </c>
      <c r="I697">
        <v>0</v>
      </c>
      <c r="J697">
        <v>0.50345253019720215</v>
      </c>
      <c r="K697">
        <v>0</v>
      </c>
      <c r="L697">
        <v>0</v>
      </c>
      <c r="M697">
        <v>0</v>
      </c>
      <c r="O697">
        <v>200000</v>
      </c>
      <c r="R697" t="s">
        <v>136</v>
      </c>
      <c r="S697">
        <v>0</v>
      </c>
      <c r="T697">
        <v>0.1015054722</v>
      </c>
      <c r="U697" t="s">
        <v>137</v>
      </c>
      <c r="V697">
        <v>0.70211294999999996</v>
      </c>
      <c r="W697">
        <v>20.863988422199998</v>
      </c>
      <c r="X697" t="s">
        <v>138</v>
      </c>
      <c r="Y697">
        <v>1.2518393053320001</v>
      </c>
      <c r="Z697">
        <v>0</v>
      </c>
      <c r="AA697" t="s">
        <v>139</v>
      </c>
      <c r="AB697">
        <v>2.5036786106640001</v>
      </c>
      <c r="AC697">
        <v>24.619506338196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Q697" t="s">
        <v>9</v>
      </c>
      <c r="AR697" t="s">
        <v>141</v>
      </c>
      <c r="AS697">
        <v>20.060369999999999</v>
      </c>
    </row>
    <row r="698" spans="1:45" ht="12.75">
      <c r="A698" s="2" t="str">
        <f>HYPERLINK("https://ibp.a2mac1.com/costing(costing:projects/details/8191/material/5319591)","PMMA")</f>
        <v>PMMA</v>
      </c>
      <c r="B698">
        <v>5319591</v>
      </c>
      <c r="C698">
        <v>6975286</v>
      </c>
      <c r="E698">
        <v>2.10</v>
      </c>
      <c r="F698" t="s">
        <v>670</v>
      </c>
      <c r="G698">
        <v>98.039199999999994</v>
      </c>
      <c r="H698" t="s">
        <v>671</v>
      </c>
      <c r="I698">
        <v>5</v>
      </c>
      <c r="J698">
        <v>3.2076969239406083</v>
      </c>
      <c r="K698">
        <v>0</v>
      </c>
      <c r="M698">
        <v>0</v>
      </c>
      <c r="O698">
        <v>200000</v>
      </c>
      <c r="R698" t="s">
        <v>136</v>
      </c>
      <c r="S698">
        <v>2.9400239904038383E-05</v>
      </c>
      <c r="T698">
        <v>0.00099380247900839654</v>
      </c>
      <c r="U698" t="s">
        <v>137</v>
      </c>
      <c r="V698">
        <v>0.001049580167932827</v>
      </c>
      <c r="W698">
        <v>0.032001987205117953</v>
      </c>
      <c r="X698" t="s">
        <v>138</v>
      </c>
      <c r="Y698">
        <v>0.0019201192323070771</v>
      </c>
      <c r="Z698">
        <v>0</v>
      </c>
      <c r="AA698" t="s">
        <v>139</v>
      </c>
      <c r="AB698">
        <v>0.0038402384646141542</v>
      </c>
      <c r="AC698">
        <v>0.037762344902039183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Q698" t="s">
        <v>140</v>
      </c>
      <c r="AR698" t="s">
        <v>141</v>
      </c>
      <c r="AS698">
        <v>0.029988004798080767</v>
      </c>
    </row>
    <row r="699" spans="1:45" ht="12.75">
      <c r="A699" s="2" t="str">
        <f>HYPERLINK("https://ibp.a2mac1.com/costing(costing:projects/details/8191/material/5319592)","Chrome for plating")</f>
        <v>Chrome for plating</v>
      </c>
      <c r="B699">
        <v>5319592</v>
      </c>
      <c r="C699">
        <v>6975288</v>
      </c>
      <c r="E699">
        <v>20.779219999999999</v>
      </c>
      <c r="F699" t="s">
        <v>670</v>
      </c>
      <c r="G699">
        <v>90</v>
      </c>
      <c r="H699" t="s">
        <v>3910</v>
      </c>
      <c r="I699">
        <v>0</v>
      </c>
      <c r="J699">
        <v>3.0049079516576462</v>
      </c>
      <c r="K699">
        <v>0</v>
      </c>
      <c r="L699">
        <v>0</v>
      </c>
      <c r="M699">
        <v>0</v>
      </c>
      <c r="O699">
        <v>200000</v>
      </c>
      <c r="R699" t="s">
        <v>136</v>
      </c>
      <c r="S699">
        <v>0</v>
      </c>
      <c r="T699">
        <v>0.010013736998222222</v>
      </c>
      <c r="U699" t="s">
        <v>137</v>
      </c>
      <c r="V699">
        <v>0.011313130888888889</v>
      </c>
      <c r="W699">
        <v>0.34455917899822225</v>
      </c>
      <c r="X699" t="s">
        <v>138</v>
      </c>
      <c r="Y699">
        <v>0.020673550739893333</v>
      </c>
      <c r="Z699">
        <v>0</v>
      </c>
      <c r="AA699" t="s">
        <v>139</v>
      </c>
      <c r="AB699">
        <v>0.041347101479786666</v>
      </c>
      <c r="AC699">
        <v>0.4065798312179022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Q699" t="s">
        <v>140</v>
      </c>
      <c r="AR699" t="s">
        <v>141</v>
      </c>
      <c r="AS699">
        <v>0.32323231111111111</v>
      </c>
    </row>
    <row r="700" spans="1:45" ht="12.75">
      <c r="A700" s="2" t="str">
        <f>HYPERLINK("https://ibp.a2mac1.com/costing(costing:projects/details/8191/material/5319606)","PP-GF20")</f>
        <v>PP-GF20</v>
      </c>
      <c r="B700">
        <v>5319606</v>
      </c>
      <c r="C700">
        <v>6975291</v>
      </c>
      <c r="E700">
        <v>1.3471</v>
      </c>
      <c r="F700" t="s">
        <v>5667</v>
      </c>
      <c r="G700">
        <v>98.039199999999994</v>
      </c>
      <c r="H700" t="s">
        <v>5668</v>
      </c>
      <c r="I700">
        <v>30</v>
      </c>
      <c r="J700">
        <v>0.20557651238448796</v>
      </c>
      <c r="K700">
        <v>0</v>
      </c>
      <c r="M700">
        <v>0</v>
      </c>
      <c r="O700">
        <v>200000</v>
      </c>
      <c r="R700" t="s">
        <v>136</v>
      </c>
      <c r="S700">
        <v>0.0023763037904838066</v>
      </c>
      <c r="T700">
        <v>0.00083217493002798884</v>
      </c>
      <c r="U700" t="s">
        <v>137</v>
      </c>
      <c r="V700">
        <v>0.014138894442223111</v>
      </c>
      <c r="W700">
        <v>0.41656317821671329</v>
      </c>
      <c r="X700" t="s">
        <v>138</v>
      </c>
      <c r="Y700">
        <v>0.024993790693002799</v>
      </c>
      <c r="Z700">
        <v>0</v>
      </c>
      <c r="AA700" t="s">
        <v>139</v>
      </c>
      <c r="AB700">
        <v>0.049987581386005599</v>
      </c>
      <c r="AC700">
        <v>0.49154455029572169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Q700" t="s">
        <v>140</v>
      </c>
      <c r="AR700" t="s">
        <v>141</v>
      </c>
      <c r="AS700">
        <v>0.40396841263494604</v>
      </c>
    </row>
    <row r="701" spans="1:45" ht="12.75">
      <c r="A701" s="2" t="str">
        <f>HYPERLINK("https://ibp.a2mac1.com/costing(costing:projects/details/8191/material/5319607)","PP-GF50")</f>
        <v>PP-GF50</v>
      </c>
      <c r="B701">
        <v>5319607</v>
      </c>
      <c r="C701">
        <v>6975292</v>
      </c>
      <c r="E701">
        <v>1.11903</v>
      </c>
      <c r="F701" t="s">
        <v>5676</v>
      </c>
      <c r="G701">
        <v>98.039199999999994</v>
      </c>
      <c r="H701" t="s">
        <v>5677</v>
      </c>
      <c r="I701">
        <v>30</v>
      </c>
      <c r="J701">
        <v>0.20557651238448796</v>
      </c>
      <c r="K701">
        <v>0</v>
      </c>
      <c r="M701">
        <v>0</v>
      </c>
      <c r="O701">
        <v>200000</v>
      </c>
      <c r="R701" t="s">
        <v>136</v>
      </c>
      <c r="S701">
        <v>0.0013562754271189484</v>
      </c>
      <c r="T701">
        <v>0.00047496385486621678</v>
      </c>
      <c r="U701" t="s">
        <v>137</v>
      </c>
      <c r="V701">
        <v>0.0080697742331638771</v>
      </c>
      <c r="W701">
        <v>0.23775344075130764</v>
      </c>
      <c r="X701" t="s">
        <v>138</v>
      </c>
      <c r="Y701">
        <v>0.014265206445078459</v>
      </c>
      <c r="Z701">
        <v>0</v>
      </c>
      <c r="AA701" t="s">
        <v>139</v>
      </c>
      <c r="AB701">
        <v>0.028530412890156918</v>
      </c>
      <c r="AC701">
        <v>0.28054906008654301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Q701" t="s">
        <v>140</v>
      </c>
      <c r="AR701" t="s">
        <v>141</v>
      </c>
      <c r="AS701">
        <v>0.2305649780903965</v>
      </c>
    </row>
    <row r="702" spans="1:45" ht="12.75">
      <c r="A702" s="2" t="str">
        <f>HYPERLINK("https://ibp.a2mac1.com/costing(costing:projects/details/8191/material/5319608)","PP-GF30")</f>
        <v>PP-GF30</v>
      </c>
      <c r="B702">
        <v>5319608</v>
      </c>
      <c r="C702">
        <v>6975295</v>
      </c>
      <c r="E702">
        <v>1.2710699999999999</v>
      </c>
      <c r="F702" t="s">
        <v>5682</v>
      </c>
      <c r="G702">
        <v>98.039199999999994</v>
      </c>
      <c r="H702" t="s">
        <v>5683</v>
      </c>
      <c r="I702">
        <v>30</v>
      </c>
      <c r="J702">
        <v>0.20557651238448796</v>
      </c>
      <c r="K702">
        <v>0</v>
      </c>
      <c r="M702">
        <v>0</v>
      </c>
      <c r="O702">
        <v>200000</v>
      </c>
      <c r="R702" t="s">
        <v>136</v>
      </c>
      <c r="S702">
        <v>0.0016625731264881803</v>
      </c>
      <c r="T702">
        <v>0.00058222845106855215</v>
      </c>
      <c r="U702" t="s">
        <v>137</v>
      </c>
      <c r="V702">
        <v>0.009892230964756955</v>
      </c>
      <c r="W702">
        <v>0.2914470567109646</v>
      </c>
      <c r="X702" t="s">
        <v>138</v>
      </c>
      <c r="Y702">
        <v>0.017486823402657874</v>
      </c>
      <c r="Z702">
        <v>0</v>
      </c>
      <c r="AA702" t="s">
        <v>139</v>
      </c>
      <c r="AB702">
        <v>0.034973646805315749</v>
      </c>
      <c r="AC702">
        <v>0.34390752691893822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Q702" t="s">
        <v>140</v>
      </c>
      <c r="AR702" t="s">
        <v>141</v>
      </c>
      <c r="AS702">
        <v>0.28263517042162728</v>
      </c>
    </row>
    <row r="703" spans="1:45" ht="12.75">
      <c r="A703" s="2" t="str">
        <f>HYPERLINK("https://ibp.a2mac1.com/costing(costing:projects/details/8191/material/5319609)","PBT-PC")</f>
        <v>PBT-PC</v>
      </c>
      <c r="B703">
        <v>5319609</v>
      </c>
      <c r="C703">
        <v>6975296</v>
      </c>
      <c r="E703">
        <v>2.6194899999999999</v>
      </c>
      <c r="F703" t="s">
        <v>5689</v>
      </c>
      <c r="G703">
        <v>98.039199999999994</v>
      </c>
      <c r="H703" t="s">
        <v>5690</v>
      </c>
      <c r="I703">
        <v>5</v>
      </c>
      <c r="J703">
        <v>1.2052953961667654</v>
      </c>
      <c r="K703">
        <v>0</v>
      </c>
      <c r="M703">
        <v>0</v>
      </c>
      <c r="O703">
        <v>200000</v>
      </c>
      <c r="R703" t="s">
        <v>136</v>
      </c>
      <c r="S703">
        <v>0.00048460960438273672</v>
      </c>
      <c r="T703">
        <v>0.0060304336734693879</v>
      </c>
      <c r="U703" t="s">
        <v>137</v>
      </c>
      <c r="V703">
        <v>0.017300424473067916</v>
      </c>
      <c r="W703">
        <v>0.51714409062980926</v>
      </c>
      <c r="X703" t="s">
        <v>138</v>
      </c>
      <c r="Y703">
        <v>0.031028645437788559</v>
      </c>
      <c r="Z703">
        <v>0</v>
      </c>
      <c r="AA703" t="s">
        <v>139</v>
      </c>
      <c r="AB703">
        <v>0.062057290875577119</v>
      </c>
      <c r="AC703">
        <v>0.61023002694317496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Q703" t="s">
        <v>140</v>
      </c>
      <c r="AR703" t="s">
        <v>141</v>
      </c>
      <c r="AS703">
        <v>0.49429784208765476</v>
      </c>
    </row>
    <row r="704" spans="1:45" ht="12.75">
      <c r="A704" s="2" t="str">
        <f>HYPERLINK("https://ibp.a2mac1.com/costing(costing:projects/details/8191/material/5319610)","Paint - Base")</f>
        <v>Paint - Base</v>
      </c>
      <c r="B704">
        <v>5319610</v>
      </c>
      <c r="C704">
        <v>6975298</v>
      </c>
      <c r="E704">
        <v>11.27</v>
      </c>
      <c r="F704" t="s">
        <v>4746</v>
      </c>
      <c r="G704">
        <v>98</v>
      </c>
      <c r="H704" t="s">
        <v>5693</v>
      </c>
      <c r="I704">
        <v>0</v>
      </c>
      <c r="J704">
        <v>1.1056389564667022</v>
      </c>
      <c r="K704">
        <v>0</v>
      </c>
      <c r="L704">
        <v>0</v>
      </c>
      <c r="M704">
        <v>0</v>
      </c>
      <c r="O704">
        <v>200000</v>
      </c>
      <c r="R704" t="s">
        <v>136</v>
      </c>
      <c r="S704">
        <v>0</v>
      </c>
      <c r="T704">
        <v>0.0025714000000000002</v>
      </c>
      <c r="U704" t="s">
        <v>137</v>
      </c>
      <c r="V704">
        <v>0.0080499999999999999</v>
      </c>
      <c r="W704">
        <v>0.24062140000000001</v>
      </c>
      <c r="X704" t="s">
        <v>138</v>
      </c>
      <c r="Y704">
        <v>0.014437284</v>
      </c>
      <c r="Z704">
        <v>0</v>
      </c>
      <c r="AA704" t="s">
        <v>139</v>
      </c>
      <c r="AB704">
        <v>0.028874568</v>
      </c>
      <c r="AC704">
        <v>0.28393325200000002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Q704" t="s">
        <v>9</v>
      </c>
      <c r="AR704" t="s">
        <v>141</v>
      </c>
      <c r="AS704">
        <v>0.23</v>
      </c>
    </row>
    <row r="705" spans="1:45" ht="12.75">
      <c r="A705" s="2" t="str">
        <f>HYPERLINK("https://ibp.a2mac1.com/costing(costing:projects/details/8191/material/5319611)","Paint - Primer")</f>
        <v>Paint - Primer</v>
      </c>
      <c r="B705">
        <v>5319611</v>
      </c>
      <c r="C705">
        <v>6975298</v>
      </c>
      <c r="E705">
        <v>6.96</v>
      </c>
      <c r="F705" t="s">
        <v>4166</v>
      </c>
      <c r="G705">
        <v>95</v>
      </c>
      <c r="H705" t="s">
        <v>5695</v>
      </c>
      <c r="I705">
        <v>0</v>
      </c>
      <c r="J705">
        <v>1.1056389564667022</v>
      </c>
      <c r="K705">
        <v>0</v>
      </c>
      <c r="L705">
        <v>0</v>
      </c>
      <c r="M705">
        <v>0</v>
      </c>
      <c r="O705">
        <v>200000</v>
      </c>
      <c r="R705" t="s">
        <v>136</v>
      </c>
      <c r="S705">
        <v>0</v>
      </c>
      <c r="T705">
        <v>0.00081908210526315795</v>
      </c>
      <c r="U705" t="s">
        <v>137</v>
      </c>
      <c r="V705">
        <v>0.0025642105263157895</v>
      </c>
      <c r="W705">
        <v>0.076646450526315787</v>
      </c>
      <c r="X705" t="s">
        <v>138</v>
      </c>
      <c r="Y705">
        <v>0.0045987870315789469</v>
      </c>
      <c r="Z705">
        <v>0</v>
      </c>
      <c r="AA705" t="s">
        <v>139</v>
      </c>
      <c r="AB705">
        <v>0.0091975740631578939</v>
      </c>
      <c r="AC705">
        <v>0.090442811621052638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Q705" t="s">
        <v>9</v>
      </c>
      <c r="AR705" t="s">
        <v>141</v>
      </c>
      <c r="AS705">
        <v>0.073263157894736836</v>
      </c>
    </row>
    <row r="706" spans="1:45" ht="12.75">
      <c r="A706" s="2" t="str">
        <f>HYPERLINK("https://ibp.a2mac1.com/costing(costing:projects/details/8191/material/5319612)","Paint - Clear Coat")</f>
        <v>Paint - Clear Coat</v>
      </c>
      <c r="B706">
        <v>5319612</v>
      </c>
      <c r="C706">
        <v>6975298</v>
      </c>
      <c r="E706">
        <v>9.07</v>
      </c>
      <c r="F706" t="s">
        <v>4166</v>
      </c>
      <c r="G706">
        <v>98</v>
      </c>
      <c r="H706" t="s">
        <v>5696</v>
      </c>
      <c r="I706">
        <v>0</v>
      </c>
      <c r="J706">
        <v>1.1056389564667022</v>
      </c>
      <c r="K706">
        <v>0</v>
      </c>
      <c r="L706">
        <v>0</v>
      </c>
      <c r="M706">
        <v>0</v>
      </c>
      <c r="O706">
        <v>200000</v>
      </c>
      <c r="R706" t="s">
        <v>136</v>
      </c>
      <c r="S706">
        <v>0</v>
      </c>
      <c r="T706">
        <v>0.0010347204081632654</v>
      </c>
      <c r="U706" t="s">
        <v>137</v>
      </c>
      <c r="V706">
        <v>0.0032392857142857141</v>
      </c>
      <c r="W706">
        <v>0.096825026530612243</v>
      </c>
      <c r="X706" t="s">
        <v>138</v>
      </c>
      <c r="Y706">
        <v>0.0058095015918367349</v>
      </c>
      <c r="Z706">
        <v>0</v>
      </c>
      <c r="AA706" t="s">
        <v>139</v>
      </c>
      <c r="AB706">
        <v>0.01161900318367347</v>
      </c>
      <c r="AC706">
        <v>0.11425353130612245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Q706" t="s">
        <v>9</v>
      </c>
      <c r="AR706" t="s">
        <v>141</v>
      </c>
      <c r="AS706">
        <v>0.092551020408163265</v>
      </c>
    </row>
    <row r="707" spans="1:45" ht="12.75">
      <c r="A707" s="2" t="str">
        <f>HYPERLINK("https://ibp.a2mac1.com/costing(costing:projects/details/8191/material/5319613)","PP-GF50")</f>
        <v>PP-GF50</v>
      </c>
      <c r="B707">
        <v>5319613</v>
      </c>
      <c r="C707">
        <v>6975299</v>
      </c>
      <c r="E707">
        <v>1.11903</v>
      </c>
      <c r="F707" t="s">
        <v>5701</v>
      </c>
      <c r="G707">
        <v>98.039199999999994</v>
      </c>
      <c r="H707" t="s">
        <v>5702</v>
      </c>
      <c r="I707">
        <v>30</v>
      </c>
      <c r="J707">
        <v>0.20557651238448796</v>
      </c>
      <c r="K707">
        <v>0</v>
      </c>
      <c r="M707">
        <v>0</v>
      </c>
      <c r="O707">
        <v>200000</v>
      </c>
      <c r="R707" t="s">
        <v>136</v>
      </c>
      <c r="S707">
        <v>0.00030885480023500804</v>
      </c>
      <c r="T707">
        <v>0.00010816008576161372</v>
      </c>
      <c r="U707" t="s">
        <v>137</v>
      </c>
      <c r="V707">
        <v>0.0018376713600274175</v>
      </c>
      <c r="W707">
        <v>0.05414187264633738</v>
      </c>
      <c r="X707" t="s">
        <v>138</v>
      </c>
      <c r="Y707">
        <v>0.0032485123587802432</v>
      </c>
      <c r="Z707">
        <v>0</v>
      </c>
      <c r="AA707" t="s">
        <v>139</v>
      </c>
      <c r="AB707">
        <v>0.0064970247175604864</v>
      </c>
      <c r="AC707">
        <v>0.063887409722678118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Q707" t="s">
        <v>140</v>
      </c>
      <c r="AR707" t="s">
        <v>141</v>
      </c>
      <c r="AS707">
        <v>0.052504896000783362</v>
      </c>
    </row>
    <row r="708" spans="1:45" ht="12.75">
      <c r="A708" s="2" t="str">
        <f>HYPERLINK("https://ibp.a2mac1.com/costing(costing:projects/details/8191/material/5320284)","Standard Structural Steel sheet")</f>
        <v>Standard Structural Steel sheet</v>
      </c>
      <c r="B708">
        <v>5320284</v>
      </c>
      <c r="C708">
        <v>6975829</v>
      </c>
      <c r="E708">
        <v>0.61129999999999995</v>
      </c>
      <c r="F708" t="s">
        <v>4596</v>
      </c>
      <c r="G708">
        <v>55</v>
      </c>
      <c r="H708" t="s">
        <v>4597</v>
      </c>
      <c r="I708">
        <v>30</v>
      </c>
      <c r="J708">
        <v>0.10389195236953569</v>
      </c>
      <c r="K708">
        <v>0</v>
      </c>
      <c r="L708">
        <v>0</v>
      </c>
      <c r="M708">
        <v>0</v>
      </c>
      <c r="O708">
        <v>200000</v>
      </c>
      <c r="R708" t="s">
        <v>136</v>
      </c>
      <c r="S708">
        <v>0.84626149090909086</v>
      </c>
      <c r="T708">
        <v>0.0065193477818181822</v>
      </c>
      <c r="U708" t="s">
        <v>137</v>
      </c>
      <c r="V708">
        <v>0.21940112727272729</v>
      </c>
      <c r="W708">
        <v>5.6482626205090911</v>
      </c>
      <c r="X708" t="s">
        <v>90</v>
      </c>
      <c r="Y708">
        <v>0</v>
      </c>
      <c r="Z708">
        <v>0</v>
      </c>
      <c r="AA708" t="s">
        <v>90</v>
      </c>
      <c r="AB708">
        <v>0</v>
      </c>
      <c r="AC708">
        <v>5.6482626205090911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Q708" t="s">
        <v>140</v>
      </c>
      <c r="AR708" t="s">
        <v>141</v>
      </c>
      <c r="AS708">
        <v>6.2686036363636362</v>
      </c>
    </row>
    <row r="709" spans="1:45" ht="12.75">
      <c r="A709" s="2" t="str">
        <f>HYPERLINK("https://ibp.a2mac1.com/costing(costing:projects/details/8191/material/5320285)","Standard Structural Steel sheet")</f>
        <v>Standard Structural Steel sheet</v>
      </c>
      <c r="B709">
        <v>5320285</v>
      </c>
      <c r="C709">
        <v>6975830</v>
      </c>
      <c r="E709">
        <v>0.61129999999999995</v>
      </c>
      <c r="F709" t="s">
        <v>4602</v>
      </c>
      <c r="G709">
        <v>85</v>
      </c>
      <c r="H709" t="s">
        <v>4603</v>
      </c>
      <c r="I709">
        <v>30</v>
      </c>
      <c r="J709">
        <v>0.10389195236953569</v>
      </c>
      <c r="K709">
        <v>0</v>
      </c>
      <c r="L709">
        <v>0</v>
      </c>
      <c r="M709">
        <v>0</v>
      </c>
      <c r="O709">
        <v>200000</v>
      </c>
      <c r="R709" t="s">
        <v>136</v>
      </c>
      <c r="S709">
        <v>0.014563323529411764</v>
      </c>
      <c r="T709">
        <v>0.0003365745882352941</v>
      </c>
      <c r="U709" t="s">
        <v>137</v>
      </c>
      <c r="V709">
        <v>0.011327029411764706</v>
      </c>
      <c r="W709">
        <v>0.32072969223529413</v>
      </c>
      <c r="X709" t="s">
        <v>138</v>
      </c>
      <c r="Y709">
        <v>0.019243781534117647</v>
      </c>
      <c r="Z709">
        <v>0</v>
      </c>
      <c r="AA709" t="s">
        <v>139</v>
      </c>
      <c r="AB709">
        <v>0.038487563068235295</v>
      </c>
      <c r="AC709">
        <v>0.37846103683764704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Q709" t="s">
        <v>140</v>
      </c>
      <c r="AR709" t="s">
        <v>141</v>
      </c>
      <c r="AS709">
        <v>0.32362941176470589</v>
      </c>
    </row>
    <row r="710" spans="1:45" ht="12.75">
      <c r="A710" s="2" t="str">
        <f>HYPERLINK("https://ibp.a2mac1.com/costing(costing:projects/details/8191/material/5320286)","Standard Structural Steel sheet")</f>
        <v>Standard Structural Steel sheet</v>
      </c>
      <c r="B710">
        <v>5320286</v>
      </c>
      <c r="C710">
        <v>6975831</v>
      </c>
      <c r="E710">
        <v>0.61129999999999995</v>
      </c>
      <c r="F710" t="s">
        <v>4056</v>
      </c>
      <c r="G710">
        <v>80</v>
      </c>
      <c r="H710" t="s">
        <v>4607</v>
      </c>
      <c r="I710">
        <v>30</v>
      </c>
      <c r="J710">
        <v>0.10389195236953569</v>
      </c>
      <c r="K710">
        <v>0</v>
      </c>
      <c r="L710">
        <v>0</v>
      </c>
      <c r="M710">
        <v>0</v>
      </c>
      <c r="O710">
        <v>200000</v>
      </c>
      <c r="R710" t="s">
        <v>136</v>
      </c>
      <c r="S710">
        <v>0.035302575000000003</v>
      </c>
      <c r="T710">
        <v>0.00061191130000000002</v>
      </c>
      <c r="U710" t="s">
        <v>137</v>
      </c>
      <c r="V710">
        <v>0.020593168750000002</v>
      </c>
      <c r="W710">
        <v>0.57427875505000003</v>
      </c>
      <c r="X710" t="s">
        <v>138</v>
      </c>
      <c r="Y710">
        <v>0.034456725303000001</v>
      </c>
      <c r="Z710">
        <v>0</v>
      </c>
      <c r="AA710" t="s">
        <v>139</v>
      </c>
      <c r="AB710">
        <v>0.068913450606000001</v>
      </c>
      <c r="AC710">
        <v>0.67764893095900003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Q710" t="s">
        <v>140</v>
      </c>
      <c r="AR710" t="s">
        <v>141</v>
      </c>
      <c r="AS710">
        <v>0.58837625000000005</v>
      </c>
    </row>
    <row r="711" spans="1:45" ht="12.75">
      <c r="A711" s="2" t="str">
        <f>HYPERLINK("https://ibp.a2mac1.com/costing(costing:projects/details/8191/material/5320355)","Standard Structural Steel sheet")</f>
        <v>Standard Structural Steel sheet</v>
      </c>
      <c r="B711">
        <v>5320355</v>
      </c>
      <c r="C711">
        <v>6975891</v>
      </c>
      <c r="E711">
        <v>0.61129999999999995</v>
      </c>
      <c r="F711" t="s">
        <v>3845</v>
      </c>
      <c r="G711">
        <v>75</v>
      </c>
      <c r="H711" t="s">
        <v>4612</v>
      </c>
      <c r="I711">
        <v>30</v>
      </c>
      <c r="J711">
        <v>0.10389195236953569</v>
      </c>
      <c r="K711">
        <v>0</v>
      </c>
      <c r="L711">
        <v>0</v>
      </c>
      <c r="M711">
        <v>0</v>
      </c>
      <c r="O711">
        <v>200000</v>
      </c>
      <c r="R711" t="s">
        <v>136</v>
      </c>
      <c r="S711">
        <v>0.039734499999999999</v>
      </c>
      <c r="T711">
        <v>0.00055098506666666669</v>
      </c>
      <c r="U711" t="s">
        <v>137</v>
      </c>
      <c r="V711">
        <v>0.018542766666666665</v>
      </c>
      <c r="W711">
        <v>0.50915258506666672</v>
      </c>
      <c r="X711" t="s">
        <v>138</v>
      </c>
      <c r="Y711">
        <v>0.030549155104000001</v>
      </c>
      <c r="Z711">
        <v>0</v>
      </c>
      <c r="AA711" t="s">
        <v>139</v>
      </c>
      <c r="AB711">
        <v>0.061098310208000002</v>
      </c>
      <c r="AC711">
        <v>0.60080005037866668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Q711" t="s">
        <v>140</v>
      </c>
      <c r="AR711" t="s">
        <v>141</v>
      </c>
      <c r="AS711">
        <v>0.52979333333333334</v>
      </c>
    </row>
    <row r="712" spans="1:45" ht="12.75">
      <c r="A712" s="2" t="str">
        <f>HYPERLINK("https://ibp.a2mac1.com/costing(costing:projects/details/8191/material/5320356)","Standard Structural Steel sheet")</f>
        <v>Standard Structural Steel sheet</v>
      </c>
      <c r="B712">
        <v>5320356</v>
      </c>
      <c r="C712">
        <v>6975892</v>
      </c>
      <c r="E712">
        <v>0.61129999999999995</v>
      </c>
      <c r="F712" t="s">
        <v>3845</v>
      </c>
      <c r="G712">
        <v>70</v>
      </c>
      <c r="H712" t="s">
        <v>4615</v>
      </c>
      <c r="I712">
        <v>30</v>
      </c>
      <c r="J712">
        <v>0.10389195236953569</v>
      </c>
      <c r="K712">
        <v>0</v>
      </c>
      <c r="L712">
        <v>0</v>
      </c>
      <c r="M712">
        <v>0</v>
      </c>
      <c r="O712">
        <v>200000</v>
      </c>
      <c r="R712" t="s">
        <v>136</v>
      </c>
      <c r="S712">
        <v>0.051087214285714284</v>
      </c>
      <c r="T712">
        <v>0.00059034114285714287</v>
      </c>
      <c r="U712" t="s">
        <v>137</v>
      </c>
      <c r="V712">
        <v>0.019867249999999999</v>
      </c>
      <c r="W712">
        <v>0.53700609114285713</v>
      </c>
      <c r="X712" t="s">
        <v>138</v>
      </c>
      <c r="Y712">
        <v>0.032220365468571426</v>
      </c>
      <c r="Z712">
        <v>0</v>
      </c>
      <c r="AA712" t="s">
        <v>139</v>
      </c>
      <c r="AB712">
        <v>0.064440730937142851</v>
      </c>
      <c r="AC712">
        <v>0.63366718754857143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Q712" t="s">
        <v>140</v>
      </c>
      <c r="AR712" t="s">
        <v>141</v>
      </c>
      <c r="AS712">
        <v>0.56763571428571424</v>
      </c>
    </row>
    <row r="713" spans="1:45" ht="12.75">
      <c r="A713" s="2" t="str">
        <f>HYPERLINK("https://ibp.a2mac1.com/costing(costing:projects/details/8191/material/5320357)","Standard Structural Steel sheet")</f>
        <v>Standard Structural Steel sheet</v>
      </c>
      <c r="B713">
        <v>5320357</v>
      </c>
      <c r="C713">
        <v>6975893</v>
      </c>
      <c r="E713">
        <v>0.61129999999999995</v>
      </c>
      <c r="F713" t="s">
        <v>2059</v>
      </c>
      <c r="G713">
        <v>85</v>
      </c>
      <c r="H713" t="s">
        <v>4618</v>
      </c>
      <c r="I713">
        <v>30</v>
      </c>
      <c r="J713">
        <v>0.10389195236953569</v>
      </c>
      <c r="K713">
        <v>0</v>
      </c>
      <c r="L713">
        <v>0</v>
      </c>
      <c r="M713">
        <v>0</v>
      </c>
      <c r="O713">
        <v>200000</v>
      </c>
      <c r="R713" t="s">
        <v>136</v>
      </c>
      <c r="S713">
        <v>0.0019417764705882354</v>
      </c>
      <c r="T713">
        <v>4.4876611764705885E-05</v>
      </c>
      <c r="U713" t="s">
        <v>137</v>
      </c>
      <c r="V713">
        <v>0.0015102705882352942</v>
      </c>
      <c r="W713">
        <v>0.042763958964705882</v>
      </c>
      <c r="X713" t="s">
        <v>138</v>
      </c>
      <c r="Y713">
        <v>0.0025658375378823529</v>
      </c>
      <c r="Z713">
        <v>0</v>
      </c>
      <c r="AA713" t="s">
        <v>139</v>
      </c>
      <c r="AB713">
        <v>0.0051316750757647057</v>
      </c>
      <c r="AC713">
        <v>0.050461471578352943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Q713" t="s">
        <v>140</v>
      </c>
      <c r="AR713" t="s">
        <v>141</v>
      </c>
      <c r="AS713">
        <v>0.043150588235294114</v>
      </c>
    </row>
    <row r="714" spans="1:45" ht="12.75">
      <c r="A714" s="2" t="str">
        <f>HYPERLINK("https://ibp.a2mac1.com/costing(costing:projects/details/8191/material/5320358)","Standard Structural Steel sheet")</f>
        <v>Standard Structural Steel sheet</v>
      </c>
      <c r="B714">
        <v>5320358</v>
      </c>
      <c r="C714">
        <v>6975894</v>
      </c>
      <c r="E714">
        <v>0.61129999999999995</v>
      </c>
      <c r="F714" t="s">
        <v>4624</v>
      </c>
      <c r="G714">
        <v>50</v>
      </c>
      <c r="H714" t="s">
        <v>4625</v>
      </c>
      <c r="I714">
        <v>30</v>
      </c>
      <c r="J714">
        <v>0.10389195236953569</v>
      </c>
      <c r="K714">
        <v>0</v>
      </c>
      <c r="L714">
        <v>0</v>
      </c>
      <c r="M714">
        <v>0</v>
      </c>
      <c r="O714">
        <v>200000</v>
      </c>
      <c r="R714" t="s">
        <v>136</v>
      </c>
      <c r="S714">
        <v>0.2494104</v>
      </c>
      <c r="T714">
        <v>0.0017292454400000001</v>
      </c>
      <c r="U714" t="s">
        <v>137</v>
      </c>
      <c r="V714">
        <v>0.058195759999999999</v>
      </c>
      <c r="W714">
        <v>1.4732506054400001</v>
      </c>
      <c r="X714" t="s">
        <v>138</v>
      </c>
      <c r="Y714">
        <v>0.088395036326400001</v>
      </c>
      <c r="Z714">
        <v>0</v>
      </c>
      <c r="AA714" t="s">
        <v>139</v>
      </c>
      <c r="AB714">
        <v>0.1767900726528</v>
      </c>
      <c r="AC714">
        <v>1.7384357144192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Q714" t="s">
        <v>140</v>
      </c>
      <c r="AR714" t="s">
        <v>141</v>
      </c>
      <c r="AS714">
        <v>1.662736</v>
      </c>
    </row>
    <row r="715" spans="1:45" ht="12.75">
      <c r="A715" s="2" t="str">
        <f>HYPERLINK("https://ibp.a2mac1.com/costing(costing:projects/details/8191/material/5320287)","Standard Structural Steel sheet")</f>
        <v>Standard Structural Steel sheet</v>
      </c>
      <c r="B715">
        <v>5320287</v>
      </c>
      <c r="C715">
        <v>6975832</v>
      </c>
      <c r="E715">
        <v>0.61129999999999995</v>
      </c>
      <c r="F715" t="s">
        <v>504</v>
      </c>
      <c r="G715">
        <v>75</v>
      </c>
      <c r="H715" t="s">
        <v>505</v>
      </c>
      <c r="I715">
        <v>30</v>
      </c>
      <c r="J715">
        <v>0.10389195236953569</v>
      </c>
      <c r="K715">
        <v>0</v>
      </c>
      <c r="L715">
        <v>0</v>
      </c>
      <c r="M715">
        <v>0</v>
      </c>
      <c r="O715">
        <v>200000</v>
      </c>
      <c r="R715" t="s">
        <v>136</v>
      </c>
      <c r="S715">
        <v>0.0134486</v>
      </c>
      <c r="T715">
        <v>0.00018648725333333333</v>
      </c>
      <c r="U715" t="s">
        <v>137</v>
      </c>
      <c r="V715">
        <v>0.0062760133333333336</v>
      </c>
      <c r="W715">
        <v>0.17232856725333334</v>
      </c>
      <c r="X715" t="s">
        <v>138</v>
      </c>
      <c r="Y715">
        <v>0.010339714035200001</v>
      </c>
      <c r="Z715">
        <v>0</v>
      </c>
      <c r="AA715" t="s">
        <v>139</v>
      </c>
      <c r="AB715">
        <v>0.020679428070400001</v>
      </c>
      <c r="AC715">
        <v>0.20334770935893334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Q715" t="s">
        <v>140</v>
      </c>
      <c r="AR715" t="s">
        <v>141</v>
      </c>
      <c r="AS715">
        <v>0.17931466666666668</v>
      </c>
    </row>
    <row r="716" spans="1:45" ht="12.75">
      <c r="A716" s="2" t="str">
        <f>HYPERLINK("https://ibp.a2mac1.com/costing(costing:projects/details/8191/material/5320547)","Standard Structural Steel sheet")</f>
        <v>Standard Structural Steel sheet</v>
      </c>
      <c r="B716">
        <v>5320547</v>
      </c>
      <c r="C716">
        <v>6976138</v>
      </c>
      <c r="E716">
        <v>0.61129999999999995</v>
      </c>
      <c r="F716" t="s">
        <v>4030</v>
      </c>
      <c r="G716">
        <v>75</v>
      </c>
      <c r="H716" t="s">
        <v>4635</v>
      </c>
      <c r="I716">
        <v>30</v>
      </c>
      <c r="J716">
        <v>0.10389195236953569</v>
      </c>
      <c r="K716">
        <v>0</v>
      </c>
      <c r="L716">
        <v>0</v>
      </c>
      <c r="M716">
        <v>0</v>
      </c>
      <c r="O716">
        <v>200000</v>
      </c>
      <c r="R716" t="s">
        <v>136</v>
      </c>
      <c r="S716">
        <v>0.0116147</v>
      </c>
      <c r="T716">
        <v>0.00016105717333333332</v>
      </c>
      <c r="U716" t="s">
        <v>137</v>
      </c>
      <c r="V716">
        <v>0.0054201933333333334</v>
      </c>
      <c r="W716">
        <v>0.14882921717333333</v>
      </c>
      <c r="X716" t="s">
        <v>138</v>
      </c>
      <c r="Y716">
        <v>0.0089297530304000006</v>
      </c>
      <c r="Z716">
        <v>0</v>
      </c>
      <c r="AA716" t="s">
        <v>139</v>
      </c>
      <c r="AB716">
        <v>0.017859506060800001</v>
      </c>
      <c r="AC716">
        <v>0.17561847626453334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Q716" t="s">
        <v>140</v>
      </c>
      <c r="AR716" t="s">
        <v>141</v>
      </c>
      <c r="AS716">
        <v>0.15486266666666668</v>
      </c>
    </row>
    <row r="717" spans="1:45" ht="12.75">
      <c r="A717" s="2" t="str">
        <f>HYPERLINK("https://ibp.a2mac1.com/costing(costing:projects/details/8191/material/5320288)","Standard Structural Steel sheet")</f>
        <v>Standard Structural Steel sheet</v>
      </c>
      <c r="B717">
        <v>5320288</v>
      </c>
      <c r="C717">
        <v>6975833</v>
      </c>
      <c r="E717">
        <v>0.61129999999999995</v>
      </c>
      <c r="F717" t="s">
        <v>4624</v>
      </c>
      <c r="G717">
        <v>50</v>
      </c>
      <c r="H717" t="s">
        <v>4625</v>
      </c>
      <c r="I717">
        <v>30</v>
      </c>
      <c r="J717">
        <v>0.10389195236953569</v>
      </c>
      <c r="K717">
        <v>0</v>
      </c>
      <c r="L717">
        <v>0</v>
      </c>
      <c r="M717">
        <v>0</v>
      </c>
      <c r="O717">
        <v>200000</v>
      </c>
      <c r="R717" t="s">
        <v>136</v>
      </c>
      <c r="S717">
        <v>0.2494104</v>
      </c>
      <c r="T717">
        <v>0.0017292454400000001</v>
      </c>
      <c r="U717" t="s">
        <v>137</v>
      </c>
      <c r="V717">
        <v>0.058195759999999999</v>
      </c>
      <c r="W717">
        <v>1.4732506054400001</v>
      </c>
      <c r="X717" t="s">
        <v>138</v>
      </c>
      <c r="Y717">
        <v>0.088395036326400001</v>
      </c>
      <c r="Z717">
        <v>0</v>
      </c>
      <c r="AA717" t="s">
        <v>139</v>
      </c>
      <c r="AB717">
        <v>0.1767900726528</v>
      </c>
      <c r="AC717">
        <v>1.7384357144192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Q717" t="s">
        <v>140</v>
      </c>
      <c r="AR717" t="s">
        <v>141</v>
      </c>
      <c r="AS717">
        <v>1.662736</v>
      </c>
    </row>
    <row r="718" spans="1:45" ht="12.75">
      <c r="A718" s="2" t="str">
        <f>HYPERLINK("https://ibp.a2mac1.com/costing(costing:projects/details/8191/material/5320359)","Standard Structural Steel sheet")</f>
        <v>Standard Structural Steel sheet</v>
      </c>
      <c r="B718">
        <v>5320359</v>
      </c>
      <c r="C718">
        <v>6975895</v>
      </c>
      <c r="E718">
        <v>0.61129999999999995</v>
      </c>
      <c r="F718" t="s">
        <v>4644</v>
      </c>
      <c r="G718">
        <v>75</v>
      </c>
      <c r="H718" t="s">
        <v>4645</v>
      </c>
      <c r="I718">
        <v>30</v>
      </c>
      <c r="J718">
        <v>0.10389195236953569</v>
      </c>
      <c r="K718">
        <v>0</v>
      </c>
      <c r="L718">
        <v>0</v>
      </c>
      <c r="M718">
        <v>0</v>
      </c>
      <c r="O718">
        <v>200000</v>
      </c>
      <c r="R718" t="s">
        <v>136</v>
      </c>
      <c r="S718">
        <v>0.057462199999999998</v>
      </c>
      <c r="T718">
        <v>0.00079680917333333336</v>
      </c>
      <c r="U718" t="s">
        <v>137</v>
      </c>
      <c r="V718">
        <v>0.026815693333333335</v>
      </c>
      <c r="W718">
        <v>0.73631296917333333</v>
      </c>
      <c r="X718" t="s">
        <v>138</v>
      </c>
      <c r="Y718">
        <v>0.0441787781504</v>
      </c>
      <c r="Z718">
        <v>0</v>
      </c>
      <c r="AA718" t="s">
        <v>139</v>
      </c>
      <c r="AB718">
        <v>0.0883575563008</v>
      </c>
      <c r="AC718">
        <v>0.86884930362453339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Q718" t="s">
        <v>140</v>
      </c>
      <c r="AR718" t="s">
        <v>141</v>
      </c>
      <c r="AS718">
        <v>0.76616266666666666</v>
      </c>
    </row>
    <row r="719" spans="1:45" ht="12.75">
      <c r="A719" s="2" t="str">
        <f>HYPERLINK("https://ibp.a2mac1.com/costing(costing:projects/details/8191/material/5320360)","Standard Structural Steel sheet")</f>
        <v>Standard Structural Steel sheet</v>
      </c>
      <c r="B719">
        <v>5320360</v>
      </c>
      <c r="C719">
        <v>6975896</v>
      </c>
      <c r="E719">
        <v>0.61129999999999995</v>
      </c>
      <c r="F719" t="s">
        <v>4648</v>
      </c>
      <c r="G719">
        <v>80</v>
      </c>
      <c r="H719" t="s">
        <v>4649</v>
      </c>
      <c r="I719">
        <v>30</v>
      </c>
      <c r="J719">
        <v>0.10389195236953569</v>
      </c>
      <c r="K719">
        <v>0</v>
      </c>
      <c r="L719">
        <v>0</v>
      </c>
      <c r="M719">
        <v>0</v>
      </c>
      <c r="O719">
        <v>200000</v>
      </c>
      <c r="R719" t="s">
        <v>136</v>
      </c>
      <c r="S719">
        <v>0.013295774999999999</v>
      </c>
      <c r="T719">
        <v>0.00023046009999999999</v>
      </c>
      <c r="U719" t="s">
        <v>137</v>
      </c>
      <c r="V719">
        <v>0.0077558687499999996</v>
      </c>
      <c r="W719">
        <v>0.21628680384999999</v>
      </c>
      <c r="X719" t="s">
        <v>138</v>
      </c>
      <c r="Y719">
        <v>0.012977208230999999</v>
      </c>
      <c r="Z719">
        <v>0</v>
      </c>
      <c r="AA719" t="s">
        <v>139</v>
      </c>
      <c r="AB719">
        <v>0.025954416461999998</v>
      </c>
      <c r="AC719">
        <v>0.25521842854299998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Q719" t="s">
        <v>140</v>
      </c>
      <c r="AR719" t="s">
        <v>141</v>
      </c>
      <c r="AS719">
        <v>0.22159624999999999</v>
      </c>
    </row>
    <row r="720" spans="1:45" ht="12.75">
      <c r="A720" s="2" t="str">
        <f>HYPERLINK("https://ibp.a2mac1.com/costing(costing:projects/details/8191/material/5320361)","Standard Structural Steel sheet")</f>
        <v>Standard Structural Steel sheet</v>
      </c>
      <c r="B720">
        <v>5320361</v>
      </c>
      <c r="C720">
        <v>6975897</v>
      </c>
      <c r="E720">
        <v>0.61129999999999995</v>
      </c>
      <c r="F720" t="s">
        <v>2822</v>
      </c>
      <c r="G720">
        <v>80</v>
      </c>
      <c r="H720" t="s">
        <v>4653</v>
      </c>
      <c r="I720">
        <v>30</v>
      </c>
      <c r="J720">
        <v>0.10389195236953569</v>
      </c>
      <c r="K720">
        <v>0</v>
      </c>
      <c r="L720">
        <v>0</v>
      </c>
      <c r="M720">
        <v>0</v>
      </c>
      <c r="O720">
        <v>200000</v>
      </c>
      <c r="R720" t="s">
        <v>136</v>
      </c>
      <c r="S720">
        <v>0.01558815</v>
      </c>
      <c r="T720">
        <v>0.00027019460000000001</v>
      </c>
      <c r="U720" t="s">
        <v>137</v>
      </c>
      <c r="V720">
        <v>0.0090930874999999994</v>
      </c>
      <c r="W720">
        <v>0.25357763210000001</v>
      </c>
      <c r="X720" t="s">
        <v>138</v>
      </c>
      <c r="Y720">
        <v>0.015214657926</v>
      </c>
      <c r="Z720">
        <v>0</v>
      </c>
      <c r="AA720" t="s">
        <v>139</v>
      </c>
      <c r="AB720">
        <v>0.030429315852</v>
      </c>
      <c r="AC720">
        <v>0.29922160587800001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Q720" t="s">
        <v>140</v>
      </c>
      <c r="AR720" t="s">
        <v>141</v>
      </c>
      <c r="AS720">
        <v>0.25980249999999999</v>
      </c>
    </row>
    <row r="721" spans="1:45" ht="12.75">
      <c r="A721" s="2" t="str">
        <f>HYPERLINK("https://ibp.a2mac1.com/costing(costing:projects/details/8191/material/5320362)","Standard Structural Steel sheet")</f>
        <v>Standard Structural Steel sheet</v>
      </c>
      <c r="B721">
        <v>5320362</v>
      </c>
      <c r="C721">
        <v>6975898</v>
      </c>
      <c r="E721">
        <v>0.61129999999999995</v>
      </c>
      <c r="F721" t="s">
        <v>4658</v>
      </c>
      <c r="G721">
        <v>70</v>
      </c>
      <c r="H721" t="s">
        <v>4659</v>
      </c>
      <c r="I721">
        <v>30</v>
      </c>
      <c r="J721">
        <v>0.10389195236953569</v>
      </c>
      <c r="K721">
        <v>0</v>
      </c>
      <c r="L721">
        <v>0</v>
      </c>
      <c r="M721">
        <v>0</v>
      </c>
      <c r="O721">
        <v>200000</v>
      </c>
      <c r="R721" t="s">
        <v>136</v>
      </c>
      <c r="S721">
        <v>0.16740887142857142</v>
      </c>
      <c r="T721">
        <v>0.0019345025142857143</v>
      </c>
      <c r="U721" t="s">
        <v>137</v>
      </c>
      <c r="V721">
        <v>0.065103449999999993</v>
      </c>
      <c r="W721">
        <v>1.7597276525142858</v>
      </c>
      <c r="X721" t="s">
        <v>138</v>
      </c>
      <c r="Y721">
        <v>0.10558365915085714</v>
      </c>
      <c r="Z721">
        <v>0</v>
      </c>
      <c r="AA721" t="s">
        <v>139</v>
      </c>
      <c r="AB721">
        <v>0.21116731830171429</v>
      </c>
      <c r="AC721">
        <v>2.0764786299668572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Q721" t="s">
        <v>140</v>
      </c>
      <c r="AR721" t="s">
        <v>141</v>
      </c>
      <c r="AS721">
        <v>1.8600985714285714</v>
      </c>
    </row>
    <row r="722" spans="1:45" ht="12.75">
      <c r="A722" s="2" t="str">
        <f>HYPERLINK("https://ibp.a2mac1.com/costing(costing:projects/details/8191/material/5320289)","Standard Structural Steel sheet")</f>
        <v>Standard Structural Steel sheet</v>
      </c>
      <c r="B722">
        <v>5320289</v>
      </c>
      <c r="C722">
        <v>6975834</v>
      </c>
      <c r="E722">
        <v>0.61129999999999995</v>
      </c>
      <c r="F722" t="s">
        <v>4664</v>
      </c>
      <c r="G722">
        <v>85</v>
      </c>
      <c r="H722" t="s">
        <v>4665</v>
      </c>
      <c r="I722">
        <v>30</v>
      </c>
      <c r="J722">
        <v>0.10389195236953569</v>
      </c>
      <c r="K722">
        <v>0</v>
      </c>
      <c r="L722">
        <v>0</v>
      </c>
      <c r="M722">
        <v>0</v>
      </c>
      <c r="O722">
        <v>200000</v>
      </c>
      <c r="R722" t="s">
        <v>136</v>
      </c>
      <c r="S722">
        <v>0.15016404705882352</v>
      </c>
      <c r="T722">
        <v>0.0034704579764705881</v>
      </c>
      <c r="U722" t="s">
        <v>137</v>
      </c>
      <c r="V722">
        <v>0.11679425882352941</v>
      </c>
      <c r="W722">
        <v>3.3070794932705883</v>
      </c>
      <c r="X722" t="s">
        <v>90</v>
      </c>
      <c r="Y722">
        <v>0</v>
      </c>
      <c r="Z722">
        <v>0</v>
      </c>
      <c r="AA722" t="s">
        <v>90</v>
      </c>
      <c r="AB722">
        <v>0</v>
      </c>
      <c r="AC722">
        <v>3.3070794932705883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Q722" t="s">
        <v>140</v>
      </c>
      <c r="AR722" t="s">
        <v>141</v>
      </c>
      <c r="AS722">
        <v>3.3369788235294116</v>
      </c>
    </row>
    <row r="723" spans="1:45" ht="12.75">
      <c r="A723" s="2" t="str">
        <f>HYPERLINK("https://ibp.a2mac1.com/costing(costing:projects/details/8191/material/5320108)","ABS")</f>
        <v>ABS</v>
      </c>
      <c r="B723">
        <v>5320108</v>
      </c>
      <c r="C723">
        <v>6975688</v>
      </c>
      <c r="E723">
        <v>2.5272700000000001</v>
      </c>
      <c r="F723" t="s">
        <v>4673</v>
      </c>
      <c r="G723">
        <v>95</v>
      </c>
      <c r="H723" t="s">
        <v>4674</v>
      </c>
      <c r="I723">
        <v>5</v>
      </c>
      <c r="J723">
        <v>0.50345253019720215</v>
      </c>
      <c r="K723">
        <v>0</v>
      </c>
      <c r="M723">
        <v>0</v>
      </c>
      <c r="O723">
        <v>200000</v>
      </c>
      <c r="R723" t="s">
        <v>136</v>
      </c>
      <c r="S723">
        <v>0.0015695676842105264</v>
      </c>
      <c r="T723">
        <v>0.0031768049928421051</v>
      </c>
      <c r="U723" t="s">
        <v>137</v>
      </c>
      <c r="V723">
        <v>0.02197394757894737</v>
      </c>
      <c r="W723">
        <v>0.65140825857178952</v>
      </c>
      <c r="X723" t="s">
        <v>138</v>
      </c>
      <c r="Y723">
        <v>0.039084495514307371</v>
      </c>
      <c r="Z723">
        <v>0</v>
      </c>
      <c r="AA723" t="s">
        <v>139</v>
      </c>
      <c r="AB723">
        <v>0.078168991028614743</v>
      </c>
      <c r="AC723">
        <v>0.76866174511471153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Q723" t="s">
        <v>140</v>
      </c>
      <c r="AR723" t="s">
        <v>141</v>
      </c>
      <c r="AS723">
        <v>0.62782707368421053</v>
      </c>
    </row>
    <row r="724" spans="1:45" ht="12.75">
      <c r="A724" s="2" t="str">
        <f>HYPERLINK("https://ibp.a2mac1.com/costing(costing:projects/details/8191/material/5320109)","ABS")</f>
        <v>ABS</v>
      </c>
      <c r="B724">
        <v>5320109</v>
      </c>
      <c r="C724">
        <v>6975689</v>
      </c>
      <c r="E724">
        <v>2.5272700000000001</v>
      </c>
      <c r="F724" t="s">
        <v>4678</v>
      </c>
      <c r="G724">
        <v>95</v>
      </c>
      <c r="H724" t="s">
        <v>4679</v>
      </c>
      <c r="I724">
        <v>5</v>
      </c>
      <c r="J724">
        <v>0.50345253019720215</v>
      </c>
      <c r="K724">
        <v>0</v>
      </c>
      <c r="M724">
        <v>0</v>
      </c>
      <c r="O724">
        <v>200000</v>
      </c>
      <c r="R724" t="s">
        <v>136</v>
      </c>
      <c r="S724">
        <v>0.00011306207894736843</v>
      </c>
      <c r="T724">
        <v>0.00022883764778947369</v>
      </c>
      <c r="U724" t="s">
        <v>137</v>
      </c>
      <c r="V724">
        <v>0.001582869105263158</v>
      </c>
      <c r="W724">
        <v>0.046923476253052633</v>
      </c>
      <c r="X724" t="s">
        <v>138</v>
      </c>
      <c r="Y724">
        <v>0.0028154085751831578</v>
      </c>
      <c r="Z724">
        <v>0</v>
      </c>
      <c r="AA724" t="s">
        <v>139</v>
      </c>
      <c r="AB724">
        <v>0.0056308171503663155</v>
      </c>
      <c r="AC724">
        <v>0.055369701978602102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Q724" t="s">
        <v>140</v>
      </c>
      <c r="AR724" t="s">
        <v>141</v>
      </c>
      <c r="AS724">
        <v>0.045224831578947369</v>
      </c>
    </row>
    <row r="725" spans="1:45" ht="12.75">
      <c r="A725" s="2" t="str">
        <f>HYPERLINK("https://ibp.a2mac1.com/costing(costing:projects/details/8191/material/5319871)","PP")</f>
        <v>PP</v>
      </c>
      <c r="B725">
        <v>5319871</v>
      </c>
      <c r="C725">
        <v>6975463</v>
      </c>
      <c r="E725">
        <v>1.0113799999999999</v>
      </c>
      <c r="F725" t="s">
        <v>4685</v>
      </c>
      <c r="G725">
        <v>95</v>
      </c>
      <c r="H725" t="s">
        <v>4686</v>
      </c>
      <c r="I725">
        <v>5</v>
      </c>
      <c r="J725">
        <v>0.50345253019720215</v>
      </c>
      <c r="K725">
        <v>0</v>
      </c>
      <c r="M725">
        <v>0</v>
      </c>
      <c r="O725">
        <v>200000</v>
      </c>
      <c r="R725" t="s">
        <v>136</v>
      </c>
      <c r="S725">
        <v>0.0035691067894736842</v>
      </c>
      <c r="T725">
        <v>0.0072238721418947365</v>
      </c>
      <c r="U725" t="s">
        <v>137</v>
      </c>
      <c r="V725">
        <v>0.04996749505263158</v>
      </c>
      <c r="W725">
        <v>1.4812649761945262</v>
      </c>
      <c r="X725" t="s">
        <v>90</v>
      </c>
      <c r="Y725">
        <v>0</v>
      </c>
      <c r="Z725">
        <v>0</v>
      </c>
      <c r="AA725" t="s">
        <v>90</v>
      </c>
      <c r="AB725">
        <v>0</v>
      </c>
      <c r="AC725">
        <v>1.4812649761945262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Q725" t="s">
        <v>140</v>
      </c>
      <c r="AR725" t="s">
        <v>141</v>
      </c>
      <c r="AS725">
        <v>1.4276427157894738</v>
      </c>
    </row>
    <row r="726" spans="1:45" ht="12.75">
      <c r="A726" s="2" t="str">
        <f>HYPERLINK("https://ibp.a2mac1.com/costing(costing:projects/details/8191/material/5319872)","PVC")</f>
        <v>PVC</v>
      </c>
      <c r="B726">
        <v>5319872</v>
      </c>
      <c r="C726">
        <v>6975464</v>
      </c>
      <c r="E726">
        <v>1.2835000000000001</v>
      </c>
      <c r="F726" t="s">
        <v>4690</v>
      </c>
      <c r="G726">
        <v>95</v>
      </c>
      <c r="H726" t="s">
        <v>4691</v>
      </c>
      <c r="I726">
        <v>5</v>
      </c>
      <c r="J726">
        <v>0.50345253019720215</v>
      </c>
      <c r="K726">
        <v>0</v>
      </c>
      <c r="M726">
        <v>0</v>
      </c>
      <c r="O726">
        <v>200000</v>
      </c>
      <c r="R726" t="s">
        <v>136</v>
      </c>
      <c r="S726">
        <v>0.00094404802631578946</v>
      </c>
      <c r="T726">
        <v>0.0019107532052631579</v>
      </c>
      <c r="U726" t="s">
        <v>137</v>
      </c>
      <c r="V726">
        <v>0.013216672368421053</v>
      </c>
      <c r="W726">
        <v>0.39180258807368423</v>
      </c>
      <c r="X726" t="s">
        <v>90</v>
      </c>
      <c r="Y726">
        <v>0</v>
      </c>
      <c r="Z726">
        <v>0</v>
      </c>
      <c r="AA726" t="s">
        <v>90</v>
      </c>
      <c r="AB726">
        <v>0</v>
      </c>
      <c r="AC726">
        <v>0.39180258807368423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Q726" t="s">
        <v>140</v>
      </c>
      <c r="AR726" t="s">
        <v>141</v>
      </c>
      <c r="AS726">
        <v>0.37761921052631581</v>
      </c>
    </row>
    <row r="727" spans="1:45" ht="12.75">
      <c r="A727" s="2" t="str">
        <f>HYPERLINK("https://ibp.a2mac1.com/costing(costing:projects/details/8191/material/5319873)","PP")</f>
        <v>PP</v>
      </c>
      <c r="B727">
        <v>5319873</v>
      </c>
      <c r="C727">
        <v>6975464</v>
      </c>
      <c r="E727">
        <v>1.0113799999999999</v>
      </c>
      <c r="F727" t="s">
        <v>4690</v>
      </c>
      <c r="G727">
        <v>95</v>
      </c>
      <c r="H727" t="s">
        <v>4691</v>
      </c>
      <c r="I727">
        <v>5</v>
      </c>
      <c r="J727">
        <v>0.50345253019720215</v>
      </c>
      <c r="K727">
        <v>0</v>
      </c>
      <c r="M727">
        <v>0</v>
      </c>
      <c r="O727">
        <v>200000</v>
      </c>
      <c r="R727" t="s">
        <v>136</v>
      </c>
      <c r="S727">
        <v>0.00074389660526315792</v>
      </c>
      <c r="T727">
        <v>0.0015056467290526317</v>
      </c>
      <c r="U727" t="s">
        <v>137</v>
      </c>
      <c r="V727">
        <v>0.01041455247368421</v>
      </c>
      <c r="W727">
        <v>0.30873494470273682</v>
      </c>
      <c r="X727" t="s">
        <v>90</v>
      </c>
      <c r="Y727">
        <v>0</v>
      </c>
      <c r="Z727">
        <v>0</v>
      </c>
      <c r="AA727" t="s">
        <v>90</v>
      </c>
      <c r="AB727">
        <v>0</v>
      </c>
      <c r="AC727">
        <v>0.30873494470273682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Q727" t="s">
        <v>140</v>
      </c>
      <c r="AR727" t="s">
        <v>141</v>
      </c>
      <c r="AS727">
        <v>0.29755864210526317</v>
      </c>
    </row>
    <row r="728" spans="1:45" ht="12.75">
      <c r="A728" s="2" t="str">
        <f>HYPERLINK("https://ibp.a2mac1.com/costing(costing:projects/details/8191/material/5319874)","ABS")</f>
        <v>ABS</v>
      </c>
      <c r="B728">
        <v>5319874</v>
      </c>
      <c r="C728">
        <v>6975465</v>
      </c>
      <c r="E728">
        <v>2.5272700000000001</v>
      </c>
      <c r="F728" t="s">
        <v>4696</v>
      </c>
      <c r="G728">
        <v>95</v>
      </c>
      <c r="H728" t="s">
        <v>4697</v>
      </c>
      <c r="I728">
        <v>5</v>
      </c>
      <c r="J728">
        <v>0.50345253019720215</v>
      </c>
      <c r="K728">
        <v>0</v>
      </c>
      <c r="M728">
        <v>0</v>
      </c>
      <c r="O728">
        <v>200000</v>
      </c>
      <c r="R728" t="s">
        <v>136</v>
      </c>
      <c r="S728">
        <v>0.0017059072500000001</v>
      </c>
      <c r="T728">
        <v>0.0034527562740000002</v>
      </c>
      <c r="U728" t="s">
        <v>137</v>
      </c>
      <c r="V728">
        <v>0.023882701499999999</v>
      </c>
      <c r="W728">
        <v>0.70799245052399995</v>
      </c>
      <c r="X728" t="s">
        <v>90</v>
      </c>
      <c r="Y728">
        <v>0</v>
      </c>
      <c r="Z728">
        <v>0</v>
      </c>
      <c r="AA728" t="s">
        <v>90</v>
      </c>
      <c r="AB728">
        <v>0</v>
      </c>
      <c r="AC728">
        <v>0.70799245052399995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Q728" t="s">
        <v>140</v>
      </c>
      <c r="AR728" t="s">
        <v>141</v>
      </c>
      <c r="AS728">
        <v>0.68236289999999999</v>
      </c>
    </row>
    <row r="729" spans="1:45" ht="12.75">
      <c r="A729" s="2" t="str">
        <f>HYPERLINK("https://ibp.a2mac1.com/costing(costing:projects/details/8191/material/5319875)","PVC")</f>
        <v>PVC</v>
      </c>
      <c r="B729">
        <v>5319875</v>
      </c>
      <c r="C729">
        <v>6975465</v>
      </c>
      <c r="E729">
        <v>1.2835000000000001</v>
      </c>
      <c r="F729" t="s">
        <v>4696</v>
      </c>
      <c r="G729">
        <v>95</v>
      </c>
      <c r="H729" t="s">
        <v>4697</v>
      </c>
      <c r="I729">
        <v>5</v>
      </c>
      <c r="J729">
        <v>0.50345253019720215</v>
      </c>
      <c r="K729">
        <v>0</v>
      </c>
      <c r="M729">
        <v>0</v>
      </c>
      <c r="O729">
        <v>200000</v>
      </c>
      <c r="R729" t="s">
        <v>136</v>
      </c>
      <c r="S729">
        <v>0.00086636250000000003</v>
      </c>
      <c r="T729">
        <v>0.0017535177</v>
      </c>
      <c r="U729" t="s">
        <v>137</v>
      </c>
      <c r="V729">
        <v>0.012129075</v>
      </c>
      <c r="W729">
        <v>0.35956123020000003</v>
      </c>
      <c r="X729" t="s">
        <v>90</v>
      </c>
      <c r="Y729">
        <v>0</v>
      </c>
      <c r="Z729">
        <v>0</v>
      </c>
      <c r="AA729" t="s">
        <v>90</v>
      </c>
      <c r="AB729">
        <v>0</v>
      </c>
      <c r="AC729">
        <v>0.35956123020000003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Q729" t="s">
        <v>140</v>
      </c>
      <c r="AR729" t="s">
        <v>141</v>
      </c>
      <c r="AS729">
        <v>0.34654499999999999</v>
      </c>
    </row>
    <row r="730" spans="1:45" ht="12.75">
      <c r="A730" s="2" t="str">
        <f>HYPERLINK("https://ibp.a2mac1.com/costing(costing:projects/details/8191/material/5319876)","PP")</f>
        <v>PP</v>
      </c>
      <c r="B730">
        <v>5319876</v>
      </c>
      <c r="C730">
        <v>6975466</v>
      </c>
      <c r="E730">
        <v>1.0113799999999999</v>
      </c>
      <c r="F730" t="s">
        <v>4702</v>
      </c>
      <c r="G730">
        <v>95</v>
      </c>
      <c r="H730" t="s">
        <v>4703</v>
      </c>
      <c r="I730">
        <v>5</v>
      </c>
      <c r="J730">
        <v>0.50345253019720215</v>
      </c>
      <c r="K730">
        <v>0</v>
      </c>
      <c r="M730">
        <v>0</v>
      </c>
      <c r="O730">
        <v>200000</v>
      </c>
      <c r="R730" t="s">
        <v>136</v>
      </c>
      <c r="S730">
        <v>0.0015064238947368421</v>
      </c>
      <c r="T730">
        <v>0.0030490019629473685</v>
      </c>
      <c r="U730" t="s">
        <v>137</v>
      </c>
      <c r="V730">
        <v>0.021089934526315791</v>
      </c>
      <c r="W730">
        <v>0.62520207048926313</v>
      </c>
      <c r="X730" t="s">
        <v>138</v>
      </c>
      <c r="Y730">
        <v>0.037512124229355792</v>
      </c>
      <c r="Z730">
        <v>0</v>
      </c>
      <c r="AA730" t="s">
        <v>139</v>
      </c>
      <c r="AB730">
        <v>0.075024248458711584</v>
      </c>
      <c r="AC730">
        <v>0.73773844317733051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Q730" t="s">
        <v>140</v>
      </c>
      <c r="AR730" t="s">
        <v>141</v>
      </c>
      <c r="AS730">
        <v>0.60256955789473687</v>
      </c>
    </row>
    <row r="731" spans="1:45" ht="12.75">
      <c r="A731" s="2" t="str">
        <f>HYPERLINK("https://ibp.a2mac1.com/costing(costing:projects/details/8191/material/5319877)","ABS")</f>
        <v>ABS</v>
      </c>
      <c r="B731">
        <v>5319877</v>
      </c>
      <c r="C731">
        <v>6975467</v>
      </c>
      <c r="E731">
        <v>2.5272700000000001</v>
      </c>
      <c r="F731" t="s">
        <v>3000</v>
      </c>
      <c r="G731">
        <v>95</v>
      </c>
      <c r="H731" t="s">
        <v>3098</v>
      </c>
      <c r="I731">
        <v>5</v>
      </c>
      <c r="J731">
        <v>0.50345253019720215</v>
      </c>
      <c r="K731">
        <v>0</v>
      </c>
      <c r="M731">
        <v>0</v>
      </c>
      <c r="O731">
        <v>200000</v>
      </c>
      <c r="R731" t="s">
        <v>136</v>
      </c>
      <c r="S731">
        <v>6.6507105263157891E-06</v>
      </c>
      <c r="T731">
        <v>1.3461038105263157E-05</v>
      </c>
      <c r="U731" t="s">
        <v>137</v>
      </c>
      <c r="V731">
        <v>9.3109947368421049E-05</v>
      </c>
      <c r="W731">
        <v>0.0027602044854736843</v>
      </c>
      <c r="X731" t="s">
        <v>138</v>
      </c>
      <c r="Y731">
        <v>0.00016561226912842106</v>
      </c>
      <c r="Z731">
        <v>0</v>
      </c>
      <c r="AA731" t="s">
        <v>139</v>
      </c>
      <c r="AB731">
        <v>0.00033122453825684212</v>
      </c>
      <c r="AC731">
        <v>0.0032570412928589472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Q731" t="s">
        <v>140</v>
      </c>
      <c r="AR731" t="s">
        <v>141</v>
      </c>
      <c r="AS731">
        <v>0.0026602842105263157</v>
      </c>
    </row>
    <row r="732" spans="1:45" ht="12.75">
      <c r="A732" s="2" t="str">
        <f>HYPERLINK("https://ibp.a2mac1.com/costing(costing:projects/details/8191/material/5320110)","PC-ABS")</f>
        <v>PC-ABS</v>
      </c>
      <c r="B732">
        <v>5320110</v>
      </c>
      <c r="C732">
        <v>6975690</v>
      </c>
      <c r="E732">
        <v>2.29312</v>
      </c>
      <c r="F732" t="s">
        <v>4234</v>
      </c>
      <c r="G732">
        <v>95</v>
      </c>
      <c r="H732" t="s">
        <v>4235</v>
      </c>
      <c r="I732">
        <v>5</v>
      </c>
      <c r="J732">
        <v>0.50345253019720215</v>
      </c>
      <c r="K732">
        <v>0</v>
      </c>
      <c r="M732">
        <v>0</v>
      </c>
      <c r="O732">
        <v>200000</v>
      </c>
      <c r="R732" t="s">
        <v>136</v>
      </c>
      <c r="S732">
        <v>0.0001810357894736842</v>
      </c>
      <c r="T732">
        <v>0.00036641643789473685</v>
      </c>
      <c r="U732" t="s">
        <v>137</v>
      </c>
      <c r="V732">
        <v>0.002534501052631579</v>
      </c>
      <c r="W732">
        <v>0.075134197490526314</v>
      </c>
      <c r="X732" t="s">
        <v>138</v>
      </c>
      <c r="Y732">
        <v>0.0045080518494315788</v>
      </c>
      <c r="Z732">
        <v>0</v>
      </c>
      <c r="AA732" t="s">
        <v>139</v>
      </c>
      <c r="AB732">
        <v>0.0090161036988631576</v>
      </c>
      <c r="AC732">
        <v>0.088658353038821053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Q732" t="s">
        <v>140</v>
      </c>
      <c r="AR732" t="s">
        <v>141</v>
      </c>
      <c r="AS732">
        <v>0.072414315789473688</v>
      </c>
    </row>
    <row r="733" spans="1:45" ht="12.75">
      <c r="A733" s="2" t="str">
        <f>HYPERLINK("https://ibp.a2mac1.com/costing(costing:projects/details/8191/material/5320111)","ABS-PC")</f>
        <v>ABS-PC</v>
      </c>
      <c r="B733">
        <v>5320111</v>
      </c>
      <c r="C733">
        <v>6975692</v>
      </c>
      <c r="E733">
        <v>2.29312</v>
      </c>
      <c r="F733" t="s">
        <v>4718</v>
      </c>
      <c r="G733">
        <v>98.039199999999994</v>
      </c>
      <c r="H733" t="s">
        <v>4719</v>
      </c>
      <c r="I733">
        <v>5</v>
      </c>
      <c r="J733">
        <v>0.20557651238448796</v>
      </c>
      <c r="K733">
        <v>0</v>
      </c>
      <c r="M733">
        <v>0</v>
      </c>
      <c r="O733">
        <v>200000</v>
      </c>
      <c r="R733" t="s">
        <v>136</v>
      </c>
      <c r="S733">
        <v>0.00021326190020318404</v>
      </c>
      <c r="T733">
        <v>0.00044810231988837119</v>
      </c>
      <c r="U733" t="s">
        <v>137</v>
      </c>
      <c r="V733">
        <v>0.0076133889301422284</v>
      </c>
      <c r="W733">
        <v>0.2253736273538911</v>
      </c>
      <c r="X733" t="s">
        <v>138</v>
      </c>
      <c r="Y733">
        <v>0.013522417641233466</v>
      </c>
      <c r="Z733">
        <v>0</v>
      </c>
      <c r="AA733" t="s">
        <v>139</v>
      </c>
      <c r="AB733">
        <v>0.027044835282466931</v>
      </c>
      <c r="AC733">
        <v>0.2659408802775915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Q733" t="s">
        <v>140</v>
      </c>
      <c r="AR733" t="s">
        <v>141</v>
      </c>
      <c r="AS733">
        <v>0.21752539800406367</v>
      </c>
    </row>
    <row r="734" spans="1:45" ht="12.75">
      <c r="A734" s="2" t="str">
        <f>HYPERLINK("https://ibp.a2mac1.com/costing(costing:projects/details/8191/material/5320112)","PA 6 GF 40")</f>
        <v>PA 6 GF 40</v>
      </c>
      <c r="B734">
        <v>5320112</v>
      </c>
      <c r="C734">
        <v>6975693</v>
      </c>
      <c r="E734">
        <v>2.7592300000000001</v>
      </c>
      <c r="F734" t="s">
        <v>3421</v>
      </c>
      <c r="G734">
        <v>98.039199999999994</v>
      </c>
      <c r="H734" t="s">
        <v>4727</v>
      </c>
      <c r="I734">
        <v>0</v>
      </c>
      <c r="J734">
        <v>0.20557651238448796</v>
      </c>
      <c r="K734">
        <v>0</v>
      </c>
      <c r="L734">
        <v>0</v>
      </c>
      <c r="M734">
        <v>0</v>
      </c>
      <c r="O734">
        <v>200000</v>
      </c>
      <c r="R734" t="s">
        <v>136</v>
      </c>
      <c r="S734">
        <v>0</v>
      </c>
      <c r="T734">
        <v>0.00041743404026144647</v>
      </c>
      <c r="U734" t="s">
        <v>137</v>
      </c>
      <c r="V734">
        <v>0.0070923259267721486</v>
      </c>
      <c r="W734">
        <v>0.21014764358909496</v>
      </c>
      <c r="X734" t="s">
        <v>138</v>
      </c>
      <c r="Y734">
        <v>0.012608858615345699</v>
      </c>
      <c r="Z734">
        <v>0</v>
      </c>
      <c r="AA734" t="s">
        <v>139</v>
      </c>
      <c r="AB734">
        <v>0.025217717230691397</v>
      </c>
      <c r="AC734">
        <v>0.24797421943513206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Q734" t="s">
        <v>9</v>
      </c>
      <c r="AR734" t="s">
        <v>141</v>
      </c>
      <c r="AS734">
        <v>0.20263788362206139</v>
      </c>
    </row>
    <row r="735" spans="1:45" ht="12.75">
      <c r="A735" s="2" t="str">
        <f>HYPERLINK("https://ibp.a2mac1.com/costing(costing:projects/details/8191/material/5320113)","PBT-GF30")</f>
        <v>PBT-GF30</v>
      </c>
      <c r="B735">
        <v>5320113</v>
      </c>
      <c r="C735">
        <v>6975695</v>
      </c>
      <c r="E735">
        <v>1.9208099999999999</v>
      </c>
      <c r="F735" t="s">
        <v>4733</v>
      </c>
      <c r="G735">
        <v>98.039199999999994</v>
      </c>
      <c r="H735" t="s">
        <v>4734</v>
      </c>
      <c r="I735">
        <v>5</v>
      </c>
      <c r="J735">
        <v>0.20557651238448796</v>
      </c>
      <c r="K735">
        <v>0</v>
      </c>
      <c r="M735">
        <v>0</v>
      </c>
      <c r="O735">
        <v>200000</v>
      </c>
      <c r="R735" t="s">
        <v>136</v>
      </c>
      <c r="S735">
        <v>0.00040913586852197898</v>
      </c>
      <c r="T735">
        <v>0.00085966940958310558</v>
      </c>
      <c r="U735" t="s">
        <v>137</v>
      </c>
      <c r="V735">
        <v>0.014606033657965384</v>
      </c>
      <c r="W735">
        <v>0.43237181456946611</v>
      </c>
      <c r="X735" t="s">
        <v>138</v>
      </c>
      <c r="Y735">
        <v>0.025942308874167964</v>
      </c>
      <c r="Z735">
        <v>0</v>
      </c>
      <c r="AA735" t="s">
        <v>139</v>
      </c>
      <c r="AB735">
        <v>0.051884617748335929</v>
      </c>
      <c r="AC735">
        <v>0.51019874119196995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Q735" t="s">
        <v>140</v>
      </c>
      <c r="AR735" t="s">
        <v>141</v>
      </c>
      <c r="AS735">
        <v>0.41731524737043957</v>
      </c>
    </row>
    <row r="736" spans="1:45" ht="12.75">
      <c r="A736" s="2" t="str">
        <f>HYPERLINK("https://ibp.a2mac1.com/costing(costing:projects/details/8191/material/5320114)","PA6-GF30")</f>
        <v>PA6-GF30</v>
      </c>
      <c r="B736">
        <v>5320114</v>
      </c>
      <c r="C736">
        <v>6975697</v>
      </c>
      <c r="E736">
        <v>2.1428600000000002</v>
      </c>
      <c r="F736" t="s">
        <v>4740</v>
      </c>
      <c r="G736">
        <v>98.039199999999994</v>
      </c>
      <c r="H736" t="s">
        <v>4741</v>
      </c>
      <c r="I736">
        <v>5</v>
      </c>
      <c r="J736">
        <v>0.20557651238448796</v>
      </c>
      <c r="K736">
        <v>0</v>
      </c>
      <c r="M736">
        <v>0</v>
      </c>
      <c r="O736">
        <v>200000</v>
      </c>
      <c r="R736" t="s">
        <v>136</v>
      </c>
      <c r="S736">
        <v>0.00016928732137349141</v>
      </c>
      <c r="T736">
        <v>0.00035570367404058785</v>
      </c>
      <c r="U736" t="s">
        <v>137</v>
      </c>
      <c r="V736">
        <v>0.0060435090249614442</v>
      </c>
      <c r="W736">
        <v>0.17890161180509837</v>
      </c>
      <c r="X736" t="s">
        <v>138</v>
      </c>
      <c r="Y736">
        <v>0.010734096708305902</v>
      </c>
      <c r="Z736">
        <v>0</v>
      </c>
      <c r="AA736" t="s">
        <v>139</v>
      </c>
      <c r="AB736">
        <v>0.021468193416611804</v>
      </c>
      <c r="AC736">
        <v>0.21110390193001607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Q736" t="s">
        <v>140</v>
      </c>
      <c r="AR736" t="s">
        <v>141</v>
      </c>
      <c r="AS736">
        <v>0.17267168642746983</v>
      </c>
    </row>
    <row r="737" spans="1:45" ht="12.75">
      <c r="A737" s="2" t="str">
        <f>HYPERLINK("https://ibp.a2mac1.com/costing(costing:projects/details/8191/material/5320115)","PC-ABS")</f>
        <v>PC-ABS</v>
      </c>
      <c r="B737">
        <v>5320115</v>
      </c>
      <c r="C737">
        <v>6975700</v>
      </c>
      <c r="E737">
        <v>2.29312</v>
      </c>
      <c r="F737" t="s">
        <v>4746</v>
      </c>
      <c r="G737">
        <v>95</v>
      </c>
      <c r="H737" t="s">
        <v>4747</v>
      </c>
      <c r="I737">
        <v>5</v>
      </c>
      <c r="J737">
        <v>0.50345253019720215</v>
      </c>
      <c r="K737">
        <v>0</v>
      </c>
      <c r="M737">
        <v>0</v>
      </c>
      <c r="O737">
        <v>200000</v>
      </c>
      <c r="R737" t="s">
        <v>136</v>
      </c>
      <c r="S737">
        <v>0.00012069052631578948</v>
      </c>
      <c r="T737">
        <v>0.00024427762526315792</v>
      </c>
      <c r="U737" t="s">
        <v>137</v>
      </c>
      <c r="V737">
        <v>0.0016896673684210527</v>
      </c>
      <c r="W737">
        <v>0.050089464993684212</v>
      </c>
      <c r="X737" t="s">
        <v>138</v>
      </c>
      <c r="Y737">
        <v>0.0030053678996210527</v>
      </c>
      <c r="Z737">
        <v>0</v>
      </c>
      <c r="AA737" t="s">
        <v>139</v>
      </c>
      <c r="AB737">
        <v>0.0060107357992421053</v>
      </c>
      <c r="AC737">
        <v>0.059105568692547371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Q737" t="s">
        <v>140</v>
      </c>
      <c r="AR737" t="s">
        <v>141</v>
      </c>
      <c r="AS737">
        <v>0.04827621052631579</v>
      </c>
    </row>
    <row r="738" spans="1:45" ht="12.75">
      <c r="A738" s="2" t="str">
        <f>HYPERLINK("https://ibp.a2mac1.com/costing(costing:projects/details/8191/material/5320116)","TPE")</f>
        <v>TPE</v>
      </c>
      <c r="B738">
        <v>5320116</v>
      </c>
      <c r="C738">
        <v>6975701</v>
      </c>
      <c r="E738">
        <v>1.5073099999999999</v>
      </c>
      <c r="F738" t="s">
        <v>4754</v>
      </c>
      <c r="G738">
        <v>95</v>
      </c>
      <c r="H738" t="s">
        <v>4755</v>
      </c>
      <c r="I738">
        <v>5</v>
      </c>
      <c r="J738">
        <v>0.50345253019720215</v>
      </c>
      <c r="K738">
        <v>0</v>
      </c>
      <c r="M738">
        <v>0</v>
      </c>
      <c r="O738">
        <v>200000</v>
      </c>
      <c r="R738" t="s">
        <v>136</v>
      </c>
      <c r="S738">
        <v>9.916513157894737E-06</v>
      </c>
      <c r="T738">
        <v>2.0071022631578948E-05</v>
      </c>
      <c r="U738" t="s">
        <v>137</v>
      </c>
      <c r="V738">
        <v>0.00013883118421052632</v>
      </c>
      <c r="W738">
        <v>0.0041155909568421052</v>
      </c>
      <c r="X738" t="s">
        <v>138</v>
      </c>
      <c r="Y738">
        <v>0.00024693545741052633</v>
      </c>
      <c r="Z738">
        <v>0</v>
      </c>
      <c r="AA738" t="s">
        <v>139</v>
      </c>
      <c r="AB738">
        <v>0.00049387091482105266</v>
      </c>
      <c r="AC738">
        <v>0.0048563973290736842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Q738" t="s">
        <v>140</v>
      </c>
      <c r="AR738" t="s">
        <v>141</v>
      </c>
      <c r="AS738">
        <v>0.0039666052631578946</v>
      </c>
    </row>
    <row r="739" spans="1:45" ht="12.75">
      <c r="A739" s="2" t="str">
        <f>HYPERLINK("https://ibp.a2mac1.com/costing(costing:projects/details/8191/material/5320117)","PP")</f>
        <v>PP</v>
      </c>
      <c r="B739">
        <v>5320117</v>
      </c>
      <c r="C739">
        <v>6975701</v>
      </c>
      <c r="E739">
        <v>1.0113799999999999</v>
      </c>
      <c r="F739" t="s">
        <v>4754</v>
      </c>
      <c r="G739">
        <v>95</v>
      </c>
      <c r="H739" t="s">
        <v>4755</v>
      </c>
      <c r="I739">
        <v>5</v>
      </c>
      <c r="J739">
        <v>0.50345253019720215</v>
      </c>
      <c r="K739">
        <v>0</v>
      </c>
      <c r="M739">
        <v>0</v>
      </c>
      <c r="O739">
        <v>200000</v>
      </c>
      <c r="R739" t="s">
        <v>136</v>
      </c>
      <c r="S739">
        <v>6.6538157894736838E-06</v>
      </c>
      <c r="T739">
        <v>1.3467323157894738E-05</v>
      </c>
      <c r="U739" t="s">
        <v>137</v>
      </c>
      <c r="V739">
        <v>9.3153421052631584E-05</v>
      </c>
      <c r="W739">
        <v>0.0027614932442105262</v>
      </c>
      <c r="X739" t="s">
        <v>138</v>
      </c>
      <c r="Y739">
        <v>0.00016568959465263158</v>
      </c>
      <c r="Z739">
        <v>0</v>
      </c>
      <c r="AA739" t="s">
        <v>139</v>
      </c>
      <c r="AB739">
        <v>0.00033137918930526317</v>
      </c>
      <c r="AC739">
        <v>0.0032585620281684212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Q739" t="s">
        <v>140</v>
      </c>
      <c r="AR739" t="s">
        <v>141</v>
      </c>
      <c r="AS739">
        <v>0.0026615263157894736</v>
      </c>
    </row>
    <row r="740" spans="1:45" ht="12.75">
      <c r="A740" s="2" t="str">
        <f>HYPERLINK("https://ibp.a2mac1.com/costing(costing:projects/details/8191/material/5319878)","Standard Structural Steel sheet")</f>
        <v>Standard Structural Steel sheet</v>
      </c>
      <c r="B740">
        <v>5319878</v>
      </c>
      <c r="C740">
        <v>6975470</v>
      </c>
      <c r="E740">
        <v>0.61129999999999995</v>
      </c>
      <c r="F740" t="s">
        <v>3377</v>
      </c>
      <c r="G740">
        <v>70</v>
      </c>
      <c r="H740" t="s">
        <v>4769</v>
      </c>
      <c r="I740">
        <v>30</v>
      </c>
      <c r="J740">
        <v>0.70499453877469964</v>
      </c>
      <c r="K740">
        <v>0</v>
      </c>
      <c r="M740">
        <v>0</v>
      </c>
      <c r="O740">
        <v>200000</v>
      </c>
      <c r="R740" t="s">
        <v>136</v>
      </c>
      <c r="S740">
        <v>0.0078595714285714293</v>
      </c>
      <c r="T740">
        <v>0.0006200328571428572</v>
      </c>
      <c r="U740" t="s">
        <v>137</v>
      </c>
      <c r="V740">
        <v>0.0030565000000000002</v>
      </c>
      <c r="W740">
        <v>0.083145532857142851</v>
      </c>
      <c r="X740" t="s">
        <v>138</v>
      </c>
      <c r="Y740">
        <v>0.0049887319714285719</v>
      </c>
      <c r="Z740">
        <v>0</v>
      </c>
      <c r="AA740" t="s">
        <v>139</v>
      </c>
      <c r="AB740">
        <v>0.0099774639428571437</v>
      </c>
      <c r="AC740">
        <v>0.098111728771428569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Q740" t="s">
        <v>140</v>
      </c>
      <c r="AR740" t="s">
        <v>141</v>
      </c>
      <c r="AS740">
        <v>0.087328571428571422</v>
      </c>
    </row>
    <row r="741" spans="1:45" ht="12.75">
      <c r="A741" s="2" t="str">
        <f>HYPERLINK("https://ibp.a2mac1.com/costing(costing:projects/details/8191/material/5319879)","ZL0410 / ZnAl4Cu1 / Z35531 / Z-A4UI / ZX03 / 2.2141.05 / Zamak5 (Ingot)")</f>
        <v>ZL0410 / ZnAl4Cu1 / Z35531 / Z-A4UI / ZX03 / 2.2141.05 / Zamak5 (Ingot)</v>
      </c>
      <c r="B741">
        <v>5319879</v>
      </c>
      <c r="C741">
        <v>6975472</v>
      </c>
      <c r="E741">
        <v>2.8088600000000001</v>
      </c>
      <c r="F741" t="s">
        <v>4777</v>
      </c>
      <c r="G741">
        <v>90</v>
      </c>
      <c r="H741" t="s">
        <v>4778</v>
      </c>
      <c r="I741">
        <v>30</v>
      </c>
      <c r="J741">
        <v>0.50345253019720215</v>
      </c>
      <c r="K741">
        <v>0</v>
      </c>
      <c r="L741">
        <v>0</v>
      </c>
      <c r="M741">
        <v>0</v>
      </c>
      <c r="O741">
        <v>200000</v>
      </c>
      <c r="R741" t="s">
        <v>136</v>
      </c>
      <c r="S741">
        <v>0.015448730000000001</v>
      </c>
      <c r="T741">
        <v>0.0026056857933333334</v>
      </c>
      <c r="U741" t="s">
        <v>137</v>
      </c>
      <c r="V741">
        <v>0.018023518333333332</v>
      </c>
      <c r="W741">
        <v>0.52013814079333331</v>
      </c>
      <c r="X741" t="s">
        <v>138</v>
      </c>
      <c r="Y741">
        <v>0.031208288447599999</v>
      </c>
      <c r="Z741">
        <v>0</v>
      </c>
      <c r="AA741" t="s">
        <v>139</v>
      </c>
      <c r="AB741">
        <v>0.062416576895199999</v>
      </c>
      <c r="AC741">
        <v>0.61376300613613333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Q741" t="s">
        <v>140</v>
      </c>
      <c r="AR741" t="s">
        <v>141</v>
      </c>
      <c r="AS741">
        <v>0.51495766666666665</v>
      </c>
    </row>
    <row r="742" spans="1:45" ht="12.75">
      <c r="A742" s="2" t="str">
        <f>HYPERLINK("https://ibp.a2mac1.com/costing(costing:projects/details/8191/material/5319880)","Standard Structural Steel sheet")</f>
        <v>Standard Structural Steel sheet</v>
      </c>
      <c r="B742">
        <v>5319880</v>
      </c>
      <c r="C742">
        <v>6975473</v>
      </c>
      <c r="E742">
        <v>0.61129999999999995</v>
      </c>
      <c r="F742" t="s">
        <v>2059</v>
      </c>
      <c r="G742">
        <v>75</v>
      </c>
      <c r="H742" t="s">
        <v>2738</v>
      </c>
      <c r="I742">
        <v>30</v>
      </c>
      <c r="J742">
        <v>0.50345253019720215</v>
      </c>
      <c r="K742">
        <v>0</v>
      </c>
      <c r="L742">
        <v>0</v>
      </c>
      <c r="M742">
        <v>0</v>
      </c>
      <c r="O742">
        <v>200000</v>
      </c>
      <c r="R742" t="s">
        <v>136</v>
      </c>
      <c r="S742">
        <v>0.0036678000000000001</v>
      </c>
      <c r="T742">
        <v>0.00024745424</v>
      </c>
      <c r="U742" t="s">
        <v>137</v>
      </c>
      <c r="V742">
        <v>0.0017116399999999999</v>
      </c>
      <c r="W742">
        <v>0.047195294239999998</v>
      </c>
      <c r="X742" t="s">
        <v>138</v>
      </c>
      <c r="Y742">
        <v>0.0028317176544</v>
      </c>
      <c r="Z742">
        <v>0</v>
      </c>
      <c r="AA742" t="s">
        <v>139</v>
      </c>
      <c r="AB742">
        <v>0.0056634353088</v>
      </c>
      <c r="AC742">
        <v>0.055690447203200003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Q742" t="s">
        <v>140</v>
      </c>
      <c r="AR742" t="s">
        <v>141</v>
      </c>
      <c r="AS742">
        <v>0.048904000000000003</v>
      </c>
    </row>
    <row r="743" spans="1:45" ht="12.75">
      <c r="A743" s="2" t="str">
        <f>HYPERLINK("https://ibp.a2mac1.com/costing(costing:projects/details/8191/material/5319881)","ABS-PC")</f>
        <v>ABS-PC</v>
      </c>
      <c r="B743">
        <v>5319881</v>
      </c>
      <c r="C743">
        <v>6975474</v>
      </c>
      <c r="E743">
        <v>2.29312</v>
      </c>
      <c r="F743" t="s">
        <v>3726</v>
      </c>
      <c r="G743">
        <v>98.039199999999994</v>
      </c>
      <c r="H743" t="s">
        <v>4786</v>
      </c>
      <c r="I743">
        <v>5</v>
      </c>
      <c r="J743">
        <v>0.20557651238448796</v>
      </c>
      <c r="K743">
        <v>0</v>
      </c>
      <c r="M743">
        <v>0</v>
      </c>
      <c r="O743">
        <v>200000</v>
      </c>
      <c r="R743" t="s">
        <v>136</v>
      </c>
      <c r="S743">
        <v>2.0638248406759746E-05</v>
      </c>
      <c r="T743">
        <v>4.3364740634358503E-05</v>
      </c>
      <c r="U743" t="s">
        <v>137</v>
      </c>
      <c r="V743">
        <v>0.00073677957388473185</v>
      </c>
      <c r="W743">
        <v>0.021810351034247527</v>
      </c>
      <c r="X743" t="s">
        <v>138</v>
      </c>
      <c r="Y743">
        <v>0.0013086210620548515</v>
      </c>
      <c r="Z743">
        <v>0</v>
      </c>
      <c r="AA743" t="s">
        <v>139</v>
      </c>
      <c r="AB743">
        <v>0.0026172421241097031</v>
      </c>
      <c r="AC743">
        <v>0.025736214220412081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Q743" t="s">
        <v>140</v>
      </c>
      <c r="AR743" t="s">
        <v>141</v>
      </c>
      <c r="AS743">
        <v>0.021050844968135196</v>
      </c>
    </row>
    <row r="744" spans="1:45" ht="12.75">
      <c r="A744" s="2" t="str">
        <f>HYPERLINK("https://ibp.a2mac1.com/costing(costing:projects/details/8191/material/5319882)","Standard Structural Steel sheet")</f>
        <v>Standard Structural Steel sheet</v>
      </c>
      <c r="B744">
        <v>5319882</v>
      </c>
      <c r="C744">
        <v>6975476</v>
      </c>
      <c r="E744">
        <v>0.61129999999999995</v>
      </c>
      <c r="F744" t="s">
        <v>2840</v>
      </c>
      <c r="G744">
        <v>75</v>
      </c>
      <c r="H744" t="s">
        <v>3917</v>
      </c>
      <c r="I744">
        <v>30</v>
      </c>
      <c r="J744">
        <v>0.50345253019720215</v>
      </c>
      <c r="K744">
        <v>0</v>
      </c>
      <c r="L744">
        <v>0</v>
      </c>
      <c r="M744">
        <v>0</v>
      </c>
      <c r="O744">
        <v>200000</v>
      </c>
      <c r="R744" t="s">
        <v>136</v>
      </c>
      <c r="S744">
        <v>0.00213955</v>
      </c>
      <c r="T744">
        <v>0.00014434830666666668</v>
      </c>
      <c r="U744" t="s">
        <v>137</v>
      </c>
      <c r="V744">
        <v>0.00099845666666666675</v>
      </c>
      <c r="W744">
        <v>0.027530588306666666</v>
      </c>
      <c r="X744" t="s">
        <v>138</v>
      </c>
      <c r="Y744">
        <v>0.0016518352984</v>
      </c>
      <c r="Z744">
        <v>0</v>
      </c>
      <c r="AA744" t="s">
        <v>139</v>
      </c>
      <c r="AB744">
        <v>0.0033036705967999999</v>
      </c>
      <c r="AC744">
        <v>0.032486094201866669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Q744" t="s">
        <v>140</v>
      </c>
      <c r="AR744" t="s">
        <v>141</v>
      </c>
      <c r="AS744">
        <v>0.028527333333333332</v>
      </c>
    </row>
    <row r="745" spans="1:45" ht="12.75">
      <c r="A745" s="2" t="str">
        <f>HYPERLINK("https://ibp.a2mac1.com/costing(costing:projects/details/8191/material/5319890)","Material")</f>
        <v>Material</v>
      </c>
      <c r="B745">
        <v>5319890</v>
      </c>
      <c r="C745">
        <v>6975479</v>
      </c>
      <c r="E745">
        <v>6.2653999999999996</v>
      </c>
      <c r="F745" t="s">
        <v>296</v>
      </c>
      <c r="G745">
        <v>100</v>
      </c>
      <c r="H745" t="s">
        <v>296</v>
      </c>
      <c r="I745">
        <v>0</v>
      </c>
      <c r="J745">
        <v>0</v>
      </c>
      <c r="K745">
        <v>0</v>
      </c>
      <c r="L745">
        <v>0</v>
      </c>
      <c r="M745">
        <v>0</v>
      </c>
      <c r="O745">
        <v>200000</v>
      </c>
      <c r="R745" t="s">
        <v>136</v>
      </c>
      <c r="S745">
        <v>0</v>
      </c>
      <c r="T745">
        <v>0</v>
      </c>
      <c r="U745" t="s">
        <v>137</v>
      </c>
      <c r="V745">
        <v>0.21928900000000001</v>
      </c>
      <c r="W745">
        <v>6.4846890000000004</v>
      </c>
      <c r="X745" t="s">
        <v>90</v>
      </c>
      <c r="Y745">
        <v>0</v>
      </c>
      <c r="Z745">
        <v>0</v>
      </c>
      <c r="AA745" t="s">
        <v>90</v>
      </c>
      <c r="AB745">
        <v>0</v>
      </c>
      <c r="AC745">
        <v>6.4846890000000004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P745" t="s">
        <v>4319</v>
      </c>
      <c r="AQ745" t="s">
        <v>9</v>
      </c>
      <c r="AR745" t="s">
        <v>141</v>
      </c>
      <c r="AS745">
        <v>6.2653999999999996</v>
      </c>
    </row>
    <row r="746" spans="1:45" ht="12.75">
      <c r="A746" s="2" t="str">
        <f>HYPERLINK("https://ibp.a2mac1.com/costing(costing:projects/details/8191/material/5319887)","PA6")</f>
        <v>PA6</v>
      </c>
      <c r="B746">
        <v>5319887</v>
      </c>
      <c r="C746">
        <v>6975478</v>
      </c>
      <c r="E746">
        <v>1.72394</v>
      </c>
      <c r="F746" t="s">
        <v>4800</v>
      </c>
      <c r="G746">
        <v>95</v>
      </c>
      <c r="H746" t="s">
        <v>4801</v>
      </c>
      <c r="I746">
        <v>5</v>
      </c>
      <c r="J746">
        <v>0.50345253019720215</v>
      </c>
      <c r="K746">
        <v>0</v>
      </c>
      <c r="M746">
        <v>0</v>
      </c>
      <c r="O746">
        <v>200000</v>
      </c>
      <c r="R746" t="s">
        <v>136</v>
      </c>
      <c r="S746">
        <v>0.00040489906578947371</v>
      </c>
      <c r="T746">
        <v>0.00081951570915789478</v>
      </c>
      <c r="U746" t="s">
        <v>137</v>
      </c>
      <c r="V746">
        <v>0.0056685869210526315</v>
      </c>
      <c r="W746">
        <v>0.16804282988021052</v>
      </c>
      <c r="X746" t="s">
        <v>138</v>
      </c>
      <c r="Y746">
        <v>0.010082569792812631</v>
      </c>
      <c r="Z746">
        <v>0</v>
      </c>
      <c r="AA746" t="s">
        <v>139</v>
      </c>
      <c r="AB746">
        <v>0.020165139585625262</v>
      </c>
      <c r="AC746">
        <v>0.19829053925864842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Q746" t="s">
        <v>140</v>
      </c>
      <c r="AR746" t="s">
        <v>141</v>
      </c>
      <c r="AS746">
        <v>0.16195962631578947</v>
      </c>
    </row>
    <row r="747" spans="1:45" ht="12.75">
      <c r="A747" s="2" t="str">
        <f>HYPERLINK("https://ibp.a2mac1.com/costing(costing:projects/details/8191/material/5319888)","PA66")</f>
        <v>PA66</v>
      </c>
      <c r="B747">
        <v>5319888</v>
      </c>
      <c r="C747">
        <v>6975478</v>
      </c>
      <c r="E747">
        <v>2.03416</v>
      </c>
      <c r="F747" t="s">
        <v>4800</v>
      </c>
      <c r="G747">
        <v>95</v>
      </c>
      <c r="H747" t="s">
        <v>4801</v>
      </c>
      <c r="I747">
        <v>5</v>
      </c>
      <c r="J747">
        <v>0.50345253019720215</v>
      </c>
      <c r="K747">
        <v>0</v>
      </c>
      <c r="M747">
        <v>0</v>
      </c>
      <c r="O747">
        <v>200000</v>
      </c>
      <c r="R747" t="s">
        <v>136</v>
      </c>
      <c r="S747">
        <v>0.00047775994736842103</v>
      </c>
      <c r="T747">
        <v>0.00096698613347368423</v>
      </c>
      <c r="U747" t="s">
        <v>137</v>
      </c>
      <c r="V747">
        <v>0.0066886392631578945</v>
      </c>
      <c r="W747">
        <v>0.19828184439663157</v>
      </c>
      <c r="X747" t="s">
        <v>138</v>
      </c>
      <c r="Y747">
        <v>0.011896910663797895</v>
      </c>
      <c r="Z747">
        <v>0</v>
      </c>
      <c r="AA747" t="s">
        <v>139</v>
      </c>
      <c r="AB747">
        <v>0.02379382132759579</v>
      </c>
      <c r="AC747">
        <v>0.23397257638802527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Q747" t="s">
        <v>140</v>
      </c>
      <c r="AR747" t="s">
        <v>141</v>
      </c>
      <c r="AS747">
        <v>0.19110397894736841</v>
      </c>
    </row>
    <row r="748" spans="1:45" ht="12.75">
      <c r="A748" s="2" t="str">
        <f>HYPERLINK("https://ibp.a2mac1.com/costing(costing:projects/details/8191/material/5319889)","Glass (default, float glass)")</f>
        <v>Glass (default, float glass)</v>
      </c>
      <c r="B748">
        <v>5319889</v>
      </c>
      <c r="C748">
        <v>6975478</v>
      </c>
      <c r="E748">
        <v>0.76</v>
      </c>
      <c r="F748" t="s">
        <v>4800</v>
      </c>
      <c r="G748">
        <v>95</v>
      </c>
      <c r="H748" t="s">
        <v>4801</v>
      </c>
      <c r="I748">
        <v>0</v>
      </c>
      <c r="J748">
        <v>0.50345253019720215</v>
      </c>
      <c r="K748">
        <v>0</v>
      </c>
      <c r="M748">
        <v>0</v>
      </c>
      <c r="O748">
        <v>200000</v>
      </c>
      <c r="R748" t="s">
        <v>136</v>
      </c>
      <c r="S748">
        <v>0</v>
      </c>
      <c r="T748">
        <v>0.00036128400000000002</v>
      </c>
      <c r="U748" t="s">
        <v>137</v>
      </c>
      <c r="V748">
        <v>0.0024989999999999999</v>
      </c>
      <c r="W748">
        <v>0.074260283999999996</v>
      </c>
      <c r="X748" t="s">
        <v>138</v>
      </c>
      <c r="Y748">
        <v>0.0044556170400000001</v>
      </c>
      <c r="Z748">
        <v>0</v>
      </c>
      <c r="AA748" t="s">
        <v>139</v>
      </c>
      <c r="AB748">
        <v>0.0089112340800000002</v>
      </c>
      <c r="AC748">
        <v>0.087627135120000005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Q748" t="s">
        <v>140</v>
      </c>
      <c r="AR748" t="s">
        <v>141</v>
      </c>
      <c r="AS748">
        <v>0.071400000000000005</v>
      </c>
    </row>
    <row r="749" spans="1:45" ht="12.75">
      <c r="A749" s="2" t="str">
        <f>HYPERLINK("https://ibp.a2mac1.com/costing(costing:projects/details/8191/material/5320118)","Standard Structural Steel sheet")</f>
        <v>Standard Structural Steel sheet</v>
      </c>
      <c r="B749">
        <v>5320118</v>
      </c>
      <c r="C749">
        <v>6975702</v>
      </c>
      <c r="E749">
        <v>0.61129999999999995</v>
      </c>
      <c r="F749" t="s">
        <v>4820</v>
      </c>
      <c r="G749">
        <v>95</v>
      </c>
      <c r="H749" t="s">
        <v>4821</v>
      </c>
      <c r="I749">
        <v>30</v>
      </c>
      <c r="J749">
        <v>0.20557651238448796</v>
      </c>
      <c r="K749">
        <v>0</v>
      </c>
      <c r="L749">
        <v>0</v>
      </c>
      <c r="M749">
        <v>0</v>
      </c>
      <c r="O749">
        <v>200000</v>
      </c>
      <c r="R749" t="s">
        <v>136</v>
      </c>
      <c r="S749">
        <v>0.0028087626315789474</v>
      </c>
      <c r="T749">
        <v>0.00038573673473684208</v>
      </c>
      <c r="U749" t="s">
        <v>137</v>
      </c>
      <c r="V749">
        <v>0.0065537794736842108</v>
      </c>
      <c r="W749">
        <v>0.19138159568210528</v>
      </c>
      <c r="X749" t="s">
        <v>138</v>
      </c>
      <c r="Y749">
        <v>0.011482895740926315</v>
      </c>
      <c r="Z749">
        <v>0</v>
      </c>
      <c r="AA749" t="s">
        <v>139</v>
      </c>
      <c r="AB749">
        <v>0.02296579148185263</v>
      </c>
      <c r="AC749">
        <v>0.22583028290488422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Q749" t="s">
        <v>140</v>
      </c>
      <c r="AR749" t="s">
        <v>141</v>
      </c>
      <c r="AS749">
        <v>0.18725084210526316</v>
      </c>
    </row>
    <row r="750" spans="1:45" ht="12.75">
      <c r="A750" s="2" t="str">
        <f>HYPERLINK("https://ibp.a2mac1.com/costing(costing:projects/details/8191/material/5320119)","EPDM")</f>
        <v>EPDM</v>
      </c>
      <c r="B750">
        <v>5320119</v>
      </c>
      <c r="C750">
        <v>6975702</v>
      </c>
      <c r="E750">
        <v>2.78701</v>
      </c>
      <c r="F750" t="s">
        <v>4816</v>
      </c>
      <c r="G750">
        <v>95</v>
      </c>
      <c r="H750" t="s">
        <v>4817</v>
      </c>
      <c r="I750">
        <v>5</v>
      </c>
      <c r="J750">
        <v>0.20557651238448796</v>
      </c>
      <c r="K750">
        <v>0</v>
      </c>
      <c r="L750">
        <v>0</v>
      </c>
      <c r="M750">
        <v>0</v>
      </c>
      <c r="O750">
        <v>200000</v>
      </c>
      <c r="R750" t="s">
        <v>136</v>
      </c>
      <c r="S750">
        <v>0.0085370516842105271</v>
      </c>
      <c r="T750">
        <v>0.007034530587789474</v>
      </c>
      <c r="U750" t="s">
        <v>137</v>
      </c>
      <c r="V750">
        <v>0.11951872357894737</v>
      </c>
      <c r="W750">
        <v>3.532836876166737</v>
      </c>
      <c r="X750" t="s">
        <v>138</v>
      </c>
      <c r="Y750">
        <v>0.2119702125700042</v>
      </c>
      <c r="Z750">
        <v>0</v>
      </c>
      <c r="AA750" t="s">
        <v>139</v>
      </c>
      <c r="AB750">
        <v>0.4239404251400084</v>
      </c>
      <c r="AC750">
        <v>4.1687475138767498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P750" t="s">
        <v>4818</v>
      </c>
      <c r="AQ750" t="s">
        <v>140</v>
      </c>
      <c r="AR750" t="s">
        <v>141</v>
      </c>
      <c r="AS750">
        <v>3.4148206736842104</v>
      </c>
    </row>
    <row r="751" spans="1:45" ht="12.75">
      <c r="A751" s="2" t="str">
        <f>HYPERLINK("https://ibp.a2mac1.com/costing(costing:projects/details/8191/material/5320120)","EPDM")</f>
        <v>EPDM</v>
      </c>
      <c r="B751">
        <v>5320120</v>
      </c>
      <c r="C751">
        <v>6975704</v>
      </c>
      <c r="E751">
        <v>2.78701</v>
      </c>
      <c r="F751" t="s">
        <v>4827</v>
      </c>
      <c r="G751">
        <v>95</v>
      </c>
      <c r="H751" t="s">
        <v>4828</v>
      </c>
      <c r="I751">
        <v>5</v>
      </c>
      <c r="J751">
        <v>0.20557651238448796</v>
      </c>
      <c r="K751">
        <v>0</v>
      </c>
      <c r="L751">
        <v>0</v>
      </c>
      <c r="M751">
        <v>0</v>
      </c>
      <c r="O751">
        <v>200000</v>
      </c>
      <c r="R751" t="s">
        <v>136</v>
      </c>
      <c r="S751">
        <v>0.0022607785065789474</v>
      </c>
      <c r="T751">
        <v>0.0018628814894210526</v>
      </c>
      <c r="U751" t="s">
        <v>137</v>
      </c>
      <c r="V751">
        <v>0.031650899092105264</v>
      </c>
      <c r="W751">
        <v>0.93556440470652635</v>
      </c>
      <c r="X751" t="s">
        <v>138</v>
      </c>
      <c r="Y751">
        <v>0.056133864282391581</v>
      </c>
      <c r="Z751">
        <v>0</v>
      </c>
      <c r="AA751" t="s">
        <v>139</v>
      </c>
      <c r="AB751">
        <v>0.11226772856478316</v>
      </c>
      <c r="AC751">
        <v>1.1039659975537011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P751" t="s">
        <v>4818</v>
      </c>
      <c r="AQ751" t="s">
        <v>140</v>
      </c>
      <c r="AR751" t="s">
        <v>141</v>
      </c>
      <c r="AS751">
        <v>0.90431140263157894</v>
      </c>
    </row>
    <row r="752" spans="1:45" ht="12.75">
      <c r="A752" s="2" t="str">
        <f>HYPERLINK("https://ibp.a2mac1.com/costing(costing:projects/details/8191/material/5320121)","Standard Structural Steel sheet")</f>
        <v>Standard Structural Steel sheet</v>
      </c>
      <c r="B752">
        <v>5320121</v>
      </c>
      <c r="C752">
        <v>6975704</v>
      </c>
      <c r="E752">
        <v>0.61129999999999995</v>
      </c>
      <c r="F752" t="s">
        <v>4830</v>
      </c>
      <c r="G752">
        <v>95</v>
      </c>
      <c r="H752" t="s">
        <v>4831</v>
      </c>
      <c r="I752">
        <v>30</v>
      </c>
      <c r="J752">
        <v>0.20557651238448796</v>
      </c>
      <c r="K752">
        <v>0</v>
      </c>
      <c r="L752">
        <v>0</v>
      </c>
      <c r="M752">
        <v>0</v>
      </c>
      <c r="O752">
        <v>200000</v>
      </c>
      <c r="R752" t="s">
        <v>136</v>
      </c>
      <c r="S752">
        <v>0.00099175381578947368</v>
      </c>
      <c r="T752">
        <v>0.00013620085736842105</v>
      </c>
      <c r="U752" t="s">
        <v>137</v>
      </c>
      <c r="V752">
        <v>0.0023140922368421052</v>
      </c>
      <c r="W752">
        <v>0.067575460331052634</v>
      </c>
      <c r="X752" t="s">
        <v>138</v>
      </c>
      <c r="Y752">
        <v>0.0040545276198631578</v>
      </c>
      <c r="Z752">
        <v>0</v>
      </c>
      <c r="AA752" t="s">
        <v>139</v>
      </c>
      <c r="AB752">
        <v>0.0081090552397263156</v>
      </c>
      <c r="AC752">
        <v>0.079739043190642109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Q752" t="s">
        <v>140</v>
      </c>
      <c r="AR752" t="s">
        <v>141</v>
      </c>
      <c r="AS752">
        <v>0.066116921052631575</v>
      </c>
    </row>
    <row r="753" spans="1:45" ht="12.75">
      <c r="A753" s="2" t="str">
        <f>HYPERLINK("https://ibp.a2mac1.com/costing(costing:projects/details/8191/material/5319891)","PP-EPDM")</f>
        <v>PP-EPDM</v>
      </c>
      <c r="B753">
        <v>5319891</v>
      </c>
      <c r="C753">
        <v>6975480</v>
      </c>
      <c r="E753">
        <v>1.7894600000000001</v>
      </c>
      <c r="F753" t="s">
        <v>4836</v>
      </c>
      <c r="G753">
        <v>95</v>
      </c>
      <c r="H753" t="s">
        <v>4837</v>
      </c>
      <c r="I753">
        <v>5</v>
      </c>
      <c r="J753">
        <v>0.10389195236953569</v>
      </c>
      <c r="K753">
        <v>0</v>
      </c>
      <c r="L753">
        <v>0</v>
      </c>
      <c r="M753">
        <v>0</v>
      </c>
      <c r="O753">
        <v>200000</v>
      </c>
      <c r="R753" t="s">
        <v>136</v>
      </c>
      <c r="S753">
        <v>0.00082409342105263159</v>
      </c>
      <c r="T753">
        <v>0.00034282286315789472</v>
      </c>
      <c r="U753" t="s">
        <v>137</v>
      </c>
      <c r="V753">
        <v>0.011537307894736842</v>
      </c>
      <c r="W753">
        <v>0.34069340575789475</v>
      </c>
      <c r="X753" t="s">
        <v>138</v>
      </c>
      <c r="Y753">
        <v>0.020441604345473683</v>
      </c>
      <c r="Z753">
        <v>0</v>
      </c>
      <c r="AA753" t="s">
        <v>139</v>
      </c>
      <c r="AB753">
        <v>0.040883208690947366</v>
      </c>
      <c r="AC753">
        <v>0.40201821879431576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Q753" t="s">
        <v>140</v>
      </c>
      <c r="AR753" t="s">
        <v>141</v>
      </c>
      <c r="AS753">
        <v>0.32963736842105262</v>
      </c>
    </row>
    <row r="754" spans="1:45" ht="12.75">
      <c r="A754" s="2" t="str">
        <f>HYPERLINK("https://ibp.a2mac1.com/costing(costing:projects/details/8191/material/5319892)","Aluminum for extrusion (default, e.g. EN-AW6016)")</f>
        <v>Aluminum for extrusion (default, e.g. EN-AW6016)</v>
      </c>
      <c r="B754">
        <v>5319892</v>
      </c>
      <c r="C754">
        <v>6975481</v>
      </c>
      <c r="E754">
        <v>2.3603000000000001</v>
      </c>
      <c r="F754" t="s">
        <v>1783</v>
      </c>
      <c r="G754">
        <v>100</v>
      </c>
      <c r="H754" t="s">
        <v>4845</v>
      </c>
      <c r="I754">
        <v>30</v>
      </c>
      <c r="J754">
        <v>0.10389195236953569</v>
      </c>
      <c r="K754">
        <v>0</v>
      </c>
      <c r="L754">
        <v>0</v>
      </c>
      <c r="M754">
        <v>0</v>
      </c>
      <c r="O754">
        <v>200000</v>
      </c>
      <c r="R754" t="s">
        <v>136</v>
      </c>
      <c r="S754">
        <v>0</v>
      </c>
      <c r="T754">
        <v>0.00017919397599999999</v>
      </c>
      <c r="U754" t="s">
        <v>137</v>
      </c>
      <c r="V754">
        <v>0.0060305665</v>
      </c>
      <c r="W754">
        <v>0.17851166047600001</v>
      </c>
      <c r="X754" t="s">
        <v>138</v>
      </c>
      <c r="Y754">
        <v>0.01071069962856</v>
      </c>
      <c r="Z754">
        <v>0</v>
      </c>
      <c r="AA754" t="s">
        <v>139</v>
      </c>
      <c r="AB754">
        <v>0.02142139925712</v>
      </c>
      <c r="AC754">
        <v>0.21064375936168001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Q754" t="s">
        <v>140</v>
      </c>
      <c r="AR754" t="s">
        <v>141</v>
      </c>
      <c r="AS754">
        <v>0.17230190000000001</v>
      </c>
    </row>
    <row r="755" spans="1:45" ht="12.75">
      <c r="A755" s="2" t="str">
        <f>HYPERLINK("https://ibp.a2mac1.com/costing(costing:projects/details/8191/material/5319893)","EPDM")</f>
        <v>EPDM</v>
      </c>
      <c r="B755">
        <v>5319893</v>
      </c>
      <c r="C755">
        <v>6975481</v>
      </c>
      <c r="E755">
        <v>2.78701</v>
      </c>
      <c r="F755" t="s">
        <v>3274</v>
      </c>
      <c r="G755">
        <v>95</v>
      </c>
      <c r="H755" t="s">
        <v>4843</v>
      </c>
      <c r="I755">
        <v>5</v>
      </c>
      <c r="J755">
        <v>0.10389195236953569</v>
      </c>
      <c r="K755">
        <v>0</v>
      </c>
      <c r="L755">
        <v>0</v>
      </c>
      <c r="M755">
        <v>0</v>
      </c>
      <c r="O755">
        <v>200000</v>
      </c>
      <c r="R755" t="s">
        <v>136</v>
      </c>
      <c r="S755">
        <v>0.0014668473684210526</v>
      </c>
      <c r="T755">
        <v>0.00061020850526315791</v>
      </c>
      <c r="U755" t="s">
        <v>137</v>
      </c>
      <c r="V755">
        <v>0.020535863157894737</v>
      </c>
      <c r="W755">
        <v>0.60641817166315792</v>
      </c>
      <c r="X755" t="s">
        <v>138</v>
      </c>
      <c r="Y755">
        <v>0.036385090299789473</v>
      </c>
      <c r="Z755">
        <v>0</v>
      </c>
      <c r="AA755" t="s">
        <v>139</v>
      </c>
      <c r="AB755">
        <v>0.072770180599578946</v>
      </c>
      <c r="AC755">
        <v>0.71557344256252631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P755" t="s">
        <v>4818</v>
      </c>
      <c r="AQ755" t="s">
        <v>140</v>
      </c>
      <c r="AR755" t="s">
        <v>141</v>
      </c>
      <c r="AS755">
        <v>0.58673894736842103</v>
      </c>
    </row>
    <row r="756" spans="1:45" ht="12.75">
      <c r="A756" s="2" t="str">
        <f>HYPERLINK("https://ibp.a2mac1.com/costing(costing:projects/details/8191/material/5319894)","EPDM")</f>
        <v>EPDM</v>
      </c>
      <c r="B756">
        <v>5319894</v>
      </c>
      <c r="C756">
        <v>6975482</v>
      </c>
      <c r="E756">
        <v>2.78701</v>
      </c>
      <c r="F756" t="s">
        <v>2616</v>
      </c>
      <c r="G756">
        <v>95</v>
      </c>
      <c r="H756" t="s">
        <v>2617</v>
      </c>
      <c r="I756">
        <v>5</v>
      </c>
      <c r="J756">
        <v>0.10389195236953569</v>
      </c>
      <c r="K756">
        <v>0</v>
      </c>
      <c r="L756">
        <v>0</v>
      </c>
      <c r="M756">
        <v>0</v>
      </c>
      <c r="O756">
        <v>200000</v>
      </c>
      <c r="R756" t="s">
        <v>136</v>
      </c>
      <c r="S756">
        <v>0.0036671184210526316</v>
      </c>
      <c r="T756">
        <v>0.0015255212631578947</v>
      </c>
      <c r="U756" t="s">
        <v>137</v>
      </c>
      <c r="V756">
        <v>0.051339657894736844</v>
      </c>
      <c r="W756">
        <v>1.5160454291578946</v>
      </c>
      <c r="X756" t="s">
        <v>138</v>
      </c>
      <c r="Y756">
        <v>0.090962725749473686</v>
      </c>
      <c r="Z756">
        <v>0</v>
      </c>
      <c r="AA756" t="s">
        <v>139</v>
      </c>
      <c r="AB756">
        <v>0.18192545149894737</v>
      </c>
      <c r="AC756">
        <v>1.7889336064063157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P756" t="s">
        <v>4818</v>
      </c>
      <c r="AQ756" t="s">
        <v>140</v>
      </c>
      <c r="AR756" t="s">
        <v>141</v>
      </c>
      <c r="AS756">
        <v>1.4668473684210526</v>
      </c>
    </row>
    <row r="757" spans="1:45" ht="12.75">
      <c r="A757" s="2" t="str">
        <f>HYPERLINK("https://ibp.a2mac1.com/costing(costing:projects/details/8191/material/5319895)","Aluminum for extrusion (default, e.g. EN-AW6016)")</f>
        <v>Aluminum for extrusion (default, e.g. EN-AW6016)</v>
      </c>
      <c r="B757">
        <v>5319895</v>
      </c>
      <c r="C757">
        <v>6975482</v>
      </c>
      <c r="E757">
        <v>2.3603000000000001</v>
      </c>
      <c r="F757" t="s">
        <v>4851</v>
      </c>
      <c r="G757">
        <v>100</v>
      </c>
      <c r="H757" t="s">
        <v>4852</v>
      </c>
      <c r="I757">
        <v>30</v>
      </c>
      <c r="J757">
        <v>0.10389195236953569</v>
      </c>
      <c r="K757">
        <v>0</v>
      </c>
      <c r="L757">
        <v>0</v>
      </c>
      <c r="M757">
        <v>0</v>
      </c>
      <c r="O757">
        <v>200000</v>
      </c>
      <c r="R757" t="s">
        <v>136</v>
      </c>
      <c r="S757">
        <v>0</v>
      </c>
      <c r="T757">
        <v>0.00068977407200000002</v>
      </c>
      <c r="U757" t="s">
        <v>137</v>
      </c>
      <c r="V757">
        <v>0.023213550499999999</v>
      </c>
      <c r="W757">
        <v>0.68714762457199996</v>
      </c>
      <c r="X757" t="s">
        <v>138</v>
      </c>
      <c r="Y757">
        <v>0.041228857474320001</v>
      </c>
      <c r="Z757">
        <v>0</v>
      </c>
      <c r="AA757" t="s">
        <v>139</v>
      </c>
      <c r="AB757">
        <v>0.082457714948640001</v>
      </c>
      <c r="AC757">
        <v>0.81083419699495995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Q757" t="s">
        <v>140</v>
      </c>
      <c r="AR757" t="s">
        <v>141</v>
      </c>
      <c r="AS757">
        <v>0.66324430000000001</v>
      </c>
    </row>
    <row r="758" spans="1:45" ht="12.75">
      <c r="A758" s="2" t="str">
        <f>HYPERLINK("https://ibp.a2mac1.com/costing(costing:projects/details/8191/material/5320290)","Standard Structural Steel sheet")</f>
        <v>Standard Structural Steel sheet</v>
      </c>
      <c r="B758">
        <v>5320290</v>
      </c>
      <c r="C758">
        <v>6975835</v>
      </c>
      <c r="E758">
        <v>0.61129999999999995</v>
      </c>
      <c r="F758" t="s">
        <v>3304</v>
      </c>
      <c r="G758">
        <v>80</v>
      </c>
      <c r="H758" t="s">
        <v>4860</v>
      </c>
      <c r="I758">
        <v>30</v>
      </c>
      <c r="J758">
        <v>0.10389195236953569</v>
      </c>
      <c r="K758">
        <v>0</v>
      </c>
      <c r="L758">
        <v>0</v>
      </c>
      <c r="M758">
        <v>0</v>
      </c>
      <c r="O758">
        <v>200000</v>
      </c>
      <c r="R758" t="s">
        <v>136</v>
      </c>
      <c r="S758">
        <v>0.0096279750000000004</v>
      </c>
      <c r="T758">
        <v>0.00016688489999999999</v>
      </c>
      <c r="U758" t="s">
        <v>137</v>
      </c>
      <c r="V758">
        <v>0.00561631875</v>
      </c>
      <c r="W758">
        <v>0.15662147865000001</v>
      </c>
      <c r="X758" t="s">
        <v>90</v>
      </c>
      <c r="Y758">
        <v>0</v>
      </c>
      <c r="Z758">
        <v>0</v>
      </c>
      <c r="AA758" t="s">
        <v>90</v>
      </c>
      <c r="AB758">
        <v>0</v>
      </c>
      <c r="AC758">
        <v>0.15662147865000001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Q758" t="s">
        <v>140</v>
      </c>
      <c r="AR758" t="s">
        <v>141</v>
      </c>
      <c r="AS758">
        <v>0.16046625</v>
      </c>
    </row>
    <row r="759" spans="1:45" ht="12.75">
      <c r="A759" s="2" t="str">
        <f>HYPERLINK("https://ibp.a2mac1.com/costing(costing:projects/details/8191/material/5320291)","Standard Structural Steel sheet")</f>
        <v>Standard Structural Steel sheet</v>
      </c>
      <c r="B759">
        <v>5320291</v>
      </c>
      <c r="C759">
        <v>6975836</v>
      </c>
      <c r="E759">
        <v>0.61129999999999995</v>
      </c>
      <c r="F759" t="s">
        <v>1775</v>
      </c>
      <c r="G759">
        <v>80</v>
      </c>
      <c r="H759" t="s">
        <v>4865</v>
      </c>
      <c r="I759">
        <v>30</v>
      </c>
      <c r="J759">
        <v>0.10389195236953569</v>
      </c>
      <c r="K759">
        <v>0</v>
      </c>
      <c r="L759">
        <v>0</v>
      </c>
      <c r="M759">
        <v>0</v>
      </c>
      <c r="O759">
        <v>200000</v>
      </c>
      <c r="R759" t="s">
        <v>136</v>
      </c>
      <c r="S759">
        <v>0.0059601749999999998</v>
      </c>
      <c r="T759">
        <v>0.0001033097</v>
      </c>
      <c r="U759" t="s">
        <v>137</v>
      </c>
      <c r="V759">
        <v>0.0034767687499999999</v>
      </c>
      <c r="W759">
        <v>0.096956153449999999</v>
      </c>
      <c r="X759" t="s">
        <v>90</v>
      </c>
      <c r="Y759">
        <v>0</v>
      </c>
      <c r="Z759">
        <v>0</v>
      </c>
      <c r="AA759" t="s">
        <v>90</v>
      </c>
      <c r="AB759">
        <v>0</v>
      </c>
      <c r="AC759">
        <v>0.096956153449999999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Q759" t="s">
        <v>140</v>
      </c>
      <c r="AR759" t="s">
        <v>141</v>
      </c>
      <c r="AS759">
        <v>0.099336250000000001</v>
      </c>
    </row>
    <row r="760" spans="1:45" ht="12.75">
      <c r="A760" s="2" t="str">
        <f>HYPERLINK("https://ibp.a2mac1.com/costing(costing:projects/details/8191/material/5320292)","Standard Structural Steel sheet")</f>
        <v>Standard Structural Steel sheet</v>
      </c>
      <c r="B760">
        <v>5320292</v>
      </c>
      <c r="C760">
        <v>6975837</v>
      </c>
      <c r="E760">
        <v>0.61129999999999995</v>
      </c>
      <c r="F760" t="s">
        <v>3304</v>
      </c>
      <c r="G760">
        <v>70</v>
      </c>
      <c r="H760" t="s">
        <v>3439</v>
      </c>
      <c r="I760">
        <v>30</v>
      </c>
      <c r="J760">
        <v>0.10389195236953569</v>
      </c>
      <c r="K760">
        <v>0</v>
      </c>
      <c r="L760">
        <v>0</v>
      </c>
      <c r="M760">
        <v>0</v>
      </c>
      <c r="O760">
        <v>200000</v>
      </c>
      <c r="R760" t="s">
        <v>136</v>
      </c>
      <c r="S760">
        <v>0.016505100000000002</v>
      </c>
      <c r="T760">
        <v>0.0001907256</v>
      </c>
      <c r="U760" t="s">
        <v>137</v>
      </c>
      <c r="V760">
        <v>0.0064186499999999997</v>
      </c>
      <c r="W760">
        <v>0.1734942756</v>
      </c>
      <c r="X760" t="s">
        <v>90</v>
      </c>
      <c r="Y760">
        <v>0</v>
      </c>
      <c r="Z760">
        <v>0</v>
      </c>
      <c r="AA760" t="s">
        <v>90</v>
      </c>
      <c r="AB760">
        <v>0</v>
      </c>
      <c r="AC760">
        <v>0.1734942756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Q760" t="s">
        <v>140</v>
      </c>
      <c r="AR760" t="s">
        <v>141</v>
      </c>
      <c r="AS760">
        <v>0.18339</v>
      </c>
    </row>
    <row r="761" spans="1:45" ht="12.75">
      <c r="A761" s="2" t="str">
        <f>HYPERLINK("https://ibp.a2mac1.com/costing(costing:projects/details/8191/material/5320293)","Standard Structural Steel sheet")</f>
        <v>Standard Structural Steel sheet</v>
      </c>
      <c r="B761">
        <v>5320293</v>
      </c>
      <c r="C761">
        <v>6975838</v>
      </c>
      <c r="E761">
        <v>0.61129999999999995</v>
      </c>
      <c r="F761" t="s">
        <v>2706</v>
      </c>
      <c r="G761">
        <v>80</v>
      </c>
      <c r="H761" t="s">
        <v>4877</v>
      </c>
      <c r="I761">
        <v>30</v>
      </c>
      <c r="J761">
        <v>0.10389195236953569</v>
      </c>
      <c r="K761">
        <v>0</v>
      </c>
      <c r="L761">
        <v>0</v>
      </c>
      <c r="M761">
        <v>0</v>
      </c>
      <c r="O761">
        <v>200000</v>
      </c>
      <c r="R761" t="s">
        <v>136</v>
      </c>
      <c r="S761">
        <v>0.0050432250000000001</v>
      </c>
      <c r="T761">
        <v>8.7415899999999998E-05</v>
      </c>
      <c r="U761" t="s">
        <v>137</v>
      </c>
      <c r="V761">
        <v>0.0029418812499999998</v>
      </c>
      <c r="W761">
        <v>0.082039822149999997</v>
      </c>
      <c r="X761" t="s">
        <v>90</v>
      </c>
      <c r="Y761">
        <v>0</v>
      </c>
      <c r="Z761">
        <v>0</v>
      </c>
      <c r="AA761" t="s">
        <v>90</v>
      </c>
      <c r="AB761">
        <v>0</v>
      </c>
      <c r="AC761">
        <v>0.082039822149999997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Q761" t="s">
        <v>140</v>
      </c>
      <c r="AR761" t="s">
        <v>141</v>
      </c>
      <c r="AS761">
        <v>0.084053749999999997</v>
      </c>
    </row>
    <row r="762" spans="1:45" ht="12.75">
      <c r="A762" s="2" t="str">
        <f>HYPERLINK("https://ibp.a2mac1.com/costing(costing:projects/details/8191/material/5319900)","PP-TD20")</f>
        <v>PP-TD20</v>
      </c>
      <c r="B762">
        <v>5319900</v>
      </c>
      <c r="C762">
        <v>6975484</v>
      </c>
      <c r="E762">
        <v>1.1148100000000001</v>
      </c>
      <c r="F762" t="s">
        <v>4910</v>
      </c>
      <c r="G762">
        <v>98.039199999999994</v>
      </c>
      <c r="H762" t="s">
        <v>4911</v>
      </c>
      <c r="I762">
        <v>5</v>
      </c>
      <c r="J762">
        <v>0.20557651238448796</v>
      </c>
      <c r="K762">
        <v>0</v>
      </c>
      <c r="M762">
        <v>0</v>
      </c>
      <c r="O762">
        <v>200000</v>
      </c>
      <c r="R762" t="s">
        <v>136</v>
      </c>
      <c r="S762">
        <v>0.00073801024211539879</v>
      </c>
      <c r="T762">
        <v>0.0015506947151751544</v>
      </c>
      <c r="U762" t="s">
        <v>137</v>
      </c>
      <c r="V762">
        <v>0.026346754869480779</v>
      </c>
      <c r="W762">
        <v>0.77992386418484849</v>
      </c>
      <c r="X762" t="s">
        <v>138</v>
      </c>
      <c r="Y762">
        <v>0.046795431851090911</v>
      </c>
      <c r="Z762">
        <v>0</v>
      </c>
      <c r="AA762" t="s">
        <v>139</v>
      </c>
      <c r="AB762">
        <v>0.093590863702181823</v>
      </c>
      <c r="AC762">
        <v>0.92031015973812125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Q762" t="s">
        <v>140</v>
      </c>
      <c r="AR762" t="s">
        <v>141</v>
      </c>
      <c r="AS762">
        <v>0.75276442484230799</v>
      </c>
    </row>
    <row r="763" spans="1:45" ht="12.75">
      <c r="A763" s="2" t="str">
        <f>HYPERLINK("https://ibp.a2mac1.com/costing(costing:projects/details/8191/material/5319901)","PMMA")</f>
        <v>PMMA</v>
      </c>
      <c r="B763">
        <v>5319901</v>
      </c>
      <c r="C763">
        <v>6975486</v>
      </c>
      <c r="E763">
        <v>2.10</v>
      </c>
      <c r="F763" t="s">
        <v>4916</v>
      </c>
      <c r="G763">
        <v>98.039199999999994</v>
      </c>
      <c r="H763" t="s">
        <v>4917</v>
      </c>
      <c r="I763">
        <v>5</v>
      </c>
      <c r="J763">
        <v>0.20557651238448796</v>
      </c>
      <c r="K763">
        <v>0</v>
      </c>
      <c r="M763">
        <v>0</v>
      </c>
      <c r="O763">
        <v>200000</v>
      </c>
      <c r="R763" t="s">
        <v>136</v>
      </c>
      <c r="S763">
        <v>0.00039690323870451822</v>
      </c>
      <c r="T763">
        <v>0.00083396641343462617</v>
      </c>
      <c r="U763" t="s">
        <v>137</v>
      </c>
      <c r="V763">
        <v>0.014169332267093163</v>
      </c>
      <c r="W763">
        <v>0.41944446021591364</v>
      </c>
      <c r="X763" t="s">
        <v>138</v>
      </c>
      <c r="Y763">
        <v>0.025166667612954819</v>
      </c>
      <c r="Z763">
        <v>0</v>
      </c>
      <c r="AA763" t="s">
        <v>139</v>
      </c>
      <c r="AB763">
        <v>0.050333335225909638</v>
      </c>
      <c r="AC763">
        <v>0.49494446305477807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Q763" t="s">
        <v>140</v>
      </c>
      <c r="AR763" t="s">
        <v>141</v>
      </c>
      <c r="AS763">
        <v>0.40483806477409034</v>
      </c>
    </row>
    <row r="764" spans="1:45" ht="12.75">
      <c r="A764" s="2" t="str">
        <f>HYPERLINK("https://ibp.a2mac1.com/costing(costing:projects/details/8191/material/5319902)","PMMA")</f>
        <v>PMMA</v>
      </c>
      <c r="B764">
        <v>5319902</v>
      </c>
      <c r="C764">
        <v>6975488</v>
      </c>
      <c r="E764">
        <v>2.10</v>
      </c>
      <c r="F764" t="s">
        <v>2879</v>
      </c>
      <c r="G764">
        <v>95</v>
      </c>
      <c r="H764" t="s">
        <v>2880</v>
      </c>
      <c r="I764">
        <v>5</v>
      </c>
      <c r="J764">
        <v>0.50345253019720215</v>
      </c>
      <c r="K764">
        <v>0</v>
      </c>
      <c r="M764">
        <v>0</v>
      </c>
      <c r="O764">
        <v>200000</v>
      </c>
      <c r="R764" t="s">
        <v>136</v>
      </c>
      <c r="S764">
        <v>7.1842105263157898E-05</v>
      </c>
      <c r="T764">
        <v>0.00014540842105263159</v>
      </c>
      <c r="U764" t="s">
        <v>137</v>
      </c>
      <c r="V764">
        <v>0.0010057894736842106</v>
      </c>
      <c r="W764">
        <v>0.029816197894736843</v>
      </c>
      <c r="X764" t="s">
        <v>138</v>
      </c>
      <c r="Y764">
        <v>0.0017889718736842106</v>
      </c>
      <c r="Z764">
        <v>0</v>
      </c>
      <c r="AA764" t="s">
        <v>139</v>
      </c>
      <c r="AB764">
        <v>0.0035779437473684212</v>
      </c>
      <c r="AC764">
        <v>0.035183113515789476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Q764" t="s">
        <v>140</v>
      </c>
      <c r="AR764" t="s">
        <v>141</v>
      </c>
      <c r="AS764">
        <v>0.028736842105263158</v>
      </c>
    </row>
    <row r="765" spans="1:45" ht="12.75">
      <c r="A765" s="2" t="str">
        <f>HYPERLINK("https://ibp.a2mac1.com/costing(costing:projects/details/8191/material/5319903)","ABS")</f>
        <v>ABS</v>
      </c>
      <c r="B765">
        <v>5319903</v>
      </c>
      <c r="C765">
        <v>6975488</v>
      </c>
      <c r="E765">
        <v>2.5272700000000001</v>
      </c>
      <c r="F765" t="s">
        <v>2879</v>
      </c>
      <c r="G765">
        <v>95</v>
      </c>
      <c r="H765" t="s">
        <v>2880</v>
      </c>
      <c r="I765">
        <v>5</v>
      </c>
      <c r="J765">
        <v>0.50345253019720215</v>
      </c>
      <c r="K765">
        <v>0</v>
      </c>
      <c r="M765">
        <v>0</v>
      </c>
      <c r="O765">
        <v>200000</v>
      </c>
      <c r="R765" t="s">
        <v>136</v>
      </c>
      <c r="S765">
        <v>8.6459236842105261E-05</v>
      </c>
      <c r="T765">
        <v>0.00017499349536842106</v>
      </c>
      <c r="U765" t="s">
        <v>137</v>
      </c>
      <c r="V765">
        <v>0.0012104293157894736</v>
      </c>
      <c r="W765">
        <v>0.035882658311157896</v>
      </c>
      <c r="X765" t="s">
        <v>138</v>
      </c>
      <c r="Y765">
        <v>0.0021529594986694736</v>
      </c>
      <c r="Z765">
        <v>0</v>
      </c>
      <c r="AA765" t="s">
        <v>139</v>
      </c>
      <c r="AB765">
        <v>0.0043059189973389473</v>
      </c>
      <c r="AC765">
        <v>0.042341536807166319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Q765" t="s">
        <v>140</v>
      </c>
      <c r="AR765" t="s">
        <v>141</v>
      </c>
      <c r="AS765">
        <v>0.034583694736842106</v>
      </c>
    </row>
    <row r="766" spans="1:45" ht="12.75">
      <c r="A766" s="2" t="str">
        <f>HYPERLINK("https://ibp.a2mac1.com/costing(costing:projects/details/8191/material/5319904)","ABS")</f>
        <v>ABS</v>
      </c>
      <c r="B766">
        <v>5319904</v>
      </c>
      <c r="C766">
        <v>6975489</v>
      </c>
      <c r="E766">
        <v>2.5272700000000001</v>
      </c>
      <c r="F766" t="s">
        <v>4279</v>
      </c>
      <c r="G766">
        <v>95</v>
      </c>
      <c r="H766" t="s">
        <v>4925</v>
      </c>
      <c r="I766">
        <v>5</v>
      </c>
      <c r="J766">
        <v>0.50345253019720215</v>
      </c>
      <c r="K766">
        <v>0</v>
      </c>
      <c r="M766">
        <v>0</v>
      </c>
      <c r="O766">
        <v>200000</v>
      </c>
      <c r="R766" t="s">
        <v>136</v>
      </c>
      <c r="S766">
        <v>7.9808526315789473E-05</v>
      </c>
      <c r="T766">
        <v>0.0001615324572631579</v>
      </c>
      <c r="U766" t="s">
        <v>137</v>
      </c>
      <c r="V766">
        <v>0.0011173193684210526</v>
      </c>
      <c r="W766">
        <v>0.033122453825684212</v>
      </c>
      <c r="X766" t="s">
        <v>138</v>
      </c>
      <c r="Y766">
        <v>0.0019873472295410528</v>
      </c>
      <c r="Z766">
        <v>0</v>
      </c>
      <c r="AA766" t="s">
        <v>139</v>
      </c>
      <c r="AB766">
        <v>0.0039746944590821056</v>
      </c>
      <c r="AC766">
        <v>0.039084495514307371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Q766" t="s">
        <v>140</v>
      </c>
      <c r="AR766" t="s">
        <v>141</v>
      </c>
      <c r="AS766">
        <v>0.031923410526315789</v>
      </c>
    </row>
    <row r="767" spans="1:45" ht="12.75">
      <c r="A767" s="2" t="str">
        <f>HYPERLINK("https://ibp.a2mac1.com/costing(costing:projects/details/8191/material/5320122)","Aluminum for casting (default, e.g. A380/ADC10/EN-AC46500)")</f>
        <v>Aluminum for casting (default, e.g. A380/ADC10/EN-AC46500)</v>
      </c>
      <c r="B767">
        <v>5320122</v>
      </c>
      <c r="C767">
        <v>6975706</v>
      </c>
      <c r="E767">
        <v>2.4518200000000001</v>
      </c>
      <c r="F767" t="s">
        <v>4936</v>
      </c>
      <c r="G767">
        <v>100</v>
      </c>
      <c r="H767" t="s">
        <v>4937</v>
      </c>
      <c r="I767">
        <v>50</v>
      </c>
      <c r="J767">
        <v>0.81136305024896349</v>
      </c>
      <c r="K767">
        <v>0</v>
      </c>
      <c r="M767">
        <v>0</v>
      </c>
      <c r="O767">
        <v>200000</v>
      </c>
      <c r="R767" t="s">
        <v>136</v>
      </c>
      <c r="S767">
        <v>0</v>
      </c>
      <c r="T767">
        <v>0.0079621873771999994</v>
      </c>
      <c r="U767" t="s">
        <v>137</v>
      </c>
      <c r="V767">
        <v>0.0340680389</v>
      </c>
      <c r="W767">
        <v>1.0154027662772001</v>
      </c>
      <c r="X767" t="s">
        <v>90</v>
      </c>
      <c r="Y767">
        <v>0</v>
      </c>
      <c r="Z767">
        <v>0</v>
      </c>
      <c r="AA767" t="s">
        <v>90</v>
      </c>
      <c r="AB767">
        <v>0</v>
      </c>
      <c r="AC767">
        <v>1.0154027662772001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Q767" t="s">
        <v>140</v>
      </c>
      <c r="AR767" t="s">
        <v>141</v>
      </c>
      <c r="AS767">
        <v>0.97337253999999995</v>
      </c>
    </row>
    <row r="768" spans="1:45" ht="12.75">
      <c r="A768" s="2" t="str">
        <f>HYPERLINK("https://ibp.a2mac1.com/costing(costing:projects/details/8191/material/5320123)","PA66-GF30")</f>
        <v>PA66-GF30</v>
      </c>
      <c r="B768">
        <v>5320123</v>
      </c>
      <c r="C768">
        <v>6975714</v>
      </c>
      <c r="E768">
        <v>2.4020800000000002</v>
      </c>
      <c r="F768" t="s">
        <v>2725</v>
      </c>
      <c r="G768">
        <v>98.039199999999994</v>
      </c>
      <c r="H768" t="s">
        <v>4954</v>
      </c>
      <c r="I768">
        <v>5</v>
      </c>
      <c r="J768">
        <v>0.20557651238448796</v>
      </c>
      <c r="K768">
        <v>0</v>
      </c>
      <c r="M768">
        <v>0</v>
      </c>
      <c r="O768">
        <v>200000</v>
      </c>
      <c r="R768" t="s">
        <v>136</v>
      </c>
      <c r="S768">
        <v>0.00053086401181568193</v>
      </c>
      <c r="T768">
        <v>0.0011154425380868061</v>
      </c>
      <c r="U768" t="s">
        <v>137</v>
      </c>
      <c r="V768">
        <v>0.018951693608270977</v>
      </c>
      <c r="W768">
        <v>0.56101323237085576</v>
      </c>
      <c r="X768" t="s">
        <v>90</v>
      </c>
      <c r="Y768">
        <v>0</v>
      </c>
      <c r="Z768">
        <v>0</v>
      </c>
      <c r="AA768" t="s">
        <v>90</v>
      </c>
      <c r="AB768">
        <v>0</v>
      </c>
      <c r="AC768">
        <v>0.56101323237085576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Q768" t="s">
        <v>140</v>
      </c>
      <c r="AR768" t="s">
        <v>141</v>
      </c>
      <c r="AS768">
        <v>0.54147696023631364</v>
      </c>
    </row>
    <row r="769" spans="1:45" ht="12.75">
      <c r="A769" s="2" t="str">
        <f>HYPERLINK("https://ibp.a2mac1.com/costing(costing:projects/details/8191/material/5320124)","ASA")</f>
        <v>ASA</v>
      </c>
      <c r="B769">
        <v>5320124</v>
      </c>
      <c r="C769">
        <v>6975716</v>
      </c>
      <c r="E769">
        <v>2.4129900000000002</v>
      </c>
      <c r="F769" t="s">
        <v>2925</v>
      </c>
      <c r="G769">
        <v>98.039199999999994</v>
      </c>
      <c r="H769" t="s">
        <v>4961</v>
      </c>
      <c r="I769">
        <v>5</v>
      </c>
      <c r="J769">
        <v>0.20557651238448796</v>
      </c>
      <c r="K769">
        <v>0</v>
      </c>
      <c r="M769">
        <v>0</v>
      </c>
      <c r="O769">
        <v>200000</v>
      </c>
      <c r="R769" t="s">
        <v>136</v>
      </c>
      <c r="S769">
        <v>0.00034023436629021861</v>
      </c>
      <c r="T769">
        <v>0.00071489473129115696</v>
      </c>
      <c r="U769" t="s">
        <v>137</v>
      </c>
      <c r="V769">
        <v>0.012146269706403152</v>
      </c>
      <c r="W769">
        <v>0.35955720739720848</v>
      </c>
      <c r="X769" t="s">
        <v>90</v>
      </c>
      <c r="Y769">
        <v>0</v>
      </c>
      <c r="Z769">
        <v>0</v>
      </c>
      <c r="AA769" t="s">
        <v>90</v>
      </c>
      <c r="AB769">
        <v>0</v>
      </c>
      <c r="AC769">
        <v>0.35955720739720848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Q769" t="s">
        <v>140</v>
      </c>
      <c r="AR769" t="s">
        <v>141</v>
      </c>
      <c r="AS769">
        <v>0.34703627732580439</v>
      </c>
    </row>
    <row r="770" spans="1:45" ht="12.75">
      <c r="A770" s="2" t="str">
        <f>HYPERLINK("https://ibp.a2mac1.com/costing(costing:projects/details/8191/material/5320125)","ASA")</f>
        <v>ASA</v>
      </c>
      <c r="B770">
        <v>5320125</v>
      </c>
      <c r="C770">
        <v>6975718</v>
      </c>
      <c r="E770">
        <v>2.4129900000000002</v>
      </c>
      <c r="F770" t="s">
        <v>3377</v>
      </c>
      <c r="G770">
        <v>98.039199999999994</v>
      </c>
      <c r="H770" t="s">
        <v>4967</v>
      </c>
      <c r="I770">
        <v>5</v>
      </c>
      <c r="J770">
        <v>0.20557651238448796</v>
      </c>
      <c r="K770">
        <v>0</v>
      </c>
      <c r="M770">
        <v>0</v>
      </c>
      <c r="O770">
        <v>200000</v>
      </c>
      <c r="R770" t="s">
        <v>136</v>
      </c>
      <c r="S770">
        <v>0.00024130096900015503</v>
      </c>
      <c r="T770">
        <v>0.00050701753992280635</v>
      </c>
      <c r="U770" t="s">
        <v>137</v>
      </c>
      <c r="V770">
        <v>0.0086143756783001093</v>
      </c>
      <c r="W770">
        <v>0.25500511162922584</v>
      </c>
      <c r="X770" t="s">
        <v>90</v>
      </c>
      <c r="Y770">
        <v>0</v>
      </c>
      <c r="Z770">
        <v>0</v>
      </c>
      <c r="AA770" t="s">
        <v>90</v>
      </c>
      <c r="AB770">
        <v>0</v>
      </c>
      <c r="AC770">
        <v>0.25500511162922584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Q770" t="s">
        <v>140</v>
      </c>
      <c r="AR770" t="s">
        <v>141</v>
      </c>
      <c r="AS770">
        <v>0.24612501938000311</v>
      </c>
    </row>
    <row r="771" spans="1:45" ht="12.75">
      <c r="A771" s="2" t="str">
        <f>HYPERLINK("https://ibp.a2mac1.com/costing(costing:projects/details/8191/material/5320126)","ASA")</f>
        <v>ASA</v>
      </c>
      <c r="B771">
        <v>5320126</v>
      </c>
      <c r="C771">
        <v>6975720</v>
      </c>
      <c r="E771">
        <v>2.4129900000000002</v>
      </c>
      <c r="F771" t="s">
        <v>4973</v>
      </c>
      <c r="G771">
        <v>98.039199999999994</v>
      </c>
      <c r="H771" t="s">
        <v>4974</v>
      </c>
      <c r="I771">
        <v>5</v>
      </c>
      <c r="J771">
        <v>0.20557651238448796</v>
      </c>
      <c r="K771">
        <v>0</v>
      </c>
      <c r="M771">
        <v>0</v>
      </c>
      <c r="O771">
        <v>200000</v>
      </c>
      <c r="R771" t="s">
        <v>136</v>
      </c>
      <c r="S771">
        <v>0.00023406193993015038</v>
      </c>
      <c r="T771">
        <v>0.0004918070137251222</v>
      </c>
      <c r="U771" t="s">
        <v>137</v>
      </c>
      <c r="V771">
        <v>0.0083559444079511058</v>
      </c>
      <c r="W771">
        <v>0.24735495828034909</v>
      </c>
      <c r="X771" t="s">
        <v>90</v>
      </c>
      <c r="Y771">
        <v>0</v>
      </c>
      <c r="Z771">
        <v>0</v>
      </c>
      <c r="AA771" t="s">
        <v>90</v>
      </c>
      <c r="AB771">
        <v>0</v>
      </c>
      <c r="AC771">
        <v>0.24735495828034909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Q771" t="s">
        <v>140</v>
      </c>
      <c r="AR771" t="s">
        <v>141</v>
      </c>
      <c r="AS771">
        <v>0.238741268798603</v>
      </c>
    </row>
    <row r="772" spans="1:45" ht="12.75">
      <c r="A772" s="2" t="str">
        <f>HYPERLINK("https://ibp.a2mac1.com/costing(costing:projects/details/8191/material/5320127)","TPE")</f>
        <v>TPE</v>
      </c>
      <c r="B772">
        <v>5320127</v>
      </c>
      <c r="C772">
        <v>6975722</v>
      </c>
      <c r="E772">
        <v>1.5073099999999999</v>
      </c>
      <c r="F772" t="s">
        <v>4678</v>
      </c>
      <c r="G772">
        <v>95</v>
      </c>
      <c r="H772" t="s">
        <v>4679</v>
      </c>
      <c r="I772">
        <v>5</v>
      </c>
      <c r="J772">
        <v>0.50345253019720215</v>
      </c>
      <c r="K772">
        <v>0</v>
      </c>
      <c r="M772">
        <v>0</v>
      </c>
      <c r="O772">
        <v>200000</v>
      </c>
      <c r="R772" t="s">
        <v>136</v>
      </c>
      <c r="S772">
        <v>6.7432289473684214E-05</v>
      </c>
      <c r="T772">
        <v>0.00013648295389473685</v>
      </c>
      <c r="U772" t="s">
        <v>137</v>
      </c>
      <c r="V772">
        <v>0.00094405205263157891</v>
      </c>
      <c r="W772">
        <v>0.027986018506526315</v>
      </c>
      <c r="X772" t="s">
        <v>90</v>
      </c>
      <c r="Y772">
        <v>0</v>
      </c>
      <c r="Z772">
        <v>0</v>
      </c>
      <c r="AA772" t="s">
        <v>90</v>
      </c>
      <c r="AB772">
        <v>0</v>
      </c>
      <c r="AC772">
        <v>0.027986018506526315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Q772" t="s">
        <v>140</v>
      </c>
      <c r="AR772" t="s">
        <v>141</v>
      </c>
      <c r="AS772">
        <v>0.026972915789473684</v>
      </c>
    </row>
    <row r="773" spans="1:45" ht="12.75">
      <c r="A773" s="2" t="str">
        <f>HYPERLINK("https://ibp.a2mac1.com/costing(costing:projects/details/8191/material/5320128)","PP")</f>
        <v>PP</v>
      </c>
      <c r="B773">
        <v>5320128</v>
      </c>
      <c r="C773">
        <v>6975722</v>
      </c>
      <c r="E773">
        <v>1.0113799999999999</v>
      </c>
      <c r="F773" t="s">
        <v>4678</v>
      </c>
      <c r="G773">
        <v>95</v>
      </c>
      <c r="H773" t="s">
        <v>4679</v>
      </c>
      <c r="I773">
        <v>5</v>
      </c>
      <c r="J773">
        <v>0.50345253019720215</v>
      </c>
      <c r="K773">
        <v>0</v>
      </c>
      <c r="M773">
        <v>0</v>
      </c>
      <c r="O773">
        <v>200000</v>
      </c>
      <c r="R773" t="s">
        <v>136</v>
      </c>
      <c r="S773">
        <v>4.5245947368421055E-05</v>
      </c>
      <c r="T773">
        <v>9.157779747368421E-05</v>
      </c>
      <c r="U773" t="s">
        <v>137</v>
      </c>
      <c r="V773">
        <v>0.0006334432631578947</v>
      </c>
      <c r="W773">
        <v>0.018778154060631578</v>
      </c>
      <c r="X773" t="s">
        <v>90</v>
      </c>
      <c r="Y773">
        <v>0</v>
      </c>
      <c r="Z773">
        <v>0</v>
      </c>
      <c r="AA773" t="s">
        <v>90</v>
      </c>
      <c r="AB773">
        <v>0</v>
      </c>
      <c r="AC773">
        <v>0.018778154060631578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Q773" t="s">
        <v>140</v>
      </c>
      <c r="AR773" t="s">
        <v>141</v>
      </c>
      <c r="AS773">
        <v>0.018098378947368422</v>
      </c>
    </row>
    <row r="774" spans="1:45" ht="12.75">
      <c r="A774" s="2" t="str">
        <f>HYPERLINK("https://ibp.a2mac1.com/costing(costing:projects/details/8191/material/5320129)","PP")</f>
        <v>PP</v>
      </c>
      <c r="B774">
        <v>5320129</v>
      </c>
      <c r="C774">
        <v>6975723</v>
      </c>
      <c r="E774">
        <v>1.0113799999999999</v>
      </c>
      <c r="F774" t="s">
        <v>4161</v>
      </c>
      <c r="G774">
        <v>95</v>
      </c>
      <c r="H774" t="s">
        <v>4162</v>
      </c>
      <c r="I774">
        <v>5</v>
      </c>
      <c r="J774">
        <v>0.50345253019720215</v>
      </c>
      <c r="K774">
        <v>0</v>
      </c>
      <c r="M774">
        <v>0</v>
      </c>
      <c r="O774">
        <v>200000</v>
      </c>
      <c r="R774" t="s">
        <v>136</v>
      </c>
      <c r="S774">
        <v>1.9961447368421053E-05</v>
      </c>
      <c r="T774">
        <v>4.0401969473684208E-05</v>
      </c>
      <c r="U774" t="s">
        <v>137</v>
      </c>
      <c r="V774">
        <v>0.00027946026315789471</v>
      </c>
      <c r="W774">
        <v>0.0082844797326315795</v>
      </c>
      <c r="X774" t="s">
        <v>90</v>
      </c>
      <c r="Y774">
        <v>0</v>
      </c>
      <c r="Z774">
        <v>0</v>
      </c>
      <c r="AA774" t="s">
        <v>90</v>
      </c>
      <c r="AB774">
        <v>0</v>
      </c>
      <c r="AC774">
        <v>0.0082844797326315795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Q774" t="s">
        <v>140</v>
      </c>
      <c r="AR774" t="s">
        <v>141</v>
      </c>
      <c r="AS774">
        <v>0.0079845789473684207</v>
      </c>
    </row>
    <row r="775" spans="1:45" ht="12.75">
      <c r="A775" s="2" t="str">
        <f>HYPERLINK("https://ibp.a2mac1.com/costing(costing:projects/details/8191/material/5320130)","TPE")</f>
        <v>TPE</v>
      </c>
      <c r="B775">
        <v>5320130</v>
      </c>
      <c r="C775">
        <v>6975723</v>
      </c>
      <c r="E775">
        <v>1.5073099999999999</v>
      </c>
      <c r="F775" t="s">
        <v>4161</v>
      </c>
      <c r="G775">
        <v>95</v>
      </c>
      <c r="H775" t="s">
        <v>4162</v>
      </c>
      <c r="I775">
        <v>5</v>
      </c>
      <c r="J775">
        <v>0.50345253019720215</v>
      </c>
      <c r="K775">
        <v>0</v>
      </c>
      <c r="M775">
        <v>0</v>
      </c>
      <c r="O775">
        <v>200000</v>
      </c>
      <c r="R775" t="s">
        <v>136</v>
      </c>
      <c r="S775">
        <v>2.9749539473684209E-05</v>
      </c>
      <c r="T775">
        <v>6.0213067894736844E-05</v>
      </c>
      <c r="U775" t="s">
        <v>137</v>
      </c>
      <c r="V775">
        <v>0.00041649355263157894</v>
      </c>
      <c r="W775">
        <v>0.012346772870526317</v>
      </c>
      <c r="X775" t="s">
        <v>90</v>
      </c>
      <c r="Y775">
        <v>0</v>
      </c>
      <c r="Z775">
        <v>0</v>
      </c>
      <c r="AA775" t="s">
        <v>90</v>
      </c>
      <c r="AB775">
        <v>0</v>
      </c>
      <c r="AC775">
        <v>0.012346772870526317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Q775" t="s">
        <v>140</v>
      </c>
      <c r="AR775" t="s">
        <v>141</v>
      </c>
      <c r="AS775">
        <v>0.011899815789473684</v>
      </c>
    </row>
    <row r="776" spans="1:45" ht="12.75">
      <c r="A776" s="2" t="str">
        <f>HYPERLINK("https://ibp.a2mac1.com/costing(costing:projects/details/8191/material/5320131)","Aluminum for casting (default, e.g. A380/ADC10/EN-AC46500)")</f>
        <v>Aluminum for casting (default, e.g. A380/ADC10/EN-AC46500)</v>
      </c>
      <c r="B776">
        <v>5320131</v>
      </c>
      <c r="C776">
        <v>6975724</v>
      </c>
      <c r="E776">
        <v>2.4518200000000001</v>
      </c>
      <c r="F776" t="s">
        <v>3360</v>
      </c>
      <c r="G776">
        <v>100</v>
      </c>
      <c r="H776" t="s">
        <v>4993</v>
      </c>
      <c r="I776">
        <v>50</v>
      </c>
      <c r="J776">
        <v>0.30705427283965386</v>
      </c>
      <c r="K776">
        <v>0</v>
      </c>
      <c r="M776">
        <v>0</v>
      </c>
      <c r="O776">
        <v>200000</v>
      </c>
      <c r="R776" t="s">
        <v>136</v>
      </c>
      <c r="S776">
        <v>0</v>
      </c>
      <c r="T776">
        <v>0.0002189965624</v>
      </c>
      <c r="U776" t="s">
        <v>137</v>
      </c>
      <c r="V776">
        <v>0.0024885973</v>
      </c>
      <c r="W776">
        <v>0.073810373862399997</v>
      </c>
      <c r="X776" t="s">
        <v>90</v>
      </c>
      <c r="Y776">
        <v>0</v>
      </c>
      <c r="Z776">
        <v>0</v>
      </c>
      <c r="AA776" t="s">
        <v>90</v>
      </c>
      <c r="AB776">
        <v>0</v>
      </c>
      <c r="AC776">
        <v>0.073810373862399997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Q776" t="s">
        <v>140</v>
      </c>
      <c r="AR776" t="s">
        <v>141</v>
      </c>
      <c r="AS776">
        <v>0.071102780000000004</v>
      </c>
    </row>
    <row r="777" spans="1:45" ht="12.75">
      <c r="A777" s="2" t="str">
        <f>HYPERLINK("https://ibp.a2mac1.com/costing(costing:projects/details/8191/material/5320135)","ABS")</f>
        <v>ABS</v>
      </c>
      <c r="B777">
        <v>5320135</v>
      </c>
      <c r="C777">
        <v>6975729</v>
      </c>
      <c r="E777">
        <v>2.5272700000000001</v>
      </c>
      <c r="F777" t="s">
        <v>4012</v>
      </c>
      <c r="G777">
        <v>98.039199999999994</v>
      </c>
      <c r="H777" t="s">
        <v>5001</v>
      </c>
      <c r="I777">
        <v>5</v>
      </c>
      <c r="J777">
        <v>0.30705427283965386</v>
      </c>
      <c r="K777">
        <v>0</v>
      </c>
      <c r="M777">
        <v>0</v>
      </c>
      <c r="O777">
        <v>200000</v>
      </c>
      <c r="R777" t="s">
        <v>136</v>
      </c>
      <c r="S777">
        <v>0.00044733044018719042</v>
      </c>
      <c r="T777">
        <v>0.0014053220683155308</v>
      </c>
      <c r="U777" t="s">
        <v>137</v>
      </c>
      <c r="V777">
        <v>0.015969568958131033</v>
      </c>
      <c r="W777">
        <v>0.47320095939000317</v>
      </c>
      <c r="X777" t="s">
        <v>90</v>
      </c>
      <c r="Y777">
        <v>0</v>
      </c>
      <c r="Z777">
        <v>0</v>
      </c>
      <c r="AA777" t="s">
        <v>90</v>
      </c>
      <c r="AB777">
        <v>0</v>
      </c>
      <c r="AC777">
        <v>0.47320095939000317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Q777" t="s">
        <v>140</v>
      </c>
      <c r="AR777" t="s">
        <v>141</v>
      </c>
      <c r="AS777">
        <v>0.45627339880374379</v>
      </c>
    </row>
    <row r="778" spans="1:45" ht="12.75">
      <c r="A778" s="2" t="str">
        <f>HYPERLINK("https://ibp.a2mac1.com/costing(costing:projects/details/8191/material/5320132)","Paint: Primer")</f>
        <v>Paint: Primer</v>
      </c>
      <c r="B778">
        <v>5320132</v>
      </c>
      <c r="C778">
        <v>6975728</v>
      </c>
      <c r="E778">
        <v>7</v>
      </c>
      <c r="F778" t="s">
        <v>5004</v>
      </c>
      <c r="G778">
        <v>90</v>
      </c>
      <c r="H778" t="s">
        <v>5005</v>
      </c>
      <c r="I778">
        <v>0</v>
      </c>
      <c r="J778">
        <v>0.10389195236953569</v>
      </c>
      <c r="K778">
        <v>0</v>
      </c>
      <c r="M778">
        <v>0</v>
      </c>
      <c r="O778">
        <v>200000</v>
      </c>
      <c r="R778" t="s">
        <v>136</v>
      </c>
      <c r="S778">
        <v>0</v>
      </c>
      <c r="T778">
        <v>0.00015037244444444445</v>
      </c>
      <c r="U778" t="s">
        <v>137</v>
      </c>
      <c r="V778">
        <v>0.0050606111111111112</v>
      </c>
      <c r="W778">
        <v>0.14979987244444445</v>
      </c>
      <c r="X778" t="s">
        <v>90</v>
      </c>
      <c r="Y778">
        <v>0</v>
      </c>
      <c r="Z778">
        <v>0</v>
      </c>
      <c r="AA778" t="s">
        <v>90</v>
      </c>
      <c r="AB778">
        <v>0</v>
      </c>
      <c r="AC778">
        <v>0.14979987244444445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Q778" t="s">
        <v>9</v>
      </c>
      <c r="AR778" t="s">
        <v>141</v>
      </c>
      <c r="AS778">
        <v>0.14458888888888888</v>
      </c>
    </row>
    <row r="779" spans="1:45" ht="12.75">
      <c r="A779" s="2" t="str">
        <f>HYPERLINK("https://ibp.a2mac1.com/costing(costing:projects/details/8191/material/5320133)","Paint: Base")</f>
        <v>Paint: Base</v>
      </c>
      <c r="B779">
        <v>5320133</v>
      </c>
      <c r="C779">
        <v>6975728</v>
      </c>
      <c r="E779">
        <v>11</v>
      </c>
      <c r="F779" t="s">
        <v>5007</v>
      </c>
      <c r="G779">
        <v>90</v>
      </c>
      <c r="H779" t="s">
        <v>5008</v>
      </c>
      <c r="I779">
        <v>0</v>
      </c>
      <c r="J779">
        <v>0.10389195236953569</v>
      </c>
      <c r="K779">
        <v>0</v>
      </c>
      <c r="M779">
        <v>0</v>
      </c>
      <c r="O779">
        <v>200000</v>
      </c>
      <c r="R779" t="s">
        <v>136</v>
      </c>
      <c r="S779">
        <v>0</v>
      </c>
      <c r="T779">
        <v>0.00019130222222222222</v>
      </c>
      <c r="U779" t="s">
        <v>137</v>
      </c>
      <c r="V779">
        <v>0.0064380555555555554</v>
      </c>
      <c r="W779">
        <v>0.19057380222222223</v>
      </c>
      <c r="X779" t="s">
        <v>90</v>
      </c>
      <c r="Y779">
        <v>0</v>
      </c>
      <c r="Z779">
        <v>0</v>
      </c>
      <c r="AA779" t="s">
        <v>90</v>
      </c>
      <c r="AB779">
        <v>0</v>
      </c>
      <c r="AC779">
        <v>0.19057380222222223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Q779" t="s">
        <v>9</v>
      </c>
      <c r="AR779" t="s">
        <v>141</v>
      </c>
      <c r="AS779">
        <v>0.18394444444444444</v>
      </c>
    </row>
    <row r="780" spans="1:45" ht="12.75">
      <c r="A780" s="2" t="str">
        <f>HYPERLINK("https://ibp.a2mac1.com/costing(costing:projects/details/8191/material/5320134)","Paint: Clear Coat")</f>
        <v>Paint: Clear Coat</v>
      </c>
      <c r="B780">
        <v>5320134</v>
      </c>
      <c r="C780">
        <v>6975728</v>
      </c>
      <c r="E780">
        <v>9</v>
      </c>
      <c r="F780" t="s">
        <v>5004</v>
      </c>
      <c r="G780">
        <v>90</v>
      </c>
      <c r="H780" t="s">
        <v>5005</v>
      </c>
      <c r="I780">
        <v>0</v>
      </c>
      <c r="J780">
        <v>0.10389195236953569</v>
      </c>
      <c r="K780">
        <v>0</v>
      </c>
      <c r="M780">
        <v>0</v>
      </c>
      <c r="O780">
        <v>200000</v>
      </c>
      <c r="R780" t="s">
        <v>136</v>
      </c>
      <c r="S780">
        <v>0</v>
      </c>
      <c r="T780">
        <v>0.00019333600000000001</v>
      </c>
      <c r="U780" t="s">
        <v>137</v>
      </c>
      <c r="V780">
        <v>0.0065065000000000001</v>
      </c>
      <c r="W780">
        <v>0.192599836</v>
      </c>
      <c r="X780" t="s">
        <v>90</v>
      </c>
      <c r="Y780">
        <v>0</v>
      </c>
      <c r="Z780">
        <v>0</v>
      </c>
      <c r="AA780" t="s">
        <v>90</v>
      </c>
      <c r="AB780">
        <v>0</v>
      </c>
      <c r="AC780">
        <v>0.192599836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Q780" t="s">
        <v>9</v>
      </c>
      <c r="AR780" t="s">
        <v>141</v>
      </c>
      <c r="AS780">
        <v>0.18590000000000001</v>
      </c>
    </row>
    <row r="781" spans="1:45" ht="12.75">
      <c r="A781" s="2" t="str">
        <f>HYPERLINK("https://ibp.a2mac1.com/costing(costing:projects/details/8191/material/5319914)","ABS-PC")</f>
        <v>ABS-PC</v>
      </c>
      <c r="B781">
        <v>5319914</v>
      </c>
      <c r="C781">
        <v>6975491</v>
      </c>
      <c r="E781">
        <v>2.29312</v>
      </c>
      <c r="F781" t="s">
        <v>5021</v>
      </c>
      <c r="G781">
        <v>98.039199999999994</v>
      </c>
      <c r="H781" t="s">
        <v>5022</v>
      </c>
      <c r="I781">
        <v>5</v>
      </c>
      <c r="J781">
        <v>0.20557651238448796</v>
      </c>
      <c r="K781">
        <v>0</v>
      </c>
      <c r="M781">
        <v>0</v>
      </c>
      <c r="O781">
        <v>200000</v>
      </c>
      <c r="R781" t="s">
        <v>136</v>
      </c>
      <c r="S781">
        <v>0.00041505810684705708</v>
      </c>
      <c r="T781">
        <v>0.00087211311720209871</v>
      </c>
      <c r="U781" t="s">
        <v>137</v>
      </c>
      <c r="V781">
        <v>0.01481745587479294</v>
      </c>
      <c r="W781">
        <v>0.43863039302208912</v>
      </c>
      <c r="X781" t="s">
        <v>138</v>
      </c>
      <c r="Y781">
        <v>0.026317823581325346</v>
      </c>
      <c r="Z781">
        <v>0</v>
      </c>
      <c r="AA781" t="s">
        <v>139</v>
      </c>
      <c r="AB781">
        <v>0.052635647162650692</v>
      </c>
      <c r="AC781">
        <v>0.51758386376606513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Q781" t="s">
        <v>140</v>
      </c>
      <c r="AR781" t="s">
        <v>141</v>
      </c>
      <c r="AS781">
        <v>0.42335588213694114</v>
      </c>
    </row>
    <row r="782" spans="1:45" ht="12.75">
      <c r="A782" s="2" t="str">
        <f>HYPERLINK("https://ibp.a2mac1.com/costing(costing:projects/details/8191/material/5320294)","Standard Structural Steel sheet")</f>
        <v>Standard Structural Steel sheet</v>
      </c>
      <c r="B782">
        <v>5320294</v>
      </c>
      <c r="C782">
        <v>6975839</v>
      </c>
      <c r="E782">
        <v>0.61129999999999995</v>
      </c>
      <c r="F782" t="s">
        <v>5041</v>
      </c>
      <c r="G782">
        <v>55</v>
      </c>
      <c r="H782" t="s">
        <v>5042</v>
      </c>
      <c r="I782">
        <v>30</v>
      </c>
      <c r="J782">
        <v>0.10389195236953569</v>
      </c>
      <c r="K782">
        <v>0</v>
      </c>
      <c r="L782">
        <v>0</v>
      </c>
      <c r="M782">
        <v>0</v>
      </c>
      <c r="O782">
        <v>200000</v>
      </c>
      <c r="R782" t="s">
        <v>136</v>
      </c>
      <c r="S782">
        <v>0.76523645454545453</v>
      </c>
      <c r="T782">
        <v>0.005895154909090909</v>
      </c>
      <c r="U782" t="s">
        <v>137</v>
      </c>
      <c r="V782">
        <v>0.19839463636363636</v>
      </c>
      <c r="W782">
        <v>5.1074715185454549</v>
      </c>
      <c r="X782" t="s">
        <v>90</v>
      </c>
      <c r="Y782">
        <v>0</v>
      </c>
      <c r="Z782">
        <v>0</v>
      </c>
      <c r="AA782" t="s">
        <v>90</v>
      </c>
      <c r="AB782">
        <v>0</v>
      </c>
      <c r="AC782">
        <v>5.1074715185454549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Q782" t="s">
        <v>140</v>
      </c>
      <c r="AR782" t="s">
        <v>141</v>
      </c>
      <c r="AS782">
        <v>5.6684181818181818</v>
      </c>
    </row>
    <row r="783" spans="1:45" ht="12.75">
      <c r="A783" s="2" t="str">
        <f>HYPERLINK("https://ibp.a2mac1.com/costing(costing:projects/details/8191/material/5320295)","Standard Structural Steel sheet")</f>
        <v>Standard Structural Steel sheet</v>
      </c>
      <c r="B783">
        <v>5320295</v>
      </c>
      <c r="C783">
        <v>6975840</v>
      </c>
      <c r="E783">
        <v>0.61129999999999995</v>
      </c>
      <c r="F783" t="s">
        <v>5046</v>
      </c>
      <c r="G783">
        <v>80</v>
      </c>
      <c r="H783" t="s">
        <v>5047</v>
      </c>
      <c r="I783">
        <v>30</v>
      </c>
      <c r="J783">
        <v>0.10389195236953569</v>
      </c>
      <c r="K783">
        <v>0</v>
      </c>
      <c r="L783">
        <v>0</v>
      </c>
      <c r="M783">
        <v>0</v>
      </c>
      <c r="O783">
        <v>200000</v>
      </c>
      <c r="R783" t="s">
        <v>136</v>
      </c>
      <c r="S783">
        <v>0.030717825000000001</v>
      </c>
      <c r="T783">
        <v>0.00053244230000000004</v>
      </c>
      <c r="U783" t="s">
        <v>137</v>
      </c>
      <c r="V783">
        <v>0.01791873125</v>
      </c>
      <c r="W783">
        <v>0.49969709855</v>
      </c>
      <c r="X783" t="s">
        <v>138</v>
      </c>
      <c r="Y783">
        <v>0.029981825912999999</v>
      </c>
      <c r="Z783">
        <v>0</v>
      </c>
      <c r="AA783" t="s">
        <v>139</v>
      </c>
      <c r="AB783">
        <v>0.059963651825999997</v>
      </c>
      <c r="AC783">
        <v>0.58964257628899996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Q783" t="s">
        <v>140</v>
      </c>
      <c r="AR783" t="s">
        <v>141</v>
      </c>
      <c r="AS783">
        <v>0.51196375000000005</v>
      </c>
    </row>
    <row r="784" spans="1:45" ht="12.75">
      <c r="A784" s="2" t="str">
        <f>HYPERLINK("https://ibp.a2mac1.com/costing(costing:projects/details/8191/material/5320296)","Standard Structural Steel sheet")</f>
        <v>Standard Structural Steel sheet</v>
      </c>
      <c r="B784">
        <v>5320296</v>
      </c>
      <c r="C784">
        <v>6975841</v>
      </c>
      <c r="E784">
        <v>0.61129999999999995</v>
      </c>
      <c r="F784" t="s">
        <v>3435</v>
      </c>
      <c r="G784">
        <v>80</v>
      </c>
      <c r="H784" t="s">
        <v>5050</v>
      </c>
      <c r="I784">
        <v>30</v>
      </c>
      <c r="J784">
        <v>0.10389195236953569</v>
      </c>
      <c r="K784">
        <v>0</v>
      </c>
      <c r="L784">
        <v>0</v>
      </c>
      <c r="M784">
        <v>0</v>
      </c>
      <c r="O784">
        <v>200000</v>
      </c>
      <c r="R784" t="s">
        <v>136</v>
      </c>
      <c r="S784">
        <v>0.019714425000000001</v>
      </c>
      <c r="T784">
        <v>0.00034171670000000001</v>
      </c>
      <c r="U784" t="s">
        <v>137</v>
      </c>
      <c r="V784">
        <v>0.01150008125</v>
      </c>
      <c r="W784">
        <v>0.32070112294999997</v>
      </c>
      <c r="X784" t="s">
        <v>138</v>
      </c>
      <c r="Y784">
        <v>0.019242067376999999</v>
      </c>
      <c r="Z784">
        <v>0</v>
      </c>
      <c r="AA784" t="s">
        <v>139</v>
      </c>
      <c r="AB784">
        <v>0.038484134753999998</v>
      </c>
      <c r="AC784">
        <v>0.37842732508100002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Q784" t="s">
        <v>140</v>
      </c>
      <c r="AR784" t="s">
        <v>141</v>
      </c>
      <c r="AS784">
        <v>0.32857375</v>
      </c>
    </row>
    <row r="785" spans="1:45" ht="12.75">
      <c r="A785" s="2" t="str">
        <f>HYPERLINK("https://ibp.a2mac1.com/costing(costing:projects/details/8191/material/5320363)","Standard Structural Steel sheet")</f>
        <v>Standard Structural Steel sheet</v>
      </c>
      <c r="B785">
        <v>5320363</v>
      </c>
      <c r="C785">
        <v>6975899</v>
      </c>
      <c r="E785">
        <v>0.61129999999999995</v>
      </c>
      <c r="F785" t="s">
        <v>3435</v>
      </c>
      <c r="G785">
        <v>80</v>
      </c>
      <c r="H785" t="s">
        <v>5050</v>
      </c>
      <c r="I785">
        <v>30</v>
      </c>
      <c r="J785">
        <v>0.10389195236953569</v>
      </c>
      <c r="K785">
        <v>0</v>
      </c>
      <c r="L785">
        <v>0</v>
      </c>
      <c r="M785">
        <v>0</v>
      </c>
      <c r="O785">
        <v>200000</v>
      </c>
      <c r="R785" t="s">
        <v>136</v>
      </c>
      <c r="S785">
        <v>0.019714425000000001</v>
      </c>
      <c r="T785">
        <v>0.00034171670000000001</v>
      </c>
      <c r="U785" t="s">
        <v>137</v>
      </c>
      <c r="V785">
        <v>0.01150008125</v>
      </c>
      <c r="W785">
        <v>0.32070112294999997</v>
      </c>
      <c r="X785" t="s">
        <v>138</v>
      </c>
      <c r="Y785">
        <v>0.019242067376999999</v>
      </c>
      <c r="Z785">
        <v>0</v>
      </c>
      <c r="AA785" t="s">
        <v>139</v>
      </c>
      <c r="AB785">
        <v>0.038484134753999998</v>
      </c>
      <c r="AC785">
        <v>0.37842732508100002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Q785" t="s">
        <v>140</v>
      </c>
      <c r="AR785" t="s">
        <v>141</v>
      </c>
      <c r="AS785">
        <v>0.32857375</v>
      </c>
    </row>
    <row r="786" spans="1:45" ht="12.75">
      <c r="A786" s="2" t="str">
        <f>HYPERLINK("https://ibp.a2mac1.com/costing(costing:projects/details/8191/material/5320364)","Standard Structural Steel sheet")</f>
        <v>Standard Structural Steel sheet</v>
      </c>
      <c r="B786">
        <v>5320364</v>
      </c>
      <c r="C786">
        <v>6975900</v>
      </c>
      <c r="E786">
        <v>0.61129999999999995</v>
      </c>
      <c r="F786" t="s">
        <v>5057</v>
      </c>
      <c r="G786">
        <v>80</v>
      </c>
      <c r="H786" t="s">
        <v>5058</v>
      </c>
      <c r="I786">
        <v>30</v>
      </c>
      <c r="J786">
        <v>0.10389195236953569</v>
      </c>
      <c r="K786">
        <v>0</v>
      </c>
      <c r="L786">
        <v>0</v>
      </c>
      <c r="M786">
        <v>0</v>
      </c>
      <c r="O786">
        <v>200000</v>
      </c>
      <c r="R786" t="s">
        <v>136</v>
      </c>
      <c r="S786">
        <v>0.0440136</v>
      </c>
      <c r="T786">
        <v>0.00076290240000000001</v>
      </c>
      <c r="U786" t="s">
        <v>137</v>
      </c>
      <c r="V786">
        <v>0.025674599999999999</v>
      </c>
      <c r="W786">
        <v>0.71598390239999998</v>
      </c>
      <c r="X786" t="s">
        <v>138</v>
      </c>
      <c r="Y786">
        <v>0.042959034144</v>
      </c>
      <c r="Z786">
        <v>0</v>
      </c>
      <c r="AA786" t="s">
        <v>139</v>
      </c>
      <c r="AB786">
        <v>0.085918068287999999</v>
      </c>
      <c r="AC786">
        <v>0.844861004832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Q786" t="s">
        <v>140</v>
      </c>
      <c r="AR786" t="s">
        <v>141</v>
      </c>
      <c r="AS786">
        <v>0.73355999999999999</v>
      </c>
    </row>
    <row r="787" spans="1:45" ht="12.75">
      <c r="A787" s="2" t="str">
        <f>HYPERLINK("https://ibp.a2mac1.com/costing(costing:projects/details/8191/material/5320365)","Standard Structural Steel sheet")</f>
        <v>Standard Structural Steel sheet</v>
      </c>
      <c r="B787">
        <v>5320365</v>
      </c>
      <c r="C787">
        <v>6975901</v>
      </c>
      <c r="E787">
        <v>0.61129999999999995</v>
      </c>
      <c r="F787" t="s">
        <v>5064</v>
      </c>
      <c r="G787">
        <v>80</v>
      </c>
      <c r="H787" t="s">
        <v>5065</v>
      </c>
      <c r="I787">
        <v>30</v>
      </c>
      <c r="J787">
        <v>0.10389195236953569</v>
      </c>
      <c r="K787">
        <v>0</v>
      </c>
      <c r="L787">
        <v>0</v>
      </c>
      <c r="M787">
        <v>0</v>
      </c>
      <c r="O787">
        <v>200000</v>
      </c>
      <c r="R787" t="s">
        <v>136</v>
      </c>
      <c r="S787">
        <v>0.041721225000000001</v>
      </c>
      <c r="T787">
        <v>0.00072316790000000002</v>
      </c>
      <c r="U787" t="s">
        <v>137</v>
      </c>
      <c r="V787">
        <v>0.024337381250000002</v>
      </c>
      <c r="W787">
        <v>0.67869307415000002</v>
      </c>
      <c r="X787" t="s">
        <v>138</v>
      </c>
      <c r="Y787">
        <v>0.040721584449000002</v>
      </c>
      <c r="Z787">
        <v>0</v>
      </c>
      <c r="AA787" t="s">
        <v>139</v>
      </c>
      <c r="AB787">
        <v>0.081443168898000004</v>
      </c>
      <c r="AC787">
        <v>0.80085782749699996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Q787" t="s">
        <v>140</v>
      </c>
      <c r="AR787" t="s">
        <v>141</v>
      </c>
      <c r="AS787">
        <v>0.69535374999999999</v>
      </c>
    </row>
    <row r="788" spans="1:45" ht="12.75">
      <c r="A788" s="2" t="str">
        <f>HYPERLINK("https://ibp.a2mac1.com/costing(costing:projects/details/8191/material/5320297)","Standard Structural Steel sheet")</f>
        <v>Standard Structural Steel sheet</v>
      </c>
      <c r="B788">
        <v>5320297</v>
      </c>
      <c r="C788">
        <v>6975842</v>
      </c>
      <c r="E788">
        <v>0.61129999999999995</v>
      </c>
      <c r="F788" t="s">
        <v>5070</v>
      </c>
      <c r="G788">
        <v>80</v>
      </c>
      <c r="H788" t="s">
        <v>5071</v>
      </c>
      <c r="I788">
        <v>30</v>
      </c>
      <c r="J788">
        <v>0.10389195236953569</v>
      </c>
      <c r="K788">
        <v>0</v>
      </c>
      <c r="L788">
        <v>0</v>
      </c>
      <c r="M788">
        <v>0</v>
      </c>
      <c r="O788">
        <v>200000</v>
      </c>
      <c r="R788" t="s">
        <v>136</v>
      </c>
      <c r="S788">
        <v>0.064644974999999993</v>
      </c>
      <c r="T788">
        <v>0.0011205129</v>
      </c>
      <c r="U788" t="s">
        <v>137</v>
      </c>
      <c r="V788">
        <v>0.037709568749999998</v>
      </c>
      <c r="W788">
        <v>1.05160135665</v>
      </c>
      <c r="X788" t="s">
        <v>138</v>
      </c>
      <c r="Y788">
        <v>0.063096081398999998</v>
      </c>
      <c r="Z788">
        <v>0</v>
      </c>
      <c r="AA788" t="s">
        <v>139</v>
      </c>
      <c r="AB788">
        <v>0.126192162798</v>
      </c>
      <c r="AC788">
        <v>1.2408896008470001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Q788" t="s">
        <v>140</v>
      </c>
      <c r="AR788" t="s">
        <v>141</v>
      </c>
      <c r="AS788">
        <v>1.07741625</v>
      </c>
    </row>
    <row r="789" spans="1:45" ht="12.75">
      <c r="A789" s="2" t="str">
        <f>HYPERLINK("https://ibp.a2mac1.com/costing(costing:projects/details/8191/material/5320366)","Standard Structural Steel sheet")</f>
        <v>Standard Structural Steel sheet</v>
      </c>
      <c r="B789">
        <v>5320366</v>
      </c>
      <c r="C789">
        <v>6975902</v>
      </c>
      <c r="E789">
        <v>0.61129999999999995</v>
      </c>
      <c r="F789" t="s">
        <v>5077</v>
      </c>
      <c r="G789">
        <v>75</v>
      </c>
      <c r="H789" t="s">
        <v>5078</v>
      </c>
      <c r="I789">
        <v>30</v>
      </c>
      <c r="J789">
        <v>0.10389195236953569</v>
      </c>
      <c r="K789">
        <v>0</v>
      </c>
      <c r="L789">
        <v>0</v>
      </c>
      <c r="M789">
        <v>0</v>
      </c>
      <c r="O789">
        <v>200000</v>
      </c>
      <c r="R789" t="s">
        <v>136</v>
      </c>
      <c r="S789">
        <v>0.064186499999999994</v>
      </c>
      <c r="T789">
        <v>0.00089005279999999996</v>
      </c>
      <c r="U789" t="s">
        <v>137</v>
      </c>
      <c r="V789">
        <v>0.0299537</v>
      </c>
      <c r="W789">
        <v>0.82247725279999995</v>
      </c>
      <c r="X789" t="s">
        <v>138</v>
      </c>
      <c r="Y789">
        <v>0.049348635167999998</v>
      </c>
      <c r="Z789">
        <v>0</v>
      </c>
      <c r="AA789" t="s">
        <v>139</v>
      </c>
      <c r="AB789">
        <v>0.098697270335999995</v>
      </c>
      <c r="AC789">
        <v>0.97052315830400004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Q789" t="s">
        <v>140</v>
      </c>
      <c r="AR789" t="s">
        <v>141</v>
      </c>
      <c r="AS789">
        <v>0.85582000000000003</v>
      </c>
    </row>
    <row r="790" spans="1:45" ht="12.75">
      <c r="A790" s="2" t="str">
        <f>HYPERLINK("https://ibp.a2mac1.com/costing(costing:projects/details/8191/material/5320298)","Standard Structural Steel sheet")</f>
        <v>Standard Structural Steel sheet</v>
      </c>
      <c r="B790">
        <v>5320298</v>
      </c>
      <c r="C790">
        <v>6975843</v>
      </c>
      <c r="E790">
        <v>0.61129999999999995</v>
      </c>
      <c r="F790" t="s">
        <v>5083</v>
      </c>
      <c r="G790">
        <v>75</v>
      </c>
      <c r="H790" t="s">
        <v>5084</v>
      </c>
      <c r="I790">
        <v>30</v>
      </c>
      <c r="J790">
        <v>0.10389195236953569</v>
      </c>
      <c r="K790">
        <v>0</v>
      </c>
      <c r="L790">
        <v>0</v>
      </c>
      <c r="M790">
        <v>0</v>
      </c>
      <c r="O790">
        <v>200000</v>
      </c>
      <c r="R790" t="s">
        <v>136</v>
      </c>
      <c r="S790">
        <v>0.25307819999999998</v>
      </c>
      <c r="T790">
        <v>0.0035093510399999998</v>
      </c>
      <c r="U790" t="s">
        <v>137</v>
      </c>
      <c r="V790">
        <v>0.11810316</v>
      </c>
      <c r="W790">
        <v>3.2429103110400002</v>
      </c>
      <c r="X790" t="s">
        <v>90</v>
      </c>
      <c r="Y790">
        <v>0</v>
      </c>
      <c r="Z790">
        <v>0</v>
      </c>
      <c r="AA790" t="s">
        <v>90</v>
      </c>
      <c r="AB790">
        <v>0</v>
      </c>
      <c r="AC790">
        <v>3.2429103110400002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Q790" t="s">
        <v>140</v>
      </c>
      <c r="AR790" t="s">
        <v>141</v>
      </c>
      <c r="AS790">
        <v>3.3743759999999998</v>
      </c>
    </row>
    <row r="791" spans="1:45" ht="12.75">
      <c r="A791" s="2" t="str">
        <f>HYPERLINK("https://ibp.a2mac1.com/costing(costing:projects/details/8191/material/5320367)","Standard Structural Steel sheet")</f>
        <v>Standard Structural Steel sheet</v>
      </c>
      <c r="B791">
        <v>5320367</v>
      </c>
      <c r="C791">
        <v>6975903</v>
      </c>
      <c r="E791">
        <v>0.61129999999999995</v>
      </c>
      <c r="F791" t="s">
        <v>5089</v>
      </c>
      <c r="G791">
        <v>85</v>
      </c>
      <c r="H791" t="s">
        <v>5090</v>
      </c>
      <c r="I791">
        <v>30</v>
      </c>
      <c r="J791">
        <v>0.10389195236953569</v>
      </c>
      <c r="K791">
        <v>0</v>
      </c>
      <c r="L791">
        <v>0</v>
      </c>
      <c r="M791">
        <v>0</v>
      </c>
      <c r="O791">
        <v>200000</v>
      </c>
      <c r="R791" t="s">
        <v>136</v>
      </c>
      <c r="S791">
        <v>0.013268805882352941</v>
      </c>
      <c r="T791">
        <v>0.00030665684705882351</v>
      </c>
      <c r="U791" t="s">
        <v>137</v>
      </c>
      <c r="V791">
        <v>0.010320182352941177</v>
      </c>
      <c r="W791">
        <v>0.29222038625882352</v>
      </c>
      <c r="X791" t="s">
        <v>138</v>
      </c>
      <c r="Y791">
        <v>0.017533223175529411</v>
      </c>
      <c r="Z791">
        <v>0</v>
      </c>
      <c r="AA791" t="s">
        <v>139</v>
      </c>
      <c r="AB791">
        <v>0.035066446351058822</v>
      </c>
      <c r="AC791">
        <v>0.34482005578541175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Q791" t="s">
        <v>140</v>
      </c>
      <c r="AR791" t="s">
        <v>141</v>
      </c>
      <c r="AS791">
        <v>0.29486235294117646</v>
      </c>
    </row>
    <row r="792" spans="1:45" ht="12.75">
      <c r="A792" s="2" t="str">
        <f>HYPERLINK("https://ibp.a2mac1.com/costing(costing:projects/details/8191/material/5319915)","PP")</f>
        <v>PP</v>
      </c>
      <c r="B792">
        <v>5319915</v>
      </c>
      <c r="C792">
        <v>6975493</v>
      </c>
      <c r="E792">
        <v>1.0113799999999999</v>
      </c>
      <c r="F792" t="s">
        <v>5100</v>
      </c>
      <c r="G792">
        <v>95</v>
      </c>
      <c r="H792" t="s">
        <v>5101</v>
      </c>
      <c r="I792">
        <v>5</v>
      </c>
      <c r="J792">
        <v>0.50345253019720215</v>
      </c>
      <c r="K792">
        <v>0</v>
      </c>
      <c r="M792">
        <v>0</v>
      </c>
      <c r="O792">
        <v>200000</v>
      </c>
      <c r="R792" t="s">
        <v>136</v>
      </c>
      <c r="S792">
        <v>0.0032098007368421052</v>
      </c>
      <c r="T792">
        <v>0.0064966366913684209</v>
      </c>
      <c r="U792" t="s">
        <v>137</v>
      </c>
      <c r="V792">
        <v>0.044937210315789476</v>
      </c>
      <c r="W792">
        <v>1.3321443410071578</v>
      </c>
      <c r="X792" t="s">
        <v>90</v>
      </c>
      <c r="Y792">
        <v>0</v>
      </c>
      <c r="Z792">
        <v>0</v>
      </c>
      <c r="AA792" t="s">
        <v>90</v>
      </c>
      <c r="AB792">
        <v>0</v>
      </c>
      <c r="AC792">
        <v>1.3321443410071578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Q792" t="s">
        <v>140</v>
      </c>
      <c r="AR792" t="s">
        <v>141</v>
      </c>
      <c r="AS792">
        <v>1.2839202947368422</v>
      </c>
    </row>
    <row r="793" spans="1:45" ht="12.75">
      <c r="A793" s="2" t="str">
        <f>HYPERLINK("https://ibp.a2mac1.com/costing(costing:projects/details/8191/material/5319916)","PP")</f>
        <v>PP</v>
      </c>
      <c r="B793">
        <v>5319916</v>
      </c>
      <c r="C793">
        <v>6975494</v>
      </c>
      <c r="E793">
        <v>1.0113799999999999</v>
      </c>
      <c r="F793" t="s">
        <v>5105</v>
      </c>
      <c r="G793">
        <v>95</v>
      </c>
      <c r="H793" t="s">
        <v>5106</v>
      </c>
      <c r="I793">
        <v>5</v>
      </c>
      <c r="J793">
        <v>0.50345253019720215</v>
      </c>
      <c r="K793">
        <v>0</v>
      </c>
      <c r="M793">
        <v>0</v>
      </c>
      <c r="O793">
        <v>200000</v>
      </c>
      <c r="R793" t="s">
        <v>136</v>
      </c>
      <c r="S793">
        <v>0.00071595057894736837</v>
      </c>
      <c r="T793">
        <v>0.0014490839717894736</v>
      </c>
      <c r="U793" t="s">
        <v>137</v>
      </c>
      <c r="V793">
        <v>0.010023308105263157</v>
      </c>
      <c r="W793">
        <v>0.2971366730770526</v>
      </c>
      <c r="X793" t="s">
        <v>90</v>
      </c>
      <c r="Y793">
        <v>0</v>
      </c>
      <c r="Z793">
        <v>0</v>
      </c>
      <c r="AA793" t="s">
        <v>90</v>
      </c>
      <c r="AB793">
        <v>0</v>
      </c>
      <c r="AC793">
        <v>0.2971366730770526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Q793" t="s">
        <v>140</v>
      </c>
      <c r="AR793" t="s">
        <v>141</v>
      </c>
      <c r="AS793">
        <v>0.28638023157894738</v>
      </c>
    </row>
    <row r="794" spans="1:45" ht="12.75">
      <c r="A794" s="2" t="str">
        <f>HYPERLINK("https://ibp.a2mac1.com/costing(costing:projects/details/8191/material/5319917)","PVC")</f>
        <v>PVC</v>
      </c>
      <c r="B794">
        <v>5319917</v>
      </c>
      <c r="C794">
        <v>6975494</v>
      </c>
      <c r="E794">
        <v>1.2835000000000001</v>
      </c>
      <c r="F794" t="s">
        <v>5105</v>
      </c>
      <c r="G794">
        <v>95</v>
      </c>
      <c r="H794" t="s">
        <v>5106</v>
      </c>
      <c r="I794">
        <v>5</v>
      </c>
      <c r="J794">
        <v>0.50345253019720215</v>
      </c>
      <c r="K794">
        <v>0</v>
      </c>
      <c r="M794">
        <v>0</v>
      </c>
      <c r="O794">
        <v>200000</v>
      </c>
      <c r="R794" t="s">
        <v>136</v>
      </c>
      <c r="S794">
        <v>0.00090858289473684213</v>
      </c>
      <c r="T794">
        <v>0.0018389717789473684</v>
      </c>
      <c r="U794" t="s">
        <v>137</v>
      </c>
      <c r="V794">
        <v>0.012720160526315789</v>
      </c>
      <c r="W794">
        <v>0.37708370730526314</v>
      </c>
      <c r="X794" t="s">
        <v>90</v>
      </c>
      <c r="Y794">
        <v>0</v>
      </c>
      <c r="Z794">
        <v>0</v>
      </c>
      <c r="AA794" t="s">
        <v>90</v>
      </c>
      <c r="AB794">
        <v>0</v>
      </c>
      <c r="AC794">
        <v>0.37708370730526314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Q794" t="s">
        <v>140</v>
      </c>
      <c r="AR794" t="s">
        <v>141</v>
      </c>
      <c r="AS794">
        <v>0.36343315789473685</v>
      </c>
    </row>
    <row r="795" spans="1:45" ht="12.75">
      <c r="A795" s="2" t="str">
        <f>HYPERLINK("https://ibp.a2mac1.com/costing(costing:projects/details/8191/material/5319918)","PP")</f>
        <v>PP</v>
      </c>
      <c r="B795">
        <v>5319918</v>
      </c>
      <c r="C795">
        <v>6975495</v>
      </c>
      <c r="E795">
        <v>1.0113799999999999</v>
      </c>
      <c r="F795" t="s">
        <v>5112</v>
      </c>
      <c r="G795">
        <v>95</v>
      </c>
      <c r="H795" t="s">
        <v>5113</v>
      </c>
      <c r="I795">
        <v>5</v>
      </c>
      <c r="J795">
        <v>0.50345253019720215</v>
      </c>
      <c r="K795">
        <v>0</v>
      </c>
      <c r="M795">
        <v>0</v>
      </c>
      <c r="O795">
        <v>200000</v>
      </c>
      <c r="R795" t="s">
        <v>136</v>
      </c>
      <c r="S795">
        <v>0.0009714571052631579</v>
      </c>
      <c r="T795">
        <v>0.0019662291810526315</v>
      </c>
      <c r="U795" t="s">
        <v>137</v>
      </c>
      <c r="V795">
        <v>0.013600399473684211</v>
      </c>
      <c r="W795">
        <v>0.40317801365473682</v>
      </c>
      <c r="X795" t="s">
        <v>90</v>
      </c>
      <c r="Y795">
        <v>0</v>
      </c>
      <c r="Z795">
        <v>0</v>
      </c>
      <c r="AA795" t="s">
        <v>90</v>
      </c>
      <c r="AB795">
        <v>0</v>
      </c>
      <c r="AC795">
        <v>0.40317801365473682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Q795" t="s">
        <v>140</v>
      </c>
      <c r="AR795" t="s">
        <v>141</v>
      </c>
      <c r="AS795">
        <v>0.38858284210526317</v>
      </c>
    </row>
    <row r="796" spans="1:45" ht="12.75">
      <c r="A796" s="2" t="str">
        <f>HYPERLINK("https://ibp.a2mac1.com/costing(costing:projects/details/8191/material/5319919)","PP")</f>
        <v>PP</v>
      </c>
      <c r="B796">
        <v>5319919</v>
      </c>
      <c r="C796">
        <v>6975496</v>
      </c>
      <c r="E796">
        <v>1.0113799999999999</v>
      </c>
      <c r="F796" t="s">
        <v>5117</v>
      </c>
      <c r="G796">
        <v>95</v>
      </c>
      <c r="H796" t="s">
        <v>5118</v>
      </c>
      <c r="I796">
        <v>5</v>
      </c>
      <c r="J796">
        <v>0.50345253019720215</v>
      </c>
      <c r="K796">
        <v>0</v>
      </c>
      <c r="M796">
        <v>0</v>
      </c>
      <c r="O796">
        <v>200000</v>
      </c>
      <c r="R796" t="s">
        <v>136</v>
      </c>
      <c r="S796">
        <v>0.00082773468421052634</v>
      </c>
      <c r="T796">
        <v>0.0016753350008421053</v>
      </c>
      <c r="U796" t="s">
        <v>137</v>
      </c>
      <c r="V796">
        <v>0.011588285578947368</v>
      </c>
      <c r="W796">
        <v>0.34352975957978948</v>
      </c>
      <c r="X796" t="s">
        <v>138</v>
      </c>
      <c r="Y796">
        <v>0.020611785574787368</v>
      </c>
      <c r="Z796">
        <v>0</v>
      </c>
      <c r="AA796" t="s">
        <v>139</v>
      </c>
      <c r="AB796">
        <v>0.041223571149574735</v>
      </c>
      <c r="AC796">
        <v>0.40536511630415156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Q796" t="s">
        <v>140</v>
      </c>
      <c r="AR796" t="s">
        <v>141</v>
      </c>
      <c r="AS796">
        <v>0.3310938736842105</v>
      </c>
    </row>
    <row r="797" spans="1:45" ht="12.75">
      <c r="A797" s="2" t="str">
        <f>HYPERLINK("https://ibp.a2mac1.com/costing(costing:projects/details/8191/material/5320136)","PC-ABS")</f>
        <v>PC-ABS</v>
      </c>
      <c r="B797">
        <v>5320136</v>
      </c>
      <c r="C797">
        <v>6975730</v>
      </c>
      <c r="E797">
        <v>2.29312</v>
      </c>
      <c r="F797" t="s">
        <v>2024</v>
      </c>
      <c r="G797">
        <v>95</v>
      </c>
      <c r="H797" t="s">
        <v>2025</v>
      </c>
      <c r="I797">
        <v>5</v>
      </c>
      <c r="J797">
        <v>0.50345253019720215</v>
      </c>
      <c r="K797">
        <v>0</v>
      </c>
      <c r="M797">
        <v>0</v>
      </c>
      <c r="O797">
        <v>200000</v>
      </c>
      <c r="R797" t="s">
        <v>136</v>
      </c>
      <c r="S797">
        <v>0.00018707031578947368</v>
      </c>
      <c r="T797">
        <v>0.00037863031915789475</v>
      </c>
      <c r="U797" t="s">
        <v>137</v>
      </c>
      <c r="V797">
        <v>0.0026189844210526315</v>
      </c>
      <c r="W797">
        <v>0.077638670740210525</v>
      </c>
      <c r="X797" t="s">
        <v>138</v>
      </c>
      <c r="Y797">
        <v>0.0046583202444126313</v>
      </c>
      <c r="Z797">
        <v>0</v>
      </c>
      <c r="AA797" t="s">
        <v>139</v>
      </c>
      <c r="AB797">
        <v>0.0093166404888252626</v>
      </c>
      <c r="AC797">
        <v>0.09161363147344842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Q797" t="s">
        <v>140</v>
      </c>
      <c r="AR797" t="s">
        <v>141</v>
      </c>
      <c r="AS797">
        <v>0.074828126315789473</v>
      </c>
    </row>
    <row r="798" spans="1:45" ht="12.75">
      <c r="A798" s="2" t="str">
        <f>HYPERLINK("https://ibp.a2mac1.com/costing(costing:projects/details/8191/material/5320137)","ABS-PC")</f>
        <v>ABS-PC</v>
      </c>
      <c r="B798">
        <v>5320137</v>
      </c>
      <c r="C798">
        <v>6975731</v>
      </c>
      <c r="E798">
        <v>2.29312</v>
      </c>
      <c r="F798" t="s">
        <v>4718</v>
      </c>
      <c r="G798">
        <v>98.039199999999994</v>
      </c>
      <c r="H798" t="s">
        <v>4719</v>
      </c>
      <c r="I798">
        <v>5</v>
      </c>
      <c r="J798">
        <v>0.20557651238448796</v>
      </c>
      <c r="K798">
        <v>0</v>
      </c>
      <c r="M798">
        <v>0</v>
      </c>
      <c r="O798">
        <v>200000</v>
      </c>
      <c r="R798" t="s">
        <v>136</v>
      </c>
      <c r="S798">
        <v>0.00021326190020318404</v>
      </c>
      <c r="T798">
        <v>0.00044810231988837119</v>
      </c>
      <c r="U798" t="s">
        <v>137</v>
      </c>
      <c r="V798">
        <v>0.0076133889301422284</v>
      </c>
      <c r="W798">
        <v>0.2253736273538911</v>
      </c>
      <c r="X798" t="s">
        <v>138</v>
      </c>
      <c r="Y798">
        <v>0.013522417641233466</v>
      </c>
      <c r="Z798">
        <v>0</v>
      </c>
      <c r="AA798" t="s">
        <v>139</v>
      </c>
      <c r="AB798">
        <v>0.027044835282466931</v>
      </c>
      <c r="AC798">
        <v>0.2659408802775915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Q798" t="s">
        <v>140</v>
      </c>
      <c r="AR798" t="s">
        <v>141</v>
      </c>
      <c r="AS798">
        <v>0.21752539800406367</v>
      </c>
    </row>
    <row r="799" spans="1:45" ht="12.75">
      <c r="A799" s="2" t="str">
        <f>HYPERLINK("https://ibp.a2mac1.com/costing(costing:projects/details/8191/material/5320138)","PA 6 GF 40")</f>
        <v>PA 6 GF 40</v>
      </c>
      <c r="B799">
        <v>5320138</v>
      </c>
      <c r="C799">
        <v>6975733</v>
      </c>
      <c r="E799">
        <v>2.7592300000000001</v>
      </c>
      <c r="F799" t="s">
        <v>3421</v>
      </c>
      <c r="G799">
        <v>98.039199999999994</v>
      </c>
      <c r="H799" t="s">
        <v>4727</v>
      </c>
      <c r="I799">
        <v>0</v>
      </c>
      <c r="J799">
        <v>0.20557651238448796</v>
      </c>
      <c r="K799">
        <v>0</v>
      </c>
      <c r="L799">
        <v>0</v>
      </c>
      <c r="M799">
        <v>0</v>
      </c>
      <c r="O799">
        <v>200000</v>
      </c>
      <c r="R799" t="s">
        <v>136</v>
      </c>
      <c r="S799">
        <v>0</v>
      </c>
      <c r="T799">
        <v>0.00041743404026144647</v>
      </c>
      <c r="U799" t="s">
        <v>137</v>
      </c>
      <c r="V799">
        <v>0.0070923259267721486</v>
      </c>
      <c r="W799">
        <v>0.21014764358909496</v>
      </c>
      <c r="X799" t="s">
        <v>138</v>
      </c>
      <c r="Y799">
        <v>0.012608858615345699</v>
      </c>
      <c r="Z799">
        <v>0</v>
      </c>
      <c r="AA799" t="s">
        <v>139</v>
      </c>
      <c r="AB799">
        <v>0.025217717230691397</v>
      </c>
      <c r="AC799">
        <v>0.24797421943513206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Q799" t="s">
        <v>9</v>
      </c>
      <c r="AR799" t="s">
        <v>141</v>
      </c>
      <c r="AS799">
        <v>0.20263788362206139</v>
      </c>
    </row>
    <row r="800" spans="1:45" ht="12.75">
      <c r="A800" s="2" t="str">
        <f>HYPERLINK("https://ibp.a2mac1.com/costing(costing:projects/details/8191/material/5320139)","PBT-GF30")</f>
        <v>PBT-GF30</v>
      </c>
      <c r="B800">
        <v>5320139</v>
      </c>
      <c r="C800">
        <v>6975735</v>
      </c>
      <c r="E800">
        <v>1.9208099999999999</v>
      </c>
      <c r="F800" t="s">
        <v>4733</v>
      </c>
      <c r="G800">
        <v>98.039199999999994</v>
      </c>
      <c r="H800" t="s">
        <v>4734</v>
      </c>
      <c r="I800">
        <v>5</v>
      </c>
      <c r="J800">
        <v>0.20557651238448796</v>
      </c>
      <c r="K800">
        <v>0</v>
      </c>
      <c r="M800">
        <v>0</v>
      </c>
      <c r="O800">
        <v>200000</v>
      </c>
      <c r="R800" t="s">
        <v>136</v>
      </c>
      <c r="S800">
        <v>0.00040913586852197898</v>
      </c>
      <c r="T800">
        <v>0.00085966940958310558</v>
      </c>
      <c r="U800" t="s">
        <v>137</v>
      </c>
      <c r="V800">
        <v>0.014606033657965384</v>
      </c>
      <c r="W800">
        <v>0.43237181456946611</v>
      </c>
      <c r="X800" t="s">
        <v>138</v>
      </c>
      <c r="Y800">
        <v>0.025942308874167964</v>
      </c>
      <c r="Z800">
        <v>0</v>
      </c>
      <c r="AA800" t="s">
        <v>139</v>
      </c>
      <c r="AB800">
        <v>0.051884617748335929</v>
      </c>
      <c r="AC800">
        <v>0.51019874119196995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Q800" t="s">
        <v>140</v>
      </c>
      <c r="AR800" t="s">
        <v>141</v>
      </c>
      <c r="AS800">
        <v>0.41731524737043957</v>
      </c>
    </row>
    <row r="801" spans="1:45" ht="12.75">
      <c r="A801" s="2" t="str">
        <f>HYPERLINK("https://ibp.a2mac1.com/costing(costing:projects/details/8191/material/5320140)","PA6-GF30")</f>
        <v>PA6-GF30</v>
      </c>
      <c r="B801">
        <v>5320140</v>
      </c>
      <c r="C801">
        <v>6975737</v>
      </c>
      <c r="E801">
        <v>2.1428600000000002</v>
      </c>
      <c r="F801" t="s">
        <v>4740</v>
      </c>
      <c r="G801">
        <v>98.039199999999994</v>
      </c>
      <c r="H801" t="s">
        <v>4741</v>
      </c>
      <c r="I801">
        <v>5</v>
      </c>
      <c r="J801">
        <v>0.20557651238448796</v>
      </c>
      <c r="K801">
        <v>0</v>
      </c>
      <c r="M801">
        <v>0</v>
      </c>
      <c r="O801">
        <v>200000</v>
      </c>
      <c r="R801" t="s">
        <v>136</v>
      </c>
      <c r="S801">
        <v>0.00016928732137349141</v>
      </c>
      <c r="T801">
        <v>0.00035570367404058785</v>
      </c>
      <c r="U801" t="s">
        <v>137</v>
      </c>
      <c r="V801">
        <v>0.0060435090249614442</v>
      </c>
      <c r="W801">
        <v>0.17890161180509837</v>
      </c>
      <c r="X801" t="s">
        <v>138</v>
      </c>
      <c r="Y801">
        <v>0.010734096708305902</v>
      </c>
      <c r="Z801">
        <v>0</v>
      </c>
      <c r="AA801" t="s">
        <v>139</v>
      </c>
      <c r="AB801">
        <v>0.021468193416611804</v>
      </c>
      <c r="AC801">
        <v>0.21110390193001607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Q801" t="s">
        <v>140</v>
      </c>
      <c r="AR801" t="s">
        <v>141</v>
      </c>
      <c r="AS801">
        <v>0.17267168642746983</v>
      </c>
    </row>
    <row r="802" spans="1:45" ht="12.75">
      <c r="A802" s="2" t="str">
        <f>HYPERLINK("https://ibp.a2mac1.com/costing(costing:projects/details/8191/material/5320141)","PC-ABS")</f>
        <v>PC-ABS</v>
      </c>
      <c r="B802">
        <v>5320141</v>
      </c>
      <c r="C802">
        <v>6975739</v>
      </c>
      <c r="E802">
        <v>2.29312</v>
      </c>
      <c r="F802" t="s">
        <v>3360</v>
      </c>
      <c r="G802">
        <v>95</v>
      </c>
      <c r="H802" t="s">
        <v>3361</v>
      </c>
      <c r="I802">
        <v>5</v>
      </c>
      <c r="J802">
        <v>0.50345253019720215</v>
      </c>
      <c r="K802">
        <v>0</v>
      </c>
      <c r="M802">
        <v>0</v>
      </c>
      <c r="O802">
        <v>200000</v>
      </c>
      <c r="R802" t="s">
        <v>136</v>
      </c>
      <c r="S802">
        <v>0.00017500126315789474</v>
      </c>
      <c r="T802">
        <v>0.00035420255663157896</v>
      </c>
      <c r="U802" t="s">
        <v>137</v>
      </c>
      <c r="V802">
        <v>0.0024500176842105264</v>
      </c>
      <c r="W802">
        <v>0.072629724240842103</v>
      </c>
      <c r="X802" t="s">
        <v>138</v>
      </c>
      <c r="Y802">
        <v>0.0043577834544505263</v>
      </c>
      <c r="Z802">
        <v>0</v>
      </c>
      <c r="AA802" t="s">
        <v>139</v>
      </c>
      <c r="AB802">
        <v>0.0087155669089010526</v>
      </c>
      <c r="AC802">
        <v>0.085703074604193685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Q802" t="s">
        <v>140</v>
      </c>
      <c r="AR802" t="s">
        <v>141</v>
      </c>
      <c r="AS802">
        <v>0.070000505263157889</v>
      </c>
    </row>
    <row r="803" spans="1:45" ht="12.75">
      <c r="A803" s="2" t="str">
        <f>HYPERLINK("https://ibp.a2mac1.com/costing(costing:projects/details/8191/material/5320142)","PPH")</f>
        <v>PPH</v>
      </c>
      <c r="B803">
        <v>5320142</v>
      </c>
      <c r="C803">
        <v>6975740</v>
      </c>
      <c r="E803">
        <v>2.2282199999999999</v>
      </c>
      <c r="F803" t="s">
        <v>3132</v>
      </c>
      <c r="G803">
        <v>95</v>
      </c>
      <c r="H803" t="s">
        <v>3133</v>
      </c>
      <c r="I803">
        <v>0</v>
      </c>
      <c r="J803">
        <v>0.50345253019720215</v>
      </c>
      <c r="K803">
        <v>0</v>
      </c>
      <c r="M803">
        <v>0</v>
      </c>
      <c r="O803">
        <v>200000</v>
      </c>
      <c r="R803" t="s">
        <v>136</v>
      </c>
      <c r="S803">
        <v>0</v>
      </c>
      <c r="T803">
        <v>2.3736406736842104E-05</v>
      </c>
      <c r="U803" t="s">
        <v>137</v>
      </c>
      <c r="V803">
        <v>0.00016418463157894737</v>
      </c>
      <c r="W803">
        <v>0.0048789105119999999</v>
      </c>
      <c r="X803" t="s">
        <v>138</v>
      </c>
      <c r="Y803">
        <v>0.00029273463072</v>
      </c>
      <c r="Z803">
        <v>0</v>
      </c>
      <c r="AA803" t="s">
        <v>139</v>
      </c>
      <c r="AB803">
        <v>0.00058546926143999999</v>
      </c>
      <c r="AC803">
        <v>0.0057571144041600004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Q803" t="s">
        <v>9</v>
      </c>
      <c r="AR803" t="s">
        <v>141</v>
      </c>
      <c r="AS803">
        <v>0.0046909894736842104</v>
      </c>
    </row>
    <row r="804" spans="1:45" ht="12.75">
      <c r="A804" s="2" t="str">
        <f>HYPERLINK("https://ibp.a2mac1.com/costing(costing:projects/details/8191/material/5319920)","Standard Structural Steel sheet")</f>
        <v>Standard Structural Steel sheet</v>
      </c>
      <c r="B804">
        <v>5319920</v>
      </c>
      <c r="C804">
        <v>6975498</v>
      </c>
      <c r="E804">
        <v>0.61129999999999995</v>
      </c>
      <c r="F804" t="s">
        <v>3377</v>
      </c>
      <c r="G804">
        <v>70</v>
      </c>
      <c r="H804" t="s">
        <v>4769</v>
      </c>
      <c r="I804">
        <v>30</v>
      </c>
      <c r="J804">
        <v>0.70499453877469964</v>
      </c>
      <c r="K804">
        <v>0</v>
      </c>
      <c r="M804">
        <v>0</v>
      </c>
      <c r="O804">
        <v>200000</v>
      </c>
      <c r="R804" t="s">
        <v>136</v>
      </c>
      <c r="S804">
        <v>0.0078595714285714293</v>
      </c>
      <c r="T804">
        <v>0.0006200328571428572</v>
      </c>
      <c r="U804" t="s">
        <v>137</v>
      </c>
      <c r="V804">
        <v>0.0030565000000000002</v>
      </c>
      <c r="W804">
        <v>0.083145532857142851</v>
      </c>
      <c r="X804" t="s">
        <v>138</v>
      </c>
      <c r="Y804">
        <v>0.0049887319714285719</v>
      </c>
      <c r="Z804">
        <v>0</v>
      </c>
      <c r="AA804" t="s">
        <v>139</v>
      </c>
      <c r="AB804">
        <v>0.0099774639428571437</v>
      </c>
      <c r="AC804">
        <v>0.098111728771428569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Q804" t="s">
        <v>140</v>
      </c>
      <c r="AR804" t="s">
        <v>141</v>
      </c>
      <c r="AS804">
        <v>0.087328571428571422</v>
      </c>
    </row>
    <row r="805" spans="1:45" ht="12.75">
      <c r="A805" s="2" t="str">
        <f>HYPERLINK("https://ibp.a2mac1.com/costing(costing:projects/details/8191/material/5320143)","Material")</f>
        <v>Material</v>
      </c>
      <c r="B805">
        <v>5320143</v>
      </c>
      <c r="C805">
        <v>6975741</v>
      </c>
      <c r="E805">
        <v>6.2930900000000003</v>
      </c>
      <c r="F805" t="s">
        <v>296</v>
      </c>
      <c r="G805">
        <v>100</v>
      </c>
      <c r="H805" t="s">
        <v>296</v>
      </c>
      <c r="I805">
        <v>0</v>
      </c>
      <c r="J805">
        <v>0</v>
      </c>
      <c r="K805">
        <v>0</v>
      </c>
      <c r="L805">
        <v>0</v>
      </c>
      <c r="M805">
        <v>0</v>
      </c>
      <c r="O805">
        <v>200000</v>
      </c>
      <c r="R805" t="s">
        <v>136</v>
      </c>
      <c r="S805">
        <v>0</v>
      </c>
      <c r="T805">
        <v>0</v>
      </c>
      <c r="U805" t="s">
        <v>90</v>
      </c>
      <c r="V805">
        <v>0</v>
      </c>
      <c r="W805">
        <v>6.2930900000000003</v>
      </c>
      <c r="X805" t="s">
        <v>90</v>
      </c>
      <c r="Y805">
        <v>0</v>
      </c>
      <c r="Z805">
        <v>0</v>
      </c>
      <c r="AA805" t="s">
        <v>90</v>
      </c>
      <c r="AB805">
        <v>0</v>
      </c>
      <c r="AC805">
        <v>6.2930900000000003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P805" t="s">
        <v>4319</v>
      </c>
      <c r="AQ805" t="s">
        <v>9</v>
      </c>
      <c r="AR805" t="s">
        <v>141</v>
      </c>
      <c r="AS805">
        <v>6.2930900000000003</v>
      </c>
    </row>
    <row r="806" spans="1:45" ht="12.75">
      <c r="A806" s="2" t="str">
        <f>HYPERLINK("https://ibp.a2mac1.com/costing(costing:projects/details/8191/material/5319925)","PA6")</f>
        <v>PA6</v>
      </c>
      <c r="B806">
        <v>5319925</v>
      </c>
      <c r="C806">
        <v>6975502</v>
      </c>
      <c r="E806">
        <v>1.72394</v>
      </c>
      <c r="F806" t="s">
        <v>5176</v>
      </c>
      <c r="G806">
        <v>95</v>
      </c>
      <c r="H806" t="s">
        <v>5177</v>
      </c>
      <c r="I806">
        <v>5</v>
      </c>
      <c r="J806">
        <v>0.50345253019720215</v>
      </c>
      <c r="K806">
        <v>0</v>
      </c>
      <c r="M806">
        <v>0</v>
      </c>
      <c r="O806">
        <v>200000</v>
      </c>
      <c r="R806" t="s">
        <v>136</v>
      </c>
      <c r="S806">
        <v>0.00090280015789473683</v>
      </c>
      <c r="T806">
        <v>0.0018272675195789474</v>
      </c>
      <c r="U806" t="s">
        <v>137</v>
      </c>
      <c r="V806">
        <v>0.012639202210526316</v>
      </c>
      <c r="W806">
        <v>0.37468373273010525</v>
      </c>
      <c r="X806" t="s">
        <v>138</v>
      </c>
      <c r="Y806">
        <v>0.022481023963806315</v>
      </c>
      <c r="Z806">
        <v>0</v>
      </c>
      <c r="AA806" t="s">
        <v>139</v>
      </c>
      <c r="AB806">
        <v>0.044962047927612631</v>
      </c>
      <c r="AC806">
        <v>0.44212680462152421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Q806" t="s">
        <v>140</v>
      </c>
      <c r="AR806" t="s">
        <v>141</v>
      </c>
      <c r="AS806">
        <v>0.36112006315789474</v>
      </c>
    </row>
    <row r="807" spans="1:45" ht="12.75">
      <c r="A807" s="2" t="str">
        <f>HYPERLINK("https://ibp.a2mac1.com/costing(costing:projects/details/8191/material/5319926)","PP")</f>
        <v>PP</v>
      </c>
      <c r="B807">
        <v>5319926</v>
      </c>
      <c r="C807">
        <v>6975502</v>
      </c>
      <c r="E807">
        <v>1.0113799999999999</v>
      </c>
      <c r="F807" t="s">
        <v>5176</v>
      </c>
      <c r="G807">
        <v>95</v>
      </c>
      <c r="H807" t="s">
        <v>5177</v>
      </c>
      <c r="I807">
        <v>5</v>
      </c>
      <c r="J807">
        <v>0.50345253019720215</v>
      </c>
      <c r="K807">
        <v>0</v>
      </c>
      <c r="M807">
        <v>0</v>
      </c>
      <c r="O807">
        <v>200000</v>
      </c>
      <c r="R807" t="s">
        <v>136</v>
      </c>
      <c r="S807">
        <v>0.00052964373684210523</v>
      </c>
      <c r="T807">
        <v>0.001071998923368421</v>
      </c>
      <c r="U807" t="s">
        <v>137</v>
      </c>
      <c r="V807">
        <v>0.0074150123157894739</v>
      </c>
      <c r="W807">
        <v>0.21981486223915789</v>
      </c>
      <c r="X807" t="s">
        <v>138</v>
      </c>
      <c r="Y807">
        <v>0.013188891734349473</v>
      </c>
      <c r="Z807">
        <v>0</v>
      </c>
      <c r="AA807" t="s">
        <v>139</v>
      </c>
      <c r="AB807">
        <v>0.026377783468698946</v>
      </c>
      <c r="AC807">
        <v>0.25938153744220632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Q807" t="s">
        <v>140</v>
      </c>
      <c r="AR807" t="s">
        <v>141</v>
      </c>
      <c r="AS807">
        <v>0.21185749473684209</v>
      </c>
    </row>
    <row r="808" spans="1:45" ht="12.75">
      <c r="A808" s="2" t="str">
        <f>HYPERLINK("https://ibp.a2mac1.com/costing(costing:projects/details/8191/material/5319927)","Glass (default, float glass)")</f>
        <v>Glass (default, float glass)</v>
      </c>
      <c r="B808">
        <v>5319927</v>
      </c>
      <c r="C808">
        <v>6975502</v>
      </c>
      <c r="E808">
        <v>0.76</v>
      </c>
      <c r="F808" t="s">
        <v>5176</v>
      </c>
      <c r="G808">
        <v>95</v>
      </c>
      <c r="H808" t="s">
        <v>5177</v>
      </c>
      <c r="I808">
        <v>0</v>
      </c>
      <c r="J808">
        <v>0.50345253019720215</v>
      </c>
      <c r="K808">
        <v>0</v>
      </c>
      <c r="M808">
        <v>0</v>
      </c>
      <c r="O808">
        <v>200000</v>
      </c>
      <c r="R808" t="s">
        <v>136</v>
      </c>
      <c r="S808">
        <v>0</v>
      </c>
      <c r="T808">
        <v>0.00080555199999999996</v>
      </c>
      <c r="U808" t="s">
        <v>137</v>
      </c>
      <c r="V808">
        <v>0.0055719999999999997</v>
      </c>
      <c r="W808">
        <v>0.16557755199999999</v>
      </c>
      <c r="X808" t="s">
        <v>138</v>
      </c>
      <c r="Y808">
        <v>0.0099346531199999994</v>
      </c>
      <c r="Z808">
        <v>0</v>
      </c>
      <c r="AA808" t="s">
        <v>139</v>
      </c>
      <c r="AB808">
        <v>0.019869306239999999</v>
      </c>
      <c r="AC808">
        <v>0.19538151136000001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Q808" t="s">
        <v>140</v>
      </c>
      <c r="AR808" t="s">
        <v>141</v>
      </c>
      <c r="AS808">
        <v>0.15920000000000001</v>
      </c>
    </row>
    <row r="809" spans="1:45" ht="12.75">
      <c r="A809" s="2" t="str">
        <f>HYPERLINK("https://ibp.a2mac1.com/costing(costing:projects/details/8191/material/5320144)","EPDM")</f>
        <v>EPDM</v>
      </c>
      <c r="B809">
        <v>5320144</v>
      </c>
      <c r="C809">
        <v>6975743</v>
      </c>
      <c r="E809">
        <v>2.78701</v>
      </c>
      <c r="F809" t="s">
        <v>5190</v>
      </c>
      <c r="G809">
        <v>95</v>
      </c>
      <c r="H809" t="s">
        <v>5191</v>
      </c>
      <c r="I809">
        <v>5</v>
      </c>
      <c r="J809">
        <v>0.20557651238448796</v>
      </c>
      <c r="K809">
        <v>0</v>
      </c>
      <c r="L809">
        <v>0</v>
      </c>
      <c r="M809">
        <v>0</v>
      </c>
      <c r="O809">
        <v>200000</v>
      </c>
      <c r="R809" t="s">
        <v>136</v>
      </c>
      <c r="S809">
        <v>0.0077860258315789474</v>
      </c>
      <c r="T809">
        <v>0.0064156852852210525</v>
      </c>
      <c r="U809" t="s">
        <v>137</v>
      </c>
      <c r="V809">
        <v>0.10900436164210527</v>
      </c>
      <c r="W809">
        <v>3.2220443537273264</v>
      </c>
      <c r="X809" t="s">
        <v>138</v>
      </c>
      <c r="Y809">
        <v>0.19332266122363959</v>
      </c>
      <c r="Z809">
        <v>0</v>
      </c>
      <c r="AA809" t="s">
        <v>139</v>
      </c>
      <c r="AB809">
        <v>0.38664532244727917</v>
      </c>
      <c r="AC809">
        <v>3.8020123373982448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P809" t="s">
        <v>4818</v>
      </c>
      <c r="AQ809" t="s">
        <v>140</v>
      </c>
      <c r="AR809" t="s">
        <v>141</v>
      </c>
      <c r="AS809">
        <v>3.1144103326315791</v>
      </c>
    </row>
    <row r="810" spans="1:45" ht="12.75">
      <c r="A810" s="2" t="str">
        <f>HYPERLINK("https://ibp.a2mac1.com/costing(costing:projects/details/8191/material/5320145)","Standard Structural Steel sheet")</f>
        <v>Standard Structural Steel sheet</v>
      </c>
      <c r="B810">
        <v>5320145</v>
      </c>
      <c r="C810">
        <v>6975743</v>
      </c>
      <c r="E810">
        <v>0.61129999999999995</v>
      </c>
      <c r="F810" t="s">
        <v>5193</v>
      </c>
      <c r="G810">
        <v>95</v>
      </c>
      <c r="H810" t="s">
        <v>5194</v>
      </c>
      <c r="I810">
        <v>30</v>
      </c>
      <c r="J810">
        <v>0.20557651238448796</v>
      </c>
      <c r="K810">
        <v>0</v>
      </c>
      <c r="L810">
        <v>0</v>
      </c>
      <c r="M810">
        <v>0</v>
      </c>
      <c r="O810">
        <v>200000</v>
      </c>
      <c r="R810" t="s">
        <v>136</v>
      </c>
      <c r="S810">
        <v>0.0025616687368421051</v>
      </c>
      <c r="T810">
        <v>0.00035180250652631581</v>
      </c>
      <c r="U810" t="s">
        <v>137</v>
      </c>
      <c r="V810">
        <v>0.0059772270526315787</v>
      </c>
      <c r="W810">
        <v>0.17454527661178948</v>
      </c>
      <c r="X810" t="s">
        <v>138</v>
      </c>
      <c r="Y810">
        <v>0.010472716596707369</v>
      </c>
      <c r="Z810">
        <v>0</v>
      </c>
      <c r="AA810" t="s">
        <v>139</v>
      </c>
      <c r="AB810">
        <v>0.020945433193414738</v>
      </c>
      <c r="AC810">
        <v>0.20596342640191159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Q810" t="s">
        <v>140</v>
      </c>
      <c r="AR810" t="s">
        <v>141</v>
      </c>
      <c r="AS810">
        <v>0.17077791578947368</v>
      </c>
    </row>
    <row r="811" spans="1:45" ht="12.75">
      <c r="A811" s="2" t="str">
        <f>HYPERLINK("https://ibp.a2mac1.com/costing(costing:projects/details/8191/material/5320146)","EPDM")</f>
        <v>EPDM</v>
      </c>
      <c r="B811">
        <v>5320146</v>
      </c>
      <c r="C811">
        <v>6975745</v>
      </c>
      <c r="E811">
        <v>2.78701</v>
      </c>
      <c r="F811" t="s">
        <v>5198</v>
      </c>
      <c r="G811">
        <v>95</v>
      </c>
      <c r="H811" t="s">
        <v>5199</v>
      </c>
      <c r="I811">
        <v>5</v>
      </c>
      <c r="J811">
        <v>0.20557651238448796</v>
      </c>
      <c r="K811">
        <v>0</v>
      </c>
      <c r="L811">
        <v>0</v>
      </c>
      <c r="M811">
        <v>0</v>
      </c>
      <c r="O811">
        <v>200000</v>
      </c>
      <c r="R811" t="s">
        <v>136</v>
      </c>
      <c r="S811">
        <v>0.0022648123368421052</v>
      </c>
      <c r="T811">
        <v>0.0018662053655578948</v>
      </c>
      <c r="U811" t="s">
        <v>137</v>
      </c>
      <c r="V811">
        <v>0.031707372715789474</v>
      </c>
      <c r="W811">
        <v>0.93723370048134735</v>
      </c>
      <c r="X811" t="s">
        <v>138</v>
      </c>
      <c r="Y811">
        <v>0.056234022028880844</v>
      </c>
      <c r="Z811">
        <v>0</v>
      </c>
      <c r="AA811" t="s">
        <v>139</v>
      </c>
      <c r="AB811">
        <v>0.11246804405776169</v>
      </c>
      <c r="AC811">
        <v>1.1059357665679899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P811" t="s">
        <v>4818</v>
      </c>
      <c r="AQ811" t="s">
        <v>140</v>
      </c>
      <c r="AR811" t="s">
        <v>141</v>
      </c>
      <c r="AS811">
        <v>0.9059249347368421</v>
      </c>
    </row>
    <row r="812" spans="1:45" ht="12.75">
      <c r="A812" s="2" t="str">
        <f>HYPERLINK("https://ibp.a2mac1.com/costing(costing:projects/details/8191/material/5320147)","Standard Structural Steel sheet")</f>
        <v>Standard Structural Steel sheet</v>
      </c>
      <c r="B812">
        <v>5320147</v>
      </c>
      <c r="C812">
        <v>6975745</v>
      </c>
      <c r="E812">
        <v>0.61129999999999995</v>
      </c>
      <c r="F812" t="s">
        <v>5201</v>
      </c>
      <c r="G812">
        <v>95</v>
      </c>
      <c r="H812" t="s">
        <v>5202</v>
      </c>
      <c r="I812">
        <v>30</v>
      </c>
      <c r="J812">
        <v>0.20557651238448796</v>
      </c>
      <c r="K812">
        <v>0</v>
      </c>
      <c r="L812">
        <v>0</v>
      </c>
      <c r="M812">
        <v>0</v>
      </c>
      <c r="O812">
        <v>200000</v>
      </c>
      <c r="R812" t="s">
        <v>136</v>
      </c>
      <c r="S812">
        <v>0.00074514252631578952</v>
      </c>
      <c r="T812">
        <v>0.00010233290694736843</v>
      </c>
      <c r="U812" t="s">
        <v>137</v>
      </c>
      <c r="V812">
        <v>0.001738665894736842</v>
      </c>
      <c r="W812">
        <v>0.050772024696421052</v>
      </c>
      <c r="X812" t="s">
        <v>138</v>
      </c>
      <c r="Y812">
        <v>0.003046321481785263</v>
      </c>
      <c r="Z812">
        <v>0</v>
      </c>
      <c r="AA812" t="s">
        <v>139</v>
      </c>
      <c r="AB812">
        <v>0.006092642963570526</v>
      </c>
      <c r="AC812">
        <v>0.059910989141776845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Q812" t="s">
        <v>140</v>
      </c>
      <c r="AR812" t="s">
        <v>141</v>
      </c>
      <c r="AS812">
        <v>0.04967616842105263</v>
      </c>
    </row>
    <row r="813" spans="1:45" ht="12.75">
      <c r="A813" s="2" t="str">
        <f>HYPERLINK("https://ibp.a2mac1.com/costing(costing:projects/details/8191/material/5319928)","EPDM")</f>
        <v>EPDM</v>
      </c>
      <c r="B813">
        <v>5319928</v>
      </c>
      <c r="C813">
        <v>6975503</v>
      </c>
      <c r="E813">
        <v>2.78701</v>
      </c>
      <c r="F813" t="s">
        <v>2616</v>
      </c>
      <c r="G813">
        <v>95</v>
      </c>
      <c r="H813" t="s">
        <v>2617</v>
      </c>
      <c r="I813">
        <v>5</v>
      </c>
      <c r="J813">
        <v>0.10389195236953569</v>
      </c>
      <c r="K813">
        <v>0</v>
      </c>
      <c r="L813">
        <v>0</v>
      </c>
      <c r="M813">
        <v>0</v>
      </c>
      <c r="O813">
        <v>200000</v>
      </c>
      <c r="R813" t="s">
        <v>136</v>
      </c>
      <c r="S813">
        <v>0.0036671184210526316</v>
      </c>
      <c r="T813">
        <v>0.0015255212631578947</v>
      </c>
      <c r="U813" t="s">
        <v>137</v>
      </c>
      <c r="V813">
        <v>0.051339657894736844</v>
      </c>
      <c r="W813">
        <v>1.5160454291578946</v>
      </c>
      <c r="X813" t="s">
        <v>138</v>
      </c>
      <c r="Y813">
        <v>0.090962725749473686</v>
      </c>
      <c r="Z813">
        <v>0</v>
      </c>
      <c r="AA813" t="s">
        <v>139</v>
      </c>
      <c r="AB813">
        <v>0.18192545149894737</v>
      </c>
      <c r="AC813">
        <v>1.7889336064063157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P813" t="s">
        <v>4818</v>
      </c>
      <c r="AQ813" t="s">
        <v>140</v>
      </c>
      <c r="AR813" t="s">
        <v>141</v>
      </c>
      <c r="AS813">
        <v>1.4668473684210526</v>
      </c>
    </row>
    <row r="814" spans="1:45" ht="12.75">
      <c r="A814" s="2" t="str">
        <f>HYPERLINK("https://ibp.a2mac1.com/costing(costing:projects/details/8191/material/5319929)","Aluminum for extrusion (default, e.g. EN-AW6016)")</f>
        <v>Aluminum for extrusion (default, e.g. EN-AW6016)</v>
      </c>
      <c r="B814">
        <v>5319929</v>
      </c>
      <c r="C814">
        <v>6975503</v>
      </c>
      <c r="E814">
        <v>2.3603000000000001</v>
      </c>
      <c r="F814" t="s">
        <v>3070</v>
      </c>
      <c r="G814">
        <v>100</v>
      </c>
      <c r="H814" t="s">
        <v>5208</v>
      </c>
      <c r="I814">
        <v>30</v>
      </c>
      <c r="J814">
        <v>0.10389195236953569</v>
      </c>
      <c r="K814">
        <v>0</v>
      </c>
      <c r="L814">
        <v>0</v>
      </c>
      <c r="M814">
        <v>0</v>
      </c>
      <c r="O814">
        <v>200000</v>
      </c>
      <c r="R814" t="s">
        <v>136</v>
      </c>
      <c r="S814">
        <v>0</v>
      </c>
      <c r="T814">
        <v>0.000316657848</v>
      </c>
      <c r="U814" t="s">
        <v>137</v>
      </c>
      <c r="V814">
        <v>0.010656754500000001</v>
      </c>
      <c r="W814">
        <v>0.31545211234800002</v>
      </c>
      <c r="X814" t="s">
        <v>138</v>
      </c>
      <c r="Y814">
        <v>0.018927126740879999</v>
      </c>
      <c r="Z814">
        <v>0</v>
      </c>
      <c r="AA814" t="s">
        <v>139</v>
      </c>
      <c r="AB814">
        <v>0.037854253481759997</v>
      </c>
      <c r="AC814">
        <v>0.37223349257063998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Q814" t="s">
        <v>140</v>
      </c>
      <c r="AR814" t="s">
        <v>141</v>
      </c>
      <c r="AS814">
        <v>0.30447869999999999</v>
      </c>
    </row>
    <row r="815" spans="1:45" ht="12.75">
      <c r="A815" s="2" t="str">
        <f>HYPERLINK("https://ibp.a2mac1.com/costing(costing:projects/details/8191/material/5319930)","PP-EPDM")</f>
        <v>PP-EPDM</v>
      </c>
      <c r="B815">
        <v>5319930</v>
      </c>
      <c r="C815">
        <v>6975504</v>
      </c>
      <c r="E815">
        <v>1.7894600000000001</v>
      </c>
      <c r="F815" t="s">
        <v>4836</v>
      </c>
      <c r="G815">
        <v>95</v>
      </c>
      <c r="H815" t="s">
        <v>4837</v>
      </c>
      <c r="I815">
        <v>5</v>
      </c>
      <c r="J815">
        <v>0.10389195236953569</v>
      </c>
      <c r="K815">
        <v>0</v>
      </c>
      <c r="L815">
        <v>0</v>
      </c>
      <c r="M815">
        <v>0</v>
      </c>
      <c r="O815">
        <v>200000</v>
      </c>
      <c r="R815" t="s">
        <v>136</v>
      </c>
      <c r="S815">
        <v>0.00082409342105263159</v>
      </c>
      <c r="T815">
        <v>0.00034282286315789472</v>
      </c>
      <c r="U815" t="s">
        <v>137</v>
      </c>
      <c r="V815">
        <v>0.011537307894736842</v>
      </c>
      <c r="W815">
        <v>0.34069340575789475</v>
      </c>
      <c r="X815" t="s">
        <v>138</v>
      </c>
      <c r="Y815">
        <v>0.020441604345473683</v>
      </c>
      <c r="Z815">
        <v>0</v>
      </c>
      <c r="AA815" t="s">
        <v>139</v>
      </c>
      <c r="AB815">
        <v>0.040883208690947366</v>
      </c>
      <c r="AC815">
        <v>0.40201821879431576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Q815" t="s">
        <v>140</v>
      </c>
      <c r="AR815" t="s">
        <v>141</v>
      </c>
      <c r="AS815">
        <v>0.32963736842105262</v>
      </c>
    </row>
    <row r="816" spans="1:45" ht="12.75">
      <c r="A816" s="2" t="str">
        <f>HYPERLINK("https://ibp.a2mac1.com/costing(costing:projects/details/8191/material/5319931)","EPDM")</f>
        <v>EPDM</v>
      </c>
      <c r="B816">
        <v>5319931</v>
      </c>
      <c r="C816">
        <v>6975505</v>
      </c>
      <c r="E816">
        <v>2.78701</v>
      </c>
      <c r="F816" t="s">
        <v>3274</v>
      </c>
      <c r="G816">
        <v>95</v>
      </c>
      <c r="H816" t="s">
        <v>4843</v>
      </c>
      <c r="I816">
        <v>5</v>
      </c>
      <c r="J816">
        <v>0.10389195236953569</v>
      </c>
      <c r="K816">
        <v>0</v>
      </c>
      <c r="L816">
        <v>0</v>
      </c>
      <c r="M816">
        <v>0</v>
      </c>
      <c r="O816">
        <v>200000</v>
      </c>
      <c r="R816" t="s">
        <v>136</v>
      </c>
      <c r="S816">
        <v>0.0014668473684210526</v>
      </c>
      <c r="T816">
        <v>0.00061020850526315791</v>
      </c>
      <c r="U816" t="s">
        <v>137</v>
      </c>
      <c r="V816">
        <v>0.020535863157894737</v>
      </c>
      <c r="W816">
        <v>0.60641817166315792</v>
      </c>
      <c r="X816" t="s">
        <v>138</v>
      </c>
      <c r="Y816">
        <v>0.036385090299789473</v>
      </c>
      <c r="Z816">
        <v>0</v>
      </c>
      <c r="AA816" t="s">
        <v>139</v>
      </c>
      <c r="AB816">
        <v>0.072770180599578946</v>
      </c>
      <c r="AC816">
        <v>0.71557344256252631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P816" t="s">
        <v>4818</v>
      </c>
      <c r="AQ816" t="s">
        <v>140</v>
      </c>
      <c r="AR816" t="s">
        <v>141</v>
      </c>
      <c r="AS816">
        <v>0.58673894736842103</v>
      </c>
    </row>
    <row r="817" spans="1:45" ht="12.75">
      <c r="A817" s="2" t="str">
        <f>HYPERLINK("https://ibp.a2mac1.com/costing(costing:projects/details/8191/material/5319932)","Aluminum for extrusion (default, e.g. EN-AW6016)")</f>
        <v>Aluminum for extrusion (default, e.g. EN-AW6016)</v>
      </c>
      <c r="B817">
        <v>5319932</v>
      </c>
      <c r="C817">
        <v>6975505</v>
      </c>
      <c r="E817">
        <v>2.3603000000000001</v>
      </c>
      <c r="F817" t="s">
        <v>1783</v>
      </c>
      <c r="G817">
        <v>100</v>
      </c>
      <c r="H817" t="s">
        <v>4845</v>
      </c>
      <c r="I817">
        <v>30</v>
      </c>
      <c r="J817">
        <v>0.10389195236953569</v>
      </c>
      <c r="K817">
        <v>0</v>
      </c>
      <c r="L817">
        <v>0</v>
      </c>
      <c r="M817">
        <v>0</v>
      </c>
      <c r="O817">
        <v>200000</v>
      </c>
      <c r="R817" t="s">
        <v>136</v>
      </c>
      <c r="S817">
        <v>0</v>
      </c>
      <c r="T817">
        <v>0.00017919397599999999</v>
      </c>
      <c r="U817" t="s">
        <v>137</v>
      </c>
      <c r="V817">
        <v>0.0060305665</v>
      </c>
      <c r="W817">
        <v>0.17851166047600001</v>
      </c>
      <c r="X817" t="s">
        <v>138</v>
      </c>
      <c r="Y817">
        <v>0.01071069962856</v>
      </c>
      <c r="Z817">
        <v>0</v>
      </c>
      <c r="AA817" t="s">
        <v>139</v>
      </c>
      <c r="AB817">
        <v>0.02142139925712</v>
      </c>
      <c r="AC817">
        <v>0.21064375936168001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Q817" t="s">
        <v>140</v>
      </c>
      <c r="AR817" t="s">
        <v>141</v>
      </c>
      <c r="AS817">
        <v>0.17230190000000001</v>
      </c>
    </row>
    <row r="818" spans="1:45" ht="12.75">
      <c r="A818" s="2" t="str">
        <f>HYPERLINK("https://ibp.a2mac1.com/costing(costing:projects/details/8191/material/5320299)","Standard Structural Steel sheet")</f>
        <v>Standard Structural Steel sheet</v>
      </c>
      <c r="B818">
        <v>5320299</v>
      </c>
      <c r="C818">
        <v>6975844</v>
      </c>
      <c r="E818">
        <v>0.61129999999999995</v>
      </c>
      <c r="F818" t="s">
        <v>5221</v>
      </c>
      <c r="G818">
        <v>80</v>
      </c>
      <c r="H818" t="s">
        <v>5222</v>
      </c>
      <c r="I818">
        <v>30</v>
      </c>
      <c r="J818">
        <v>0.10389195236953569</v>
      </c>
      <c r="K818">
        <v>0</v>
      </c>
      <c r="L818">
        <v>0</v>
      </c>
      <c r="M818">
        <v>0</v>
      </c>
      <c r="O818">
        <v>200000</v>
      </c>
      <c r="R818" t="s">
        <v>136</v>
      </c>
      <c r="S818">
        <v>0.0090319574999999999</v>
      </c>
      <c r="T818">
        <v>0.00015655393</v>
      </c>
      <c r="U818" t="s">
        <v>137</v>
      </c>
      <c r="V818">
        <v>0.0052686418749999997</v>
      </c>
      <c r="W818">
        <v>0.14692586330499999</v>
      </c>
      <c r="X818" t="s">
        <v>90</v>
      </c>
      <c r="Y818">
        <v>0</v>
      </c>
      <c r="Z818">
        <v>0</v>
      </c>
      <c r="AA818" t="s">
        <v>90</v>
      </c>
      <c r="AB818">
        <v>0</v>
      </c>
      <c r="AC818">
        <v>0.14692586330499999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Q818" t="s">
        <v>140</v>
      </c>
      <c r="AR818" t="s">
        <v>141</v>
      </c>
      <c r="AS818">
        <v>0.150532625</v>
      </c>
    </row>
    <row r="819" spans="1:45" ht="12.75">
      <c r="A819" s="2" t="str">
        <f>HYPERLINK("https://ibp.a2mac1.com/costing(costing:projects/details/8191/material/5320300)","Standard Structural Steel sheet")</f>
        <v>Standard Structural Steel sheet</v>
      </c>
      <c r="B819">
        <v>5320300</v>
      </c>
      <c r="C819">
        <v>6975845</v>
      </c>
      <c r="E819">
        <v>0.61129999999999995</v>
      </c>
      <c r="F819" t="s">
        <v>5227</v>
      </c>
      <c r="G819">
        <v>80</v>
      </c>
      <c r="H819" t="s">
        <v>2762</v>
      </c>
      <c r="I819">
        <v>30</v>
      </c>
      <c r="J819">
        <v>0.10389195236953569</v>
      </c>
      <c r="K819">
        <v>0</v>
      </c>
      <c r="L819">
        <v>0</v>
      </c>
      <c r="M819">
        <v>0</v>
      </c>
      <c r="O819">
        <v>200000</v>
      </c>
      <c r="R819" t="s">
        <v>136</v>
      </c>
      <c r="S819">
        <v>0.0055017</v>
      </c>
      <c r="T819">
        <v>9.5362800000000001E-05</v>
      </c>
      <c r="U819" t="s">
        <v>137</v>
      </c>
      <c r="V819">
        <v>0.0032093249999999999</v>
      </c>
      <c r="W819">
        <v>0.089497987799999998</v>
      </c>
      <c r="X819" t="s">
        <v>90</v>
      </c>
      <c r="Y819">
        <v>0</v>
      </c>
      <c r="Z819">
        <v>0</v>
      </c>
      <c r="AA819" t="s">
        <v>90</v>
      </c>
      <c r="AB819">
        <v>0</v>
      </c>
      <c r="AC819">
        <v>0.089497987799999998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Q819" t="s">
        <v>140</v>
      </c>
      <c r="AR819" t="s">
        <v>141</v>
      </c>
      <c r="AS819">
        <v>0.091694999999999999</v>
      </c>
    </row>
    <row r="820" spans="1:45" ht="12.75">
      <c r="A820" s="2" t="str">
        <f>HYPERLINK("https://ibp.a2mac1.com/costing(costing:projects/details/8191/material/5320301)","Standard Structural Steel sheet")</f>
        <v>Standard Structural Steel sheet</v>
      </c>
      <c r="B820">
        <v>5320301</v>
      </c>
      <c r="C820">
        <v>6975846</v>
      </c>
      <c r="E820">
        <v>0.61129999999999995</v>
      </c>
      <c r="F820" t="s">
        <v>3304</v>
      </c>
      <c r="G820">
        <v>80</v>
      </c>
      <c r="H820" t="s">
        <v>4860</v>
      </c>
      <c r="I820">
        <v>30</v>
      </c>
      <c r="J820">
        <v>0.10389195236953569</v>
      </c>
      <c r="K820">
        <v>0</v>
      </c>
      <c r="L820">
        <v>0</v>
      </c>
      <c r="M820">
        <v>0</v>
      </c>
      <c r="O820">
        <v>200000</v>
      </c>
      <c r="R820" t="s">
        <v>136</v>
      </c>
      <c r="S820">
        <v>0.0096279750000000004</v>
      </c>
      <c r="T820">
        <v>0.00016688489999999999</v>
      </c>
      <c r="U820" t="s">
        <v>137</v>
      </c>
      <c r="V820">
        <v>0.00561631875</v>
      </c>
      <c r="W820">
        <v>0.15662147865000001</v>
      </c>
      <c r="X820" t="s">
        <v>90</v>
      </c>
      <c r="Y820">
        <v>0</v>
      </c>
      <c r="Z820">
        <v>0</v>
      </c>
      <c r="AA820" t="s">
        <v>90</v>
      </c>
      <c r="AB820">
        <v>0</v>
      </c>
      <c r="AC820">
        <v>0.15662147865000001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Q820" t="s">
        <v>140</v>
      </c>
      <c r="AR820" t="s">
        <v>141</v>
      </c>
      <c r="AS820">
        <v>0.16046625</v>
      </c>
    </row>
    <row r="821" spans="1:45" ht="12.75">
      <c r="A821" s="2" t="str">
        <f>HYPERLINK("https://ibp.a2mac1.com/costing(costing:projects/details/8191/material/5320302)","Standard Structural Steel sheet")</f>
        <v>Standard Structural Steel sheet</v>
      </c>
      <c r="B821">
        <v>5320302</v>
      </c>
      <c r="C821">
        <v>6975847</v>
      </c>
      <c r="E821">
        <v>0.61129999999999995</v>
      </c>
      <c r="F821" t="s">
        <v>3377</v>
      </c>
      <c r="G821">
        <v>80</v>
      </c>
      <c r="H821" t="s">
        <v>5239</v>
      </c>
      <c r="I821">
        <v>30</v>
      </c>
      <c r="J821">
        <v>0.10389195236953569</v>
      </c>
      <c r="K821">
        <v>0</v>
      </c>
      <c r="L821">
        <v>0</v>
      </c>
      <c r="M821">
        <v>0</v>
      </c>
      <c r="O821">
        <v>200000</v>
      </c>
      <c r="R821" t="s">
        <v>136</v>
      </c>
      <c r="S821">
        <v>0.0045847500000000003</v>
      </c>
      <c r="T821">
        <v>7.9468999999999994E-05</v>
      </c>
      <c r="U821" t="s">
        <v>137</v>
      </c>
      <c r="V821">
        <v>0.0026744375000000002</v>
      </c>
      <c r="W821">
        <v>0.074581656499999996</v>
      </c>
      <c r="X821" t="s">
        <v>90</v>
      </c>
      <c r="Y821">
        <v>0</v>
      </c>
      <c r="Z821">
        <v>0</v>
      </c>
      <c r="AA821" t="s">
        <v>90</v>
      </c>
      <c r="AB821">
        <v>0</v>
      </c>
      <c r="AC821">
        <v>0.074581656499999996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Q821" t="s">
        <v>140</v>
      </c>
      <c r="AR821" t="s">
        <v>141</v>
      </c>
      <c r="AS821">
        <v>0.076412499999999994</v>
      </c>
    </row>
    <row r="822" spans="1:45" ht="12.75">
      <c r="A822" s="2" t="str">
        <f>HYPERLINK("https://ibp.a2mac1.com/costing(costing:projects/details/8191/material/5319944)","PP-TD20")</f>
        <v>PP-TD20</v>
      </c>
      <c r="B822">
        <v>5319944</v>
      </c>
      <c r="C822">
        <v>6975507</v>
      </c>
      <c r="E822">
        <v>1.1148100000000001</v>
      </c>
      <c r="F822" t="s">
        <v>5264</v>
      </c>
      <c r="G822">
        <v>98.039199999999994</v>
      </c>
      <c r="H822" t="s">
        <v>5265</v>
      </c>
      <c r="I822">
        <v>5</v>
      </c>
      <c r="J822">
        <v>0.20557651238448796</v>
      </c>
      <c r="K822">
        <v>0</v>
      </c>
      <c r="M822">
        <v>0</v>
      </c>
      <c r="O822">
        <v>200000</v>
      </c>
      <c r="R822" t="s">
        <v>136</v>
      </c>
      <c r="S822">
        <v>0.00050724268906723023</v>
      </c>
      <c r="T822">
        <v>0.0010658098117895698</v>
      </c>
      <c r="U822" t="s">
        <v>137</v>
      </c>
      <c r="V822">
        <v>0.018108419132347061</v>
      </c>
      <c r="W822">
        <v>0.53605039003641397</v>
      </c>
      <c r="X822" t="s">
        <v>138</v>
      </c>
      <c r="Y822">
        <v>0.03216302340218484</v>
      </c>
      <c r="Z822">
        <v>0</v>
      </c>
      <c r="AA822" t="s">
        <v>139</v>
      </c>
      <c r="AB822">
        <v>0.06432604680436968</v>
      </c>
      <c r="AC822">
        <v>0.63253946024296848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Q822" t="s">
        <v>140</v>
      </c>
      <c r="AR822" t="s">
        <v>141</v>
      </c>
      <c r="AS822">
        <v>0.51738340378134462</v>
      </c>
    </row>
    <row r="823" spans="1:45" ht="12.75">
      <c r="A823" s="2" t="str">
        <f>HYPERLINK("https://ibp.a2mac1.com/costing(costing:projects/details/8191/material/5319945)","PMMA")</f>
        <v>PMMA</v>
      </c>
      <c r="B823">
        <v>5319945</v>
      </c>
      <c r="C823">
        <v>6975509</v>
      </c>
      <c r="E823">
        <v>2.10</v>
      </c>
      <c r="F823" t="s">
        <v>5271</v>
      </c>
      <c r="G823">
        <v>98.039199999999994</v>
      </c>
      <c r="H823" t="s">
        <v>5272</v>
      </c>
      <c r="I823">
        <v>5</v>
      </c>
      <c r="J823">
        <v>0.20557651238448796</v>
      </c>
      <c r="K823">
        <v>0</v>
      </c>
      <c r="M823">
        <v>0</v>
      </c>
      <c r="O823">
        <v>200000</v>
      </c>
      <c r="R823" t="s">
        <v>136</v>
      </c>
      <c r="S823">
        <v>0.00040320329011252643</v>
      </c>
      <c r="T823">
        <v>0.00084720397555263611</v>
      </c>
      <c r="U823" t="s">
        <v>137</v>
      </c>
      <c r="V823">
        <v>0.014394242303078768</v>
      </c>
      <c r="W823">
        <v>0.42610230879076938</v>
      </c>
      <c r="X823" t="s">
        <v>138</v>
      </c>
      <c r="Y823">
        <v>0.025566138527446165</v>
      </c>
      <c r="Z823">
        <v>0</v>
      </c>
      <c r="AA823" t="s">
        <v>139</v>
      </c>
      <c r="AB823">
        <v>0.051132277054892331</v>
      </c>
      <c r="AC823">
        <v>0.50280072437310785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Q823" t="s">
        <v>140</v>
      </c>
      <c r="AR823" t="s">
        <v>141</v>
      </c>
      <c r="AS823">
        <v>0.41126406580225056</v>
      </c>
    </row>
    <row r="824" spans="1:45" ht="12.75">
      <c r="A824" s="2" t="str">
        <f>HYPERLINK("https://ibp.a2mac1.com/costing(costing:projects/details/8191/material/5319946)","PP-GF30")</f>
        <v>PP-GF30</v>
      </c>
      <c r="B824">
        <v>5319946</v>
      </c>
      <c r="C824">
        <v>6975511</v>
      </c>
      <c r="E824">
        <v>1.2710699999999999</v>
      </c>
      <c r="F824" t="s">
        <v>6071</v>
      </c>
      <c r="G824">
        <v>98.039199999999994</v>
      </c>
      <c r="H824" t="s">
        <v>6072</v>
      </c>
      <c r="I824">
        <v>30</v>
      </c>
      <c r="J824">
        <v>0.10389195236953569</v>
      </c>
      <c r="K824">
        <v>0</v>
      </c>
      <c r="M824">
        <v>0</v>
      </c>
      <c r="O824">
        <v>200000</v>
      </c>
      <c r="R824" t="s">
        <v>136</v>
      </c>
      <c r="S824">
        <v>0.018227292533517205</v>
      </c>
      <c r="T824">
        <v>0.0032225595394495261</v>
      </c>
      <c r="U824" t="s">
        <v>137</v>
      </c>
      <c r="V824">
        <v>0.10845152296224367</v>
      </c>
      <c r="W824">
        <v>3.1920617317465667</v>
      </c>
      <c r="X824" t="s">
        <v>138</v>
      </c>
      <c r="Y824">
        <v>0.19152370390479401</v>
      </c>
      <c r="Z824">
        <v>0</v>
      </c>
      <c r="AA824" t="s">
        <v>139</v>
      </c>
      <c r="AB824">
        <v>0.38304740780958801</v>
      </c>
      <c r="AC824">
        <v>3.7666328434609486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Q824" t="s">
        <v>140</v>
      </c>
      <c r="AR824" t="s">
        <v>141</v>
      </c>
      <c r="AS824">
        <v>3.0986149417783908</v>
      </c>
    </row>
    <row r="825" spans="1:45" ht="12.75">
      <c r="A825" s="2" t="str">
        <f>HYPERLINK("https://ibp.a2mac1.com/costing(costing:projects/details/8191/material/5319647)","Steel sheet (default)")</f>
        <v>Steel sheet (default)</v>
      </c>
      <c r="B825">
        <v>5319647</v>
      </c>
      <c r="C825">
        <v>6975305</v>
      </c>
      <c r="E825">
        <v>0.52766000000000002</v>
      </c>
      <c r="F825" t="s">
        <v>6077</v>
      </c>
      <c r="G825">
        <v>75</v>
      </c>
      <c r="H825" t="s">
        <v>6078</v>
      </c>
      <c r="I825">
        <v>30</v>
      </c>
      <c r="J825">
        <v>0.50048257265952256</v>
      </c>
      <c r="K825">
        <v>0</v>
      </c>
      <c r="L825">
        <v>0</v>
      </c>
      <c r="M825">
        <v>0</v>
      </c>
      <c r="O825">
        <v>400000</v>
      </c>
      <c r="R825" t="s">
        <v>136</v>
      </c>
      <c r="S825">
        <v>0.078568574000000002</v>
      </c>
      <c r="T825">
        <v>0.0052693323629333334</v>
      </c>
      <c r="U825" t="s">
        <v>137</v>
      </c>
      <c r="V825">
        <v>0.036665334533333337</v>
      </c>
      <c r="W825">
        <v>1.0109470795629334</v>
      </c>
      <c r="X825" t="s">
        <v>138</v>
      </c>
      <c r="Y825">
        <v>0.060656824773776</v>
      </c>
      <c r="Z825">
        <v>0</v>
      </c>
      <c r="AA825" t="s">
        <v>139</v>
      </c>
      <c r="AB825">
        <v>0.121313649547552</v>
      </c>
      <c r="AC825">
        <v>1.1929175538842614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Q825" t="s">
        <v>140</v>
      </c>
      <c r="AR825" t="s">
        <v>141</v>
      </c>
      <c r="AS825">
        <v>1.0475809866666668</v>
      </c>
    </row>
    <row r="826" spans="1:45" ht="12.75">
      <c r="A826" s="2" t="str">
        <f>HYPERLINK("https://ibp.a2mac1.com/costing(costing:projects/details/8191/material/5319648)","Steel sheet (default)")</f>
        <v>Steel sheet (default)</v>
      </c>
      <c r="B826">
        <v>5319648</v>
      </c>
      <c r="C826">
        <v>6975306</v>
      </c>
      <c r="E826">
        <v>0.52766000000000002</v>
      </c>
      <c r="F826" t="s">
        <v>6082</v>
      </c>
      <c r="G826">
        <v>100</v>
      </c>
      <c r="H826" t="s">
        <v>6083</v>
      </c>
      <c r="I826">
        <v>30</v>
      </c>
      <c r="J826">
        <v>0.50345253019720215</v>
      </c>
      <c r="K826">
        <v>0</v>
      </c>
      <c r="L826">
        <v>0</v>
      </c>
      <c r="M826">
        <v>0</v>
      </c>
      <c r="O826">
        <v>200000</v>
      </c>
      <c r="R826" t="s">
        <v>136</v>
      </c>
      <c r="S826">
        <v>0</v>
      </c>
      <c r="T826">
        <v>0.0027794279435999999</v>
      </c>
      <c r="U826" t="s">
        <v>137</v>
      </c>
      <c r="V826">
        <v>0.019225292099999999</v>
      </c>
      <c r="W826">
        <v>0.57129878004360002</v>
      </c>
      <c r="X826" t="s">
        <v>138</v>
      </c>
      <c r="Y826">
        <v>0.034277926802616002</v>
      </c>
      <c r="Z826">
        <v>0</v>
      </c>
      <c r="AA826" t="s">
        <v>139</v>
      </c>
      <c r="AB826">
        <v>0.068555853605232003</v>
      </c>
      <c r="AC826">
        <v>0.67413256045144798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Q826" t="s">
        <v>140</v>
      </c>
      <c r="AR826" t="s">
        <v>141</v>
      </c>
      <c r="AS826">
        <v>0.54929406000000003</v>
      </c>
    </row>
    <row r="827" spans="1:45" ht="12.75">
      <c r="A827" s="2" t="str">
        <f>HYPERLINK("https://ibp.a2mac1.com/costing(costing:projects/details/8191/material/5319649)","Steel sheet (default)")</f>
        <v>Steel sheet (default)</v>
      </c>
      <c r="B827">
        <v>5319649</v>
      </c>
      <c r="C827">
        <v>6975307</v>
      </c>
      <c r="E827">
        <v>0.52766000000000002</v>
      </c>
      <c r="F827" t="s">
        <v>6087</v>
      </c>
      <c r="G827">
        <v>100</v>
      </c>
      <c r="H827" t="s">
        <v>6088</v>
      </c>
      <c r="I827">
        <v>30</v>
      </c>
      <c r="J827">
        <v>0.50345253019720215</v>
      </c>
      <c r="K827">
        <v>0</v>
      </c>
      <c r="L827">
        <v>0</v>
      </c>
      <c r="M827">
        <v>0</v>
      </c>
      <c r="O827">
        <v>200000</v>
      </c>
      <c r="R827" t="s">
        <v>136</v>
      </c>
      <c r="S827">
        <v>0</v>
      </c>
      <c r="T827">
        <v>0.0021146080032000002</v>
      </c>
      <c r="U827" t="s">
        <v>137</v>
      </c>
      <c r="V827">
        <v>0.014626735199999999</v>
      </c>
      <c r="W827">
        <v>0.43464806320319999</v>
      </c>
      <c r="X827" t="s">
        <v>138</v>
      </c>
      <c r="Y827">
        <v>0.026078883792192</v>
      </c>
      <c r="Z827">
        <v>0</v>
      </c>
      <c r="AA827" t="s">
        <v>139</v>
      </c>
      <c r="AB827">
        <v>0.052157767584384</v>
      </c>
      <c r="AC827">
        <v>0.51288471457977602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Q827" t="s">
        <v>140</v>
      </c>
      <c r="AR827" t="s">
        <v>141</v>
      </c>
      <c r="AS827">
        <v>0.41790672000000001</v>
      </c>
    </row>
    <row r="828" spans="1:45" ht="12.75">
      <c r="A828" s="2" t="str">
        <f>HYPERLINK("https://ibp.a2mac1.com/costing(costing:projects/details/8191/material/5319650)","PA6")</f>
        <v>PA6</v>
      </c>
      <c r="B828">
        <v>5319650</v>
      </c>
      <c r="C828">
        <v>6975308</v>
      </c>
      <c r="E828">
        <v>1.72394</v>
      </c>
      <c r="F828" t="s">
        <v>6092</v>
      </c>
      <c r="G828">
        <v>98.039199999999994</v>
      </c>
      <c r="H828" t="s">
        <v>6093</v>
      </c>
      <c r="I828">
        <v>5</v>
      </c>
      <c r="J828">
        <v>0.1008980929261446</v>
      </c>
      <c r="K828">
        <v>0</v>
      </c>
      <c r="M828">
        <v>0</v>
      </c>
      <c r="O828">
        <v>400000</v>
      </c>
      <c r="R828" t="s">
        <v>136</v>
      </c>
      <c r="S828">
        <v>0.00054994134748549564</v>
      </c>
      <c r="T828">
        <v>0.00056654504381920706</v>
      </c>
      <c r="U828" t="s">
        <v>137</v>
      </c>
      <c r="V828">
        <v>0.019632749043239847</v>
      </c>
      <c r="W828">
        <v>0.58058503968928343</v>
      </c>
      <c r="X828" t="s">
        <v>138</v>
      </c>
      <c r="Y828">
        <v>0.034835102381357008</v>
      </c>
      <c r="Z828">
        <v>0</v>
      </c>
      <c r="AA828" t="s">
        <v>139</v>
      </c>
      <c r="AB828">
        <v>0.069670204762714016</v>
      </c>
      <c r="AC828">
        <v>0.68509034683335446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Q828" t="s">
        <v>140</v>
      </c>
      <c r="AR828" t="s">
        <v>141</v>
      </c>
      <c r="AS828">
        <v>0.56093568694970997</v>
      </c>
    </row>
    <row r="829" spans="1:45" ht="12.75">
      <c r="A829" s="2" t="str">
        <f>HYPERLINK("https://ibp.a2mac1.com/costing(costing:projects/details/8191/material/5319947)","PP-E/P")</f>
        <v>PP-E/P</v>
      </c>
      <c r="B829">
        <v>5319947</v>
      </c>
      <c r="C829">
        <v>6975512</v>
      </c>
      <c r="E829">
        <v>1.49563</v>
      </c>
      <c r="F829" t="s">
        <v>6102</v>
      </c>
      <c r="G829">
        <v>95</v>
      </c>
      <c r="H829" t="s">
        <v>6103</v>
      </c>
      <c r="I829">
        <v>5</v>
      </c>
      <c r="J829">
        <v>0.50345253019720215</v>
      </c>
      <c r="K829">
        <v>0</v>
      </c>
      <c r="M829">
        <v>0</v>
      </c>
      <c r="O829">
        <v>200000</v>
      </c>
      <c r="R829" t="s">
        <v>136</v>
      </c>
      <c r="S829">
        <v>0.0053645886578947369</v>
      </c>
      <c r="T829">
        <v>0.010857927443578948</v>
      </c>
      <c r="U829" t="s">
        <v>137</v>
      </c>
      <c r="V829">
        <v>0.075104241210526321</v>
      </c>
      <c r="W829">
        <v>2.2264330431541053</v>
      </c>
      <c r="X829" t="s">
        <v>138</v>
      </c>
      <c r="Y829">
        <v>0.13358598258924631</v>
      </c>
      <c r="Z829">
        <v>0</v>
      </c>
      <c r="AA829" t="s">
        <v>139</v>
      </c>
      <c r="AB829">
        <v>0.26717196517849262</v>
      </c>
      <c r="AC829">
        <v>2.6271909909218443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Q829" t="s">
        <v>140</v>
      </c>
      <c r="AR829" t="s">
        <v>141</v>
      </c>
      <c r="AS829">
        <v>2.1458354631578946</v>
      </c>
    </row>
    <row r="830" spans="1:45" ht="12.75">
      <c r="A830" s="2" t="str">
        <f>HYPERLINK("https://ibp.a2mac1.com/costing(costing:projects/details/8191/material/5319948)","PP-EPDM")</f>
        <v>PP-EPDM</v>
      </c>
      <c r="B830">
        <v>5319948</v>
      </c>
      <c r="C830">
        <v>6975513</v>
      </c>
      <c r="E830">
        <v>1.7894600000000001</v>
      </c>
      <c r="F830" t="s">
        <v>6108</v>
      </c>
      <c r="G830">
        <v>95</v>
      </c>
      <c r="H830" t="s">
        <v>6109</v>
      </c>
      <c r="I830">
        <v>5</v>
      </c>
      <c r="J830">
        <v>0.50345253019720215</v>
      </c>
      <c r="K830">
        <v>0</v>
      </c>
      <c r="M830">
        <v>0</v>
      </c>
      <c r="O830">
        <v>200000</v>
      </c>
      <c r="R830" t="s">
        <v>136</v>
      </c>
      <c r="S830">
        <v>0.0012808766315789474</v>
      </c>
      <c r="T830">
        <v>0.0025924943023157895</v>
      </c>
      <c r="U830" t="s">
        <v>137</v>
      </c>
      <c r="V830">
        <v>0.017932272842105263</v>
      </c>
      <c r="W830">
        <v>0.53159454314442101</v>
      </c>
      <c r="X830" t="s">
        <v>138</v>
      </c>
      <c r="Y830">
        <v>0.031895672588665262</v>
      </c>
      <c r="Z830">
        <v>0</v>
      </c>
      <c r="AA830" t="s">
        <v>139</v>
      </c>
      <c r="AB830">
        <v>0.063791345177330525</v>
      </c>
      <c r="AC830">
        <v>0.62728156091041687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Q830" t="s">
        <v>140</v>
      </c>
      <c r="AR830" t="s">
        <v>141</v>
      </c>
      <c r="AS830">
        <v>0.51235065263157897</v>
      </c>
    </row>
    <row r="831" spans="1:45" ht="12.75">
      <c r="A831" s="2" t="str">
        <f>HYPERLINK("https://ibp.a2mac1.com/costing(costing:projects/details/8191/material/5319949)","PP-EPDM")</f>
        <v>PP-EPDM</v>
      </c>
      <c r="B831">
        <v>5319949</v>
      </c>
      <c r="C831">
        <v>6975514</v>
      </c>
      <c r="E831">
        <v>1.7894600000000001</v>
      </c>
      <c r="F831" t="s">
        <v>6114</v>
      </c>
      <c r="G831">
        <v>95</v>
      </c>
      <c r="H831" t="s">
        <v>6115</v>
      </c>
      <c r="I831">
        <v>5</v>
      </c>
      <c r="J831">
        <v>0.50345253019720215</v>
      </c>
      <c r="K831">
        <v>0</v>
      </c>
      <c r="M831">
        <v>0</v>
      </c>
      <c r="O831">
        <v>200000</v>
      </c>
      <c r="R831" t="s">
        <v>136</v>
      </c>
      <c r="S831">
        <v>0.0012761675263157895</v>
      </c>
      <c r="T831">
        <v>0.0025829630732631579</v>
      </c>
      <c r="U831" t="s">
        <v>137</v>
      </c>
      <c r="V831">
        <v>0.017866345368421053</v>
      </c>
      <c r="W831">
        <v>0.52964015144168419</v>
      </c>
      <c r="X831" t="s">
        <v>138</v>
      </c>
      <c r="Y831">
        <v>0.03177840908650105</v>
      </c>
      <c r="Z831">
        <v>0</v>
      </c>
      <c r="AA831" t="s">
        <v>139</v>
      </c>
      <c r="AB831">
        <v>0.0635568181730021</v>
      </c>
      <c r="AC831">
        <v>0.62497537870118736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Q831" t="s">
        <v>140</v>
      </c>
      <c r="AR831" t="s">
        <v>141</v>
      </c>
      <c r="AS831">
        <v>0.51046701052631582</v>
      </c>
    </row>
    <row r="832" spans="1:45" ht="12.75">
      <c r="A832" s="2" t="str">
        <f>HYPERLINK("https://ibp.a2mac1.com/costing(costing:projects/details/8191/material/5319950)","PP-PE")</f>
        <v>PP-PE</v>
      </c>
      <c r="B832">
        <v>5319950</v>
      </c>
      <c r="C832">
        <v>6975515</v>
      </c>
      <c r="E832">
        <v>1.34768</v>
      </c>
      <c r="F832" t="s">
        <v>6121</v>
      </c>
      <c r="G832">
        <v>95</v>
      </c>
      <c r="H832" t="s">
        <v>6122</v>
      </c>
      <c r="I832">
        <v>5</v>
      </c>
      <c r="J832">
        <v>0.50345253019720215</v>
      </c>
      <c r="K832">
        <v>0</v>
      </c>
      <c r="M832">
        <v>0</v>
      </c>
      <c r="O832">
        <v>200000</v>
      </c>
      <c r="R832" t="s">
        <v>136</v>
      </c>
      <c r="S832">
        <v>0.0063199098947368422</v>
      </c>
      <c r="T832">
        <v>0.012791497626947368</v>
      </c>
      <c r="U832" t="s">
        <v>137</v>
      </c>
      <c r="V832">
        <v>0.088478738526315784</v>
      </c>
      <c r="W832">
        <v>2.6229142841532633</v>
      </c>
      <c r="X832" t="s">
        <v>138</v>
      </c>
      <c r="Y832">
        <v>0.15737485704919579</v>
      </c>
      <c r="Z832">
        <v>0</v>
      </c>
      <c r="AA832" t="s">
        <v>139</v>
      </c>
      <c r="AB832">
        <v>0.31474971409839159</v>
      </c>
      <c r="AC832">
        <v>3.0950388553008503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Q832" t="s">
        <v>140</v>
      </c>
      <c r="AR832" t="s">
        <v>141</v>
      </c>
      <c r="AS832">
        <v>2.527963957894737</v>
      </c>
    </row>
    <row r="833" spans="1:45" ht="12.75">
      <c r="A833" s="2" t="str">
        <f>HYPERLINK("https://ibp.a2mac1.com/costing(costing:projects/details/8191/material/5319651)","PP")</f>
        <v>PP</v>
      </c>
      <c r="B833">
        <v>5319651</v>
      </c>
      <c r="C833">
        <v>6975309</v>
      </c>
      <c r="E833">
        <v>1.0113799999999999</v>
      </c>
      <c r="F833" t="s">
        <v>6127</v>
      </c>
      <c r="G833">
        <v>95</v>
      </c>
      <c r="H833" t="s">
        <v>6128</v>
      </c>
      <c r="I833">
        <v>5</v>
      </c>
      <c r="J833">
        <v>0.50345253019720215</v>
      </c>
      <c r="K833">
        <v>0</v>
      </c>
      <c r="M833">
        <v>0</v>
      </c>
      <c r="O833">
        <v>200000</v>
      </c>
      <c r="R833" t="s">
        <v>136</v>
      </c>
      <c r="S833">
        <v>0.0042398114210526316</v>
      </c>
      <c r="T833">
        <v>0.0085813783162105271</v>
      </c>
      <c r="U833" t="s">
        <v>137</v>
      </c>
      <c r="V833">
        <v>0.059357359894736846</v>
      </c>
      <c r="W833">
        <v>1.7596234952109473</v>
      </c>
      <c r="X833" t="s">
        <v>138</v>
      </c>
      <c r="Y833">
        <v>0.10557740971265685</v>
      </c>
      <c r="Z833">
        <v>0</v>
      </c>
      <c r="AA833" t="s">
        <v>139</v>
      </c>
      <c r="AB833">
        <v>0.21115481942531369</v>
      </c>
      <c r="AC833">
        <v>2.0763557243489177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Q833" t="s">
        <v>140</v>
      </c>
      <c r="AR833" t="s">
        <v>141</v>
      </c>
      <c r="AS833">
        <v>1.6959245684210527</v>
      </c>
    </row>
    <row r="834" spans="1:45" ht="12.75">
      <c r="A834" s="2" t="str">
        <f>HYPERLINK("https://ibp.a2mac1.com/costing(costing:projects/details/8191/material/5319652)","PUR")</f>
        <v>PUR</v>
      </c>
      <c r="B834">
        <v>5319652</v>
      </c>
      <c r="C834">
        <v>6975309</v>
      </c>
      <c r="E834">
        <v>3.37662</v>
      </c>
      <c r="F834" t="s">
        <v>6127</v>
      </c>
      <c r="G834">
        <v>95</v>
      </c>
      <c r="H834" t="s">
        <v>6128</v>
      </c>
      <c r="I834">
        <v>5</v>
      </c>
      <c r="J834">
        <v>0.50345253019720215</v>
      </c>
      <c r="K834">
        <v>0</v>
      </c>
      <c r="M834">
        <v>0</v>
      </c>
      <c r="O834">
        <v>200000</v>
      </c>
      <c r="R834" t="s">
        <v>136</v>
      </c>
      <c r="S834">
        <v>0.01415514647368421</v>
      </c>
      <c r="T834">
        <v>0.028650016462736842</v>
      </c>
      <c r="U834" t="s">
        <v>137</v>
      </c>
      <c r="V834">
        <v>0.19817205063157894</v>
      </c>
      <c r="W834">
        <v>5.8747255100943159</v>
      </c>
      <c r="X834" t="s">
        <v>138</v>
      </c>
      <c r="Y834">
        <v>0.35248353060565896</v>
      </c>
      <c r="Z834">
        <v>0</v>
      </c>
      <c r="AA834" t="s">
        <v>139</v>
      </c>
      <c r="AB834">
        <v>0.70496706121131791</v>
      </c>
      <c r="AC834">
        <v>6.9321761019112929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Q834" t="s">
        <v>140</v>
      </c>
      <c r="AR834" t="s">
        <v>141</v>
      </c>
      <c r="AS834">
        <v>5.6620585894736841</v>
      </c>
    </row>
    <row r="835" spans="1:45" ht="12.75">
      <c r="A835" s="2" t="str">
        <f>HYPERLINK("https://ibp.a2mac1.com/costing(costing:projects/details/8191/material/5319653)","PET")</f>
        <v>PET</v>
      </c>
      <c r="B835">
        <v>5319653</v>
      </c>
      <c r="C835">
        <v>6975309</v>
      </c>
      <c r="E835">
        <v>1.3260000000000001</v>
      </c>
      <c r="F835" t="s">
        <v>6127</v>
      </c>
      <c r="G835">
        <v>95</v>
      </c>
      <c r="H835" t="s">
        <v>6128</v>
      </c>
      <c r="I835">
        <v>5</v>
      </c>
      <c r="J835">
        <v>0.50345253019720215</v>
      </c>
      <c r="K835">
        <v>0</v>
      </c>
      <c r="M835">
        <v>0</v>
      </c>
      <c r="O835">
        <v>200000</v>
      </c>
      <c r="R835" t="s">
        <v>136</v>
      </c>
      <c r="S835">
        <v>0.0055587315789473683</v>
      </c>
      <c r="T835">
        <v>0.011250872715789473</v>
      </c>
      <c r="U835" t="s">
        <v>137</v>
      </c>
      <c r="V835">
        <v>0.077822242105263159</v>
      </c>
      <c r="W835">
        <v>2.3070070148210524</v>
      </c>
      <c r="X835" t="s">
        <v>138</v>
      </c>
      <c r="Y835">
        <v>0.13842042088926315</v>
      </c>
      <c r="Z835">
        <v>0</v>
      </c>
      <c r="AA835" t="s">
        <v>139</v>
      </c>
      <c r="AB835">
        <v>0.2768408417785263</v>
      </c>
      <c r="AC835">
        <v>2.7222682774888423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Q835" t="s">
        <v>140</v>
      </c>
      <c r="AR835" t="s">
        <v>141</v>
      </c>
      <c r="AS835">
        <v>2.2234926315789472</v>
      </c>
    </row>
    <row r="836" spans="1:45" ht="12.75">
      <c r="A836" s="2" t="str">
        <f>HYPERLINK("https://ibp.a2mac1.com/costing(costing:projects/details/8191/material/5319654)","PP-PE")</f>
        <v>PP-PE</v>
      </c>
      <c r="B836">
        <v>5319654</v>
      </c>
      <c r="C836">
        <v>6975310</v>
      </c>
      <c r="E836">
        <v>1.34768</v>
      </c>
      <c r="F836" t="s">
        <v>6133</v>
      </c>
      <c r="G836">
        <v>95</v>
      </c>
      <c r="H836" t="s">
        <v>6134</v>
      </c>
      <c r="I836">
        <v>5</v>
      </c>
      <c r="J836">
        <v>0.50345253019720215</v>
      </c>
      <c r="K836">
        <v>0</v>
      </c>
      <c r="M836">
        <v>0</v>
      </c>
      <c r="O836">
        <v>200000</v>
      </c>
      <c r="R836" t="s">
        <v>136</v>
      </c>
      <c r="S836">
        <v>0.0045289141052631578</v>
      </c>
      <c r="T836">
        <v>0.0091665221490526312</v>
      </c>
      <c r="U836" t="s">
        <v>137</v>
      </c>
      <c r="V836">
        <v>0.063404797473684216</v>
      </c>
      <c r="W836">
        <v>1.8796080476227368</v>
      </c>
      <c r="X836" t="s">
        <v>138</v>
      </c>
      <c r="Y836">
        <v>0.1127764828573642</v>
      </c>
      <c r="Z836">
        <v>0</v>
      </c>
      <c r="AA836" t="s">
        <v>139</v>
      </c>
      <c r="AB836">
        <v>0.22555296571472841</v>
      </c>
      <c r="AC836">
        <v>2.2179374961948293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Q836" t="s">
        <v>140</v>
      </c>
      <c r="AR836" t="s">
        <v>141</v>
      </c>
      <c r="AS836">
        <v>1.8115656421052631</v>
      </c>
    </row>
    <row r="837" spans="1:45" ht="12.75">
      <c r="A837" s="2" t="str">
        <f>HYPERLINK("https://ibp.a2mac1.com/costing(costing:projects/details/8191/material/5319655)","Steel sheet (default)")</f>
        <v>Steel sheet (default)</v>
      </c>
      <c r="B837">
        <v>5319655</v>
      </c>
      <c r="C837">
        <v>6975311</v>
      </c>
      <c r="E837">
        <v>0.52766000000000002</v>
      </c>
      <c r="F837" t="s">
        <v>6138</v>
      </c>
      <c r="G837">
        <v>62.52</v>
      </c>
      <c r="H837" t="s">
        <v>6139</v>
      </c>
      <c r="I837">
        <v>30</v>
      </c>
      <c r="J837">
        <v>0.50345253019720215</v>
      </c>
      <c r="K837">
        <v>0</v>
      </c>
      <c r="L837">
        <v>0</v>
      </c>
      <c r="M837">
        <v>0</v>
      </c>
      <c r="O837">
        <v>200000</v>
      </c>
      <c r="R837" t="s">
        <v>136</v>
      </c>
      <c r="S837">
        <v>0.24379239001535508</v>
      </c>
      <c r="T837">
        <v>0.010971091190658989</v>
      </c>
      <c r="U837" t="s">
        <v>137</v>
      </c>
      <c r="V837">
        <v>0.075886994401791433</v>
      </c>
      <c r="W837">
        <v>2.0112655356282789</v>
      </c>
      <c r="X837" t="s">
        <v>138</v>
      </c>
      <c r="Y837">
        <v>0.12067593213769674</v>
      </c>
      <c r="Z837">
        <v>0</v>
      </c>
      <c r="AA837" t="s">
        <v>139</v>
      </c>
      <c r="AB837">
        <v>0.24135186427539349</v>
      </c>
      <c r="AC837">
        <v>2.3732933320413689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Q837" t="s">
        <v>140</v>
      </c>
      <c r="AR837" t="s">
        <v>141</v>
      </c>
      <c r="AS837">
        <v>2.1681998400511837</v>
      </c>
    </row>
    <row r="838" spans="1:45" ht="12.75">
      <c r="A838" s="2" t="str">
        <f>HYPERLINK("https://ibp.a2mac1.com/costing(costing:projects/details/8191/material/5320148)","ASA")</f>
        <v>ASA</v>
      </c>
      <c r="B838">
        <v>5320148</v>
      </c>
      <c r="C838">
        <v>6975746</v>
      </c>
      <c r="E838">
        <v>2.4129900000000002</v>
      </c>
      <c r="F838" t="s">
        <v>6147</v>
      </c>
      <c r="G838">
        <v>95</v>
      </c>
      <c r="H838" t="s">
        <v>6148</v>
      </c>
      <c r="I838">
        <v>5</v>
      </c>
      <c r="J838">
        <v>0.50048257265952256</v>
      </c>
      <c r="K838">
        <v>0</v>
      </c>
      <c r="M838">
        <v>0</v>
      </c>
      <c r="O838">
        <v>400000</v>
      </c>
      <c r="R838" t="s">
        <v>136</v>
      </c>
      <c r="S838">
        <v>0.00013017446052631578</v>
      </c>
      <c r="T838">
        <v>0.00026191101457894735</v>
      </c>
      <c r="U838" t="s">
        <v>137</v>
      </c>
      <c r="V838">
        <v>0.001822442447368421</v>
      </c>
      <c r="W838">
        <v>0.054023963211947371</v>
      </c>
      <c r="X838" t="s">
        <v>138</v>
      </c>
      <c r="Y838">
        <v>0.003241437792716842</v>
      </c>
      <c r="Z838">
        <v>0</v>
      </c>
      <c r="AA838" t="s">
        <v>139</v>
      </c>
      <c r="AB838">
        <v>0.0064828755854336841</v>
      </c>
      <c r="AC838">
        <v>0.063748276590097894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Q838" t="s">
        <v>140</v>
      </c>
      <c r="AR838" t="s">
        <v>141</v>
      </c>
      <c r="AS838">
        <v>0.052069784210526313</v>
      </c>
    </row>
    <row r="839" spans="1:45" ht="12.75">
      <c r="A839" s="2" t="str">
        <f>HYPERLINK("https://ibp.a2mac1.com/costing(costing:projects/details/8191/material/5320149)","Glass (default, float glass)")</f>
        <v>Glass (default, float glass)</v>
      </c>
      <c r="B839">
        <v>5320149</v>
      </c>
      <c r="C839">
        <v>6975747</v>
      </c>
      <c r="E839">
        <v>0.76</v>
      </c>
      <c r="F839" t="s">
        <v>296</v>
      </c>
      <c r="G839">
        <v>100</v>
      </c>
      <c r="H839" t="s">
        <v>297</v>
      </c>
      <c r="I839">
        <v>0</v>
      </c>
      <c r="J839">
        <v>0.50048257265952256</v>
      </c>
      <c r="K839">
        <v>0</v>
      </c>
      <c r="L839">
        <v>0</v>
      </c>
      <c r="M839">
        <v>0</v>
      </c>
      <c r="O839">
        <v>400000</v>
      </c>
      <c r="R839" t="s">
        <v>136</v>
      </c>
      <c r="S839">
        <v>0</v>
      </c>
      <c r="T839">
        <v>0.0038227999999999999</v>
      </c>
      <c r="U839" t="s">
        <v>137</v>
      </c>
      <c r="V839">
        <v>0.026599999999999999</v>
      </c>
      <c r="W839">
        <v>0.79042279999999998</v>
      </c>
      <c r="X839" t="s">
        <v>138</v>
      </c>
      <c r="Y839">
        <v>0.047425368000000002</v>
      </c>
      <c r="Z839">
        <v>0</v>
      </c>
      <c r="AA839" t="s">
        <v>139</v>
      </c>
      <c r="AB839">
        <v>0.094850736000000005</v>
      </c>
      <c r="AC839">
        <v>0.932698904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Q839" t="s">
        <v>140</v>
      </c>
      <c r="AR839" t="s">
        <v>141</v>
      </c>
      <c r="AS839">
        <v>0.76</v>
      </c>
    </row>
    <row r="840" spans="1:45" ht="12.75">
      <c r="A840" s="2" t="str">
        <f>HYPERLINK("https://ibp.a2mac1.com/costing(costing:projects/details/8191/material/5320150)","TPV-(EPDM-PP)")</f>
        <v>TPV-(EPDM-PP)</v>
      </c>
      <c r="B840">
        <v>5320150</v>
      </c>
      <c r="C840">
        <v>6975748</v>
      </c>
      <c r="E840">
        <v>1.8507400000000001</v>
      </c>
      <c r="F840" t="s">
        <v>2750</v>
      </c>
      <c r="G840">
        <v>95</v>
      </c>
      <c r="H840" t="s">
        <v>2751</v>
      </c>
      <c r="I840">
        <v>5</v>
      </c>
      <c r="J840">
        <v>0.50345253019720215</v>
      </c>
      <c r="K840">
        <v>0</v>
      </c>
      <c r="M840">
        <v>0</v>
      </c>
      <c r="O840">
        <v>200000</v>
      </c>
      <c r="R840" t="s">
        <v>136</v>
      </c>
      <c r="S840">
        <v>0.00015585178947368422</v>
      </c>
      <c r="T840">
        <v>0.00031544402189473685</v>
      </c>
      <c r="U840" t="s">
        <v>137</v>
      </c>
      <c r="V840">
        <v>0.0021819250526315791</v>
      </c>
      <c r="W840">
        <v>0.064682233074526321</v>
      </c>
      <c r="X840" t="s">
        <v>138</v>
      </c>
      <c r="Y840">
        <v>0.0038809339844715789</v>
      </c>
      <c r="Z840">
        <v>0</v>
      </c>
      <c r="AA840" t="s">
        <v>139</v>
      </c>
      <c r="AB840">
        <v>0.0077618679689431579</v>
      </c>
      <c r="AC840">
        <v>0.076325035027941052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Q840" t="s">
        <v>140</v>
      </c>
      <c r="AR840" t="s">
        <v>141</v>
      </c>
      <c r="AS840">
        <v>0.062340715789473686</v>
      </c>
    </row>
    <row r="841" spans="1:45" ht="12.75">
      <c r="A841" s="2" t="str">
        <f>HYPERLINK("https://ibp.a2mac1.com/costing(costing:projects/details/8191/material/5320151)","Aluminum for casting (default, e.g. A380/ADC10/EN-AC46500)")</f>
        <v>Aluminum for casting (default, e.g. A380/ADC10/EN-AC46500)</v>
      </c>
      <c r="B841">
        <v>5320151</v>
      </c>
      <c r="C841">
        <v>6975748</v>
      </c>
      <c r="E841">
        <v>2.4518200000000001</v>
      </c>
      <c r="F841" t="s">
        <v>2750</v>
      </c>
      <c r="G841">
        <v>90</v>
      </c>
      <c r="H841" t="s">
        <v>6164</v>
      </c>
      <c r="I841">
        <v>50</v>
      </c>
      <c r="J841">
        <v>0.50345253019720215</v>
      </c>
      <c r="K841">
        <v>0</v>
      </c>
      <c r="M841">
        <v>0</v>
      </c>
      <c r="O841">
        <v>200000</v>
      </c>
      <c r="R841" t="s">
        <v>136</v>
      </c>
      <c r="S841">
        <v>0.0043587911111111115</v>
      </c>
      <c r="T841">
        <v>0.00044110966044444444</v>
      </c>
      <c r="U841" t="s">
        <v>137</v>
      </c>
      <c r="V841">
        <v>0.003051153777777778</v>
      </c>
      <c r="W841">
        <v>0.086309294549333337</v>
      </c>
      <c r="X841" t="s">
        <v>138</v>
      </c>
      <c r="Y841">
        <v>0.0051785576729599997</v>
      </c>
      <c r="Z841">
        <v>0</v>
      </c>
      <c r="AA841" t="s">
        <v>139</v>
      </c>
      <c r="AB841">
        <v>0.010357115345919999</v>
      </c>
      <c r="AC841">
        <v>0.10184496756821333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Q841" t="s">
        <v>140</v>
      </c>
      <c r="AR841" t="s">
        <v>141</v>
      </c>
      <c r="AS841">
        <v>0.087175822222222227</v>
      </c>
    </row>
    <row r="842" spans="1:45" ht="12.75">
      <c r="A842" s="2" t="str">
        <f>HYPERLINK("https://ibp.a2mac1.com/costing(costing:projects/details/8191/material/5320152)","EPDM")</f>
        <v>EPDM</v>
      </c>
      <c r="B842">
        <v>5320152</v>
      </c>
      <c r="C842">
        <v>6975749</v>
      </c>
      <c r="E842">
        <v>2.78701</v>
      </c>
      <c r="F842" t="s">
        <v>4746</v>
      </c>
      <c r="G842">
        <v>95</v>
      </c>
      <c r="H842" t="s">
        <v>4747</v>
      </c>
      <c r="I842">
        <v>5</v>
      </c>
      <c r="J842">
        <v>0.50345253019720215</v>
      </c>
      <c r="K842">
        <v>0</v>
      </c>
      <c r="M842">
        <v>0</v>
      </c>
      <c r="O842">
        <v>200000</v>
      </c>
      <c r="R842" t="s">
        <v>136</v>
      </c>
      <c r="S842">
        <v>0.00014668473684210527</v>
      </c>
      <c r="T842">
        <v>0.00029688990736842106</v>
      </c>
      <c r="U842" t="s">
        <v>137</v>
      </c>
      <c r="V842">
        <v>0.0020535863157894736</v>
      </c>
      <c r="W842">
        <v>0.060877686223157895</v>
      </c>
      <c r="X842" t="s">
        <v>138</v>
      </c>
      <c r="Y842">
        <v>0.0036526611733894735</v>
      </c>
      <c r="Z842">
        <v>0</v>
      </c>
      <c r="AA842" t="s">
        <v>139</v>
      </c>
      <c r="AB842">
        <v>0.0073053223467789471</v>
      </c>
      <c r="AC842">
        <v>0.071835669743326322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Q842" t="s">
        <v>140</v>
      </c>
      <c r="AR842" t="s">
        <v>141</v>
      </c>
      <c r="AS842">
        <v>0.058673894736842105</v>
      </c>
    </row>
    <row r="843" spans="1:45" ht="12.75">
      <c r="A843" s="2" t="str">
        <f>HYPERLINK("https://ibp.a2mac1.com/costing(costing:projects/details/8191/material/5320153)","Glass (default, float glass)")</f>
        <v>Glass (default, float glass)</v>
      </c>
      <c r="B843">
        <v>5320153</v>
      </c>
      <c r="C843">
        <v>6975750</v>
      </c>
      <c r="E843">
        <v>0.76</v>
      </c>
      <c r="F843" t="s">
        <v>296</v>
      </c>
      <c r="G843">
        <v>100</v>
      </c>
      <c r="H843" t="s">
        <v>297</v>
      </c>
      <c r="I843">
        <v>0</v>
      </c>
      <c r="J843">
        <v>0.50345253019720215</v>
      </c>
      <c r="K843">
        <v>0</v>
      </c>
      <c r="L843">
        <v>0</v>
      </c>
      <c r="M843">
        <v>0</v>
      </c>
      <c r="O843">
        <v>200000</v>
      </c>
      <c r="R843" t="s">
        <v>136</v>
      </c>
      <c r="S843">
        <v>0</v>
      </c>
      <c r="T843">
        <v>0.0038455999999999998</v>
      </c>
      <c r="U843" t="s">
        <v>137</v>
      </c>
      <c r="V843">
        <v>0.026599999999999999</v>
      </c>
      <c r="W843">
        <v>0.79044559999999997</v>
      </c>
      <c r="X843" t="s">
        <v>90</v>
      </c>
      <c r="Y843">
        <v>0</v>
      </c>
      <c r="Z843">
        <v>0</v>
      </c>
      <c r="AA843" t="s">
        <v>90</v>
      </c>
      <c r="AB843">
        <v>0</v>
      </c>
      <c r="AC843">
        <v>0.79044559999999997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Q843" t="s">
        <v>140</v>
      </c>
      <c r="AR843" t="s">
        <v>141</v>
      </c>
      <c r="AS843">
        <v>0.76</v>
      </c>
    </row>
    <row r="844" spans="1:45" ht="12.75">
      <c r="A844" s="2" t="str">
        <f>HYPERLINK("https://ibp.a2mac1.com/costing(costing:projects/details/8191/material/5320154)","PP")</f>
        <v>PP</v>
      </c>
      <c r="B844">
        <v>5320154</v>
      </c>
      <c r="C844">
        <v>6975751</v>
      </c>
      <c r="E844">
        <v>1.0113799999999999</v>
      </c>
      <c r="F844" t="s">
        <v>4330</v>
      </c>
      <c r="G844">
        <v>98.039199999999994</v>
      </c>
      <c r="H844" t="s">
        <v>6178</v>
      </c>
      <c r="I844">
        <v>5</v>
      </c>
      <c r="J844">
        <v>2.001136786813273</v>
      </c>
      <c r="K844">
        <v>0</v>
      </c>
      <c r="M844">
        <v>0</v>
      </c>
      <c r="O844">
        <v>200000</v>
      </c>
      <c r="R844" t="s">
        <v>136</v>
      </c>
      <c r="S844">
        <v>0.00029835953459432556</v>
      </c>
      <c r="T844">
        <v>0.0062143020159283226</v>
      </c>
      <c r="U844" t="s">
        <v>137</v>
      </c>
      <c r="V844">
        <v>0.010651350174216027</v>
      </c>
      <c r="W844">
        <v>0.32089158334743656</v>
      </c>
      <c r="X844" t="s">
        <v>90</v>
      </c>
      <c r="Y844">
        <v>0</v>
      </c>
      <c r="Z844">
        <v>0</v>
      </c>
      <c r="AA844" t="s">
        <v>90</v>
      </c>
      <c r="AB844">
        <v>0</v>
      </c>
      <c r="AC844">
        <v>0.32089158334743656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Q844" t="s">
        <v>140</v>
      </c>
      <c r="AR844" t="s">
        <v>141</v>
      </c>
      <c r="AS844">
        <v>0.30432429069188649</v>
      </c>
    </row>
    <row r="845" spans="1:45" ht="12.75">
      <c r="A845" s="2" t="str">
        <f>HYPERLINK("https://ibp.a2mac1.com/costing(costing:projects/details/8191/material/5319951)","PP")</f>
        <v>PP</v>
      </c>
      <c r="B845">
        <v>5319951</v>
      </c>
      <c r="C845">
        <v>6975516</v>
      </c>
      <c r="E845">
        <v>1.0113799999999999</v>
      </c>
      <c r="F845" t="s">
        <v>6184</v>
      </c>
      <c r="G845">
        <v>95</v>
      </c>
      <c r="H845" t="s">
        <v>6185</v>
      </c>
      <c r="I845">
        <v>5</v>
      </c>
      <c r="J845">
        <v>0.50048257265952256</v>
      </c>
      <c r="K845">
        <v>0</v>
      </c>
      <c r="M845">
        <v>0</v>
      </c>
      <c r="O845">
        <v>400000</v>
      </c>
      <c r="R845" t="s">
        <v>136</v>
      </c>
      <c r="S845">
        <v>0.00015769543421052633</v>
      </c>
      <c r="T845">
        <v>0.00031728321363157897</v>
      </c>
      <c r="U845" t="s">
        <v>137</v>
      </c>
      <c r="V845">
        <v>0.0022077360789473682</v>
      </c>
      <c r="W845">
        <v>0.065445497542578945</v>
      </c>
      <c r="X845" t="s">
        <v>138</v>
      </c>
      <c r="Y845">
        <v>0.0039267298525547372</v>
      </c>
      <c r="Z845">
        <v>0</v>
      </c>
      <c r="AA845" t="s">
        <v>139</v>
      </c>
      <c r="AB845">
        <v>0.0078534597051094744</v>
      </c>
      <c r="AC845">
        <v>0.077225687100243162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Q845" t="s">
        <v>140</v>
      </c>
      <c r="AR845" t="s">
        <v>141</v>
      </c>
      <c r="AS845">
        <v>0.063078173684210523</v>
      </c>
    </row>
    <row r="846" spans="1:45" ht="12.75">
      <c r="A846" s="2" t="str">
        <f>HYPERLINK("https://ibp.a2mac1.com/costing(costing:projects/details/8191/material/5319952)","Aluminum sheet (default, e.g. EN AW1050A)")</f>
        <v>Aluminum sheet (default, e.g. EN AW1050A)</v>
      </c>
      <c r="B846">
        <v>5319952</v>
      </c>
      <c r="C846">
        <v>6975517</v>
      </c>
      <c r="E846">
        <v>3.4857100000000001</v>
      </c>
      <c r="F846" t="s">
        <v>1878</v>
      </c>
      <c r="G846">
        <v>75</v>
      </c>
      <c r="H846" t="s">
        <v>795</v>
      </c>
      <c r="I846">
        <v>30</v>
      </c>
      <c r="J846">
        <v>0.50048257265952256</v>
      </c>
      <c r="K846">
        <v>0</v>
      </c>
      <c r="M846">
        <v>0</v>
      </c>
      <c r="O846">
        <v>400000</v>
      </c>
      <c r="R846" t="s">
        <v>136</v>
      </c>
      <c r="S846">
        <v>0.015685694999999999</v>
      </c>
      <c r="T846">
        <v>0.0010519872780000001</v>
      </c>
      <c r="U846" t="s">
        <v>137</v>
      </c>
      <c r="V846">
        <v>0.0073199909999999997</v>
      </c>
      <c r="W846">
        <v>0.201828883278</v>
      </c>
      <c r="X846" t="s">
        <v>138</v>
      </c>
      <c r="Y846">
        <v>0.01210973299668</v>
      </c>
      <c r="Z846">
        <v>0</v>
      </c>
      <c r="AA846" t="s">
        <v>139</v>
      </c>
      <c r="AB846">
        <v>0.024219465993360001</v>
      </c>
      <c r="AC846">
        <v>0.23815808226804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Q846" t="s">
        <v>140</v>
      </c>
      <c r="AR846" t="s">
        <v>141</v>
      </c>
      <c r="AS846">
        <v>0.20914260000000001</v>
      </c>
    </row>
    <row r="847" spans="1:45" ht="12.75">
      <c r="A847" s="2" t="str">
        <f>HYPERLINK("https://ibp.a2mac1.com/costing(costing:projects/details/8191/material/5319953)","Glass + Support sealing and brackets")</f>
        <v>Glass + Support sealing and brackets</v>
      </c>
      <c r="B847">
        <v>5319953</v>
      </c>
      <c r="C847">
        <v>6975518</v>
      </c>
      <c r="E847">
        <v>89.736469999999997</v>
      </c>
      <c r="F847" t="s">
        <v>296</v>
      </c>
      <c r="G847">
        <v>100</v>
      </c>
      <c r="H847" t="s">
        <v>297</v>
      </c>
      <c r="I847">
        <v>0</v>
      </c>
      <c r="J847">
        <v>0.50345253019720215</v>
      </c>
      <c r="K847">
        <v>0</v>
      </c>
      <c r="L847">
        <v>0</v>
      </c>
      <c r="M847">
        <v>0</v>
      </c>
      <c r="O847">
        <v>200000</v>
      </c>
      <c r="R847" t="s">
        <v>136</v>
      </c>
      <c r="S847">
        <v>0</v>
      </c>
      <c r="T847">
        <v>0.45406653819999998</v>
      </c>
      <c r="U847" t="s">
        <v>137</v>
      </c>
      <c r="V847">
        <v>3.1407764500000002</v>
      </c>
      <c r="W847">
        <v>93.331312988199997</v>
      </c>
      <c r="X847" t="s">
        <v>138</v>
      </c>
      <c r="Y847">
        <v>5.5998787792920002</v>
      </c>
      <c r="Z847">
        <v>0</v>
      </c>
      <c r="AA847" t="s">
        <v>139</v>
      </c>
      <c r="AB847">
        <v>11.199757558584</v>
      </c>
      <c r="AC847">
        <v>110.13094932607601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Q847" t="s">
        <v>9</v>
      </c>
      <c r="AR847" t="s">
        <v>141</v>
      </c>
      <c r="AS847">
        <v>89.736469999999997</v>
      </c>
    </row>
    <row r="848" spans="1:45" ht="12.75">
      <c r="A848" s="2" t="str">
        <f>HYPERLINK("https://ibp.a2mac1.com/costing(costing:projects/details/8191/material/5319657)","PP")</f>
        <v>PP</v>
      </c>
      <c r="B848">
        <v>5319657</v>
      </c>
      <c r="C848">
        <v>6975312</v>
      </c>
      <c r="E848">
        <v>1.0113799999999999</v>
      </c>
      <c r="F848" t="s">
        <v>6202</v>
      </c>
      <c r="G848">
        <v>95</v>
      </c>
      <c r="H848" t="s">
        <v>6203</v>
      </c>
      <c r="I848">
        <v>5</v>
      </c>
      <c r="J848">
        <v>0.50345253019720215</v>
      </c>
      <c r="K848">
        <v>0</v>
      </c>
      <c r="M848">
        <v>0</v>
      </c>
      <c r="O848">
        <v>200000</v>
      </c>
      <c r="R848" t="s">
        <v>136</v>
      </c>
      <c r="S848">
        <v>0.0018018533157894737</v>
      </c>
      <c r="T848">
        <v>0.0036469511111578948</v>
      </c>
      <c r="U848" t="s">
        <v>137</v>
      </c>
      <c r="V848">
        <v>0.025225946421052633</v>
      </c>
      <c r="W848">
        <v>0.7478123705322105</v>
      </c>
      <c r="X848" t="s">
        <v>138</v>
      </c>
      <c r="Y848">
        <v>0.044868742231932629</v>
      </c>
      <c r="Z848">
        <v>0</v>
      </c>
      <c r="AA848" t="s">
        <v>139</v>
      </c>
      <c r="AB848">
        <v>0.089737484463865258</v>
      </c>
      <c r="AC848">
        <v>0.88241859722800842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Q848" t="s">
        <v>140</v>
      </c>
      <c r="AR848" t="s">
        <v>141</v>
      </c>
      <c r="AS848">
        <v>0.72074132631578947</v>
      </c>
    </row>
    <row r="849" spans="1:45" ht="12.75">
      <c r="A849" s="2" t="str">
        <f>HYPERLINK("https://ibp.a2mac1.com/costing(costing:projects/details/8191/material/5319658)","PP")</f>
        <v>PP</v>
      </c>
      <c r="B849">
        <v>5319658</v>
      </c>
      <c r="C849">
        <v>6975313</v>
      </c>
      <c r="E849">
        <v>1.0113799999999999</v>
      </c>
      <c r="F849" t="s">
        <v>4334</v>
      </c>
      <c r="G849">
        <v>95</v>
      </c>
      <c r="H849" t="s">
        <v>6208</v>
      </c>
      <c r="I849">
        <v>5</v>
      </c>
      <c r="J849">
        <v>0.50048257265952256</v>
      </c>
      <c r="K849">
        <v>0</v>
      </c>
      <c r="M849">
        <v>0</v>
      </c>
      <c r="O849">
        <v>400000</v>
      </c>
      <c r="R849" t="s">
        <v>136</v>
      </c>
      <c r="S849">
        <v>0.00018364531578947369</v>
      </c>
      <c r="T849">
        <v>0.00036949437536842108</v>
      </c>
      <c r="U849" t="s">
        <v>137</v>
      </c>
      <c r="V849">
        <v>0.0025710344210526314</v>
      </c>
      <c r="W849">
        <v>0.076215009796421054</v>
      </c>
      <c r="X849" t="s">
        <v>138</v>
      </c>
      <c r="Y849">
        <v>0.0045729005877852636</v>
      </c>
      <c r="Z849">
        <v>0</v>
      </c>
      <c r="AA849" t="s">
        <v>139</v>
      </c>
      <c r="AB849">
        <v>0.0091458011755705271</v>
      </c>
      <c r="AC849">
        <v>0.089933711559776836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Q849" t="s">
        <v>140</v>
      </c>
      <c r="AR849" t="s">
        <v>141</v>
      </c>
      <c r="AS849">
        <v>0.073458126315789476</v>
      </c>
    </row>
    <row r="850" spans="1:45" ht="12.75">
      <c r="A850" s="2" t="str">
        <f>HYPERLINK("https://ibp.a2mac1.com/costing(costing:projects/details/8191/material/5319659)","PP")</f>
        <v>PP</v>
      </c>
      <c r="B850">
        <v>5319659</v>
      </c>
      <c r="C850">
        <v>6975314</v>
      </c>
      <c r="E850">
        <v>1.0113799999999999</v>
      </c>
      <c r="F850" t="s">
        <v>6212</v>
      </c>
      <c r="G850">
        <v>95</v>
      </c>
      <c r="H850" t="s">
        <v>6213</v>
      </c>
      <c r="I850">
        <v>5</v>
      </c>
      <c r="J850">
        <v>0.50345253019720215</v>
      </c>
      <c r="K850">
        <v>0</v>
      </c>
      <c r="M850">
        <v>0</v>
      </c>
      <c r="O850">
        <v>200000</v>
      </c>
      <c r="R850" t="s">
        <v>136</v>
      </c>
      <c r="S850">
        <v>0.00027147568421052632</v>
      </c>
      <c r="T850">
        <v>0.00054946678484210523</v>
      </c>
      <c r="U850" t="s">
        <v>137</v>
      </c>
      <c r="V850">
        <v>0.0038006595789473684</v>
      </c>
      <c r="W850">
        <v>0.11266892436378947</v>
      </c>
      <c r="X850" t="s">
        <v>138</v>
      </c>
      <c r="Y850">
        <v>0.0067601354618273685</v>
      </c>
      <c r="Z850">
        <v>0</v>
      </c>
      <c r="AA850" t="s">
        <v>139</v>
      </c>
      <c r="AB850">
        <v>0.013520270923654737</v>
      </c>
      <c r="AC850">
        <v>0.13294933074927157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Q850" t="s">
        <v>140</v>
      </c>
      <c r="AR850" t="s">
        <v>141</v>
      </c>
      <c r="AS850">
        <v>0.10859027368421052</v>
      </c>
    </row>
    <row r="851" spans="1:45" ht="12.75">
      <c r="A851" s="2" t="str">
        <f>HYPERLINK("https://ibp.a2mac1.com/costing(costing:projects/details/8191/material/5319954)","PP")</f>
        <v>PP</v>
      </c>
      <c r="B851">
        <v>5319954</v>
      </c>
      <c r="C851">
        <v>6975519</v>
      </c>
      <c r="E851">
        <v>1.0113799999999999</v>
      </c>
      <c r="F851" t="s">
        <v>1280</v>
      </c>
      <c r="G851">
        <v>95</v>
      </c>
      <c r="H851" t="s">
        <v>1281</v>
      </c>
      <c r="I851">
        <v>5</v>
      </c>
      <c r="J851">
        <v>0.50345253019720215</v>
      </c>
      <c r="K851">
        <v>0</v>
      </c>
      <c r="M851">
        <v>0</v>
      </c>
      <c r="O851">
        <v>200000</v>
      </c>
      <c r="R851" t="s">
        <v>136</v>
      </c>
      <c r="S851">
        <v>7.9845789473684209E-06</v>
      </c>
      <c r="T851">
        <v>1.6160787789473685E-05</v>
      </c>
      <c r="U851" t="s">
        <v>137</v>
      </c>
      <c r="V851">
        <v>0.00011178410526315789</v>
      </c>
      <c r="W851">
        <v>0.0033137918930526314</v>
      </c>
      <c r="X851" t="s">
        <v>138</v>
      </c>
      <c r="Y851">
        <v>0.00019882751358315791</v>
      </c>
      <c r="Z851">
        <v>0</v>
      </c>
      <c r="AA851" t="s">
        <v>139</v>
      </c>
      <c r="AB851">
        <v>0.00039765502716631581</v>
      </c>
      <c r="AC851">
        <v>0.0039102744338021054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Q851" t="s">
        <v>140</v>
      </c>
      <c r="AR851" t="s">
        <v>141</v>
      </c>
      <c r="AS851">
        <v>0.0031938315789473686</v>
      </c>
    </row>
    <row r="852" spans="1:45" ht="12.75">
      <c r="A852" s="2" t="str">
        <f>HYPERLINK("https://ibp.a2mac1.com/costing(costing:projects/details/8191/material/5319955)","PP")</f>
        <v>PP</v>
      </c>
      <c r="B852">
        <v>5319955</v>
      </c>
      <c r="C852">
        <v>6975520</v>
      </c>
      <c r="E852">
        <v>1.0113799999999999</v>
      </c>
      <c r="F852" t="s">
        <v>1280</v>
      </c>
      <c r="G852">
        <v>95</v>
      </c>
      <c r="H852" t="s">
        <v>1281</v>
      </c>
      <c r="I852">
        <v>5</v>
      </c>
      <c r="J852">
        <v>0.50345253019720215</v>
      </c>
      <c r="K852">
        <v>0</v>
      </c>
      <c r="M852">
        <v>0</v>
      </c>
      <c r="O852">
        <v>200000</v>
      </c>
      <c r="R852" t="s">
        <v>136</v>
      </c>
      <c r="S852">
        <v>7.9845789473684209E-06</v>
      </c>
      <c r="T852">
        <v>1.6160787789473685E-05</v>
      </c>
      <c r="U852" t="s">
        <v>137</v>
      </c>
      <c r="V852">
        <v>0.00011178410526315789</v>
      </c>
      <c r="W852">
        <v>0.0033137918930526314</v>
      </c>
      <c r="X852" t="s">
        <v>138</v>
      </c>
      <c r="Y852">
        <v>0.00019882751358315791</v>
      </c>
      <c r="Z852">
        <v>0</v>
      </c>
      <c r="AA852" t="s">
        <v>139</v>
      </c>
      <c r="AB852">
        <v>0.00039765502716631581</v>
      </c>
      <c r="AC852">
        <v>0.0039102744338021054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Q852" t="s">
        <v>140</v>
      </c>
      <c r="AR852" t="s">
        <v>141</v>
      </c>
      <c r="AS852">
        <v>0.0031938315789473686</v>
      </c>
    </row>
    <row r="853" spans="1:45" ht="12.75">
      <c r="A853" s="2" t="str">
        <f>HYPERLINK("https://ibp.a2mac1.com/costing(costing:projects/details/8191/material/5319660)","Steel sheet (default)")</f>
        <v>Steel sheet (default)</v>
      </c>
      <c r="B853">
        <v>5319660</v>
      </c>
      <c r="C853">
        <v>6975315</v>
      </c>
      <c r="E853">
        <v>0.52766000000000002</v>
      </c>
      <c r="F853" t="s">
        <v>6227</v>
      </c>
      <c r="G853">
        <v>68</v>
      </c>
      <c r="H853" t="s">
        <v>6228</v>
      </c>
      <c r="I853">
        <v>30</v>
      </c>
      <c r="J853">
        <v>0.50345253019720215</v>
      </c>
      <c r="K853">
        <v>0</v>
      </c>
      <c r="L853">
        <v>0</v>
      </c>
      <c r="M853">
        <v>0</v>
      </c>
      <c r="O853">
        <v>200000</v>
      </c>
      <c r="R853" t="s">
        <v>136</v>
      </c>
      <c r="S853">
        <v>0.056763800470588238</v>
      </c>
      <c r="T853">
        <v>0.0029919253164705883</v>
      </c>
      <c r="U853" t="s">
        <v>137</v>
      </c>
      <c r="V853">
        <v>0.020695135588235294</v>
      </c>
      <c r="W853">
        <v>0.55821284866941179</v>
      </c>
      <c r="X853" t="s">
        <v>138</v>
      </c>
      <c r="Y853">
        <v>0.033492770920164706</v>
      </c>
      <c r="Z853">
        <v>0</v>
      </c>
      <c r="AA853" t="s">
        <v>139</v>
      </c>
      <c r="AB853">
        <v>0.066985541840329413</v>
      </c>
      <c r="AC853">
        <v>0.65869116142990591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Q853" t="s">
        <v>140</v>
      </c>
      <c r="AR853" t="s">
        <v>141</v>
      </c>
      <c r="AS853">
        <v>0.59128958823529409</v>
      </c>
    </row>
    <row r="854" spans="1:45" ht="12.75">
      <c r="A854" s="2" t="str">
        <f>HYPERLINK("https://ibp.a2mac1.com/costing(costing:projects/details/8191/material/5319661)","EPDM")</f>
        <v>EPDM</v>
      </c>
      <c r="B854">
        <v>5319661</v>
      </c>
      <c r="C854">
        <v>6975316</v>
      </c>
      <c r="E854">
        <v>2.78701</v>
      </c>
      <c r="F854" t="s">
        <v>5496</v>
      </c>
      <c r="G854">
        <v>95</v>
      </c>
      <c r="H854" t="s">
        <v>6232</v>
      </c>
      <c r="I854">
        <v>5</v>
      </c>
      <c r="J854">
        <v>0.10389195236953569</v>
      </c>
      <c r="K854">
        <v>0</v>
      </c>
      <c r="L854">
        <v>0</v>
      </c>
      <c r="M854">
        <v>0</v>
      </c>
      <c r="O854">
        <v>200000</v>
      </c>
      <c r="R854" t="s">
        <v>136</v>
      </c>
      <c r="S854">
        <v>0.00066008131578947364</v>
      </c>
      <c r="T854">
        <v>0.00027459382736842107</v>
      </c>
      <c r="U854" t="s">
        <v>137</v>
      </c>
      <c r="V854">
        <v>0.0092411384210526314</v>
      </c>
      <c r="W854">
        <v>0.27288817724842107</v>
      </c>
      <c r="X854" t="s">
        <v>138</v>
      </c>
      <c r="Y854">
        <v>0.016373290634905262</v>
      </c>
      <c r="Z854">
        <v>0</v>
      </c>
      <c r="AA854" t="s">
        <v>139</v>
      </c>
      <c r="AB854">
        <v>0.032746581269810525</v>
      </c>
      <c r="AC854">
        <v>0.32200804915313685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P854" t="s">
        <v>4818</v>
      </c>
      <c r="AQ854" t="s">
        <v>140</v>
      </c>
      <c r="AR854" t="s">
        <v>141</v>
      </c>
      <c r="AS854">
        <v>0.2640325263157895</v>
      </c>
    </row>
    <row r="855" spans="1:45" ht="12.75">
      <c r="A855" s="2" t="str">
        <f>HYPERLINK("https://ibp.a2mac1.com/costing(costing:projects/details/8191/material/5319662)","Ferrous Metal")</f>
        <v>Ferrous Metal</v>
      </c>
      <c r="B855">
        <v>5319662</v>
      </c>
      <c r="C855">
        <v>6975316</v>
      </c>
      <c r="E855">
        <v>1</v>
      </c>
      <c r="F855" t="s">
        <v>3377</v>
      </c>
      <c r="G855">
        <v>95</v>
      </c>
      <c r="H855" t="s">
        <v>3378</v>
      </c>
      <c r="I855">
        <v>0</v>
      </c>
      <c r="J855">
        <v>0.10389195236953569</v>
      </c>
      <c r="K855">
        <v>0</v>
      </c>
      <c r="L855">
        <v>0</v>
      </c>
      <c r="M855">
        <v>0</v>
      </c>
      <c r="O855">
        <v>200000</v>
      </c>
      <c r="R855" t="s">
        <v>136</v>
      </c>
      <c r="S855">
        <v>0</v>
      </c>
      <c r="T855">
        <v>0.00010947368421052632</v>
      </c>
      <c r="U855" t="s">
        <v>137</v>
      </c>
      <c r="V855">
        <v>0.0036842105263157894</v>
      </c>
      <c r="W855">
        <v>0.10905684210526316</v>
      </c>
      <c r="X855" t="s">
        <v>138</v>
      </c>
      <c r="Y855">
        <v>0.0065434105263157891</v>
      </c>
      <c r="Z855">
        <v>0</v>
      </c>
      <c r="AA855" t="s">
        <v>139</v>
      </c>
      <c r="AB855">
        <v>0.013086821052631578</v>
      </c>
      <c r="AC855">
        <v>0.12868707368421053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Q855" t="s">
        <v>9</v>
      </c>
      <c r="AR855" t="s">
        <v>141</v>
      </c>
      <c r="AS855">
        <v>0.10526315789473684</v>
      </c>
    </row>
    <row r="856" spans="1:45" ht="12.75">
      <c r="A856" s="2" t="str">
        <f>HYPERLINK("https://ibp.a2mac1.com/costing(costing:projects/details/8191/material/5319663)","PP-E/P")</f>
        <v>PP-E/P</v>
      </c>
      <c r="B856">
        <v>5319663</v>
      </c>
      <c r="C856">
        <v>6975317</v>
      </c>
      <c r="E856">
        <v>1.49563</v>
      </c>
      <c r="F856" t="s">
        <v>6239</v>
      </c>
      <c r="G856">
        <v>95</v>
      </c>
      <c r="H856" t="s">
        <v>6240</v>
      </c>
      <c r="I856">
        <v>5</v>
      </c>
      <c r="J856">
        <v>0.50048257265952256</v>
      </c>
      <c r="K856">
        <v>0</v>
      </c>
      <c r="M856">
        <v>0</v>
      </c>
      <c r="O856">
        <v>400000</v>
      </c>
      <c r="R856" t="s">
        <v>136</v>
      </c>
      <c r="S856">
        <v>0.0034812756184210525</v>
      </c>
      <c r="T856">
        <v>0.0070043265442631579</v>
      </c>
      <c r="U856" t="s">
        <v>137</v>
      </c>
      <c r="V856">
        <v>0.048737858657894734</v>
      </c>
      <c r="W856">
        <v>1.444771156952158</v>
      </c>
      <c r="X856" t="s">
        <v>138</v>
      </c>
      <c r="Y856">
        <v>0.08668626941712948</v>
      </c>
      <c r="Z856">
        <v>0</v>
      </c>
      <c r="AA856" t="s">
        <v>139</v>
      </c>
      <c r="AB856">
        <v>0.17337253883425896</v>
      </c>
      <c r="AC856">
        <v>1.7048299652035463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Q856" t="s">
        <v>140</v>
      </c>
      <c r="AR856" t="s">
        <v>141</v>
      </c>
      <c r="AS856">
        <v>1.392510247368421</v>
      </c>
    </row>
    <row r="857" spans="1:45" ht="12.75">
      <c r="A857" s="2" t="str">
        <f>HYPERLINK("https://ibp.a2mac1.com/costing(costing:projects/details/8191/material/5319664)","PC-ABS")</f>
        <v>PC-ABS</v>
      </c>
      <c r="B857">
        <v>5319664</v>
      </c>
      <c r="C857">
        <v>6975318</v>
      </c>
      <c r="E857">
        <v>2.29312</v>
      </c>
      <c r="F857" t="s">
        <v>523</v>
      </c>
      <c r="G857">
        <v>95</v>
      </c>
      <c r="H857" t="s">
        <v>1286</v>
      </c>
      <c r="I857">
        <v>5</v>
      </c>
      <c r="J857">
        <v>0.50048257265952256</v>
      </c>
      <c r="K857">
        <v>0</v>
      </c>
      <c r="M857">
        <v>0</v>
      </c>
      <c r="O857">
        <v>400000</v>
      </c>
      <c r="R857" t="s">
        <v>136</v>
      </c>
      <c r="S857">
        <v>4.2241684210526314E-05</v>
      </c>
      <c r="T857">
        <v>8.4990268631578947E-05</v>
      </c>
      <c r="U857" t="s">
        <v>137</v>
      </c>
      <c r="V857">
        <v>0.00059138357894736847</v>
      </c>
      <c r="W857">
        <v>0.017530805847578948</v>
      </c>
      <c r="X857" t="s">
        <v>138</v>
      </c>
      <c r="Y857">
        <v>0.0010518483508547369</v>
      </c>
      <c r="Z857">
        <v>0</v>
      </c>
      <c r="AA857" t="s">
        <v>139</v>
      </c>
      <c r="AB857">
        <v>0.0021036967017094739</v>
      </c>
      <c r="AC857">
        <v>0.020686350900143157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Q857" t="s">
        <v>140</v>
      </c>
      <c r="AR857" t="s">
        <v>141</v>
      </c>
      <c r="AS857">
        <v>0.016896673684210526</v>
      </c>
    </row>
    <row r="858" spans="1:45" ht="12.75">
      <c r="A858" s="2" t="str">
        <f>HYPERLINK("https://ibp.a2mac1.com/costing(costing:projects/details/8191/material/5319665)","PC-ABS")</f>
        <v>PC-ABS</v>
      </c>
      <c r="B858">
        <v>5319665</v>
      </c>
      <c r="C858">
        <v>6975319</v>
      </c>
      <c r="E858">
        <v>2.29312</v>
      </c>
      <c r="F858" t="s">
        <v>6249</v>
      </c>
      <c r="G858">
        <v>95</v>
      </c>
      <c r="H858" t="s">
        <v>6250</v>
      </c>
      <c r="I858">
        <v>5</v>
      </c>
      <c r="J858">
        <v>0.50048257265952256</v>
      </c>
      <c r="K858">
        <v>0</v>
      </c>
      <c r="M858">
        <v>0</v>
      </c>
      <c r="O858">
        <v>400000</v>
      </c>
      <c r="R858" t="s">
        <v>136</v>
      </c>
      <c r="S858">
        <v>0.0019793246315789473</v>
      </c>
      <c r="T858">
        <v>0.0039824011587368422</v>
      </c>
      <c r="U858" t="s">
        <v>137</v>
      </c>
      <c r="V858">
        <v>0.027710544842105264</v>
      </c>
      <c r="W858">
        <v>0.82144347400084206</v>
      </c>
      <c r="X858" t="s">
        <v>138</v>
      </c>
      <c r="Y858">
        <v>0.049286608440050526</v>
      </c>
      <c r="Z858">
        <v>0</v>
      </c>
      <c r="AA858" t="s">
        <v>139</v>
      </c>
      <c r="AB858">
        <v>0.098573216880101053</v>
      </c>
      <c r="AC858">
        <v>0.96930329932099368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Q858" t="s">
        <v>140</v>
      </c>
      <c r="AR858" t="s">
        <v>141</v>
      </c>
      <c r="AS858">
        <v>0.79172985263157891</v>
      </c>
    </row>
    <row r="859" spans="1:45" ht="12.75">
      <c r="A859" s="2" t="str">
        <f>HYPERLINK("https://ibp.a2mac1.com/costing(costing:projects/details/8191/material/5319666)","PC")</f>
        <v>PC</v>
      </c>
      <c r="B859">
        <v>5319666</v>
      </c>
      <c r="C859">
        <v>6975320</v>
      </c>
      <c r="E859">
        <v>1.74675</v>
      </c>
      <c r="F859" t="s">
        <v>6254</v>
      </c>
      <c r="G859">
        <v>95</v>
      </c>
      <c r="H859" t="s">
        <v>6255</v>
      </c>
      <c r="I859">
        <v>5</v>
      </c>
      <c r="J859">
        <v>0.50048257265952256</v>
      </c>
      <c r="K859">
        <v>0</v>
      </c>
      <c r="M859">
        <v>0</v>
      </c>
      <c r="O859">
        <v>400000</v>
      </c>
      <c r="R859" t="s">
        <v>136</v>
      </c>
      <c r="S859">
        <v>0.0002399482894736842</v>
      </c>
      <c r="T859">
        <v>0.00048277595842105266</v>
      </c>
      <c r="U859" t="s">
        <v>137</v>
      </c>
      <c r="V859">
        <v>0.0033592760526315788</v>
      </c>
      <c r="W859">
        <v>0.099581419511052635</v>
      </c>
      <c r="X859" t="s">
        <v>138</v>
      </c>
      <c r="Y859">
        <v>0.0059748851706631582</v>
      </c>
      <c r="Z859">
        <v>0</v>
      </c>
      <c r="AA859" t="s">
        <v>139</v>
      </c>
      <c r="AB859">
        <v>0.011949770341326316</v>
      </c>
      <c r="AC859">
        <v>0.11750607502304211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Q859" t="s">
        <v>140</v>
      </c>
      <c r="AR859" t="s">
        <v>141</v>
      </c>
      <c r="AS859">
        <v>0.09597931578947369</v>
      </c>
    </row>
    <row r="860" spans="1:45" ht="12.75">
      <c r="A860" s="2" t="str">
        <f>HYPERLINK("https://ibp.a2mac1.com/costing(costing:projects/details/8191/material/5319667)","ABS")</f>
        <v>ABS</v>
      </c>
      <c r="B860">
        <v>5319667</v>
      </c>
      <c r="C860">
        <v>6975320</v>
      </c>
      <c r="E860">
        <v>2.5272700000000001</v>
      </c>
      <c r="F860" t="s">
        <v>6254</v>
      </c>
      <c r="G860">
        <v>95</v>
      </c>
      <c r="H860" t="s">
        <v>6255</v>
      </c>
      <c r="I860">
        <v>5</v>
      </c>
      <c r="J860">
        <v>0.50048257265952256</v>
      </c>
      <c r="K860">
        <v>0</v>
      </c>
      <c r="M860">
        <v>0</v>
      </c>
      <c r="O860">
        <v>400000</v>
      </c>
      <c r="R860" t="s">
        <v>136</v>
      </c>
      <c r="S860">
        <v>0.00034716708947368422</v>
      </c>
      <c r="T860">
        <v>0.00069850018402105264</v>
      </c>
      <c r="U860" t="s">
        <v>137</v>
      </c>
      <c r="V860">
        <v>0.0048603392526315788</v>
      </c>
      <c r="W860">
        <v>0.14407850813665263</v>
      </c>
      <c r="X860" t="s">
        <v>138</v>
      </c>
      <c r="Y860">
        <v>0.0086447104881991581</v>
      </c>
      <c r="Z860">
        <v>0</v>
      </c>
      <c r="AA860" t="s">
        <v>139</v>
      </c>
      <c r="AB860">
        <v>0.017289420976398316</v>
      </c>
      <c r="AC860">
        <v>0.1700126396012501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Q860" t="s">
        <v>140</v>
      </c>
      <c r="AR860" t="s">
        <v>141</v>
      </c>
      <c r="AS860">
        <v>0.13886683578947367</v>
      </c>
    </row>
    <row r="861" spans="1:45" ht="12.75">
      <c r="A861" s="2" t="str">
        <f>HYPERLINK("https://ibp.a2mac1.com/costing(costing:projects/details/8191/material/5319668)","PP")</f>
        <v>PP</v>
      </c>
      <c r="B861">
        <v>5319668</v>
      </c>
      <c r="C861">
        <v>6975320</v>
      </c>
      <c r="E861">
        <v>1.0113799999999999</v>
      </c>
      <c r="F861" t="s">
        <v>6254</v>
      </c>
      <c r="G861">
        <v>95</v>
      </c>
      <c r="H861" t="s">
        <v>6255</v>
      </c>
      <c r="I861">
        <v>5</v>
      </c>
      <c r="J861">
        <v>0.50048257265952256</v>
      </c>
      <c r="K861">
        <v>0</v>
      </c>
      <c r="M861">
        <v>0</v>
      </c>
      <c r="O861">
        <v>400000</v>
      </c>
      <c r="R861" t="s">
        <v>136</v>
      </c>
      <c r="S861">
        <v>0.00013893167368421054</v>
      </c>
      <c r="T861">
        <v>0.00027953052745263159</v>
      </c>
      <c r="U861" t="s">
        <v>137</v>
      </c>
      <c r="V861">
        <v>0.0019450434315789473</v>
      </c>
      <c r="W861">
        <v>0.057658311759031577</v>
      </c>
      <c r="X861" t="s">
        <v>138</v>
      </c>
      <c r="Y861">
        <v>0.0034594987055418945</v>
      </c>
      <c r="Z861">
        <v>0</v>
      </c>
      <c r="AA861" t="s">
        <v>139</v>
      </c>
      <c r="AB861">
        <v>0.0069189974110837891</v>
      </c>
      <c r="AC861">
        <v>0.06803680787565726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Q861" t="s">
        <v>140</v>
      </c>
      <c r="AR861" t="s">
        <v>141</v>
      </c>
      <c r="AS861">
        <v>0.055572669473684208</v>
      </c>
    </row>
    <row r="862" spans="1:45" ht="12.75">
      <c r="A862" s="2" t="str">
        <f>HYPERLINK("https://ibp.a2mac1.com/costing(costing:projects/details/8191/material/5319669)","TPV-(EPDM-PP)")</f>
        <v>TPV-(EPDM-PP)</v>
      </c>
      <c r="B862">
        <v>5319669</v>
      </c>
      <c r="C862">
        <v>6975320</v>
      </c>
      <c r="E862">
        <v>1.8507400000000001</v>
      </c>
      <c r="F862" t="s">
        <v>6254</v>
      </c>
      <c r="G862">
        <v>95</v>
      </c>
      <c r="H862" t="s">
        <v>6255</v>
      </c>
      <c r="I862">
        <v>5</v>
      </c>
      <c r="J862">
        <v>0.50048257265952256</v>
      </c>
      <c r="K862">
        <v>0</v>
      </c>
      <c r="M862">
        <v>0</v>
      </c>
      <c r="O862">
        <v>400000</v>
      </c>
      <c r="R862" t="s">
        <v>136</v>
      </c>
      <c r="S862">
        <v>0.00025423323157894735</v>
      </c>
      <c r="T862">
        <v>0.00051151726193684208</v>
      </c>
      <c r="U862" t="s">
        <v>137</v>
      </c>
      <c r="V862">
        <v>0.0035592652421052632</v>
      </c>
      <c r="W862">
        <v>0.10550984190404211</v>
      </c>
      <c r="X862" t="s">
        <v>138</v>
      </c>
      <c r="Y862">
        <v>0.0063305905142425267</v>
      </c>
      <c r="Z862">
        <v>0</v>
      </c>
      <c r="AA862" t="s">
        <v>139</v>
      </c>
      <c r="AB862">
        <v>0.012661181028485053</v>
      </c>
      <c r="AC862">
        <v>0.12450161344676969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Q862" t="s">
        <v>140</v>
      </c>
      <c r="AR862" t="s">
        <v>141</v>
      </c>
      <c r="AS862">
        <v>0.10169329263157895</v>
      </c>
    </row>
    <row r="863" spans="1:45" ht="12.75">
      <c r="A863" s="2" t="str">
        <f>HYPERLINK("https://ibp.a2mac1.com/costing(costing:projects/details/8191/material/5319670)","ASA")</f>
        <v>ASA</v>
      </c>
      <c r="B863">
        <v>5319670</v>
      </c>
      <c r="C863">
        <v>6975320</v>
      </c>
      <c r="E863">
        <v>2.4129900000000002</v>
      </c>
      <c r="F863" t="s">
        <v>6254</v>
      </c>
      <c r="G863">
        <v>95</v>
      </c>
      <c r="H863" t="s">
        <v>6255</v>
      </c>
      <c r="I863">
        <v>5</v>
      </c>
      <c r="J863">
        <v>0.50048257265952256</v>
      </c>
      <c r="K863">
        <v>0</v>
      </c>
      <c r="M863">
        <v>0</v>
      </c>
      <c r="O863">
        <v>400000</v>
      </c>
      <c r="R863" t="s">
        <v>136</v>
      </c>
      <c r="S863">
        <v>0.00033146862631578945</v>
      </c>
      <c r="T863">
        <v>0.00066691487614736842</v>
      </c>
      <c r="U863" t="s">
        <v>137</v>
      </c>
      <c r="V863">
        <v>0.0046405607684210527</v>
      </c>
      <c r="W863">
        <v>0.13756345754456842</v>
      </c>
      <c r="X863" t="s">
        <v>138</v>
      </c>
      <c r="Y863">
        <v>0.008253807452674105</v>
      </c>
      <c r="Z863">
        <v>0</v>
      </c>
      <c r="AA863" t="s">
        <v>139</v>
      </c>
      <c r="AB863">
        <v>0.01650761490534821</v>
      </c>
      <c r="AC863">
        <v>0.16232487990259073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Q863" t="s">
        <v>140</v>
      </c>
      <c r="AR863" t="s">
        <v>141</v>
      </c>
      <c r="AS863">
        <v>0.13258745052631579</v>
      </c>
    </row>
    <row r="864" spans="1:45" ht="12.75">
      <c r="A864" s="2" t="str">
        <f>HYPERLINK("https://ibp.a2mac1.com/costing(costing:projects/details/8191/material/5319671)","Aluminum for extrusion (default, e.g. EN-AW6016)")</f>
        <v>Aluminum for extrusion (default, e.g. EN-AW6016)</v>
      </c>
      <c r="B864">
        <v>5319671</v>
      </c>
      <c r="C864">
        <v>6975321</v>
      </c>
      <c r="E864">
        <v>2.3603000000000001</v>
      </c>
      <c r="F864" t="s">
        <v>6262</v>
      </c>
      <c r="G864">
        <v>94.3078</v>
      </c>
      <c r="H864" t="s">
        <v>6263</v>
      </c>
      <c r="I864">
        <v>30</v>
      </c>
      <c r="J864">
        <v>0.1008980929261446</v>
      </c>
      <c r="K864">
        <v>0</v>
      </c>
      <c r="M864">
        <v>0</v>
      </c>
      <c r="O864">
        <v>400000</v>
      </c>
      <c r="R864" t="s">
        <v>136</v>
      </c>
      <c r="S864">
        <v>0.014381562295769808</v>
      </c>
      <c r="T864">
        <v>0.00085060128589575833</v>
      </c>
      <c r="U864" t="s">
        <v>137</v>
      </c>
      <c r="V864">
        <v>0.029476282184506479</v>
      </c>
      <c r="W864">
        <v>0.85812481216053182</v>
      </c>
      <c r="X864" t="s">
        <v>138</v>
      </c>
      <c r="Y864">
        <v>0.051487488729631908</v>
      </c>
      <c r="Z864">
        <v>0</v>
      </c>
      <c r="AA864" t="s">
        <v>139</v>
      </c>
      <c r="AB864">
        <v>0.10297497745926382</v>
      </c>
      <c r="AC864">
        <v>1.0125872783494274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Q864" t="s">
        <v>140</v>
      </c>
      <c r="AR864" t="s">
        <v>141</v>
      </c>
      <c r="AS864">
        <v>0.84217949098589939</v>
      </c>
    </row>
    <row r="865" spans="1:45" ht="12.75">
      <c r="A865" s="2" t="str">
        <f>HYPERLINK("https://ibp.a2mac1.com/costing(costing:projects/details/8191/material/5319672)","PVC-P")</f>
        <v>PVC-P</v>
      </c>
      <c r="B865">
        <v>5319672</v>
      </c>
      <c r="C865">
        <v>6975321</v>
      </c>
      <c r="E865">
        <v>1.4332400000000001</v>
      </c>
      <c r="F865" t="s">
        <v>6265</v>
      </c>
      <c r="G865">
        <v>100</v>
      </c>
      <c r="H865" t="s">
        <v>5501</v>
      </c>
      <c r="I865">
        <v>5</v>
      </c>
      <c r="J865">
        <v>0.1008980929261446</v>
      </c>
      <c r="K865">
        <v>0</v>
      </c>
      <c r="L865">
        <v>0</v>
      </c>
      <c r="M865">
        <v>0</v>
      </c>
      <c r="O865">
        <v>400000</v>
      </c>
      <c r="R865" t="s">
        <v>136</v>
      </c>
      <c r="S865">
        <v>0</v>
      </c>
      <c r="T865">
        <v>0.00010856793</v>
      </c>
      <c r="U865" t="s">
        <v>137</v>
      </c>
      <c r="V865">
        <v>0.0037622549999999999</v>
      </c>
      <c r="W865">
        <v>0.11136382292999999</v>
      </c>
      <c r="X865" t="s">
        <v>138</v>
      </c>
      <c r="Y865">
        <v>0.0066818293757999999</v>
      </c>
      <c r="Z865">
        <v>0</v>
      </c>
      <c r="AA865" t="s">
        <v>139</v>
      </c>
      <c r="AB865">
        <v>0.0133636587516</v>
      </c>
      <c r="AC865">
        <v>0.1314093110574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P865" t="s">
        <v>6266</v>
      </c>
      <c r="AQ865" t="s">
        <v>140</v>
      </c>
      <c r="AR865" t="s">
        <v>141</v>
      </c>
      <c r="AS865">
        <v>0.10749300000000001</v>
      </c>
    </row>
    <row r="866" spans="1:45" ht="12.75">
      <c r="A866" s="2" t="str">
        <f>HYPERLINK("https://ibp.a2mac1.com/costing(costing:projects/details/8191/material/5319673)","PP-EPDM")</f>
        <v>PP-EPDM</v>
      </c>
      <c r="B866">
        <v>5319673</v>
      </c>
      <c r="C866">
        <v>6975322</v>
      </c>
      <c r="E866">
        <v>1.7894600000000001</v>
      </c>
      <c r="F866" t="s">
        <v>6272</v>
      </c>
      <c r="G866">
        <v>93.370699999999999</v>
      </c>
      <c r="H866" t="s">
        <v>6273</v>
      </c>
      <c r="I866">
        <v>5</v>
      </c>
      <c r="J866">
        <v>0.20258874484795864</v>
      </c>
      <c r="K866">
        <v>0</v>
      </c>
      <c r="L866">
        <v>0</v>
      </c>
      <c r="M866">
        <v>0</v>
      </c>
      <c r="O866">
        <v>400000</v>
      </c>
      <c r="R866" t="s">
        <v>136</v>
      </c>
      <c r="S866">
        <v>0.00071783974582711704</v>
      </c>
      <c r="T866">
        <v>0.00043962852308058098</v>
      </c>
      <c r="U866" t="s">
        <v>137</v>
      </c>
      <c r="V866">
        <v>0.0075798021220789815</v>
      </c>
      <c r="W866">
        <v>0.2238673658158748</v>
      </c>
      <c r="X866" t="s">
        <v>138</v>
      </c>
      <c r="Y866">
        <v>0.013432041948952487</v>
      </c>
      <c r="Z866">
        <v>0</v>
      </c>
      <c r="AA866" t="s">
        <v>139</v>
      </c>
      <c r="AB866">
        <v>0.026864083897904973</v>
      </c>
      <c r="AC866">
        <v>0.26416349166273223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Q866" t="s">
        <v>140</v>
      </c>
      <c r="AR866" t="s">
        <v>141</v>
      </c>
      <c r="AS866">
        <v>0.21656577491654233</v>
      </c>
    </row>
    <row r="867" spans="1:45" ht="12.75">
      <c r="A867" s="2" t="str">
        <f>HYPERLINK("https://ibp.a2mac1.com/costing(costing:projects/details/8191/material/5319674)","Steel sheet (default)")</f>
        <v>Steel sheet (default)</v>
      </c>
      <c r="B867">
        <v>5319674</v>
      </c>
      <c r="C867">
        <v>6975324</v>
      </c>
      <c r="E867">
        <v>0.52766000000000002</v>
      </c>
      <c r="F867" t="s">
        <v>6301</v>
      </c>
      <c r="G867">
        <v>67.045699999999997</v>
      </c>
      <c r="H867" t="s">
        <v>6302</v>
      </c>
      <c r="I867">
        <v>30</v>
      </c>
      <c r="J867">
        <v>0.20258874484795864</v>
      </c>
      <c r="K867">
        <v>0</v>
      </c>
      <c r="L867">
        <v>0</v>
      </c>
      <c r="M867">
        <v>0</v>
      </c>
      <c r="O867">
        <v>400000</v>
      </c>
      <c r="R867" t="s">
        <v>136</v>
      </c>
      <c r="S867">
        <v>0.08792148867089164</v>
      </c>
      <c r="T867">
        <v>0.0018053346806730334</v>
      </c>
      <c r="U867" t="s">
        <v>137</v>
      </c>
      <c r="V867">
        <v>0.031126460011604025</v>
      </c>
      <c r="W867">
        <v>0.83433773492435759</v>
      </c>
      <c r="X867" t="s">
        <v>138</v>
      </c>
      <c r="Y867">
        <v>0.050060264095461451</v>
      </c>
      <c r="Z867">
        <v>0</v>
      </c>
      <c r="AA867" t="s">
        <v>139</v>
      </c>
      <c r="AB867">
        <v>0.1001205281909229</v>
      </c>
      <c r="AC867">
        <v>0.98451852721074196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Q867" t="s">
        <v>140</v>
      </c>
      <c r="AR867" t="s">
        <v>141</v>
      </c>
      <c r="AS867">
        <v>0.88932742890297212</v>
      </c>
    </row>
    <row r="868" spans="1:45" ht="12.75">
      <c r="A868" s="2" t="str">
        <f>HYPERLINK("https://ibp.a2mac1.com/costing(costing:projects/details/8191/material/5319956)","PLASTIC UNKNOWN")</f>
        <v>PLASTIC UNKNOWN</v>
      </c>
      <c r="B868">
        <v>5319956</v>
      </c>
      <c r="C868">
        <v>6975521</v>
      </c>
      <c r="E868">
        <v>1.57609</v>
      </c>
      <c r="F868" t="s">
        <v>6311</v>
      </c>
      <c r="G868">
        <v>95</v>
      </c>
      <c r="H868" t="s">
        <v>6312</v>
      </c>
      <c r="I868">
        <v>0</v>
      </c>
      <c r="J868">
        <v>0.50345253019720215</v>
      </c>
      <c r="K868">
        <v>0</v>
      </c>
      <c r="M868">
        <v>0</v>
      </c>
      <c r="O868">
        <v>200000</v>
      </c>
      <c r="R868" t="s">
        <v>136</v>
      </c>
      <c r="S868">
        <v>0</v>
      </c>
      <c r="T868">
        <v>0.008568944178473684</v>
      </c>
      <c r="U868" t="s">
        <v>137</v>
      </c>
      <c r="V868">
        <v>0.059271353013157897</v>
      </c>
      <c r="W868">
        <v>1.7613075261390001</v>
      </c>
      <c r="X868" t="s">
        <v>90</v>
      </c>
      <c r="Y868">
        <v>0</v>
      </c>
      <c r="Z868">
        <v>0</v>
      </c>
      <c r="AA868" t="s">
        <v>90</v>
      </c>
      <c r="AB868">
        <v>0</v>
      </c>
      <c r="AC868">
        <v>1.7613075261390001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Q868" t="s">
        <v>9</v>
      </c>
      <c r="AR868" t="s">
        <v>141</v>
      </c>
      <c r="AS868">
        <v>1.6934672289473685</v>
      </c>
    </row>
    <row r="869" spans="1:45" ht="12.75">
      <c r="A869" s="2" t="str">
        <f>HYPERLINK("https://ibp.a2mac1.com/costing(costing:projects/details/8191/material/5319957)","EPDM")</f>
        <v>EPDM</v>
      </c>
      <c r="B869">
        <v>5319957</v>
      </c>
      <c r="C869">
        <v>6975521</v>
      </c>
      <c r="E869">
        <v>2.78701</v>
      </c>
      <c r="F869" t="s">
        <v>6311</v>
      </c>
      <c r="G869">
        <v>95</v>
      </c>
      <c r="H869" t="s">
        <v>6312</v>
      </c>
      <c r="I869">
        <v>5</v>
      </c>
      <c r="J869">
        <v>0.50345253019720215</v>
      </c>
      <c r="K869">
        <v>0</v>
      </c>
      <c r="M869">
        <v>0</v>
      </c>
      <c r="O869">
        <v>200000</v>
      </c>
      <c r="R869" t="s">
        <v>136</v>
      </c>
      <c r="S869">
        <v>0.0074864222565789477</v>
      </c>
      <c r="T869">
        <v>0.01515251864731579</v>
      </c>
      <c r="U869" t="s">
        <v>137</v>
      </c>
      <c r="V869">
        <v>0.10480991159210526</v>
      </c>
      <c r="W869">
        <v>3.1070449106144209</v>
      </c>
      <c r="X869" t="s">
        <v>90</v>
      </c>
      <c r="Y869">
        <v>0</v>
      </c>
      <c r="Z869">
        <v>0</v>
      </c>
      <c r="AA869" t="s">
        <v>90</v>
      </c>
      <c r="AB869">
        <v>0</v>
      </c>
      <c r="AC869">
        <v>3.1070449106144209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Q869" t="s">
        <v>140</v>
      </c>
      <c r="AR869" t="s">
        <v>141</v>
      </c>
      <c r="AS869">
        <v>2.9945689026315789</v>
      </c>
    </row>
    <row r="870" spans="1:45" ht="12.75">
      <c r="A870" s="2" t="str">
        <f>HYPERLINK("https://ibp.a2mac1.com/costing(costing:projects/details/8191/material/5319958)","PVC")</f>
        <v>PVC</v>
      </c>
      <c r="B870">
        <v>5319958</v>
      </c>
      <c r="C870">
        <v>6975522</v>
      </c>
      <c r="E870">
        <v>1.2835000000000001</v>
      </c>
      <c r="F870" t="s">
        <v>6319</v>
      </c>
      <c r="G870">
        <v>95</v>
      </c>
      <c r="H870" t="s">
        <v>6320</v>
      </c>
      <c r="I870">
        <v>5</v>
      </c>
      <c r="J870">
        <v>0.50048257265952256</v>
      </c>
      <c r="K870">
        <v>0</v>
      </c>
      <c r="M870">
        <v>0</v>
      </c>
      <c r="O870">
        <v>400000</v>
      </c>
      <c r="R870" t="s">
        <v>136</v>
      </c>
      <c r="S870">
        <v>0.00040024934210526315</v>
      </c>
      <c r="T870">
        <v>0.00080530167631578952</v>
      </c>
      <c r="U870" t="s">
        <v>137</v>
      </c>
      <c r="V870">
        <v>0.0056034907894736844</v>
      </c>
      <c r="W870">
        <v>0.16610827996578947</v>
      </c>
      <c r="X870" t="s">
        <v>138</v>
      </c>
      <c r="Y870">
        <v>0.0099664967979473679</v>
      </c>
      <c r="Z870">
        <v>0</v>
      </c>
      <c r="AA870" t="s">
        <v>139</v>
      </c>
      <c r="AB870">
        <v>0.019932993595894736</v>
      </c>
      <c r="AC870">
        <v>0.19600777035963157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Q870" t="s">
        <v>140</v>
      </c>
      <c r="AR870" t="s">
        <v>141</v>
      </c>
      <c r="AS870">
        <v>0.16009973684210527</v>
      </c>
    </row>
    <row r="871" spans="1:45" ht="12.75">
      <c r="A871" s="2" t="str">
        <f>HYPERLINK("https://ibp.a2mac1.com/costing(costing:projects/details/8191/material/5319959)","PP")</f>
        <v>PP</v>
      </c>
      <c r="B871">
        <v>5319959</v>
      </c>
      <c r="C871">
        <v>6975523</v>
      </c>
      <c r="E871">
        <v>1.0113799999999999</v>
      </c>
      <c r="F871" t="s">
        <v>6325</v>
      </c>
      <c r="G871">
        <v>95</v>
      </c>
      <c r="H871" t="s">
        <v>6326</v>
      </c>
      <c r="I871">
        <v>5</v>
      </c>
      <c r="J871">
        <v>0.50048257265952256</v>
      </c>
      <c r="K871">
        <v>0</v>
      </c>
      <c r="M871">
        <v>0</v>
      </c>
      <c r="O871">
        <v>400000</v>
      </c>
      <c r="R871" t="s">
        <v>136</v>
      </c>
      <c r="S871">
        <v>1.9961447368421052E-06</v>
      </c>
      <c r="T871">
        <v>4.0162432105263154E-06</v>
      </c>
      <c r="U871" t="s">
        <v>137</v>
      </c>
      <c r="V871">
        <v>2.7946026315789472E-05</v>
      </c>
      <c r="W871">
        <v>0.00082842401952631581</v>
      </c>
      <c r="X871" t="s">
        <v>138</v>
      </c>
      <c r="Y871">
        <v>4.970544117157895E-05</v>
      </c>
      <c r="Z871">
        <v>0</v>
      </c>
      <c r="AA871" t="s">
        <v>139</v>
      </c>
      <c r="AB871">
        <v>9.94108823431579E-05</v>
      </c>
      <c r="AC871">
        <v>0.00097754034304105264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Q871" t="s">
        <v>140</v>
      </c>
      <c r="AR871" t="s">
        <v>141</v>
      </c>
      <c r="AS871">
        <v>0.00079845789473684215</v>
      </c>
    </row>
    <row r="872" spans="1:45" ht="12.75">
      <c r="A872" s="2" t="str">
        <f>HYPERLINK("https://ibp.a2mac1.com/costing(costing:projects/details/8191/material/5319675)","PA6-GF15")</f>
        <v>PA6-GF15</v>
      </c>
      <c r="B872">
        <v>5319675</v>
      </c>
      <c r="C872">
        <v>6975326</v>
      </c>
      <c r="E872">
        <v>2.12148</v>
      </c>
      <c r="F872" t="s">
        <v>5555</v>
      </c>
      <c r="G872">
        <v>98.039199999999994</v>
      </c>
      <c r="H872" t="s">
        <v>6333</v>
      </c>
      <c r="I872">
        <v>5</v>
      </c>
      <c r="J872">
        <v>0.10389195236953569</v>
      </c>
      <c r="K872">
        <v>0</v>
      </c>
      <c r="M872">
        <v>0</v>
      </c>
      <c r="O872">
        <v>200000</v>
      </c>
      <c r="R872" t="s">
        <v>136</v>
      </c>
      <c r="S872">
        <v>0.00040944898107695695</v>
      </c>
      <c r="T872">
        <v>0.00043434000440640072</v>
      </c>
      <c r="U872" t="s">
        <v>137</v>
      </c>
      <c r="V872">
        <v>0.014617211686753871</v>
      </c>
      <c r="W872">
        <v>0.43227672233162245</v>
      </c>
      <c r="X872" t="s">
        <v>138</v>
      </c>
      <c r="Y872">
        <v>0.025936603339897349</v>
      </c>
      <c r="Z872">
        <v>0</v>
      </c>
      <c r="AA872" t="s">
        <v>139</v>
      </c>
      <c r="AB872">
        <v>0.051873206679794698</v>
      </c>
      <c r="AC872">
        <v>0.51008653235131451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Q872" t="s">
        <v>140</v>
      </c>
      <c r="AR872" t="s">
        <v>141</v>
      </c>
      <c r="AS872">
        <v>0.41763461962153914</v>
      </c>
    </row>
    <row r="873" spans="1:45" ht="12.75">
      <c r="A873" s="2" t="str">
        <f>HYPERLINK("https://ibp.a2mac1.com/costing(costing:projects/details/8191/material/5319676)","PA6-GF15")</f>
        <v>PA6-GF15</v>
      </c>
      <c r="B873">
        <v>5319676</v>
      </c>
      <c r="C873">
        <v>6975327</v>
      </c>
      <c r="E873">
        <v>2.12148</v>
      </c>
      <c r="F873" t="s">
        <v>6338</v>
      </c>
      <c r="G873">
        <v>95</v>
      </c>
      <c r="H873" t="s">
        <v>6339</v>
      </c>
      <c r="I873">
        <v>5</v>
      </c>
      <c r="J873">
        <v>0.50345253019720215</v>
      </c>
      <c r="K873">
        <v>0</v>
      </c>
      <c r="L873">
        <v>0</v>
      </c>
      <c r="M873">
        <v>0</v>
      </c>
      <c r="O873">
        <v>200000</v>
      </c>
      <c r="R873" t="s">
        <v>136</v>
      </c>
      <c r="S873">
        <v>0.0013454649473684211</v>
      </c>
      <c r="T873">
        <v>0.0027232210534736843</v>
      </c>
      <c r="U873" t="s">
        <v>137</v>
      </c>
      <c r="V873">
        <v>0.018836509263157896</v>
      </c>
      <c r="W873">
        <v>0.5584002443166316</v>
      </c>
      <c r="X873" t="s">
        <v>138</v>
      </c>
      <c r="Y873">
        <v>0.033504014658997897</v>
      </c>
      <c r="Z873">
        <v>0</v>
      </c>
      <c r="AA873" t="s">
        <v>139</v>
      </c>
      <c r="AB873">
        <v>0.067008029317995793</v>
      </c>
      <c r="AC873">
        <v>0.65891228829362525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P873" t="s">
        <v>6340</v>
      </c>
      <c r="AQ873" t="s">
        <v>140</v>
      </c>
      <c r="AR873" t="s">
        <v>141</v>
      </c>
      <c r="AS873">
        <v>0.53818597894736842</v>
      </c>
    </row>
    <row r="874" spans="1:45" ht="12.75">
      <c r="A874" s="2" t="str">
        <f>HYPERLINK("https://ibp.a2mac1.com/costing(costing:projects/details/8191/material/5320548)","Standard Structural Steel sheet")</f>
        <v>Standard Structural Steel sheet</v>
      </c>
      <c r="B874">
        <v>5320548</v>
      </c>
      <c r="C874">
        <v>6976139</v>
      </c>
      <c r="E874">
        <v>0.61129999999999995</v>
      </c>
      <c r="F874" t="s">
        <v>6351</v>
      </c>
      <c r="G874">
        <v>90</v>
      </c>
      <c r="H874" t="s">
        <v>6352</v>
      </c>
      <c r="I874">
        <v>30</v>
      </c>
      <c r="J874">
        <v>0.013998040274361589</v>
      </c>
      <c r="K874">
        <v>0</v>
      </c>
      <c r="L874">
        <v>0</v>
      </c>
      <c r="M874">
        <v>0</v>
      </c>
      <c r="O874">
        <v>200000</v>
      </c>
      <c r="R874" t="s">
        <v>136</v>
      </c>
      <c r="S874">
        <v>0.024044466666666667</v>
      </c>
      <c r="T874">
        <v>0.00011220751111111111</v>
      </c>
      <c r="U874" t="s">
        <v>137</v>
      </c>
      <c r="V874">
        <v>0.028051877777777779</v>
      </c>
      <c r="W874">
        <v>0.80560184084444442</v>
      </c>
      <c r="X874" t="s">
        <v>138</v>
      </c>
      <c r="Y874">
        <v>0.048336110450666665</v>
      </c>
      <c r="Z874">
        <v>0</v>
      </c>
      <c r="AA874" t="s">
        <v>139</v>
      </c>
      <c r="AB874">
        <v>0.096672220901333331</v>
      </c>
      <c r="AC874">
        <v>0.95061017219644439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Q874" t="s">
        <v>140</v>
      </c>
      <c r="AR874" t="s">
        <v>141</v>
      </c>
      <c r="AS874">
        <v>0.80148222222222221</v>
      </c>
    </row>
    <row r="875" spans="1:45" ht="12.75">
      <c r="A875" s="2" t="str">
        <f>HYPERLINK("https://ibp.a2mac1.com/costing(costing:projects/details/8191/material/5320549)","Standard Structural Steel sheet")</f>
        <v>Standard Structural Steel sheet</v>
      </c>
      <c r="B875">
        <v>5320549</v>
      </c>
      <c r="C875">
        <v>6976140</v>
      </c>
      <c r="E875">
        <v>0.61129999999999995</v>
      </c>
      <c r="F875" t="s">
        <v>6357</v>
      </c>
      <c r="G875">
        <v>90</v>
      </c>
      <c r="H875" t="s">
        <v>6358</v>
      </c>
      <c r="I875">
        <v>30</v>
      </c>
      <c r="J875">
        <v>0.013998040274361589</v>
      </c>
      <c r="K875">
        <v>0</v>
      </c>
      <c r="L875">
        <v>0</v>
      </c>
      <c r="M875">
        <v>0</v>
      </c>
      <c r="O875">
        <v>200000</v>
      </c>
      <c r="R875" t="s">
        <v>136</v>
      </c>
      <c r="S875">
        <v>0.022821866666666666</v>
      </c>
      <c r="T875">
        <v>0.00010650204444444444</v>
      </c>
      <c r="U875" t="s">
        <v>137</v>
      </c>
      <c r="V875">
        <v>0.026625511111111111</v>
      </c>
      <c r="W875">
        <v>0.76463903537777778</v>
      </c>
      <c r="X875" t="s">
        <v>138</v>
      </c>
      <c r="Y875">
        <v>0.045878342122666664</v>
      </c>
      <c r="Z875">
        <v>0</v>
      </c>
      <c r="AA875" t="s">
        <v>139</v>
      </c>
      <c r="AB875">
        <v>0.091756684245333328</v>
      </c>
      <c r="AC875">
        <v>0.90227406174577773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Q875" t="s">
        <v>140</v>
      </c>
      <c r="AR875" t="s">
        <v>141</v>
      </c>
      <c r="AS875">
        <v>0.7607288888888889</v>
      </c>
    </row>
    <row r="876" spans="1:45" ht="12.75">
      <c r="A876" s="2" t="str">
        <f>HYPERLINK("https://ibp.a2mac1.com/costing(costing:projects/details/8191/material/5320550)","Standard Structural Steel sheet")</f>
        <v>Standard Structural Steel sheet</v>
      </c>
      <c r="B876">
        <v>5320550</v>
      </c>
      <c r="C876">
        <v>6976141</v>
      </c>
      <c r="E876">
        <v>0.61129999999999995</v>
      </c>
      <c r="F876" t="s">
        <v>3304</v>
      </c>
      <c r="G876">
        <v>75</v>
      </c>
      <c r="H876" t="s">
        <v>3305</v>
      </c>
      <c r="I876">
        <v>30</v>
      </c>
      <c r="J876">
        <v>0.01099879013308536</v>
      </c>
      <c r="K876">
        <v>0</v>
      </c>
      <c r="L876">
        <v>0</v>
      </c>
      <c r="M876">
        <v>0</v>
      </c>
      <c r="O876">
        <v>400000</v>
      </c>
      <c r="R876" t="s">
        <v>136</v>
      </c>
      <c r="S876">
        <v>0.012837299999999999</v>
      </c>
      <c r="T876">
        <v>1.8828039999999999E-05</v>
      </c>
      <c r="U876" t="s">
        <v>137</v>
      </c>
      <c r="V876">
        <v>0.0059907399999999996</v>
      </c>
      <c r="W876">
        <v>0.16433626804000001</v>
      </c>
      <c r="X876" t="s">
        <v>138</v>
      </c>
      <c r="Y876">
        <v>0.0098601760824</v>
      </c>
      <c r="Z876">
        <v>0</v>
      </c>
      <c r="AA876" t="s">
        <v>139</v>
      </c>
      <c r="AB876">
        <v>0.0197203521648</v>
      </c>
      <c r="AC876">
        <v>0.19391679628719999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Q876" t="s">
        <v>140</v>
      </c>
      <c r="AR876" t="s">
        <v>141</v>
      </c>
      <c r="AS876">
        <v>0.17116400000000001</v>
      </c>
    </row>
    <row r="877" spans="1:45" ht="12.75">
      <c r="A877" s="2" t="str">
        <f>HYPERLINK("https://ibp.a2mac1.com/costing(costing:projects/details/8191/material/5320551)","Standard Structural Steel sheet")</f>
        <v>Standard Structural Steel sheet</v>
      </c>
      <c r="B877">
        <v>5320551</v>
      </c>
      <c r="C877">
        <v>6976142</v>
      </c>
      <c r="E877">
        <v>0.61129999999999995</v>
      </c>
      <c r="F877" t="s">
        <v>6366</v>
      </c>
      <c r="G877">
        <v>80</v>
      </c>
      <c r="H877" t="s">
        <v>6367</v>
      </c>
      <c r="I877">
        <v>30</v>
      </c>
      <c r="J877">
        <v>0.013998040274361589</v>
      </c>
      <c r="K877">
        <v>0</v>
      </c>
      <c r="L877">
        <v>0</v>
      </c>
      <c r="M877">
        <v>0</v>
      </c>
      <c r="O877">
        <v>200000</v>
      </c>
      <c r="R877" t="s">
        <v>136</v>
      </c>
      <c r="S877">
        <v>0.072439050000000005</v>
      </c>
      <c r="T877">
        <v>0.00016902445</v>
      </c>
      <c r="U877" t="s">
        <v>137</v>
      </c>
      <c r="V877">
        <v>0.042256112499999998</v>
      </c>
      <c r="W877">
        <v>1.1773035869499999</v>
      </c>
      <c r="X877" t="s">
        <v>138</v>
      </c>
      <c r="Y877">
        <v>0.070638215217000005</v>
      </c>
      <c r="Z877">
        <v>0</v>
      </c>
      <c r="AA877" t="s">
        <v>139</v>
      </c>
      <c r="AB877">
        <v>0.14127643043400001</v>
      </c>
      <c r="AC877">
        <v>1.3892182326010001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Q877" t="s">
        <v>140</v>
      </c>
      <c r="AR877" t="s">
        <v>141</v>
      </c>
      <c r="AS877">
        <v>1.2073175</v>
      </c>
    </row>
    <row r="878" spans="1:45" ht="12.75">
      <c r="A878" s="2" t="str">
        <f>HYPERLINK("https://ibp.a2mac1.com/costing(costing:projects/details/8191/material/5320588)","Standard Structural Steel sheet")</f>
        <v>Standard Structural Steel sheet</v>
      </c>
      <c r="B878">
        <v>5320588</v>
      </c>
      <c r="C878">
        <v>6976179</v>
      </c>
      <c r="E878">
        <v>0.61129999999999995</v>
      </c>
      <c r="F878" t="s">
        <v>5403</v>
      </c>
      <c r="G878">
        <v>90</v>
      </c>
      <c r="H878" t="s">
        <v>6373</v>
      </c>
      <c r="I878">
        <v>30</v>
      </c>
      <c r="J878">
        <v>0.013998040274361589</v>
      </c>
      <c r="K878">
        <v>0</v>
      </c>
      <c r="L878">
        <v>0</v>
      </c>
      <c r="M878">
        <v>0</v>
      </c>
      <c r="O878">
        <v>200000</v>
      </c>
      <c r="R878" t="s">
        <v>136</v>
      </c>
      <c r="S878">
        <v>0.0134486</v>
      </c>
      <c r="T878">
        <v>6.2760133333333336E-05</v>
      </c>
      <c r="U878" t="s">
        <v>137</v>
      </c>
      <c r="V878">
        <v>0.015690033333333332</v>
      </c>
      <c r="W878">
        <v>0.45059086013333333</v>
      </c>
      <c r="X878" t="s">
        <v>138</v>
      </c>
      <c r="Y878">
        <v>0.027035451608</v>
      </c>
      <c r="Z878">
        <v>0</v>
      </c>
      <c r="AA878" t="s">
        <v>139</v>
      </c>
      <c r="AB878">
        <v>0.054070903215999999</v>
      </c>
      <c r="AC878">
        <v>0.53169721495733335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Q878" t="s">
        <v>140</v>
      </c>
      <c r="AR878" t="s">
        <v>141</v>
      </c>
      <c r="AS878">
        <v>0.44828666666666667</v>
      </c>
    </row>
    <row r="879" spans="1:45" ht="12.75">
      <c r="A879" s="2" t="str">
        <f>HYPERLINK("https://ibp.a2mac1.com/costing(costing:projects/details/8191/material/5320368)","Standard Structural Steel sheet")</f>
        <v>Standard Structural Steel sheet</v>
      </c>
      <c r="B879">
        <v>5320368</v>
      </c>
      <c r="C879">
        <v>6975904</v>
      </c>
      <c r="E879">
        <v>0.61129999999999995</v>
      </c>
      <c r="F879" t="s">
        <v>6378</v>
      </c>
      <c r="G879">
        <v>80</v>
      </c>
      <c r="H879" t="s">
        <v>6379</v>
      </c>
      <c r="I879">
        <v>30</v>
      </c>
      <c r="J879">
        <v>0.013998040274361589</v>
      </c>
      <c r="K879">
        <v>0</v>
      </c>
      <c r="L879">
        <v>0</v>
      </c>
      <c r="M879">
        <v>0</v>
      </c>
      <c r="O879">
        <v>200000</v>
      </c>
      <c r="R879" t="s">
        <v>136</v>
      </c>
      <c r="S879">
        <v>0.20631374999999999</v>
      </c>
      <c r="T879">
        <v>0.00048139875</v>
      </c>
      <c r="U879" t="s">
        <v>137</v>
      </c>
      <c r="V879">
        <v>0.1203496875</v>
      </c>
      <c r="W879">
        <v>3.3530798362500001</v>
      </c>
      <c r="X879" t="s">
        <v>90</v>
      </c>
      <c r="Y879">
        <v>0</v>
      </c>
      <c r="Z879">
        <v>0</v>
      </c>
      <c r="AA879" t="s">
        <v>90</v>
      </c>
      <c r="AB879">
        <v>0</v>
      </c>
      <c r="AC879">
        <v>3.3530798362500001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Q879" t="s">
        <v>140</v>
      </c>
      <c r="AR879" t="s">
        <v>141</v>
      </c>
      <c r="AS879">
        <v>3.4385625000000002</v>
      </c>
    </row>
    <row r="880" spans="1:45" ht="12.75">
      <c r="A880" s="2" t="str">
        <f>HYPERLINK("https://ibp.a2mac1.com/costing(costing:projects/details/8191/material/5320552)","Standard Structural Steel sheet")</f>
        <v>Standard Structural Steel sheet</v>
      </c>
      <c r="B880">
        <v>5320552</v>
      </c>
      <c r="C880">
        <v>6976143</v>
      </c>
      <c r="E880">
        <v>0.61129999999999995</v>
      </c>
      <c r="F880" t="s">
        <v>3447</v>
      </c>
      <c r="G880">
        <v>70</v>
      </c>
      <c r="H880" t="s">
        <v>6385</v>
      </c>
      <c r="I880">
        <v>30</v>
      </c>
      <c r="J880">
        <v>0.01099879013308536</v>
      </c>
      <c r="K880">
        <v>0</v>
      </c>
      <c r="L880">
        <v>0</v>
      </c>
      <c r="M880">
        <v>0</v>
      </c>
      <c r="O880">
        <v>400000</v>
      </c>
      <c r="R880" t="s">
        <v>136</v>
      </c>
      <c r="S880">
        <v>0.062876571428571434</v>
      </c>
      <c r="T880">
        <v>7.6849142857142859E-05</v>
      </c>
      <c r="U880" t="s">
        <v>137</v>
      </c>
      <c r="V880">
        <v>0.024452000000000002</v>
      </c>
      <c r="W880">
        <v>0.66028084914285712</v>
      </c>
      <c r="X880" t="s">
        <v>138</v>
      </c>
      <c r="Y880">
        <v>0.039616850948571432</v>
      </c>
      <c r="Z880">
        <v>0</v>
      </c>
      <c r="AA880" t="s">
        <v>139</v>
      </c>
      <c r="AB880">
        <v>0.079233701897142864</v>
      </c>
      <c r="AC880">
        <v>0.77913140198857145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Q880" t="s">
        <v>140</v>
      </c>
      <c r="AR880" t="s">
        <v>141</v>
      </c>
      <c r="AS880">
        <v>0.69862857142857138</v>
      </c>
    </row>
    <row r="881" spans="1:45" ht="12.75">
      <c r="A881" s="2" t="str">
        <f>HYPERLINK("https://ibp.a2mac1.com/costing(costing:projects/details/8191/material/5320369)","Standard Structural Steel sheet")</f>
        <v>Standard Structural Steel sheet</v>
      </c>
      <c r="B881">
        <v>5320369</v>
      </c>
      <c r="C881">
        <v>6975905</v>
      </c>
      <c r="E881">
        <v>0.61129999999999995</v>
      </c>
      <c r="F881" t="s">
        <v>6391</v>
      </c>
      <c r="G881">
        <v>75</v>
      </c>
      <c r="H881" t="s">
        <v>6392</v>
      </c>
      <c r="I881">
        <v>30</v>
      </c>
      <c r="J881">
        <v>0.013998040274361589</v>
      </c>
      <c r="K881">
        <v>0</v>
      </c>
      <c r="L881">
        <v>0</v>
      </c>
      <c r="M881">
        <v>0</v>
      </c>
      <c r="O881">
        <v>200000</v>
      </c>
      <c r="R881" t="s">
        <v>136</v>
      </c>
      <c r="S881">
        <v>0.1332634</v>
      </c>
      <c r="T881">
        <v>0.00024875834666666669</v>
      </c>
      <c r="U881" t="s">
        <v>137</v>
      </c>
      <c r="V881">
        <v>0.062189586666666664</v>
      </c>
      <c r="W881">
        <v>1.7060202783466667</v>
      </c>
      <c r="X881" t="s">
        <v>138</v>
      </c>
      <c r="Y881">
        <v>0.10236121670080001</v>
      </c>
      <c r="Z881">
        <v>0</v>
      </c>
      <c r="AA881" t="s">
        <v>139</v>
      </c>
      <c r="AB881">
        <v>0.20472243340160001</v>
      </c>
      <c r="AC881">
        <v>2.0131039284490666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Q881" t="s">
        <v>140</v>
      </c>
      <c r="AR881" t="s">
        <v>141</v>
      </c>
      <c r="AS881">
        <v>1.7768453333333334</v>
      </c>
    </row>
    <row r="882" spans="1:45" ht="12.75">
      <c r="A882" s="2" t="str">
        <f>HYPERLINK("https://ibp.a2mac1.com/costing(costing:projects/details/8191/material/5320370)","Standard Structural Steel sheet")</f>
        <v>Standard Structural Steel sheet</v>
      </c>
      <c r="B882">
        <v>5320370</v>
      </c>
      <c r="C882">
        <v>6975906</v>
      </c>
      <c r="E882">
        <v>0.61129999999999995</v>
      </c>
      <c r="F882" t="s">
        <v>2822</v>
      </c>
      <c r="G882">
        <v>65</v>
      </c>
      <c r="H882" t="s">
        <v>6396</v>
      </c>
      <c r="I882">
        <v>30</v>
      </c>
      <c r="J882">
        <v>0.01099879013308536</v>
      </c>
      <c r="K882">
        <v>0</v>
      </c>
      <c r="L882">
        <v>0</v>
      </c>
      <c r="M882">
        <v>0</v>
      </c>
      <c r="O882">
        <v>400000</v>
      </c>
      <c r="R882" t="s">
        <v>136</v>
      </c>
      <c r="S882">
        <v>0.033574476923076926</v>
      </c>
      <c r="T882">
        <v>3.5173261538461539E-05</v>
      </c>
      <c r="U882" t="s">
        <v>137</v>
      </c>
      <c r="V882">
        <v>0.011191492307692308</v>
      </c>
      <c r="W882">
        <v>0.29740911172307694</v>
      </c>
      <c r="X882" t="s">
        <v>138</v>
      </c>
      <c r="Y882">
        <v>0.017844546703384614</v>
      </c>
      <c r="Z882">
        <v>0</v>
      </c>
      <c r="AA882" t="s">
        <v>139</v>
      </c>
      <c r="AB882">
        <v>0.035689093406769228</v>
      </c>
      <c r="AC882">
        <v>0.35094275183323076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Q882" t="s">
        <v>140</v>
      </c>
      <c r="AR882" t="s">
        <v>141</v>
      </c>
      <c r="AS882">
        <v>0.31975692307692305</v>
      </c>
    </row>
    <row r="883" spans="1:45" ht="12.75">
      <c r="A883" s="2" t="str">
        <f>HYPERLINK("https://ibp.a2mac1.com/costing(costing:projects/details/8191/material/5320371)","Standard Structural Steel sheet")</f>
        <v>Standard Structural Steel sheet</v>
      </c>
      <c r="B883">
        <v>5320371</v>
      </c>
      <c r="C883">
        <v>6975907</v>
      </c>
      <c r="E883">
        <v>0.61129999999999995</v>
      </c>
      <c r="F883" t="s">
        <v>6399</v>
      </c>
      <c r="G883">
        <v>70</v>
      </c>
      <c r="H883" t="s">
        <v>6400</v>
      </c>
      <c r="I883">
        <v>30</v>
      </c>
      <c r="J883">
        <v>0.01099879013308536</v>
      </c>
      <c r="K883">
        <v>0</v>
      </c>
      <c r="L883">
        <v>0</v>
      </c>
      <c r="M883">
        <v>0</v>
      </c>
      <c r="O883">
        <v>400000</v>
      </c>
      <c r="R883" t="s">
        <v>136</v>
      </c>
      <c r="S883">
        <v>0.018077014285714284</v>
      </c>
      <c r="T883">
        <v>2.2094128571428571E-05</v>
      </c>
      <c r="U883" t="s">
        <v>137</v>
      </c>
      <c r="V883">
        <v>0.0070299500000000001</v>
      </c>
      <c r="W883">
        <v>0.18983074412857143</v>
      </c>
      <c r="X883" t="s">
        <v>138</v>
      </c>
      <c r="Y883">
        <v>0.011389844647714286</v>
      </c>
      <c r="Z883">
        <v>0</v>
      </c>
      <c r="AA883" t="s">
        <v>139</v>
      </c>
      <c r="AB883">
        <v>0.022779689295428573</v>
      </c>
      <c r="AC883">
        <v>0.2240002780717143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Q883" t="s">
        <v>140</v>
      </c>
      <c r="AR883" t="s">
        <v>141</v>
      </c>
      <c r="AS883">
        <v>0.20085571428571428</v>
      </c>
    </row>
    <row r="884" spans="1:45" ht="12.75">
      <c r="A884" s="2" t="str">
        <f>HYPERLINK("https://ibp.a2mac1.com/costing(costing:projects/details/8191/material/5320372)","Standard Structural Steel sheet")</f>
        <v>Standard Structural Steel sheet</v>
      </c>
      <c r="B884">
        <v>5320372</v>
      </c>
      <c r="C884">
        <v>6975908</v>
      </c>
      <c r="E884">
        <v>0.61129999999999995</v>
      </c>
      <c r="F884" t="s">
        <v>1882</v>
      </c>
      <c r="G884">
        <v>70</v>
      </c>
      <c r="H884" t="s">
        <v>6404</v>
      </c>
      <c r="I884">
        <v>30</v>
      </c>
      <c r="J884">
        <v>0.01099879013308536</v>
      </c>
      <c r="K884">
        <v>0</v>
      </c>
      <c r="L884">
        <v>0</v>
      </c>
      <c r="M884">
        <v>0</v>
      </c>
      <c r="O884">
        <v>400000</v>
      </c>
      <c r="R884" t="s">
        <v>136</v>
      </c>
      <c r="S884">
        <v>0.0110034</v>
      </c>
      <c r="T884">
        <v>1.34486E-05</v>
      </c>
      <c r="U884" t="s">
        <v>137</v>
      </c>
      <c r="V884">
        <v>0.0042791000000000001</v>
      </c>
      <c r="W884">
        <v>0.1155491486</v>
      </c>
      <c r="X884" t="s">
        <v>138</v>
      </c>
      <c r="Y884">
        <v>0.0069329489160000002</v>
      </c>
      <c r="Z884">
        <v>0</v>
      </c>
      <c r="AA884" t="s">
        <v>139</v>
      </c>
      <c r="AB884">
        <v>0.013865897832</v>
      </c>
      <c r="AC884">
        <v>0.13634799534799999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Q884" t="s">
        <v>140</v>
      </c>
      <c r="AR884" t="s">
        <v>141</v>
      </c>
      <c r="AS884">
        <v>0.12225999999999999</v>
      </c>
    </row>
    <row r="885" spans="1:45" ht="12.75">
      <c r="A885" s="2" t="str">
        <f>HYPERLINK("https://ibp.a2mac1.com/costing(costing:projects/details/8191/material/5320373)","Standard Structural Steel sheet")</f>
        <v>Standard Structural Steel sheet</v>
      </c>
      <c r="B885">
        <v>5320373</v>
      </c>
      <c r="C885">
        <v>6975909</v>
      </c>
      <c r="E885">
        <v>0.61129999999999995</v>
      </c>
      <c r="F885" t="s">
        <v>509</v>
      </c>
      <c r="G885">
        <v>70</v>
      </c>
      <c r="H885" t="s">
        <v>6407</v>
      </c>
      <c r="I885">
        <v>30</v>
      </c>
      <c r="J885">
        <v>0.01099879013308536</v>
      </c>
      <c r="K885">
        <v>0</v>
      </c>
      <c r="L885">
        <v>0</v>
      </c>
      <c r="M885">
        <v>0</v>
      </c>
      <c r="O885">
        <v>400000</v>
      </c>
      <c r="R885" t="s">
        <v>136</v>
      </c>
      <c r="S885">
        <v>0.0039297857142857147</v>
      </c>
      <c r="T885">
        <v>4.8030714285714287E-06</v>
      </c>
      <c r="U885" t="s">
        <v>137</v>
      </c>
      <c r="V885">
        <v>0.0015282500000000001</v>
      </c>
      <c r="W885">
        <v>0.04126755307142857</v>
      </c>
      <c r="X885" t="s">
        <v>138</v>
      </c>
      <c r="Y885">
        <v>0.0024760531842857145</v>
      </c>
      <c r="Z885">
        <v>0</v>
      </c>
      <c r="AA885" t="s">
        <v>139</v>
      </c>
      <c r="AB885">
        <v>0.004952106368571429</v>
      </c>
      <c r="AC885">
        <v>0.048695712624285716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Q885" t="s">
        <v>140</v>
      </c>
      <c r="AR885" t="s">
        <v>141</v>
      </c>
      <c r="AS885">
        <v>0.043664285714285711</v>
      </c>
    </row>
    <row r="886" spans="1:45" ht="12.75">
      <c r="A886" s="2" t="str">
        <f>HYPERLINK("https://ibp.a2mac1.com/costing(costing:projects/details/8191/material/5320374)","Standard Structural Steel sheet")</f>
        <v>Standard Structural Steel sheet</v>
      </c>
      <c r="B886">
        <v>5320374</v>
      </c>
      <c r="C886">
        <v>6975910</v>
      </c>
      <c r="E886">
        <v>0.61129999999999995</v>
      </c>
      <c r="F886" t="s">
        <v>509</v>
      </c>
      <c r="G886">
        <v>70</v>
      </c>
      <c r="H886" t="s">
        <v>6407</v>
      </c>
      <c r="I886">
        <v>30</v>
      </c>
      <c r="J886">
        <v>0.01099879013308536</v>
      </c>
      <c r="K886">
        <v>0</v>
      </c>
      <c r="L886">
        <v>0</v>
      </c>
      <c r="M886">
        <v>0</v>
      </c>
      <c r="O886">
        <v>400000</v>
      </c>
      <c r="R886" t="s">
        <v>136</v>
      </c>
      <c r="S886">
        <v>0.0039297857142857147</v>
      </c>
      <c r="T886">
        <v>4.8030714285714287E-06</v>
      </c>
      <c r="U886" t="s">
        <v>137</v>
      </c>
      <c r="V886">
        <v>0.0015282500000000001</v>
      </c>
      <c r="W886">
        <v>0.04126755307142857</v>
      </c>
      <c r="X886" t="s">
        <v>138</v>
      </c>
      <c r="Y886">
        <v>0.0024760531842857145</v>
      </c>
      <c r="Z886">
        <v>0</v>
      </c>
      <c r="AA886" t="s">
        <v>139</v>
      </c>
      <c r="AB886">
        <v>0.004952106368571429</v>
      </c>
      <c r="AC886">
        <v>0.048695712624285716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Q886" t="s">
        <v>140</v>
      </c>
      <c r="AR886" t="s">
        <v>141</v>
      </c>
      <c r="AS886">
        <v>0.043664285714285711</v>
      </c>
    </row>
    <row r="887" spans="1:45" ht="12.75">
      <c r="A887" s="2" t="str">
        <f>HYPERLINK("https://ibp.a2mac1.com/costing(costing:projects/details/8191/material/5320375)","Standard Structural Steel sheet")</f>
        <v>Standard Structural Steel sheet</v>
      </c>
      <c r="B887">
        <v>5320375</v>
      </c>
      <c r="C887">
        <v>6975911</v>
      </c>
      <c r="E887">
        <v>0.61129999999999995</v>
      </c>
      <c r="F887" t="s">
        <v>1885</v>
      </c>
      <c r="G887">
        <v>60</v>
      </c>
      <c r="H887" t="s">
        <v>6412</v>
      </c>
      <c r="I887">
        <v>30</v>
      </c>
      <c r="J887">
        <v>0.013998040274361589</v>
      </c>
      <c r="K887">
        <v>0</v>
      </c>
      <c r="L887">
        <v>0</v>
      </c>
      <c r="M887">
        <v>0</v>
      </c>
      <c r="O887">
        <v>200000</v>
      </c>
      <c r="R887" t="s">
        <v>136</v>
      </c>
      <c r="S887">
        <v>0.0048903999999999996</v>
      </c>
      <c r="T887">
        <v>5.7054666666666664E-06</v>
      </c>
      <c r="U887" t="s">
        <v>137</v>
      </c>
      <c r="V887">
        <v>0.0014263666666666666</v>
      </c>
      <c r="W887">
        <v>0.03729500546666667</v>
      </c>
      <c r="X887" t="s">
        <v>138</v>
      </c>
      <c r="Y887">
        <v>0.002237700328</v>
      </c>
      <c r="Z887">
        <v>0</v>
      </c>
      <c r="AA887" t="s">
        <v>139</v>
      </c>
      <c r="AB887">
        <v>0.004475400656</v>
      </c>
      <c r="AC887">
        <v>0.044008106450666669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Q887" t="s">
        <v>140</v>
      </c>
      <c r="AR887" t="s">
        <v>141</v>
      </c>
      <c r="AS887">
        <v>0.040753333333333336</v>
      </c>
    </row>
    <row r="888" spans="1:45" ht="12.75">
      <c r="A888" s="2" t="str">
        <f>HYPERLINK("https://ibp.a2mac1.com/costing(costing:projects/details/8191/material/5320383)","Standard Structural Steel sheet")</f>
        <v>Standard Structural Steel sheet</v>
      </c>
      <c r="B888">
        <v>5320383</v>
      </c>
      <c r="C888">
        <v>6975912</v>
      </c>
      <c r="E888">
        <v>0.61129999999999995</v>
      </c>
      <c r="F888" t="s">
        <v>6417</v>
      </c>
      <c r="G888">
        <v>60</v>
      </c>
      <c r="H888" t="s">
        <v>6418</v>
      </c>
      <c r="I888">
        <v>30</v>
      </c>
      <c r="J888">
        <v>0.013998040274361589</v>
      </c>
      <c r="K888">
        <v>0</v>
      </c>
      <c r="L888">
        <v>0</v>
      </c>
      <c r="M888">
        <v>0</v>
      </c>
      <c r="O888">
        <v>200000</v>
      </c>
      <c r="R888" t="s">
        <v>136</v>
      </c>
      <c r="S888">
        <v>0.3594444</v>
      </c>
      <c r="T888">
        <v>0.00041935179999999999</v>
      </c>
      <c r="U888" t="s">
        <v>137</v>
      </c>
      <c r="V888">
        <v>0.10483795</v>
      </c>
      <c r="W888">
        <v>2.7411829017999998</v>
      </c>
      <c r="X888" t="s">
        <v>138</v>
      </c>
      <c r="Y888">
        <v>0.16447097410799999</v>
      </c>
      <c r="Z888">
        <v>0</v>
      </c>
      <c r="AA888" t="s">
        <v>139</v>
      </c>
      <c r="AB888">
        <v>0.32894194821599998</v>
      </c>
      <c r="AC888">
        <v>3.2345958241239998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Q888" t="s">
        <v>140</v>
      </c>
      <c r="AR888" t="s">
        <v>141</v>
      </c>
      <c r="AS888">
        <v>2.9953699999999999</v>
      </c>
    </row>
    <row r="889" spans="1:45" ht="12.75">
      <c r="A889" s="2" t="str">
        <f>HYPERLINK("https://ibp.a2mac1.com/costing(costing:projects/details/8191/material/5320384)","Standard Structural Steel sheet")</f>
        <v>Standard Structural Steel sheet</v>
      </c>
      <c r="B889">
        <v>5320384</v>
      </c>
      <c r="C889">
        <v>6975913</v>
      </c>
      <c r="E889">
        <v>0.61129999999999995</v>
      </c>
      <c r="F889" t="s">
        <v>6422</v>
      </c>
      <c r="G889">
        <v>60</v>
      </c>
      <c r="H889" t="s">
        <v>6423</v>
      </c>
      <c r="I889">
        <v>30</v>
      </c>
      <c r="J889">
        <v>0.01099879013308536</v>
      </c>
      <c r="K889">
        <v>0</v>
      </c>
      <c r="L889">
        <v>0</v>
      </c>
      <c r="M889">
        <v>0</v>
      </c>
      <c r="O889">
        <v>400000</v>
      </c>
      <c r="R889" t="s">
        <v>136</v>
      </c>
      <c r="S889">
        <v>0.11370180000000001</v>
      </c>
      <c r="T889">
        <v>0.00010422665000000001</v>
      </c>
      <c r="U889" t="s">
        <v>137</v>
      </c>
      <c r="V889">
        <v>0.033163024999999999</v>
      </c>
      <c r="W889">
        <v>0.86708045165000003</v>
      </c>
      <c r="X889" t="s">
        <v>138</v>
      </c>
      <c r="Y889">
        <v>0.052024827098999998</v>
      </c>
      <c r="Z889">
        <v>0</v>
      </c>
      <c r="AA889" t="s">
        <v>139</v>
      </c>
      <c r="AB889">
        <v>0.104049654198</v>
      </c>
      <c r="AC889">
        <v>1.023154932947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Q889" t="s">
        <v>140</v>
      </c>
      <c r="AR889" t="s">
        <v>141</v>
      </c>
      <c r="AS889">
        <v>0.947515</v>
      </c>
    </row>
    <row r="890" spans="1:45" ht="12.75">
      <c r="A890" s="2" t="str">
        <f>HYPERLINK("https://ibp.a2mac1.com/costing(costing:projects/details/8191/material/5320385)","Standard Structural Steel sheet")</f>
        <v>Standard Structural Steel sheet</v>
      </c>
      <c r="B890">
        <v>5320385</v>
      </c>
      <c r="C890">
        <v>6975914</v>
      </c>
      <c r="E890">
        <v>0.61129999999999995</v>
      </c>
      <c r="F890" t="s">
        <v>1885</v>
      </c>
      <c r="G890">
        <v>65</v>
      </c>
      <c r="H890" t="s">
        <v>6427</v>
      </c>
      <c r="I890">
        <v>30</v>
      </c>
      <c r="J890">
        <v>0.013998040274361589</v>
      </c>
      <c r="K890">
        <v>0</v>
      </c>
      <c r="L890">
        <v>0</v>
      </c>
      <c r="M890">
        <v>0</v>
      </c>
      <c r="O890">
        <v>200000</v>
      </c>
      <c r="R890" t="s">
        <v>136</v>
      </c>
      <c r="S890">
        <v>0.0039499384615384612</v>
      </c>
      <c r="T890">
        <v>5.2665846153846151E-06</v>
      </c>
      <c r="U890" t="s">
        <v>137</v>
      </c>
      <c r="V890">
        <v>0.0013166461538461538</v>
      </c>
      <c r="W890">
        <v>0.034990435815384614</v>
      </c>
      <c r="X890" t="s">
        <v>138</v>
      </c>
      <c r="Y890">
        <v>0.0020994261489230767</v>
      </c>
      <c r="Z890">
        <v>0</v>
      </c>
      <c r="AA890" t="s">
        <v>139</v>
      </c>
      <c r="AB890">
        <v>0.0041988522978461534</v>
      </c>
      <c r="AC890">
        <v>0.041288714262153844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Q890" t="s">
        <v>140</v>
      </c>
      <c r="AR890" t="s">
        <v>141</v>
      </c>
      <c r="AS890">
        <v>0.037618461538461538</v>
      </c>
    </row>
    <row r="891" spans="1:45" ht="12.75">
      <c r="A891" s="2" t="str">
        <f>HYPERLINK("https://ibp.a2mac1.com/costing(costing:projects/details/8191/material/5320386)","Standard Structural Steel sheet")</f>
        <v>Standard Structural Steel sheet</v>
      </c>
      <c r="B891">
        <v>5320386</v>
      </c>
      <c r="C891">
        <v>6975915</v>
      </c>
      <c r="E891">
        <v>0.61129999999999995</v>
      </c>
      <c r="F891" t="s">
        <v>4746</v>
      </c>
      <c r="G891">
        <v>65</v>
      </c>
      <c r="H891" t="s">
        <v>6430</v>
      </c>
      <c r="I891">
        <v>30</v>
      </c>
      <c r="J891">
        <v>0.01099879013308536</v>
      </c>
      <c r="K891">
        <v>0</v>
      </c>
      <c r="L891">
        <v>0</v>
      </c>
      <c r="M891">
        <v>0</v>
      </c>
      <c r="O891">
        <v>400000</v>
      </c>
      <c r="R891" t="s">
        <v>136</v>
      </c>
      <c r="S891">
        <v>0.0019749692307692306</v>
      </c>
      <c r="T891">
        <v>2.0690153846153846E-06</v>
      </c>
      <c r="U891" t="s">
        <v>137</v>
      </c>
      <c r="V891">
        <v>0.0006583230769230769</v>
      </c>
      <c r="W891">
        <v>0.017494653630769231</v>
      </c>
      <c r="X891" t="s">
        <v>138</v>
      </c>
      <c r="Y891">
        <v>0.0010496792178461539</v>
      </c>
      <c r="Z891">
        <v>0</v>
      </c>
      <c r="AA891" t="s">
        <v>139</v>
      </c>
      <c r="AB891">
        <v>0.0020993584356923077</v>
      </c>
      <c r="AC891">
        <v>0.020643691284307691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Q891" t="s">
        <v>140</v>
      </c>
      <c r="AR891" t="s">
        <v>141</v>
      </c>
      <c r="AS891">
        <v>0.018809230769230769</v>
      </c>
    </row>
    <row r="892" spans="1:45" ht="12.75">
      <c r="A892" s="2" t="str">
        <f>HYPERLINK("https://ibp.a2mac1.com/costing(costing:projects/details/8191/material/5320553)","Standard Structural Steel sheet")</f>
        <v>Standard Structural Steel sheet</v>
      </c>
      <c r="B892">
        <v>5320553</v>
      </c>
      <c r="C892">
        <v>6976144</v>
      </c>
      <c r="E892">
        <v>0.61129999999999995</v>
      </c>
      <c r="F892" t="s">
        <v>6436</v>
      </c>
      <c r="G892">
        <v>80</v>
      </c>
      <c r="H892" t="s">
        <v>6437</v>
      </c>
      <c r="I892">
        <v>30</v>
      </c>
      <c r="J892">
        <v>0.013998040274361589</v>
      </c>
      <c r="K892">
        <v>0</v>
      </c>
      <c r="L892">
        <v>0</v>
      </c>
      <c r="M892">
        <v>0</v>
      </c>
      <c r="O892">
        <v>200000</v>
      </c>
      <c r="R892" t="s">
        <v>136</v>
      </c>
      <c r="S892">
        <v>0.027508500000000002</v>
      </c>
      <c r="T892">
        <v>6.4186500000000006E-05</v>
      </c>
      <c r="U892" t="s">
        <v>137</v>
      </c>
      <c r="V892">
        <v>0.016046624999999998</v>
      </c>
      <c r="W892">
        <v>0.44707731150000002</v>
      </c>
      <c r="X892" t="s">
        <v>138</v>
      </c>
      <c r="Y892">
        <v>0.026824638689999999</v>
      </c>
      <c r="Z892">
        <v>0</v>
      </c>
      <c r="AA892" t="s">
        <v>139</v>
      </c>
      <c r="AB892">
        <v>0.053649277379999999</v>
      </c>
      <c r="AC892">
        <v>0.52755122756999995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Q892" t="s">
        <v>140</v>
      </c>
      <c r="AR892" t="s">
        <v>141</v>
      </c>
      <c r="AS892">
        <v>0.45847500000000002</v>
      </c>
    </row>
    <row r="893" spans="1:45" ht="12.75">
      <c r="A893" s="2" t="str">
        <f>HYPERLINK("https://ibp.a2mac1.com/costing(costing:projects/details/8191/material/5320554)","Standard Structural Steel sheet")</f>
        <v>Standard Structural Steel sheet</v>
      </c>
      <c r="B893">
        <v>5320554</v>
      </c>
      <c r="C893">
        <v>6976145</v>
      </c>
      <c r="E893">
        <v>0.61129999999999995</v>
      </c>
      <c r="F893" t="s">
        <v>6441</v>
      </c>
      <c r="G893">
        <v>56</v>
      </c>
      <c r="H893" t="s">
        <v>6442</v>
      </c>
      <c r="I893">
        <v>30</v>
      </c>
      <c r="J893">
        <v>0.01099879013308536</v>
      </c>
      <c r="K893">
        <v>0</v>
      </c>
      <c r="L893">
        <v>0</v>
      </c>
      <c r="M893">
        <v>0</v>
      </c>
      <c r="O893">
        <v>400000</v>
      </c>
      <c r="R893" t="s">
        <v>136</v>
      </c>
      <c r="S893">
        <v>0.077809757142857136</v>
      </c>
      <c r="T893">
        <v>6.4841464285714283E-05</v>
      </c>
      <c r="U893" t="s">
        <v>137</v>
      </c>
      <c r="V893">
        <v>0.020631375</v>
      </c>
      <c r="W893">
        <v>0.53235431646428566</v>
      </c>
      <c r="X893" t="s">
        <v>138</v>
      </c>
      <c r="Y893">
        <v>0.031941258987857143</v>
      </c>
      <c r="Z893">
        <v>0</v>
      </c>
      <c r="AA893" t="s">
        <v>139</v>
      </c>
      <c r="AB893">
        <v>0.063882517975714287</v>
      </c>
      <c r="AC893">
        <v>0.62817809342785713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Q893" t="s">
        <v>140</v>
      </c>
      <c r="AR893" t="s">
        <v>141</v>
      </c>
      <c r="AS893">
        <v>0.5894678571428571</v>
      </c>
    </row>
    <row r="894" spans="1:45" ht="12.75">
      <c r="A894" s="2" t="str">
        <f>HYPERLINK("https://ibp.a2mac1.com/costing(costing:projects/details/8191/material/5320303)","Standard Structural Steel sheet")</f>
        <v>Standard Structural Steel sheet</v>
      </c>
      <c r="B894">
        <v>5320303</v>
      </c>
      <c r="C894">
        <v>6975848</v>
      </c>
      <c r="E894">
        <v>0.61129999999999995</v>
      </c>
      <c r="F894" t="s">
        <v>6447</v>
      </c>
      <c r="G894">
        <v>70</v>
      </c>
      <c r="H894" t="s">
        <v>6448</v>
      </c>
      <c r="I894">
        <v>30</v>
      </c>
      <c r="J894">
        <v>0.013998040274361589</v>
      </c>
      <c r="K894">
        <v>0</v>
      </c>
      <c r="L894">
        <v>0</v>
      </c>
      <c r="M894">
        <v>0</v>
      </c>
      <c r="O894">
        <v>200000</v>
      </c>
      <c r="R894" t="s">
        <v>136</v>
      </c>
      <c r="S894">
        <v>0.11789357142857143</v>
      </c>
      <c r="T894">
        <v>0.00018338999999999999</v>
      </c>
      <c r="U894" t="s">
        <v>137</v>
      </c>
      <c r="V894">
        <v>0.045847499999999999</v>
      </c>
      <c r="W894">
        <v>1.2380658899999999</v>
      </c>
      <c r="X894" t="s">
        <v>138</v>
      </c>
      <c r="Y894">
        <v>0.074283953400000005</v>
      </c>
      <c r="Z894">
        <v>0</v>
      </c>
      <c r="AA894" t="s">
        <v>139</v>
      </c>
      <c r="AB894">
        <v>0.14856790680000001</v>
      </c>
      <c r="AC894">
        <v>1.4609177501999999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Q894" t="s">
        <v>140</v>
      </c>
      <c r="AR894" t="s">
        <v>141</v>
      </c>
      <c r="AS894">
        <v>1.3099285714285713</v>
      </c>
    </row>
    <row r="895" spans="1:45" ht="12.75">
      <c r="A895" s="2" t="str">
        <f>HYPERLINK("https://ibp.a2mac1.com/costing(costing:projects/details/8191/material/5320304)","Standard Structural Steel sheet")</f>
        <v>Standard Structural Steel sheet</v>
      </c>
      <c r="B895">
        <v>5320304</v>
      </c>
      <c r="C895">
        <v>6975849</v>
      </c>
      <c r="E895">
        <v>0.61129999999999995</v>
      </c>
      <c r="F895" t="s">
        <v>6452</v>
      </c>
      <c r="G895">
        <v>65</v>
      </c>
      <c r="H895" t="s">
        <v>6453</v>
      </c>
      <c r="I895">
        <v>30</v>
      </c>
      <c r="J895">
        <v>0.013998040274361589</v>
      </c>
      <c r="K895">
        <v>0</v>
      </c>
      <c r="L895">
        <v>0</v>
      </c>
      <c r="M895">
        <v>0</v>
      </c>
      <c r="O895">
        <v>200000</v>
      </c>
      <c r="R895" t="s">
        <v>136</v>
      </c>
      <c r="S895">
        <v>0.36536930769230769</v>
      </c>
      <c r="T895">
        <v>0.00048715907692307693</v>
      </c>
      <c r="U895" t="s">
        <v>137</v>
      </c>
      <c r="V895">
        <v>0.12178976923076923</v>
      </c>
      <c r="W895">
        <v>3.2366153129230768</v>
      </c>
      <c r="X895" t="s">
        <v>138</v>
      </c>
      <c r="Y895">
        <v>0.19419691877538461</v>
      </c>
      <c r="Z895">
        <v>0</v>
      </c>
      <c r="AA895" t="s">
        <v>139</v>
      </c>
      <c r="AB895">
        <v>0.38839383755076923</v>
      </c>
      <c r="AC895">
        <v>3.8192060692492307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Q895" t="s">
        <v>140</v>
      </c>
      <c r="AR895" t="s">
        <v>141</v>
      </c>
      <c r="AS895">
        <v>3.4797076923076924</v>
      </c>
    </row>
    <row r="896" spans="1:45" ht="12.75">
      <c r="A896" s="2" t="str">
        <f>HYPERLINK("https://ibp.a2mac1.com/costing(costing:projects/details/8191/material/5320305)","Standard Structural Steel sheet")</f>
        <v>Standard Structural Steel sheet</v>
      </c>
      <c r="B896">
        <v>5320305</v>
      </c>
      <c r="C896">
        <v>6975850</v>
      </c>
      <c r="E896">
        <v>0.61129999999999995</v>
      </c>
      <c r="F896" t="s">
        <v>3274</v>
      </c>
      <c r="G896">
        <v>75</v>
      </c>
      <c r="H896" t="s">
        <v>3275</v>
      </c>
      <c r="I896">
        <v>30</v>
      </c>
      <c r="J896">
        <v>0.013998040274361589</v>
      </c>
      <c r="K896">
        <v>0</v>
      </c>
      <c r="L896">
        <v>0</v>
      </c>
      <c r="M896">
        <v>0</v>
      </c>
      <c r="O896">
        <v>200000</v>
      </c>
      <c r="R896" t="s">
        <v>136</v>
      </c>
      <c r="S896">
        <v>0.012226000000000001</v>
      </c>
      <c r="T896">
        <v>2.2821866666666666E-05</v>
      </c>
      <c r="U896" t="s">
        <v>137</v>
      </c>
      <c r="V896">
        <v>0.0057054666666666665</v>
      </c>
      <c r="W896">
        <v>0.15651562186666668</v>
      </c>
      <c r="X896" t="s">
        <v>138</v>
      </c>
      <c r="Y896">
        <v>0.0093909373120000007</v>
      </c>
      <c r="Z896">
        <v>0</v>
      </c>
      <c r="AA896" t="s">
        <v>139</v>
      </c>
      <c r="AB896">
        <v>0.018781874624000001</v>
      </c>
      <c r="AC896">
        <v>0.18468843380266667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Q896" t="s">
        <v>140</v>
      </c>
      <c r="AR896" t="s">
        <v>141</v>
      </c>
      <c r="AS896">
        <v>0.16301333333333334</v>
      </c>
    </row>
    <row r="897" spans="1:45" ht="12.75">
      <c r="A897" s="2" t="str">
        <f>HYPERLINK("https://ibp.a2mac1.com/costing(costing:projects/details/8191/material/5320306)","Standard Structural Steel sheet")</f>
        <v>Standard Structural Steel sheet</v>
      </c>
      <c r="B897">
        <v>5320306</v>
      </c>
      <c r="C897">
        <v>6975851</v>
      </c>
      <c r="E897">
        <v>0.61129999999999995</v>
      </c>
      <c r="F897" t="s">
        <v>4746</v>
      </c>
      <c r="G897">
        <v>60</v>
      </c>
      <c r="H897" t="s">
        <v>6459</v>
      </c>
      <c r="I897">
        <v>30</v>
      </c>
      <c r="J897">
        <v>0.013998040274361589</v>
      </c>
      <c r="K897">
        <v>0</v>
      </c>
      <c r="L897">
        <v>0</v>
      </c>
      <c r="M897">
        <v>0</v>
      </c>
      <c r="O897">
        <v>200000</v>
      </c>
      <c r="R897" t="s">
        <v>136</v>
      </c>
      <c r="S897">
        <v>0.0024451999999999998</v>
      </c>
      <c r="T897">
        <v>2.8527333333333332E-06</v>
      </c>
      <c r="U897" t="s">
        <v>137</v>
      </c>
      <c r="V897">
        <v>0.00071318333333333331</v>
      </c>
      <c r="W897">
        <v>0.018647502733333335</v>
      </c>
      <c r="X897" t="s">
        <v>138</v>
      </c>
      <c r="Y897">
        <v>0.001118850164</v>
      </c>
      <c r="Z897">
        <v>0</v>
      </c>
      <c r="AA897" t="s">
        <v>139</v>
      </c>
      <c r="AB897">
        <v>0.002237700328</v>
      </c>
      <c r="AC897">
        <v>0.022004053225333334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Q897" t="s">
        <v>140</v>
      </c>
      <c r="AR897" t="s">
        <v>141</v>
      </c>
      <c r="AS897">
        <v>0.020376666666666668</v>
      </c>
    </row>
    <row r="898" spans="1:45" ht="12.75">
      <c r="A898" s="2" t="str">
        <f>HYPERLINK("https://ibp.a2mac1.com/costing(costing:projects/details/8191/material/5320307)","Standard Structural Steel sheet")</f>
        <v>Standard Structural Steel sheet</v>
      </c>
      <c r="B898">
        <v>5320307</v>
      </c>
      <c r="C898">
        <v>6975852</v>
      </c>
      <c r="E898">
        <v>0.61129999999999995</v>
      </c>
      <c r="F898" t="s">
        <v>2059</v>
      </c>
      <c r="G898">
        <v>65</v>
      </c>
      <c r="H898" t="s">
        <v>6463</v>
      </c>
      <c r="I898">
        <v>30</v>
      </c>
      <c r="J898">
        <v>0.01099879013308536</v>
      </c>
      <c r="K898">
        <v>0</v>
      </c>
      <c r="L898">
        <v>0</v>
      </c>
      <c r="M898">
        <v>0</v>
      </c>
      <c r="O898">
        <v>400000</v>
      </c>
      <c r="R898" t="s">
        <v>136</v>
      </c>
      <c r="S898">
        <v>0.0059249076923076922</v>
      </c>
      <c r="T898">
        <v>6.2070461538461538E-06</v>
      </c>
      <c r="U898" t="s">
        <v>137</v>
      </c>
      <c r="V898">
        <v>0.0019749692307692306</v>
      </c>
      <c r="W898">
        <v>0.052483960892307689</v>
      </c>
      <c r="X898" t="s">
        <v>138</v>
      </c>
      <c r="Y898">
        <v>0.0031490376535384616</v>
      </c>
      <c r="Z898">
        <v>0</v>
      </c>
      <c r="AA898" t="s">
        <v>139</v>
      </c>
      <c r="AB898">
        <v>0.0062980753070769231</v>
      </c>
      <c r="AC898">
        <v>0.061931073852923076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Q898" t="s">
        <v>140</v>
      </c>
      <c r="AR898" t="s">
        <v>141</v>
      </c>
      <c r="AS898">
        <v>0.056427692307692311</v>
      </c>
    </row>
    <row r="899" spans="1:45" ht="12.75">
      <c r="A899" s="2" t="str">
        <f>HYPERLINK("https://ibp.a2mac1.com/costing(costing:projects/details/8191/material/5320308)","Standard Structural Steel sheet")</f>
        <v>Standard Structural Steel sheet</v>
      </c>
      <c r="B899">
        <v>5320308</v>
      </c>
      <c r="C899">
        <v>6975853</v>
      </c>
      <c r="E899">
        <v>0.61129999999999995</v>
      </c>
      <c r="F899" t="s">
        <v>2059</v>
      </c>
      <c r="G899">
        <v>70</v>
      </c>
      <c r="H899" t="s">
        <v>6467</v>
      </c>
      <c r="I899">
        <v>30</v>
      </c>
      <c r="J899">
        <v>0.01099879013308536</v>
      </c>
      <c r="K899">
        <v>0</v>
      </c>
      <c r="L899">
        <v>0</v>
      </c>
      <c r="M899">
        <v>0</v>
      </c>
      <c r="O899">
        <v>400000</v>
      </c>
      <c r="R899" t="s">
        <v>136</v>
      </c>
      <c r="S899">
        <v>0.0047157428571428569</v>
      </c>
      <c r="T899">
        <v>5.7636857142857144E-06</v>
      </c>
      <c r="U899" t="s">
        <v>137</v>
      </c>
      <c r="V899">
        <v>0.0018339000000000001</v>
      </c>
      <c r="W899">
        <v>0.049521063685714288</v>
      </c>
      <c r="X899" t="s">
        <v>138</v>
      </c>
      <c r="Y899">
        <v>0.0029712638211428573</v>
      </c>
      <c r="Z899">
        <v>0</v>
      </c>
      <c r="AA899" t="s">
        <v>139</v>
      </c>
      <c r="AB899">
        <v>0.0059425276422857146</v>
      </c>
      <c r="AC899">
        <v>0.058434855149142859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Q899" t="s">
        <v>140</v>
      </c>
      <c r="AR899" t="s">
        <v>141</v>
      </c>
      <c r="AS899">
        <v>0.052397142857142857</v>
      </c>
    </row>
    <row r="900" spans="1:45" ht="12.75">
      <c r="A900" s="2" t="str">
        <f>HYPERLINK("https://ibp.a2mac1.com/costing(costing:projects/details/8191/material/5320309)","Standard Structural Steel sheet")</f>
        <v>Standard Structural Steel sheet</v>
      </c>
      <c r="B900">
        <v>5320309</v>
      </c>
      <c r="C900">
        <v>6975854</v>
      </c>
      <c r="E900">
        <v>0.61129999999999995</v>
      </c>
      <c r="F900" t="s">
        <v>4746</v>
      </c>
      <c r="G900">
        <v>90</v>
      </c>
      <c r="H900" t="s">
        <v>6470</v>
      </c>
      <c r="I900">
        <v>30</v>
      </c>
      <c r="J900">
        <v>0.01099879013308536</v>
      </c>
      <c r="K900">
        <v>0</v>
      </c>
      <c r="L900">
        <v>0</v>
      </c>
      <c r="M900">
        <v>0</v>
      </c>
      <c r="O900">
        <v>400000</v>
      </c>
      <c r="R900" t="s">
        <v>136</v>
      </c>
      <c r="S900">
        <v>0.00040753333333333334</v>
      </c>
      <c r="T900">
        <v>1.4942888888888888E-06</v>
      </c>
      <c r="U900" t="s">
        <v>137</v>
      </c>
      <c r="V900">
        <v>0.00047545555555555556</v>
      </c>
      <c r="W900">
        <v>0.013653860955555555</v>
      </c>
      <c r="X900" t="s">
        <v>138</v>
      </c>
      <c r="Y900">
        <v>0.00081923165733333329</v>
      </c>
      <c r="Z900">
        <v>0</v>
      </c>
      <c r="AA900" t="s">
        <v>139</v>
      </c>
      <c r="AB900">
        <v>0.0016384633146666666</v>
      </c>
      <c r="AC900">
        <v>0.016111555927555556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Q900" t="s">
        <v>140</v>
      </c>
      <c r="AR900" t="s">
        <v>141</v>
      </c>
      <c r="AS900">
        <v>0.013584444444444444</v>
      </c>
    </row>
    <row r="901" spans="1:45" ht="12.75">
      <c r="A901" s="2" t="str">
        <f>HYPERLINK("https://ibp.a2mac1.com/costing(costing:projects/details/8191/material/5320310)","Standard Structural Steel sheet")</f>
        <v>Standard Structural Steel sheet</v>
      </c>
      <c r="B901">
        <v>5320310</v>
      </c>
      <c r="C901">
        <v>6975855</v>
      </c>
      <c r="E901">
        <v>0.61129999999999995</v>
      </c>
      <c r="F901" t="s">
        <v>1885</v>
      </c>
      <c r="G901">
        <v>90</v>
      </c>
      <c r="H901" t="s">
        <v>1886</v>
      </c>
      <c r="I901">
        <v>30</v>
      </c>
      <c r="J901">
        <v>0.013998040274361589</v>
      </c>
      <c r="K901">
        <v>0</v>
      </c>
      <c r="L901">
        <v>0</v>
      </c>
      <c r="M901">
        <v>0</v>
      </c>
      <c r="O901">
        <v>200000</v>
      </c>
      <c r="R901" t="s">
        <v>136</v>
      </c>
      <c r="S901">
        <v>0.00081506666666666667</v>
      </c>
      <c r="T901">
        <v>3.8036444444444443E-06</v>
      </c>
      <c r="U901" t="s">
        <v>137</v>
      </c>
      <c r="V901">
        <v>0.00095091111111111112</v>
      </c>
      <c r="W901">
        <v>0.027308536977777777</v>
      </c>
      <c r="X901" t="s">
        <v>138</v>
      </c>
      <c r="Y901">
        <v>0.0016385122186666668</v>
      </c>
      <c r="Z901">
        <v>0</v>
      </c>
      <c r="AA901" t="s">
        <v>139</v>
      </c>
      <c r="AB901">
        <v>0.0032770244373333335</v>
      </c>
      <c r="AC901">
        <v>0.032224073633777779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Q901" t="s">
        <v>140</v>
      </c>
      <c r="AR901" t="s">
        <v>141</v>
      </c>
      <c r="AS901">
        <v>0.027168888888888888</v>
      </c>
    </row>
    <row r="902" spans="1:45" ht="12.75">
      <c r="A902" s="2" t="str">
        <f>HYPERLINK("https://ibp.a2mac1.com/costing(costing:projects/details/8191/material/5320311)","Standard Structural Steel sheet")</f>
        <v>Standard Structural Steel sheet</v>
      </c>
      <c r="B902">
        <v>5320311</v>
      </c>
      <c r="C902">
        <v>6975859</v>
      </c>
      <c r="E902">
        <v>0.61129999999999995</v>
      </c>
      <c r="F902" t="s">
        <v>1885</v>
      </c>
      <c r="G902">
        <v>90</v>
      </c>
      <c r="H902" t="s">
        <v>1886</v>
      </c>
      <c r="I902">
        <v>30</v>
      </c>
      <c r="J902">
        <v>0.01099879013308536</v>
      </c>
      <c r="K902">
        <v>0</v>
      </c>
      <c r="L902">
        <v>0</v>
      </c>
      <c r="M902">
        <v>0</v>
      </c>
      <c r="O902">
        <v>400000</v>
      </c>
      <c r="R902" t="s">
        <v>136</v>
      </c>
      <c r="S902">
        <v>0.00081506666666666667</v>
      </c>
      <c r="T902">
        <v>2.9885777777777777E-06</v>
      </c>
      <c r="U902" t="s">
        <v>137</v>
      </c>
      <c r="V902">
        <v>0.00095091111111111112</v>
      </c>
      <c r="W902">
        <v>0.02730772191111111</v>
      </c>
      <c r="X902" t="s">
        <v>138</v>
      </c>
      <c r="Y902">
        <v>0.0016384633146666666</v>
      </c>
      <c r="Z902">
        <v>0</v>
      </c>
      <c r="AA902" t="s">
        <v>139</v>
      </c>
      <c r="AB902">
        <v>0.0032769266293333332</v>
      </c>
      <c r="AC902">
        <v>0.032223111855111113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Q902" t="s">
        <v>140</v>
      </c>
      <c r="AR902" t="s">
        <v>141</v>
      </c>
      <c r="AS902">
        <v>0.027168888888888888</v>
      </c>
    </row>
    <row r="903" spans="1:45" ht="12.75">
      <c r="A903" s="2" t="str">
        <f>HYPERLINK("https://ibp.a2mac1.com/costing(costing:projects/details/8191/material/5320387)","Standard Structural Steel sheet")</f>
        <v>Standard Structural Steel sheet</v>
      </c>
      <c r="B903">
        <v>5320387</v>
      </c>
      <c r="C903">
        <v>6975916</v>
      </c>
      <c r="E903">
        <v>0.61129999999999995</v>
      </c>
      <c r="F903" t="s">
        <v>6480</v>
      </c>
      <c r="G903">
        <v>35</v>
      </c>
      <c r="H903" t="s">
        <v>6481</v>
      </c>
      <c r="I903">
        <v>30</v>
      </c>
      <c r="J903">
        <v>0.01099879013308536</v>
      </c>
      <c r="K903">
        <v>0</v>
      </c>
      <c r="L903">
        <v>0</v>
      </c>
      <c r="M903">
        <v>0</v>
      </c>
      <c r="O903">
        <v>400000</v>
      </c>
      <c r="R903" t="s">
        <v>136</v>
      </c>
      <c r="S903">
        <v>4.9622714142857145</v>
      </c>
      <c r="T903">
        <v>0.0027992300285714284</v>
      </c>
      <c r="U903" t="s">
        <v>137</v>
      </c>
      <c r="V903">
        <v>0.89066409999999996</v>
      </c>
      <c r="W903">
        <v>21.378737630028571</v>
      </c>
      <c r="X903" t="s">
        <v>90</v>
      </c>
      <c r="Y903">
        <v>0</v>
      </c>
      <c r="Z903">
        <v>0</v>
      </c>
      <c r="AA903" t="s">
        <v>90</v>
      </c>
      <c r="AB903">
        <v>0</v>
      </c>
      <c r="AC903">
        <v>21.378737630028571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Q903" t="s">
        <v>140</v>
      </c>
      <c r="AR903" t="s">
        <v>141</v>
      </c>
      <c r="AS903">
        <v>25.447545714285713</v>
      </c>
    </row>
    <row r="904" spans="1:45" ht="12.75">
      <c r="A904" s="2" t="str">
        <f>HYPERLINK("https://ibp.a2mac1.com/costing(costing:projects/details/8191/material/5320388)","Standard Structural Steel sheet")</f>
        <v>Standard Structural Steel sheet</v>
      </c>
      <c r="B904">
        <v>5320388</v>
      </c>
      <c r="C904">
        <v>6975917</v>
      </c>
      <c r="E904">
        <v>0.61129999999999995</v>
      </c>
      <c r="F904" t="s">
        <v>1775</v>
      </c>
      <c r="G904">
        <v>60</v>
      </c>
      <c r="H904" t="s">
        <v>6484</v>
      </c>
      <c r="I904">
        <v>30</v>
      </c>
      <c r="J904">
        <v>0.01099879013308536</v>
      </c>
      <c r="K904">
        <v>0</v>
      </c>
      <c r="L904">
        <v>0</v>
      </c>
      <c r="M904">
        <v>0</v>
      </c>
      <c r="O904">
        <v>400000</v>
      </c>
      <c r="R904" t="s">
        <v>136</v>
      </c>
      <c r="S904">
        <v>0.0158938</v>
      </c>
      <c r="T904">
        <v>1.4569316666666666E-05</v>
      </c>
      <c r="U904" t="s">
        <v>137</v>
      </c>
      <c r="V904">
        <v>0.0046356916666666663</v>
      </c>
      <c r="W904">
        <v>0.12120479431666667</v>
      </c>
      <c r="X904" t="s">
        <v>138</v>
      </c>
      <c r="Y904">
        <v>0.0072722876590000001</v>
      </c>
      <c r="Z904">
        <v>0</v>
      </c>
      <c r="AA904" t="s">
        <v>139</v>
      </c>
      <c r="AB904">
        <v>0.014544575318</v>
      </c>
      <c r="AC904">
        <v>0.14302165729366667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Q904" t="s">
        <v>140</v>
      </c>
      <c r="AR904" t="s">
        <v>141</v>
      </c>
      <c r="AS904">
        <v>0.13244833333333333</v>
      </c>
    </row>
    <row r="905" spans="1:45" ht="12.75">
      <c r="A905" s="2" t="str">
        <f>HYPERLINK("https://ibp.a2mac1.com/costing(costing:projects/details/8191/material/5320389)","Standard Structural Steel sheet")</f>
        <v>Standard Structural Steel sheet</v>
      </c>
      <c r="B905">
        <v>5320389</v>
      </c>
      <c r="C905">
        <v>6975918</v>
      </c>
      <c r="E905">
        <v>0.61129999999999995</v>
      </c>
      <c r="F905" t="s">
        <v>2059</v>
      </c>
      <c r="G905">
        <v>65</v>
      </c>
      <c r="H905" t="s">
        <v>6463</v>
      </c>
      <c r="I905">
        <v>30</v>
      </c>
      <c r="J905">
        <v>0.01099879013308536</v>
      </c>
      <c r="K905">
        <v>0</v>
      </c>
      <c r="L905">
        <v>0</v>
      </c>
      <c r="M905">
        <v>0</v>
      </c>
      <c r="O905">
        <v>400000</v>
      </c>
      <c r="R905" t="s">
        <v>136</v>
      </c>
      <c r="S905">
        <v>0.0059249076923076922</v>
      </c>
      <c r="T905">
        <v>6.2070461538461538E-06</v>
      </c>
      <c r="U905" t="s">
        <v>137</v>
      </c>
      <c r="V905">
        <v>0.0019749692307692306</v>
      </c>
      <c r="W905">
        <v>0.052483960892307689</v>
      </c>
      <c r="X905" t="s">
        <v>138</v>
      </c>
      <c r="Y905">
        <v>0.0031490376535384616</v>
      </c>
      <c r="Z905">
        <v>0</v>
      </c>
      <c r="AA905" t="s">
        <v>139</v>
      </c>
      <c r="AB905">
        <v>0.0062980753070769231</v>
      </c>
      <c r="AC905">
        <v>0.061931073852923076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Q905" t="s">
        <v>140</v>
      </c>
      <c r="AR905" t="s">
        <v>141</v>
      </c>
      <c r="AS905">
        <v>0.056427692307692311</v>
      </c>
    </row>
    <row r="906" spans="1:45" ht="12.75">
      <c r="A906" s="2" t="str">
        <f>HYPERLINK("https://ibp.a2mac1.com/costing(costing:projects/details/8191/material/5320390)","Standard Structural Steel sheet")</f>
        <v>Standard Structural Steel sheet</v>
      </c>
      <c r="B906">
        <v>5320390</v>
      </c>
      <c r="C906">
        <v>6975919</v>
      </c>
      <c r="E906">
        <v>0.61129999999999995</v>
      </c>
      <c r="F906" t="s">
        <v>6489</v>
      </c>
      <c r="G906">
        <v>60</v>
      </c>
      <c r="H906" t="s">
        <v>6490</v>
      </c>
      <c r="I906">
        <v>30</v>
      </c>
      <c r="J906">
        <v>0.01099879013308536</v>
      </c>
      <c r="K906">
        <v>0</v>
      </c>
      <c r="L906">
        <v>0</v>
      </c>
      <c r="M906">
        <v>0</v>
      </c>
      <c r="O906">
        <v>400000</v>
      </c>
      <c r="R906" t="s">
        <v>136</v>
      </c>
      <c r="S906">
        <v>0.13448599999999999</v>
      </c>
      <c r="T906">
        <v>0.00012327883333333332</v>
      </c>
      <c r="U906" t="s">
        <v>137</v>
      </c>
      <c r="V906">
        <v>0.039225083333333334</v>
      </c>
      <c r="W906">
        <v>1.0255790288333333</v>
      </c>
      <c r="X906" t="s">
        <v>138</v>
      </c>
      <c r="Y906">
        <v>0.061534741730000002</v>
      </c>
      <c r="Z906">
        <v>0</v>
      </c>
      <c r="AA906" t="s">
        <v>139</v>
      </c>
      <c r="AB906">
        <v>0.12306948346</v>
      </c>
      <c r="AC906">
        <v>1.2101832540233333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Q906" t="s">
        <v>140</v>
      </c>
      <c r="AR906" t="s">
        <v>141</v>
      </c>
      <c r="AS906">
        <v>1.1207166666666666</v>
      </c>
    </row>
    <row r="907" spans="1:45" ht="12.75">
      <c r="A907" s="2" t="str">
        <f>HYPERLINK("https://ibp.a2mac1.com/costing(costing:projects/details/8191/material/5320391)","Standard Structural Steel sheet")</f>
        <v>Standard Structural Steel sheet</v>
      </c>
      <c r="B907">
        <v>5320391</v>
      </c>
      <c r="C907">
        <v>6975920</v>
      </c>
      <c r="E907">
        <v>0.61129999999999995</v>
      </c>
      <c r="F907" t="s">
        <v>3377</v>
      </c>
      <c r="G907">
        <v>60</v>
      </c>
      <c r="H907" t="s">
        <v>6493</v>
      </c>
      <c r="I907">
        <v>30</v>
      </c>
      <c r="J907">
        <v>0.01099879013308536</v>
      </c>
      <c r="K907">
        <v>0</v>
      </c>
      <c r="L907">
        <v>0</v>
      </c>
      <c r="M907">
        <v>0</v>
      </c>
      <c r="O907">
        <v>400000</v>
      </c>
      <c r="R907" t="s">
        <v>136</v>
      </c>
      <c r="S907">
        <v>0.012226000000000001</v>
      </c>
      <c r="T907">
        <v>1.1207166666666667E-05</v>
      </c>
      <c r="U907" t="s">
        <v>137</v>
      </c>
      <c r="V907">
        <v>0.0035659166666666665</v>
      </c>
      <c r="W907">
        <v>0.093234457166666673</v>
      </c>
      <c r="X907" t="s">
        <v>138</v>
      </c>
      <c r="Y907">
        <v>0.0055940674300000003</v>
      </c>
      <c r="Z907">
        <v>0</v>
      </c>
      <c r="AA907" t="s">
        <v>139</v>
      </c>
      <c r="AB907">
        <v>0.011188134860000001</v>
      </c>
      <c r="AC907">
        <v>0.11001665945666667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Q907" t="s">
        <v>140</v>
      </c>
      <c r="AR907" t="s">
        <v>141</v>
      </c>
      <c r="AS907">
        <v>0.10188333333333334</v>
      </c>
    </row>
    <row r="908" spans="1:45" ht="12.75">
      <c r="A908" s="2" t="str">
        <f>HYPERLINK("https://ibp.a2mac1.com/costing(costing:projects/details/8191/material/5320392)","Standard Structural Steel sheet")</f>
        <v>Standard Structural Steel sheet</v>
      </c>
      <c r="B908">
        <v>5320392</v>
      </c>
      <c r="C908">
        <v>6975921</v>
      </c>
      <c r="E908">
        <v>0.61129999999999995</v>
      </c>
      <c r="F908" t="s">
        <v>6497</v>
      </c>
      <c r="G908">
        <v>70</v>
      </c>
      <c r="H908" t="s">
        <v>6498</v>
      </c>
      <c r="I908">
        <v>30</v>
      </c>
      <c r="J908">
        <v>0.01099879013308536</v>
      </c>
      <c r="K908">
        <v>0</v>
      </c>
      <c r="L908">
        <v>0</v>
      </c>
      <c r="M908">
        <v>0</v>
      </c>
      <c r="O908">
        <v>400000</v>
      </c>
      <c r="R908" t="s">
        <v>136</v>
      </c>
      <c r="S908">
        <v>0.04479955714285714</v>
      </c>
      <c r="T908">
        <v>5.4755014285714288E-05</v>
      </c>
      <c r="U908" t="s">
        <v>137</v>
      </c>
      <c r="V908">
        <v>0.017422050000000001</v>
      </c>
      <c r="W908">
        <v>0.47045010501428569</v>
      </c>
      <c r="X908" t="s">
        <v>138</v>
      </c>
      <c r="Y908">
        <v>0.028227006300857144</v>
      </c>
      <c r="Z908">
        <v>0</v>
      </c>
      <c r="AA908" t="s">
        <v>139</v>
      </c>
      <c r="AB908">
        <v>0.056454012601714287</v>
      </c>
      <c r="AC908">
        <v>0.55513112391685715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Q908" t="s">
        <v>140</v>
      </c>
      <c r="AR908" t="s">
        <v>141</v>
      </c>
      <c r="AS908">
        <v>0.49777285714285713</v>
      </c>
    </row>
    <row r="909" spans="1:45" ht="12.75">
      <c r="A909" s="2" t="str">
        <f>HYPERLINK("https://ibp.a2mac1.com/costing(costing:projects/details/8191/material/5320393)","Standard Structural Steel sheet")</f>
        <v>Standard Structural Steel sheet</v>
      </c>
      <c r="B909">
        <v>5320393</v>
      </c>
      <c r="C909">
        <v>6975922</v>
      </c>
      <c r="E909">
        <v>0.61129999999999995</v>
      </c>
      <c r="F909" t="s">
        <v>2822</v>
      </c>
      <c r="G909">
        <v>60</v>
      </c>
      <c r="H909" t="s">
        <v>5453</v>
      </c>
      <c r="I909">
        <v>30</v>
      </c>
      <c r="J909">
        <v>0.01099879013308536</v>
      </c>
      <c r="K909">
        <v>0</v>
      </c>
      <c r="L909">
        <v>0</v>
      </c>
      <c r="M909">
        <v>0</v>
      </c>
      <c r="O909">
        <v>400000</v>
      </c>
      <c r="R909" t="s">
        <v>136</v>
      </c>
      <c r="S909">
        <v>0.041568399999999998</v>
      </c>
      <c r="T909">
        <v>3.8104366666666667E-05</v>
      </c>
      <c r="U909" t="s">
        <v>137</v>
      </c>
      <c r="V909">
        <v>0.012124116666666667</v>
      </c>
      <c r="W909">
        <v>0.31699715436666664</v>
      </c>
      <c r="X909" t="s">
        <v>138</v>
      </c>
      <c r="Y909">
        <v>0.019019829262</v>
      </c>
      <c r="Z909">
        <v>0</v>
      </c>
      <c r="AA909" t="s">
        <v>139</v>
      </c>
      <c r="AB909">
        <v>0.038039658524</v>
      </c>
      <c r="AC909">
        <v>0.37405664215266665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Q909" t="s">
        <v>140</v>
      </c>
      <c r="AR909" t="s">
        <v>141</v>
      </c>
      <c r="AS909">
        <v>0.34640333333333334</v>
      </c>
    </row>
    <row r="910" spans="1:45" ht="12.75">
      <c r="A910" s="2" t="str">
        <f>HYPERLINK("https://ibp.a2mac1.com/costing(costing:projects/details/8191/material/5320394)","Standard Structural Steel sheet")</f>
        <v>Standard Structural Steel sheet</v>
      </c>
      <c r="B910">
        <v>5320394</v>
      </c>
      <c r="C910">
        <v>6975923</v>
      </c>
      <c r="E910">
        <v>0.61129999999999995</v>
      </c>
      <c r="F910" t="s">
        <v>6399</v>
      </c>
      <c r="G910">
        <v>65</v>
      </c>
      <c r="H910" t="s">
        <v>6504</v>
      </c>
      <c r="I910">
        <v>30</v>
      </c>
      <c r="J910">
        <v>0.01099879013308536</v>
      </c>
      <c r="K910">
        <v>0</v>
      </c>
      <c r="L910">
        <v>0</v>
      </c>
      <c r="M910">
        <v>0</v>
      </c>
      <c r="O910">
        <v>400000</v>
      </c>
      <c r="R910" t="s">
        <v>136</v>
      </c>
      <c r="S910">
        <v>0.022712146153846154</v>
      </c>
      <c r="T910">
        <v>2.3793676923076922E-05</v>
      </c>
      <c r="U910" t="s">
        <v>137</v>
      </c>
      <c r="V910">
        <v>0.0075707153846153842</v>
      </c>
      <c r="W910">
        <v>0.20118851675384616</v>
      </c>
      <c r="X910" t="s">
        <v>138</v>
      </c>
      <c r="Y910">
        <v>0.012071311005230768</v>
      </c>
      <c r="Z910">
        <v>0</v>
      </c>
      <c r="AA910" t="s">
        <v>139</v>
      </c>
      <c r="AB910">
        <v>0.024142622010461537</v>
      </c>
      <c r="AC910">
        <v>0.23740244976953845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Q910" t="s">
        <v>140</v>
      </c>
      <c r="AR910" t="s">
        <v>141</v>
      </c>
      <c r="AS910">
        <v>0.21630615384615384</v>
      </c>
    </row>
    <row r="911" spans="1:45" ht="12.75">
      <c r="A911" s="2" t="str">
        <f>HYPERLINK("https://ibp.a2mac1.com/costing(costing:projects/details/8191/material/5320395)","Standard Structural Steel sheet")</f>
        <v>Standard Structural Steel sheet</v>
      </c>
      <c r="B911">
        <v>5320395</v>
      </c>
      <c r="C911">
        <v>6975924</v>
      </c>
      <c r="E911">
        <v>0.61129999999999995</v>
      </c>
      <c r="F911" t="s">
        <v>5407</v>
      </c>
      <c r="G911">
        <v>60</v>
      </c>
      <c r="H911" t="s">
        <v>3439</v>
      </c>
      <c r="I911">
        <v>30</v>
      </c>
      <c r="J911">
        <v>0.01099879013308536</v>
      </c>
      <c r="K911">
        <v>0</v>
      </c>
      <c r="L911">
        <v>0</v>
      </c>
      <c r="M911">
        <v>0</v>
      </c>
      <c r="O911">
        <v>400000</v>
      </c>
      <c r="R911" t="s">
        <v>136</v>
      </c>
      <c r="S911">
        <v>0.0220068</v>
      </c>
      <c r="T911">
        <v>2.0172900000000001E-05</v>
      </c>
      <c r="U911" t="s">
        <v>137</v>
      </c>
      <c r="V911">
        <v>0.0064186499999999997</v>
      </c>
      <c r="W911">
        <v>0.16782202290000001</v>
      </c>
      <c r="X911" t="s">
        <v>138</v>
      </c>
      <c r="Y911">
        <v>0.010069321374</v>
      </c>
      <c r="Z911">
        <v>0</v>
      </c>
      <c r="AA911" t="s">
        <v>139</v>
      </c>
      <c r="AB911">
        <v>0.020138642748</v>
      </c>
      <c r="AC911">
        <v>0.198029987022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Q911" t="s">
        <v>140</v>
      </c>
      <c r="AR911" t="s">
        <v>141</v>
      </c>
      <c r="AS911">
        <v>0.18339</v>
      </c>
    </row>
    <row r="912" spans="1:45" ht="12.75">
      <c r="A912" s="2" t="str">
        <f>HYPERLINK("https://ibp.a2mac1.com/costing(costing:projects/details/8191/material/5320396)","Standard Structural Steel sheet")</f>
        <v>Standard Structural Steel sheet</v>
      </c>
      <c r="B912">
        <v>5320396</v>
      </c>
      <c r="C912">
        <v>6975925</v>
      </c>
      <c r="E912">
        <v>0.61129999999999995</v>
      </c>
      <c r="F912" t="s">
        <v>1875</v>
      </c>
      <c r="G912">
        <v>90</v>
      </c>
      <c r="H912" t="s">
        <v>6509</v>
      </c>
      <c r="I912">
        <v>30</v>
      </c>
      <c r="J912">
        <v>0.01099879013308536</v>
      </c>
      <c r="K912">
        <v>0</v>
      </c>
      <c r="L912">
        <v>0</v>
      </c>
      <c r="M912">
        <v>0</v>
      </c>
      <c r="O912">
        <v>400000</v>
      </c>
      <c r="R912" t="s">
        <v>136</v>
      </c>
      <c r="S912">
        <v>0.0034640333333333332</v>
      </c>
      <c r="T912">
        <v>1.2701455555555556E-05</v>
      </c>
      <c r="U912" t="s">
        <v>137</v>
      </c>
      <c r="V912">
        <v>0.0040413722222222221</v>
      </c>
      <c r="W912">
        <v>0.11605781812222223</v>
      </c>
      <c r="X912" t="s">
        <v>138</v>
      </c>
      <c r="Y912">
        <v>0.0069634690873333332</v>
      </c>
      <c r="Z912">
        <v>0</v>
      </c>
      <c r="AA912" t="s">
        <v>139</v>
      </c>
      <c r="AB912">
        <v>0.013926938174666666</v>
      </c>
      <c r="AC912">
        <v>0.13694822538422222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Q912" t="s">
        <v>140</v>
      </c>
      <c r="AR912" t="s">
        <v>141</v>
      </c>
      <c r="AS912">
        <v>0.11546777777777778</v>
      </c>
    </row>
    <row r="913" spans="1:45" ht="12.75">
      <c r="A913" s="2" t="str">
        <f>HYPERLINK("https://ibp.a2mac1.com/costing(costing:projects/details/8191/material/5320397)","Standard Structural Steel sheet")</f>
        <v>Standard Structural Steel sheet</v>
      </c>
      <c r="B913">
        <v>5320397</v>
      </c>
      <c r="C913">
        <v>6975926</v>
      </c>
      <c r="E913">
        <v>0.61129999999999995</v>
      </c>
      <c r="F913" t="s">
        <v>509</v>
      </c>
      <c r="G913">
        <v>55</v>
      </c>
      <c r="H913" t="s">
        <v>6513</v>
      </c>
      <c r="I913">
        <v>30</v>
      </c>
      <c r="J913">
        <v>0.01099879013308536</v>
      </c>
      <c r="K913">
        <v>0</v>
      </c>
      <c r="L913">
        <v>0</v>
      </c>
      <c r="M913">
        <v>0</v>
      </c>
      <c r="O913">
        <v>400000</v>
      </c>
      <c r="R913" t="s">
        <v>136</v>
      </c>
      <c r="S913">
        <v>0.007502318181818182</v>
      </c>
      <c r="T913">
        <v>6.1129999999999997E-06</v>
      </c>
      <c r="U913" t="s">
        <v>137</v>
      </c>
      <c r="V913">
        <v>0.0019450454545454545</v>
      </c>
      <c r="W913">
        <v>0.050021567545454546</v>
      </c>
      <c r="X913" t="s">
        <v>138</v>
      </c>
      <c r="Y913">
        <v>0.0030012940527272729</v>
      </c>
      <c r="Z913">
        <v>0</v>
      </c>
      <c r="AA913" t="s">
        <v>139</v>
      </c>
      <c r="AB913">
        <v>0.0060025881054545458</v>
      </c>
      <c r="AC913">
        <v>0.059025449703636365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Q913" t="s">
        <v>140</v>
      </c>
      <c r="AR913" t="s">
        <v>141</v>
      </c>
      <c r="AS913">
        <v>0.055572727272727274</v>
      </c>
    </row>
    <row r="914" spans="1:45" ht="12.75">
      <c r="A914" s="2" t="str">
        <f>HYPERLINK("https://ibp.a2mac1.com/costing(costing:projects/details/8191/material/5320398)","Standard Structural Steel sheet")</f>
        <v>Standard Structural Steel sheet</v>
      </c>
      <c r="B914">
        <v>5320398</v>
      </c>
      <c r="C914">
        <v>6975927</v>
      </c>
      <c r="E914">
        <v>0.61129999999999995</v>
      </c>
      <c r="F914" t="s">
        <v>1885</v>
      </c>
      <c r="G914">
        <v>60</v>
      </c>
      <c r="H914" t="s">
        <v>6412</v>
      </c>
      <c r="I914">
        <v>30</v>
      </c>
      <c r="J914">
        <v>0.01099879013308536</v>
      </c>
      <c r="K914">
        <v>0</v>
      </c>
      <c r="L914">
        <v>0</v>
      </c>
      <c r="M914">
        <v>0</v>
      </c>
      <c r="O914">
        <v>400000</v>
      </c>
      <c r="R914" t="s">
        <v>136</v>
      </c>
      <c r="S914">
        <v>0.0048903999999999996</v>
      </c>
      <c r="T914">
        <v>4.4828666666666665E-06</v>
      </c>
      <c r="U914" t="s">
        <v>137</v>
      </c>
      <c r="V914">
        <v>0.0014263666666666666</v>
      </c>
      <c r="W914">
        <v>0.037293782866666667</v>
      </c>
      <c r="X914" t="s">
        <v>138</v>
      </c>
      <c r="Y914">
        <v>0.002237626972</v>
      </c>
      <c r="Z914">
        <v>0</v>
      </c>
      <c r="AA914" t="s">
        <v>139</v>
      </c>
      <c r="AB914">
        <v>0.0044752539439999999</v>
      </c>
      <c r="AC914">
        <v>0.044006663782666669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Q914" t="s">
        <v>140</v>
      </c>
      <c r="AR914" t="s">
        <v>141</v>
      </c>
      <c r="AS914">
        <v>0.040753333333333336</v>
      </c>
    </row>
    <row r="915" spans="1:45" ht="12.75">
      <c r="A915" s="2" t="str">
        <f>HYPERLINK("https://ibp.a2mac1.com/costing(costing:projects/details/8191/material/5320399)","Standard Structural Steel sheet")</f>
        <v>Standard Structural Steel sheet</v>
      </c>
      <c r="B915">
        <v>5320399</v>
      </c>
      <c r="C915">
        <v>6975928</v>
      </c>
      <c r="E915">
        <v>0.61129999999999995</v>
      </c>
      <c r="F915" t="s">
        <v>4234</v>
      </c>
      <c r="G915">
        <v>85</v>
      </c>
      <c r="H915" t="s">
        <v>6518</v>
      </c>
      <c r="I915">
        <v>30</v>
      </c>
      <c r="J915">
        <v>0.01099879013308536</v>
      </c>
      <c r="K915">
        <v>0</v>
      </c>
      <c r="L915">
        <v>0</v>
      </c>
      <c r="M915">
        <v>0</v>
      </c>
      <c r="O915">
        <v>400000</v>
      </c>
      <c r="R915" t="s">
        <v>136</v>
      </c>
      <c r="S915">
        <v>0.00097088823529411768</v>
      </c>
      <c r="T915">
        <v>2.3732823529411766E-06</v>
      </c>
      <c r="U915" t="s">
        <v>137</v>
      </c>
      <c r="V915">
        <v>0.00075513529411764711</v>
      </c>
      <c r="W915">
        <v>0.02136191445882353</v>
      </c>
      <c r="X915" t="s">
        <v>138</v>
      </c>
      <c r="Y915">
        <v>0.0012817148675294118</v>
      </c>
      <c r="Z915">
        <v>0</v>
      </c>
      <c r="AA915" t="s">
        <v>139</v>
      </c>
      <c r="AB915">
        <v>0.0025634297350588236</v>
      </c>
      <c r="AC915">
        <v>0.025207059061411765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Q915" t="s">
        <v>140</v>
      </c>
      <c r="AR915" t="s">
        <v>141</v>
      </c>
      <c r="AS915">
        <v>0.021575294117647057</v>
      </c>
    </row>
    <row r="916" spans="1:45" ht="12.75">
      <c r="A916" s="2" t="str">
        <f>HYPERLINK("https://ibp.a2mac1.com/costing(costing:projects/details/8191/material/5320400)","Standard Structural Steel sheet")</f>
        <v>Standard Structural Steel sheet</v>
      </c>
      <c r="B916">
        <v>5320400</v>
      </c>
      <c r="C916">
        <v>6975929</v>
      </c>
      <c r="E916">
        <v>0.61129999999999995</v>
      </c>
      <c r="F916" t="s">
        <v>1885</v>
      </c>
      <c r="G916">
        <v>50</v>
      </c>
      <c r="H916" t="s">
        <v>2738</v>
      </c>
      <c r="I916">
        <v>30</v>
      </c>
      <c r="J916">
        <v>0.01099879013308536</v>
      </c>
      <c r="K916">
        <v>0</v>
      </c>
      <c r="L916">
        <v>0</v>
      </c>
      <c r="M916">
        <v>0</v>
      </c>
      <c r="O916">
        <v>400000</v>
      </c>
      <c r="R916" t="s">
        <v>136</v>
      </c>
      <c r="S916">
        <v>0.0073356000000000003</v>
      </c>
      <c r="T916">
        <v>5.3794399999999999E-06</v>
      </c>
      <c r="U916" t="s">
        <v>137</v>
      </c>
      <c r="V916">
        <v>0.0017116399999999999</v>
      </c>
      <c r="W916">
        <v>0.04328541944</v>
      </c>
      <c r="X916" t="s">
        <v>138</v>
      </c>
      <c r="Y916">
        <v>0.0025971251664000002</v>
      </c>
      <c r="Z916">
        <v>0</v>
      </c>
      <c r="AA916" t="s">
        <v>139</v>
      </c>
      <c r="AB916">
        <v>0.0051942503328000003</v>
      </c>
      <c r="AC916">
        <v>0.051076794939199997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Q916" t="s">
        <v>140</v>
      </c>
      <c r="AR916" t="s">
        <v>141</v>
      </c>
      <c r="AS916">
        <v>0.048904000000000003</v>
      </c>
    </row>
    <row r="917" spans="1:45" ht="12.75">
      <c r="A917" s="2" t="str">
        <f>HYPERLINK("https://ibp.a2mac1.com/costing(costing:projects/details/8191/material/5320401)","Standard Structural Steel sheet")</f>
        <v>Standard Structural Steel sheet</v>
      </c>
      <c r="B917">
        <v>5320401</v>
      </c>
      <c r="C917">
        <v>6975930</v>
      </c>
      <c r="E917">
        <v>0.61129999999999995</v>
      </c>
      <c r="F917" t="s">
        <v>5227</v>
      </c>
      <c r="G917">
        <v>65</v>
      </c>
      <c r="H917" t="s">
        <v>6523</v>
      </c>
      <c r="I917">
        <v>30</v>
      </c>
      <c r="J917">
        <v>0.01099879013308536</v>
      </c>
      <c r="K917">
        <v>0</v>
      </c>
      <c r="L917">
        <v>0</v>
      </c>
      <c r="M917">
        <v>0</v>
      </c>
      <c r="O917">
        <v>400000</v>
      </c>
      <c r="R917" t="s">
        <v>136</v>
      </c>
      <c r="S917">
        <v>0.011849815384615384</v>
      </c>
      <c r="T917">
        <v>1.2414092307692308E-05</v>
      </c>
      <c r="U917" t="s">
        <v>137</v>
      </c>
      <c r="V917">
        <v>0.0039499384615384612</v>
      </c>
      <c r="W917">
        <v>0.10496792178461538</v>
      </c>
      <c r="X917" t="s">
        <v>138</v>
      </c>
      <c r="Y917">
        <v>0.0062980753070769231</v>
      </c>
      <c r="Z917">
        <v>0</v>
      </c>
      <c r="AA917" t="s">
        <v>139</v>
      </c>
      <c r="AB917">
        <v>0.012596150614153846</v>
      </c>
      <c r="AC917">
        <v>0.12386214770584615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Q917" t="s">
        <v>140</v>
      </c>
      <c r="AR917" t="s">
        <v>141</v>
      </c>
      <c r="AS917">
        <v>0.11285538461538462</v>
      </c>
    </row>
    <row r="918" spans="1:45" ht="12.75">
      <c r="A918" s="2" t="str">
        <f>HYPERLINK("https://ibp.a2mac1.com/costing(costing:projects/details/8191/material/5320402)","Standard Structural Steel sheet")</f>
        <v>Standard Structural Steel sheet</v>
      </c>
      <c r="B918">
        <v>5320402</v>
      </c>
      <c r="C918">
        <v>6975931</v>
      </c>
      <c r="E918">
        <v>0.61129999999999995</v>
      </c>
      <c r="F918" t="s">
        <v>4234</v>
      </c>
      <c r="G918">
        <v>70</v>
      </c>
      <c r="H918" t="s">
        <v>6526</v>
      </c>
      <c r="I918">
        <v>30</v>
      </c>
      <c r="J918">
        <v>0.01099879013308536</v>
      </c>
      <c r="K918">
        <v>0</v>
      </c>
      <c r="L918">
        <v>0</v>
      </c>
      <c r="M918">
        <v>0</v>
      </c>
      <c r="O918">
        <v>400000</v>
      </c>
      <c r="R918" t="s">
        <v>136</v>
      </c>
      <c r="S918">
        <v>0.0023578714285714284</v>
      </c>
      <c r="T918">
        <v>2.8818428571428572E-06</v>
      </c>
      <c r="U918" t="s">
        <v>137</v>
      </c>
      <c r="V918">
        <v>0.00091695000000000004</v>
      </c>
      <c r="W918">
        <v>0.024760531842857144</v>
      </c>
      <c r="X918" t="s">
        <v>138</v>
      </c>
      <c r="Y918">
        <v>0.0014856319105714286</v>
      </c>
      <c r="Z918">
        <v>0</v>
      </c>
      <c r="AA918" t="s">
        <v>139</v>
      </c>
      <c r="AB918">
        <v>0.0029712638211428573</v>
      </c>
      <c r="AC918">
        <v>0.029217427574571429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Q918" t="s">
        <v>140</v>
      </c>
      <c r="AR918" t="s">
        <v>141</v>
      </c>
      <c r="AS918">
        <v>0.026198571428571429</v>
      </c>
    </row>
    <row r="919" spans="1:45" ht="12.75">
      <c r="A919" s="2" t="str">
        <f>HYPERLINK("https://ibp.a2mac1.com/costing(costing:projects/details/8191/material/5320403)","Steel sheet (Hot Forming Steel)")</f>
        <v>Steel sheet (Hot Forming Steel)</v>
      </c>
      <c r="B919">
        <v>5320403</v>
      </c>
      <c r="C919">
        <v>6975932</v>
      </c>
      <c r="E919">
        <v>1.66818</v>
      </c>
      <c r="F919" t="s">
        <v>6531</v>
      </c>
      <c r="G919">
        <v>40</v>
      </c>
      <c r="H919" t="s">
        <v>6532</v>
      </c>
      <c r="I919">
        <v>30</v>
      </c>
      <c r="J919">
        <v>0.01099879013308536</v>
      </c>
      <c r="K919">
        <v>0</v>
      </c>
      <c r="L919">
        <v>0</v>
      </c>
      <c r="M919">
        <v>0</v>
      </c>
      <c r="O919">
        <v>400000</v>
      </c>
      <c r="R919" t="s">
        <v>136</v>
      </c>
      <c r="S919">
        <v>3.7984458600000002</v>
      </c>
      <c r="T919">
        <v>0.0023212724699999999</v>
      </c>
      <c r="U919" t="s">
        <v>137</v>
      </c>
      <c r="V919">
        <v>0.73858669499999996</v>
      </c>
      <c r="W919">
        <v>18.04493910747</v>
      </c>
      <c r="X919" t="s">
        <v>138</v>
      </c>
      <c r="Y919">
        <v>1.0826963464482</v>
      </c>
      <c r="Z919">
        <v>0</v>
      </c>
      <c r="AA919" t="s">
        <v>139</v>
      </c>
      <c r="AB919">
        <v>2.1653926928964</v>
      </c>
      <c r="AC919">
        <v>21.293028146814599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Q919" t="s">
        <v>140</v>
      </c>
      <c r="AR919" t="s">
        <v>141</v>
      </c>
      <c r="AS919">
        <v>21.102477</v>
      </c>
    </row>
    <row r="920" spans="1:45" ht="12.75">
      <c r="A920" s="2" t="str">
        <f>HYPERLINK("https://ibp.a2mac1.com/costing(costing:projects/details/8191/material/5320404)","Standard Structural Steel sheet")</f>
        <v>Standard Structural Steel sheet</v>
      </c>
      <c r="B920">
        <v>5320404</v>
      </c>
      <c r="C920">
        <v>6975933</v>
      </c>
      <c r="E920">
        <v>0.61129999999999995</v>
      </c>
      <c r="F920" t="s">
        <v>6535</v>
      </c>
      <c r="G920">
        <v>75</v>
      </c>
      <c r="H920" t="s">
        <v>6536</v>
      </c>
      <c r="I920">
        <v>30</v>
      </c>
      <c r="J920">
        <v>0.01099879013308536</v>
      </c>
      <c r="K920">
        <v>0</v>
      </c>
      <c r="L920">
        <v>0</v>
      </c>
      <c r="M920">
        <v>0</v>
      </c>
      <c r="O920">
        <v>400000</v>
      </c>
      <c r="R920" t="s">
        <v>136</v>
      </c>
      <c r="S920">
        <v>0.063575199999999998</v>
      </c>
      <c r="T920">
        <v>9.3243626666666667E-05</v>
      </c>
      <c r="U920" t="s">
        <v>137</v>
      </c>
      <c r="V920">
        <v>0.029668426666666668</v>
      </c>
      <c r="W920">
        <v>0.81385580362666665</v>
      </c>
      <c r="X920" t="s">
        <v>138</v>
      </c>
      <c r="Y920">
        <v>0.048831348217599997</v>
      </c>
      <c r="Z920">
        <v>0</v>
      </c>
      <c r="AA920" t="s">
        <v>139</v>
      </c>
      <c r="AB920">
        <v>0.097662696435199994</v>
      </c>
      <c r="AC920">
        <v>0.96034984827946668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Q920" t="s">
        <v>140</v>
      </c>
      <c r="AR920" t="s">
        <v>141</v>
      </c>
      <c r="AS920">
        <v>0.84766933333333339</v>
      </c>
    </row>
    <row r="921" spans="1:45" ht="12.75">
      <c r="A921" s="2" t="str">
        <f>HYPERLINK("https://ibp.a2mac1.com/costing(costing:projects/details/8191/material/5320405)","Steel sheet (Hot Forming Steel)")</f>
        <v>Steel sheet (Hot Forming Steel)</v>
      </c>
      <c r="B921">
        <v>5320405</v>
      </c>
      <c r="C921">
        <v>6975934</v>
      </c>
      <c r="E921">
        <v>1.66818</v>
      </c>
      <c r="F921" t="s">
        <v>6540</v>
      </c>
      <c r="G921">
        <v>60</v>
      </c>
      <c r="H921" t="s">
        <v>6541</v>
      </c>
      <c r="I921">
        <v>30</v>
      </c>
      <c r="J921">
        <v>0.01099879013308536</v>
      </c>
      <c r="K921">
        <v>0</v>
      </c>
      <c r="L921">
        <v>0</v>
      </c>
      <c r="M921">
        <v>0</v>
      </c>
      <c r="O921">
        <v>400000</v>
      </c>
      <c r="R921" t="s">
        <v>136</v>
      </c>
      <c r="S921">
        <v>0.82741728000000003</v>
      </c>
      <c r="T921">
        <v>0.00075846583999999995</v>
      </c>
      <c r="U921" t="s">
        <v>137</v>
      </c>
      <c r="V921">
        <v>0.24133004</v>
      </c>
      <c r="W921">
        <v>6.3098152258400004</v>
      </c>
      <c r="X921" t="s">
        <v>138</v>
      </c>
      <c r="Y921">
        <v>0.37858891355039997</v>
      </c>
      <c r="Z921">
        <v>0</v>
      </c>
      <c r="AA921" t="s">
        <v>139</v>
      </c>
      <c r="AB921">
        <v>0.75717782710079995</v>
      </c>
      <c r="AC921">
        <v>7.4455819664911997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Q921" t="s">
        <v>140</v>
      </c>
      <c r="AR921" t="s">
        <v>141</v>
      </c>
      <c r="AS921">
        <v>6.8951440000000002</v>
      </c>
    </row>
    <row r="922" spans="1:45" ht="12.75">
      <c r="A922" s="2" t="str">
        <f>HYPERLINK("https://ibp.a2mac1.com/costing(costing:projects/details/8191/material/5320406)","Standard Structural Steel sheet")</f>
        <v>Standard Structural Steel sheet</v>
      </c>
      <c r="B922">
        <v>5320406</v>
      </c>
      <c r="C922">
        <v>6975935</v>
      </c>
      <c r="E922">
        <v>0.61129999999999995</v>
      </c>
      <c r="F922" t="s">
        <v>6545</v>
      </c>
      <c r="G922">
        <v>70</v>
      </c>
      <c r="H922" t="s">
        <v>6546</v>
      </c>
      <c r="I922">
        <v>30</v>
      </c>
      <c r="J922">
        <v>0.01099879013308536</v>
      </c>
      <c r="K922">
        <v>0</v>
      </c>
      <c r="L922">
        <v>0</v>
      </c>
      <c r="M922">
        <v>0</v>
      </c>
      <c r="O922">
        <v>400000</v>
      </c>
      <c r="R922" t="s">
        <v>136</v>
      </c>
      <c r="S922">
        <v>0.062090614285714288</v>
      </c>
      <c r="T922">
        <v>7.5888528571428572E-05</v>
      </c>
      <c r="U922" t="s">
        <v>137</v>
      </c>
      <c r="V922">
        <v>0.02414635</v>
      </c>
      <c r="W922">
        <v>0.65202733852857142</v>
      </c>
      <c r="X922" t="s">
        <v>138</v>
      </c>
      <c r="Y922">
        <v>0.039121640311714286</v>
      </c>
      <c r="Z922">
        <v>0</v>
      </c>
      <c r="AA922" t="s">
        <v>139</v>
      </c>
      <c r="AB922">
        <v>0.078243280623428571</v>
      </c>
      <c r="AC922">
        <v>0.76939225946371426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Q922" t="s">
        <v>140</v>
      </c>
      <c r="AR922" t="s">
        <v>141</v>
      </c>
      <c r="AS922">
        <v>0.68989571428571428</v>
      </c>
    </row>
    <row r="923" spans="1:45" ht="12.75">
      <c r="A923" s="2" t="str">
        <f>HYPERLINK("https://ibp.a2mac1.com/costing(costing:projects/details/8191/material/5320407)","Standard Structural Steel sheet")</f>
        <v>Standard Structural Steel sheet</v>
      </c>
      <c r="B923">
        <v>5320407</v>
      </c>
      <c r="C923">
        <v>6975936</v>
      </c>
      <c r="E923">
        <v>0.61129999999999995</v>
      </c>
      <c r="F923" t="s">
        <v>2911</v>
      </c>
      <c r="G923">
        <v>80</v>
      </c>
      <c r="H923" t="s">
        <v>6550</v>
      </c>
      <c r="I923">
        <v>30</v>
      </c>
      <c r="J923">
        <v>0.01099879013308536</v>
      </c>
      <c r="K923">
        <v>0</v>
      </c>
      <c r="L923">
        <v>0</v>
      </c>
      <c r="M923">
        <v>0</v>
      </c>
      <c r="O923">
        <v>400000</v>
      </c>
      <c r="R923" t="s">
        <v>136</v>
      </c>
      <c r="S923">
        <v>0.0032093249999999999</v>
      </c>
      <c r="T923">
        <v>5.8837625000000002E-06</v>
      </c>
      <c r="U923" t="s">
        <v>137</v>
      </c>
      <c r="V923">
        <v>0.00187210625</v>
      </c>
      <c r="W923">
        <v>0.0521574150125</v>
      </c>
      <c r="X923" t="s">
        <v>138</v>
      </c>
      <c r="Y923">
        <v>0.0031294449007500001</v>
      </c>
      <c r="Z923">
        <v>0</v>
      </c>
      <c r="AA923" t="s">
        <v>139</v>
      </c>
      <c r="AB923">
        <v>0.0062588898015000002</v>
      </c>
      <c r="AC923">
        <v>0.061545749714749999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Q923" t="s">
        <v>140</v>
      </c>
      <c r="AR923" t="s">
        <v>141</v>
      </c>
      <c r="AS923">
        <v>0.053488750000000002</v>
      </c>
    </row>
    <row r="924" spans="1:45" ht="12.75">
      <c r="A924" s="2" t="str">
        <f>HYPERLINK("https://ibp.a2mac1.com/costing(costing:projects/details/8191/material/5320408)","Standard Structural Steel sheet")</f>
        <v>Standard Structural Steel sheet</v>
      </c>
      <c r="B924">
        <v>5320408</v>
      </c>
      <c r="C924">
        <v>6975937</v>
      </c>
      <c r="E924">
        <v>0.61129999999999995</v>
      </c>
      <c r="F924" t="s">
        <v>2764</v>
      </c>
      <c r="G924">
        <v>50</v>
      </c>
      <c r="H924" t="s">
        <v>281</v>
      </c>
      <c r="I924">
        <v>30</v>
      </c>
      <c r="J924">
        <v>0.01099879013308536</v>
      </c>
      <c r="K924">
        <v>0</v>
      </c>
      <c r="L924">
        <v>0</v>
      </c>
      <c r="M924">
        <v>0</v>
      </c>
      <c r="O924">
        <v>400000</v>
      </c>
      <c r="R924" t="s">
        <v>136</v>
      </c>
      <c r="S924">
        <v>0.045847499999999999</v>
      </c>
      <c r="T924">
        <v>3.3621500000000003E-05</v>
      </c>
      <c r="U924" t="s">
        <v>137</v>
      </c>
      <c r="V924">
        <v>0.010697750000000001</v>
      </c>
      <c r="W924">
        <v>0.27053387150000002</v>
      </c>
      <c r="X924" t="s">
        <v>138</v>
      </c>
      <c r="Y924">
        <v>0.01623203229</v>
      </c>
      <c r="Z924">
        <v>0</v>
      </c>
      <c r="AA924" t="s">
        <v>139</v>
      </c>
      <c r="AB924">
        <v>0.03246406458</v>
      </c>
      <c r="AC924">
        <v>0.31922996837000001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Q924" t="s">
        <v>140</v>
      </c>
      <c r="AR924" t="s">
        <v>141</v>
      </c>
      <c r="AS924">
        <v>0.30564999999999998</v>
      </c>
    </row>
    <row r="925" spans="1:45" ht="12.75">
      <c r="A925" s="2" t="str">
        <f>HYPERLINK("https://ibp.a2mac1.com/costing(costing:projects/details/8191/material/5320409)","Standard Structural Steel sheet")</f>
        <v>Standard Structural Steel sheet</v>
      </c>
      <c r="B925">
        <v>5320409</v>
      </c>
      <c r="C925">
        <v>6975938</v>
      </c>
      <c r="E925">
        <v>0.61129999999999995</v>
      </c>
      <c r="F925" t="s">
        <v>2764</v>
      </c>
      <c r="G925">
        <v>50</v>
      </c>
      <c r="H925" t="s">
        <v>281</v>
      </c>
      <c r="I925">
        <v>30</v>
      </c>
      <c r="J925">
        <v>0.01099879013308536</v>
      </c>
      <c r="K925">
        <v>0</v>
      </c>
      <c r="L925">
        <v>0</v>
      </c>
      <c r="M925">
        <v>0</v>
      </c>
      <c r="O925">
        <v>400000</v>
      </c>
      <c r="R925" t="s">
        <v>136</v>
      </c>
      <c r="S925">
        <v>0.045847499999999999</v>
      </c>
      <c r="T925">
        <v>3.3621500000000003E-05</v>
      </c>
      <c r="U925" t="s">
        <v>137</v>
      </c>
      <c r="V925">
        <v>0.010697750000000001</v>
      </c>
      <c r="W925">
        <v>0.27053387150000002</v>
      </c>
      <c r="X925" t="s">
        <v>138</v>
      </c>
      <c r="Y925">
        <v>0.01623203229</v>
      </c>
      <c r="Z925">
        <v>0</v>
      </c>
      <c r="AA925" t="s">
        <v>139</v>
      </c>
      <c r="AB925">
        <v>0.03246406458</v>
      </c>
      <c r="AC925">
        <v>0.31922996837000001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Q925" t="s">
        <v>140</v>
      </c>
      <c r="AR925" t="s">
        <v>141</v>
      </c>
      <c r="AS925">
        <v>0.30564999999999998</v>
      </c>
    </row>
    <row r="926" spans="1:45" ht="12.75">
      <c r="A926" s="2" t="str">
        <f>HYPERLINK("https://ibp.a2mac1.com/costing(costing:projects/details/8191/material/5320410)","Standard Structural Steel sheet")</f>
        <v>Standard Structural Steel sheet</v>
      </c>
      <c r="B926">
        <v>5320410</v>
      </c>
      <c r="C926">
        <v>6975939</v>
      </c>
      <c r="E926">
        <v>0.61129999999999995</v>
      </c>
      <c r="F926" t="s">
        <v>6559</v>
      </c>
      <c r="G926">
        <v>65</v>
      </c>
      <c r="H926" t="s">
        <v>6560</v>
      </c>
      <c r="I926">
        <v>30</v>
      </c>
      <c r="J926">
        <v>0.01099879013308536</v>
      </c>
      <c r="K926">
        <v>0</v>
      </c>
      <c r="L926">
        <v>0</v>
      </c>
      <c r="M926">
        <v>0</v>
      </c>
      <c r="O926">
        <v>400000</v>
      </c>
      <c r="R926" t="s">
        <v>136</v>
      </c>
      <c r="S926">
        <v>0.30019532307692309</v>
      </c>
      <c r="T926">
        <v>0.00031449033846153848</v>
      </c>
      <c r="U926" t="s">
        <v>137</v>
      </c>
      <c r="V926">
        <v>0.1000651076923077</v>
      </c>
      <c r="W926">
        <v>2.6591873518769229</v>
      </c>
      <c r="X926" t="s">
        <v>138</v>
      </c>
      <c r="Y926">
        <v>0.15955124111261537</v>
      </c>
      <c r="Z926">
        <v>0</v>
      </c>
      <c r="AA926" t="s">
        <v>139</v>
      </c>
      <c r="AB926">
        <v>0.31910248222523074</v>
      </c>
      <c r="AC926">
        <v>3.1378410752147694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Q926" t="s">
        <v>140</v>
      </c>
      <c r="AR926" t="s">
        <v>141</v>
      </c>
      <c r="AS926">
        <v>2.8590030769230768</v>
      </c>
    </row>
    <row r="927" spans="1:45" ht="12.75">
      <c r="A927" s="2" t="str">
        <f>HYPERLINK("https://ibp.a2mac1.com/costing(costing:projects/details/8191/material/5320411)","Standard Structural Steel sheet")</f>
        <v>Standard Structural Steel sheet</v>
      </c>
      <c r="B927">
        <v>5320411</v>
      </c>
      <c r="C927">
        <v>6975940</v>
      </c>
      <c r="E927">
        <v>0.61129999999999995</v>
      </c>
      <c r="F927" t="s">
        <v>6441</v>
      </c>
      <c r="G927">
        <v>60</v>
      </c>
      <c r="H927" t="s">
        <v>6564</v>
      </c>
      <c r="I927">
        <v>30</v>
      </c>
      <c r="J927">
        <v>0.01099879013308536</v>
      </c>
      <c r="K927">
        <v>0</v>
      </c>
      <c r="L927">
        <v>0</v>
      </c>
      <c r="M927">
        <v>0</v>
      </c>
      <c r="O927">
        <v>400000</v>
      </c>
      <c r="R927" t="s">
        <v>136</v>
      </c>
      <c r="S927">
        <v>0.066020400000000007</v>
      </c>
      <c r="T927">
        <v>6.05187E-05</v>
      </c>
      <c r="U927" t="s">
        <v>137</v>
      </c>
      <c r="V927">
        <v>0.019255950000000001</v>
      </c>
      <c r="W927">
        <v>0.50346606869999999</v>
      </c>
      <c r="X927" t="s">
        <v>138</v>
      </c>
      <c r="Y927">
        <v>0.030207964122000001</v>
      </c>
      <c r="Z927">
        <v>0</v>
      </c>
      <c r="AA927" t="s">
        <v>139</v>
      </c>
      <c r="AB927">
        <v>0.060415928244000001</v>
      </c>
      <c r="AC927">
        <v>0.59408996106599998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Q927" t="s">
        <v>140</v>
      </c>
      <c r="AR927" t="s">
        <v>141</v>
      </c>
      <c r="AS927">
        <v>0.55017000000000005</v>
      </c>
    </row>
    <row r="928" spans="1:45" ht="12.75">
      <c r="A928" s="2" t="str">
        <f>HYPERLINK("https://ibp.a2mac1.com/costing(costing:projects/details/8191/material/5320412)","Standard Structural Steel sheet")</f>
        <v>Standard Structural Steel sheet</v>
      </c>
      <c r="B928">
        <v>5320412</v>
      </c>
      <c r="C928">
        <v>6975941</v>
      </c>
      <c r="E928">
        <v>0.61129999999999995</v>
      </c>
      <c r="F928" t="s">
        <v>1775</v>
      </c>
      <c r="G928">
        <v>80</v>
      </c>
      <c r="H928" t="s">
        <v>4865</v>
      </c>
      <c r="I928">
        <v>30</v>
      </c>
      <c r="J928">
        <v>0.01099879013308536</v>
      </c>
      <c r="K928">
        <v>0</v>
      </c>
      <c r="L928">
        <v>0</v>
      </c>
      <c r="M928">
        <v>0</v>
      </c>
      <c r="O928">
        <v>400000</v>
      </c>
      <c r="R928" t="s">
        <v>136</v>
      </c>
      <c r="S928">
        <v>0.0059601749999999998</v>
      </c>
      <c r="T928">
        <v>1.09269875E-05</v>
      </c>
      <c r="U928" t="s">
        <v>137</v>
      </c>
      <c r="V928">
        <v>0.0034767687499999999</v>
      </c>
      <c r="W928">
        <v>0.096863770737499993</v>
      </c>
      <c r="X928" t="s">
        <v>138</v>
      </c>
      <c r="Y928">
        <v>0.0058118262442500004</v>
      </c>
      <c r="Z928">
        <v>0</v>
      </c>
      <c r="AA928" t="s">
        <v>139</v>
      </c>
      <c r="AB928">
        <v>0.011623652488500001</v>
      </c>
      <c r="AC928">
        <v>0.11429924947025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Q928" t="s">
        <v>140</v>
      </c>
      <c r="AR928" t="s">
        <v>141</v>
      </c>
      <c r="AS928">
        <v>0.099336250000000001</v>
      </c>
    </row>
    <row r="929" spans="1:45" ht="12.75">
      <c r="A929" s="2" t="str">
        <f>HYPERLINK("https://ibp.a2mac1.com/costing(costing:projects/details/8191/material/5320413)","Standard Structural Steel sheet")</f>
        <v>Standard Structural Steel sheet</v>
      </c>
      <c r="B929">
        <v>5320413</v>
      </c>
      <c r="C929">
        <v>6975942</v>
      </c>
      <c r="E929">
        <v>0.61129999999999995</v>
      </c>
      <c r="F929" t="s">
        <v>6570</v>
      </c>
      <c r="G929">
        <v>70</v>
      </c>
      <c r="H929" t="s">
        <v>6571</v>
      </c>
      <c r="I929">
        <v>30</v>
      </c>
      <c r="J929">
        <v>0.01099879013308536</v>
      </c>
      <c r="K929">
        <v>0</v>
      </c>
      <c r="L929">
        <v>0</v>
      </c>
      <c r="M929">
        <v>0</v>
      </c>
      <c r="O929">
        <v>400000</v>
      </c>
      <c r="R929" t="s">
        <v>136</v>
      </c>
      <c r="S929">
        <v>0.047943385714285712</v>
      </c>
      <c r="T929">
        <v>5.8597471428571427E-05</v>
      </c>
      <c r="U929" t="s">
        <v>137</v>
      </c>
      <c r="V929">
        <v>0.018644649999999999</v>
      </c>
      <c r="W929">
        <v>0.50346414747142854</v>
      </c>
      <c r="X929" t="s">
        <v>138</v>
      </c>
      <c r="Y929">
        <v>0.030207848848285715</v>
      </c>
      <c r="Z929">
        <v>0</v>
      </c>
      <c r="AA929" t="s">
        <v>139</v>
      </c>
      <c r="AB929">
        <v>0.06041569769657143</v>
      </c>
      <c r="AC929">
        <v>0.59408769401628569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Q929" t="s">
        <v>140</v>
      </c>
      <c r="AR929" t="s">
        <v>141</v>
      </c>
      <c r="AS929">
        <v>0.53270428571428574</v>
      </c>
    </row>
    <row r="930" spans="1:45" ht="12.75">
      <c r="A930" s="2" t="str">
        <f>HYPERLINK("https://ibp.a2mac1.com/costing(costing:projects/details/8191/material/5320414)","Standard Structural Steel sheet")</f>
        <v>Standard Structural Steel sheet</v>
      </c>
      <c r="B930">
        <v>5320414</v>
      </c>
      <c r="C930">
        <v>6975943</v>
      </c>
      <c r="E930">
        <v>0.61129999999999995</v>
      </c>
      <c r="F930" t="s">
        <v>134</v>
      </c>
      <c r="G930">
        <v>70</v>
      </c>
      <c r="H930" t="s">
        <v>6574</v>
      </c>
      <c r="I930">
        <v>30</v>
      </c>
      <c r="J930">
        <v>0.01099879013308536</v>
      </c>
      <c r="K930">
        <v>0</v>
      </c>
      <c r="L930">
        <v>0</v>
      </c>
      <c r="M930">
        <v>0</v>
      </c>
      <c r="O930">
        <v>400000</v>
      </c>
      <c r="R930" t="s">
        <v>136</v>
      </c>
      <c r="S930">
        <v>0.037725942857142855</v>
      </c>
      <c r="T930">
        <v>4.6109485714285715E-05</v>
      </c>
      <c r="U930" t="s">
        <v>137</v>
      </c>
      <c r="V930">
        <v>0.014671200000000001</v>
      </c>
      <c r="W930">
        <v>0.3961685094857143</v>
      </c>
      <c r="X930" t="s">
        <v>138</v>
      </c>
      <c r="Y930">
        <v>0.023770110569142858</v>
      </c>
      <c r="Z930">
        <v>0</v>
      </c>
      <c r="AA930" t="s">
        <v>139</v>
      </c>
      <c r="AB930">
        <v>0.047540221138285717</v>
      </c>
      <c r="AC930">
        <v>0.46747884119314287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Q930" t="s">
        <v>140</v>
      </c>
      <c r="AR930" t="s">
        <v>141</v>
      </c>
      <c r="AS930">
        <v>0.41917714285714286</v>
      </c>
    </row>
    <row r="931" spans="1:45" ht="12.75">
      <c r="A931" s="2" t="str">
        <f>HYPERLINK("https://ibp.a2mac1.com/costing(costing:projects/details/8191/material/5320415)","Steel sheet (Hot Forming Steel)")</f>
        <v>Steel sheet (Hot Forming Steel)</v>
      </c>
      <c r="B931">
        <v>5320415</v>
      </c>
      <c r="C931">
        <v>6975944</v>
      </c>
      <c r="E931">
        <v>1.66818</v>
      </c>
      <c r="F931" t="s">
        <v>6579</v>
      </c>
      <c r="G931">
        <v>70</v>
      </c>
      <c r="H931" t="s">
        <v>6580</v>
      </c>
      <c r="I931">
        <v>30</v>
      </c>
      <c r="J931">
        <v>0.01099879013308536</v>
      </c>
      <c r="K931">
        <v>0</v>
      </c>
      <c r="L931">
        <v>0</v>
      </c>
      <c r="M931">
        <v>0</v>
      </c>
      <c r="O931">
        <v>400000</v>
      </c>
      <c r="R931" t="s">
        <v>136</v>
      </c>
      <c r="S931">
        <v>1.2976057285714286</v>
      </c>
      <c r="T931">
        <v>0.0015859625571428572</v>
      </c>
      <c r="U931" t="s">
        <v>137</v>
      </c>
      <c r="V931">
        <v>0.50462445</v>
      </c>
      <c r="W931">
        <v>13.626446112557144</v>
      </c>
      <c r="X931" t="s">
        <v>138</v>
      </c>
      <c r="Y931">
        <v>0.81758676675342856</v>
      </c>
      <c r="Z931">
        <v>0</v>
      </c>
      <c r="AA931" t="s">
        <v>139</v>
      </c>
      <c r="AB931">
        <v>1.6351735335068571</v>
      </c>
      <c r="AC931">
        <v>16.079206412817427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Q931" t="s">
        <v>140</v>
      </c>
      <c r="AR931" t="s">
        <v>141</v>
      </c>
      <c r="AS931">
        <v>14.417841428571428</v>
      </c>
    </row>
    <row r="932" spans="1:45" ht="12.75">
      <c r="A932" s="2" t="str">
        <f>HYPERLINK("https://ibp.a2mac1.com/costing(costing:projects/details/8191/material/5320416)","Standard Structural Steel sheet")</f>
        <v>Standard Structural Steel sheet</v>
      </c>
      <c r="B932">
        <v>5320416</v>
      </c>
      <c r="C932">
        <v>6975945</v>
      </c>
      <c r="E932">
        <v>0.61129999999999995</v>
      </c>
      <c r="F932" t="s">
        <v>6584</v>
      </c>
      <c r="G932">
        <v>60</v>
      </c>
      <c r="H932" t="s">
        <v>6585</v>
      </c>
      <c r="I932">
        <v>30</v>
      </c>
      <c r="J932">
        <v>0.01099879013308536</v>
      </c>
      <c r="K932">
        <v>0</v>
      </c>
      <c r="L932">
        <v>0</v>
      </c>
      <c r="M932">
        <v>0</v>
      </c>
      <c r="O932">
        <v>400000</v>
      </c>
      <c r="R932" t="s">
        <v>136</v>
      </c>
      <c r="S932">
        <v>0.18583520000000001</v>
      </c>
      <c r="T932">
        <v>0.00017034893333333332</v>
      </c>
      <c r="U932" t="s">
        <v>137</v>
      </c>
      <c r="V932">
        <v>0.054201933333333334</v>
      </c>
      <c r="W932">
        <v>1.4171637489333333</v>
      </c>
      <c r="X932" t="s">
        <v>138</v>
      </c>
      <c r="Y932">
        <v>0.085029824936000004</v>
      </c>
      <c r="Z932">
        <v>0</v>
      </c>
      <c r="AA932" t="s">
        <v>139</v>
      </c>
      <c r="AB932">
        <v>0.17005964987200001</v>
      </c>
      <c r="AC932">
        <v>1.6722532237413332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Q932" t="s">
        <v>140</v>
      </c>
      <c r="AR932" t="s">
        <v>141</v>
      </c>
      <c r="AS932">
        <v>1.5486266666666666</v>
      </c>
    </row>
    <row r="933" spans="1:45" ht="12.75">
      <c r="A933" s="2" t="str">
        <f>HYPERLINK("https://ibp.a2mac1.com/costing(costing:projects/details/8191/material/5320417)","Standard Structural Steel sheet")</f>
        <v>Standard Structural Steel sheet</v>
      </c>
      <c r="B933">
        <v>5320417</v>
      </c>
      <c r="C933">
        <v>6975946</v>
      </c>
      <c r="E933">
        <v>0.61129999999999995</v>
      </c>
      <c r="F933" t="s">
        <v>2616</v>
      </c>
      <c r="G933">
        <v>60</v>
      </c>
      <c r="H933" t="s">
        <v>6588</v>
      </c>
      <c r="I933">
        <v>30</v>
      </c>
      <c r="J933">
        <v>0.01099879013308536</v>
      </c>
      <c r="K933">
        <v>0</v>
      </c>
      <c r="L933">
        <v>0</v>
      </c>
      <c r="M933">
        <v>0</v>
      </c>
      <c r="O933">
        <v>400000</v>
      </c>
      <c r="R933" t="s">
        <v>136</v>
      </c>
      <c r="S933">
        <v>0.061129999999999997</v>
      </c>
      <c r="T933">
        <v>5.6035833333333337E-05</v>
      </c>
      <c r="U933" t="s">
        <v>137</v>
      </c>
      <c r="V933">
        <v>0.017829583333333333</v>
      </c>
      <c r="W933">
        <v>0.46617228583333331</v>
      </c>
      <c r="X933" t="s">
        <v>138</v>
      </c>
      <c r="Y933">
        <v>0.02797033715</v>
      </c>
      <c r="Z933">
        <v>0</v>
      </c>
      <c r="AA933" t="s">
        <v>139</v>
      </c>
      <c r="AB933">
        <v>0.0559406743</v>
      </c>
      <c r="AC933">
        <v>0.55008329728333338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Q933" t="s">
        <v>140</v>
      </c>
      <c r="AR933" t="s">
        <v>141</v>
      </c>
      <c r="AS933">
        <v>0.50941666666666663</v>
      </c>
    </row>
    <row r="934" spans="1:45" ht="12.75">
      <c r="A934" s="2" t="str">
        <f>HYPERLINK("https://ibp.a2mac1.com/costing(costing:projects/details/8191/material/5320418)","Standard Structural Steel sheet")</f>
        <v>Standard Structural Steel sheet</v>
      </c>
      <c r="B934">
        <v>5320418</v>
      </c>
      <c r="C934">
        <v>6975947</v>
      </c>
      <c r="E934">
        <v>0.61129999999999995</v>
      </c>
      <c r="F934" t="s">
        <v>6592</v>
      </c>
      <c r="G934">
        <v>75</v>
      </c>
      <c r="H934" t="s">
        <v>6593</v>
      </c>
      <c r="I934">
        <v>30</v>
      </c>
      <c r="J934">
        <v>0.01099879013308536</v>
      </c>
      <c r="K934">
        <v>0</v>
      </c>
      <c r="L934">
        <v>0</v>
      </c>
      <c r="M934">
        <v>0</v>
      </c>
      <c r="O934">
        <v>400000</v>
      </c>
      <c r="R934" t="s">
        <v>136</v>
      </c>
      <c r="S934">
        <v>0.0189503</v>
      </c>
      <c r="T934">
        <v>2.7793773333333334E-05</v>
      </c>
      <c r="U934" t="s">
        <v>137</v>
      </c>
      <c r="V934">
        <v>0.0088434733333333342</v>
      </c>
      <c r="W934">
        <v>0.24259163377333334</v>
      </c>
      <c r="X934" t="s">
        <v>138</v>
      </c>
      <c r="Y934">
        <v>0.0145554980264</v>
      </c>
      <c r="Z934">
        <v>0</v>
      </c>
      <c r="AA934" t="s">
        <v>139</v>
      </c>
      <c r="AB934">
        <v>0.029110996052800001</v>
      </c>
      <c r="AC934">
        <v>0.28625812785253335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Q934" t="s">
        <v>140</v>
      </c>
      <c r="AR934" t="s">
        <v>141</v>
      </c>
      <c r="AS934">
        <v>0.25267066666666665</v>
      </c>
    </row>
    <row r="935" spans="1:45" ht="12.75">
      <c r="A935" s="2" t="str">
        <f>HYPERLINK("https://ibp.a2mac1.com/costing(costing:projects/details/8191/material/5320419)","Standard Structural Steel sheet")</f>
        <v>Standard Structural Steel sheet</v>
      </c>
      <c r="B935">
        <v>5320419</v>
      </c>
      <c r="C935">
        <v>6975948</v>
      </c>
      <c r="E935">
        <v>0.61129999999999995</v>
      </c>
      <c r="F935" t="s">
        <v>3377</v>
      </c>
      <c r="G935">
        <v>80</v>
      </c>
      <c r="H935" t="s">
        <v>5239</v>
      </c>
      <c r="I935">
        <v>30</v>
      </c>
      <c r="J935">
        <v>0.01099879013308536</v>
      </c>
      <c r="K935">
        <v>0</v>
      </c>
      <c r="L935">
        <v>0</v>
      </c>
      <c r="M935">
        <v>0</v>
      </c>
      <c r="O935">
        <v>400000</v>
      </c>
      <c r="R935" t="s">
        <v>136</v>
      </c>
      <c r="S935">
        <v>0.0045847500000000003</v>
      </c>
      <c r="T935">
        <v>8.4053750000000008E-06</v>
      </c>
      <c r="U935" t="s">
        <v>137</v>
      </c>
      <c r="V935">
        <v>0.0026744375000000002</v>
      </c>
      <c r="W935">
        <v>0.074510592875000003</v>
      </c>
      <c r="X935" t="s">
        <v>138</v>
      </c>
      <c r="Y935">
        <v>0.0044706355725000002</v>
      </c>
      <c r="Z935">
        <v>0</v>
      </c>
      <c r="AA935" t="s">
        <v>139</v>
      </c>
      <c r="AB935">
        <v>0.0089412711450000005</v>
      </c>
      <c r="AC935">
        <v>0.087922499592499995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Q935" t="s">
        <v>140</v>
      </c>
      <c r="AR935" t="s">
        <v>141</v>
      </c>
      <c r="AS935">
        <v>0.076412499999999994</v>
      </c>
    </row>
    <row r="936" spans="1:45" ht="12.75">
      <c r="A936" s="2" t="str">
        <f>HYPERLINK("https://ibp.a2mac1.com/costing(costing:projects/details/8191/material/5320420)","Standard Structural Steel sheet")</f>
        <v>Standard Structural Steel sheet</v>
      </c>
      <c r="B936">
        <v>5320420</v>
      </c>
      <c r="C936">
        <v>6975949</v>
      </c>
      <c r="E936">
        <v>0.61129999999999995</v>
      </c>
      <c r="F936" t="s">
        <v>504</v>
      </c>
      <c r="G936">
        <v>75</v>
      </c>
      <c r="H936" t="s">
        <v>505</v>
      </c>
      <c r="I936">
        <v>30</v>
      </c>
      <c r="J936">
        <v>0.01099879013308536</v>
      </c>
      <c r="K936">
        <v>0</v>
      </c>
      <c r="L936">
        <v>0</v>
      </c>
      <c r="M936">
        <v>0</v>
      </c>
      <c r="O936">
        <v>400000</v>
      </c>
      <c r="R936" t="s">
        <v>136</v>
      </c>
      <c r="S936">
        <v>0.0134486</v>
      </c>
      <c r="T936">
        <v>1.9724613333333333E-05</v>
      </c>
      <c r="U936" t="s">
        <v>137</v>
      </c>
      <c r="V936">
        <v>0.0062760133333333336</v>
      </c>
      <c r="W936">
        <v>0.17216180461333333</v>
      </c>
      <c r="X936" t="s">
        <v>138</v>
      </c>
      <c r="Y936">
        <v>0.0103297082768</v>
      </c>
      <c r="Z936">
        <v>0</v>
      </c>
      <c r="AA936" t="s">
        <v>139</v>
      </c>
      <c r="AB936">
        <v>0.020659416553599999</v>
      </c>
      <c r="AC936">
        <v>0.20315092944373334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Q936" t="s">
        <v>140</v>
      </c>
      <c r="AR936" t="s">
        <v>141</v>
      </c>
      <c r="AS936">
        <v>0.17931466666666668</v>
      </c>
    </row>
    <row r="937" spans="1:45" ht="12.75">
      <c r="A937" s="2" t="str">
        <f>HYPERLINK("https://ibp.a2mac1.com/costing(costing:projects/details/8191/material/5320421)","Standard Structural Steel sheet")</f>
        <v>Standard Structural Steel sheet</v>
      </c>
      <c r="B937">
        <v>5320421</v>
      </c>
      <c r="C937">
        <v>6975950</v>
      </c>
      <c r="E937">
        <v>0.61129999999999995</v>
      </c>
      <c r="F937" t="s">
        <v>6601</v>
      </c>
      <c r="G937">
        <v>80</v>
      </c>
      <c r="H937" t="s">
        <v>6602</v>
      </c>
      <c r="I937">
        <v>30</v>
      </c>
      <c r="J937">
        <v>0.01099879013308536</v>
      </c>
      <c r="K937">
        <v>0</v>
      </c>
      <c r="L937">
        <v>0</v>
      </c>
      <c r="M937">
        <v>0</v>
      </c>
      <c r="O937">
        <v>400000</v>
      </c>
      <c r="R937" t="s">
        <v>136</v>
      </c>
      <c r="S937">
        <v>0.016963575000000002</v>
      </c>
      <c r="T937">
        <v>3.1099887499999999E-05</v>
      </c>
      <c r="U937" t="s">
        <v>137</v>
      </c>
      <c r="V937">
        <v>0.0098954187499999992</v>
      </c>
      <c r="W937">
        <v>0.2756891936375</v>
      </c>
      <c r="X937" t="s">
        <v>138</v>
      </c>
      <c r="Y937">
        <v>0.016541351618249999</v>
      </c>
      <c r="Z937">
        <v>0</v>
      </c>
      <c r="AA937" t="s">
        <v>139</v>
      </c>
      <c r="AB937">
        <v>0.033082703236499998</v>
      </c>
      <c r="AC937">
        <v>0.32531324849225002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Q937" t="s">
        <v>140</v>
      </c>
      <c r="AR937" t="s">
        <v>141</v>
      </c>
      <c r="AS937">
        <v>0.28272625000000001</v>
      </c>
    </row>
    <row r="938" spans="1:45" ht="12.75">
      <c r="A938" s="2" t="str">
        <f>HYPERLINK("https://ibp.a2mac1.com/costing(costing:projects/details/8191/material/5320422)","Standard Structural Steel sheet")</f>
        <v>Standard Structural Steel sheet</v>
      </c>
      <c r="B938">
        <v>5320422</v>
      </c>
      <c r="C938">
        <v>6975951</v>
      </c>
      <c r="E938">
        <v>0.61129999999999995</v>
      </c>
      <c r="F938" t="s">
        <v>1471</v>
      </c>
      <c r="G938">
        <v>60</v>
      </c>
      <c r="H938" t="s">
        <v>6605</v>
      </c>
      <c r="I938">
        <v>30</v>
      </c>
      <c r="J938">
        <v>0.01099879013308536</v>
      </c>
      <c r="K938">
        <v>0</v>
      </c>
      <c r="L938">
        <v>0</v>
      </c>
      <c r="M938">
        <v>0</v>
      </c>
      <c r="O938">
        <v>400000</v>
      </c>
      <c r="R938" t="s">
        <v>136</v>
      </c>
      <c r="S938">
        <v>0.018339000000000001</v>
      </c>
      <c r="T938">
        <v>1.6810750000000002E-05</v>
      </c>
      <c r="U938" t="s">
        <v>137</v>
      </c>
      <c r="V938">
        <v>0.0053488750000000003</v>
      </c>
      <c r="W938">
        <v>0.13985168575000001</v>
      </c>
      <c r="X938" t="s">
        <v>138</v>
      </c>
      <c r="Y938">
        <v>0.0083911011449999996</v>
      </c>
      <c r="Z938">
        <v>0</v>
      </c>
      <c r="AA938" t="s">
        <v>139</v>
      </c>
      <c r="AB938">
        <v>0.016782202289999999</v>
      </c>
      <c r="AC938">
        <v>0.165024989185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Q938" t="s">
        <v>140</v>
      </c>
      <c r="AR938" t="s">
        <v>141</v>
      </c>
      <c r="AS938">
        <v>0.15282499999999999</v>
      </c>
    </row>
    <row r="939" spans="1:45" ht="12.75">
      <c r="A939" s="2" t="str">
        <f>HYPERLINK("https://ibp.a2mac1.com/costing(costing:projects/details/8191/material/5320423)","Standard Structural Steel sheet")</f>
        <v>Standard Structural Steel sheet</v>
      </c>
      <c r="B939">
        <v>5320423</v>
      </c>
      <c r="C939">
        <v>6975952</v>
      </c>
      <c r="E939">
        <v>0.61129999999999995</v>
      </c>
      <c r="F939" t="s">
        <v>509</v>
      </c>
      <c r="G939">
        <v>50</v>
      </c>
      <c r="H939" t="s">
        <v>2733</v>
      </c>
      <c r="I939">
        <v>30</v>
      </c>
      <c r="J939">
        <v>0.01099879013308536</v>
      </c>
      <c r="K939">
        <v>0</v>
      </c>
      <c r="L939">
        <v>0</v>
      </c>
      <c r="M939">
        <v>0</v>
      </c>
      <c r="O939">
        <v>400000</v>
      </c>
      <c r="R939" t="s">
        <v>136</v>
      </c>
      <c r="S939">
        <v>0.0091695000000000006</v>
      </c>
      <c r="T939">
        <v>6.7243000000000001E-06</v>
      </c>
      <c r="U939" t="s">
        <v>137</v>
      </c>
      <c r="V939">
        <v>0.00213955</v>
      </c>
      <c r="W939">
        <v>0.0541067743</v>
      </c>
      <c r="X939" t="s">
        <v>138</v>
      </c>
      <c r="Y939">
        <v>0.0032464064580000002</v>
      </c>
      <c r="Z939">
        <v>0</v>
      </c>
      <c r="AA939" t="s">
        <v>139</v>
      </c>
      <c r="AB939">
        <v>0.0064928129160000004</v>
      </c>
      <c r="AC939">
        <v>0.063845993673999998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Q939" t="s">
        <v>140</v>
      </c>
      <c r="AR939" t="s">
        <v>141</v>
      </c>
      <c r="AS939">
        <v>0.061129999999999997</v>
      </c>
    </row>
    <row r="940" spans="1:45" ht="12.75">
      <c r="A940" s="2" t="str">
        <f>HYPERLINK("https://ibp.a2mac1.com/costing(costing:projects/details/8191/material/5320424)","Standard Structural Steel sheet")</f>
        <v>Standard Structural Steel sheet</v>
      </c>
      <c r="B940">
        <v>5320424</v>
      </c>
      <c r="C940">
        <v>6975953</v>
      </c>
      <c r="E940">
        <v>0.61129999999999995</v>
      </c>
      <c r="F940" t="s">
        <v>6612</v>
      </c>
      <c r="G940">
        <v>60</v>
      </c>
      <c r="H940" t="s">
        <v>6613</v>
      </c>
      <c r="I940">
        <v>30</v>
      </c>
      <c r="J940">
        <v>0.01099879013308536</v>
      </c>
      <c r="K940">
        <v>0</v>
      </c>
      <c r="L940">
        <v>0</v>
      </c>
      <c r="M940">
        <v>0</v>
      </c>
      <c r="O940">
        <v>400000</v>
      </c>
      <c r="R940" t="s">
        <v>136</v>
      </c>
      <c r="S940">
        <v>0.25552340000000001</v>
      </c>
      <c r="T940">
        <v>0.00023422978333333333</v>
      </c>
      <c r="U940" t="s">
        <v>137</v>
      </c>
      <c r="V940">
        <v>0.07452765833333333</v>
      </c>
      <c r="W940">
        <v>1.9486001547833334</v>
      </c>
      <c r="X940" t="s">
        <v>138</v>
      </c>
      <c r="Y940">
        <v>0.11691600928699999</v>
      </c>
      <c r="Z940">
        <v>0</v>
      </c>
      <c r="AA940" t="s">
        <v>139</v>
      </c>
      <c r="AB940">
        <v>0.23383201857399999</v>
      </c>
      <c r="AC940">
        <v>2.2993481826443332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Q940" t="s">
        <v>140</v>
      </c>
      <c r="AR940" t="s">
        <v>141</v>
      </c>
      <c r="AS940">
        <v>2.1293616666666666</v>
      </c>
    </row>
    <row r="941" spans="1:45" ht="12.75">
      <c r="A941" s="2" t="str">
        <f>HYPERLINK("https://ibp.a2mac1.com/costing(costing:projects/details/8191/material/5320425)","Standard Structural Steel sheet")</f>
        <v>Standard Structural Steel sheet</v>
      </c>
      <c r="B941">
        <v>5320425</v>
      </c>
      <c r="C941">
        <v>6975954</v>
      </c>
      <c r="E941">
        <v>0.61129999999999995</v>
      </c>
      <c r="F941" t="s">
        <v>5496</v>
      </c>
      <c r="G941">
        <v>65</v>
      </c>
      <c r="H941" t="s">
        <v>6616</v>
      </c>
      <c r="I941">
        <v>30</v>
      </c>
      <c r="J941">
        <v>0.01099879013308536</v>
      </c>
      <c r="K941">
        <v>0</v>
      </c>
      <c r="L941">
        <v>0</v>
      </c>
      <c r="M941">
        <v>0</v>
      </c>
      <c r="O941">
        <v>400000</v>
      </c>
      <c r="R941" t="s">
        <v>136</v>
      </c>
      <c r="S941">
        <v>0.0088873615384615391</v>
      </c>
      <c r="T941">
        <v>9.3105692307692311E-06</v>
      </c>
      <c r="U941" t="s">
        <v>137</v>
      </c>
      <c r="V941">
        <v>0.0029624538461538461</v>
      </c>
      <c r="W941">
        <v>0.078725941338461544</v>
      </c>
      <c r="X941" t="s">
        <v>138</v>
      </c>
      <c r="Y941">
        <v>0.0047235564803076923</v>
      </c>
      <c r="Z941">
        <v>0</v>
      </c>
      <c r="AA941" t="s">
        <v>139</v>
      </c>
      <c r="AB941">
        <v>0.0094471129606153847</v>
      </c>
      <c r="AC941">
        <v>0.092896610779384617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Q941" t="s">
        <v>140</v>
      </c>
      <c r="AR941" t="s">
        <v>141</v>
      </c>
      <c r="AS941">
        <v>0.084641538461538463</v>
      </c>
    </row>
    <row r="942" spans="1:45" ht="12.75">
      <c r="A942" s="2" t="str">
        <f>HYPERLINK("https://ibp.a2mac1.com/costing(costing:projects/details/8191/material/5320426)","Standard Structural Steel sheet")</f>
        <v>Standard Structural Steel sheet</v>
      </c>
      <c r="B942">
        <v>5320426</v>
      </c>
      <c r="C942">
        <v>6975955</v>
      </c>
      <c r="E942">
        <v>0.61129999999999995</v>
      </c>
      <c r="F942" t="s">
        <v>6620</v>
      </c>
      <c r="G942">
        <v>70</v>
      </c>
      <c r="H942" t="s">
        <v>6621</v>
      </c>
      <c r="I942">
        <v>30</v>
      </c>
      <c r="J942">
        <v>0.01099879013308536</v>
      </c>
      <c r="K942">
        <v>0</v>
      </c>
      <c r="L942">
        <v>0</v>
      </c>
      <c r="M942">
        <v>0</v>
      </c>
      <c r="O942">
        <v>400000</v>
      </c>
      <c r="R942" t="s">
        <v>136</v>
      </c>
      <c r="S942">
        <v>0.06523444285714286</v>
      </c>
      <c r="T942">
        <v>7.9730985714285719E-05</v>
      </c>
      <c r="U942" t="s">
        <v>137</v>
      </c>
      <c r="V942">
        <v>0.025368950000000001</v>
      </c>
      <c r="W942">
        <v>0.68504138098571432</v>
      </c>
      <c r="X942" t="s">
        <v>138</v>
      </c>
      <c r="Y942">
        <v>0.041102482859142857</v>
      </c>
      <c r="Z942">
        <v>0</v>
      </c>
      <c r="AA942" t="s">
        <v>139</v>
      </c>
      <c r="AB942">
        <v>0.082204965718285714</v>
      </c>
      <c r="AC942">
        <v>0.80834882956314291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Q942" t="s">
        <v>140</v>
      </c>
      <c r="AR942" t="s">
        <v>141</v>
      </c>
      <c r="AS942">
        <v>0.72482714285714289</v>
      </c>
    </row>
    <row r="943" spans="1:45" ht="12.75">
      <c r="A943" s="2" t="str">
        <f>HYPERLINK("https://ibp.a2mac1.com/costing(costing:projects/details/8191/material/5320427)","Standard Structural Steel sheet")</f>
        <v>Standard Structural Steel sheet</v>
      </c>
      <c r="B943">
        <v>5320427</v>
      </c>
      <c r="C943">
        <v>6975956</v>
      </c>
      <c r="E943">
        <v>0.61129999999999995</v>
      </c>
      <c r="F943" t="s">
        <v>6624</v>
      </c>
      <c r="G943">
        <v>60</v>
      </c>
      <c r="H943" t="s">
        <v>6625</v>
      </c>
      <c r="I943">
        <v>30</v>
      </c>
      <c r="J943">
        <v>0.01099879013308536</v>
      </c>
      <c r="K943">
        <v>0</v>
      </c>
      <c r="L943">
        <v>0</v>
      </c>
      <c r="M943">
        <v>0</v>
      </c>
      <c r="O943">
        <v>400000</v>
      </c>
      <c r="R943" t="s">
        <v>136</v>
      </c>
      <c r="S943">
        <v>0.2041742</v>
      </c>
      <c r="T943">
        <v>0.00018715968333333333</v>
      </c>
      <c r="U943" t="s">
        <v>137</v>
      </c>
      <c r="V943">
        <v>0.05955080833333333</v>
      </c>
      <c r="W943">
        <v>1.5570154346833334</v>
      </c>
      <c r="X943" t="s">
        <v>138</v>
      </c>
      <c r="Y943">
        <v>0.093420926081</v>
      </c>
      <c r="Z943">
        <v>0</v>
      </c>
      <c r="AA943" t="s">
        <v>139</v>
      </c>
      <c r="AB943">
        <v>0.186841852162</v>
      </c>
      <c r="AC943">
        <v>1.8372782129263334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Q943" t="s">
        <v>140</v>
      </c>
      <c r="AR943" t="s">
        <v>141</v>
      </c>
      <c r="AS943">
        <v>1.7014516666666666</v>
      </c>
    </row>
    <row r="944" spans="1:45" ht="12.75">
      <c r="A944" s="2" t="str">
        <f>HYPERLINK("https://ibp.a2mac1.com/costing(costing:projects/details/8191/material/5320428)","Standard Structural Steel sheet")</f>
        <v>Standard Structural Steel sheet</v>
      </c>
      <c r="B944">
        <v>5320428</v>
      </c>
      <c r="C944">
        <v>6975957</v>
      </c>
      <c r="E944">
        <v>0.61129999999999995</v>
      </c>
      <c r="F944" t="s">
        <v>6629</v>
      </c>
      <c r="G944">
        <v>55</v>
      </c>
      <c r="H944" t="s">
        <v>6630</v>
      </c>
      <c r="I944">
        <v>30</v>
      </c>
      <c r="J944">
        <v>0.01099879013308536</v>
      </c>
      <c r="K944">
        <v>0</v>
      </c>
      <c r="L944">
        <v>0</v>
      </c>
      <c r="M944">
        <v>0</v>
      </c>
      <c r="O944">
        <v>400000</v>
      </c>
      <c r="R944" t="s">
        <v>136</v>
      </c>
      <c r="S944">
        <v>0.27308438181818184</v>
      </c>
      <c r="T944">
        <v>0.00022251319999999999</v>
      </c>
      <c r="U944" t="s">
        <v>137</v>
      </c>
      <c r="V944">
        <v>0.070799654545454546</v>
      </c>
      <c r="W944">
        <v>1.8207850586545455</v>
      </c>
      <c r="X944" t="s">
        <v>138</v>
      </c>
      <c r="Y944">
        <v>0.10924710351927273</v>
      </c>
      <c r="Z944">
        <v>0</v>
      </c>
      <c r="AA944" t="s">
        <v>139</v>
      </c>
      <c r="AB944">
        <v>0.21849420703854547</v>
      </c>
      <c r="AC944">
        <v>2.1485263692123637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Q944" t="s">
        <v>140</v>
      </c>
      <c r="AR944" t="s">
        <v>141</v>
      </c>
      <c r="AS944">
        <v>2.0228472727272728</v>
      </c>
    </row>
    <row r="945" spans="1:45" ht="12.75">
      <c r="A945" s="2" t="str">
        <f>HYPERLINK("https://ibp.a2mac1.com/costing(costing:projects/details/8191/material/5320429)","Standard Structural Steel sheet")</f>
        <v>Standard Structural Steel sheet</v>
      </c>
      <c r="B945">
        <v>5320429</v>
      </c>
      <c r="C945">
        <v>6975958</v>
      </c>
      <c r="E945">
        <v>0.61129999999999995</v>
      </c>
      <c r="F945" t="s">
        <v>6633</v>
      </c>
      <c r="G945">
        <v>60</v>
      </c>
      <c r="H945" t="s">
        <v>6634</v>
      </c>
      <c r="I945">
        <v>30</v>
      </c>
      <c r="J945">
        <v>0.01099879013308536</v>
      </c>
      <c r="K945">
        <v>0</v>
      </c>
      <c r="L945">
        <v>0</v>
      </c>
      <c r="M945">
        <v>0</v>
      </c>
      <c r="O945">
        <v>400000</v>
      </c>
      <c r="R945" t="s">
        <v>136</v>
      </c>
      <c r="S945">
        <v>0.1002532</v>
      </c>
      <c r="T945">
        <v>9.1898766666666668E-05</v>
      </c>
      <c r="U945" t="s">
        <v>137</v>
      </c>
      <c r="V945">
        <v>0.029240516666666667</v>
      </c>
      <c r="W945">
        <v>0.7645225487666667</v>
      </c>
      <c r="X945" t="s">
        <v>138</v>
      </c>
      <c r="Y945">
        <v>0.045871352926000003</v>
      </c>
      <c r="Z945">
        <v>0</v>
      </c>
      <c r="AA945" t="s">
        <v>139</v>
      </c>
      <c r="AB945">
        <v>0.091742705852000006</v>
      </c>
      <c r="AC945">
        <v>0.90213660754466662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Q945" t="s">
        <v>140</v>
      </c>
      <c r="AR945" t="s">
        <v>141</v>
      </c>
      <c r="AS945">
        <v>0.83544333333333332</v>
      </c>
    </row>
    <row r="946" spans="1:45" ht="12.75">
      <c r="A946" s="2" t="str">
        <f>HYPERLINK("https://ibp.a2mac1.com/costing(costing:projects/details/8191/material/5320430)","Standard Structural Steel sheet")</f>
        <v>Standard Structural Steel sheet</v>
      </c>
      <c r="B946">
        <v>5320430</v>
      </c>
      <c r="C946">
        <v>6975959</v>
      </c>
      <c r="E946">
        <v>0.61129999999999995</v>
      </c>
      <c r="F946" t="s">
        <v>6637</v>
      </c>
      <c r="G946">
        <v>55</v>
      </c>
      <c r="H946" t="s">
        <v>6638</v>
      </c>
      <c r="I946">
        <v>30</v>
      </c>
      <c r="J946">
        <v>0.01099879013308536</v>
      </c>
      <c r="K946">
        <v>0</v>
      </c>
      <c r="L946">
        <v>0</v>
      </c>
      <c r="M946">
        <v>0</v>
      </c>
      <c r="O946">
        <v>400000</v>
      </c>
      <c r="R946" t="s">
        <v>136</v>
      </c>
      <c r="S946">
        <v>0.087026890909090909</v>
      </c>
      <c r="T946">
        <v>7.0910799999999999E-05</v>
      </c>
      <c r="U946" t="s">
        <v>137</v>
      </c>
      <c r="V946">
        <v>0.022562527272727274</v>
      </c>
      <c r="W946">
        <v>0.58025018352727276</v>
      </c>
      <c r="X946" t="s">
        <v>138</v>
      </c>
      <c r="Y946">
        <v>0.034815011011636365</v>
      </c>
      <c r="Z946">
        <v>0</v>
      </c>
      <c r="AA946" t="s">
        <v>139</v>
      </c>
      <c r="AB946">
        <v>0.069630022023272731</v>
      </c>
      <c r="AC946">
        <v>0.6846952165621818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Q946" t="s">
        <v>140</v>
      </c>
      <c r="AR946" t="s">
        <v>141</v>
      </c>
      <c r="AS946">
        <v>0.64464363636363642</v>
      </c>
    </row>
    <row r="947" spans="1:45" ht="12.75">
      <c r="A947" s="2" t="str">
        <f>HYPERLINK("https://ibp.a2mac1.com/costing(costing:projects/details/8191/material/5320431)","Standard Structural Steel sheet")</f>
        <v>Standard Structural Steel sheet</v>
      </c>
      <c r="B947">
        <v>5320431</v>
      </c>
      <c r="C947">
        <v>6975960</v>
      </c>
      <c r="E947">
        <v>0.61129999999999995</v>
      </c>
      <c r="F947" t="s">
        <v>6592</v>
      </c>
      <c r="G947">
        <v>65</v>
      </c>
      <c r="H947" t="s">
        <v>6641</v>
      </c>
      <c r="I947">
        <v>30</v>
      </c>
      <c r="J947">
        <v>0.01099879013308536</v>
      </c>
      <c r="K947">
        <v>0</v>
      </c>
      <c r="L947">
        <v>0</v>
      </c>
      <c r="M947">
        <v>0</v>
      </c>
      <c r="O947">
        <v>400000</v>
      </c>
      <c r="R947" t="s">
        <v>136</v>
      </c>
      <c r="S947">
        <v>0.030612023076923078</v>
      </c>
      <c r="T947">
        <v>3.2069738461538461E-05</v>
      </c>
      <c r="U947" t="s">
        <v>137</v>
      </c>
      <c r="V947">
        <v>0.010204007692307693</v>
      </c>
      <c r="W947">
        <v>0.2711671312769231</v>
      </c>
      <c r="X947" t="s">
        <v>138</v>
      </c>
      <c r="Y947">
        <v>0.016270027876615384</v>
      </c>
      <c r="Z947">
        <v>0</v>
      </c>
      <c r="AA947" t="s">
        <v>139</v>
      </c>
      <c r="AB947">
        <v>0.032540055753230768</v>
      </c>
      <c r="AC947">
        <v>0.31997721490676923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Q947" t="s">
        <v>140</v>
      </c>
      <c r="AR947" t="s">
        <v>141</v>
      </c>
      <c r="AS947">
        <v>0.2915430769230769</v>
      </c>
    </row>
    <row r="948" spans="1:45" ht="12.75">
      <c r="A948" s="2" t="str">
        <f>HYPERLINK("https://ibp.a2mac1.com/costing(costing:projects/details/8191/material/5320432)","Standard Structural Steel sheet")</f>
        <v>Standard Structural Steel sheet</v>
      </c>
      <c r="B948">
        <v>5320432</v>
      </c>
      <c r="C948">
        <v>6975961</v>
      </c>
      <c r="E948">
        <v>0.61129999999999995</v>
      </c>
      <c r="F948" t="s">
        <v>4648</v>
      </c>
      <c r="G948">
        <v>60</v>
      </c>
      <c r="H948" t="s">
        <v>6645</v>
      </c>
      <c r="I948">
        <v>30</v>
      </c>
      <c r="J948">
        <v>0.01099879013308536</v>
      </c>
      <c r="K948">
        <v>0</v>
      </c>
      <c r="L948">
        <v>0</v>
      </c>
      <c r="M948">
        <v>0</v>
      </c>
      <c r="O948">
        <v>400000</v>
      </c>
      <c r="R948" t="s">
        <v>136</v>
      </c>
      <c r="S948">
        <v>0.035455399999999998</v>
      </c>
      <c r="T948">
        <v>3.2500783333333336E-05</v>
      </c>
      <c r="U948" t="s">
        <v>137</v>
      </c>
      <c r="V948">
        <v>0.010341158333333333</v>
      </c>
      <c r="W948">
        <v>0.27037992578333331</v>
      </c>
      <c r="X948" t="s">
        <v>138</v>
      </c>
      <c r="Y948">
        <v>0.016222795546999999</v>
      </c>
      <c r="Z948">
        <v>0</v>
      </c>
      <c r="AA948" t="s">
        <v>139</v>
      </c>
      <c r="AB948">
        <v>0.032445591093999998</v>
      </c>
      <c r="AC948">
        <v>0.31904831242433335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Q948" t="s">
        <v>140</v>
      </c>
      <c r="AR948" t="s">
        <v>141</v>
      </c>
      <c r="AS948">
        <v>0.29546166666666668</v>
      </c>
    </row>
    <row r="949" spans="1:45" ht="12.75">
      <c r="A949" s="2" t="str">
        <f>HYPERLINK("https://ibp.a2mac1.com/costing(costing:projects/details/8191/material/5320433)","Standard Structural Steel sheet")</f>
        <v>Standard Structural Steel sheet</v>
      </c>
      <c r="B949">
        <v>5320433</v>
      </c>
      <c r="C949">
        <v>6975962</v>
      </c>
      <c r="E949">
        <v>0.61129999999999995</v>
      </c>
      <c r="F949" t="s">
        <v>2706</v>
      </c>
      <c r="G949">
        <v>75</v>
      </c>
      <c r="H949" t="s">
        <v>6649</v>
      </c>
      <c r="I949">
        <v>30</v>
      </c>
      <c r="J949">
        <v>0.01099879013308536</v>
      </c>
      <c r="K949">
        <v>0</v>
      </c>
      <c r="L949">
        <v>0</v>
      </c>
      <c r="M949">
        <v>0</v>
      </c>
      <c r="O949">
        <v>400000</v>
      </c>
      <c r="R949" t="s">
        <v>136</v>
      </c>
      <c r="S949">
        <v>0.0067242999999999999</v>
      </c>
      <c r="T949">
        <v>9.8623066666666664E-06</v>
      </c>
      <c r="U949" t="s">
        <v>137</v>
      </c>
      <c r="V949">
        <v>0.0031380066666666668</v>
      </c>
      <c r="W949">
        <v>0.086080902306666665</v>
      </c>
      <c r="X949" t="s">
        <v>138</v>
      </c>
      <c r="Y949">
        <v>0.0051648541383999998</v>
      </c>
      <c r="Z949">
        <v>0</v>
      </c>
      <c r="AA949" t="s">
        <v>139</v>
      </c>
      <c r="AB949">
        <v>0.0103297082768</v>
      </c>
      <c r="AC949">
        <v>0.10157546472186667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Q949" t="s">
        <v>140</v>
      </c>
      <c r="AR949" t="s">
        <v>141</v>
      </c>
      <c r="AS949">
        <v>0.089657333333333339</v>
      </c>
    </row>
    <row r="950" spans="1:45" ht="12.75">
      <c r="A950" s="2" t="str">
        <f>HYPERLINK("https://ibp.a2mac1.com/costing(costing:projects/details/8191/material/5320434)","Standard Structural Steel sheet")</f>
        <v>Standard Structural Steel sheet</v>
      </c>
      <c r="B950">
        <v>5320434</v>
      </c>
      <c r="C950">
        <v>6975963</v>
      </c>
      <c r="E950">
        <v>0.61129999999999995</v>
      </c>
      <c r="F950" t="s">
        <v>6497</v>
      </c>
      <c r="G950">
        <v>75</v>
      </c>
      <c r="H950" t="s">
        <v>6653</v>
      </c>
      <c r="I950">
        <v>30</v>
      </c>
      <c r="J950">
        <v>0.01099879013308536</v>
      </c>
      <c r="K950">
        <v>0</v>
      </c>
      <c r="L950">
        <v>0</v>
      </c>
      <c r="M950">
        <v>0</v>
      </c>
      <c r="O950">
        <v>400000</v>
      </c>
      <c r="R950" t="s">
        <v>136</v>
      </c>
      <c r="S950">
        <v>0.034844100000000003</v>
      </c>
      <c r="T950">
        <v>5.1104679999999997E-05</v>
      </c>
      <c r="U950" t="s">
        <v>137</v>
      </c>
      <c r="V950">
        <v>0.01626058</v>
      </c>
      <c r="W950">
        <v>0.44605558468000001</v>
      </c>
      <c r="X950" t="s">
        <v>138</v>
      </c>
      <c r="Y950">
        <v>0.026763335080800001</v>
      </c>
      <c r="Z950">
        <v>0</v>
      </c>
      <c r="AA950" t="s">
        <v>139</v>
      </c>
      <c r="AB950">
        <v>0.053526670161600003</v>
      </c>
      <c r="AC950">
        <v>0.52634558992239999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Q950" t="s">
        <v>140</v>
      </c>
      <c r="AR950" t="s">
        <v>141</v>
      </c>
      <c r="AS950">
        <v>0.464588</v>
      </c>
    </row>
    <row r="951" spans="1:45" ht="12.75">
      <c r="A951" s="2" t="str">
        <f>HYPERLINK("https://ibp.a2mac1.com/costing(costing:projects/details/8191/material/5320435)","Standard Structural Steel sheet")</f>
        <v>Standard Structural Steel sheet</v>
      </c>
      <c r="B951">
        <v>5320435</v>
      </c>
      <c r="C951">
        <v>6975964</v>
      </c>
      <c r="E951">
        <v>0.61129999999999995</v>
      </c>
      <c r="F951" t="s">
        <v>4234</v>
      </c>
      <c r="G951">
        <v>65</v>
      </c>
      <c r="H951" t="s">
        <v>6656</v>
      </c>
      <c r="I951">
        <v>30</v>
      </c>
      <c r="J951">
        <v>0.01099879013308536</v>
      </c>
      <c r="K951">
        <v>0</v>
      </c>
      <c r="L951">
        <v>0</v>
      </c>
      <c r="M951">
        <v>0</v>
      </c>
      <c r="O951">
        <v>400000</v>
      </c>
      <c r="R951" t="s">
        <v>136</v>
      </c>
      <c r="S951">
        <v>0.0029624538461538461</v>
      </c>
      <c r="T951">
        <v>3.1035230769230769E-06</v>
      </c>
      <c r="U951" t="s">
        <v>137</v>
      </c>
      <c r="V951">
        <v>0.00098748461538461529</v>
      </c>
      <c r="W951">
        <v>0.026241980446153845</v>
      </c>
      <c r="X951" t="s">
        <v>138</v>
      </c>
      <c r="Y951">
        <v>0.0015745188267692308</v>
      </c>
      <c r="Z951">
        <v>0</v>
      </c>
      <c r="AA951" t="s">
        <v>139</v>
      </c>
      <c r="AB951">
        <v>0.0031490376535384616</v>
      </c>
      <c r="AC951">
        <v>0.030965536926461538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Q951" t="s">
        <v>140</v>
      </c>
      <c r="AR951" t="s">
        <v>141</v>
      </c>
      <c r="AS951">
        <v>0.028213846153846155</v>
      </c>
    </row>
    <row r="952" spans="1:45" ht="12.75">
      <c r="A952" s="2" t="str">
        <f>HYPERLINK("https://ibp.a2mac1.com/costing(costing:projects/details/8191/material/5320436)","Standard Structural Steel sheet")</f>
        <v>Standard Structural Steel sheet</v>
      </c>
      <c r="B952">
        <v>5320436</v>
      </c>
      <c r="C952">
        <v>6975965</v>
      </c>
      <c r="E952">
        <v>0.61129999999999995</v>
      </c>
      <c r="F952" t="s">
        <v>6661</v>
      </c>
      <c r="G952">
        <v>70</v>
      </c>
      <c r="H952" t="s">
        <v>6662</v>
      </c>
      <c r="I952">
        <v>30</v>
      </c>
      <c r="J952">
        <v>0.01099879013308536</v>
      </c>
      <c r="K952">
        <v>0</v>
      </c>
      <c r="L952">
        <v>0</v>
      </c>
      <c r="M952">
        <v>0</v>
      </c>
      <c r="O952">
        <v>400000</v>
      </c>
      <c r="R952" t="s">
        <v>136</v>
      </c>
      <c r="S952">
        <v>0.12339527142857143</v>
      </c>
      <c r="T952">
        <v>0.00015081644285714284</v>
      </c>
      <c r="U952" t="s">
        <v>137</v>
      </c>
      <c r="V952">
        <v>0.047987050000000003</v>
      </c>
      <c r="W952">
        <v>1.295801166442857</v>
      </c>
      <c r="X952" t="s">
        <v>138</v>
      </c>
      <c r="Y952">
        <v>0.077748069986571425</v>
      </c>
      <c r="Z952">
        <v>0</v>
      </c>
      <c r="AA952" t="s">
        <v>139</v>
      </c>
      <c r="AB952">
        <v>0.15549613997314285</v>
      </c>
      <c r="AC952">
        <v>1.5290453764025713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Q952" t="s">
        <v>140</v>
      </c>
      <c r="AR952" t="s">
        <v>141</v>
      </c>
      <c r="AS952">
        <v>1.3710585714285715</v>
      </c>
    </row>
    <row r="953" spans="1:45" ht="12.75">
      <c r="A953" s="2" t="str">
        <f>HYPERLINK("https://ibp.a2mac1.com/costing(costing:projects/details/8191/material/5320437)","Standard Structural Steel sheet")</f>
        <v>Standard Structural Steel sheet</v>
      </c>
      <c r="B953">
        <v>5320437</v>
      </c>
      <c r="C953">
        <v>6975966</v>
      </c>
      <c r="E953">
        <v>0.61129999999999995</v>
      </c>
      <c r="F953" t="s">
        <v>5089</v>
      </c>
      <c r="G953">
        <v>65</v>
      </c>
      <c r="H953" t="s">
        <v>6666</v>
      </c>
      <c r="I953">
        <v>30</v>
      </c>
      <c r="J953">
        <v>0.01099879013308536</v>
      </c>
      <c r="K953">
        <v>0</v>
      </c>
      <c r="L953">
        <v>0</v>
      </c>
      <c r="M953">
        <v>0</v>
      </c>
      <c r="O953">
        <v>400000</v>
      </c>
      <c r="R953" t="s">
        <v>136</v>
      </c>
      <c r="S953">
        <v>0.040486869230769232</v>
      </c>
      <c r="T953">
        <v>4.2414815384615381E-05</v>
      </c>
      <c r="U953" t="s">
        <v>137</v>
      </c>
      <c r="V953">
        <v>0.013495623076923077</v>
      </c>
      <c r="W953">
        <v>0.35864039943076925</v>
      </c>
      <c r="X953" t="s">
        <v>138</v>
      </c>
      <c r="Y953">
        <v>0.021518423965846155</v>
      </c>
      <c r="Z953">
        <v>0</v>
      </c>
      <c r="AA953" t="s">
        <v>139</v>
      </c>
      <c r="AB953">
        <v>0.04303684793169231</v>
      </c>
      <c r="AC953">
        <v>0.42319567132830771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Q953" t="s">
        <v>140</v>
      </c>
      <c r="AR953" t="s">
        <v>141</v>
      </c>
      <c r="AS953">
        <v>0.3855892307692308</v>
      </c>
    </row>
    <row r="954" spans="1:45" ht="12.75">
      <c r="A954" s="2" t="str">
        <f>HYPERLINK("https://ibp.a2mac1.com/costing(costing:projects/details/8191/material/5320438)","Standard Structural Steel sheet")</f>
        <v>Standard Structural Steel sheet</v>
      </c>
      <c r="B954">
        <v>5320438</v>
      </c>
      <c r="C954">
        <v>6975967</v>
      </c>
      <c r="E954">
        <v>0.61129999999999995</v>
      </c>
      <c r="F954" t="s">
        <v>6399</v>
      </c>
      <c r="G954">
        <v>65</v>
      </c>
      <c r="H954" t="s">
        <v>6504</v>
      </c>
      <c r="I954">
        <v>30</v>
      </c>
      <c r="J954">
        <v>0.01099879013308536</v>
      </c>
      <c r="K954">
        <v>0</v>
      </c>
      <c r="L954">
        <v>0</v>
      </c>
      <c r="M954">
        <v>0</v>
      </c>
      <c r="O954">
        <v>400000</v>
      </c>
      <c r="R954" t="s">
        <v>136</v>
      </c>
      <c r="S954">
        <v>0.022712146153846154</v>
      </c>
      <c r="T954">
        <v>2.3793676923076922E-05</v>
      </c>
      <c r="U954" t="s">
        <v>137</v>
      </c>
      <c r="V954">
        <v>0.0075707153846153842</v>
      </c>
      <c r="W954">
        <v>0.20118851675384616</v>
      </c>
      <c r="X954" t="s">
        <v>138</v>
      </c>
      <c r="Y954">
        <v>0.012071311005230768</v>
      </c>
      <c r="Z954">
        <v>0</v>
      </c>
      <c r="AA954" t="s">
        <v>139</v>
      </c>
      <c r="AB954">
        <v>0.024142622010461537</v>
      </c>
      <c r="AC954">
        <v>0.23740244976953845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Q954" t="s">
        <v>140</v>
      </c>
      <c r="AR954" t="s">
        <v>141</v>
      </c>
      <c r="AS954">
        <v>0.21630615384615384</v>
      </c>
    </row>
    <row r="955" spans="1:45" ht="12.75">
      <c r="A955" s="2" t="str">
        <f>HYPERLINK("https://ibp.a2mac1.com/costing(costing:projects/details/8191/material/5320439)","Steel sheet (Hot Forming Steel)")</f>
        <v>Steel sheet (Hot Forming Steel)</v>
      </c>
      <c r="B955">
        <v>5320439</v>
      </c>
      <c r="C955">
        <v>6975968</v>
      </c>
      <c r="E955">
        <v>1.66818</v>
      </c>
      <c r="F955" t="s">
        <v>6673</v>
      </c>
      <c r="G955">
        <v>80</v>
      </c>
      <c r="H955" t="s">
        <v>6674</v>
      </c>
      <c r="I955">
        <v>30</v>
      </c>
      <c r="J955">
        <v>0.01099879013308536</v>
      </c>
      <c r="K955">
        <v>0</v>
      </c>
      <c r="L955">
        <v>0</v>
      </c>
      <c r="M955">
        <v>0</v>
      </c>
      <c r="O955">
        <v>400000</v>
      </c>
      <c r="R955" t="s">
        <v>136</v>
      </c>
      <c r="S955">
        <v>1.0559579400000001</v>
      </c>
      <c r="T955">
        <v>0.00193592289</v>
      </c>
      <c r="U955" t="s">
        <v>137</v>
      </c>
      <c r="V955">
        <v>0.615975465</v>
      </c>
      <c r="W955">
        <v>17.16125244789</v>
      </c>
      <c r="X955" t="s">
        <v>138</v>
      </c>
      <c r="Y955">
        <v>1.0296751468734</v>
      </c>
      <c r="Z955">
        <v>0</v>
      </c>
      <c r="AA955" t="s">
        <v>139</v>
      </c>
      <c r="AB955">
        <v>2.0593502937468</v>
      </c>
      <c r="AC955">
        <v>20.250277888510201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Q955" t="s">
        <v>140</v>
      </c>
      <c r="AR955" t="s">
        <v>141</v>
      </c>
      <c r="AS955">
        <v>17.599298999999998</v>
      </c>
    </row>
    <row r="956" spans="1:45" ht="12.75">
      <c r="A956" s="2" t="str">
        <f>HYPERLINK("https://ibp.a2mac1.com/costing(costing:projects/details/8191/material/5320440)","Standard Structural Steel sheet")</f>
        <v>Standard Structural Steel sheet</v>
      </c>
      <c r="B956">
        <v>5320440</v>
      </c>
      <c r="C956">
        <v>6975969</v>
      </c>
      <c r="E956">
        <v>0.61129999999999995</v>
      </c>
      <c r="F956" t="s">
        <v>5297</v>
      </c>
      <c r="G956">
        <v>65</v>
      </c>
      <c r="H956" t="s">
        <v>6677</v>
      </c>
      <c r="I956">
        <v>30</v>
      </c>
      <c r="J956">
        <v>0.01099879013308536</v>
      </c>
      <c r="K956">
        <v>0</v>
      </c>
      <c r="L956">
        <v>0</v>
      </c>
      <c r="M956">
        <v>0</v>
      </c>
      <c r="O956">
        <v>400000</v>
      </c>
      <c r="R956" t="s">
        <v>136</v>
      </c>
      <c r="S956">
        <v>0.043449323076923077</v>
      </c>
      <c r="T956">
        <v>4.5518338461538459E-05</v>
      </c>
      <c r="U956" t="s">
        <v>137</v>
      </c>
      <c r="V956">
        <v>0.014483107692307692</v>
      </c>
      <c r="W956">
        <v>0.38488237987692309</v>
      </c>
      <c r="X956" t="s">
        <v>138</v>
      </c>
      <c r="Y956">
        <v>0.023092942792615385</v>
      </c>
      <c r="Z956">
        <v>0</v>
      </c>
      <c r="AA956" t="s">
        <v>139</v>
      </c>
      <c r="AB956">
        <v>0.04618588558523077</v>
      </c>
      <c r="AC956">
        <v>0.45416120825476924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Q956" t="s">
        <v>140</v>
      </c>
      <c r="AR956" t="s">
        <v>141</v>
      </c>
      <c r="AS956">
        <v>0.41380307692307694</v>
      </c>
    </row>
    <row r="957" spans="1:45" ht="12.75">
      <c r="A957" s="2" t="str">
        <f>HYPERLINK("https://ibp.a2mac1.com/costing(costing:projects/details/8191/material/5320441)","Standard Structural Steel sheet")</f>
        <v>Standard Structural Steel sheet</v>
      </c>
      <c r="B957">
        <v>5320441</v>
      </c>
      <c r="C957">
        <v>6975970</v>
      </c>
      <c r="E957">
        <v>0.61129999999999995</v>
      </c>
      <c r="F957" t="s">
        <v>6681</v>
      </c>
      <c r="G957">
        <v>30</v>
      </c>
      <c r="H957" t="s">
        <v>6682</v>
      </c>
      <c r="I957">
        <v>30</v>
      </c>
      <c r="J957">
        <v>0.01099879013308536</v>
      </c>
      <c r="K957">
        <v>0</v>
      </c>
      <c r="L957">
        <v>0</v>
      </c>
      <c r="M957">
        <v>0</v>
      </c>
      <c r="O957">
        <v>400000</v>
      </c>
      <c r="R957" t="s">
        <v>136</v>
      </c>
      <c r="S957">
        <v>0.1198148</v>
      </c>
      <c r="T957">
        <v>6.2760133333333336E-05</v>
      </c>
      <c r="U957" t="s">
        <v>137</v>
      </c>
      <c r="V957">
        <v>0.019969133333333333</v>
      </c>
      <c r="W957">
        <v>0.47076376013333332</v>
      </c>
      <c r="X957" t="s">
        <v>138</v>
      </c>
      <c r="Y957">
        <v>0.028245825608</v>
      </c>
      <c r="Z957">
        <v>0</v>
      </c>
      <c r="AA957" t="s">
        <v>139</v>
      </c>
      <c r="AB957">
        <v>0.056491651216</v>
      </c>
      <c r="AC957">
        <v>0.55550123695733333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Q957" t="s">
        <v>140</v>
      </c>
      <c r="AR957" t="s">
        <v>141</v>
      </c>
      <c r="AS957">
        <v>0.57054666666666665</v>
      </c>
    </row>
    <row r="958" spans="1:45" ht="12.75">
      <c r="A958" s="2" t="str">
        <f>HYPERLINK("https://ibp.a2mac1.com/costing(costing:projects/details/8191/material/5320442)","Standard Structural Steel sheet")</f>
        <v>Standard Structural Steel sheet</v>
      </c>
      <c r="B958">
        <v>5320442</v>
      </c>
      <c r="C958">
        <v>6975971</v>
      </c>
      <c r="E958">
        <v>0.61129999999999995</v>
      </c>
      <c r="F958" t="s">
        <v>2764</v>
      </c>
      <c r="G958">
        <v>30</v>
      </c>
      <c r="H958" t="s">
        <v>6588</v>
      </c>
      <c r="I958">
        <v>30</v>
      </c>
      <c r="J958">
        <v>0.01099879013308536</v>
      </c>
      <c r="K958">
        <v>0</v>
      </c>
      <c r="L958">
        <v>0</v>
      </c>
      <c r="M958">
        <v>0</v>
      </c>
      <c r="O958">
        <v>400000</v>
      </c>
      <c r="R958" t="s">
        <v>136</v>
      </c>
      <c r="S958">
        <v>0.1069775</v>
      </c>
      <c r="T958">
        <v>5.6035833333333337E-05</v>
      </c>
      <c r="U958" t="s">
        <v>137</v>
      </c>
      <c r="V958">
        <v>0.017829583333333333</v>
      </c>
      <c r="W958">
        <v>0.42032478583333333</v>
      </c>
      <c r="X958" t="s">
        <v>138</v>
      </c>
      <c r="Y958">
        <v>0.025219487150000001</v>
      </c>
      <c r="Z958">
        <v>0</v>
      </c>
      <c r="AA958" t="s">
        <v>139</v>
      </c>
      <c r="AB958">
        <v>0.050438974300000002</v>
      </c>
      <c r="AC958">
        <v>0.49598324728333332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Q958" t="s">
        <v>140</v>
      </c>
      <c r="AR958" t="s">
        <v>141</v>
      </c>
      <c r="AS958">
        <v>0.50941666666666663</v>
      </c>
    </row>
    <row r="959" spans="1:45" ht="12.75">
      <c r="A959" s="2" t="str">
        <f>HYPERLINK("https://ibp.a2mac1.com/costing(costing:projects/details/8191/material/5320555)","Standard Structural Steel sheet")</f>
        <v>Standard Structural Steel sheet</v>
      </c>
      <c r="B959">
        <v>5320555</v>
      </c>
      <c r="C959">
        <v>6976146</v>
      </c>
      <c r="E959">
        <v>0.61129999999999995</v>
      </c>
      <c r="F959" t="s">
        <v>6692</v>
      </c>
      <c r="G959">
        <v>60</v>
      </c>
      <c r="H959" t="s">
        <v>6693</v>
      </c>
      <c r="I959">
        <v>30</v>
      </c>
      <c r="J959">
        <v>0.01099879013308536</v>
      </c>
      <c r="K959">
        <v>0</v>
      </c>
      <c r="L959">
        <v>0</v>
      </c>
      <c r="M959">
        <v>0</v>
      </c>
      <c r="O959">
        <v>400000</v>
      </c>
      <c r="R959" t="s">
        <v>136</v>
      </c>
      <c r="S959">
        <v>0.062352600000000001</v>
      </c>
      <c r="T959">
        <v>5.7156549999999997E-05</v>
      </c>
      <c r="U959" t="s">
        <v>137</v>
      </c>
      <c r="V959">
        <v>0.018186174999999999</v>
      </c>
      <c r="W959">
        <v>0.47549573155000002</v>
      </c>
      <c r="X959" t="s">
        <v>138</v>
      </c>
      <c r="Y959">
        <v>0.028529743893</v>
      </c>
      <c r="Z959">
        <v>0</v>
      </c>
      <c r="AA959" t="s">
        <v>139</v>
      </c>
      <c r="AB959">
        <v>0.057059487786</v>
      </c>
      <c r="AC959">
        <v>0.56108496322900003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Q959" t="s">
        <v>140</v>
      </c>
      <c r="AR959" t="s">
        <v>141</v>
      </c>
      <c r="AS959">
        <v>0.51960499999999998</v>
      </c>
    </row>
    <row r="960" spans="1:45" ht="12.75">
      <c r="A960" s="2" t="str">
        <f>HYPERLINK("https://ibp.a2mac1.com/costing(costing:projects/details/8191/material/5320556)","Standard Structural Steel sheet")</f>
        <v>Standard Structural Steel sheet</v>
      </c>
      <c r="B960">
        <v>5320556</v>
      </c>
      <c r="C960">
        <v>6976147</v>
      </c>
      <c r="E960">
        <v>0.61129999999999995</v>
      </c>
      <c r="F960" t="s">
        <v>6698</v>
      </c>
      <c r="G960">
        <v>70</v>
      </c>
      <c r="H960" t="s">
        <v>6699</v>
      </c>
      <c r="I960">
        <v>30</v>
      </c>
      <c r="J960">
        <v>0.01099879013308536</v>
      </c>
      <c r="K960">
        <v>0</v>
      </c>
      <c r="L960">
        <v>0</v>
      </c>
      <c r="M960">
        <v>0</v>
      </c>
      <c r="O960">
        <v>400000</v>
      </c>
      <c r="R960" t="s">
        <v>136</v>
      </c>
      <c r="S960">
        <v>0.15168972857142857</v>
      </c>
      <c r="T960">
        <v>0.00018539855714285713</v>
      </c>
      <c r="U960" t="s">
        <v>137</v>
      </c>
      <c r="V960">
        <v>0.05899045</v>
      </c>
      <c r="W960">
        <v>1.5929275485571428</v>
      </c>
      <c r="X960" t="s">
        <v>138</v>
      </c>
      <c r="Y960">
        <v>0.095575652913428566</v>
      </c>
      <c r="Z960">
        <v>0</v>
      </c>
      <c r="AA960" t="s">
        <v>139</v>
      </c>
      <c r="AB960">
        <v>0.19115130582685713</v>
      </c>
      <c r="AC960">
        <v>1.8796545072974287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Q960" t="s">
        <v>140</v>
      </c>
      <c r="AR960" t="s">
        <v>141</v>
      </c>
      <c r="AS960">
        <v>1.6854414285714285</v>
      </c>
    </row>
    <row r="961" spans="1:45" ht="12.75">
      <c r="A961" s="2" t="str">
        <f>HYPERLINK("https://ibp.a2mac1.com/costing(costing:projects/details/8191/material/5320557)","Standard Structural Steel sheet")</f>
        <v>Standard Structural Steel sheet</v>
      </c>
      <c r="B961">
        <v>5320557</v>
      </c>
      <c r="C961">
        <v>6976148</v>
      </c>
      <c r="E961">
        <v>0.61129999999999995</v>
      </c>
      <c r="F961" t="s">
        <v>6704</v>
      </c>
      <c r="G961">
        <v>70</v>
      </c>
      <c r="H961" t="s">
        <v>6705</v>
      </c>
      <c r="I961">
        <v>30</v>
      </c>
      <c r="J961">
        <v>0.01099879013308536</v>
      </c>
      <c r="K961">
        <v>0</v>
      </c>
      <c r="L961">
        <v>0</v>
      </c>
      <c r="M961">
        <v>0</v>
      </c>
      <c r="O961">
        <v>400000</v>
      </c>
      <c r="R961" t="s">
        <v>136</v>
      </c>
      <c r="S961">
        <v>0.22556970000000001</v>
      </c>
      <c r="T961">
        <v>0.00027569630000000002</v>
      </c>
      <c r="U961" t="s">
        <v>137</v>
      </c>
      <c r="V961">
        <v>0.087721549999999995</v>
      </c>
      <c r="W961">
        <v>2.3687575462999999</v>
      </c>
      <c r="X961" t="s">
        <v>138</v>
      </c>
      <c r="Y961">
        <v>0.14212545277800001</v>
      </c>
      <c r="Z961">
        <v>0</v>
      </c>
      <c r="AA961" t="s">
        <v>139</v>
      </c>
      <c r="AB961">
        <v>0.28425090555600002</v>
      </c>
      <c r="AC961">
        <v>2.795133904634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Q961" t="s">
        <v>140</v>
      </c>
      <c r="AR961" t="s">
        <v>141</v>
      </c>
      <c r="AS961">
        <v>2.5063300000000002</v>
      </c>
    </row>
    <row r="962" spans="1:45" ht="12.75">
      <c r="A962" s="2" t="str">
        <f>HYPERLINK("https://ibp.a2mac1.com/costing(costing:projects/details/8191/material/5320558)","Standard Structural Steel sheet")</f>
        <v>Standard Structural Steel sheet</v>
      </c>
      <c r="B962">
        <v>5320558</v>
      </c>
      <c r="C962">
        <v>6976149</v>
      </c>
      <c r="E962">
        <v>0.61129999999999995</v>
      </c>
      <c r="F962" t="s">
        <v>6489</v>
      </c>
      <c r="G962">
        <v>65</v>
      </c>
      <c r="H962" t="s">
        <v>6709</v>
      </c>
      <c r="I962">
        <v>30</v>
      </c>
      <c r="J962">
        <v>0.01099879013308536</v>
      </c>
      <c r="K962">
        <v>0</v>
      </c>
      <c r="L962">
        <v>0</v>
      </c>
      <c r="M962">
        <v>0</v>
      </c>
      <c r="O962">
        <v>400000</v>
      </c>
      <c r="R962" t="s">
        <v>136</v>
      </c>
      <c r="S962">
        <v>0.10862330769230769</v>
      </c>
      <c r="T962">
        <v>0.00011379584615384616</v>
      </c>
      <c r="U962" t="s">
        <v>137</v>
      </c>
      <c r="V962">
        <v>0.036207769230769231</v>
      </c>
      <c r="W962">
        <v>0.96220594969230766</v>
      </c>
      <c r="X962" t="s">
        <v>138</v>
      </c>
      <c r="Y962">
        <v>0.05773235698153846</v>
      </c>
      <c r="Z962">
        <v>0</v>
      </c>
      <c r="AA962" t="s">
        <v>139</v>
      </c>
      <c r="AB962">
        <v>0.11546471396307692</v>
      </c>
      <c r="AC962">
        <v>1.135403020636923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Q962" t="s">
        <v>140</v>
      </c>
      <c r="AR962" t="s">
        <v>141</v>
      </c>
      <c r="AS962">
        <v>1.0345076923076924</v>
      </c>
    </row>
    <row r="963" spans="1:45" ht="12.75">
      <c r="A963" s="2" t="str">
        <f>HYPERLINK("https://ibp.a2mac1.com/costing(costing:projects/details/8191/material/5320559)","Standard Structural Steel sheet")</f>
        <v>Standard Structural Steel sheet</v>
      </c>
      <c r="B963">
        <v>5320559</v>
      </c>
      <c r="C963">
        <v>6976150</v>
      </c>
      <c r="E963">
        <v>0.61129999999999995</v>
      </c>
      <c r="F963" t="s">
        <v>6712</v>
      </c>
      <c r="G963">
        <v>80</v>
      </c>
      <c r="H963" t="s">
        <v>6713</v>
      </c>
      <c r="I963">
        <v>30</v>
      </c>
      <c r="J963">
        <v>0.01099879013308536</v>
      </c>
      <c r="K963">
        <v>0</v>
      </c>
      <c r="L963">
        <v>0</v>
      </c>
      <c r="M963">
        <v>0</v>
      </c>
      <c r="O963">
        <v>400000</v>
      </c>
      <c r="R963" t="s">
        <v>136</v>
      </c>
      <c r="S963">
        <v>0.034844100000000003</v>
      </c>
      <c r="T963">
        <v>6.3880849999999997E-05</v>
      </c>
      <c r="U963" t="s">
        <v>137</v>
      </c>
      <c r="V963">
        <v>0.020325724999999999</v>
      </c>
      <c r="W963">
        <v>0.56628050585</v>
      </c>
      <c r="X963" t="s">
        <v>138</v>
      </c>
      <c r="Y963">
        <v>0.033976830350999999</v>
      </c>
      <c r="Z963">
        <v>0</v>
      </c>
      <c r="AA963" t="s">
        <v>139</v>
      </c>
      <c r="AB963">
        <v>0.067953660701999999</v>
      </c>
      <c r="AC963">
        <v>0.66821099690300001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Q963" t="s">
        <v>140</v>
      </c>
      <c r="AR963" t="s">
        <v>141</v>
      </c>
      <c r="AS963">
        <v>0.580735</v>
      </c>
    </row>
    <row r="964" spans="1:45" ht="12.75">
      <c r="A964" s="2" t="str">
        <f>HYPERLINK("https://ibp.a2mac1.com/costing(costing:projects/details/8191/material/5320560)","Standard Structural Steel sheet")</f>
        <v>Standard Structural Steel sheet</v>
      </c>
      <c r="B964">
        <v>5320560</v>
      </c>
      <c r="C964">
        <v>6976151</v>
      </c>
      <c r="E964">
        <v>0.61129999999999995</v>
      </c>
      <c r="F964" t="s">
        <v>2142</v>
      </c>
      <c r="G964">
        <v>60</v>
      </c>
      <c r="H964" t="s">
        <v>6717</v>
      </c>
      <c r="I964">
        <v>30</v>
      </c>
      <c r="J964">
        <v>0.01099879013308536</v>
      </c>
      <c r="K964">
        <v>0</v>
      </c>
      <c r="L964">
        <v>0</v>
      </c>
      <c r="M964">
        <v>0</v>
      </c>
      <c r="O964">
        <v>400000</v>
      </c>
      <c r="R964" t="s">
        <v>136</v>
      </c>
      <c r="S964">
        <v>0.029342400000000001</v>
      </c>
      <c r="T964">
        <v>2.6897200000000001E-05</v>
      </c>
      <c r="U964" t="s">
        <v>137</v>
      </c>
      <c r="V964">
        <v>0.0085582000000000002</v>
      </c>
      <c r="W964">
        <v>0.2237626972</v>
      </c>
      <c r="X964" t="s">
        <v>138</v>
      </c>
      <c r="Y964">
        <v>0.013425761832</v>
      </c>
      <c r="Z964">
        <v>0</v>
      </c>
      <c r="AA964" t="s">
        <v>139</v>
      </c>
      <c r="AB964">
        <v>0.026851523663999999</v>
      </c>
      <c r="AC964">
        <v>0.26403998269599999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Q964" t="s">
        <v>140</v>
      </c>
      <c r="AR964" t="s">
        <v>141</v>
      </c>
      <c r="AS964">
        <v>0.24451999999999999</v>
      </c>
    </row>
    <row r="965" spans="1:45" ht="12.75">
      <c r="A965" s="2" t="str">
        <f>HYPERLINK("https://ibp.a2mac1.com/costing(costing:projects/details/8191/material/5320443)","Standard Structural Steel sheet")</f>
        <v>Standard Structural Steel sheet</v>
      </c>
      <c r="B965">
        <v>5320443</v>
      </c>
      <c r="C965">
        <v>6975972</v>
      </c>
      <c r="E965">
        <v>0.61129999999999995</v>
      </c>
      <c r="F965" t="s">
        <v>6722</v>
      </c>
      <c r="G965">
        <v>80</v>
      </c>
      <c r="H965" t="s">
        <v>6723</v>
      </c>
      <c r="I965">
        <v>30</v>
      </c>
      <c r="J965">
        <v>0.01099879013308536</v>
      </c>
      <c r="K965">
        <v>0</v>
      </c>
      <c r="L965">
        <v>0</v>
      </c>
      <c r="M965">
        <v>0</v>
      </c>
      <c r="O965">
        <v>400000</v>
      </c>
      <c r="R965" t="s">
        <v>136</v>
      </c>
      <c r="S965">
        <v>0.089861099999999999</v>
      </c>
      <c r="T965">
        <v>0.00016474535000000001</v>
      </c>
      <c r="U965" t="s">
        <v>137</v>
      </c>
      <c r="V965">
        <v>0.052418975</v>
      </c>
      <c r="W965">
        <v>1.46040762035</v>
      </c>
      <c r="X965" t="s">
        <v>138</v>
      </c>
      <c r="Y965">
        <v>0.087624457220999999</v>
      </c>
      <c r="Z965">
        <v>0</v>
      </c>
      <c r="AA965" t="s">
        <v>139</v>
      </c>
      <c r="AB965">
        <v>0.175248914442</v>
      </c>
      <c r="AC965">
        <v>1.7232809920129999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Q965" t="s">
        <v>140</v>
      </c>
      <c r="AR965" t="s">
        <v>141</v>
      </c>
      <c r="AS965">
        <v>1.4976849999999999</v>
      </c>
    </row>
    <row r="966" spans="1:45" ht="12.75">
      <c r="A966" s="2" t="str">
        <f>HYPERLINK("https://ibp.a2mac1.com/costing(costing:projects/details/8191/material/5320444)","Steel sheet (Hot Forming Steel)")</f>
        <v>Steel sheet (Hot Forming Steel)</v>
      </c>
      <c r="B966">
        <v>5320444</v>
      </c>
      <c r="C966">
        <v>6975973</v>
      </c>
      <c r="E966">
        <v>1.66818</v>
      </c>
      <c r="F966" t="s">
        <v>6726</v>
      </c>
      <c r="G966">
        <v>70</v>
      </c>
      <c r="H966" t="s">
        <v>6727</v>
      </c>
      <c r="I966">
        <v>30</v>
      </c>
      <c r="J966">
        <v>0.01099879013308536</v>
      </c>
      <c r="K966">
        <v>0</v>
      </c>
      <c r="L966">
        <v>0</v>
      </c>
      <c r="M966">
        <v>0</v>
      </c>
      <c r="O966">
        <v>400000</v>
      </c>
      <c r="R966" t="s">
        <v>136</v>
      </c>
      <c r="S966">
        <v>0.43753978285714284</v>
      </c>
      <c r="T966">
        <v>0.00053477084571428566</v>
      </c>
      <c r="U966" t="s">
        <v>137</v>
      </c>
      <c r="V966">
        <v>0.17015436</v>
      </c>
      <c r="W966">
        <v>4.5947024908457141</v>
      </c>
      <c r="X966" t="s">
        <v>138</v>
      </c>
      <c r="Y966">
        <v>0.27568214945074287</v>
      </c>
      <c r="Z966">
        <v>0</v>
      </c>
      <c r="AA966" t="s">
        <v>139</v>
      </c>
      <c r="AB966">
        <v>0.55136429890148575</v>
      </c>
      <c r="AC966">
        <v>5.4217489391979425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Q966" t="s">
        <v>140</v>
      </c>
      <c r="AR966" t="s">
        <v>141</v>
      </c>
      <c r="AS966">
        <v>4.8615531428571428</v>
      </c>
    </row>
    <row r="967" spans="1:45" ht="12.75">
      <c r="A967" s="2" t="str">
        <f>HYPERLINK("https://ibp.a2mac1.com/costing(costing:projects/details/8191/material/5320445)","Standard Structural Steel sheet")</f>
        <v>Standard Structural Steel sheet</v>
      </c>
      <c r="B967">
        <v>5320445</v>
      </c>
      <c r="C967">
        <v>6975974</v>
      </c>
      <c r="E967">
        <v>0.61129999999999995</v>
      </c>
      <c r="F967" t="s">
        <v>6452</v>
      </c>
      <c r="G967">
        <v>75</v>
      </c>
      <c r="H967" t="s">
        <v>6730</v>
      </c>
      <c r="I967">
        <v>30</v>
      </c>
      <c r="J967">
        <v>0.01099879013308536</v>
      </c>
      <c r="K967">
        <v>0</v>
      </c>
      <c r="L967">
        <v>0</v>
      </c>
      <c r="M967">
        <v>0</v>
      </c>
      <c r="O967">
        <v>400000</v>
      </c>
      <c r="R967" t="s">
        <v>136</v>
      </c>
      <c r="S967">
        <v>0.22618099999999999</v>
      </c>
      <c r="T967">
        <v>0.00033173213333333331</v>
      </c>
      <c r="U967" t="s">
        <v>137</v>
      </c>
      <c r="V967">
        <v>0.10555113333333334</v>
      </c>
      <c r="W967">
        <v>2.8954485321333334</v>
      </c>
      <c r="X967" t="s">
        <v>138</v>
      </c>
      <c r="Y967">
        <v>0.17372691192799999</v>
      </c>
      <c r="Z967">
        <v>0</v>
      </c>
      <c r="AA967" t="s">
        <v>139</v>
      </c>
      <c r="AB967">
        <v>0.34745382385599999</v>
      </c>
      <c r="AC967">
        <v>3.4166292679173331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Q967" t="s">
        <v>140</v>
      </c>
      <c r="AR967" t="s">
        <v>141</v>
      </c>
      <c r="AS967">
        <v>3.0157466666666668</v>
      </c>
    </row>
    <row r="968" spans="1:45" ht="12.75">
      <c r="A968" s="2" t="str">
        <f>HYPERLINK("https://ibp.a2mac1.com/costing(costing:projects/details/8191/material/5320446)","Standard Structural Steel sheet")</f>
        <v>Standard Structural Steel sheet</v>
      </c>
      <c r="B968">
        <v>5320446</v>
      </c>
      <c r="C968">
        <v>6975975</v>
      </c>
      <c r="E968">
        <v>0.61129999999999995</v>
      </c>
      <c r="F968" t="s">
        <v>6733</v>
      </c>
      <c r="G968">
        <v>80</v>
      </c>
      <c r="H968" t="s">
        <v>6734</v>
      </c>
      <c r="I968">
        <v>30</v>
      </c>
      <c r="J968">
        <v>0.01099879013308536</v>
      </c>
      <c r="K968">
        <v>0</v>
      </c>
      <c r="L968">
        <v>0</v>
      </c>
      <c r="M968">
        <v>0</v>
      </c>
      <c r="O968">
        <v>400000</v>
      </c>
      <c r="R968" t="s">
        <v>136</v>
      </c>
      <c r="S968">
        <v>0.059601750000000002</v>
      </c>
      <c r="T968">
        <v>0.000109269875</v>
      </c>
      <c r="U968" t="s">
        <v>137</v>
      </c>
      <c r="V968">
        <v>0.034767687499999998</v>
      </c>
      <c r="W968">
        <v>0.96863770737499999</v>
      </c>
      <c r="X968" t="s">
        <v>138</v>
      </c>
      <c r="Y968">
        <v>0.058118262442499999</v>
      </c>
      <c r="Z968">
        <v>0</v>
      </c>
      <c r="AA968" t="s">
        <v>139</v>
      </c>
      <c r="AB968">
        <v>0.116236524885</v>
      </c>
      <c r="AC968">
        <v>1.1429924947025001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Q968" t="s">
        <v>140</v>
      </c>
      <c r="AR968" t="s">
        <v>141</v>
      </c>
      <c r="AS968">
        <v>0.99336250000000004</v>
      </c>
    </row>
    <row r="969" spans="1:45" ht="12.75">
      <c r="A969" s="2" t="str">
        <f>HYPERLINK("https://ibp.a2mac1.com/costing(costing:projects/details/8191/material/5320447)","Standard Structural Steel sheet")</f>
        <v>Standard Structural Steel sheet</v>
      </c>
      <c r="B969">
        <v>5320447</v>
      </c>
      <c r="C969">
        <v>6975976</v>
      </c>
      <c r="E969">
        <v>0.61129999999999995</v>
      </c>
      <c r="F969" t="s">
        <v>6712</v>
      </c>
      <c r="G969">
        <v>65</v>
      </c>
      <c r="H969" t="s">
        <v>6737</v>
      </c>
      <c r="I969">
        <v>30</v>
      </c>
      <c r="J969">
        <v>0.01099879013308536</v>
      </c>
      <c r="K969">
        <v>0</v>
      </c>
      <c r="L969">
        <v>0</v>
      </c>
      <c r="M969">
        <v>0</v>
      </c>
      <c r="O969">
        <v>400000</v>
      </c>
      <c r="R969" t="s">
        <v>136</v>
      </c>
      <c r="S969">
        <v>0.075048830769230773</v>
      </c>
      <c r="T969">
        <v>7.862258461538462E-05</v>
      </c>
      <c r="U969" t="s">
        <v>137</v>
      </c>
      <c r="V969">
        <v>0.025016276923076924</v>
      </c>
      <c r="W969">
        <v>0.66479683796923073</v>
      </c>
      <c r="X969" t="s">
        <v>138</v>
      </c>
      <c r="Y969">
        <v>0.039887810278153843</v>
      </c>
      <c r="Z969">
        <v>0</v>
      </c>
      <c r="AA969" t="s">
        <v>139</v>
      </c>
      <c r="AB969">
        <v>0.079775620556307686</v>
      </c>
      <c r="AC969">
        <v>0.78446026880369235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Q969" t="s">
        <v>140</v>
      </c>
      <c r="AR969" t="s">
        <v>141</v>
      </c>
      <c r="AS969">
        <v>0.71475076923076919</v>
      </c>
    </row>
    <row r="970" spans="1:45" ht="12.75">
      <c r="A970" s="2" t="str">
        <f>HYPERLINK("https://ibp.a2mac1.com/costing(costing:projects/details/8191/material/5320448)","Steel sheet (Hot Forming Steel)")</f>
        <v>Steel sheet (Hot Forming Steel)</v>
      </c>
      <c r="B970">
        <v>5320448</v>
      </c>
      <c r="C970">
        <v>6975977</v>
      </c>
      <c r="E970">
        <v>1.66818</v>
      </c>
      <c r="F970" t="s">
        <v>6740</v>
      </c>
      <c r="G970">
        <v>55</v>
      </c>
      <c r="H970" t="s">
        <v>6741</v>
      </c>
      <c r="I970">
        <v>30</v>
      </c>
      <c r="J970">
        <v>0.01099879013308536</v>
      </c>
      <c r="K970">
        <v>0</v>
      </c>
      <c r="L970">
        <v>0</v>
      </c>
      <c r="M970">
        <v>0</v>
      </c>
      <c r="O970">
        <v>400000</v>
      </c>
      <c r="R970" t="s">
        <v>136</v>
      </c>
      <c r="S970">
        <v>1.2365763381818182</v>
      </c>
      <c r="T970">
        <v>0.00100758072</v>
      </c>
      <c r="U970" t="s">
        <v>137</v>
      </c>
      <c r="V970">
        <v>0.32059386545454543</v>
      </c>
      <c r="W970">
        <v>8.2448498352654553</v>
      </c>
      <c r="X970" t="s">
        <v>138</v>
      </c>
      <c r="Y970">
        <v>0.49469099011592726</v>
      </c>
      <c r="Z970">
        <v>0</v>
      </c>
      <c r="AA970" t="s">
        <v>139</v>
      </c>
      <c r="AB970">
        <v>0.98938198023185453</v>
      </c>
      <c r="AC970">
        <v>9.7289228056132355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Q970" t="s">
        <v>140</v>
      </c>
      <c r="AR970" t="s">
        <v>141</v>
      </c>
      <c r="AS970">
        <v>9.1598247272727278</v>
      </c>
    </row>
    <row r="971" spans="1:45" ht="12.75">
      <c r="A971" s="2" t="str">
        <f>HYPERLINK("https://ibp.a2mac1.com/costing(costing:projects/details/8191/material/5320449)","Standard Structural Steel sheet")</f>
        <v>Standard Structural Steel sheet</v>
      </c>
      <c r="B971">
        <v>5320449</v>
      </c>
      <c r="C971">
        <v>6975978</v>
      </c>
      <c r="E971">
        <v>0.61129999999999995</v>
      </c>
      <c r="F971" t="s">
        <v>6629</v>
      </c>
      <c r="G971">
        <v>60</v>
      </c>
      <c r="H971" t="s">
        <v>6745</v>
      </c>
      <c r="I971">
        <v>30</v>
      </c>
      <c r="J971">
        <v>0.01099879013308536</v>
      </c>
      <c r="K971">
        <v>0</v>
      </c>
      <c r="L971">
        <v>0</v>
      </c>
      <c r="M971">
        <v>0</v>
      </c>
      <c r="O971">
        <v>400000</v>
      </c>
      <c r="R971" t="s">
        <v>136</v>
      </c>
      <c r="S971">
        <v>0.22251319999999999</v>
      </c>
      <c r="T971">
        <v>0.00020397043333333334</v>
      </c>
      <c r="U971" t="s">
        <v>137</v>
      </c>
      <c r="V971">
        <v>0.064899683333333333</v>
      </c>
      <c r="W971">
        <v>1.6968671204333334</v>
      </c>
      <c r="X971" t="s">
        <v>138</v>
      </c>
      <c r="Y971">
        <v>0.101812027226</v>
      </c>
      <c r="Z971">
        <v>0</v>
      </c>
      <c r="AA971" t="s">
        <v>139</v>
      </c>
      <c r="AB971">
        <v>0.20362405445199999</v>
      </c>
      <c r="AC971">
        <v>2.0023032021113334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Q971" t="s">
        <v>140</v>
      </c>
      <c r="AR971" t="s">
        <v>141</v>
      </c>
      <c r="AS971">
        <v>1.8542766666666666</v>
      </c>
    </row>
    <row r="972" spans="1:45" ht="12.75">
      <c r="A972" s="2" t="str">
        <f>HYPERLINK("https://ibp.a2mac1.com/costing(costing:projects/details/8191/material/5320450)","Standard Structural Steel sheet")</f>
        <v>Standard Structural Steel sheet</v>
      </c>
      <c r="B972">
        <v>5320450</v>
      </c>
      <c r="C972">
        <v>6975979</v>
      </c>
      <c r="E972">
        <v>0.61129999999999995</v>
      </c>
      <c r="F972" t="s">
        <v>1885</v>
      </c>
      <c r="G972">
        <v>60</v>
      </c>
      <c r="H972" t="s">
        <v>6412</v>
      </c>
      <c r="I972">
        <v>30</v>
      </c>
      <c r="J972">
        <v>0.01099879013308536</v>
      </c>
      <c r="K972">
        <v>0</v>
      </c>
      <c r="L972">
        <v>0</v>
      </c>
      <c r="M972">
        <v>0</v>
      </c>
      <c r="O972">
        <v>400000</v>
      </c>
      <c r="R972" t="s">
        <v>136</v>
      </c>
      <c r="S972">
        <v>0.0048903999999999996</v>
      </c>
      <c r="T972">
        <v>4.4828666666666665E-06</v>
      </c>
      <c r="U972" t="s">
        <v>137</v>
      </c>
      <c r="V972">
        <v>0.0014263666666666666</v>
      </c>
      <c r="W972">
        <v>0.037293782866666667</v>
      </c>
      <c r="X972" t="s">
        <v>138</v>
      </c>
      <c r="Y972">
        <v>0.002237626972</v>
      </c>
      <c r="Z972">
        <v>0</v>
      </c>
      <c r="AA972" t="s">
        <v>139</v>
      </c>
      <c r="AB972">
        <v>0.0044752539439999999</v>
      </c>
      <c r="AC972">
        <v>0.044006663782666669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Q972" t="s">
        <v>140</v>
      </c>
      <c r="AR972" t="s">
        <v>141</v>
      </c>
      <c r="AS972">
        <v>0.040753333333333336</v>
      </c>
    </row>
    <row r="973" spans="1:45" ht="12.75">
      <c r="A973" s="2" t="str">
        <f>HYPERLINK("https://ibp.a2mac1.com/costing(costing:projects/details/8191/material/5320451)","Standard Structural Steel sheet")</f>
        <v>Standard Structural Steel sheet</v>
      </c>
      <c r="B973">
        <v>5320451</v>
      </c>
      <c r="C973">
        <v>6975980</v>
      </c>
      <c r="E973">
        <v>0.61129999999999995</v>
      </c>
      <c r="F973" t="s">
        <v>3845</v>
      </c>
      <c r="G973">
        <v>60</v>
      </c>
      <c r="H973" t="s">
        <v>6750</v>
      </c>
      <c r="I973">
        <v>30</v>
      </c>
      <c r="J973">
        <v>0.01099879013308536</v>
      </c>
      <c r="K973">
        <v>0</v>
      </c>
      <c r="L973">
        <v>0</v>
      </c>
      <c r="M973">
        <v>0</v>
      </c>
      <c r="O973">
        <v>400000</v>
      </c>
      <c r="R973" t="s">
        <v>136</v>
      </c>
      <c r="S973">
        <v>0.079468999999999998</v>
      </c>
      <c r="T973">
        <v>7.2846583333333338E-05</v>
      </c>
      <c r="U973" t="s">
        <v>137</v>
      </c>
      <c r="V973">
        <v>0.023178458333333332</v>
      </c>
      <c r="W973">
        <v>0.60602397158333332</v>
      </c>
      <c r="X973" t="s">
        <v>138</v>
      </c>
      <c r="Y973">
        <v>0.036361438295</v>
      </c>
      <c r="Z973">
        <v>0</v>
      </c>
      <c r="AA973" t="s">
        <v>139</v>
      </c>
      <c r="AB973">
        <v>0.072722876589999999</v>
      </c>
      <c r="AC973">
        <v>0.71510828646833335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Q973" t="s">
        <v>140</v>
      </c>
      <c r="AR973" t="s">
        <v>141</v>
      </c>
      <c r="AS973">
        <v>0.66224166666666662</v>
      </c>
    </row>
    <row r="974" spans="1:45" ht="12.75">
      <c r="A974" s="2" t="str">
        <f>HYPERLINK("https://ibp.a2mac1.com/costing(costing:projects/details/8191/material/5320452)","Standard Structural Steel sheet")</f>
        <v>Standard Structural Steel sheet</v>
      </c>
      <c r="B974">
        <v>5320452</v>
      </c>
      <c r="C974">
        <v>6975992</v>
      </c>
      <c r="E974">
        <v>0.61129999999999995</v>
      </c>
      <c r="F974" t="s">
        <v>5077</v>
      </c>
      <c r="G974">
        <v>60</v>
      </c>
      <c r="H974" t="s">
        <v>6753</v>
      </c>
      <c r="I974">
        <v>30</v>
      </c>
      <c r="J974">
        <v>0.01099879013308536</v>
      </c>
      <c r="K974">
        <v>0</v>
      </c>
      <c r="L974">
        <v>0</v>
      </c>
      <c r="M974">
        <v>0</v>
      </c>
      <c r="O974">
        <v>400000</v>
      </c>
      <c r="R974" t="s">
        <v>136</v>
      </c>
      <c r="S974">
        <v>0.12837299999999999</v>
      </c>
      <c r="T974">
        <v>0.00011767525</v>
      </c>
      <c r="U974" t="s">
        <v>137</v>
      </c>
      <c r="V974">
        <v>0.037442125</v>
      </c>
      <c r="W974">
        <v>0.97896180025000001</v>
      </c>
      <c r="X974" t="s">
        <v>138</v>
      </c>
      <c r="Y974">
        <v>0.058737708015000001</v>
      </c>
      <c r="Z974">
        <v>0</v>
      </c>
      <c r="AA974" t="s">
        <v>139</v>
      </c>
      <c r="AB974">
        <v>0.11747541603</v>
      </c>
      <c r="AC974">
        <v>1.155174924295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Q974" t="s">
        <v>140</v>
      </c>
      <c r="AR974" t="s">
        <v>141</v>
      </c>
      <c r="AS974">
        <v>1.0697749999999999</v>
      </c>
    </row>
    <row r="975" spans="1:45" ht="12.75">
      <c r="A975" s="2" t="str">
        <f>HYPERLINK("https://ibp.a2mac1.com/costing(costing:projects/details/8191/material/5320453)","Standard Structural Steel sheet")</f>
        <v>Standard Structural Steel sheet</v>
      </c>
      <c r="B975">
        <v>5320453</v>
      </c>
      <c r="C975">
        <v>6975993</v>
      </c>
      <c r="E975">
        <v>0.61129999999999995</v>
      </c>
      <c r="F975" t="s">
        <v>6351</v>
      </c>
      <c r="G975">
        <v>70</v>
      </c>
      <c r="H975" t="s">
        <v>6757</v>
      </c>
      <c r="I975">
        <v>30</v>
      </c>
      <c r="J975">
        <v>0.01099879013308536</v>
      </c>
      <c r="K975">
        <v>0</v>
      </c>
      <c r="L975">
        <v>0</v>
      </c>
      <c r="M975">
        <v>0</v>
      </c>
      <c r="O975">
        <v>400000</v>
      </c>
      <c r="R975" t="s">
        <v>136</v>
      </c>
      <c r="S975">
        <v>0.092742942857142852</v>
      </c>
      <c r="T975">
        <v>0.00011335248571428571</v>
      </c>
      <c r="U975" t="s">
        <v>137</v>
      </c>
      <c r="V975">
        <v>0.0360667</v>
      </c>
      <c r="W975">
        <v>0.97391425248571428</v>
      </c>
      <c r="X975" t="s">
        <v>138</v>
      </c>
      <c r="Y975">
        <v>0.058434855149142859</v>
      </c>
      <c r="Z975">
        <v>0</v>
      </c>
      <c r="AA975" t="s">
        <v>139</v>
      </c>
      <c r="AB975">
        <v>0.11686971029828572</v>
      </c>
      <c r="AC975">
        <v>1.1492188179331428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Q975" t="s">
        <v>140</v>
      </c>
      <c r="AR975" t="s">
        <v>141</v>
      </c>
      <c r="AS975">
        <v>1.0304771428571429</v>
      </c>
    </row>
    <row r="976" spans="1:45" ht="12.75">
      <c r="A976" s="2" t="str">
        <f>HYPERLINK("https://ibp.a2mac1.com/costing(costing:projects/details/8191/material/5320454)","Standard Structural Steel sheet")</f>
        <v>Standard Structural Steel sheet</v>
      </c>
      <c r="B976">
        <v>5320454</v>
      </c>
      <c r="C976">
        <v>6975994</v>
      </c>
      <c r="E976">
        <v>0.61129999999999995</v>
      </c>
      <c r="F976" t="s">
        <v>6601</v>
      </c>
      <c r="G976">
        <v>30</v>
      </c>
      <c r="H976" t="s">
        <v>6760</v>
      </c>
      <c r="I976">
        <v>30</v>
      </c>
      <c r="J976">
        <v>0.01099879013308536</v>
      </c>
      <c r="K976">
        <v>0</v>
      </c>
      <c r="L976">
        <v>0</v>
      </c>
      <c r="M976">
        <v>0</v>
      </c>
      <c r="O976">
        <v>400000</v>
      </c>
      <c r="R976" t="s">
        <v>136</v>
      </c>
      <c r="S976">
        <v>0.15832669999999999</v>
      </c>
      <c r="T976">
        <v>8.2933033333333327E-05</v>
      </c>
      <c r="U976" t="s">
        <v>137</v>
      </c>
      <c r="V976">
        <v>0.026387783333333335</v>
      </c>
      <c r="W976">
        <v>0.6220806830333333</v>
      </c>
      <c r="X976" t="s">
        <v>138</v>
      </c>
      <c r="Y976">
        <v>0.037324840982</v>
      </c>
      <c r="Z976">
        <v>0</v>
      </c>
      <c r="AA976" t="s">
        <v>139</v>
      </c>
      <c r="AB976">
        <v>0.074649681964</v>
      </c>
      <c r="AC976">
        <v>0.73405520597933338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Q976" t="s">
        <v>140</v>
      </c>
      <c r="AR976" t="s">
        <v>141</v>
      </c>
      <c r="AS976">
        <v>0.7539366666666667</v>
      </c>
    </row>
    <row r="977" spans="1:45" ht="12.75">
      <c r="A977" s="2" t="str">
        <f>HYPERLINK("https://ibp.a2mac1.com/costing(costing:projects/details/8191/material/5320455)","Standard Structural Steel sheet")</f>
        <v>Standard Structural Steel sheet</v>
      </c>
      <c r="B977">
        <v>5320455</v>
      </c>
      <c r="C977">
        <v>6975995</v>
      </c>
      <c r="E977">
        <v>0.61129999999999995</v>
      </c>
      <c r="F977" t="s">
        <v>2764</v>
      </c>
      <c r="G977">
        <v>65</v>
      </c>
      <c r="H977" t="s">
        <v>6763</v>
      </c>
      <c r="I977">
        <v>30</v>
      </c>
      <c r="J977">
        <v>0.01099879013308536</v>
      </c>
      <c r="K977">
        <v>0</v>
      </c>
      <c r="L977">
        <v>0</v>
      </c>
      <c r="M977">
        <v>0</v>
      </c>
      <c r="O977">
        <v>400000</v>
      </c>
      <c r="R977" t="s">
        <v>136</v>
      </c>
      <c r="S977">
        <v>0.024687115384615384</v>
      </c>
      <c r="T977">
        <v>2.5862692307692308E-05</v>
      </c>
      <c r="U977" t="s">
        <v>137</v>
      </c>
      <c r="V977">
        <v>0.0082290384615384612</v>
      </c>
      <c r="W977">
        <v>0.21868317038461538</v>
      </c>
      <c r="X977" t="s">
        <v>138</v>
      </c>
      <c r="Y977">
        <v>0.013120990223076922</v>
      </c>
      <c r="Z977">
        <v>0</v>
      </c>
      <c r="AA977" t="s">
        <v>139</v>
      </c>
      <c r="AB977">
        <v>0.026241980446153845</v>
      </c>
      <c r="AC977">
        <v>0.25804614105384616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Q977" t="s">
        <v>140</v>
      </c>
      <c r="AR977" t="s">
        <v>141</v>
      </c>
      <c r="AS977">
        <v>0.23511538461538461</v>
      </c>
    </row>
    <row r="978" spans="1:45" ht="12.75">
      <c r="A978" s="2" t="str">
        <f>HYPERLINK("https://ibp.a2mac1.com/costing(costing:projects/details/8191/material/5320456)","Standard Structural Steel sheet")</f>
        <v>Standard Structural Steel sheet</v>
      </c>
      <c r="B978">
        <v>5320456</v>
      </c>
      <c r="C978">
        <v>6975996</v>
      </c>
      <c r="E978">
        <v>0.61129999999999995</v>
      </c>
      <c r="F978" t="s">
        <v>6767</v>
      </c>
      <c r="G978">
        <v>50</v>
      </c>
      <c r="H978" t="s">
        <v>6768</v>
      </c>
      <c r="I978">
        <v>30</v>
      </c>
      <c r="J978">
        <v>0.01099879013308536</v>
      </c>
      <c r="K978">
        <v>0</v>
      </c>
      <c r="L978">
        <v>0</v>
      </c>
      <c r="M978">
        <v>0</v>
      </c>
      <c r="O978">
        <v>400000</v>
      </c>
      <c r="R978" t="s">
        <v>136</v>
      </c>
      <c r="S978">
        <v>0.1247052</v>
      </c>
      <c r="T978">
        <v>9.1450480000000007E-05</v>
      </c>
      <c r="U978" t="s">
        <v>137</v>
      </c>
      <c r="V978">
        <v>0.02909788</v>
      </c>
      <c r="W978">
        <v>0.73585213047999998</v>
      </c>
      <c r="X978" t="s">
        <v>138</v>
      </c>
      <c r="Y978">
        <v>0.044151127828799999</v>
      </c>
      <c r="Z978">
        <v>0</v>
      </c>
      <c r="AA978" t="s">
        <v>139</v>
      </c>
      <c r="AB978">
        <v>0.088302255657599998</v>
      </c>
      <c r="AC978">
        <v>0.86830551396639999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Q978" t="s">
        <v>140</v>
      </c>
      <c r="AR978" t="s">
        <v>141</v>
      </c>
      <c r="AS978">
        <v>0.831368</v>
      </c>
    </row>
    <row r="979" spans="1:45" ht="12.75">
      <c r="A979" s="2" t="str">
        <f>HYPERLINK("https://ibp.a2mac1.com/costing(costing:projects/details/8191/material/5320457)","Standard Structural Steel sheet")</f>
        <v>Standard Structural Steel sheet</v>
      </c>
      <c r="B979">
        <v>5320457</v>
      </c>
      <c r="C979">
        <v>6975997</v>
      </c>
      <c r="E979">
        <v>0.61129999999999995</v>
      </c>
      <c r="F979" t="s">
        <v>2706</v>
      </c>
      <c r="G979">
        <v>55</v>
      </c>
      <c r="H979" t="s">
        <v>6404</v>
      </c>
      <c r="I979">
        <v>30</v>
      </c>
      <c r="J979">
        <v>0.01099879013308536</v>
      </c>
      <c r="K979">
        <v>0</v>
      </c>
      <c r="L979">
        <v>0</v>
      </c>
      <c r="M979">
        <v>0</v>
      </c>
      <c r="O979">
        <v>400000</v>
      </c>
      <c r="R979" t="s">
        <v>136</v>
      </c>
      <c r="S979">
        <v>0.016505100000000002</v>
      </c>
      <c r="T979">
        <v>1.34486E-05</v>
      </c>
      <c r="U979" t="s">
        <v>137</v>
      </c>
      <c r="V979">
        <v>0.0042791000000000001</v>
      </c>
      <c r="W979">
        <v>0.1100474486</v>
      </c>
      <c r="X979" t="s">
        <v>138</v>
      </c>
      <c r="Y979">
        <v>0.0066028469159999997</v>
      </c>
      <c r="Z979">
        <v>0</v>
      </c>
      <c r="AA979" t="s">
        <v>139</v>
      </c>
      <c r="AB979">
        <v>0.013205693831999999</v>
      </c>
      <c r="AC979">
        <v>0.12985598934799999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Q979" t="s">
        <v>140</v>
      </c>
      <c r="AR979" t="s">
        <v>141</v>
      </c>
      <c r="AS979">
        <v>0.12225999999999999</v>
      </c>
    </row>
    <row r="980" spans="1:45" ht="12.75">
      <c r="A980" s="2" t="str">
        <f>HYPERLINK("https://ibp.a2mac1.com/costing(costing:projects/details/8191/material/5320458)","Standard Structural Steel sheet")</f>
        <v>Standard Structural Steel sheet</v>
      </c>
      <c r="B980">
        <v>5320458</v>
      </c>
      <c r="C980">
        <v>6975998</v>
      </c>
      <c r="E980">
        <v>0.61129999999999995</v>
      </c>
      <c r="F980" t="s">
        <v>3304</v>
      </c>
      <c r="G980">
        <v>80</v>
      </c>
      <c r="H980" t="s">
        <v>4860</v>
      </c>
      <c r="I980">
        <v>30</v>
      </c>
      <c r="J980">
        <v>0.01099879013308536</v>
      </c>
      <c r="K980">
        <v>0</v>
      </c>
      <c r="L980">
        <v>0</v>
      </c>
      <c r="M980">
        <v>0</v>
      </c>
      <c r="O980">
        <v>400000</v>
      </c>
      <c r="R980" t="s">
        <v>136</v>
      </c>
      <c r="S980">
        <v>0.0096279750000000004</v>
      </c>
      <c r="T980">
        <v>1.7651287500000001E-05</v>
      </c>
      <c r="U980" t="s">
        <v>137</v>
      </c>
      <c r="V980">
        <v>0.00561631875</v>
      </c>
      <c r="W980">
        <v>0.15647224503750001</v>
      </c>
      <c r="X980" t="s">
        <v>138</v>
      </c>
      <c r="Y980">
        <v>0.0093883347022499994</v>
      </c>
      <c r="Z980">
        <v>0</v>
      </c>
      <c r="AA980" t="s">
        <v>139</v>
      </c>
      <c r="AB980">
        <v>0.018776669404499999</v>
      </c>
      <c r="AC980">
        <v>0.18463724914425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Q980" t="s">
        <v>140</v>
      </c>
      <c r="AR980" t="s">
        <v>141</v>
      </c>
      <c r="AS980">
        <v>0.16046625</v>
      </c>
    </row>
    <row r="981" spans="1:45" ht="12.75">
      <c r="A981" s="2" t="str">
        <f>HYPERLINK("https://ibp.a2mac1.com/costing(costing:projects/details/8191/material/5320459)","Standard Structural Steel sheet")</f>
        <v>Standard Structural Steel sheet</v>
      </c>
      <c r="B981">
        <v>5320459</v>
      </c>
      <c r="C981">
        <v>6975999</v>
      </c>
      <c r="E981">
        <v>0.61129999999999995</v>
      </c>
      <c r="F981" t="s">
        <v>2142</v>
      </c>
      <c r="G981">
        <v>60</v>
      </c>
      <c r="H981" t="s">
        <v>6717</v>
      </c>
      <c r="I981">
        <v>30</v>
      </c>
      <c r="J981">
        <v>0.01099879013308536</v>
      </c>
      <c r="K981">
        <v>0</v>
      </c>
      <c r="L981">
        <v>0</v>
      </c>
      <c r="M981">
        <v>0</v>
      </c>
      <c r="O981">
        <v>400000</v>
      </c>
      <c r="R981" t="s">
        <v>136</v>
      </c>
      <c r="S981">
        <v>0.029342400000000001</v>
      </c>
      <c r="T981">
        <v>2.6897200000000001E-05</v>
      </c>
      <c r="U981" t="s">
        <v>137</v>
      </c>
      <c r="V981">
        <v>0.0085582000000000002</v>
      </c>
      <c r="W981">
        <v>0.2237626972</v>
      </c>
      <c r="X981" t="s">
        <v>138</v>
      </c>
      <c r="Y981">
        <v>0.013425761832</v>
      </c>
      <c r="Z981">
        <v>0</v>
      </c>
      <c r="AA981" t="s">
        <v>139</v>
      </c>
      <c r="AB981">
        <v>0.026851523663999999</v>
      </c>
      <c r="AC981">
        <v>0.26403998269599999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Q981" t="s">
        <v>140</v>
      </c>
      <c r="AR981" t="s">
        <v>141</v>
      </c>
      <c r="AS981">
        <v>0.24451999999999999</v>
      </c>
    </row>
    <row r="982" spans="1:45" ht="12.75">
      <c r="A982" s="2" t="str">
        <f>HYPERLINK("https://ibp.a2mac1.com/costing(costing:projects/details/8191/material/5320460)","Standard Structural Steel sheet")</f>
        <v>Standard Structural Steel sheet</v>
      </c>
      <c r="B982">
        <v>5320460</v>
      </c>
      <c r="C982">
        <v>6976000</v>
      </c>
      <c r="E982">
        <v>0.61129999999999995</v>
      </c>
      <c r="F982" t="s">
        <v>4648</v>
      </c>
      <c r="G982">
        <v>55</v>
      </c>
      <c r="H982" t="s">
        <v>6778</v>
      </c>
      <c r="I982">
        <v>30</v>
      </c>
      <c r="J982">
        <v>0.01099879013308536</v>
      </c>
      <c r="K982">
        <v>0</v>
      </c>
      <c r="L982">
        <v>0</v>
      </c>
      <c r="M982">
        <v>0</v>
      </c>
      <c r="O982">
        <v>400000</v>
      </c>
      <c r="R982" t="s">
        <v>136</v>
      </c>
      <c r="S982">
        <v>0.043513445454545455</v>
      </c>
      <c r="T982">
        <v>3.5455399999999999E-05</v>
      </c>
      <c r="U982" t="s">
        <v>137</v>
      </c>
      <c r="V982">
        <v>0.011281263636363637</v>
      </c>
      <c r="W982">
        <v>0.29012509176363638</v>
      </c>
      <c r="X982" t="s">
        <v>138</v>
      </c>
      <c r="Y982">
        <v>0.017407505505818183</v>
      </c>
      <c r="Z982">
        <v>0</v>
      </c>
      <c r="AA982" t="s">
        <v>139</v>
      </c>
      <c r="AB982">
        <v>0.034815011011636365</v>
      </c>
      <c r="AC982">
        <v>0.3423476082810909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Q982" t="s">
        <v>140</v>
      </c>
      <c r="AR982" t="s">
        <v>141</v>
      </c>
      <c r="AS982">
        <v>0.32232181818181821</v>
      </c>
    </row>
    <row r="983" spans="1:45" ht="12.75">
      <c r="A983" s="2" t="str">
        <f>HYPERLINK("https://ibp.a2mac1.com/costing(costing:projects/details/8191/material/5320461)","Standard Structural Steel sheet")</f>
        <v>Standard Structural Steel sheet</v>
      </c>
      <c r="B983">
        <v>5320461</v>
      </c>
      <c r="C983">
        <v>6976001</v>
      </c>
      <c r="E983">
        <v>0.61129999999999995</v>
      </c>
      <c r="F983" t="s">
        <v>4429</v>
      </c>
      <c r="G983">
        <v>60</v>
      </c>
      <c r="H983" t="s">
        <v>6781</v>
      </c>
      <c r="I983">
        <v>30</v>
      </c>
      <c r="J983">
        <v>0.01099879013308536</v>
      </c>
      <c r="K983">
        <v>0</v>
      </c>
      <c r="L983">
        <v>0</v>
      </c>
      <c r="M983">
        <v>0</v>
      </c>
      <c r="O983">
        <v>400000</v>
      </c>
      <c r="R983" t="s">
        <v>136</v>
      </c>
      <c r="S983">
        <v>0.1075888</v>
      </c>
      <c r="T983">
        <v>9.8623066666666661E-05</v>
      </c>
      <c r="U983" t="s">
        <v>137</v>
      </c>
      <c r="V983">
        <v>0.031380066666666664</v>
      </c>
      <c r="W983">
        <v>0.82046322306666664</v>
      </c>
      <c r="X983" t="s">
        <v>138</v>
      </c>
      <c r="Y983">
        <v>0.049227793383999997</v>
      </c>
      <c r="Z983">
        <v>0</v>
      </c>
      <c r="AA983" t="s">
        <v>139</v>
      </c>
      <c r="AB983">
        <v>0.098455586767999995</v>
      </c>
      <c r="AC983">
        <v>0.96814660321866663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Q983" t="s">
        <v>140</v>
      </c>
      <c r="AR983" t="s">
        <v>141</v>
      </c>
      <c r="AS983">
        <v>0.89657333333333333</v>
      </c>
    </row>
    <row r="984" spans="1:45" ht="12.75">
      <c r="A984" s="2" t="str">
        <f>HYPERLINK("https://ibp.a2mac1.com/costing(costing:projects/details/8191/material/5320462)","Standard Structural Steel sheet")</f>
        <v>Standard Structural Steel sheet</v>
      </c>
      <c r="B984">
        <v>5320462</v>
      </c>
      <c r="C984">
        <v>6976002</v>
      </c>
      <c r="E984">
        <v>0.61129999999999995</v>
      </c>
      <c r="F984" t="s">
        <v>2911</v>
      </c>
      <c r="G984">
        <v>80</v>
      </c>
      <c r="H984" t="s">
        <v>6550</v>
      </c>
      <c r="I984">
        <v>30</v>
      </c>
      <c r="J984">
        <v>0.01099879013308536</v>
      </c>
      <c r="K984">
        <v>0</v>
      </c>
      <c r="L984">
        <v>0</v>
      </c>
      <c r="M984">
        <v>0</v>
      </c>
      <c r="O984">
        <v>400000</v>
      </c>
      <c r="R984" t="s">
        <v>136</v>
      </c>
      <c r="S984">
        <v>0.0032093249999999999</v>
      </c>
      <c r="T984">
        <v>5.8837625000000002E-06</v>
      </c>
      <c r="U984" t="s">
        <v>137</v>
      </c>
      <c r="V984">
        <v>0.00187210625</v>
      </c>
      <c r="W984">
        <v>0.0521574150125</v>
      </c>
      <c r="X984" t="s">
        <v>138</v>
      </c>
      <c r="Y984">
        <v>0.0031294449007500001</v>
      </c>
      <c r="Z984">
        <v>0</v>
      </c>
      <c r="AA984" t="s">
        <v>139</v>
      </c>
      <c r="AB984">
        <v>0.0062588898015000002</v>
      </c>
      <c r="AC984">
        <v>0.061545749714749999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Q984" t="s">
        <v>140</v>
      </c>
      <c r="AR984" t="s">
        <v>141</v>
      </c>
      <c r="AS984">
        <v>0.053488750000000002</v>
      </c>
    </row>
    <row r="985" spans="1:45" ht="12.75">
      <c r="A985" s="2" t="str">
        <f>HYPERLINK("https://ibp.a2mac1.com/costing(costing:projects/details/8191/material/5320463)","Standard Structural Steel sheet")</f>
        <v>Standard Structural Steel sheet</v>
      </c>
      <c r="B985">
        <v>5320463</v>
      </c>
      <c r="C985">
        <v>6976003</v>
      </c>
      <c r="E985">
        <v>0.61129999999999995</v>
      </c>
      <c r="F985" t="s">
        <v>2911</v>
      </c>
      <c r="G985">
        <v>80</v>
      </c>
      <c r="H985" t="s">
        <v>6550</v>
      </c>
      <c r="I985">
        <v>30</v>
      </c>
      <c r="J985">
        <v>0.01099879013308536</v>
      </c>
      <c r="K985">
        <v>0</v>
      </c>
      <c r="L985">
        <v>0</v>
      </c>
      <c r="M985">
        <v>0</v>
      </c>
      <c r="O985">
        <v>400000</v>
      </c>
      <c r="R985" t="s">
        <v>136</v>
      </c>
      <c r="S985">
        <v>0.0032093249999999999</v>
      </c>
      <c r="T985">
        <v>5.8837625000000002E-06</v>
      </c>
      <c r="U985" t="s">
        <v>137</v>
      </c>
      <c r="V985">
        <v>0.00187210625</v>
      </c>
      <c r="W985">
        <v>0.0521574150125</v>
      </c>
      <c r="X985" t="s">
        <v>138</v>
      </c>
      <c r="Y985">
        <v>0.0031294449007500001</v>
      </c>
      <c r="Z985">
        <v>0</v>
      </c>
      <c r="AA985" t="s">
        <v>139</v>
      </c>
      <c r="AB985">
        <v>0.0062588898015000002</v>
      </c>
      <c r="AC985">
        <v>0.061545749714749999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Q985" t="s">
        <v>140</v>
      </c>
      <c r="AR985" t="s">
        <v>141</v>
      </c>
      <c r="AS985">
        <v>0.053488750000000002</v>
      </c>
    </row>
    <row r="986" spans="1:45" ht="12.75">
      <c r="A986" s="2" t="str">
        <f>HYPERLINK("https://ibp.a2mac1.com/costing(costing:projects/details/8191/material/5320464)","Standard Structural Steel sheet")</f>
        <v>Standard Structural Steel sheet</v>
      </c>
      <c r="B986">
        <v>5320464</v>
      </c>
      <c r="C986">
        <v>6976004</v>
      </c>
      <c r="E986">
        <v>0.61129999999999995</v>
      </c>
      <c r="F986" t="s">
        <v>6790</v>
      </c>
      <c r="G986">
        <v>55</v>
      </c>
      <c r="H986" t="s">
        <v>6791</v>
      </c>
      <c r="I986">
        <v>30</v>
      </c>
      <c r="J986">
        <v>0.013998040274361589</v>
      </c>
      <c r="K986">
        <v>0</v>
      </c>
      <c r="L986">
        <v>0</v>
      </c>
      <c r="M986">
        <v>0</v>
      </c>
      <c r="O986">
        <v>200000</v>
      </c>
      <c r="R986" t="s">
        <v>136</v>
      </c>
      <c r="S986">
        <v>0.40212425454545453</v>
      </c>
      <c r="T986">
        <v>0.00041701774545454547</v>
      </c>
      <c r="U986" t="s">
        <v>137</v>
      </c>
      <c r="V986">
        <v>0.10425443636363636</v>
      </c>
      <c r="W986">
        <v>2.6812453813818182</v>
      </c>
      <c r="X986" t="s">
        <v>138</v>
      </c>
      <c r="Y986">
        <v>0.1608747228829091</v>
      </c>
      <c r="Z986">
        <v>0</v>
      </c>
      <c r="AA986" t="s">
        <v>139</v>
      </c>
      <c r="AB986">
        <v>0.32174944576581821</v>
      </c>
      <c r="AC986">
        <v>3.1638695500305456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Q986" t="s">
        <v>140</v>
      </c>
      <c r="AR986" t="s">
        <v>141</v>
      </c>
      <c r="AS986">
        <v>2.9786981818181819</v>
      </c>
    </row>
    <row r="987" spans="1:45" ht="12.75">
      <c r="A987" s="2" t="str">
        <f>HYPERLINK("https://ibp.a2mac1.com/costing(costing:projects/details/8191/material/5320561)","Standard Structural Steel sheet")</f>
        <v>Standard Structural Steel sheet</v>
      </c>
      <c r="B987">
        <v>5320561</v>
      </c>
      <c r="C987">
        <v>6976152</v>
      </c>
      <c r="E987">
        <v>0.61129999999999995</v>
      </c>
      <c r="F987" t="s">
        <v>296</v>
      </c>
      <c r="G987">
        <v>80</v>
      </c>
      <c r="H987" t="s">
        <v>6796</v>
      </c>
      <c r="I987">
        <v>30</v>
      </c>
      <c r="J987">
        <v>0.013998040274361589</v>
      </c>
      <c r="K987">
        <v>0</v>
      </c>
      <c r="L987">
        <v>0</v>
      </c>
      <c r="M987">
        <v>0</v>
      </c>
      <c r="O987">
        <v>200000</v>
      </c>
      <c r="R987" t="s">
        <v>136</v>
      </c>
      <c r="S987">
        <v>0.045847499999999999</v>
      </c>
      <c r="T987">
        <v>0.0001069775</v>
      </c>
      <c r="U987" t="s">
        <v>137</v>
      </c>
      <c r="V987">
        <v>0.026744375000000001</v>
      </c>
      <c r="W987">
        <v>0.74512885250000005</v>
      </c>
      <c r="X987" t="s">
        <v>138</v>
      </c>
      <c r="Y987">
        <v>0.044707731149999999</v>
      </c>
      <c r="Z987">
        <v>0</v>
      </c>
      <c r="AA987" t="s">
        <v>139</v>
      </c>
      <c r="AB987">
        <v>0.089415462299999998</v>
      </c>
      <c r="AC987">
        <v>0.87925204594999995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Q987" t="s">
        <v>140</v>
      </c>
      <c r="AR987" t="s">
        <v>141</v>
      </c>
      <c r="AS987">
        <v>0.76412500000000005</v>
      </c>
    </row>
    <row r="988" spans="1:45" ht="12.75">
      <c r="A988" s="2" t="str">
        <f>HYPERLINK("https://ibp.a2mac1.com/costing(costing:projects/details/8191/material/5320562)","Standard Structural Steel sheet")</f>
        <v>Standard Structural Steel sheet</v>
      </c>
      <c r="B988">
        <v>5320562</v>
      </c>
      <c r="C988">
        <v>6976153</v>
      </c>
      <c r="E988">
        <v>0.61129999999999995</v>
      </c>
      <c r="F988" t="s">
        <v>4392</v>
      </c>
      <c r="G988">
        <v>60</v>
      </c>
      <c r="H988" t="s">
        <v>6682</v>
      </c>
      <c r="I988">
        <v>30</v>
      </c>
      <c r="J988">
        <v>0.01099879013308536</v>
      </c>
      <c r="K988">
        <v>0</v>
      </c>
      <c r="L988">
        <v>0</v>
      </c>
      <c r="M988">
        <v>0</v>
      </c>
      <c r="O988">
        <v>400000</v>
      </c>
      <c r="R988" t="s">
        <v>136</v>
      </c>
      <c r="S988">
        <v>0.068465600000000001</v>
      </c>
      <c r="T988">
        <v>6.2760133333333336E-05</v>
      </c>
      <c r="U988" t="s">
        <v>137</v>
      </c>
      <c r="V988">
        <v>0.019969133333333333</v>
      </c>
      <c r="W988">
        <v>0.5221129601333333</v>
      </c>
      <c r="X988" t="s">
        <v>138</v>
      </c>
      <c r="Y988">
        <v>0.031326777607999998</v>
      </c>
      <c r="Z988">
        <v>0</v>
      </c>
      <c r="AA988" t="s">
        <v>139</v>
      </c>
      <c r="AB988">
        <v>0.062653555215999995</v>
      </c>
      <c r="AC988">
        <v>0.61609329295733328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Q988" t="s">
        <v>140</v>
      </c>
      <c r="AR988" t="s">
        <v>141</v>
      </c>
      <c r="AS988">
        <v>0.57054666666666665</v>
      </c>
    </row>
    <row r="989" spans="1:45" ht="12.75">
      <c r="A989" s="2" t="str">
        <f>HYPERLINK("https://ibp.a2mac1.com/costing(costing:projects/details/8191/material/5320465)","Steel sheet (Hot Forming Steel)")</f>
        <v>Steel sheet (Hot Forming Steel)</v>
      </c>
      <c r="B989">
        <v>5320465</v>
      </c>
      <c r="C989">
        <v>6976005</v>
      </c>
      <c r="E989">
        <v>1.66818</v>
      </c>
      <c r="F989" t="s">
        <v>4658</v>
      </c>
      <c r="G989">
        <v>60</v>
      </c>
      <c r="H989" t="s">
        <v>6804</v>
      </c>
      <c r="I989">
        <v>30</v>
      </c>
      <c r="J989">
        <v>0.01099879013308536</v>
      </c>
      <c r="K989">
        <v>0</v>
      </c>
      <c r="L989">
        <v>0</v>
      </c>
      <c r="M989">
        <v>0</v>
      </c>
      <c r="O989">
        <v>400000</v>
      </c>
      <c r="R989" t="s">
        <v>136</v>
      </c>
      <c r="S989">
        <v>0.71064468000000003</v>
      </c>
      <c r="T989">
        <v>0.00065142428999999998</v>
      </c>
      <c r="U989" t="s">
        <v>137</v>
      </c>
      <c r="V989">
        <v>0.20727136500000001</v>
      </c>
      <c r="W989">
        <v>5.4193171092899997</v>
      </c>
      <c r="X989" t="s">
        <v>138</v>
      </c>
      <c r="Y989">
        <v>0.32515902655739998</v>
      </c>
      <c r="Z989">
        <v>0</v>
      </c>
      <c r="AA989" t="s">
        <v>139</v>
      </c>
      <c r="AB989">
        <v>0.65031805311479995</v>
      </c>
      <c r="AC989">
        <v>6.3947941889621998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Q989" t="s">
        <v>140</v>
      </c>
      <c r="AR989" t="s">
        <v>141</v>
      </c>
      <c r="AS989">
        <v>5.9220389999999998</v>
      </c>
    </row>
    <row r="990" spans="1:45" ht="12.75">
      <c r="A990" s="2" t="str">
        <f>HYPERLINK("https://ibp.a2mac1.com/costing(costing:projects/details/8191/material/5320466)","Standard Structural Steel sheet")</f>
        <v>Standard Structural Steel sheet</v>
      </c>
      <c r="B990">
        <v>5320466</v>
      </c>
      <c r="C990">
        <v>6976006</v>
      </c>
      <c r="E990">
        <v>0.61129999999999995</v>
      </c>
      <c r="F990" t="s">
        <v>6807</v>
      </c>
      <c r="G990">
        <v>65</v>
      </c>
      <c r="H990" t="s">
        <v>6808</v>
      </c>
      <c r="I990">
        <v>30</v>
      </c>
      <c r="J990">
        <v>0.01099879013308536</v>
      </c>
      <c r="K990">
        <v>0</v>
      </c>
      <c r="L990">
        <v>0</v>
      </c>
      <c r="M990">
        <v>0</v>
      </c>
      <c r="O990">
        <v>400000</v>
      </c>
      <c r="R990" t="s">
        <v>136</v>
      </c>
      <c r="S990">
        <v>0.11849815384615385</v>
      </c>
      <c r="T990">
        <v>0.00012414092307692307</v>
      </c>
      <c r="U990" t="s">
        <v>137</v>
      </c>
      <c r="V990">
        <v>0.039499384615384617</v>
      </c>
      <c r="W990">
        <v>1.0496792178461538</v>
      </c>
      <c r="X990" t="s">
        <v>138</v>
      </c>
      <c r="Y990">
        <v>0.062980753070769224</v>
      </c>
      <c r="Z990">
        <v>0</v>
      </c>
      <c r="AA990" t="s">
        <v>139</v>
      </c>
      <c r="AB990">
        <v>0.12596150614153845</v>
      </c>
      <c r="AC990">
        <v>1.2386214770584616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Q990" t="s">
        <v>140</v>
      </c>
      <c r="AR990" t="s">
        <v>141</v>
      </c>
      <c r="AS990">
        <v>1.1285538461538462</v>
      </c>
    </row>
    <row r="991" spans="1:45" ht="12.75">
      <c r="A991" s="2" t="str">
        <f>HYPERLINK("https://ibp.a2mac1.com/costing(costing:projects/details/8191/material/5320467)","Standard Structural Steel sheet")</f>
        <v>Standard Structural Steel sheet</v>
      </c>
      <c r="B991">
        <v>5320467</v>
      </c>
      <c r="C991">
        <v>6976007</v>
      </c>
      <c r="E991">
        <v>0.61129999999999995</v>
      </c>
      <c r="F991" t="s">
        <v>3845</v>
      </c>
      <c r="G991">
        <v>50</v>
      </c>
      <c r="H991" t="s">
        <v>6812</v>
      </c>
      <c r="I991">
        <v>30</v>
      </c>
      <c r="J991">
        <v>0.01099879013308536</v>
      </c>
      <c r="K991">
        <v>0</v>
      </c>
      <c r="L991">
        <v>0</v>
      </c>
      <c r="M991">
        <v>0</v>
      </c>
      <c r="O991">
        <v>400000</v>
      </c>
      <c r="R991" t="s">
        <v>136</v>
      </c>
      <c r="S991">
        <v>0.1192035</v>
      </c>
      <c r="T991">
        <v>8.7415899999999998E-05</v>
      </c>
      <c r="U991" t="s">
        <v>137</v>
      </c>
      <c r="V991">
        <v>0.027814149999999999</v>
      </c>
      <c r="W991">
        <v>0.70338806590000003</v>
      </c>
      <c r="X991" t="s">
        <v>138</v>
      </c>
      <c r="Y991">
        <v>0.042203283953999998</v>
      </c>
      <c r="Z991">
        <v>0</v>
      </c>
      <c r="AA991" t="s">
        <v>139</v>
      </c>
      <c r="AB991">
        <v>0.084406567907999996</v>
      </c>
      <c r="AC991">
        <v>0.82999791776200005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Q991" t="s">
        <v>140</v>
      </c>
      <c r="AR991" t="s">
        <v>141</v>
      </c>
      <c r="AS991">
        <v>0.79469000000000001</v>
      </c>
    </row>
    <row r="992" spans="1:45" ht="12.75">
      <c r="A992" s="2" t="str">
        <f>HYPERLINK("https://ibp.a2mac1.com/costing(costing:projects/details/8191/material/5320468)","Standard Structural Steel sheet")</f>
        <v>Standard Structural Steel sheet</v>
      </c>
      <c r="B992">
        <v>5320468</v>
      </c>
      <c r="C992">
        <v>6976008</v>
      </c>
      <c r="E992">
        <v>0.61129999999999995</v>
      </c>
      <c r="F992" t="s">
        <v>6818</v>
      </c>
      <c r="G992">
        <v>75</v>
      </c>
      <c r="H992" t="s">
        <v>6819</v>
      </c>
      <c r="I992">
        <v>30</v>
      </c>
      <c r="J992">
        <v>0.013998040274361589</v>
      </c>
      <c r="K992">
        <v>0</v>
      </c>
      <c r="L992">
        <v>0</v>
      </c>
      <c r="M992">
        <v>0</v>
      </c>
      <c r="O992">
        <v>200000</v>
      </c>
      <c r="R992" t="s">
        <v>136</v>
      </c>
      <c r="S992">
        <v>0.69932720000000004</v>
      </c>
      <c r="T992">
        <v>0.0013054107733333333</v>
      </c>
      <c r="U992" t="s">
        <v>137</v>
      </c>
      <c r="V992">
        <v>0.32635269333333333</v>
      </c>
      <c r="W992">
        <v>8.9526935707733326</v>
      </c>
      <c r="X992" t="s">
        <v>90</v>
      </c>
      <c r="Y992">
        <v>0</v>
      </c>
      <c r="Z992">
        <v>0</v>
      </c>
      <c r="AA992" t="s">
        <v>90</v>
      </c>
      <c r="AB992">
        <v>0</v>
      </c>
      <c r="AC992">
        <v>8.9526935707733326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Q992" t="s">
        <v>140</v>
      </c>
      <c r="AR992" t="s">
        <v>141</v>
      </c>
      <c r="AS992">
        <v>9.3243626666666675</v>
      </c>
    </row>
    <row r="993" spans="1:45" ht="12.75">
      <c r="A993" s="2" t="str">
        <f>HYPERLINK("https://ibp.a2mac1.com/costing(costing:projects/details/8191/material/5320469)","Steel sheet (Hot Forming Steel)")</f>
        <v>Steel sheet (Hot Forming Steel)</v>
      </c>
      <c r="B993">
        <v>5320469</v>
      </c>
      <c r="C993">
        <v>6976009</v>
      </c>
      <c r="E993">
        <v>1.66818</v>
      </c>
      <c r="F993" t="s">
        <v>6822</v>
      </c>
      <c r="G993">
        <v>65</v>
      </c>
      <c r="H993" t="s">
        <v>6823</v>
      </c>
      <c r="I993">
        <v>30</v>
      </c>
      <c r="J993">
        <v>0.01099879013308536</v>
      </c>
      <c r="K993">
        <v>0</v>
      </c>
      <c r="L993">
        <v>0</v>
      </c>
      <c r="M993">
        <v>0</v>
      </c>
      <c r="O993">
        <v>400000</v>
      </c>
      <c r="R993" t="s">
        <v>136</v>
      </c>
      <c r="S993">
        <v>0.99166884923076926</v>
      </c>
      <c r="T993">
        <v>0.0010388911753846154</v>
      </c>
      <c r="U993" t="s">
        <v>137</v>
      </c>
      <c r="V993">
        <v>0.33055628307692309</v>
      </c>
      <c r="W993">
        <v>8.7843915557907692</v>
      </c>
      <c r="X993" t="s">
        <v>138</v>
      </c>
      <c r="Y993">
        <v>0.52706349334744618</v>
      </c>
      <c r="Z993">
        <v>0</v>
      </c>
      <c r="AA993" t="s">
        <v>139</v>
      </c>
      <c r="AB993">
        <v>1.0541269866948924</v>
      </c>
      <c r="AC993">
        <v>10.365582035833107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Q993" t="s">
        <v>140</v>
      </c>
      <c r="AR993" t="s">
        <v>141</v>
      </c>
      <c r="AS993">
        <v>9.4444652307692305</v>
      </c>
    </row>
    <row r="994" spans="1:45" ht="12.75">
      <c r="A994" s="2" t="str">
        <f>HYPERLINK("https://ibp.a2mac1.com/costing(costing:projects/details/8191/material/5320470)","Steel sheet (Hot Forming Steel)")</f>
        <v>Steel sheet (Hot Forming Steel)</v>
      </c>
      <c r="B994">
        <v>5320470</v>
      </c>
      <c r="C994">
        <v>6976010</v>
      </c>
      <c r="E994">
        <v>1.66818</v>
      </c>
      <c r="F994" t="s">
        <v>6826</v>
      </c>
      <c r="G994">
        <v>65</v>
      </c>
      <c r="H994" t="s">
        <v>6827</v>
      </c>
      <c r="I994">
        <v>30</v>
      </c>
      <c r="J994">
        <v>0.013998040274361589</v>
      </c>
      <c r="K994">
        <v>0</v>
      </c>
      <c r="L994">
        <v>0</v>
      </c>
      <c r="M994">
        <v>0</v>
      </c>
      <c r="O994">
        <v>200000</v>
      </c>
      <c r="R994" t="s">
        <v>136</v>
      </c>
      <c r="S994">
        <v>1.5036717876923076</v>
      </c>
      <c r="T994">
        <v>0.0020048957169230769</v>
      </c>
      <c r="U994" t="s">
        <v>137</v>
      </c>
      <c r="V994">
        <v>0.50122392923076919</v>
      </c>
      <c r="W994">
        <v>13.320240729563077</v>
      </c>
      <c r="X994" t="s">
        <v>138</v>
      </c>
      <c r="Y994">
        <v>0.79921444377378459</v>
      </c>
      <c r="Z994">
        <v>0</v>
      </c>
      <c r="AA994" t="s">
        <v>139</v>
      </c>
      <c r="AB994">
        <v>1.5984288875475692</v>
      </c>
      <c r="AC994">
        <v>15.717884060884431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Q994" t="s">
        <v>140</v>
      </c>
      <c r="AR994" t="s">
        <v>141</v>
      </c>
      <c r="AS994">
        <v>14.320683692307693</v>
      </c>
    </row>
    <row r="995" spans="1:45" ht="12.75">
      <c r="A995" s="2" t="str">
        <f>HYPERLINK("https://ibp.a2mac1.com/costing(costing:projects/details/8191/material/5320471)","Standard Structural Steel sheet")</f>
        <v>Standard Structural Steel sheet</v>
      </c>
      <c r="B995">
        <v>5320471</v>
      </c>
      <c r="C995">
        <v>6976011</v>
      </c>
      <c r="E995">
        <v>0.61129999999999995</v>
      </c>
      <c r="F995" t="s">
        <v>1885</v>
      </c>
      <c r="G995">
        <v>50</v>
      </c>
      <c r="H995" t="s">
        <v>2738</v>
      </c>
      <c r="I995">
        <v>30</v>
      </c>
      <c r="J995">
        <v>0.01099879013308536</v>
      </c>
      <c r="K995">
        <v>0</v>
      </c>
      <c r="L995">
        <v>0</v>
      </c>
      <c r="M995">
        <v>0</v>
      </c>
      <c r="O995">
        <v>400000</v>
      </c>
      <c r="R995" t="s">
        <v>136</v>
      </c>
      <c r="S995">
        <v>0.0073356000000000003</v>
      </c>
      <c r="T995">
        <v>5.3794399999999999E-06</v>
      </c>
      <c r="U995" t="s">
        <v>137</v>
      </c>
      <c r="V995">
        <v>0.0017116399999999999</v>
      </c>
      <c r="W995">
        <v>0.04328541944</v>
      </c>
      <c r="X995" t="s">
        <v>138</v>
      </c>
      <c r="Y995">
        <v>0.0025971251664000002</v>
      </c>
      <c r="Z995">
        <v>0</v>
      </c>
      <c r="AA995" t="s">
        <v>139</v>
      </c>
      <c r="AB995">
        <v>0.0051942503328000003</v>
      </c>
      <c r="AC995">
        <v>0.051076794939199997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Q995" t="s">
        <v>140</v>
      </c>
      <c r="AR995" t="s">
        <v>141</v>
      </c>
      <c r="AS995">
        <v>0.048904000000000003</v>
      </c>
    </row>
    <row r="996" spans="1:45" ht="12.75">
      <c r="A996" s="2" t="str">
        <f>HYPERLINK("https://ibp.a2mac1.com/costing(costing:projects/details/8191/material/5320472)","Standard Structural Steel sheet")</f>
        <v>Standard Structural Steel sheet</v>
      </c>
      <c r="B996">
        <v>5320472</v>
      </c>
      <c r="C996">
        <v>6976012</v>
      </c>
      <c r="E996">
        <v>0.61129999999999995</v>
      </c>
      <c r="F996" t="s">
        <v>1885</v>
      </c>
      <c r="G996">
        <v>75</v>
      </c>
      <c r="H996" t="s">
        <v>6834</v>
      </c>
      <c r="I996">
        <v>30</v>
      </c>
      <c r="J996">
        <v>0.01099879013308536</v>
      </c>
      <c r="K996">
        <v>0</v>
      </c>
      <c r="L996">
        <v>0</v>
      </c>
      <c r="M996">
        <v>0</v>
      </c>
      <c r="O996">
        <v>400000</v>
      </c>
      <c r="R996" t="s">
        <v>136</v>
      </c>
      <c r="S996">
        <v>0.0024451999999999998</v>
      </c>
      <c r="T996">
        <v>3.5862933333333334E-06</v>
      </c>
      <c r="U996" t="s">
        <v>137</v>
      </c>
      <c r="V996">
        <v>0.0011410933333333333</v>
      </c>
      <c r="W996">
        <v>0.031302146293333333</v>
      </c>
      <c r="X996" t="s">
        <v>138</v>
      </c>
      <c r="Y996">
        <v>0.0018781287776</v>
      </c>
      <c r="Z996">
        <v>0</v>
      </c>
      <c r="AA996" t="s">
        <v>139</v>
      </c>
      <c r="AB996">
        <v>0.0037562575551999999</v>
      </c>
      <c r="AC996">
        <v>0.036936532626133334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Q996" t="s">
        <v>140</v>
      </c>
      <c r="AR996" t="s">
        <v>141</v>
      </c>
      <c r="AS996">
        <v>0.032602666666666669</v>
      </c>
    </row>
    <row r="997" spans="1:45" ht="12.75">
      <c r="A997" s="2" t="str">
        <f>HYPERLINK("https://ibp.a2mac1.com/costing(costing:projects/details/8191/material/5320473)","Standard Structural Steel sheet")</f>
        <v>Standard Structural Steel sheet</v>
      </c>
      <c r="B997">
        <v>5320473</v>
      </c>
      <c r="C997">
        <v>6976013</v>
      </c>
      <c r="E997">
        <v>0.61129999999999995</v>
      </c>
      <c r="F997" t="s">
        <v>6839</v>
      </c>
      <c r="G997">
        <v>75</v>
      </c>
      <c r="H997" t="s">
        <v>6840</v>
      </c>
      <c r="I997">
        <v>30</v>
      </c>
      <c r="J997">
        <v>0.013998040274361589</v>
      </c>
      <c r="K997">
        <v>0</v>
      </c>
      <c r="L997">
        <v>0</v>
      </c>
      <c r="M997">
        <v>0</v>
      </c>
      <c r="O997">
        <v>200000</v>
      </c>
      <c r="R997" t="s">
        <v>136</v>
      </c>
      <c r="S997">
        <v>0.2359618</v>
      </c>
      <c r="T997">
        <v>0.00044046202666666668</v>
      </c>
      <c r="U997" t="s">
        <v>137</v>
      </c>
      <c r="V997">
        <v>0.11011550666666667</v>
      </c>
      <c r="W997">
        <v>3.0207515020266666</v>
      </c>
      <c r="X997" t="s">
        <v>138</v>
      </c>
      <c r="Y997">
        <v>0.18124509012160001</v>
      </c>
      <c r="Z997">
        <v>0</v>
      </c>
      <c r="AA997" t="s">
        <v>139</v>
      </c>
      <c r="AB997">
        <v>0.36249018024320001</v>
      </c>
      <c r="AC997">
        <v>3.5644867723914668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Q997" t="s">
        <v>140</v>
      </c>
      <c r="AR997" t="s">
        <v>141</v>
      </c>
      <c r="AS997">
        <v>3.1461573333333335</v>
      </c>
    </row>
    <row r="998" spans="1:45" ht="12.75">
      <c r="A998" s="2" t="str">
        <f>HYPERLINK("https://ibp.a2mac1.com/costing(costing:projects/details/8191/material/5320474)","Standard Structural Steel sheet")</f>
        <v>Standard Structural Steel sheet</v>
      </c>
      <c r="B998">
        <v>5320474</v>
      </c>
      <c r="C998">
        <v>6976014</v>
      </c>
      <c r="E998">
        <v>0.61129999999999995</v>
      </c>
      <c r="F998" t="s">
        <v>6844</v>
      </c>
      <c r="G998">
        <v>70</v>
      </c>
      <c r="H998" t="s">
        <v>6845</v>
      </c>
      <c r="I998">
        <v>30</v>
      </c>
      <c r="J998">
        <v>0.01099879013308536</v>
      </c>
      <c r="K998">
        <v>0</v>
      </c>
      <c r="L998">
        <v>0</v>
      </c>
      <c r="M998">
        <v>0</v>
      </c>
      <c r="O998">
        <v>400000</v>
      </c>
      <c r="R998" t="s">
        <v>136</v>
      </c>
      <c r="S998">
        <v>0.11396378571428571</v>
      </c>
      <c r="T998">
        <v>0.00013928907142857143</v>
      </c>
      <c r="U998" t="s">
        <v>137</v>
      </c>
      <c r="V998">
        <v>0.044319249999999998</v>
      </c>
      <c r="W998">
        <v>1.1967590390714287</v>
      </c>
      <c r="X998" t="s">
        <v>138</v>
      </c>
      <c r="Y998">
        <v>0.071805542344285711</v>
      </c>
      <c r="Z998">
        <v>0</v>
      </c>
      <c r="AA998" t="s">
        <v>139</v>
      </c>
      <c r="AB998">
        <v>0.14361108468857142</v>
      </c>
      <c r="AC998">
        <v>1.4121756661042857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Q998" t="s">
        <v>140</v>
      </c>
      <c r="AR998" t="s">
        <v>141</v>
      </c>
      <c r="AS998">
        <v>1.2662642857142856</v>
      </c>
    </row>
    <row r="999" spans="1:45" ht="12.75">
      <c r="A999" s="2" t="str">
        <f>HYPERLINK("https://ibp.a2mac1.com/costing(costing:projects/details/8191/material/5320475)","Standard Structural Steel sheet")</f>
        <v>Standard Structural Steel sheet</v>
      </c>
      <c r="B999">
        <v>5320475</v>
      </c>
      <c r="C999">
        <v>6976015</v>
      </c>
      <c r="E999">
        <v>0.61129999999999995</v>
      </c>
      <c r="F999" t="s">
        <v>3403</v>
      </c>
      <c r="G999">
        <v>80</v>
      </c>
      <c r="H999" t="s">
        <v>2733</v>
      </c>
      <c r="I999">
        <v>30</v>
      </c>
      <c r="J999">
        <v>0.013998040274361589</v>
      </c>
      <c r="K999">
        <v>0</v>
      </c>
      <c r="L999">
        <v>0</v>
      </c>
      <c r="M999">
        <v>0</v>
      </c>
      <c r="O999">
        <v>200000</v>
      </c>
      <c r="R999" t="s">
        <v>136</v>
      </c>
      <c r="S999">
        <v>0.0036678000000000001</v>
      </c>
      <c r="T999">
        <v>8.5582000000000005E-06</v>
      </c>
      <c r="U999" t="s">
        <v>137</v>
      </c>
      <c r="V999">
        <v>0.00213955</v>
      </c>
      <c r="W999">
        <v>0.059610308200000003</v>
      </c>
      <c r="X999" t="s">
        <v>138</v>
      </c>
      <c r="Y999">
        <v>0.0035766184919999999</v>
      </c>
      <c r="Z999">
        <v>0</v>
      </c>
      <c r="AA999" t="s">
        <v>139</v>
      </c>
      <c r="AB999">
        <v>0.0071532369839999999</v>
      </c>
      <c r="AC999">
        <v>0.070340163676000003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Q999" t="s">
        <v>140</v>
      </c>
      <c r="AR999" t="s">
        <v>141</v>
      </c>
      <c r="AS999">
        <v>0.061129999999999997</v>
      </c>
    </row>
    <row r="1000" spans="1:45" ht="12.75">
      <c r="A1000" s="2" t="str">
        <f>HYPERLINK("https://ibp.a2mac1.com/costing(costing:projects/details/8191/material/5320476)","Standard Structural Steel sheet")</f>
        <v>Standard Structural Steel sheet</v>
      </c>
      <c r="B1000">
        <v>5320476</v>
      </c>
      <c r="C1000">
        <v>6976016</v>
      </c>
      <c r="E1000">
        <v>0.61129999999999995</v>
      </c>
      <c r="F1000" t="s">
        <v>4392</v>
      </c>
      <c r="G1000">
        <v>50</v>
      </c>
      <c r="H1000" t="s">
        <v>6851</v>
      </c>
      <c r="I1000">
        <v>30</v>
      </c>
      <c r="J1000">
        <v>0.013998040274361589</v>
      </c>
      <c r="K1000">
        <v>0</v>
      </c>
      <c r="L1000">
        <v>0</v>
      </c>
      <c r="M1000">
        <v>0</v>
      </c>
      <c r="O1000">
        <v>200000</v>
      </c>
      <c r="R1000" t="s">
        <v>136</v>
      </c>
      <c r="S1000">
        <v>0.1026984</v>
      </c>
      <c r="T1000">
        <v>9.5851840000000006E-05</v>
      </c>
      <c r="U1000" t="s">
        <v>137</v>
      </c>
      <c r="V1000">
        <v>0.023962959999999998</v>
      </c>
      <c r="W1000">
        <v>0.60601641183999999</v>
      </c>
      <c r="X1000" t="s">
        <v>138</v>
      </c>
      <c r="Y1000">
        <v>0.036360984710400002</v>
      </c>
      <c r="Z1000">
        <v>0</v>
      </c>
      <c r="AA1000" t="s">
        <v>139</v>
      </c>
      <c r="AB1000">
        <v>0.072721969420800003</v>
      </c>
      <c r="AC1000">
        <v>0.71509936597120005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Q1000" t="s">
        <v>140</v>
      </c>
      <c r="AR1000" t="s">
        <v>141</v>
      </c>
      <c r="AS1000">
        <v>0.68465600000000004</v>
      </c>
    </row>
    <row r="1001" spans="1:45" ht="12.75">
      <c r="A1001" s="2" t="str">
        <f>HYPERLINK("https://ibp.a2mac1.com/costing(costing:projects/details/8191/material/5320477)","Standard Structural Steel sheet")</f>
        <v>Standard Structural Steel sheet</v>
      </c>
      <c r="B1001">
        <v>5320477</v>
      </c>
      <c r="C1001">
        <v>6976017</v>
      </c>
      <c r="E1001">
        <v>0.61129999999999995</v>
      </c>
      <c r="F1001" t="s">
        <v>1875</v>
      </c>
      <c r="G1001">
        <v>55</v>
      </c>
      <c r="H1001" t="s">
        <v>6854</v>
      </c>
      <c r="I1001">
        <v>30</v>
      </c>
      <c r="J1001">
        <v>0.01099879013308536</v>
      </c>
      <c r="K1001">
        <v>0</v>
      </c>
      <c r="L1001">
        <v>0</v>
      </c>
      <c r="M1001">
        <v>0</v>
      </c>
      <c r="O1001">
        <v>400000</v>
      </c>
      <c r="R1001" t="s">
        <v>136</v>
      </c>
      <c r="S1001">
        <v>0.025507881818181817</v>
      </c>
      <c r="T1001">
        <v>2.07842E-05</v>
      </c>
      <c r="U1001" t="s">
        <v>137</v>
      </c>
      <c r="V1001">
        <v>0.0066131545454545457</v>
      </c>
      <c r="W1001">
        <v>0.17007332965454544</v>
      </c>
      <c r="X1001" t="s">
        <v>138</v>
      </c>
      <c r="Y1001">
        <v>0.010204399779272727</v>
      </c>
      <c r="Z1001">
        <v>0</v>
      </c>
      <c r="AA1001" t="s">
        <v>139</v>
      </c>
      <c r="AB1001">
        <v>0.020408799558545455</v>
      </c>
      <c r="AC1001">
        <v>0.20068652899236364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Q1001" t="s">
        <v>140</v>
      </c>
      <c r="AR1001" t="s">
        <v>141</v>
      </c>
      <c r="AS1001">
        <v>0.18894727272727271</v>
      </c>
    </row>
    <row r="1002" spans="1:45" ht="12.75">
      <c r="A1002" s="2" t="str">
        <f>HYPERLINK("https://ibp.a2mac1.com/costing(costing:projects/details/8191/material/5320478)","Steel sheet (Hot Forming Steel)")</f>
        <v>Steel sheet (Hot Forming Steel)</v>
      </c>
      <c r="B1002">
        <v>5320478</v>
      </c>
      <c r="C1002">
        <v>6976018</v>
      </c>
      <c r="E1002">
        <v>1.66818</v>
      </c>
      <c r="F1002" t="s">
        <v>6859</v>
      </c>
      <c r="G1002">
        <v>90</v>
      </c>
      <c r="H1002" t="s">
        <v>6860</v>
      </c>
      <c r="I1002">
        <v>30</v>
      </c>
      <c r="J1002">
        <v>0.013998040274361589</v>
      </c>
      <c r="K1002">
        <v>0</v>
      </c>
      <c r="L1002">
        <v>0</v>
      </c>
      <c r="M1002">
        <v>0</v>
      </c>
      <c r="O1002">
        <v>200000</v>
      </c>
      <c r="R1002" t="s">
        <v>136</v>
      </c>
      <c r="S1002">
        <v>0.31695420000000002</v>
      </c>
      <c r="T1002">
        <v>0.0014791196000000001</v>
      </c>
      <c r="U1002" t="s">
        <v>137</v>
      </c>
      <c r="V1002">
        <v>0.36977989999999999</v>
      </c>
      <c r="W1002">
        <v>10.6194448196</v>
      </c>
      <c r="X1002" t="s">
        <v>138</v>
      </c>
      <c r="Y1002">
        <v>0.63716668917599995</v>
      </c>
      <c r="Z1002">
        <v>0</v>
      </c>
      <c r="AA1002" t="s">
        <v>139</v>
      </c>
      <c r="AB1002">
        <v>1.2743333783519999</v>
      </c>
      <c r="AC1002">
        <v>12.530944887127999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Q1002" t="s">
        <v>140</v>
      </c>
      <c r="AR1002" t="s">
        <v>141</v>
      </c>
      <c r="AS1002">
        <v>10.56514</v>
      </c>
    </row>
    <row r="1003" spans="1:45" ht="12.75">
      <c r="A1003" s="2" t="str">
        <f>HYPERLINK("https://ibp.a2mac1.com/costing(costing:projects/details/8191/material/5320479)","Standard Structural Steel sheet")</f>
        <v>Standard Structural Steel sheet</v>
      </c>
      <c r="B1003">
        <v>5320479</v>
      </c>
      <c r="C1003">
        <v>6976019</v>
      </c>
      <c r="E1003">
        <v>0.61129999999999995</v>
      </c>
      <c r="F1003" t="s">
        <v>504</v>
      </c>
      <c r="G1003">
        <v>55</v>
      </c>
      <c r="H1003" t="s">
        <v>6717</v>
      </c>
      <c r="I1003">
        <v>30</v>
      </c>
      <c r="J1003">
        <v>0.01099879013308536</v>
      </c>
      <c r="K1003">
        <v>0</v>
      </c>
      <c r="L1003">
        <v>0</v>
      </c>
      <c r="M1003">
        <v>0</v>
      </c>
      <c r="O1003">
        <v>400000</v>
      </c>
      <c r="R1003" t="s">
        <v>136</v>
      </c>
      <c r="S1003">
        <v>0.033010200000000003</v>
      </c>
      <c r="T1003">
        <v>2.6897200000000001E-05</v>
      </c>
      <c r="U1003" t="s">
        <v>137</v>
      </c>
      <c r="V1003">
        <v>0.0085582000000000002</v>
      </c>
      <c r="W1003">
        <v>0.2200948972</v>
      </c>
      <c r="X1003" t="s">
        <v>138</v>
      </c>
      <c r="Y1003">
        <v>0.013205693831999999</v>
      </c>
      <c r="Z1003">
        <v>0</v>
      </c>
      <c r="AA1003" t="s">
        <v>139</v>
      </c>
      <c r="AB1003">
        <v>0.026411387663999999</v>
      </c>
      <c r="AC1003">
        <v>0.25971197869599999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Q1003" t="s">
        <v>140</v>
      </c>
      <c r="AR1003" t="s">
        <v>141</v>
      </c>
      <c r="AS1003">
        <v>0.24451999999999999</v>
      </c>
    </row>
    <row r="1004" spans="1:45" ht="12.75">
      <c r="A1004" s="2" t="str">
        <f>HYPERLINK("https://ibp.a2mac1.com/costing(costing:projects/details/8191/material/5320480)","Standard Structural Steel sheet")</f>
        <v>Standard Structural Steel sheet</v>
      </c>
      <c r="B1004">
        <v>5320480</v>
      </c>
      <c r="C1004">
        <v>6976020</v>
      </c>
      <c r="E1004">
        <v>0.61129999999999995</v>
      </c>
      <c r="F1004" t="s">
        <v>2059</v>
      </c>
      <c r="G1004">
        <v>70</v>
      </c>
      <c r="H1004" t="s">
        <v>6467</v>
      </c>
      <c r="I1004">
        <v>30</v>
      </c>
      <c r="J1004">
        <v>0.01099879013308536</v>
      </c>
      <c r="K1004">
        <v>0</v>
      </c>
      <c r="L1004">
        <v>0</v>
      </c>
      <c r="M1004">
        <v>0</v>
      </c>
      <c r="O1004">
        <v>400000</v>
      </c>
      <c r="R1004" t="s">
        <v>136</v>
      </c>
      <c r="S1004">
        <v>0.0047157428571428569</v>
      </c>
      <c r="T1004">
        <v>5.7636857142857144E-06</v>
      </c>
      <c r="U1004" t="s">
        <v>137</v>
      </c>
      <c r="V1004">
        <v>0.0018339000000000001</v>
      </c>
      <c r="W1004">
        <v>0.049521063685714288</v>
      </c>
      <c r="X1004" t="s">
        <v>138</v>
      </c>
      <c r="Y1004">
        <v>0.0029712638211428573</v>
      </c>
      <c r="Z1004">
        <v>0</v>
      </c>
      <c r="AA1004" t="s">
        <v>139</v>
      </c>
      <c r="AB1004">
        <v>0.0059425276422857146</v>
      </c>
      <c r="AC1004">
        <v>0.058434855149142859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Q1004" t="s">
        <v>140</v>
      </c>
      <c r="AR1004" t="s">
        <v>141</v>
      </c>
      <c r="AS1004">
        <v>0.052397142857142857</v>
      </c>
    </row>
    <row r="1005" spans="1:45" ht="12.75">
      <c r="A1005" s="2" t="str">
        <f>HYPERLINK("https://ibp.a2mac1.com/costing(costing:projects/details/8191/material/5320481)","Standard Structural Steel sheet")</f>
        <v>Standard Structural Steel sheet</v>
      </c>
      <c r="B1005">
        <v>5320481</v>
      </c>
      <c r="C1005">
        <v>6976021</v>
      </c>
      <c r="E1005">
        <v>0.61129999999999995</v>
      </c>
      <c r="F1005" t="s">
        <v>5407</v>
      </c>
      <c r="G1005">
        <v>65</v>
      </c>
      <c r="H1005" t="s">
        <v>6869</v>
      </c>
      <c r="I1005">
        <v>30</v>
      </c>
      <c r="J1005">
        <v>0.01099879013308536</v>
      </c>
      <c r="K1005">
        <v>0</v>
      </c>
      <c r="L1005">
        <v>0</v>
      </c>
      <c r="M1005">
        <v>0</v>
      </c>
      <c r="O1005">
        <v>400000</v>
      </c>
      <c r="R1005" t="s">
        <v>136</v>
      </c>
      <c r="S1005">
        <v>0.017774723076923078</v>
      </c>
      <c r="T1005">
        <v>1.8621138461538462E-05</v>
      </c>
      <c r="U1005" t="s">
        <v>137</v>
      </c>
      <c r="V1005">
        <v>0.0059249076923076922</v>
      </c>
      <c r="W1005">
        <v>0.15745188267692309</v>
      </c>
      <c r="X1005" t="s">
        <v>138</v>
      </c>
      <c r="Y1005">
        <v>0.0094471129606153847</v>
      </c>
      <c r="Z1005">
        <v>0</v>
      </c>
      <c r="AA1005" t="s">
        <v>139</v>
      </c>
      <c r="AB1005">
        <v>0.018894225921230769</v>
      </c>
      <c r="AC1005">
        <v>0.18579322155876923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Q1005" t="s">
        <v>140</v>
      </c>
      <c r="AR1005" t="s">
        <v>141</v>
      </c>
      <c r="AS1005">
        <v>0.16928307692307693</v>
      </c>
    </row>
    <row r="1006" spans="1:45" ht="12.75">
      <c r="A1006" s="2" t="str">
        <f>HYPERLINK("https://ibp.a2mac1.com/costing(costing:projects/details/8191/material/5320482)","Standard Structural Steel sheet")</f>
        <v>Standard Structural Steel sheet</v>
      </c>
      <c r="B1006">
        <v>5320482</v>
      </c>
      <c r="C1006">
        <v>6976022</v>
      </c>
      <c r="E1006">
        <v>0.61129999999999995</v>
      </c>
      <c r="F1006" t="s">
        <v>2911</v>
      </c>
      <c r="G1006">
        <v>70</v>
      </c>
      <c r="H1006" t="s">
        <v>2733</v>
      </c>
      <c r="I1006">
        <v>30</v>
      </c>
      <c r="J1006">
        <v>0.01099879013308536</v>
      </c>
      <c r="K1006">
        <v>0</v>
      </c>
      <c r="L1006">
        <v>0</v>
      </c>
      <c r="M1006">
        <v>0</v>
      </c>
      <c r="O1006">
        <v>400000</v>
      </c>
      <c r="R1006" t="s">
        <v>136</v>
      </c>
      <c r="S1006">
        <v>0.0055017</v>
      </c>
      <c r="T1006">
        <v>6.7243000000000001E-06</v>
      </c>
      <c r="U1006" t="s">
        <v>137</v>
      </c>
      <c r="V1006">
        <v>0.00213955</v>
      </c>
      <c r="W1006">
        <v>0.057774574299999999</v>
      </c>
      <c r="X1006" t="s">
        <v>138</v>
      </c>
      <c r="Y1006">
        <v>0.0034664744580000001</v>
      </c>
      <c r="Z1006">
        <v>0</v>
      </c>
      <c r="AA1006" t="s">
        <v>139</v>
      </c>
      <c r="AB1006">
        <v>0.0069329489160000002</v>
      </c>
      <c r="AC1006">
        <v>0.068173997673999995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Q1006" t="s">
        <v>140</v>
      </c>
      <c r="AR1006" t="s">
        <v>141</v>
      </c>
      <c r="AS1006">
        <v>0.061129999999999997</v>
      </c>
    </row>
    <row r="1007" spans="1:45" ht="12.75">
      <c r="A1007" s="2" t="str">
        <f>HYPERLINK("https://ibp.a2mac1.com/costing(costing:projects/details/8191/material/5320483)","Standard Structural Steel sheet")</f>
        <v>Standard Structural Steel sheet</v>
      </c>
      <c r="B1007">
        <v>5320483</v>
      </c>
      <c r="C1007">
        <v>6976023</v>
      </c>
      <c r="E1007">
        <v>0.61129999999999995</v>
      </c>
      <c r="F1007" t="s">
        <v>2142</v>
      </c>
      <c r="G1007">
        <v>65</v>
      </c>
      <c r="H1007" t="s">
        <v>6875</v>
      </c>
      <c r="I1007">
        <v>30</v>
      </c>
      <c r="J1007">
        <v>0.013998040274361589</v>
      </c>
      <c r="K1007">
        <v>0</v>
      </c>
      <c r="L1007">
        <v>0</v>
      </c>
      <c r="M1007">
        <v>0</v>
      </c>
      <c r="O1007">
        <v>200000</v>
      </c>
      <c r="R1007" t="s">
        <v>136</v>
      </c>
      <c r="S1007">
        <v>0.023699630769230769</v>
      </c>
      <c r="T1007">
        <v>3.1599507692307696E-05</v>
      </c>
      <c r="U1007" t="s">
        <v>137</v>
      </c>
      <c r="V1007">
        <v>0.0078998769230769223</v>
      </c>
      <c r="W1007">
        <v>0.2099426148923077</v>
      </c>
      <c r="X1007" t="s">
        <v>138</v>
      </c>
      <c r="Y1007">
        <v>0.012596556893538462</v>
      </c>
      <c r="Z1007">
        <v>0</v>
      </c>
      <c r="AA1007" t="s">
        <v>139</v>
      </c>
      <c r="AB1007">
        <v>0.025193113787076924</v>
      </c>
      <c r="AC1007">
        <v>0.24773228557292307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Q1007" t="s">
        <v>140</v>
      </c>
      <c r="AR1007" t="s">
        <v>141</v>
      </c>
      <c r="AS1007">
        <v>0.22571076923076924</v>
      </c>
    </row>
    <row r="1008" spans="1:45" ht="12.75">
      <c r="A1008" s="2" t="str">
        <f>HYPERLINK("https://ibp.a2mac1.com/costing(costing:projects/details/8191/material/5320484)","Steel sheet (Hot Forming Steel)")</f>
        <v>Steel sheet (Hot Forming Steel)</v>
      </c>
      <c r="B1008">
        <v>5320484</v>
      </c>
      <c r="C1008">
        <v>6976024</v>
      </c>
      <c r="E1008">
        <v>1.66818</v>
      </c>
      <c r="F1008" t="s">
        <v>6880</v>
      </c>
      <c r="G1008">
        <v>90</v>
      </c>
      <c r="H1008" t="s">
        <v>6881</v>
      </c>
      <c r="I1008">
        <v>30</v>
      </c>
      <c r="J1008">
        <v>0.013998040274361589</v>
      </c>
      <c r="K1008">
        <v>0</v>
      </c>
      <c r="L1008">
        <v>0</v>
      </c>
      <c r="M1008">
        <v>0</v>
      </c>
      <c r="O1008">
        <v>200000</v>
      </c>
      <c r="R1008" t="s">
        <v>136</v>
      </c>
      <c r="S1008">
        <v>0.26579668000000001</v>
      </c>
      <c r="T1008">
        <v>0.0012403845066666667</v>
      </c>
      <c r="U1008" t="s">
        <v>137</v>
      </c>
      <c r="V1008">
        <v>0.31009612666666669</v>
      </c>
      <c r="W1008">
        <v>8.9054291645066659</v>
      </c>
      <c r="X1008" t="s">
        <v>138</v>
      </c>
      <c r="Y1008">
        <v>0.53432574987040005</v>
      </c>
      <c r="Z1008">
        <v>0</v>
      </c>
      <c r="AA1008" t="s">
        <v>139</v>
      </c>
      <c r="AB1008">
        <v>1.0686514997408001</v>
      </c>
      <c r="AC1008">
        <v>10.508406414117866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Q1008" t="s">
        <v>140</v>
      </c>
      <c r="AR1008" t="s">
        <v>141</v>
      </c>
      <c r="AS1008">
        <v>8.8598893333333333</v>
      </c>
    </row>
    <row r="1009" spans="1:45" ht="12.75">
      <c r="A1009" s="2" t="str">
        <f>HYPERLINK("https://ibp.a2mac1.com/costing(costing:projects/details/8191/material/5320485)","Standard Structural Steel sheet")</f>
        <v>Standard Structural Steel sheet</v>
      </c>
      <c r="B1009">
        <v>5320485</v>
      </c>
      <c r="C1009">
        <v>6976025</v>
      </c>
      <c r="E1009">
        <v>0.61129999999999995</v>
      </c>
      <c r="F1009" t="s">
        <v>6885</v>
      </c>
      <c r="G1009">
        <v>60</v>
      </c>
      <c r="H1009" t="s">
        <v>6886</v>
      </c>
      <c r="I1009">
        <v>30</v>
      </c>
      <c r="J1009">
        <v>0.01099879013308536</v>
      </c>
      <c r="K1009">
        <v>0</v>
      </c>
      <c r="L1009">
        <v>0</v>
      </c>
      <c r="M1009">
        <v>0</v>
      </c>
      <c r="O1009">
        <v>400000</v>
      </c>
      <c r="R1009" t="s">
        <v>136</v>
      </c>
      <c r="S1009">
        <v>0.0599074</v>
      </c>
      <c r="T1009">
        <v>5.4915116666666669E-05</v>
      </c>
      <c r="U1009" t="s">
        <v>137</v>
      </c>
      <c r="V1009">
        <v>0.017472991666666667</v>
      </c>
      <c r="W1009">
        <v>0.45684884011666665</v>
      </c>
      <c r="X1009" t="s">
        <v>138</v>
      </c>
      <c r="Y1009">
        <v>0.027410930407</v>
      </c>
      <c r="Z1009">
        <v>0</v>
      </c>
      <c r="AA1009" t="s">
        <v>139</v>
      </c>
      <c r="AB1009">
        <v>0.054821860813999999</v>
      </c>
      <c r="AC1009">
        <v>0.53908163133766662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Q1009" t="s">
        <v>140</v>
      </c>
      <c r="AR1009" t="s">
        <v>141</v>
      </c>
      <c r="AS1009">
        <v>0.49922833333333333</v>
      </c>
    </row>
    <row r="1010" spans="1:45" ht="12.75">
      <c r="A1010" s="2" t="str">
        <f>HYPERLINK("https://ibp.a2mac1.com/costing(costing:projects/details/8191/material/5320486)","Standard Structural Steel sheet")</f>
        <v>Standard Structural Steel sheet</v>
      </c>
      <c r="B1010">
        <v>5320486</v>
      </c>
      <c r="C1010">
        <v>6976026</v>
      </c>
      <c r="E1010">
        <v>0.61129999999999995</v>
      </c>
      <c r="F1010" t="s">
        <v>509</v>
      </c>
      <c r="G1010">
        <v>60</v>
      </c>
      <c r="H1010" t="s">
        <v>6889</v>
      </c>
      <c r="I1010">
        <v>30</v>
      </c>
      <c r="J1010">
        <v>0.01099879013308536</v>
      </c>
      <c r="K1010">
        <v>0</v>
      </c>
      <c r="L1010">
        <v>0</v>
      </c>
      <c r="M1010">
        <v>0</v>
      </c>
      <c r="O1010">
        <v>400000</v>
      </c>
      <c r="R1010" t="s">
        <v>136</v>
      </c>
      <c r="S1010">
        <v>0.0061130000000000004</v>
      </c>
      <c r="T1010">
        <v>5.6035833333333333E-06</v>
      </c>
      <c r="U1010" t="s">
        <v>137</v>
      </c>
      <c r="V1010">
        <v>0.0017829583333333332</v>
      </c>
      <c r="W1010">
        <v>0.046617228583333337</v>
      </c>
      <c r="X1010" t="s">
        <v>138</v>
      </c>
      <c r="Y1010">
        <v>0.0027970337150000002</v>
      </c>
      <c r="Z1010">
        <v>0</v>
      </c>
      <c r="AA1010" t="s">
        <v>139</v>
      </c>
      <c r="AB1010">
        <v>0.0055940674300000003</v>
      </c>
      <c r="AC1010">
        <v>0.055008329728333333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Q1010" t="s">
        <v>140</v>
      </c>
      <c r="AR1010" t="s">
        <v>141</v>
      </c>
      <c r="AS1010">
        <v>0.05094166666666667</v>
      </c>
    </row>
    <row r="1011" spans="1:45" ht="12.75">
      <c r="A1011" s="2" t="str">
        <f>HYPERLINK("https://ibp.a2mac1.com/costing(costing:projects/details/8191/material/5320487)","Standard Structural Steel sheet")</f>
        <v>Standard Structural Steel sheet</v>
      </c>
      <c r="B1011">
        <v>5320487</v>
      </c>
      <c r="C1011">
        <v>6976027</v>
      </c>
      <c r="E1011">
        <v>0.61129999999999995</v>
      </c>
      <c r="F1011" t="s">
        <v>6893</v>
      </c>
      <c r="G1011">
        <v>40</v>
      </c>
      <c r="H1011" t="s">
        <v>6894</v>
      </c>
      <c r="I1011">
        <v>30</v>
      </c>
      <c r="J1011">
        <v>0.01099879013308536</v>
      </c>
      <c r="K1011">
        <v>0</v>
      </c>
      <c r="L1011">
        <v>0</v>
      </c>
      <c r="M1011">
        <v>0</v>
      </c>
      <c r="O1011">
        <v>400000</v>
      </c>
      <c r="R1011" t="s">
        <v>136</v>
      </c>
      <c r="S1011">
        <v>0.14579505000000001</v>
      </c>
      <c r="T1011">
        <v>8.9096974999999996E-05</v>
      </c>
      <c r="U1011" t="s">
        <v>137</v>
      </c>
      <c r="V1011">
        <v>0.0283490375</v>
      </c>
      <c r="W1011">
        <v>0.69261558447500005</v>
      </c>
      <c r="X1011" t="s">
        <v>138</v>
      </c>
      <c r="Y1011">
        <v>0.041556935068500001</v>
      </c>
      <c r="Z1011">
        <v>0</v>
      </c>
      <c r="AA1011" t="s">
        <v>139</v>
      </c>
      <c r="AB1011">
        <v>0.083113870137000001</v>
      </c>
      <c r="AC1011">
        <v>0.81728638968050005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Q1011" t="s">
        <v>140</v>
      </c>
      <c r="AR1011" t="s">
        <v>141</v>
      </c>
      <c r="AS1011">
        <v>0.80997249999999998</v>
      </c>
    </row>
    <row r="1012" spans="1:45" ht="12.75">
      <c r="A1012" s="2" t="str">
        <f>HYPERLINK("https://ibp.a2mac1.com/costing(costing:projects/details/8191/material/5320488)","Standard Structural Steel sheet")</f>
        <v>Standard Structural Steel sheet</v>
      </c>
      <c r="B1012">
        <v>5320488</v>
      </c>
      <c r="C1012">
        <v>6976028</v>
      </c>
      <c r="E1012">
        <v>0.61129999999999995</v>
      </c>
      <c r="F1012" t="s">
        <v>6489</v>
      </c>
      <c r="G1012">
        <v>50</v>
      </c>
      <c r="H1012" t="s">
        <v>6897</v>
      </c>
      <c r="I1012">
        <v>30</v>
      </c>
      <c r="J1012">
        <v>0.013998040274361589</v>
      </c>
      <c r="K1012">
        <v>0</v>
      </c>
      <c r="L1012">
        <v>0</v>
      </c>
      <c r="M1012">
        <v>0</v>
      </c>
      <c r="O1012">
        <v>200000</v>
      </c>
      <c r="R1012" t="s">
        <v>136</v>
      </c>
      <c r="S1012">
        <v>0.20172899999999999</v>
      </c>
      <c r="T1012">
        <v>0.00018828040000000001</v>
      </c>
      <c r="U1012" t="s">
        <v>137</v>
      </c>
      <c r="V1012">
        <v>0.047070099999999997</v>
      </c>
      <c r="W1012">
        <v>1.1903893804000001</v>
      </c>
      <c r="X1012" t="s">
        <v>138</v>
      </c>
      <c r="Y1012">
        <v>0.071423362823999997</v>
      </c>
      <c r="Z1012">
        <v>0</v>
      </c>
      <c r="AA1012" t="s">
        <v>139</v>
      </c>
      <c r="AB1012">
        <v>0.14284672564799999</v>
      </c>
      <c r="AC1012">
        <v>1.404659468872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Q1012" t="s">
        <v>140</v>
      </c>
      <c r="AR1012" t="s">
        <v>141</v>
      </c>
      <c r="AS1012">
        <v>1.3448599999999999</v>
      </c>
    </row>
    <row r="1013" spans="1:45" ht="12.75">
      <c r="A1013" s="2" t="str">
        <f>HYPERLINK("https://ibp.a2mac1.com/costing(costing:projects/details/8191/material/5320489)","Standard Structural Steel sheet")</f>
        <v>Standard Structural Steel sheet</v>
      </c>
      <c r="B1013">
        <v>5320489</v>
      </c>
      <c r="C1013">
        <v>6976029</v>
      </c>
      <c r="E1013">
        <v>0.61129999999999995</v>
      </c>
      <c r="F1013" t="s">
        <v>2142</v>
      </c>
      <c r="G1013">
        <v>50</v>
      </c>
      <c r="H1013" t="s">
        <v>4339</v>
      </c>
      <c r="I1013">
        <v>30</v>
      </c>
      <c r="J1013">
        <v>0.013998040274361589</v>
      </c>
      <c r="K1013">
        <v>0</v>
      </c>
      <c r="L1013">
        <v>0</v>
      </c>
      <c r="M1013">
        <v>0</v>
      </c>
      <c r="O1013">
        <v>200000</v>
      </c>
      <c r="R1013" t="s">
        <v>136</v>
      </c>
      <c r="S1013">
        <v>0.0440136</v>
      </c>
      <c r="T1013">
        <v>4.1079360000000002E-05</v>
      </c>
      <c r="U1013" t="s">
        <v>137</v>
      </c>
      <c r="V1013">
        <v>0.010269840000000001</v>
      </c>
      <c r="W1013">
        <v>0.25972131935999998</v>
      </c>
      <c r="X1013" t="s">
        <v>138</v>
      </c>
      <c r="Y1013">
        <v>0.015583279161599999</v>
      </c>
      <c r="Z1013">
        <v>0</v>
      </c>
      <c r="AA1013" t="s">
        <v>139</v>
      </c>
      <c r="AB1013">
        <v>0.031166558323199998</v>
      </c>
      <c r="AC1013">
        <v>0.30647115684479997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Q1013" t="s">
        <v>140</v>
      </c>
      <c r="AR1013" t="s">
        <v>141</v>
      </c>
      <c r="AS1013">
        <v>0.29342400000000002</v>
      </c>
    </row>
    <row r="1014" spans="1:45" ht="12.75">
      <c r="A1014" s="2" t="str">
        <f>HYPERLINK("https://ibp.a2mac1.com/costing(costing:projects/details/8191/material/5320490)","Standard Structural Steel sheet")</f>
        <v>Standard Structural Steel sheet</v>
      </c>
      <c r="B1014">
        <v>5320490</v>
      </c>
      <c r="C1014">
        <v>6976030</v>
      </c>
      <c r="E1014">
        <v>0.61129999999999995</v>
      </c>
      <c r="F1014" t="s">
        <v>3274</v>
      </c>
      <c r="G1014">
        <v>60</v>
      </c>
      <c r="H1014" t="s">
        <v>2765</v>
      </c>
      <c r="I1014">
        <v>30</v>
      </c>
      <c r="J1014">
        <v>0.01099879013308536</v>
      </c>
      <c r="K1014">
        <v>0</v>
      </c>
      <c r="L1014">
        <v>0</v>
      </c>
      <c r="M1014">
        <v>0</v>
      </c>
      <c r="O1014">
        <v>400000</v>
      </c>
      <c r="R1014" t="s">
        <v>136</v>
      </c>
      <c r="S1014">
        <v>0.024452000000000002</v>
      </c>
      <c r="T1014">
        <v>2.2414333333333333E-05</v>
      </c>
      <c r="U1014" t="s">
        <v>137</v>
      </c>
      <c r="V1014">
        <v>0.0071318333333333329</v>
      </c>
      <c r="W1014">
        <v>0.18646891433333335</v>
      </c>
      <c r="X1014" t="s">
        <v>138</v>
      </c>
      <c r="Y1014">
        <v>0.011188134860000001</v>
      </c>
      <c r="Z1014">
        <v>0</v>
      </c>
      <c r="AA1014" t="s">
        <v>139</v>
      </c>
      <c r="AB1014">
        <v>0.022376269720000001</v>
      </c>
      <c r="AC1014">
        <v>0.22003331891333333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Q1014" t="s">
        <v>140</v>
      </c>
      <c r="AR1014" t="s">
        <v>141</v>
      </c>
      <c r="AS1014">
        <v>0.20376666666666668</v>
      </c>
    </row>
    <row r="1015" spans="1:45" ht="12.75">
      <c r="A1015" s="2" t="str">
        <f>HYPERLINK("https://ibp.a2mac1.com/costing(costing:projects/details/8191/material/5320491)","Standard Structural Steel sheet")</f>
        <v>Standard Structural Steel sheet</v>
      </c>
      <c r="B1015">
        <v>5320491</v>
      </c>
      <c r="C1015">
        <v>6976031</v>
      </c>
      <c r="E1015">
        <v>0.61129999999999995</v>
      </c>
      <c r="F1015" t="s">
        <v>134</v>
      </c>
      <c r="G1015">
        <v>50</v>
      </c>
      <c r="H1015" t="s">
        <v>6905</v>
      </c>
      <c r="I1015">
        <v>30</v>
      </c>
      <c r="J1015">
        <v>0.013998040274361589</v>
      </c>
      <c r="K1015">
        <v>0</v>
      </c>
      <c r="L1015">
        <v>0</v>
      </c>
      <c r="M1015">
        <v>0</v>
      </c>
      <c r="O1015">
        <v>200000</v>
      </c>
      <c r="R1015" t="s">
        <v>136</v>
      </c>
      <c r="S1015">
        <v>0.0880272</v>
      </c>
      <c r="T1015">
        <v>8.2158720000000005E-05</v>
      </c>
      <c r="U1015" t="s">
        <v>137</v>
      </c>
      <c r="V1015">
        <v>0.020539680000000001</v>
      </c>
      <c r="W1015">
        <v>0.51944263871999996</v>
      </c>
      <c r="X1015" t="s">
        <v>138</v>
      </c>
      <c r="Y1015">
        <v>0.031166558323199998</v>
      </c>
      <c r="Z1015">
        <v>0</v>
      </c>
      <c r="AA1015" t="s">
        <v>139</v>
      </c>
      <c r="AB1015">
        <v>0.062333116646399997</v>
      </c>
      <c r="AC1015">
        <v>0.61294231368959995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Q1015" t="s">
        <v>140</v>
      </c>
      <c r="AR1015" t="s">
        <v>141</v>
      </c>
      <c r="AS1015">
        <v>0.58684800000000004</v>
      </c>
    </row>
    <row r="1016" spans="1:45" ht="12.75">
      <c r="A1016" s="2" t="str">
        <f>HYPERLINK("https://ibp.a2mac1.com/costing(costing:projects/details/8191/material/5320492)","Steel sheet (Hot Forming Steel)")</f>
        <v>Steel sheet (Hot Forming Steel)</v>
      </c>
      <c r="B1016">
        <v>5320492</v>
      </c>
      <c r="C1016">
        <v>6976032</v>
      </c>
      <c r="E1016">
        <v>1.66818</v>
      </c>
      <c r="F1016" t="s">
        <v>6910</v>
      </c>
      <c r="G1016">
        <v>88</v>
      </c>
      <c r="H1016" t="s">
        <v>6911</v>
      </c>
      <c r="I1016">
        <v>30</v>
      </c>
      <c r="J1016">
        <v>0.01099879013308536</v>
      </c>
      <c r="K1016">
        <v>0</v>
      </c>
      <c r="L1016">
        <v>0</v>
      </c>
      <c r="M1016">
        <v>0</v>
      </c>
      <c r="O1016">
        <v>400000</v>
      </c>
      <c r="R1016" t="s">
        <v>136</v>
      </c>
      <c r="S1016">
        <v>0.3746580627272727</v>
      </c>
      <c r="T1016">
        <v>0.001144788525</v>
      </c>
      <c r="U1016" t="s">
        <v>137</v>
      </c>
      <c r="V1016">
        <v>0.36425089431818181</v>
      </c>
      <c r="W1016">
        <v>10.397906029206819</v>
      </c>
      <c r="X1016" t="s">
        <v>138</v>
      </c>
      <c r="Y1016">
        <v>0.62387436175240907</v>
      </c>
      <c r="Z1016">
        <v>0</v>
      </c>
      <c r="AA1016" t="s">
        <v>139</v>
      </c>
      <c r="AB1016">
        <v>1.2477487235048181</v>
      </c>
      <c r="AC1016">
        <v>12.269529114464046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Q1016" t="s">
        <v>140</v>
      </c>
      <c r="AR1016" t="s">
        <v>141</v>
      </c>
      <c r="AS1016">
        <v>10.407168409090909</v>
      </c>
    </row>
    <row r="1017" spans="1:45" ht="12.75">
      <c r="A1017" s="2" t="str">
        <f>HYPERLINK("https://ibp.a2mac1.com/costing(costing:projects/details/8191/material/5320493)","Steel sheet (Hot Forming Steel)")</f>
        <v>Steel sheet (Hot Forming Steel)</v>
      </c>
      <c r="B1017">
        <v>5320493</v>
      </c>
      <c r="C1017">
        <v>6976033</v>
      </c>
      <c r="E1017">
        <v>1.66818</v>
      </c>
      <c r="F1017" t="s">
        <v>6914</v>
      </c>
      <c r="G1017">
        <v>70</v>
      </c>
      <c r="H1017" t="s">
        <v>6915</v>
      </c>
      <c r="I1017">
        <v>30</v>
      </c>
      <c r="J1017">
        <v>0.01099879013308536</v>
      </c>
      <c r="K1017">
        <v>0</v>
      </c>
      <c r="L1017">
        <v>0</v>
      </c>
      <c r="M1017">
        <v>0</v>
      </c>
      <c r="O1017">
        <v>400000</v>
      </c>
      <c r="R1017" t="s">
        <v>136</v>
      </c>
      <c r="S1017">
        <v>0.46542222</v>
      </c>
      <c r="T1017">
        <v>0.00056884937999999996</v>
      </c>
      <c r="U1017" t="s">
        <v>137</v>
      </c>
      <c r="V1017">
        <v>0.18099752999999999</v>
      </c>
      <c r="W1017">
        <v>4.8875021593800003</v>
      </c>
      <c r="X1017" t="s">
        <v>138</v>
      </c>
      <c r="Y1017">
        <v>0.2932501295628</v>
      </c>
      <c r="Z1017">
        <v>0</v>
      </c>
      <c r="AA1017" t="s">
        <v>139</v>
      </c>
      <c r="AB1017">
        <v>0.5865002591256</v>
      </c>
      <c r="AC1017">
        <v>5.7672525480683996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Q1017" t="s">
        <v>140</v>
      </c>
      <c r="AR1017" t="s">
        <v>141</v>
      </c>
      <c r="AS1017">
        <v>5.1713579999999997</v>
      </c>
    </row>
    <row r="1018" spans="1:45" ht="12.75">
      <c r="A1018" s="2" t="str">
        <f>HYPERLINK("https://ibp.a2mac1.com/costing(costing:projects/details/8191/material/5320494)","Steel sheet (Hot Forming Steel)")</f>
        <v>Steel sheet (Hot Forming Steel)</v>
      </c>
      <c r="B1018">
        <v>5320494</v>
      </c>
      <c r="C1018">
        <v>6976034</v>
      </c>
      <c r="E1018">
        <v>1.66818</v>
      </c>
      <c r="F1018" t="s">
        <v>6918</v>
      </c>
      <c r="G1018">
        <v>65</v>
      </c>
      <c r="H1018" t="s">
        <v>6919</v>
      </c>
      <c r="I1018">
        <v>30</v>
      </c>
      <c r="J1018">
        <v>0.01099879013308536</v>
      </c>
      <c r="K1018">
        <v>0</v>
      </c>
      <c r="L1018">
        <v>0</v>
      </c>
      <c r="M1018">
        <v>0</v>
      </c>
      <c r="O1018">
        <v>400000</v>
      </c>
      <c r="R1018" t="s">
        <v>136</v>
      </c>
      <c r="S1018">
        <v>0.90543677538461542</v>
      </c>
      <c r="T1018">
        <v>0.00094855281230769232</v>
      </c>
      <c r="U1018" t="s">
        <v>137</v>
      </c>
      <c r="V1018">
        <v>0.30181225846153847</v>
      </c>
      <c r="W1018">
        <v>8.0205314205046161</v>
      </c>
      <c r="X1018" t="s">
        <v>138</v>
      </c>
      <c r="Y1018">
        <v>0.48123188523027693</v>
      </c>
      <c r="Z1018">
        <v>0</v>
      </c>
      <c r="AA1018" t="s">
        <v>139</v>
      </c>
      <c r="AB1018">
        <v>0.96246377046055387</v>
      </c>
      <c r="AC1018">
        <v>9.4642270761954457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Q1018" t="s">
        <v>140</v>
      </c>
      <c r="AR1018" t="s">
        <v>141</v>
      </c>
      <c r="AS1018">
        <v>8.6232073846153838</v>
      </c>
    </row>
    <row r="1019" spans="1:45" ht="12.75">
      <c r="A1019" s="2" t="str">
        <f>HYPERLINK("https://ibp.a2mac1.com/costing(costing:projects/details/8191/material/5320495)","Standard Structural Steel sheet")</f>
        <v>Standard Structural Steel sheet</v>
      </c>
      <c r="B1019">
        <v>5320495</v>
      </c>
      <c r="C1019">
        <v>6976035</v>
      </c>
      <c r="E1019">
        <v>0.61129999999999995</v>
      </c>
      <c r="F1019" t="s">
        <v>6923</v>
      </c>
      <c r="G1019">
        <v>55</v>
      </c>
      <c r="H1019" t="s">
        <v>6924</v>
      </c>
      <c r="I1019">
        <v>30</v>
      </c>
      <c r="J1019">
        <v>0.01099879013308536</v>
      </c>
      <c r="K1019">
        <v>0</v>
      </c>
      <c r="L1019">
        <v>0</v>
      </c>
      <c r="M1019">
        <v>0</v>
      </c>
      <c r="O1019">
        <v>400000</v>
      </c>
      <c r="R1019" t="s">
        <v>136</v>
      </c>
      <c r="S1019">
        <v>0.18905841818181818</v>
      </c>
      <c r="T1019">
        <v>0.0001540476</v>
      </c>
      <c r="U1019" t="s">
        <v>137</v>
      </c>
      <c r="V1019">
        <v>0.049015145454545453</v>
      </c>
      <c r="W1019">
        <v>1.2605435021454545</v>
      </c>
      <c r="X1019" t="s">
        <v>138</v>
      </c>
      <c r="Y1019">
        <v>0.075632610128727268</v>
      </c>
      <c r="Z1019">
        <v>0</v>
      </c>
      <c r="AA1019" t="s">
        <v>139</v>
      </c>
      <c r="AB1019">
        <v>0.15126522025745454</v>
      </c>
      <c r="AC1019">
        <v>1.4874413325316365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Q1019" t="s">
        <v>140</v>
      </c>
      <c r="AR1019" t="s">
        <v>141</v>
      </c>
      <c r="AS1019">
        <v>1.4004327272727273</v>
      </c>
    </row>
    <row r="1020" spans="1:45" ht="12.75">
      <c r="A1020" s="2" t="str">
        <f>HYPERLINK("https://ibp.a2mac1.com/costing(costing:projects/details/8191/material/5320496)","Standard Structural Steel sheet")</f>
        <v>Standard Structural Steel sheet</v>
      </c>
      <c r="B1020">
        <v>5320496</v>
      </c>
      <c r="C1020">
        <v>6976036</v>
      </c>
      <c r="E1020">
        <v>0.61129999999999995</v>
      </c>
      <c r="F1020" t="s">
        <v>6681</v>
      </c>
      <c r="G1020">
        <v>50</v>
      </c>
      <c r="H1020" t="s">
        <v>6927</v>
      </c>
      <c r="I1020">
        <v>30</v>
      </c>
      <c r="J1020">
        <v>0.01099879013308536</v>
      </c>
      <c r="K1020">
        <v>0</v>
      </c>
      <c r="L1020">
        <v>0</v>
      </c>
      <c r="M1020">
        <v>0</v>
      </c>
      <c r="O1020">
        <v>400000</v>
      </c>
      <c r="R1020" t="s">
        <v>136</v>
      </c>
      <c r="S1020">
        <v>0.051349199999999998</v>
      </c>
      <c r="T1020">
        <v>3.7656079999999999E-05</v>
      </c>
      <c r="U1020" t="s">
        <v>137</v>
      </c>
      <c r="V1020">
        <v>0.011981479999999999</v>
      </c>
      <c r="W1020">
        <v>0.30299793607999997</v>
      </c>
      <c r="X1020" t="s">
        <v>138</v>
      </c>
      <c r="Y1020">
        <v>0.018179876164800001</v>
      </c>
      <c r="Z1020">
        <v>0</v>
      </c>
      <c r="AA1020" t="s">
        <v>139</v>
      </c>
      <c r="AB1020">
        <v>0.036359752329600002</v>
      </c>
      <c r="AC1020">
        <v>0.3575375645744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Q1020" t="s">
        <v>140</v>
      </c>
      <c r="AR1020" t="s">
        <v>141</v>
      </c>
      <c r="AS1020">
        <v>0.34232800000000002</v>
      </c>
    </row>
    <row r="1021" spans="1:45" ht="12.75">
      <c r="A1021" s="2" t="str">
        <f>HYPERLINK("https://ibp.a2mac1.com/costing(costing:projects/details/8191/material/5320497)","Aluminum sheet body (default, e.g. EN-AW6063)")</f>
        <v>Aluminum sheet body (default, e.g. EN-AW6063)</v>
      </c>
      <c r="B1021">
        <v>5320497</v>
      </c>
      <c r="C1021">
        <v>6976037</v>
      </c>
      <c r="E1021">
        <v>3.79636</v>
      </c>
      <c r="F1021" t="s">
        <v>6930</v>
      </c>
      <c r="G1021">
        <v>80</v>
      </c>
      <c r="H1021" t="s">
        <v>6931</v>
      </c>
      <c r="I1021">
        <v>30</v>
      </c>
      <c r="J1021">
        <v>0.01099879013308536</v>
      </c>
      <c r="K1021">
        <v>0</v>
      </c>
      <c r="L1021">
        <v>0</v>
      </c>
      <c r="M1021">
        <v>0</v>
      </c>
      <c r="O1021">
        <v>400000</v>
      </c>
      <c r="R1021" t="s">
        <v>136</v>
      </c>
      <c r="S1021">
        <v>4.7691772500000003</v>
      </c>
      <c r="T1021">
        <v>0.0087434916250000005</v>
      </c>
      <c r="U1021" t="s">
        <v>137</v>
      </c>
      <c r="V1021">
        <v>2.7820200625</v>
      </c>
      <c r="W1021">
        <v>77.507873804124998</v>
      </c>
      <c r="X1021" t="s">
        <v>138</v>
      </c>
      <c r="Y1021">
        <v>4.6504724282475003</v>
      </c>
      <c r="Z1021">
        <v>0</v>
      </c>
      <c r="AA1021" t="s">
        <v>139</v>
      </c>
      <c r="AB1021">
        <v>9.3009448564950006</v>
      </c>
      <c r="AC1021">
        <v>91.459291088867502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Q1021" t="s">
        <v>140</v>
      </c>
      <c r="AR1021" t="s">
        <v>141</v>
      </c>
      <c r="AS1021">
        <v>79.486287500000003</v>
      </c>
    </row>
    <row r="1022" spans="1:45" ht="12.75">
      <c r="A1022" s="2" t="str">
        <f>HYPERLINK("https://ibp.a2mac1.com/costing(costing:projects/details/8191/material/5320498)","Standard Structural Steel sheet")</f>
        <v>Standard Structural Steel sheet</v>
      </c>
      <c r="B1022">
        <v>5320498</v>
      </c>
      <c r="C1022">
        <v>6976038</v>
      </c>
      <c r="E1022">
        <v>0.61129999999999995</v>
      </c>
      <c r="F1022" t="s">
        <v>1885</v>
      </c>
      <c r="G1022">
        <v>65</v>
      </c>
      <c r="H1022" t="s">
        <v>6427</v>
      </c>
      <c r="I1022">
        <v>30</v>
      </c>
      <c r="J1022">
        <v>0.01099879013308536</v>
      </c>
      <c r="K1022">
        <v>0</v>
      </c>
      <c r="L1022">
        <v>0</v>
      </c>
      <c r="M1022">
        <v>0</v>
      </c>
      <c r="O1022">
        <v>400000</v>
      </c>
      <c r="R1022" t="s">
        <v>136</v>
      </c>
      <c r="S1022">
        <v>0.0039499384615384612</v>
      </c>
      <c r="T1022">
        <v>4.1380307692307692E-06</v>
      </c>
      <c r="U1022" t="s">
        <v>137</v>
      </c>
      <c r="V1022">
        <v>0.0013166461538461538</v>
      </c>
      <c r="W1022">
        <v>0.034989307261538462</v>
      </c>
      <c r="X1022" t="s">
        <v>138</v>
      </c>
      <c r="Y1022">
        <v>0.0020993584356923077</v>
      </c>
      <c r="Z1022">
        <v>0</v>
      </c>
      <c r="AA1022" t="s">
        <v>139</v>
      </c>
      <c r="AB1022">
        <v>0.0041987168713846154</v>
      </c>
      <c r="AC1022">
        <v>0.041287382568615381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Q1022" t="s">
        <v>140</v>
      </c>
      <c r="AR1022" t="s">
        <v>141</v>
      </c>
      <c r="AS1022">
        <v>0.037618461538461538</v>
      </c>
    </row>
    <row r="1023" spans="1:45" ht="12.75">
      <c r="A1023" s="2" t="str">
        <f>HYPERLINK("https://ibp.a2mac1.com/costing(costing:projects/details/8191/material/5320499)","Standard Structural Steel sheet")</f>
        <v>Standard Structural Steel sheet</v>
      </c>
      <c r="B1023">
        <v>5320499</v>
      </c>
      <c r="C1023">
        <v>6976039</v>
      </c>
      <c r="E1023">
        <v>0.61129999999999995</v>
      </c>
      <c r="F1023" t="s">
        <v>2059</v>
      </c>
      <c r="G1023">
        <v>65</v>
      </c>
      <c r="H1023" t="s">
        <v>6463</v>
      </c>
      <c r="I1023">
        <v>30</v>
      </c>
      <c r="J1023">
        <v>0.01099879013308536</v>
      </c>
      <c r="K1023">
        <v>0</v>
      </c>
      <c r="L1023">
        <v>0</v>
      </c>
      <c r="M1023">
        <v>0</v>
      </c>
      <c r="O1023">
        <v>400000</v>
      </c>
      <c r="R1023" t="s">
        <v>136</v>
      </c>
      <c r="S1023">
        <v>0.0059249076923076922</v>
      </c>
      <c r="T1023">
        <v>6.2070461538461538E-06</v>
      </c>
      <c r="U1023" t="s">
        <v>137</v>
      </c>
      <c r="V1023">
        <v>0.0019749692307692306</v>
      </c>
      <c r="W1023">
        <v>0.052483960892307689</v>
      </c>
      <c r="X1023" t="s">
        <v>138</v>
      </c>
      <c r="Y1023">
        <v>0.0031490376535384616</v>
      </c>
      <c r="Z1023">
        <v>0</v>
      </c>
      <c r="AA1023" t="s">
        <v>139</v>
      </c>
      <c r="AB1023">
        <v>0.0062980753070769231</v>
      </c>
      <c r="AC1023">
        <v>0.061931073852923076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Q1023" t="s">
        <v>140</v>
      </c>
      <c r="AR1023" t="s">
        <v>141</v>
      </c>
      <c r="AS1023">
        <v>0.056427692307692311</v>
      </c>
    </row>
    <row r="1024" spans="1:45" ht="12.75">
      <c r="A1024" s="2" t="str">
        <f>HYPERLINK("https://ibp.a2mac1.com/costing(costing:projects/details/8191/material/5320500)","Standard Structural Steel sheet")</f>
        <v>Standard Structural Steel sheet</v>
      </c>
      <c r="B1024">
        <v>5320500</v>
      </c>
      <c r="C1024">
        <v>6976040</v>
      </c>
      <c r="E1024">
        <v>0.61129999999999995</v>
      </c>
      <c r="F1024" t="s">
        <v>2706</v>
      </c>
      <c r="G1024">
        <v>65</v>
      </c>
      <c r="H1024" t="s">
        <v>6939</v>
      </c>
      <c r="I1024">
        <v>30</v>
      </c>
      <c r="J1024">
        <v>0.01099879013308536</v>
      </c>
      <c r="K1024">
        <v>0</v>
      </c>
      <c r="L1024">
        <v>0</v>
      </c>
      <c r="M1024">
        <v>0</v>
      </c>
      <c r="O1024">
        <v>400000</v>
      </c>
      <c r="R1024" t="s">
        <v>136</v>
      </c>
      <c r="S1024">
        <v>0.010862330769230769</v>
      </c>
      <c r="T1024">
        <v>1.1379584615384615E-05</v>
      </c>
      <c r="U1024" t="s">
        <v>137</v>
      </c>
      <c r="V1024">
        <v>0.0036207769230769231</v>
      </c>
      <c r="W1024">
        <v>0.096220594969230772</v>
      </c>
      <c r="X1024" t="s">
        <v>138</v>
      </c>
      <c r="Y1024">
        <v>0.0057732356981538462</v>
      </c>
      <c r="Z1024">
        <v>0</v>
      </c>
      <c r="AA1024" t="s">
        <v>139</v>
      </c>
      <c r="AB1024">
        <v>0.011546471396307692</v>
      </c>
      <c r="AC1024">
        <v>0.11354030206369231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Q1024" t="s">
        <v>140</v>
      </c>
      <c r="AR1024" t="s">
        <v>141</v>
      </c>
      <c r="AS1024">
        <v>0.10345076923076924</v>
      </c>
    </row>
    <row r="1025" spans="1:45" ht="12.75">
      <c r="A1025" s="2" t="str">
        <f>HYPERLINK("https://ibp.a2mac1.com/costing(costing:projects/details/8191/material/5320501)","Standard Structural Steel sheet")</f>
        <v>Standard Structural Steel sheet</v>
      </c>
      <c r="B1025">
        <v>5320501</v>
      </c>
      <c r="C1025">
        <v>6976041</v>
      </c>
      <c r="E1025">
        <v>0.61129999999999995</v>
      </c>
      <c r="F1025" t="s">
        <v>1885</v>
      </c>
      <c r="G1025">
        <v>60</v>
      </c>
      <c r="H1025" t="s">
        <v>6412</v>
      </c>
      <c r="I1025">
        <v>30</v>
      </c>
      <c r="J1025">
        <v>0.01099879013308536</v>
      </c>
      <c r="K1025">
        <v>0</v>
      </c>
      <c r="L1025">
        <v>0</v>
      </c>
      <c r="M1025">
        <v>0</v>
      </c>
      <c r="O1025">
        <v>400000</v>
      </c>
      <c r="R1025" t="s">
        <v>136</v>
      </c>
      <c r="S1025">
        <v>0.0048903999999999996</v>
      </c>
      <c r="T1025">
        <v>4.4828666666666665E-06</v>
      </c>
      <c r="U1025" t="s">
        <v>137</v>
      </c>
      <c r="V1025">
        <v>0.0014263666666666666</v>
      </c>
      <c r="W1025">
        <v>0.037293782866666667</v>
      </c>
      <c r="X1025" t="s">
        <v>138</v>
      </c>
      <c r="Y1025">
        <v>0.002237626972</v>
      </c>
      <c r="Z1025">
        <v>0</v>
      </c>
      <c r="AA1025" t="s">
        <v>139</v>
      </c>
      <c r="AB1025">
        <v>0.0044752539439999999</v>
      </c>
      <c r="AC1025">
        <v>0.044006663782666669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Q1025" t="s">
        <v>140</v>
      </c>
      <c r="AR1025" t="s">
        <v>141</v>
      </c>
      <c r="AS1025">
        <v>0.040753333333333336</v>
      </c>
    </row>
    <row r="1026" spans="1:45" ht="12.75">
      <c r="A1026" s="2" t="str">
        <f>HYPERLINK("https://ibp.a2mac1.com/costing(costing:projects/details/8191/material/5320502)","Standard Structural Steel sheet")</f>
        <v>Standard Structural Steel sheet</v>
      </c>
      <c r="B1026">
        <v>5320502</v>
      </c>
      <c r="C1026">
        <v>6976042</v>
      </c>
      <c r="E1026">
        <v>0.61129999999999995</v>
      </c>
      <c r="F1026" t="s">
        <v>4234</v>
      </c>
      <c r="G1026">
        <v>60</v>
      </c>
      <c r="H1026" t="s">
        <v>6944</v>
      </c>
      <c r="I1026">
        <v>30</v>
      </c>
      <c r="J1026">
        <v>0.01099879013308536</v>
      </c>
      <c r="K1026">
        <v>0</v>
      </c>
      <c r="L1026">
        <v>0</v>
      </c>
      <c r="M1026">
        <v>0</v>
      </c>
      <c r="O1026">
        <v>400000</v>
      </c>
      <c r="R1026" t="s">
        <v>136</v>
      </c>
      <c r="S1026">
        <v>0.0036678000000000001</v>
      </c>
      <c r="T1026">
        <v>3.3621500000000001E-06</v>
      </c>
      <c r="U1026" t="s">
        <v>137</v>
      </c>
      <c r="V1026">
        <v>0.001069775</v>
      </c>
      <c r="W1026">
        <v>0.02797033715</v>
      </c>
      <c r="X1026" t="s">
        <v>138</v>
      </c>
      <c r="Y1026">
        <v>0.001678220229</v>
      </c>
      <c r="Z1026">
        <v>0</v>
      </c>
      <c r="AA1026" t="s">
        <v>139</v>
      </c>
      <c r="AB1026">
        <v>0.0033564404579999999</v>
      </c>
      <c r="AC1026">
        <v>0.033004997836999998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Q1026" t="s">
        <v>140</v>
      </c>
      <c r="AR1026" t="s">
        <v>141</v>
      </c>
      <c r="AS1026">
        <v>0.030564999999999998</v>
      </c>
    </row>
    <row r="1027" spans="1:45" ht="12.75">
      <c r="A1027" s="2" t="str">
        <f>HYPERLINK("https://ibp.a2mac1.com/costing(costing:projects/details/8191/material/5320503)","Standard Structural Steel sheet")</f>
        <v>Standard Structural Steel sheet</v>
      </c>
      <c r="B1027">
        <v>5320503</v>
      </c>
      <c r="C1027">
        <v>6976043</v>
      </c>
      <c r="E1027">
        <v>0.61129999999999995</v>
      </c>
      <c r="F1027" t="s">
        <v>1885</v>
      </c>
      <c r="G1027">
        <v>60</v>
      </c>
      <c r="H1027" t="s">
        <v>6412</v>
      </c>
      <c r="I1027">
        <v>30</v>
      </c>
      <c r="J1027">
        <v>0.01099879013308536</v>
      </c>
      <c r="K1027">
        <v>0</v>
      </c>
      <c r="L1027">
        <v>0</v>
      </c>
      <c r="M1027">
        <v>0</v>
      </c>
      <c r="O1027">
        <v>400000</v>
      </c>
      <c r="R1027" t="s">
        <v>136</v>
      </c>
      <c r="S1027">
        <v>0.0048903999999999996</v>
      </c>
      <c r="T1027">
        <v>4.4828666666666665E-06</v>
      </c>
      <c r="U1027" t="s">
        <v>137</v>
      </c>
      <c r="V1027">
        <v>0.0014263666666666666</v>
      </c>
      <c r="W1027">
        <v>0.037293782866666667</v>
      </c>
      <c r="X1027" t="s">
        <v>138</v>
      </c>
      <c r="Y1027">
        <v>0.002237626972</v>
      </c>
      <c r="Z1027">
        <v>0</v>
      </c>
      <c r="AA1027" t="s">
        <v>139</v>
      </c>
      <c r="AB1027">
        <v>0.0044752539439999999</v>
      </c>
      <c r="AC1027">
        <v>0.044006663782666669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Q1027" t="s">
        <v>140</v>
      </c>
      <c r="AR1027" t="s">
        <v>141</v>
      </c>
      <c r="AS1027">
        <v>0.040753333333333336</v>
      </c>
    </row>
    <row r="1028" spans="1:45" ht="12.75">
      <c r="A1028" s="2" t="str">
        <f>HYPERLINK("https://ibp.a2mac1.com/costing(costing:projects/details/8191/material/5320504)","Standard Structural Steel sheet")</f>
        <v>Standard Structural Steel sheet</v>
      </c>
      <c r="B1028">
        <v>5320504</v>
      </c>
      <c r="C1028">
        <v>6976044</v>
      </c>
      <c r="E1028">
        <v>0.61129999999999995</v>
      </c>
      <c r="F1028" t="s">
        <v>2822</v>
      </c>
      <c r="G1028">
        <v>70</v>
      </c>
      <c r="H1028" t="s">
        <v>6950</v>
      </c>
      <c r="I1028">
        <v>30</v>
      </c>
      <c r="J1028">
        <v>0.01099879013308536</v>
      </c>
      <c r="K1028">
        <v>0</v>
      </c>
      <c r="L1028">
        <v>0</v>
      </c>
      <c r="M1028">
        <v>0</v>
      </c>
      <c r="O1028">
        <v>400000</v>
      </c>
      <c r="R1028" t="s">
        <v>136</v>
      </c>
      <c r="S1028">
        <v>0.026722542857142859</v>
      </c>
      <c r="T1028">
        <v>3.2660885714285717E-05</v>
      </c>
      <c r="U1028" t="s">
        <v>137</v>
      </c>
      <c r="V1028">
        <v>0.0103921</v>
      </c>
      <c r="W1028">
        <v>0.28061936088571426</v>
      </c>
      <c r="X1028" t="s">
        <v>138</v>
      </c>
      <c r="Y1028">
        <v>0.016837161653142856</v>
      </c>
      <c r="Z1028">
        <v>0</v>
      </c>
      <c r="AA1028" t="s">
        <v>139</v>
      </c>
      <c r="AB1028">
        <v>0.033674323306285711</v>
      </c>
      <c r="AC1028">
        <v>0.33113084584514285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Q1028" t="s">
        <v>140</v>
      </c>
      <c r="AR1028" t="s">
        <v>141</v>
      </c>
      <c r="AS1028">
        <v>0.29691714285714288</v>
      </c>
    </row>
    <row r="1029" spans="1:45" ht="12.75">
      <c r="A1029" s="2" t="str">
        <f>HYPERLINK("https://ibp.a2mac1.com/costing(costing:projects/details/8191/material/5320505)","Standard Structural Steel sheet")</f>
        <v>Standard Structural Steel sheet</v>
      </c>
      <c r="B1029">
        <v>5320505</v>
      </c>
      <c r="C1029">
        <v>6976045</v>
      </c>
      <c r="E1029">
        <v>0.61129999999999995</v>
      </c>
      <c r="F1029" t="s">
        <v>6601</v>
      </c>
      <c r="G1029">
        <v>90</v>
      </c>
      <c r="H1029" t="s">
        <v>6953</v>
      </c>
      <c r="I1029">
        <v>30</v>
      </c>
      <c r="J1029">
        <v>0.01099879013308536</v>
      </c>
      <c r="K1029">
        <v>0</v>
      </c>
      <c r="L1029">
        <v>0</v>
      </c>
      <c r="M1029">
        <v>0</v>
      </c>
      <c r="O1029">
        <v>400000</v>
      </c>
      <c r="R1029" t="s">
        <v>136</v>
      </c>
      <c r="S1029">
        <v>0.0075393666666666668</v>
      </c>
      <c r="T1029">
        <v>2.7644344444444445E-05</v>
      </c>
      <c r="U1029" t="s">
        <v>137</v>
      </c>
      <c r="V1029">
        <v>0.0087959277777777782</v>
      </c>
      <c r="W1029">
        <v>0.25259642767777779</v>
      </c>
      <c r="X1029" t="s">
        <v>138</v>
      </c>
      <c r="Y1029">
        <v>0.015155785660666667</v>
      </c>
      <c r="Z1029">
        <v>0</v>
      </c>
      <c r="AA1029" t="s">
        <v>139</v>
      </c>
      <c r="AB1029">
        <v>0.030311571321333334</v>
      </c>
      <c r="AC1029">
        <v>0.29806378465977779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Q1029" t="s">
        <v>140</v>
      </c>
      <c r="AR1029" t="s">
        <v>141</v>
      </c>
      <c r="AS1029">
        <v>0.25131222222222221</v>
      </c>
    </row>
    <row r="1030" spans="1:45" ht="12.75">
      <c r="A1030" s="2" t="str">
        <f>HYPERLINK("https://ibp.a2mac1.com/costing(costing:projects/details/8191/material/5320506)","Standard Structural Steel sheet")</f>
        <v>Standard Structural Steel sheet</v>
      </c>
      <c r="B1030">
        <v>5320506</v>
      </c>
      <c r="C1030">
        <v>6976046</v>
      </c>
      <c r="E1030">
        <v>0.61129999999999995</v>
      </c>
      <c r="F1030" t="s">
        <v>5227</v>
      </c>
      <c r="G1030">
        <v>90</v>
      </c>
      <c r="H1030" t="s">
        <v>6956</v>
      </c>
      <c r="I1030">
        <v>30</v>
      </c>
      <c r="J1030">
        <v>0.01099879013308536</v>
      </c>
      <c r="K1030">
        <v>0</v>
      </c>
      <c r="L1030">
        <v>0</v>
      </c>
      <c r="M1030">
        <v>0</v>
      </c>
      <c r="O1030">
        <v>400000</v>
      </c>
      <c r="R1030" t="s">
        <v>136</v>
      </c>
      <c r="S1030">
        <v>0.0024451999999999998</v>
      </c>
      <c r="T1030">
        <v>8.965733333333333E-06</v>
      </c>
      <c r="U1030" t="s">
        <v>137</v>
      </c>
      <c r="V1030">
        <v>0.0028527333333333332</v>
      </c>
      <c r="W1030">
        <v>0.081923165733333331</v>
      </c>
      <c r="X1030" t="s">
        <v>138</v>
      </c>
      <c r="Y1030">
        <v>0.0049153899439999997</v>
      </c>
      <c r="Z1030">
        <v>0</v>
      </c>
      <c r="AA1030" t="s">
        <v>139</v>
      </c>
      <c r="AB1030">
        <v>0.0098307798879999995</v>
      </c>
      <c r="AC1030">
        <v>0.096669335565333331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Q1030" t="s">
        <v>140</v>
      </c>
      <c r="AR1030" t="s">
        <v>141</v>
      </c>
      <c r="AS1030">
        <v>0.081506666666666672</v>
      </c>
    </row>
    <row r="1031" spans="1:45" ht="12.75">
      <c r="A1031" s="2" t="str">
        <f>HYPERLINK("https://ibp.a2mac1.com/costing(costing:projects/details/8191/material/5320507)","Standard Structural Steel sheet")</f>
        <v>Standard Structural Steel sheet</v>
      </c>
      <c r="B1031">
        <v>5320507</v>
      </c>
      <c r="C1031">
        <v>6976047</v>
      </c>
      <c r="E1031">
        <v>0.61129999999999995</v>
      </c>
      <c r="F1031" t="s">
        <v>6962</v>
      </c>
      <c r="G1031">
        <v>60</v>
      </c>
      <c r="H1031" t="s">
        <v>6963</v>
      </c>
      <c r="I1031">
        <v>30</v>
      </c>
      <c r="J1031">
        <v>0.01099879013308536</v>
      </c>
      <c r="K1031">
        <v>0</v>
      </c>
      <c r="L1031">
        <v>0</v>
      </c>
      <c r="M1031">
        <v>0</v>
      </c>
      <c r="O1031">
        <v>400000</v>
      </c>
      <c r="R1031" t="s">
        <v>136</v>
      </c>
      <c r="S1031">
        <v>0.27508500000000002</v>
      </c>
      <c r="T1031">
        <v>0.00025216125000000002</v>
      </c>
      <c r="U1031" t="s">
        <v>137</v>
      </c>
      <c r="V1031">
        <v>0.080233125000000002</v>
      </c>
      <c r="W1031">
        <v>2.0977752862500001</v>
      </c>
      <c r="X1031" t="s">
        <v>138</v>
      </c>
      <c r="Y1031">
        <v>0.125866517175</v>
      </c>
      <c r="Z1031">
        <v>0</v>
      </c>
      <c r="AA1031" t="s">
        <v>139</v>
      </c>
      <c r="AB1031">
        <v>0.25173303435</v>
      </c>
      <c r="AC1031">
        <v>2.475374837775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Q1031" t="s">
        <v>140</v>
      </c>
      <c r="AR1031" t="s">
        <v>141</v>
      </c>
      <c r="AS1031">
        <v>2.2923749999999998</v>
      </c>
    </row>
    <row r="1032" spans="1:45" ht="12.75">
      <c r="A1032" s="2" t="str">
        <f>HYPERLINK("https://ibp.a2mac1.com/costing(costing:projects/details/8191/material/5320508)","Standard Structural Steel sheet")</f>
        <v>Standard Structural Steel sheet</v>
      </c>
      <c r="B1032">
        <v>5320508</v>
      </c>
      <c r="C1032">
        <v>6976048</v>
      </c>
      <c r="E1032">
        <v>0.61129999999999995</v>
      </c>
      <c r="F1032" t="s">
        <v>6612</v>
      </c>
      <c r="G1032">
        <v>80</v>
      </c>
      <c r="H1032" t="s">
        <v>6966</v>
      </c>
      <c r="I1032">
        <v>30</v>
      </c>
      <c r="J1032">
        <v>0.01099879013308536</v>
      </c>
      <c r="K1032">
        <v>0</v>
      </c>
      <c r="L1032">
        <v>0</v>
      </c>
      <c r="M1032">
        <v>0</v>
      </c>
      <c r="O1032">
        <v>400000</v>
      </c>
      <c r="R1032" t="s">
        <v>136</v>
      </c>
      <c r="S1032">
        <v>0.095821274999999997</v>
      </c>
      <c r="T1032">
        <v>0.00017567233749999999</v>
      </c>
      <c r="U1032" t="s">
        <v>137</v>
      </c>
      <c r="V1032">
        <v>0.055895743749999997</v>
      </c>
      <c r="W1032">
        <v>1.5572713910875</v>
      </c>
      <c r="X1032" t="s">
        <v>138</v>
      </c>
      <c r="Y1032">
        <v>0.09343628346525</v>
      </c>
      <c r="Z1032">
        <v>0</v>
      </c>
      <c r="AA1032" t="s">
        <v>139</v>
      </c>
      <c r="AB1032">
        <v>0.1868725669305</v>
      </c>
      <c r="AC1032">
        <v>1.8375802414832501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Q1032" t="s">
        <v>140</v>
      </c>
      <c r="AR1032" t="s">
        <v>141</v>
      </c>
      <c r="AS1032">
        <v>1.5970212500000001</v>
      </c>
    </row>
    <row r="1033" spans="1:45" ht="12.75">
      <c r="A1033" s="2" t="str">
        <f>HYPERLINK("https://ibp.a2mac1.com/costing(costing:projects/details/8191/material/5320509)","Standard Structural Steel sheet")</f>
        <v>Standard Structural Steel sheet</v>
      </c>
      <c r="B1033">
        <v>5320509</v>
      </c>
      <c r="C1033">
        <v>6976049</v>
      </c>
      <c r="E1033">
        <v>0.61129999999999995</v>
      </c>
      <c r="F1033" t="s">
        <v>6970</v>
      </c>
      <c r="G1033">
        <v>65</v>
      </c>
      <c r="H1033" t="s">
        <v>6971</v>
      </c>
      <c r="I1033">
        <v>30</v>
      </c>
      <c r="J1033">
        <v>0.01099879013308536</v>
      </c>
      <c r="K1033">
        <v>0</v>
      </c>
      <c r="L1033">
        <v>0</v>
      </c>
      <c r="M1033">
        <v>0</v>
      </c>
      <c r="O1033">
        <v>400000</v>
      </c>
      <c r="R1033" t="s">
        <v>136</v>
      </c>
      <c r="S1033">
        <v>0.083936192307692309</v>
      </c>
      <c r="T1033">
        <v>8.7933153846153847E-05</v>
      </c>
      <c r="U1033" t="s">
        <v>137</v>
      </c>
      <c r="V1033">
        <v>0.02797873076923077</v>
      </c>
      <c r="W1033">
        <v>0.74352277930769228</v>
      </c>
      <c r="X1033" t="s">
        <v>138</v>
      </c>
      <c r="Y1033">
        <v>0.044611366758461536</v>
      </c>
      <c r="Z1033">
        <v>0</v>
      </c>
      <c r="AA1033" t="s">
        <v>139</v>
      </c>
      <c r="AB1033">
        <v>0.089222733516923072</v>
      </c>
      <c r="AC1033">
        <v>0.87735687958307695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Q1033" t="s">
        <v>140</v>
      </c>
      <c r="AR1033" t="s">
        <v>141</v>
      </c>
      <c r="AS1033">
        <v>0.79939230769230774</v>
      </c>
    </row>
    <row r="1034" spans="1:45" ht="12.75">
      <c r="A1034" s="2" t="str">
        <f>HYPERLINK("https://ibp.a2mac1.com/costing(costing:projects/details/8191/material/5320510)","Standard Structural Steel sheet")</f>
        <v>Standard Structural Steel sheet</v>
      </c>
      <c r="B1034">
        <v>5320510</v>
      </c>
      <c r="C1034">
        <v>6976050</v>
      </c>
      <c r="E1034">
        <v>0.61129999999999995</v>
      </c>
      <c r="F1034" t="s">
        <v>6974</v>
      </c>
      <c r="G1034">
        <v>70</v>
      </c>
      <c r="H1034" t="s">
        <v>6975</v>
      </c>
      <c r="I1034">
        <v>30</v>
      </c>
      <c r="J1034">
        <v>0.01099879013308536</v>
      </c>
      <c r="K1034">
        <v>0</v>
      </c>
      <c r="L1034">
        <v>0</v>
      </c>
      <c r="M1034">
        <v>0</v>
      </c>
      <c r="O1034">
        <v>400000</v>
      </c>
      <c r="R1034" t="s">
        <v>136</v>
      </c>
      <c r="S1034">
        <v>0.14147228571428572</v>
      </c>
      <c r="T1034">
        <v>0.00017291057142857142</v>
      </c>
      <c r="U1034" t="s">
        <v>137</v>
      </c>
      <c r="V1034">
        <v>0.055017000000000003</v>
      </c>
      <c r="W1034">
        <v>1.4856319105714286</v>
      </c>
      <c r="X1034" t="s">
        <v>138</v>
      </c>
      <c r="Y1034">
        <v>0.08913791463428572</v>
      </c>
      <c r="Z1034">
        <v>0</v>
      </c>
      <c r="AA1034" t="s">
        <v>139</v>
      </c>
      <c r="AB1034">
        <v>0.17827582926857144</v>
      </c>
      <c r="AC1034">
        <v>1.7530456544742856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Q1034" t="s">
        <v>140</v>
      </c>
      <c r="AR1034" t="s">
        <v>141</v>
      </c>
      <c r="AS1034">
        <v>1.5719142857142858</v>
      </c>
    </row>
    <row r="1035" spans="1:45" ht="12.75">
      <c r="A1035" s="2" t="str">
        <f>HYPERLINK("https://ibp.a2mac1.com/costing(costing:projects/details/8191/material/5320511)","Standard Structural Steel sheet")</f>
        <v>Standard Structural Steel sheet</v>
      </c>
      <c r="B1035">
        <v>5320511</v>
      </c>
      <c r="C1035">
        <v>6976051</v>
      </c>
      <c r="E1035">
        <v>0.61129999999999995</v>
      </c>
      <c r="F1035" t="s">
        <v>4030</v>
      </c>
      <c r="G1035">
        <v>60</v>
      </c>
      <c r="H1035" t="s">
        <v>6979</v>
      </c>
      <c r="I1035">
        <v>30</v>
      </c>
      <c r="J1035">
        <v>0.01099879013308536</v>
      </c>
      <c r="K1035">
        <v>0</v>
      </c>
      <c r="L1035">
        <v>0</v>
      </c>
      <c r="M1035">
        <v>0</v>
      </c>
      <c r="O1035">
        <v>400000</v>
      </c>
      <c r="R1035" t="s">
        <v>136</v>
      </c>
      <c r="S1035">
        <v>0.023229400000000001</v>
      </c>
      <c r="T1035">
        <v>2.1293616666666666E-05</v>
      </c>
      <c r="U1035" t="s">
        <v>137</v>
      </c>
      <c r="V1035">
        <v>0.0067752416666666667</v>
      </c>
      <c r="W1035">
        <v>0.17714546861666666</v>
      </c>
      <c r="X1035" t="s">
        <v>138</v>
      </c>
      <c r="Y1035">
        <v>0.010628728117</v>
      </c>
      <c r="Z1035">
        <v>0</v>
      </c>
      <c r="AA1035" t="s">
        <v>139</v>
      </c>
      <c r="AB1035">
        <v>0.021257456234000001</v>
      </c>
      <c r="AC1035">
        <v>0.20903165296766665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Q1035" t="s">
        <v>140</v>
      </c>
      <c r="AR1035" t="s">
        <v>141</v>
      </c>
      <c r="AS1035">
        <v>0.19357833333333332</v>
      </c>
    </row>
    <row r="1036" spans="1:45" ht="12.75">
      <c r="A1036" s="2" t="str">
        <f>HYPERLINK("https://ibp.a2mac1.com/costing(costing:projects/details/8191/material/5320512)","Standard Structural Steel sheet")</f>
        <v>Standard Structural Steel sheet</v>
      </c>
      <c r="B1036">
        <v>5320512</v>
      </c>
      <c r="C1036">
        <v>6976052</v>
      </c>
      <c r="E1036">
        <v>0.61129999999999995</v>
      </c>
      <c r="F1036" t="s">
        <v>5407</v>
      </c>
      <c r="G1036">
        <v>60</v>
      </c>
      <c r="H1036" t="s">
        <v>3439</v>
      </c>
      <c r="I1036">
        <v>30</v>
      </c>
      <c r="J1036">
        <v>0.01099879013308536</v>
      </c>
      <c r="K1036">
        <v>0</v>
      </c>
      <c r="L1036">
        <v>0</v>
      </c>
      <c r="M1036">
        <v>0</v>
      </c>
      <c r="O1036">
        <v>400000</v>
      </c>
      <c r="R1036" t="s">
        <v>136</v>
      </c>
      <c r="S1036">
        <v>0.0220068</v>
      </c>
      <c r="T1036">
        <v>2.0172900000000001E-05</v>
      </c>
      <c r="U1036" t="s">
        <v>137</v>
      </c>
      <c r="V1036">
        <v>0.0064186499999999997</v>
      </c>
      <c r="W1036">
        <v>0.16782202290000001</v>
      </c>
      <c r="X1036" t="s">
        <v>138</v>
      </c>
      <c r="Y1036">
        <v>0.010069321374</v>
      </c>
      <c r="Z1036">
        <v>0</v>
      </c>
      <c r="AA1036" t="s">
        <v>139</v>
      </c>
      <c r="AB1036">
        <v>0.020138642748</v>
      </c>
      <c r="AC1036">
        <v>0.198029987022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Q1036" t="s">
        <v>140</v>
      </c>
      <c r="AR1036" t="s">
        <v>141</v>
      </c>
      <c r="AS1036">
        <v>0.18339</v>
      </c>
    </row>
    <row r="1037" spans="1:45" ht="12.75">
      <c r="A1037" s="2" t="str">
        <f>HYPERLINK("https://ibp.a2mac1.com/costing(costing:projects/details/8191/material/5320513)","Standard Structural Steel sheet")</f>
        <v>Standard Structural Steel sheet</v>
      </c>
      <c r="B1037">
        <v>5320513</v>
      </c>
      <c r="C1037">
        <v>6976053</v>
      </c>
      <c r="E1037">
        <v>0.61129999999999995</v>
      </c>
      <c r="F1037" t="s">
        <v>1885</v>
      </c>
      <c r="G1037">
        <v>55</v>
      </c>
      <c r="H1037" t="s">
        <v>6984</v>
      </c>
      <c r="I1037">
        <v>30</v>
      </c>
      <c r="J1037">
        <v>0.01099879013308536</v>
      </c>
      <c r="K1037">
        <v>0</v>
      </c>
      <c r="L1037">
        <v>0</v>
      </c>
      <c r="M1037">
        <v>0</v>
      </c>
      <c r="O1037">
        <v>400000</v>
      </c>
      <c r="R1037" t="s">
        <v>136</v>
      </c>
      <c r="S1037">
        <v>0.0060018545454545453</v>
      </c>
      <c r="T1037">
        <v>4.8903999999999998E-06</v>
      </c>
      <c r="U1037" t="s">
        <v>137</v>
      </c>
      <c r="V1037">
        <v>0.0015560363636363636</v>
      </c>
      <c r="W1037">
        <v>0.040017254036363636</v>
      </c>
      <c r="X1037" t="s">
        <v>138</v>
      </c>
      <c r="Y1037">
        <v>0.0024010352421818182</v>
      </c>
      <c r="Z1037">
        <v>0</v>
      </c>
      <c r="AA1037" t="s">
        <v>139</v>
      </c>
      <c r="AB1037">
        <v>0.0048020704843636363</v>
      </c>
      <c r="AC1037">
        <v>0.047220359762909093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Q1037" t="s">
        <v>140</v>
      </c>
      <c r="AR1037" t="s">
        <v>141</v>
      </c>
      <c r="AS1037">
        <v>0.04445818181818182</v>
      </c>
    </row>
    <row r="1038" spans="1:45" ht="12.75">
      <c r="A1038" s="2" t="str">
        <f>HYPERLINK("https://ibp.a2mac1.com/costing(costing:projects/details/8191/material/5320514)","Standard Structural Steel sheet")</f>
        <v>Standard Structural Steel sheet</v>
      </c>
      <c r="B1038">
        <v>5320514</v>
      </c>
      <c r="C1038">
        <v>6976054</v>
      </c>
      <c r="E1038">
        <v>0.61129999999999995</v>
      </c>
      <c r="F1038" t="s">
        <v>5496</v>
      </c>
      <c r="G1038">
        <v>65</v>
      </c>
      <c r="H1038" t="s">
        <v>6616</v>
      </c>
      <c r="I1038">
        <v>30</v>
      </c>
      <c r="J1038">
        <v>0.01099879013308536</v>
      </c>
      <c r="K1038">
        <v>0</v>
      </c>
      <c r="L1038">
        <v>0</v>
      </c>
      <c r="M1038">
        <v>0</v>
      </c>
      <c r="O1038">
        <v>400000</v>
      </c>
      <c r="R1038" t="s">
        <v>136</v>
      </c>
      <c r="S1038">
        <v>0.0088873615384615391</v>
      </c>
      <c r="T1038">
        <v>9.3105692307692311E-06</v>
      </c>
      <c r="U1038" t="s">
        <v>137</v>
      </c>
      <c r="V1038">
        <v>0.0029624538461538461</v>
      </c>
      <c r="W1038">
        <v>0.078725941338461544</v>
      </c>
      <c r="X1038" t="s">
        <v>138</v>
      </c>
      <c r="Y1038">
        <v>0.0047235564803076923</v>
      </c>
      <c r="Z1038">
        <v>0</v>
      </c>
      <c r="AA1038" t="s">
        <v>139</v>
      </c>
      <c r="AB1038">
        <v>0.0094471129606153847</v>
      </c>
      <c r="AC1038">
        <v>0.092896610779384617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Q1038" t="s">
        <v>140</v>
      </c>
      <c r="AR1038" t="s">
        <v>141</v>
      </c>
      <c r="AS1038">
        <v>0.084641538461538463</v>
      </c>
    </row>
    <row r="1039" spans="1:45" ht="12.75">
      <c r="A1039" s="2" t="str">
        <f>HYPERLINK("https://ibp.a2mac1.com/costing(costing:projects/details/8191/material/5320515)","Standard Structural Steel sheet")</f>
        <v>Standard Structural Steel sheet</v>
      </c>
      <c r="B1039">
        <v>5320515</v>
      </c>
      <c r="C1039">
        <v>6976055</v>
      </c>
      <c r="E1039">
        <v>0.61129999999999995</v>
      </c>
      <c r="F1039" t="s">
        <v>5227</v>
      </c>
      <c r="G1039">
        <v>80</v>
      </c>
      <c r="H1039" t="s">
        <v>2762</v>
      </c>
      <c r="I1039">
        <v>30</v>
      </c>
      <c r="J1039">
        <v>0.01099879013308536</v>
      </c>
      <c r="K1039">
        <v>0</v>
      </c>
      <c r="L1039">
        <v>0</v>
      </c>
      <c r="M1039">
        <v>0</v>
      </c>
      <c r="O1039">
        <v>400000</v>
      </c>
      <c r="R1039" t="s">
        <v>136</v>
      </c>
      <c r="S1039">
        <v>0.0055017</v>
      </c>
      <c r="T1039">
        <v>1.0086450000000001E-05</v>
      </c>
      <c r="U1039" t="s">
        <v>137</v>
      </c>
      <c r="V1039">
        <v>0.0032093249999999999</v>
      </c>
      <c r="W1039">
        <v>0.089412711450000001</v>
      </c>
      <c r="X1039" t="s">
        <v>138</v>
      </c>
      <c r="Y1039">
        <v>0.0053647626869999998</v>
      </c>
      <c r="Z1039">
        <v>0</v>
      </c>
      <c r="AA1039" t="s">
        <v>139</v>
      </c>
      <c r="AB1039">
        <v>0.010729525374</v>
      </c>
      <c r="AC1039">
        <v>0.105506999511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Q1039" t="s">
        <v>140</v>
      </c>
      <c r="AR1039" t="s">
        <v>141</v>
      </c>
      <c r="AS1039">
        <v>0.091694999999999999</v>
      </c>
    </row>
    <row r="1040" spans="1:45" ht="12.75">
      <c r="A1040" s="2" t="str">
        <f>HYPERLINK("https://ibp.a2mac1.com/costing(costing:projects/details/8191/material/5320516)","Standard Structural Steel sheet")</f>
        <v>Standard Structural Steel sheet</v>
      </c>
      <c r="B1040">
        <v>5320516</v>
      </c>
      <c r="C1040">
        <v>6976056</v>
      </c>
      <c r="E1040">
        <v>0.61129999999999995</v>
      </c>
      <c r="F1040" t="s">
        <v>1885</v>
      </c>
      <c r="G1040">
        <v>70</v>
      </c>
      <c r="H1040" t="s">
        <v>6991</v>
      </c>
      <c r="I1040">
        <v>30</v>
      </c>
      <c r="J1040">
        <v>0.01099879013308536</v>
      </c>
      <c r="K1040">
        <v>0</v>
      </c>
      <c r="L1040">
        <v>0</v>
      </c>
      <c r="M1040">
        <v>0</v>
      </c>
      <c r="O1040">
        <v>400000</v>
      </c>
      <c r="R1040" t="s">
        <v>136</v>
      </c>
      <c r="S1040">
        <v>0.0031438285714285715</v>
      </c>
      <c r="T1040">
        <v>3.8424571428571429E-06</v>
      </c>
      <c r="U1040" t="s">
        <v>137</v>
      </c>
      <c r="V1040">
        <v>0.0012225999999999999</v>
      </c>
      <c r="W1040">
        <v>0.033014042457142859</v>
      </c>
      <c r="X1040" t="s">
        <v>138</v>
      </c>
      <c r="Y1040">
        <v>0.0019808425474285712</v>
      </c>
      <c r="Z1040">
        <v>0</v>
      </c>
      <c r="AA1040" t="s">
        <v>139</v>
      </c>
      <c r="AB1040">
        <v>0.0039616850948571425</v>
      </c>
      <c r="AC1040">
        <v>0.038956570099428572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Q1040" t="s">
        <v>140</v>
      </c>
      <c r="AR1040" t="s">
        <v>141</v>
      </c>
      <c r="AS1040">
        <v>0.034931428571428572</v>
      </c>
    </row>
    <row r="1041" spans="1:45" ht="12.75">
      <c r="A1041" s="2" t="str">
        <f>HYPERLINK("https://ibp.a2mac1.com/costing(costing:projects/details/8191/material/5320517)","Standard Structural Steel sheet")</f>
        <v>Standard Structural Steel sheet</v>
      </c>
      <c r="B1041">
        <v>5320517</v>
      </c>
      <c r="C1041">
        <v>6976057</v>
      </c>
      <c r="E1041">
        <v>0.61129999999999995</v>
      </c>
      <c r="F1041" t="s">
        <v>509</v>
      </c>
      <c r="G1041">
        <v>60</v>
      </c>
      <c r="H1041" t="s">
        <v>6889</v>
      </c>
      <c r="I1041">
        <v>30</v>
      </c>
      <c r="J1041">
        <v>0.01099879013308536</v>
      </c>
      <c r="K1041">
        <v>0</v>
      </c>
      <c r="L1041">
        <v>0</v>
      </c>
      <c r="M1041">
        <v>0</v>
      </c>
      <c r="O1041">
        <v>400000</v>
      </c>
      <c r="R1041" t="s">
        <v>136</v>
      </c>
      <c r="S1041">
        <v>0.0061130000000000004</v>
      </c>
      <c r="T1041">
        <v>5.6035833333333333E-06</v>
      </c>
      <c r="U1041" t="s">
        <v>137</v>
      </c>
      <c r="V1041">
        <v>0.0017829583333333332</v>
      </c>
      <c r="W1041">
        <v>0.046617228583333337</v>
      </c>
      <c r="X1041" t="s">
        <v>138</v>
      </c>
      <c r="Y1041">
        <v>0.0027970337150000002</v>
      </c>
      <c r="Z1041">
        <v>0</v>
      </c>
      <c r="AA1041" t="s">
        <v>139</v>
      </c>
      <c r="AB1041">
        <v>0.0055940674300000003</v>
      </c>
      <c r="AC1041">
        <v>0.055008329728333333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Q1041" t="s">
        <v>140</v>
      </c>
      <c r="AR1041" t="s">
        <v>141</v>
      </c>
      <c r="AS1041">
        <v>0.05094166666666667</v>
      </c>
    </row>
    <row r="1042" spans="1:45" ht="12.75">
      <c r="A1042" s="2" t="str">
        <f>HYPERLINK("https://ibp.a2mac1.com/costing(costing:projects/details/8191/material/5320518)","Standard Structural Steel sheet")</f>
        <v>Standard Structural Steel sheet</v>
      </c>
      <c r="B1042">
        <v>5320518</v>
      </c>
      <c r="C1042">
        <v>6976058</v>
      </c>
      <c r="E1042">
        <v>0.61129999999999995</v>
      </c>
      <c r="F1042" t="s">
        <v>5297</v>
      </c>
      <c r="G1042">
        <v>65</v>
      </c>
      <c r="H1042" t="s">
        <v>6677</v>
      </c>
      <c r="I1042">
        <v>30</v>
      </c>
      <c r="J1042">
        <v>0.01099879013308536</v>
      </c>
      <c r="K1042">
        <v>0</v>
      </c>
      <c r="L1042">
        <v>0</v>
      </c>
      <c r="M1042">
        <v>0</v>
      </c>
      <c r="O1042">
        <v>400000</v>
      </c>
      <c r="R1042" t="s">
        <v>136</v>
      </c>
      <c r="S1042">
        <v>0.043449323076923077</v>
      </c>
      <c r="T1042">
        <v>4.5518338461538459E-05</v>
      </c>
      <c r="U1042" t="s">
        <v>137</v>
      </c>
      <c r="V1042">
        <v>0.014483107692307692</v>
      </c>
      <c r="W1042">
        <v>0.38488237987692309</v>
      </c>
      <c r="X1042" t="s">
        <v>138</v>
      </c>
      <c r="Y1042">
        <v>0.023092942792615385</v>
      </c>
      <c r="Z1042">
        <v>0</v>
      </c>
      <c r="AA1042" t="s">
        <v>139</v>
      </c>
      <c r="AB1042">
        <v>0.04618588558523077</v>
      </c>
      <c r="AC1042">
        <v>0.45416120825476924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Q1042" t="s">
        <v>140</v>
      </c>
      <c r="AR1042" t="s">
        <v>141</v>
      </c>
      <c r="AS1042">
        <v>0.41380307692307694</v>
      </c>
    </row>
    <row r="1043" spans="1:45" ht="12.75">
      <c r="A1043" s="2" t="str">
        <f>HYPERLINK("https://ibp.a2mac1.com/costing(costing:projects/details/8191/material/5320519)","Standard Structural Steel sheet")</f>
        <v>Standard Structural Steel sheet</v>
      </c>
      <c r="B1043">
        <v>5320519</v>
      </c>
      <c r="C1043">
        <v>6976059</v>
      </c>
      <c r="E1043">
        <v>0.61129999999999995</v>
      </c>
      <c r="F1043" t="s">
        <v>5070</v>
      </c>
      <c r="G1043">
        <v>70</v>
      </c>
      <c r="H1043" t="s">
        <v>6998</v>
      </c>
      <c r="I1043">
        <v>30</v>
      </c>
      <c r="J1043">
        <v>0.01099879013308536</v>
      </c>
      <c r="K1043">
        <v>0</v>
      </c>
      <c r="L1043">
        <v>0</v>
      </c>
      <c r="M1043">
        <v>0</v>
      </c>
      <c r="O1043">
        <v>400000</v>
      </c>
      <c r="R1043" t="s">
        <v>136</v>
      </c>
      <c r="S1043">
        <v>0.11081995714285714</v>
      </c>
      <c r="T1043">
        <v>0.00013544661428571429</v>
      </c>
      <c r="U1043" t="s">
        <v>137</v>
      </c>
      <c r="V1043">
        <v>0.04309665</v>
      </c>
      <c r="W1043">
        <v>1.1637449966142857</v>
      </c>
      <c r="X1043" t="s">
        <v>138</v>
      </c>
      <c r="Y1043">
        <v>0.06982469979685714</v>
      </c>
      <c r="Z1043">
        <v>0</v>
      </c>
      <c r="AA1043" t="s">
        <v>139</v>
      </c>
      <c r="AB1043">
        <v>0.13964939959371428</v>
      </c>
      <c r="AC1043">
        <v>1.3732190960048571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Q1043" t="s">
        <v>140</v>
      </c>
      <c r="AR1043" t="s">
        <v>141</v>
      </c>
      <c r="AS1043">
        <v>1.2313328571428572</v>
      </c>
    </row>
    <row r="1044" spans="1:45" ht="12.75">
      <c r="A1044" s="2" t="str">
        <f>HYPERLINK("https://ibp.a2mac1.com/costing(costing:projects/details/8191/material/5320520)","Standard Structural Steel sheet")</f>
        <v>Standard Structural Steel sheet</v>
      </c>
      <c r="B1044">
        <v>5320520</v>
      </c>
      <c r="C1044">
        <v>6976060</v>
      </c>
      <c r="E1044">
        <v>0.61129999999999995</v>
      </c>
      <c r="F1044" t="s">
        <v>2911</v>
      </c>
      <c r="G1044">
        <v>80</v>
      </c>
      <c r="H1044" t="s">
        <v>6550</v>
      </c>
      <c r="I1044">
        <v>30</v>
      </c>
      <c r="J1044">
        <v>0.01099879013308536</v>
      </c>
      <c r="K1044">
        <v>0</v>
      </c>
      <c r="L1044">
        <v>0</v>
      </c>
      <c r="M1044">
        <v>0</v>
      </c>
      <c r="O1044">
        <v>400000</v>
      </c>
      <c r="R1044" t="s">
        <v>136</v>
      </c>
      <c r="S1044">
        <v>0.0032093249999999999</v>
      </c>
      <c r="T1044">
        <v>5.8837625000000002E-06</v>
      </c>
      <c r="U1044" t="s">
        <v>137</v>
      </c>
      <c r="V1044">
        <v>0.00187210625</v>
      </c>
      <c r="W1044">
        <v>0.0521574150125</v>
      </c>
      <c r="X1044" t="s">
        <v>138</v>
      </c>
      <c r="Y1044">
        <v>0.0031294449007500001</v>
      </c>
      <c r="Z1044">
        <v>0</v>
      </c>
      <c r="AA1044" t="s">
        <v>139</v>
      </c>
      <c r="AB1044">
        <v>0.0062588898015000002</v>
      </c>
      <c r="AC1044">
        <v>0.061545749714749999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Q1044" t="s">
        <v>140</v>
      </c>
      <c r="AR1044" t="s">
        <v>141</v>
      </c>
      <c r="AS1044">
        <v>0.053488750000000002</v>
      </c>
    </row>
    <row r="1045" spans="1:45" ht="12.75">
      <c r="A1045" s="2" t="str">
        <f>HYPERLINK("https://ibp.a2mac1.com/costing(costing:projects/details/8191/material/5320521)","Standard Structural Steel sheet")</f>
        <v>Standard Structural Steel sheet</v>
      </c>
      <c r="B1045">
        <v>5320521</v>
      </c>
      <c r="C1045">
        <v>6976061</v>
      </c>
      <c r="E1045">
        <v>0.61129999999999995</v>
      </c>
      <c r="F1045" t="s">
        <v>3274</v>
      </c>
      <c r="G1045">
        <v>65</v>
      </c>
      <c r="H1045" t="s">
        <v>7003</v>
      </c>
      <c r="I1045">
        <v>30</v>
      </c>
      <c r="J1045">
        <v>0.01099879013308536</v>
      </c>
      <c r="K1045">
        <v>0</v>
      </c>
      <c r="L1045">
        <v>0</v>
      </c>
      <c r="M1045">
        <v>0</v>
      </c>
      <c r="O1045">
        <v>400000</v>
      </c>
      <c r="R1045" t="s">
        <v>136</v>
      </c>
      <c r="S1045">
        <v>0.019749692307692308</v>
      </c>
      <c r="T1045">
        <v>2.0690153846153848E-05</v>
      </c>
      <c r="U1045" t="s">
        <v>137</v>
      </c>
      <c r="V1045">
        <v>0.0065832307692307692</v>
      </c>
      <c r="W1045">
        <v>0.1749465363076923</v>
      </c>
      <c r="X1045" t="s">
        <v>138</v>
      </c>
      <c r="Y1045">
        <v>0.010496792178461539</v>
      </c>
      <c r="Z1045">
        <v>0</v>
      </c>
      <c r="AA1045" t="s">
        <v>139</v>
      </c>
      <c r="AB1045">
        <v>0.020993584356923077</v>
      </c>
      <c r="AC1045">
        <v>0.20643691284307691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Q1045" t="s">
        <v>140</v>
      </c>
      <c r="AR1045" t="s">
        <v>141</v>
      </c>
      <c r="AS1045">
        <v>0.1880923076923077</v>
      </c>
    </row>
    <row r="1046" spans="1:45" ht="12.75">
      <c r="A1046" s="2" t="str">
        <f>HYPERLINK("https://ibp.a2mac1.com/costing(costing:projects/details/8191/material/5320522)","Standard Structural Steel sheet")</f>
        <v>Standard Structural Steel sheet</v>
      </c>
      <c r="B1046">
        <v>5320522</v>
      </c>
      <c r="C1046">
        <v>6976062</v>
      </c>
      <c r="E1046">
        <v>0.61129999999999995</v>
      </c>
      <c r="F1046" t="s">
        <v>4746</v>
      </c>
      <c r="G1046">
        <v>60</v>
      </c>
      <c r="H1046" t="s">
        <v>6459</v>
      </c>
      <c r="I1046">
        <v>30</v>
      </c>
      <c r="J1046">
        <v>0.01099879013308536</v>
      </c>
      <c r="K1046">
        <v>0</v>
      </c>
      <c r="L1046">
        <v>0</v>
      </c>
      <c r="M1046">
        <v>0</v>
      </c>
      <c r="O1046">
        <v>400000</v>
      </c>
      <c r="R1046" t="s">
        <v>136</v>
      </c>
      <c r="S1046">
        <v>0.0024451999999999998</v>
      </c>
      <c r="T1046">
        <v>2.2414333333333332E-06</v>
      </c>
      <c r="U1046" t="s">
        <v>137</v>
      </c>
      <c r="V1046">
        <v>0.00071318333333333331</v>
      </c>
      <c r="W1046">
        <v>0.018646891433333333</v>
      </c>
      <c r="X1046" t="s">
        <v>138</v>
      </c>
      <c r="Y1046">
        <v>0.001118813486</v>
      </c>
      <c r="Z1046">
        <v>0</v>
      </c>
      <c r="AA1046" t="s">
        <v>139</v>
      </c>
      <c r="AB1046">
        <v>0.002237626972</v>
      </c>
      <c r="AC1046">
        <v>0.022003331891333335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Q1046" t="s">
        <v>140</v>
      </c>
      <c r="AR1046" t="s">
        <v>141</v>
      </c>
      <c r="AS1046">
        <v>0.020376666666666668</v>
      </c>
    </row>
    <row r="1047" spans="1:45" ht="12.75">
      <c r="A1047" s="2" t="str">
        <f>HYPERLINK("https://ibp.a2mac1.com/costing(costing:projects/details/8191/material/5320563)","Standard Structural Steel sheet")</f>
        <v>Standard Structural Steel sheet</v>
      </c>
      <c r="B1047">
        <v>5320563</v>
      </c>
      <c r="C1047">
        <v>6976154</v>
      </c>
      <c r="E1047">
        <v>0.61129999999999995</v>
      </c>
      <c r="F1047" t="s">
        <v>7011</v>
      </c>
      <c r="G1047">
        <v>70</v>
      </c>
      <c r="H1047" t="s">
        <v>7012</v>
      </c>
      <c r="I1047">
        <v>30</v>
      </c>
      <c r="J1047">
        <v>0.013998040274361589</v>
      </c>
      <c r="K1047">
        <v>0</v>
      </c>
      <c r="L1047">
        <v>0</v>
      </c>
      <c r="M1047">
        <v>0</v>
      </c>
      <c r="O1047">
        <v>200000</v>
      </c>
      <c r="R1047" t="s">
        <v>136</v>
      </c>
      <c r="S1047">
        <v>0.25307819999999998</v>
      </c>
      <c r="T1047">
        <v>0.00039367720000000001</v>
      </c>
      <c r="U1047" t="s">
        <v>137</v>
      </c>
      <c r="V1047">
        <v>0.098419300000000001</v>
      </c>
      <c r="W1047">
        <v>2.6577147771999998</v>
      </c>
      <c r="X1047" t="s">
        <v>138</v>
      </c>
      <c r="Y1047">
        <v>0.15946288663200001</v>
      </c>
      <c r="Z1047">
        <v>0</v>
      </c>
      <c r="AA1047" t="s">
        <v>139</v>
      </c>
      <c r="AB1047">
        <v>0.31892577326400001</v>
      </c>
      <c r="AC1047">
        <v>3.1361034370960001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Q1047" t="s">
        <v>140</v>
      </c>
      <c r="AR1047" t="s">
        <v>141</v>
      </c>
      <c r="AS1047">
        <v>2.8119800000000001</v>
      </c>
    </row>
    <row r="1048" spans="1:45" ht="12.75">
      <c r="A1048" s="2" t="str">
        <f>HYPERLINK("https://ibp.a2mac1.com/costing(costing:projects/details/8191/material/5320564)","Standard Structural Steel sheet")</f>
        <v>Standard Structural Steel sheet</v>
      </c>
      <c r="B1048">
        <v>5320564</v>
      </c>
      <c r="C1048">
        <v>6976155</v>
      </c>
      <c r="E1048">
        <v>0.61129999999999995</v>
      </c>
      <c r="F1048" t="s">
        <v>6399</v>
      </c>
      <c r="G1048">
        <v>65</v>
      </c>
      <c r="H1048" t="s">
        <v>6504</v>
      </c>
      <c r="I1048">
        <v>30</v>
      </c>
      <c r="J1048">
        <v>0.01099879013308536</v>
      </c>
      <c r="K1048">
        <v>0</v>
      </c>
      <c r="L1048">
        <v>0</v>
      </c>
      <c r="M1048">
        <v>0</v>
      </c>
      <c r="O1048">
        <v>400000</v>
      </c>
      <c r="R1048" t="s">
        <v>136</v>
      </c>
      <c r="S1048">
        <v>0.022712146153846154</v>
      </c>
      <c r="T1048">
        <v>2.3793676923076922E-05</v>
      </c>
      <c r="U1048" t="s">
        <v>137</v>
      </c>
      <c r="V1048">
        <v>0.0075707153846153842</v>
      </c>
      <c r="W1048">
        <v>0.20118851675384616</v>
      </c>
      <c r="X1048" t="s">
        <v>138</v>
      </c>
      <c r="Y1048">
        <v>0.012071311005230768</v>
      </c>
      <c r="Z1048">
        <v>0</v>
      </c>
      <c r="AA1048" t="s">
        <v>139</v>
      </c>
      <c r="AB1048">
        <v>0.024142622010461537</v>
      </c>
      <c r="AC1048">
        <v>0.23740244976953845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Q1048" t="s">
        <v>140</v>
      </c>
      <c r="AR1048" t="s">
        <v>141</v>
      </c>
      <c r="AS1048">
        <v>0.21630615384615384</v>
      </c>
    </row>
    <row r="1049" spans="1:45" ht="12.75">
      <c r="A1049" s="2" t="str">
        <f>HYPERLINK("https://ibp.a2mac1.com/costing(costing:projects/details/8191/material/5320565)","Standard Structural Steel sheet")</f>
        <v>Standard Structural Steel sheet</v>
      </c>
      <c r="B1049">
        <v>5320565</v>
      </c>
      <c r="C1049">
        <v>6976156</v>
      </c>
      <c r="E1049">
        <v>0.61129999999999995</v>
      </c>
      <c r="F1049" t="s">
        <v>6399</v>
      </c>
      <c r="G1049">
        <v>65</v>
      </c>
      <c r="H1049" t="s">
        <v>6504</v>
      </c>
      <c r="I1049">
        <v>30</v>
      </c>
      <c r="J1049">
        <v>0.01099879013308536</v>
      </c>
      <c r="K1049">
        <v>0</v>
      </c>
      <c r="L1049">
        <v>0</v>
      </c>
      <c r="M1049">
        <v>0</v>
      </c>
      <c r="O1049">
        <v>400000</v>
      </c>
      <c r="R1049" t="s">
        <v>136</v>
      </c>
      <c r="S1049">
        <v>0.022712146153846154</v>
      </c>
      <c r="T1049">
        <v>2.3793676923076922E-05</v>
      </c>
      <c r="U1049" t="s">
        <v>137</v>
      </c>
      <c r="V1049">
        <v>0.0075707153846153842</v>
      </c>
      <c r="W1049">
        <v>0.20118851675384616</v>
      </c>
      <c r="X1049" t="s">
        <v>138</v>
      </c>
      <c r="Y1049">
        <v>0.012071311005230768</v>
      </c>
      <c r="Z1049">
        <v>0</v>
      </c>
      <c r="AA1049" t="s">
        <v>139</v>
      </c>
      <c r="AB1049">
        <v>0.024142622010461537</v>
      </c>
      <c r="AC1049">
        <v>0.23740244976953845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Q1049" t="s">
        <v>140</v>
      </c>
      <c r="AR1049" t="s">
        <v>141</v>
      </c>
      <c r="AS1049">
        <v>0.21630615384615384</v>
      </c>
    </row>
    <row r="1050" spans="1:45" ht="12.75">
      <c r="A1050" s="2" t="str">
        <f>HYPERLINK("https://ibp.a2mac1.com/costing(costing:projects/details/8191/material/5320566)","Standard Structural Steel sheet")</f>
        <v>Standard Structural Steel sheet</v>
      </c>
      <c r="B1050">
        <v>5320566</v>
      </c>
      <c r="C1050">
        <v>6976157</v>
      </c>
      <c r="E1050">
        <v>0.61129999999999995</v>
      </c>
      <c r="F1050" t="s">
        <v>7022</v>
      </c>
      <c r="G1050">
        <v>75</v>
      </c>
      <c r="H1050" t="s">
        <v>7023</v>
      </c>
      <c r="I1050">
        <v>30</v>
      </c>
      <c r="J1050">
        <v>0.013998040274361589</v>
      </c>
      <c r="K1050">
        <v>0</v>
      </c>
      <c r="L1050">
        <v>0</v>
      </c>
      <c r="M1050">
        <v>0</v>
      </c>
      <c r="O1050">
        <v>200000</v>
      </c>
      <c r="R1050" t="s">
        <v>136</v>
      </c>
      <c r="S1050">
        <v>0.33621499999999999</v>
      </c>
      <c r="T1050">
        <v>0.00062760133333333336</v>
      </c>
      <c r="U1050" t="s">
        <v>137</v>
      </c>
      <c r="V1050">
        <v>0.15690033333333334</v>
      </c>
      <c r="W1050">
        <v>4.3041796013333338</v>
      </c>
      <c r="X1050" t="s">
        <v>138</v>
      </c>
      <c r="Y1050">
        <v>0.25825077608000002</v>
      </c>
      <c r="Z1050">
        <v>0</v>
      </c>
      <c r="AA1050" t="s">
        <v>139</v>
      </c>
      <c r="AB1050">
        <v>0.51650155216000004</v>
      </c>
      <c r="AC1050">
        <v>5.0789319295733337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Q1050" t="s">
        <v>140</v>
      </c>
      <c r="AR1050" t="s">
        <v>141</v>
      </c>
      <c r="AS1050">
        <v>4.4828666666666663</v>
      </c>
    </row>
    <row r="1051" spans="1:45" ht="12.75">
      <c r="A1051" s="2" t="str">
        <f>HYPERLINK("https://ibp.a2mac1.com/costing(costing:projects/details/8191/material/5320567)","Standard Structural Steel sheet")</f>
        <v>Standard Structural Steel sheet</v>
      </c>
      <c r="B1051">
        <v>5320567</v>
      </c>
      <c r="C1051">
        <v>6976158</v>
      </c>
      <c r="E1051">
        <v>0.61129999999999995</v>
      </c>
      <c r="F1051" t="s">
        <v>7026</v>
      </c>
      <c r="G1051">
        <v>65</v>
      </c>
      <c r="H1051" t="s">
        <v>7027</v>
      </c>
      <c r="I1051">
        <v>30</v>
      </c>
      <c r="J1051">
        <v>0.01099879013308536</v>
      </c>
      <c r="K1051">
        <v>0</v>
      </c>
      <c r="L1051">
        <v>0</v>
      </c>
      <c r="M1051">
        <v>0</v>
      </c>
      <c r="O1051">
        <v>400000</v>
      </c>
      <c r="R1051" t="s">
        <v>136</v>
      </c>
      <c r="S1051">
        <v>0.087886130769230769</v>
      </c>
      <c r="T1051">
        <v>9.2071184615384618E-05</v>
      </c>
      <c r="U1051" t="s">
        <v>137</v>
      </c>
      <c r="V1051">
        <v>0.029295376923076922</v>
      </c>
      <c r="W1051">
        <v>0.77851208656923077</v>
      </c>
      <c r="X1051" t="s">
        <v>138</v>
      </c>
      <c r="Y1051">
        <v>0.046710725194153847</v>
      </c>
      <c r="Z1051">
        <v>0</v>
      </c>
      <c r="AA1051" t="s">
        <v>139</v>
      </c>
      <c r="AB1051">
        <v>0.093421450388307695</v>
      </c>
      <c r="AC1051">
        <v>0.91864426215169226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Q1051" t="s">
        <v>140</v>
      </c>
      <c r="AR1051" t="s">
        <v>141</v>
      </c>
      <c r="AS1051">
        <v>0.83701076923076922</v>
      </c>
    </row>
    <row r="1052" spans="1:45" ht="12.75">
      <c r="A1052" s="2" t="str">
        <f>HYPERLINK("https://ibp.a2mac1.com/costing(costing:projects/details/8191/material/5320568)","Standard Structural Steel sheet")</f>
        <v>Standard Structural Steel sheet</v>
      </c>
      <c r="B1052">
        <v>5320568</v>
      </c>
      <c r="C1052">
        <v>6976159</v>
      </c>
      <c r="E1052">
        <v>0.61129999999999995</v>
      </c>
      <c r="F1052" t="s">
        <v>7030</v>
      </c>
      <c r="G1052">
        <v>80</v>
      </c>
      <c r="H1052" t="s">
        <v>7031</v>
      </c>
      <c r="I1052">
        <v>30</v>
      </c>
      <c r="J1052">
        <v>0.013998040274361589</v>
      </c>
      <c r="K1052">
        <v>0</v>
      </c>
      <c r="L1052">
        <v>0</v>
      </c>
      <c r="M1052">
        <v>0</v>
      </c>
      <c r="O1052">
        <v>200000</v>
      </c>
      <c r="R1052" t="s">
        <v>136</v>
      </c>
      <c r="S1052">
        <v>0.18614085</v>
      </c>
      <c r="T1052">
        <v>0.00043432865</v>
      </c>
      <c r="U1052" t="s">
        <v>137</v>
      </c>
      <c r="V1052">
        <v>0.1085821625</v>
      </c>
      <c r="W1052">
        <v>3.0252231411500001</v>
      </c>
      <c r="X1052" t="s">
        <v>138</v>
      </c>
      <c r="Y1052">
        <v>0.181513388469</v>
      </c>
      <c r="Z1052">
        <v>0</v>
      </c>
      <c r="AA1052" t="s">
        <v>139</v>
      </c>
      <c r="AB1052">
        <v>0.36302677693800001</v>
      </c>
      <c r="AC1052">
        <v>3.5697633065569998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Q1052" t="s">
        <v>140</v>
      </c>
      <c r="AR1052" t="s">
        <v>141</v>
      </c>
      <c r="AS1052">
        <v>3.1023475</v>
      </c>
    </row>
    <row r="1053" spans="1:45" ht="12.75">
      <c r="A1053" s="2" t="str">
        <f>HYPERLINK("https://ibp.a2mac1.com/costing(costing:projects/details/8191/material/5320569)","Standard Structural Steel sheet")</f>
        <v>Standard Structural Steel sheet</v>
      </c>
      <c r="B1053">
        <v>5320569</v>
      </c>
      <c r="C1053">
        <v>6976160</v>
      </c>
      <c r="E1053">
        <v>0.61129999999999995</v>
      </c>
      <c r="F1053" t="s">
        <v>1875</v>
      </c>
      <c r="G1053">
        <v>65</v>
      </c>
      <c r="H1053" t="s">
        <v>7035</v>
      </c>
      <c r="I1053">
        <v>30</v>
      </c>
      <c r="J1053">
        <v>0.01099879013308536</v>
      </c>
      <c r="K1053">
        <v>0</v>
      </c>
      <c r="L1053">
        <v>0</v>
      </c>
      <c r="M1053">
        <v>0</v>
      </c>
      <c r="O1053">
        <v>400000</v>
      </c>
      <c r="R1053" t="s">
        <v>136</v>
      </c>
      <c r="S1053">
        <v>0.016787238461538463</v>
      </c>
      <c r="T1053">
        <v>1.7586630769230769E-05</v>
      </c>
      <c r="U1053" t="s">
        <v>137</v>
      </c>
      <c r="V1053">
        <v>0.0055957461538461541</v>
      </c>
      <c r="W1053">
        <v>0.14870455586153847</v>
      </c>
      <c r="X1053" t="s">
        <v>138</v>
      </c>
      <c r="Y1053">
        <v>0.0089222733516923069</v>
      </c>
      <c r="Z1053">
        <v>0</v>
      </c>
      <c r="AA1053" t="s">
        <v>139</v>
      </c>
      <c r="AB1053">
        <v>0.017844546703384614</v>
      </c>
      <c r="AC1053">
        <v>0.17547137591661538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Q1053" t="s">
        <v>140</v>
      </c>
      <c r="AR1053" t="s">
        <v>141</v>
      </c>
      <c r="AS1053">
        <v>0.15987846153846152</v>
      </c>
    </row>
    <row r="1054" spans="1:45" ht="12.75">
      <c r="A1054" s="2" t="str">
        <f>HYPERLINK("https://ibp.a2mac1.com/costing(costing:projects/details/8191/material/5320523)","Steel sheet (Hot Forming Steel)")</f>
        <v>Steel sheet (Hot Forming Steel)</v>
      </c>
      <c r="B1054">
        <v>5320523</v>
      </c>
      <c r="C1054">
        <v>6976063</v>
      </c>
      <c r="E1054">
        <v>1.66818</v>
      </c>
      <c r="F1054" t="s">
        <v>7040</v>
      </c>
      <c r="G1054">
        <v>65</v>
      </c>
      <c r="H1054" t="s">
        <v>7041</v>
      </c>
      <c r="I1054">
        <v>30</v>
      </c>
      <c r="J1054">
        <v>0.01099879013308536</v>
      </c>
      <c r="K1054">
        <v>0</v>
      </c>
      <c r="L1054">
        <v>0</v>
      </c>
      <c r="M1054">
        <v>0</v>
      </c>
      <c r="O1054">
        <v>400000</v>
      </c>
      <c r="R1054" t="s">
        <v>136</v>
      </c>
      <c r="S1054">
        <v>1.0617324092307692</v>
      </c>
      <c r="T1054">
        <v>0.0011122910953846154</v>
      </c>
      <c r="U1054" t="s">
        <v>137</v>
      </c>
      <c r="V1054">
        <v>0.35391080307692308</v>
      </c>
      <c r="W1054">
        <v>9.4050279157107699</v>
      </c>
      <c r="X1054" t="s">
        <v>138</v>
      </c>
      <c r="Y1054">
        <v>0.56430167494264616</v>
      </c>
      <c r="Z1054">
        <v>0</v>
      </c>
      <c r="AA1054" t="s">
        <v>139</v>
      </c>
      <c r="AB1054">
        <v>1.1286033498852923</v>
      </c>
      <c r="AC1054">
        <v>11.097932940538708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Q1054" t="s">
        <v>140</v>
      </c>
      <c r="AR1054" t="s">
        <v>141</v>
      </c>
      <c r="AS1054">
        <v>10.111737230769231</v>
      </c>
    </row>
    <row r="1055" spans="1:45" ht="12.75">
      <c r="A1055" s="2" t="str">
        <f>HYPERLINK("https://ibp.a2mac1.com/costing(costing:projects/details/8191/material/5320524)","Standard Structural Steel sheet")</f>
        <v>Standard Structural Steel sheet</v>
      </c>
      <c r="B1055">
        <v>5320524</v>
      </c>
      <c r="C1055">
        <v>6976064</v>
      </c>
      <c r="E1055">
        <v>0.61129999999999995</v>
      </c>
      <c r="F1055" t="s">
        <v>7044</v>
      </c>
      <c r="G1055">
        <v>65</v>
      </c>
      <c r="H1055" t="s">
        <v>7045</v>
      </c>
      <c r="I1055">
        <v>30</v>
      </c>
      <c r="J1055">
        <v>0.01099879013308536</v>
      </c>
      <c r="K1055">
        <v>0</v>
      </c>
      <c r="L1055">
        <v>0</v>
      </c>
      <c r="M1055">
        <v>0</v>
      </c>
      <c r="O1055">
        <v>400000</v>
      </c>
      <c r="R1055" t="s">
        <v>136</v>
      </c>
      <c r="S1055">
        <v>0.3663567923076923</v>
      </c>
      <c r="T1055">
        <v>0.00038380235384615386</v>
      </c>
      <c r="U1055" t="s">
        <v>137</v>
      </c>
      <c r="V1055">
        <v>0.12211893076923076</v>
      </c>
      <c r="W1055">
        <v>3.2452582485076924</v>
      </c>
      <c r="X1055" t="s">
        <v>138</v>
      </c>
      <c r="Y1055">
        <v>0.19471549491046153</v>
      </c>
      <c r="Z1055">
        <v>0</v>
      </c>
      <c r="AA1055" t="s">
        <v>139</v>
      </c>
      <c r="AB1055">
        <v>0.38943098982092306</v>
      </c>
      <c r="AC1055">
        <v>3.8294047332390768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Q1055" t="s">
        <v>140</v>
      </c>
      <c r="AR1055" t="s">
        <v>141</v>
      </c>
      <c r="AS1055">
        <v>3.4891123076923076</v>
      </c>
    </row>
    <row r="1056" spans="1:45" ht="12.75">
      <c r="A1056" s="2" t="str">
        <f>HYPERLINK("https://ibp.a2mac1.com/costing(costing:projects/details/8191/material/5320525)","Standard Structural Steel sheet")</f>
        <v>Standard Structural Steel sheet</v>
      </c>
      <c r="B1056">
        <v>5320525</v>
      </c>
      <c r="C1056">
        <v>6976065</v>
      </c>
      <c r="E1056">
        <v>0.61129999999999995</v>
      </c>
      <c r="F1056" t="s">
        <v>7048</v>
      </c>
      <c r="G1056">
        <v>70</v>
      </c>
      <c r="H1056" t="s">
        <v>7049</v>
      </c>
      <c r="I1056">
        <v>30</v>
      </c>
      <c r="J1056">
        <v>0.01099879013308536</v>
      </c>
      <c r="K1056">
        <v>0</v>
      </c>
      <c r="L1056">
        <v>0</v>
      </c>
      <c r="M1056">
        <v>0</v>
      </c>
      <c r="O1056">
        <v>400000</v>
      </c>
      <c r="R1056" t="s">
        <v>136</v>
      </c>
      <c r="S1056">
        <v>0.057374871428571429</v>
      </c>
      <c r="T1056">
        <v>7.0124842857142853E-05</v>
      </c>
      <c r="U1056" t="s">
        <v>137</v>
      </c>
      <c r="V1056">
        <v>0.022312450000000001</v>
      </c>
      <c r="W1056">
        <v>0.60250627484285713</v>
      </c>
      <c r="X1056" t="s">
        <v>138</v>
      </c>
      <c r="Y1056">
        <v>0.036150376490571429</v>
      </c>
      <c r="Z1056">
        <v>0</v>
      </c>
      <c r="AA1056" t="s">
        <v>139</v>
      </c>
      <c r="AB1056">
        <v>0.072300752981142857</v>
      </c>
      <c r="AC1056">
        <v>0.71095740431457144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Q1056" t="s">
        <v>140</v>
      </c>
      <c r="AR1056" t="s">
        <v>141</v>
      </c>
      <c r="AS1056">
        <v>0.63749857142857147</v>
      </c>
    </row>
    <row r="1057" spans="1:45" ht="12.75">
      <c r="A1057" s="2" t="str">
        <f>HYPERLINK("https://ibp.a2mac1.com/costing(costing:projects/details/8191/material/5320526)","Standard Structural Steel sheet")</f>
        <v>Standard Structural Steel sheet</v>
      </c>
      <c r="B1057">
        <v>5320526</v>
      </c>
      <c r="C1057">
        <v>6976066</v>
      </c>
      <c r="E1057">
        <v>0.61129999999999995</v>
      </c>
      <c r="F1057" t="s">
        <v>7052</v>
      </c>
      <c r="G1057">
        <v>90</v>
      </c>
      <c r="H1057" t="s">
        <v>7053</v>
      </c>
      <c r="I1057">
        <v>30</v>
      </c>
      <c r="J1057">
        <v>0.01099879013308536</v>
      </c>
      <c r="K1057">
        <v>0</v>
      </c>
      <c r="L1057">
        <v>0</v>
      </c>
      <c r="M1057">
        <v>0</v>
      </c>
      <c r="O1057">
        <v>400000</v>
      </c>
      <c r="R1057" t="s">
        <v>136</v>
      </c>
      <c r="S1057">
        <v>0.040753333333333336</v>
      </c>
      <c r="T1057">
        <v>0.00014942888888888888</v>
      </c>
      <c r="U1057" t="s">
        <v>137</v>
      </c>
      <c r="V1057">
        <v>0.047545555555555556</v>
      </c>
      <c r="W1057">
        <v>1.3653860955555555</v>
      </c>
      <c r="X1057" t="s">
        <v>138</v>
      </c>
      <c r="Y1057">
        <v>0.081923165733333331</v>
      </c>
      <c r="Z1057">
        <v>0</v>
      </c>
      <c r="AA1057" t="s">
        <v>139</v>
      </c>
      <c r="AB1057">
        <v>0.16384633146666666</v>
      </c>
      <c r="AC1057">
        <v>1.6111555927555556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Q1057" t="s">
        <v>140</v>
      </c>
      <c r="AR1057" t="s">
        <v>141</v>
      </c>
      <c r="AS1057">
        <v>1.3584444444444443</v>
      </c>
    </row>
    <row r="1058" spans="1:45" ht="12.75">
      <c r="A1058" s="2" t="str">
        <f>HYPERLINK("https://ibp.a2mac1.com/costing(costing:projects/details/8191/material/5320527)","Standard Structural Steel sheet")</f>
        <v>Standard Structural Steel sheet</v>
      </c>
      <c r="B1058">
        <v>5320527</v>
      </c>
      <c r="C1058">
        <v>6976067</v>
      </c>
      <c r="E1058">
        <v>0.61129999999999995</v>
      </c>
      <c r="F1058" t="s">
        <v>828</v>
      </c>
      <c r="G1058">
        <v>65</v>
      </c>
      <c r="H1058" t="s">
        <v>7057</v>
      </c>
      <c r="I1058">
        <v>30</v>
      </c>
      <c r="J1058">
        <v>0.01099879013308536</v>
      </c>
      <c r="K1058">
        <v>0</v>
      </c>
      <c r="L1058">
        <v>0</v>
      </c>
      <c r="M1058">
        <v>0</v>
      </c>
      <c r="O1058">
        <v>400000</v>
      </c>
      <c r="R1058" t="s">
        <v>136</v>
      </c>
      <c r="S1058">
        <v>0.071098892307692313</v>
      </c>
      <c r="T1058">
        <v>7.4484553846153849E-05</v>
      </c>
      <c r="U1058" t="s">
        <v>137</v>
      </c>
      <c r="V1058">
        <v>0.023699630769230769</v>
      </c>
      <c r="W1058">
        <v>0.62980753070769235</v>
      </c>
      <c r="X1058" t="s">
        <v>138</v>
      </c>
      <c r="Y1058">
        <v>0.037788451842461539</v>
      </c>
      <c r="Z1058">
        <v>0</v>
      </c>
      <c r="AA1058" t="s">
        <v>139</v>
      </c>
      <c r="AB1058">
        <v>0.075576903684923077</v>
      </c>
      <c r="AC1058">
        <v>0.74317288623507693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Q1058" t="s">
        <v>140</v>
      </c>
      <c r="AR1058" t="s">
        <v>141</v>
      </c>
      <c r="AS1058">
        <v>0.6771323076923077</v>
      </c>
    </row>
    <row r="1059" spans="1:45" ht="12.75">
      <c r="A1059" s="2" t="str">
        <f>HYPERLINK("https://ibp.a2mac1.com/costing(costing:projects/details/8191/material/5320528)","Standard Structural Steel sheet")</f>
        <v>Standard Structural Steel sheet</v>
      </c>
      <c r="B1059">
        <v>5320528</v>
      </c>
      <c r="C1059">
        <v>6976068</v>
      </c>
      <c r="E1059">
        <v>0.61129999999999995</v>
      </c>
      <c r="F1059" t="s">
        <v>3986</v>
      </c>
      <c r="G1059">
        <v>65</v>
      </c>
      <c r="H1059" t="s">
        <v>7060</v>
      </c>
      <c r="I1059">
        <v>30</v>
      </c>
      <c r="J1059">
        <v>0.01099879013308536</v>
      </c>
      <c r="K1059">
        <v>0</v>
      </c>
      <c r="L1059">
        <v>0</v>
      </c>
      <c r="M1059">
        <v>0</v>
      </c>
      <c r="O1059">
        <v>400000</v>
      </c>
      <c r="R1059" t="s">
        <v>136</v>
      </c>
      <c r="S1059">
        <v>0.096773492307692305</v>
      </c>
      <c r="T1059">
        <v>0.00010138175384615385</v>
      </c>
      <c r="U1059" t="s">
        <v>137</v>
      </c>
      <c r="V1059">
        <v>0.032257830769230771</v>
      </c>
      <c r="W1059">
        <v>0.85723802790769232</v>
      </c>
      <c r="X1059" t="s">
        <v>138</v>
      </c>
      <c r="Y1059">
        <v>0.051434281674461541</v>
      </c>
      <c r="Z1059">
        <v>0</v>
      </c>
      <c r="AA1059" t="s">
        <v>139</v>
      </c>
      <c r="AB1059">
        <v>0.10286856334892308</v>
      </c>
      <c r="AC1059">
        <v>1.0115408729310769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Q1059" t="s">
        <v>140</v>
      </c>
      <c r="AR1059" t="s">
        <v>141</v>
      </c>
      <c r="AS1059">
        <v>0.92165230769230766</v>
      </c>
    </row>
    <row r="1060" spans="1:45" ht="12.75">
      <c r="A1060" s="2" t="str">
        <f>HYPERLINK("https://ibp.a2mac1.com/costing(costing:projects/details/8191/material/5320529)","Standard Structural Steel sheet")</f>
        <v>Standard Structural Steel sheet</v>
      </c>
      <c r="B1060">
        <v>5320529</v>
      </c>
      <c r="C1060">
        <v>6976069</v>
      </c>
      <c r="E1060">
        <v>0.61129999999999995</v>
      </c>
      <c r="F1060" t="s">
        <v>2059</v>
      </c>
      <c r="G1060">
        <v>60</v>
      </c>
      <c r="H1060" t="s">
        <v>2733</v>
      </c>
      <c r="I1060">
        <v>30</v>
      </c>
      <c r="J1060">
        <v>0.01099879013308536</v>
      </c>
      <c r="K1060">
        <v>0</v>
      </c>
      <c r="L1060">
        <v>0</v>
      </c>
      <c r="M1060">
        <v>0</v>
      </c>
      <c r="O1060">
        <v>400000</v>
      </c>
      <c r="R1060" t="s">
        <v>136</v>
      </c>
      <c r="S1060">
        <v>0.0073356000000000003</v>
      </c>
      <c r="T1060">
        <v>6.7243000000000001E-06</v>
      </c>
      <c r="U1060" t="s">
        <v>137</v>
      </c>
      <c r="V1060">
        <v>0.00213955</v>
      </c>
      <c r="W1060">
        <v>0.0559406743</v>
      </c>
      <c r="X1060" t="s">
        <v>138</v>
      </c>
      <c r="Y1060">
        <v>0.0033564404579999999</v>
      </c>
      <c r="Z1060">
        <v>0</v>
      </c>
      <c r="AA1060" t="s">
        <v>139</v>
      </c>
      <c r="AB1060">
        <v>0.0067128809159999999</v>
      </c>
      <c r="AC1060">
        <v>0.066009995673999997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Q1060" t="s">
        <v>140</v>
      </c>
      <c r="AR1060" t="s">
        <v>141</v>
      </c>
      <c r="AS1060">
        <v>0.061129999999999997</v>
      </c>
    </row>
    <row r="1061" spans="1:45" ht="12.75">
      <c r="A1061" s="2" t="str">
        <f>HYPERLINK("https://ibp.a2mac1.com/costing(costing:projects/details/8191/material/5320530)","Standard Structural Steel sheet")</f>
        <v>Standard Structural Steel sheet</v>
      </c>
      <c r="B1061">
        <v>5320530</v>
      </c>
      <c r="C1061">
        <v>6976070</v>
      </c>
      <c r="E1061">
        <v>0.61129999999999995</v>
      </c>
      <c r="F1061" t="s">
        <v>7065</v>
      </c>
      <c r="G1061">
        <v>65</v>
      </c>
      <c r="H1061" t="s">
        <v>7066</v>
      </c>
      <c r="I1061">
        <v>30</v>
      </c>
      <c r="J1061">
        <v>0.01099879013308536</v>
      </c>
      <c r="K1061">
        <v>0</v>
      </c>
      <c r="L1061">
        <v>0</v>
      </c>
      <c r="M1061">
        <v>0</v>
      </c>
      <c r="O1061">
        <v>400000</v>
      </c>
      <c r="R1061" t="s">
        <v>136</v>
      </c>
      <c r="S1061">
        <v>0.061224046153846155</v>
      </c>
      <c r="T1061">
        <v>6.4139476923076922E-05</v>
      </c>
      <c r="U1061" t="s">
        <v>137</v>
      </c>
      <c r="V1061">
        <v>0.020408015384615386</v>
      </c>
      <c r="W1061">
        <v>0.5423342625538462</v>
      </c>
      <c r="X1061" t="s">
        <v>138</v>
      </c>
      <c r="Y1061">
        <v>0.032540055753230768</v>
      </c>
      <c r="Z1061">
        <v>0</v>
      </c>
      <c r="AA1061" t="s">
        <v>139</v>
      </c>
      <c r="AB1061">
        <v>0.065080111506461535</v>
      </c>
      <c r="AC1061">
        <v>0.63995442981353845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Q1061" t="s">
        <v>140</v>
      </c>
      <c r="AR1061" t="s">
        <v>141</v>
      </c>
      <c r="AS1061">
        <v>0.58308615384615381</v>
      </c>
    </row>
    <row r="1062" spans="1:45" ht="12.75">
      <c r="A1062" s="2" t="str">
        <f>HYPERLINK("https://ibp.a2mac1.com/costing(costing:projects/details/8191/material/5320531)","Standard Structural Steel sheet")</f>
        <v>Standard Structural Steel sheet</v>
      </c>
      <c r="B1062">
        <v>5320531</v>
      </c>
      <c r="C1062">
        <v>6976071</v>
      </c>
      <c r="E1062">
        <v>0.61129999999999995</v>
      </c>
      <c r="F1062" t="s">
        <v>2911</v>
      </c>
      <c r="G1062">
        <v>60</v>
      </c>
      <c r="H1062" t="s">
        <v>7069</v>
      </c>
      <c r="I1062">
        <v>30</v>
      </c>
      <c r="J1062">
        <v>0.01099879013308536</v>
      </c>
      <c r="K1062">
        <v>0</v>
      </c>
      <c r="L1062">
        <v>0</v>
      </c>
      <c r="M1062">
        <v>0</v>
      </c>
      <c r="O1062">
        <v>400000</v>
      </c>
      <c r="R1062" t="s">
        <v>136</v>
      </c>
      <c r="S1062">
        <v>0.0085582000000000002</v>
      </c>
      <c r="T1062">
        <v>7.845016666666667E-06</v>
      </c>
      <c r="U1062" t="s">
        <v>137</v>
      </c>
      <c r="V1062">
        <v>0.0024961416666666666</v>
      </c>
      <c r="W1062">
        <v>0.065264120016666663</v>
      </c>
      <c r="X1062" t="s">
        <v>138</v>
      </c>
      <c r="Y1062">
        <v>0.0039158472009999997</v>
      </c>
      <c r="Z1062">
        <v>0</v>
      </c>
      <c r="AA1062" t="s">
        <v>139</v>
      </c>
      <c r="AB1062">
        <v>0.0078316944019999994</v>
      </c>
      <c r="AC1062">
        <v>0.07701166161966666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Q1062" t="s">
        <v>140</v>
      </c>
      <c r="AR1062" t="s">
        <v>141</v>
      </c>
      <c r="AS1062">
        <v>0.071318333333333331</v>
      </c>
    </row>
    <row r="1063" spans="1:45" ht="12.75">
      <c r="A1063" s="2" t="str">
        <f>HYPERLINK("https://ibp.a2mac1.com/costing(costing:projects/details/8191/material/5320532)","Standard Structural Steel sheet")</f>
        <v>Standard Structural Steel sheet</v>
      </c>
      <c r="B1063">
        <v>5320532</v>
      </c>
      <c r="C1063">
        <v>6976072</v>
      </c>
      <c r="E1063">
        <v>0.61129999999999995</v>
      </c>
      <c r="F1063" t="s">
        <v>828</v>
      </c>
      <c r="G1063">
        <v>70</v>
      </c>
      <c r="H1063" t="s">
        <v>7072</v>
      </c>
      <c r="I1063">
        <v>30</v>
      </c>
      <c r="J1063">
        <v>0.01099879013308536</v>
      </c>
      <c r="K1063">
        <v>0</v>
      </c>
      <c r="L1063">
        <v>0</v>
      </c>
      <c r="M1063">
        <v>0</v>
      </c>
      <c r="O1063">
        <v>400000</v>
      </c>
      <c r="R1063" t="s">
        <v>136</v>
      </c>
      <c r="S1063">
        <v>0.056588914285714283</v>
      </c>
      <c r="T1063">
        <v>6.9164228571428566E-05</v>
      </c>
      <c r="U1063" t="s">
        <v>137</v>
      </c>
      <c r="V1063">
        <v>0.0220068</v>
      </c>
      <c r="W1063">
        <v>0.59425276422857143</v>
      </c>
      <c r="X1063" t="s">
        <v>138</v>
      </c>
      <c r="Y1063">
        <v>0.035655165853714282</v>
      </c>
      <c r="Z1063">
        <v>0</v>
      </c>
      <c r="AA1063" t="s">
        <v>139</v>
      </c>
      <c r="AB1063">
        <v>0.071310331707428565</v>
      </c>
      <c r="AC1063">
        <v>0.70121826178971425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Q1063" t="s">
        <v>140</v>
      </c>
      <c r="AR1063" t="s">
        <v>141</v>
      </c>
      <c r="AS1063">
        <v>0.62876571428571426</v>
      </c>
    </row>
    <row r="1064" spans="1:45" ht="12.75">
      <c r="A1064" s="2" t="str">
        <f>HYPERLINK("https://ibp.a2mac1.com/costing(costing:projects/details/8191/material/5320533)","Standard Structural Steel sheet")</f>
        <v>Standard Structural Steel sheet</v>
      </c>
      <c r="B1064">
        <v>5320533</v>
      </c>
      <c r="C1064">
        <v>6976073</v>
      </c>
      <c r="E1064">
        <v>0.61129999999999995</v>
      </c>
      <c r="F1064" t="s">
        <v>5411</v>
      </c>
      <c r="G1064">
        <v>60</v>
      </c>
      <c r="H1064" t="s">
        <v>7075</v>
      </c>
      <c r="I1064">
        <v>30</v>
      </c>
      <c r="J1064">
        <v>0.01099879013308536</v>
      </c>
      <c r="K1064">
        <v>0</v>
      </c>
      <c r="L1064">
        <v>0</v>
      </c>
      <c r="M1064">
        <v>0</v>
      </c>
      <c r="O1064">
        <v>400000</v>
      </c>
      <c r="R1064" t="s">
        <v>136</v>
      </c>
      <c r="S1064">
        <v>0.042791000000000003</v>
      </c>
      <c r="T1064">
        <v>3.9225083333333335E-05</v>
      </c>
      <c r="U1064" t="s">
        <v>137</v>
      </c>
      <c r="V1064">
        <v>0.012480708333333333</v>
      </c>
      <c r="W1064">
        <v>0.32632060008333336</v>
      </c>
      <c r="X1064" t="s">
        <v>138</v>
      </c>
      <c r="Y1064">
        <v>0.019579236005</v>
      </c>
      <c r="Z1064">
        <v>0</v>
      </c>
      <c r="AA1064" t="s">
        <v>139</v>
      </c>
      <c r="AB1064">
        <v>0.039158472010000001</v>
      </c>
      <c r="AC1064">
        <v>0.38505830809833336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Q1064" t="s">
        <v>140</v>
      </c>
      <c r="AR1064" t="s">
        <v>141</v>
      </c>
      <c r="AS1064">
        <v>0.35659166666666664</v>
      </c>
    </row>
    <row r="1065" spans="1:45" ht="12.75">
      <c r="A1065" s="2" t="str">
        <f>HYPERLINK("https://ibp.a2mac1.com/costing(costing:projects/details/8191/material/5320534)","Standard Structural Steel sheet")</f>
        <v>Standard Structural Steel sheet</v>
      </c>
      <c r="B1065">
        <v>5320534</v>
      </c>
      <c r="C1065">
        <v>6976074</v>
      </c>
      <c r="E1065">
        <v>0.61129999999999995</v>
      </c>
      <c r="F1065" t="s">
        <v>1471</v>
      </c>
      <c r="G1065">
        <v>60</v>
      </c>
      <c r="H1065" t="s">
        <v>6605</v>
      </c>
      <c r="I1065">
        <v>30</v>
      </c>
      <c r="J1065">
        <v>0.01099879013308536</v>
      </c>
      <c r="K1065">
        <v>0</v>
      </c>
      <c r="L1065">
        <v>0</v>
      </c>
      <c r="M1065">
        <v>0</v>
      </c>
      <c r="O1065">
        <v>400000</v>
      </c>
      <c r="R1065" t="s">
        <v>136</v>
      </c>
      <c r="S1065">
        <v>0.018339000000000001</v>
      </c>
      <c r="T1065">
        <v>1.6810750000000002E-05</v>
      </c>
      <c r="U1065" t="s">
        <v>137</v>
      </c>
      <c r="V1065">
        <v>0.0053488750000000003</v>
      </c>
      <c r="W1065">
        <v>0.13985168575000001</v>
      </c>
      <c r="X1065" t="s">
        <v>138</v>
      </c>
      <c r="Y1065">
        <v>0.0083911011449999996</v>
      </c>
      <c r="Z1065">
        <v>0</v>
      </c>
      <c r="AA1065" t="s">
        <v>139</v>
      </c>
      <c r="AB1065">
        <v>0.016782202289999999</v>
      </c>
      <c r="AC1065">
        <v>0.165024989185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Q1065" t="s">
        <v>140</v>
      </c>
      <c r="AR1065" t="s">
        <v>141</v>
      </c>
      <c r="AS1065">
        <v>0.15282499999999999</v>
      </c>
    </row>
    <row r="1066" spans="1:45" ht="12.75">
      <c r="A1066" s="2" t="str">
        <f>HYPERLINK("https://ibp.a2mac1.com/costing(costing:projects/details/8191/material/5320535)","Standard Structural Steel sheet")</f>
        <v>Standard Structural Steel sheet</v>
      </c>
      <c r="B1066">
        <v>5320535</v>
      </c>
      <c r="C1066">
        <v>6976075</v>
      </c>
      <c r="E1066">
        <v>0.61129999999999995</v>
      </c>
      <c r="F1066" t="s">
        <v>2819</v>
      </c>
      <c r="G1066">
        <v>65</v>
      </c>
      <c r="H1066" t="s">
        <v>7081</v>
      </c>
      <c r="I1066">
        <v>30</v>
      </c>
      <c r="J1066">
        <v>0.01099879013308536</v>
      </c>
      <c r="K1066">
        <v>0</v>
      </c>
      <c r="L1066">
        <v>0</v>
      </c>
      <c r="M1066">
        <v>0</v>
      </c>
      <c r="O1066">
        <v>400000</v>
      </c>
      <c r="R1066" t="s">
        <v>136</v>
      </c>
      <c r="S1066">
        <v>0.015799753846153845</v>
      </c>
      <c r="T1066">
        <v>1.6552123076923077E-05</v>
      </c>
      <c r="U1066" t="s">
        <v>137</v>
      </c>
      <c r="V1066">
        <v>0.0052665846153846152</v>
      </c>
      <c r="W1066">
        <v>0.13995722904615385</v>
      </c>
      <c r="X1066" t="s">
        <v>138</v>
      </c>
      <c r="Y1066">
        <v>0.0083974337427692308</v>
      </c>
      <c r="Z1066">
        <v>0</v>
      </c>
      <c r="AA1066" t="s">
        <v>139</v>
      </c>
      <c r="AB1066">
        <v>0.016794867485538462</v>
      </c>
      <c r="AC1066">
        <v>0.16514953027446153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Q1066" t="s">
        <v>140</v>
      </c>
      <c r="AR1066" t="s">
        <v>141</v>
      </c>
      <c r="AS1066">
        <v>0.15047384615384615</v>
      </c>
    </row>
    <row r="1067" spans="1:45" ht="12.75">
      <c r="A1067" s="2" t="str">
        <f>HYPERLINK("https://ibp.a2mac1.com/costing(costing:projects/details/8191/material/5320536)","Standard Structural Steel sheet")</f>
        <v>Standard Structural Steel sheet</v>
      </c>
      <c r="B1067">
        <v>5320536</v>
      </c>
      <c r="C1067">
        <v>6976076</v>
      </c>
      <c r="E1067">
        <v>0.61129999999999995</v>
      </c>
      <c r="F1067" t="s">
        <v>4081</v>
      </c>
      <c r="G1067">
        <v>55</v>
      </c>
      <c r="H1067" t="s">
        <v>7085</v>
      </c>
      <c r="I1067">
        <v>30</v>
      </c>
      <c r="J1067">
        <v>0.01099879013308536</v>
      </c>
      <c r="K1067">
        <v>0</v>
      </c>
      <c r="L1067">
        <v>0</v>
      </c>
      <c r="M1067">
        <v>0</v>
      </c>
      <c r="O1067">
        <v>400000</v>
      </c>
      <c r="R1067" t="s">
        <v>136</v>
      </c>
      <c r="S1067">
        <v>0.060018545454545456</v>
      </c>
      <c r="T1067">
        <v>4.8903999999999998E-05</v>
      </c>
      <c r="U1067" t="s">
        <v>137</v>
      </c>
      <c r="V1067">
        <v>0.015560363636363636</v>
      </c>
      <c r="W1067">
        <v>0.40017254036363636</v>
      </c>
      <c r="X1067" t="s">
        <v>138</v>
      </c>
      <c r="Y1067">
        <v>0.024010352421818183</v>
      </c>
      <c r="Z1067">
        <v>0</v>
      </c>
      <c r="AA1067" t="s">
        <v>139</v>
      </c>
      <c r="AB1067">
        <v>0.048020704843636366</v>
      </c>
      <c r="AC1067">
        <v>0.47220359762909092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Q1067" t="s">
        <v>140</v>
      </c>
      <c r="AR1067" t="s">
        <v>141</v>
      </c>
      <c r="AS1067">
        <v>0.44458181818181819</v>
      </c>
    </row>
    <row r="1068" spans="1:45" ht="12.75">
      <c r="A1068" s="2" t="str">
        <f>HYPERLINK("https://ibp.a2mac1.com/costing(costing:projects/details/8191/material/5320537)","Standard Structural Steel sheet")</f>
        <v>Standard Structural Steel sheet</v>
      </c>
      <c r="B1068">
        <v>5320537</v>
      </c>
      <c r="C1068">
        <v>6976077</v>
      </c>
      <c r="E1068">
        <v>0.61129999999999995</v>
      </c>
      <c r="F1068" t="s">
        <v>7088</v>
      </c>
      <c r="G1068">
        <v>75</v>
      </c>
      <c r="H1068" t="s">
        <v>7089</v>
      </c>
      <c r="I1068">
        <v>30</v>
      </c>
      <c r="J1068">
        <v>0.01099879013308536</v>
      </c>
      <c r="K1068">
        <v>0</v>
      </c>
      <c r="L1068">
        <v>0</v>
      </c>
      <c r="M1068">
        <v>0</v>
      </c>
      <c r="O1068">
        <v>400000</v>
      </c>
      <c r="R1068" t="s">
        <v>136</v>
      </c>
      <c r="S1068">
        <v>0.080691600000000002</v>
      </c>
      <c r="T1068">
        <v>0.00011834768</v>
      </c>
      <c r="U1068" t="s">
        <v>137</v>
      </c>
      <c r="V1068">
        <v>0.037656080000000001</v>
      </c>
      <c r="W1068">
        <v>1.03297082768</v>
      </c>
      <c r="X1068" t="s">
        <v>138</v>
      </c>
      <c r="Y1068">
        <v>0.061978249660799997</v>
      </c>
      <c r="Z1068">
        <v>0</v>
      </c>
      <c r="AA1068" t="s">
        <v>139</v>
      </c>
      <c r="AB1068">
        <v>0.12395649932159999</v>
      </c>
      <c r="AC1068">
        <v>1.2189055766624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Q1068" t="s">
        <v>140</v>
      </c>
      <c r="AR1068" t="s">
        <v>141</v>
      </c>
      <c r="AS1068">
        <v>1.075888</v>
      </c>
    </row>
    <row r="1069" spans="1:45" ht="12.75">
      <c r="A1069" s="2" t="str">
        <f>HYPERLINK("https://ibp.a2mac1.com/costing(costing:projects/details/8191/material/5320538)","Standard Structural Steel sheet")</f>
        <v>Standard Structural Steel sheet</v>
      </c>
      <c r="B1069">
        <v>5320538</v>
      </c>
      <c r="C1069">
        <v>6976078</v>
      </c>
      <c r="E1069">
        <v>0.61129999999999995</v>
      </c>
      <c r="F1069" t="s">
        <v>1875</v>
      </c>
      <c r="G1069">
        <v>80</v>
      </c>
      <c r="H1069" t="s">
        <v>7092</v>
      </c>
      <c r="I1069">
        <v>30</v>
      </c>
      <c r="J1069">
        <v>0.01099879013308536</v>
      </c>
      <c r="K1069">
        <v>0</v>
      </c>
      <c r="L1069">
        <v>0</v>
      </c>
      <c r="M1069">
        <v>0</v>
      </c>
      <c r="O1069">
        <v>400000</v>
      </c>
      <c r="R1069" t="s">
        <v>136</v>
      </c>
      <c r="S1069">
        <v>0.0077940750000000001</v>
      </c>
      <c r="T1069">
        <v>1.4289137499999999E-05</v>
      </c>
      <c r="U1069" t="s">
        <v>137</v>
      </c>
      <c r="V1069">
        <v>0.0045465437499999997</v>
      </c>
      <c r="W1069">
        <v>0.12666800788749999</v>
      </c>
      <c r="X1069" t="s">
        <v>138</v>
      </c>
      <c r="Y1069">
        <v>0.0076000804732500003</v>
      </c>
      <c r="Z1069">
        <v>0</v>
      </c>
      <c r="AA1069" t="s">
        <v>139</v>
      </c>
      <c r="AB1069">
        <v>0.015200160946500001</v>
      </c>
      <c r="AC1069">
        <v>0.14946824930725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Q1069" t="s">
        <v>140</v>
      </c>
      <c r="AR1069" t="s">
        <v>141</v>
      </c>
      <c r="AS1069">
        <v>0.12990125</v>
      </c>
    </row>
    <row r="1070" spans="1:45" ht="12.75">
      <c r="A1070" s="2" t="str">
        <f>HYPERLINK("https://ibp.a2mac1.com/costing(costing:projects/details/8191/material/5320539)","Standard Structural Steel sheet")</f>
        <v>Standard Structural Steel sheet</v>
      </c>
      <c r="B1070">
        <v>5320539</v>
      </c>
      <c r="C1070">
        <v>6976079</v>
      </c>
      <c r="E1070">
        <v>0.61129999999999995</v>
      </c>
      <c r="F1070" t="s">
        <v>2764</v>
      </c>
      <c r="G1070">
        <v>58</v>
      </c>
      <c r="H1070" t="s">
        <v>7096</v>
      </c>
      <c r="I1070">
        <v>30</v>
      </c>
      <c r="J1070">
        <v>0.01099879013308536</v>
      </c>
      <c r="K1070">
        <v>0</v>
      </c>
      <c r="L1070">
        <v>0</v>
      </c>
      <c r="M1070">
        <v>0</v>
      </c>
      <c r="O1070">
        <v>400000</v>
      </c>
      <c r="R1070" t="s">
        <v>136</v>
      </c>
      <c r="S1070">
        <v>0.033199913793103449</v>
      </c>
      <c r="T1070">
        <v>2.8984051724137932E-05</v>
      </c>
      <c r="U1070" t="s">
        <v>137</v>
      </c>
      <c r="V1070">
        <v>0.0092221982758620685</v>
      </c>
      <c r="W1070">
        <v>0.23954264784482759</v>
      </c>
      <c r="X1070" t="s">
        <v>138</v>
      </c>
      <c r="Y1070">
        <v>0.014372558870689655</v>
      </c>
      <c r="Z1070">
        <v>0</v>
      </c>
      <c r="AA1070" t="s">
        <v>139</v>
      </c>
      <c r="AB1070">
        <v>0.028745117741379309</v>
      </c>
      <c r="AC1070">
        <v>0.28266032445689654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Q1070" t="s">
        <v>140</v>
      </c>
      <c r="AR1070" t="s">
        <v>141</v>
      </c>
      <c r="AS1070">
        <v>0.26349137931034483</v>
      </c>
    </row>
    <row r="1071" spans="1:45" ht="12.75">
      <c r="A1071" s="2" t="str">
        <f>HYPERLINK("https://ibp.a2mac1.com/costing(costing:projects/details/8191/material/5320540)","Standard Structural Steel sheet")</f>
        <v>Standard Structural Steel sheet</v>
      </c>
      <c r="B1071">
        <v>5320540</v>
      </c>
      <c r="C1071">
        <v>6976080</v>
      </c>
      <c r="E1071">
        <v>0.61129999999999995</v>
      </c>
      <c r="F1071" t="s">
        <v>3486</v>
      </c>
      <c r="G1071">
        <v>70</v>
      </c>
      <c r="H1071" t="s">
        <v>7099</v>
      </c>
      <c r="I1071">
        <v>30</v>
      </c>
      <c r="J1071">
        <v>0.01099879013308536</v>
      </c>
      <c r="K1071">
        <v>0</v>
      </c>
      <c r="L1071">
        <v>0</v>
      </c>
      <c r="M1071">
        <v>0</v>
      </c>
      <c r="O1071">
        <v>400000</v>
      </c>
      <c r="R1071" t="s">
        <v>136</v>
      </c>
      <c r="S1071">
        <v>0.028294457142857141</v>
      </c>
      <c r="T1071">
        <v>3.4582114285714283E-05</v>
      </c>
      <c r="U1071" t="s">
        <v>137</v>
      </c>
      <c r="V1071">
        <v>0.0110034</v>
      </c>
      <c r="W1071">
        <v>0.29712638211428571</v>
      </c>
      <c r="X1071" t="s">
        <v>138</v>
      </c>
      <c r="Y1071">
        <v>0.017827582926857141</v>
      </c>
      <c r="Z1071">
        <v>0</v>
      </c>
      <c r="AA1071" t="s">
        <v>139</v>
      </c>
      <c r="AB1071">
        <v>0.035655165853714282</v>
      </c>
      <c r="AC1071">
        <v>0.35060913089485712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Q1071" t="s">
        <v>140</v>
      </c>
      <c r="AR1071" t="s">
        <v>141</v>
      </c>
      <c r="AS1071">
        <v>0.31438285714285713</v>
      </c>
    </row>
    <row r="1072" spans="1:45" ht="12.75">
      <c r="A1072" s="2" t="str">
        <f>HYPERLINK("https://ibp.a2mac1.com/costing(costing:projects/details/8191/material/5320541)","Standard Structural Steel sheet")</f>
        <v>Standard Structural Steel sheet</v>
      </c>
      <c r="B1072">
        <v>5320541</v>
      </c>
      <c r="C1072">
        <v>6976081</v>
      </c>
      <c r="E1072">
        <v>0.61129999999999995</v>
      </c>
      <c r="F1072" t="s">
        <v>7102</v>
      </c>
      <c r="G1072">
        <v>90</v>
      </c>
      <c r="H1072" t="s">
        <v>7103</v>
      </c>
      <c r="I1072">
        <v>30</v>
      </c>
      <c r="J1072">
        <v>0.01099879013308536</v>
      </c>
      <c r="K1072">
        <v>0</v>
      </c>
      <c r="L1072">
        <v>0</v>
      </c>
      <c r="M1072">
        <v>0</v>
      </c>
      <c r="O1072">
        <v>400000</v>
      </c>
      <c r="R1072" t="s">
        <v>136</v>
      </c>
      <c r="S1072">
        <v>0.0140599</v>
      </c>
      <c r="T1072">
        <v>5.1552966666666666E-05</v>
      </c>
      <c r="U1072" t="s">
        <v>137</v>
      </c>
      <c r="V1072">
        <v>0.016403216666666668</v>
      </c>
      <c r="W1072">
        <v>0.47105820296666667</v>
      </c>
      <c r="X1072" t="s">
        <v>138</v>
      </c>
      <c r="Y1072">
        <v>0.028263492178000001</v>
      </c>
      <c r="Z1072">
        <v>0</v>
      </c>
      <c r="AA1072" t="s">
        <v>139</v>
      </c>
      <c r="AB1072">
        <v>0.056526984356000003</v>
      </c>
      <c r="AC1072">
        <v>0.55584867950066663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Q1072" t="s">
        <v>140</v>
      </c>
      <c r="AR1072" t="s">
        <v>141</v>
      </c>
      <c r="AS1072">
        <v>0.46866333333333332</v>
      </c>
    </row>
    <row r="1073" spans="1:45" ht="12.75">
      <c r="A1073" s="2" t="str">
        <f>HYPERLINK("https://ibp.a2mac1.com/costing(costing:projects/details/8191/material/5320542)","Standard Structural Steel sheet")</f>
        <v>Standard Structural Steel sheet</v>
      </c>
      <c r="B1073">
        <v>5320542</v>
      </c>
      <c r="C1073">
        <v>6976082</v>
      </c>
      <c r="E1073">
        <v>0.61129999999999995</v>
      </c>
      <c r="F1073" t="s">
        <v>7106</v>
      </c>
      <c r="G1073">
        <v>65</v>
      </c>
      <c r="H1073" t="s">
        <v>7107</v>
      </c>
      <c r="I1073">
        <v>30</v>
      </c>
      <c r="J1073">
        <v>0.01099879013308536</v>
      </c>
      <c r="K1073">
        <v>0</v>
      </c>
      <c r="L1073">
        <v>0</v>
      </c>
      <c r="M1073">
        <v>0</v>
      </c>
      <c r="O1073">
        <v>400000</v>
      </c>
      <c r="R1073" t="s">
        <v>136</v>
      </c>
      <c r="S1073">
        <v>0.16293496153846154</v>
      </c>
      <c r="T1073">
        <v>0.00017069376923076922</v>
      </c>
      <c r="U1073" t="s">
        <v>137</v>
      </c>
      <c r="V1073">
        <v>0.054311653846153843</v>
      </c>
      <c r="W1073">
        <v>1.4433089245384616</v>
      </c>
      <c r="X1073" t="s">
        <v>138</v>
      </c>
      <c r="Y1073">
        <v>0.086598535472307697</v>
      </c>
      <c r="Z1073">
        <v>0</v>
      </c>
      <c r="AA1073" t="s">
        <v>139</v>
      </c>
      <c r="AB1073">
        <v>0.17319707094461539</v>
      </c>
      <c r="AC1073">
        <v>1.7031045309553847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Q1073" t="s">
        <v>140</v>
      </c>
      <c r="AR1073" t="s">
        <v>141</v>
      </c>
      <c r="AS1073">
        <v>1.5517615384615384</v>
      </c>
    </row>
    <row r="1074" spans="1:45" ht="12.75">
      <c r="A1074" s="2" t="str">
        <f>HYPERLINK("https://ibp.a2mac1.com/costing(costing:projects/details/8191/material/5320543)","Standard Structural Steel sheet")</f>
        <v>Standard Structural Steel sheet</v>
      </c>
      <c r="B1074">
        <v>5320543</v>
      </c>
      <c r="C1074">
        <v>6976083</v>
      </c>
      <c r="E1074">
        <v>0.61129999999999995</v>
      </c>
      <c r="F1074" t="s">
        <v>3507</v>
      </c>
      <c r="G1074">
        <v>70</v>
      </c>
      <c r="H1074" t="s">
        <v>7110</v>
      </c>
      <c r="I1074">
        <v>30</v>
      </c>
      <c r="J1074">
        <v>0.01099879013308536</v>
      </c>
      <c r="K1074">
        <v>0</v>
      </c>
      <c r="L1074">
        <v>0</v>
      </c>
      <c r="M1074">
        <v>0</v>
      </c>
      <c r="O1074">
        <v>400000</v>
      </c>
      <c r="R1074" t="s">
        <v>136</v>
      </c>
      <c r="S1074">
        <v>0.036939985714285715</v>
      </c>
      <c r="T1074">
        <v>4.5148871428571429E-05</v>
      </c>
      <c r="U1074" t="s">
        <v>137</v>
      </c>
      <c r="V1074">
        <v>0.01436555</v>
      </c>
      <c r="W1074">
        <v>0.38791499887142855</v>
      </c>
      <c r="X1074" t="s">
        <v>138</v>
      </c>
      <c r="Y1074">
        <v>0.023274899932285716</v>
      </c>
      <c r="Z1074">
        <v>0</v>
      </c>
      <c r="AA1074" t="s">
        <v>139</v>
      </c>
      <c r="AB1074">
        <v>0.046549799864571431</v>
      </c>
      <c r="AC1074">
        <v>0.45773969866828573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Q1074" t="s">
        <v>140</v>
      </c>
      <c r="AR1074" t="s">
        <v>141</v>
      </c>
      <c r="AS1074">
        <v>0.41044428571428571</v>
      </c>
    </row>
    <row r="1075" spans="1:45" ht="12.75">
      <c r="A1075" s="2" t="str">
        <f>HYPERLINK("https://ibp.a2mac1.com/costing(costing:projects/details/8191/material/5320544)","Standard Structural Steel sheet")</f>
        <v>Standard Structural Steel sheet</v>
      </c>
      <c r="B1075">
        <v>5320544</v>
      </c>
      <c r="C1075">
        <v>6976084</v>
      </c>
      <c r="E1075">
        <v>0.61129999999999995</v>
      </c>
      <c r="F1075" t="s">
        <v>2819</v>
      </c>
      <c r="G1075">
        <v>60</v>
      </c>
      <c r="H1075" t="s">
        <v>3275</v>
      </c>
      <c r="I1075">
        <v>30</v>
      </c>
      <c r="J1075">
        <v>0.01099879013308536</v>
      </c>
      <c r="K1075">
        <v>0</v>
      </c>
      <c r="L1075">
        <v>0</v>
      </c>
      <c r="M1075">
        <v>0</v>
      </c>
      <c r="O1075">
        <v>400000</v>
      </c>
      <c r="R1075" t="s">
        <v>136</v>
      </c>
      <c r="S1075">
        <v>0.019561599999999998</v>
      </c>
      <c r="T1075">
        <v>1.7931466666666666E-05</v>
      </c>
      <c r="U1075" t="s">
        <v>137</v>
      </c>
      <c r="V1075">
        <v>0.0057054666666666665</v>
      </c>
      <c r="W1075">
        <v>0.14917513146666667</v>
      </c>
      <c r="X1075" t="s">
        <v>138</v>
      </c>
      <c r="Y1075">
        <v>0.0089505078879999998</v>
      </c>
      <c r="Z1075">
        <v>0</v>
      </c>
      <c r="AA1075" t="s">
        <v>139</v>
      </c>
      <c r="AB1075">
        <v>0.017901015776</v>
      </c>
      <c r="AC1075">
        <v>0.17602665513066668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Q1075" t="s">
        <v>140</v>
      </c>
      <c r="AR1075" t="s">
        <v>141</v>
      </c>
      <c r="AS1075">
        <v>0.16301333333333334</v>
      </c>
    </row>
    <row r="1076" spans="1:45" ht="12.75">
      <c r="A1076" s="2" t="str">
        <f>HYPERLINK("https://ibp.a2mac1.com/costing(costing:projects/details/8191/material/5320545)","Standard Structural Steel sheet")</f>
        <v>Standard Structural Steel sheet</v>
      </c>
      <c r="B1076">
        <v>5320545</v>
      </c>
      <c r="C1076">
        <v>6976085</v>
      </c>
      <c r="E1076">
        <v>0.61129999999999995</v>
      </c>
      <c r="F1076" t="s">
        <v>509</v>
      </c>
      <c r="G1076">
        <v>70</v>
      </c>
      <c r="H1076" t="s">
        <v>6407</v>
      </c>
      <c r="I1076">
        <v>30</v>
      </c>
      <c r="J1076">
        <v>0.01099879013308536</v>
      </c>
      <c r="K1076">
        <v>0</v>
      </c>
      <c r="L1076">
        <v>0</v>
      </c>
      <c r="M1076">
        <v>0</v>
      </c>
      <c r="O1076">
        <v>400000</v>
      </c>
      <c r="R1076" t="s">
        <v>136</v>
      </c>
      <c r="S1076">
        <v>0.0039297857142857147</v>
      </c>
      <c r="T1076">
        <v>4.8030714285714287E-06</v>
      </c>
      <c r="U1076" t="s">
        <v>137</v>
      </c>
      <c r="V1076">
        <v>0.0015282500000000001</v>
      </c>
      <c r="W1076">
        <v>0.04126755307142857</v>
      </c>
      <c r="X1076" t="s">
        <v>138</v>
      </c>
      <c r="Y1076">
        <v>0.0024760531842857145</v>
      </c>
      <c r="Z1076">
        <v>0</v>
      </c>
      <c r="AA1076" t="s">
        <v>139</v>
      </c>
      <c r="AB1076">
        <v>0.004952106368571429</v>
      </c>
      <c r="AC1076">
        <v>0.048695712624285716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Q1076" t="s">
        <v>140</v>
      </c>
      <c r="AR1076" t="s">
        <v>141</v>
      </c>
      <c r="AS1076">
        <v>0.043664285714285711</v>
      </c>
    </row>
    <row r="1077" spans="1:45" ht="12.75">
      <c r="A1077" s="2" t="str">
        <f>HYPERLINK("https://ibp.a2mac1.com/costing(costing:projects/details/8191/material/5320570)","Standard Structural Steel sheet")</f>
        <v>Standard Structural Steel sheet</v>
      </c>
      <c r="B1077">
        <v>5320570</v>
      </c>
      <c r="C1077">
        <v>6976161</v>
      </c>
      <c r="E1077">
        <v>0.61129999999999995</v>
      </c>
      <c r="F1077" t="s">
        <v>7120</v>
      </c>
      <c r="G1077">
        <v>80</v>
      </c>
      <c r="H1077" t="s">
        <v>7121</v>
      </c>
      <c r="I1077">
        <v>30</v>
      </c>
      <c r="J1077">
        <v>0.013998040274361589</v>
      </c>
      <c r="K1077">
        <v>0</v>
      </c>
      <c r="L1077">
        <v>0</v>
      </c>
      <c r="M1077">
        <v>0</v>
      </c>
      <c r="O1077">
        <v>200000</v>
      </c>
      <c r="R1077" t="s">
        <v>136</v>
      </c>
      <c r="S1077">
        <v>0.10453229999999999</v>
      </c>
      <c r="T1077">
        <v>0.0002439087</v>
      </c>
      <c r="U1077" t="s">
        <v>137</v>
      </c>
      <c r="V1077">
        <v>0.060977175000000002</v>
      </c>
      <c r="W1077">
        <v>1.6988937837</v>
      </c>
      <c r="X1077" t="s">
        <v>138</v>
      </c>
      <c r="Y1077">
        <v>0.101933627022</v>
      </c>
      <c r="Z1077">
        <v>0</v>
      </c>
      <c r="AA1077" t="s">
        <v>139</v>
      </c>
      <c r="AB1077">
        <v>0.203867254044</v>
      </c>
      <c r="AC1077">
        <v>2.0046946647659998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Q1077" t="s">
        <v>140</v>
      </c>
      <c r="AR1077" t="s">
        <v>141</v>
      </c>
      <c r="AS1077">
        <v>1.742205</v>
      </c>
    </row>
    <row r="1078" spans="1:45" ht="12.75">
      <c r="A1078" s="2" t="str">
        <f>HYPERLINK("https://ibp.a2mac1.com/costing(costing:projects/details/8191/material/5320571)","Standard Structural Steel sheet")</f>
        <v>Standard Structural Steel sheet</v>
      </c>
      <c r="B1078">
        <v>5320571</v>
      </c>
      <c r="C1078">
        <v>6976162</v>
      </c>
      <c r="E1078">
        <v>0.61129999999999995</v>
      </c>
      <c r="F1078" t="s">
        <v>2911</v>
      </c>
      <c r="G1078">
        <v>70</v>
      </c>
      <c r="H1078" t="s">
        <v>2733</v>
      </c>
      <c r="I1078">
        <v>30</v>
      </c>
      <c r="J1078">
        <v>0.01099879013308536</v>
      </c>
      <c r="K1078">
        <v>0</v>
      </c>
      <c r="L1078">
        <v>0</v>
      </c>
      <c r="M1078">
        <v>0</v>
      </c>
      <c r="O1078">
        <v>400000</v>
      </c>
      <c r="R1078" t="s">
        <v>136</v>
      </c>
      <c r="S1078">
        <v>0.0055017</v>
      </c>
      <c r="T1078">
        <v>6.7243000000000001E-06</v>
      </c>
      <c r="U1078" t="s">
        <v>137</v>
      </c>
      <c r="V1078">
        <v>0.00213955</v>
      </c>
      <c r="W1078">
        <v>0.057774574299999999</v>
      </c>
      <c r="X1078" t="s">
        <v>138</v>
      </c>
      <c r="Y1078">
        <v>0.0034664744580000001</v>
      </c>
      <c r="Z1078">
        <v>0</v>
      </c>
      <c r="AA1078" t="s">
        <v>139</v>
      </c>
      <c r="AB1078">
        <v>0.0069329489160000002</v>
      </c>
      <c r="AC1078">
        <v>0.068173997673999995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Q1078" t="s">
        <v>140</v>
      </c>
      <c r="AR1078" t="s">
        <v>141</v>
      </c>
      <c r="AS1078">
        <v>0.061129999999999997</v>
      </c>
    </row>
    <row r="1079" spans="1:45" ht="12.75">
      <c r="A1079" s="2" t="str">
        <f>HYPERLINK("https://ibp.a2mac1.com/costing(costing:projects/details/8191/material/5320572)","Standard Structural Steel sheet")</f>
        <v>Standard Structural Steel sheet</v>
      </c>
      <c r="B1079">
        <v>5320572</v>
      </c>
      <c r="C1079">
        <v>6976163</v>
      </c>
      <c r="E1079">
        <v>0.61129999999999995</v>
      </c>
      <c r="F1079" t="s">
        <v>2911</v>
      </c>
      <c r="G1079">
        <v>70</v>
      </c>
      <c r="H1079" t="s">
        <v>2733</v>
      </c>
      <c r="I1079">
        <v>30</v>
      </c>
      <c r="J1079">
        <v>0.01099879013308536</v>
      </c>
      <c r="K1079">
        <v>0</v>
      </c>
      <c r="L1079">
        <v>0</v>
      </c>
      <c r="M1079">
        <v>0</v>
      </c>
      <c r="O1079">
        <v>400000</v>
      </c>
      <c r="R1079" t="s">
        <v>136</v>
      </c>
      <c r="S1079">
        <v>0.0055017</v>
      </c>
      <c r="T1079">
        <v>6.7243000000000001E-06</v>
      </c>
      <c r="U1079" t="s">
        <v>137</v>
      </c>
      <c r="V1079">
        <v>0.00213955</v>
      </c>
      <c r="W1079">
        <v>0.057774574299999999</v>
      </c>
      <c r="X1079" t="s">
        <v>138</v>
      </c>
      <c r="Y1079">
        <v>0.0034664744580000001</v>
      </c>
      <c r="Z1079">
        <v>0</v>
      </c>
      <c r="AA1079" t="s">
        <v>139</v>
      </c>
      <c r="AB1079">
        <v>0.0069329489160000002</v>
      </c>
      <c r="AC1079">
        <v>0.068173997673999995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Q1079" t="s">
        <v>140</v>
      </c>
      <c r="AR1079" t="s">
        <v>141</v>
      </c>
      <c r="AS1079">
        <v>0.061129999999999997</v>
      </c>
    </row>
    <row r="1080" spans="1:45" ht="12.75">
      <c r="A1080" s="2" t="str">
        <f>HYPERLINK("https://ibp.a2mac1.com/costing(costing:projects/details/8191/material/5320573)","Standard Structural Steel sheet")</f>
        <v>Standard Structural Steel sheet</v>
      </c>
      <c r="B1080">
        <v>5320573</v>
      </c>
      <c r="C1080">
        <v>6976164</v>
      </c>
      <c r="E1080">
        <v>0.61129999999999995</v>
      </c>
      <c r="F1080" t="s">
        <v>2911</v>
      </c>
      <c r="G1080">
        <v>80</v>
      </c>
      <c r="H1080" t="s">
        <v>6550</v>
      </c>
      <c r="I1080">
        <v>30</v>
      </c>
      <c r="J1080">
        <v>0.01099879013308536</v>
      </c>
      <c r="K1080">
        <v>0</v>
      </c>
      <c r="L1080">
        <v>0</v>
      </c>
      <c r="M1080">
        <v>0</v>
      </c>
      <c r="O1080">
        <v>400000</v>
      </c>
      <c r="R1080" t="s">
        <v>136</v>
      </c>
      <c r="S1080">
        <v>0.0032093249999999999</v>
      </c>
      <c r="T1080">
        <v>5.8837625000000002E-06</v>
      </c>
      <c r="U1080" t="s">
        <v>137</v>
      </c>
      <c r="V1080">
        <v>0.00187210625</v>
      </c>
      <c r="W1080">
        <v>0.0521574150125</v>
      </c>
      <c r="X1080" t="s">
        <v>138</v>
      </c>
      <c r="Y1080">
        <v>0.0031294449007500001</v>
      </c>
      <c r="Z1080">
        <v>0</v>
      </c>
      <c r="AA1080" t="s">
        <v>139</v>
      </c>
      <c r="AB1080">
        <v>0.0062588898015000002</v>
      </c>
      <c r="AC1080">
        <v>0.061545749714749999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Q1080" t="s">
        <v>140</v>
      </c>
      <c r="AR1080" t="s">
        <v>141</v>
      </c>
      <c r="AS1080">
        <v>0.053488750000000002</v>
      </c>
    </row>
    <row r="1081" spans="1:45" ht="12.75">
      <c r="A1081" s="2" t="str">
        <f>HYPERLINK("https://ibp.a2mac1.com/costing(costing:projects/details/8191/material/5320574)","Standard Structural Steel sheet")</f>
        <v>Standard Structural Steel sheet</v>
      </c>
      <c r="B1081">
        <v>5320574</v>
      </c>
      <c r="C1081">
        <v>6976165</v>
      </c>
      <c r="E1081">
        <v>0.61129999999999995</v>
      </c>
      <c r="F1081" t="s">
        <v>2059</v>
      </c>
      <c r="G1081">
        <v>80</v>
      </c>
      <c r="H1081" t="s">
        <v>5501</v>
      </c>
      <c r="I1081">
        <v>30</v>
      </c>
      <c r="J1081">
        <v>0.01099879013308536</v>
      </c>
      <c r="K1081">
        <v>0</v>
      </c>
      <c r="L1081">
        <v>0</v>
      </c>
      <c r="M1081">
        <v>0</v>
      </c>
      <c r="O1081">
        <v>400000</v>
      </c>
      <c r="R1081" t="s">
        <v>136</v>
      </c>
      <c r="S1081">
        <v>0.00275085</v>
      </c>
      <c r="T1081">
        <v>5.0432250000000003E-06</v>
      </c>
      <c r="U1081" t="s">
        <v>137</v>
      </c>
      <c r="V1081">
        <v>0.0016046624999999999</v>
      </c>
      <c r="W1081">
        <v>0.044706355725000001</v>
      </c>
      <c r="X1081" t="s">
        <v>138</v>
      </c>
      <c r="Y1081">
        <v>0.0026823813434999999</v>
      </c>
      <c r="Z1081">
        <v>0</v>
      </c>
      <c r="AA1081" t="s">
        <v>139</v>
      </c>
      <c r="AB1081">
        <v>0.0053647626869999998</v>
      </c>
      <c r="AC1081">
        <v>0.052753499755499998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Q1081" t="s">
        <v>140</v>
      </c>
      <c r="AR1081" t="s">
        <v>141</v>
      </c>
      <c r="AS1081">
        <v>0.045847499999999999</v>
      </c>
    </row>
    <row r="1082" spans="1:45" ht="12.75">
      <c r="A1082" s="2" t="str">
        <f>HYPERLINK("https://ibp.a2mac1.com/costing(costing:projects/details/8191/material/5320575)","Standard Structural Steel sheet")</f>
        <v>Standard Structural Steel sheet</v>
      </c>
      <c r="B1082">
        <v>5320575</v>
      </c>
      <c r="C1082">
        <v>6976166</v>
      </c>
      <c r="E1082">
        <v>0.61129999999999995</v>
      </c>
      <c r="F1082" t="s">
        <v>7136</v>
      </c>
      <c r="G1082">
        <v>80</v>
      </c>
      <c r="H1082" t="s">
        <v>7137</v>
      </c>
      <c r="I1082">
        <v>30</v>
      </c>
      <c r="J1082">
        <v>0.013998040274361589</v>
      </c>
      <c r="K1082">
        <v>0</v>
      </c>
      <c r="L1082">
        <v>0</v>
      </c>
      <c r="M1082">
        <v>0</v>
      </c>
      <c r="O1082">
        <v>200000</v>
      </c>
      <c r="R1082" t="s">
        <v>136</v>
      </c>
      <c r="S1082">
        <v>0.10178145</v>
      </c>
      <c r="T1082">
        <v>0.00023749004999999999</v>
      </c>
      <c r="U1082" t="s">
        <v>137</v>
      </c>
      <c r="V1082">
        <v>0.059372512500000002</v>
      </c>
      <c r="W1082">
        <v>1.6541860525500001</v>
      </c>
      <c r="X1082" t="s">
        <v>138</v>
      </c>
      <c r="Y1082">
        <v>0.099251163153000005</v>
      </c>
      <c r="Z1082">
        <v>0</v>
      </c>
      <c r="AA1082" t="s">
        <v>139</v>
      </c>
      <c r="AB1082">
        <v>0.19850232630600001</v>
      </c>
      <c r="AC1082">
        <v>1.951939542009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Q1082" t="s">
        <v>140</v>
      </c>
      <c r="AR1082" t="s">
        <v>141</v>
      </c>
      <c r="AS1082">
        <v>1.6963575</v>
      </c>
    </row>
    <row r="1083" spans="1:45" ht="12.75">
      <c r="A1083" s="2" t="str">
        <f>HYPERLINK("https://ibp.a2mac1.com/costing(costing:projects/details/8191/material/5320576)","Standard Structural Steel sheet")</f>
        <v>Standard Structural Steel sheet</v>
      </c>
      <c r="B1083">
        <v>5320576</v>
      </c>
      <c r="C1083">
        <v>6976167</v>
      </c>
      <c r="E1083">
        <v>0.61129999999999995</v>
      </c>
      <c r="F1083" t="s">
        <v>7141</v>
      </c>
      <c r="G1083">
        <v>60</v>
      </c>
      <c r="H1083" t="s">
        <v>7142</v>
      </c>
      <c r="I1083">
        <v>30</v>
      </c>
      <c r="J1083">
        <v>0.01099879013308536</v>
      </c>
      <c r="K1083">
        <v>0</v>
      </c>
      <c r="L1083">
        <v>0</v>
      </c>
      <c r="M1083">
        <v>0</v>
      </c>
      <c r="O1083">
        <v>400000</v>
      </c>
      <c r="R1083" t="s">
        <v>136</v>
      </c>
      <c r="S1083">
        <v>0.24818779999999999</v>
      </c>
      <c r="T1083">
        <v>0.00022750548333333334</v>
      </c>
      <c r="U1083" t="s">
        <v>137</v>
      </c>
      <c r="V1083">
        <v>0.07238810833333334</v>
      </c>
      <c r="W1083">
        <v>1.8926594804833334</v>
      </c>
      <c r="X1083" t="s">
        <v>138</v>
      </c>
      <c r="Y1083">
        <v>0.11355956882899999</v>
      </c>
      <c r="Z1083">
        <v>0</v>
      </c>
      <c r="AA1083" t="s">
        <v>139</v>
      </c>
      <c r="AB1083">
        <v>0.22711913765799999</v>
      </c>
      <c r="AC1083">
        <v>2.2333381869703333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Q1083" t="s">
        <v>140</v>
      </c>
      <c r="AR1083" t="s">
        <v>141</v>
      </c>
      <c r="AS1083">
        <v>2.0682316666666667</v>
      </c>
    </row>
    <row r="1084" spans="1:45" ht="12.75">
      <c r="A1084" s="2" t="str">
        <f>HYPERLINK("https://ibp.a2mac1.com/costing(costing:projects/details/8191/material/5320577)","Standard Structural Steel sheet")</f>
        <v>Standard Structural Steel sheet</v>
      </c>
      <c r="B1084">
        <v>5320577</v>
      </c>
      <c r="C1084">
        <v>6976168</v>
      </c>
      <c r="E1084">
        <v>0.61129999999999995</v>
      </c>
      <c r="F1084" t="s">
        <v>5297</v>
      </c>
      <c r="G1084">
        <v>75</v>
      </c>
      <c r="H1084" t="s">
        <v>7146</v>
      </c>
      <c r="I1084">
        <v>30</v>
      </c>
      <c r="J1084">
        <v>0.01099879013308536</v>
      </c>
      <c r="K1084">
        <v>0</v>
      </c>
      <c r="L1084">
        <v>0</v>
      </c>
      <c r="M1084">
        <v>0</v>
      </c>
      <c r="O1084">
        <v>400000</v>
      </c>
      <c r="R1084" t="s">
        <v>136</v>
      </c>
      <c r="S1084">
        <v>0.0268972</v>
      </c>
      <c r="T1084">
        <v>3.9449226666666666E-05</v>
      </c>
      <c r="U1084" t="s">
        <v>137</v>
      </c>
      <c r="V1084">
        <v>0.012552026666666667</v>
      </c>
      <c r="W1084">
        <v>0.34432360922666666</v>
      </c>
      <c r="X1084" t="s">
        <v>138</v>
      </c>
      <c r="Y1084">
        <v>0.020659416553599999</v>
      </c>
      <c r="Z1084">
        <v>0</v>
      </c>
      <c r="AA1084" t="s">
        <v>139</v>
      </c>
      <c r="AB1084">
        <v>0.041318833107199998</v>
      </c>
      <c r="AC1084">
        <v>0.40630185888746667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Q1084" t="s">
        <v>140</v>
      </c>
      <c r="AR1084" t="s">
        <v>141</v>
      </c>
      <c r="AS1084">
        <v>0.35862933333333336</v>
      </c>
    </row>
    <row r="1085" spans="1:45" ht="12.75">
      <c r="A1085" s="2" t="str">
        <f>HYPERLINK("https://ibp.a2mac1.com/costing(costing:projects/details/8191/material/5320578)","Standard Structural Steel sheet")</f>
        <v>Standard Structural Steel sheet</v>
      </c>
      <c r="B1085">
        <v>5320578</v>
      </c>
      <c r="C1085">
        <v>6976169</v>
      </c>
      <c r="E1085">
        <v>0.61129999999999995</v>
      </c>
      <c r="F1085" t="s">
        <v>2822</v>
      </c>
      <c r="G1085">
        <v>85</v>
      </c>
      <c r="H1085" t="s">
        <v>6717</v>
      </c>
      <c r="I1085">
        <v>30</v>
      </c>
      <c r="J1085">
        <v>0.01099879013308536</v>
      </c>
      <c r="K1085">
        <v>0</v>
      </c>
      <c r="L1085">
        <v>0</v>
      </c>
      <c r="M1085">
        <v>0</v>
      </c>
      <c r="O1085">
        <v>400000</v>
      </c>
      <c r="R1085" t="s">
        <v>136</v>
      </c>
      <c r="S1085">
        <v>0.0110034</v>
      </c>
      <c r="T1085">
        <v>2.6897200000000001E-05</v>
      </c>
      <c r="U1085" t="s">
        <v>137</v>
      </c>
      <c r="V1085">
        <v>0.0085582000000000002</v>
      </c>
      <c r="W1085">
        <v>0.24210169719999999</v>
      </c>
      <c r="X1085" t="s">
        <v>138</v>
      </c>
      <c r="Y1085">
        <v>0.014526101832</v>
      </c>
      <c r="Z1085">
        <v>0</v>
      </c>
      <c r="AA1085" t="s">
        <v>139</v>
      </c>
      <c r="AB1085">
        <v>0.029052203663999999</v>
      </c>
      <c r="AC1085">
        <v>0.28568000269600002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Q1085" t="s">
        <v>140</v>
      </c>
      <c r="AR1085" t="s">
        <v>141</v>
      </c>
      <c r="AS1085">
        <v>0.24451999999999999</v>
      </c>
    </row>
    <row r="1086" spans="1:45" ht="12.75">
      <c r="A1086" s="2" t="str">
        <f>HYPERLINK("https://ibp.a2mac1.com/costing(costing:projects/details/8191/material/5320579)","Standard Structural Steel sheet")</f>
        <v>Standard Structural Steel sheet</v>
      </c>
      <c r="B1086">
        <v>5320579</v>
      </c>
      <c r="C1086">
        <v>6976170</v>
      </c>
      <c r="E1086">
        <v>0.61129999999999995</v>
      </c>
      <c r="F1086" t="s">
        <v>7153</v>
      </c>
      <c r="G1086">
        <v>90</v>
      </c>
      <c r="H1086" t="s">
        <v>7154</v>
      </c>
      <c r="I1086">
        <v>30</v>
      </c>
      <c r="J1086">
        <v>0.013998040274361589</v>
      </c>
      <c r="K1086">
        <v>0</v>
      </c>
      <c r="L1086">
        <v>0</v>
      </c>
      <c r="M1086">
        <v>0</v>
      </c>
      <c r="O1086">
        <v>200000</v>
      </c>
      <c r="R1086" t="s">
        <v>136</v>
      </c>
      <c r="S1086">
        <v>0.049311533333333331</v>
      </c>
      <c r="T1086">
        <v>0.0002301204888888889</v>
      </c>
      <c r="U1086" t="s">
        <v>137</v>
      </c>
      <c r="V1086">
        <v>0.057530122222222223</v>
      </c>
      <c r="W1086">
        <v>1.6521664871555555</v>
      </c>
      <c r="X1086" t="s">
        <v>138</v>
      </c>
      <c r="Y1086">
        <v>0.099129989229333332</v>
      </c>
      <c r="Z1086">
        <v>0</v>
      </c>
      <c r="AA1086" t="s">
        <v>139</v>
      </c>
      <c r="AB1086">
        <v>0.19825997845866666</v>
      </c>
      <c r="AC1086">
        <v>1.9495564548435556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Q1086" t="s">
        <v>140</v>
      </c>
      <c r="AR1086" t="s">
        <v>141</v>
      </c>
      <c r="AS1086">
        <v>1.6437177777777778</v>
      </c>
    </row>
    <row r="1087" spans="1:45" ht="12.75">
      <c r="A1087" s="2" t="str">
        <f>HYPERLINK("https://ibp.a2mac1.com/costing(costing:projects/details/8191/material/5320580)","Standard Structural Steel sheet")</f>
        <v>Standard Structural Steel sheet</v>
      </c>
      <c r="B1087">
        <v>5320580</v>
      </c>
      <c r="C1087">
        <v>6976171</v>
      </c>
      <c r="E1087">
        <v>0.61129999999999995</v>
      </c>
      <c r="F1087" t="s">
        <v>504</v>
      </c>
      <c r="G1087">
        <v>90</v>
      </c>
      <c r="H1087" t="s">
        <v>7158</v>
      </c>
      <c r="I1087">
        <v>30</v>
      </c>
      <c r="J1087">
        <v>0.01099879013308536</v>
      </c>
      <c r="K1087">
        <v>0</v>
      </c>
      <c r="L1087">
        <v>0</v>
      </c>
      <c r="M1087">
        <v>0</v>
      </c>
      <c r="O1087">
        <v>400000</v>
      </c>
      <c r="R1087" t="s">
        <v>136</v>
      </c>
      <c r="S1087">
        <v>0.0044828666666666666</v>
      </c>
      <c r="T1087">
        <v>1.6437177777777778E-05</v>
      </c>
      <c r="U1087" t="s">
        <v>137</v>
      </c>
      <c r="V1087">
        <v>0.0052300111111111113</v>
      </c>
      <c r="W1087">
        <v>0.15019247051111112</v>
      </c>
      <c r="X1087" t="s">
        <v>138</v>
      </c>
      <c r="Y1087">
        <v>0.0090115482306666675</v>
      </c>
      <c r="Z1087">
        <v>0</v>
      </c>
      <c r="AA1087" t="s">
        <v>139</v>
      </c>
      <c r="AB1087">
        <v>0.018023096461333335</v>
      </c>
      <c r="AC1087">
        <v>0.1772271152031111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Q1087" t="s">
        <v>140</v>
      </c>
      <c r="AR1087" t="s">
        <v>141</v>
      </c>
      <c r="AS1087">
        <v>0.14942888888888889</v>
      </c>
    </row>
    <row r="1088" spans="1:45" ht="12.75">
      <c r="A1088" s="2" t="str">
        <f>HYPERLINK("https://ibp.a2mac1.com/costing(costing:projects/details/8191/material/5320581)","Standard Structural Steel sheet")</f>
        <v>Standard Structural Steel sheet</v>
      </c>
      <c r="B1088">
        <v>5320581</v>
      </c>
      <c r="C1088">
        <v>6976172</v>
      </c>
      <c r="E1088">
        <v>0.61129999999999995</v>
      </c>
      <c r="F1088" t="s">
        <v>7162</v>
      </c>
      <c r="G1088">
        <v>70</v>
      </c>
      <c r="H1088" t="s">
        <v>7163</v>
      </c>
      <c r="I1088">
        <v>30</v>
      </c>
      <c r="J1088">
        <v>0.01099879013308536</v>
      </c>
      <c r="K1088">
        <v>0</v>
      </c>
      <c r="L1088">
        <v>0</v>
      </c>
      <c r="M1088">
        <v>0</v>
      </c>
      <c r="O1088">
        <v>400000</v>
      </c>
      <c r="R1088" t="s">
        <v>136</v>
      </c>
      <c r="S1088">
        <v>0.067592314285714286</v>
      </c>
      <c r="T1088">
        <v>8.2612828571428565E-05</v>
      </c>
      <c r="U1088" t="s">
        <v>137</v>
      </c>
      <c r="V1088">
        <v>0.026285900000000001</v>
      </c>
      <c r="W1088">
        <v>0.70980191282857141</v>
      </c>
      <c r="X1088" t="s">
        <v>138</v>
      </c>
      <c r="Y1088">
        <v>0.042588114769714289</v>
      </c>
      <c r="Z1088">
        <v>0</v>
      </c>
      <c r="AA1088" t="s">
        <v>139</v>
      </c>
      <c r="AB1088">
        <v>0.085176229539428577</v>
      </c>
      <c r="AC1088">
        <v>0.83756625713771427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Q1088" t="s">
        <v>140</v>
      </c>
      <c r="AR1088" t="s">
        <v>141</v>
      </c>
      <c r="AS1088">
        <v>0.7510257142857143</v>
      </c>
    </row>
    <row r="1089" spans="1:45" ht="12.75">
      <c r="A1089" s="2" t="str">
        <f>HYPERLINK("https://ibp.a2mac1.com/costing(costing:projects/details/8191/material/5320582)","Standard Structural Steel sheet")</f>
        <v>Standard Structural Steel sheet</v>
      </c>
      <c r="B1089">
        <v>5320582</v>
      </c>
      <c r="C1089">
        <v>6976173</v>
      </c>
      <c r="E1089">
        <v>0.61129999999999995</v>
      </c>
      <c r="F1089" t="s">
        <v>504</v>
      </c>
      <c r="G1089">
        <v>60</v>
      </c>
      <c r="H1089" t="s">
        <v>7166</v>
      </c>
      <c r="I1089">
        <v>30</v>
      </c>
      <c r="J1089">
        <v>0.01099879013308536</v>
      </c>
      <c r="K1089">
        <v>0</v>
      </c>
      <c r="L1089">
        <v>0</v>
      </c>
      <c r="M1089">
        <v>0</v>
      </c>
      <c r="O1089">
        <v>400000</v>
      </c>
      <c r="R1089" t="s">
        <v>136</v>
      </c>
      <c r="S1089">
        <v>0.0268972</v>
      </c>
      <c r="T1089">
        <v>2.4655766666666665E-05</v>
      </c>
      <c r="U1089" t="s">
        <v>137</v>
      </c>
      <c r="V1089">
        <v>0.0078450166666666661</v>
      </c>
      <c r="W1089">
        <v>0.20511580576666666</v>
      </c>
      <c r="X1089" t="s">
        <v>138</v>
      </c>
      <c r="Y1089">
        <v>0.012306948345999999</v>
      </c>
      <c r="Z1089">
        <v>0</v>
      </c>
      <c r="AA1089" t="s">
        <v>139</v>
      </c>
      <c r="AB1089">
        <v>0.024613896691999999</v>
      </c>
      <c r="AC1089">
        <v>0.24203665080466666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Q1089" t="s">
        <v>140</v>
      </c>
      <c r="AR1089" t="s">
        <v>141</v>
      </c>
      <c r="AS1089">
        <v>0.22414333333333333</v>
      </c>
    </row>
    <row r="1090" spans="1:45" ht="12.75">
      <c r="A1090" s="2" t="str">
        <f>HYPERLINK("https://ibp.a2mac1.com/costing(costing:projects/details/8191/material/5320583)","Standard Structural Steel sheet")</f>
        <v>Standard Structural Steel sheet</v>
      </c>
      <c r="B1090">
        <v>5320583</v>
      </c>
      <c r="C1090">
        <v>6976174</v>
      </c>
      <c r="E1090">
        <v>0.61129999999999995</v>
      </c>
      <c r="F1090" t="s">
        <v>5496</v>
      </c>
      <c r="G1090">
        <v>80</v>
      </c>
      <c r="H1090" t="s">
        <v>5497</v>
      </c>
      <c r="I1090">
        <v>30</v>
      </c>
      <c r="J1090">
        <v>0.01099879013308536</v>
      </c>
      <c r="K1090">
        <v>0</v>
      </c>
      <c r="L1090">
        <v>0</v>
      </c>
      <c r="M1090">
        <v>0</v>
      </c>
      <c r="O1090">
        <v>400000</v>
      </c>
      <c r="R1090" t="s">
        <v>136</v>
      </c>
      <c r="S1090">
        <v>0.0041262750000000004</v>
      </c>
      <c r="T1090">
        <v>7.5648375000000001E-06</v>
      </c>
      <c r="U1090" t="s">
        <v>137</v>
      </c>
      <c r="V1090">
        <v>0.0024069937500000001</v>
      </c>
      <c r="W1090">
        <v>0.067059533587499998</v>
      </c>
      <c r="X1090" t="s">
        <v>138</v>
      </c>
      <c r="Y1090">
        <v>0.0040235720152499996</v>
      </c>
      <c r="Z1090">
        <v>0</v>
      </c>
      <c r="AA1090" t="s">
        <v>139</v>
      </c>
      <c r="AB1090">
        <v>0.0080471440304999992</v>
      </c>
      <c r="AC1090">
        <v>0.079130249633249994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Q1090" t="s">
        <v>140</v>
      </c>
      <c r="AR1090" t="s">
        <v>141</v>
      </c>
      <c r="AS1090">
        <v>0.068771250000000006</v>
      </c>
    </row>
    <row r="1091" spans="1:45" ht="12.75">
      <c r="A1091" s="2" t="str">
        <f>HYPERLINK("https://ibp.a2mac1.com/costing(costing:projects/details/8191/material/5320584)","Standard Structural Steel sheet")</f>
        <v>Standard Structural Steel sheet</v>
      </c>
      <c r="B1091">
        <v>5320584</v>
      </c>
      <c r="C1091">
        <v>6976175</v>
      </c>
      <c r="E1091">
        <v>0.61129999999999995</v>
      </c>
      <c r="F1091" t="s">
        <v>2059</v>
      </c>
      <c r="G1091">
        <v>80</v>
      </c>
      <c r="H1091" t="s">
        <v>5501</v>
      </c>
      <c r="I1091">
        <v>30</v>
      </c>
      <c r="J1091">
        <v>0.01099879013308536</v>
      </c>
      <c r="K1091">
        <v>0</v>
      </c>
      <c r="L1091">
        <v>0</v>
      </c>
      <c r="M1091">
        <v>0</v>
      </c>
      <c r="O1091">
        <v>400000</v>
      </c>
      <c r="R1091" t="s">
        <v>136</v>
      </c>
      <c r="S1091">
        <v>0.00275085</v>
      </c>
      <c r="T1091">
        <v>5.0432250000000003E-06</v>
      </c>
      <c r="U1091" t="s">
        <v>137</v>
      </c>
      <c r="V1091">
        <v>0.0016046624999999999</v>
      </c>
      <c r="W1091">
        <v>0.044706355725000001</v>
      </c>
      <c r="X1091" t="s">
        <v>138</v>
      </c>
      <c r="Y1091">
        <v>0.0026823813434999999</v>
      </c>
      <c r="Z1091">
        <v>0</v>
      </c>
      <c r="AA1091" t="s">
        <v>139</v>
      </c>
      <c r="AB1091">
        <v>0.0053647626869999998</v>
      </c>
      <c r="AC1091">
        <v>0.052753499755499998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Q1091" t="s">
        <v>140</v>
      </c>
      <c r="AR1091" t="s">
        <v>141</v>
      </c>
      <c r="AS1091">
        <v>0.045847499999999999</v>
      </c>
    </row>
    <row r="1092" spans="1:45" ht="12.75">
      <c r="A1092" s="2" t="str">
        <f>HYPERLINK("https://ibp.a2mac1.com/costing(costing:projects/details/8191/material/5320585)","Standard Structural Steel sheet")</f>
        <v>Standard Structural Steel sheet</v>
      </c>
      <c r="B1092">
        <v>5320585</v>
      </c>
      <c r="C1092">
        <v>6976176</v>
      </c>
      <c r="E1092">
        <v>0.61129999999999995</v>
      </c>
      <c r="F1092" t="s">
        <v>504</v>
      </c>
      <c r="G1092">
        <v>60</v>
      </c>
      <c r="H1092" t="s">
        <v>7166</v>
      </c>
      <c r="I1092">
        <v>30</v>
      </c>
      <c r="J1092">
        <v>0.01099879013308536</v>
      </c>
      <c r="K1092">
        <v>0</v>
      </c>
      <c r="L1092">
        <v>0</v>
      </c>
      <c r="M1092">
        <v>0</v>
      </c>
      <c r="O1092">
        <v>400000</v>
      </c>
      <c r="R1092" t="s">
        <v>136</v>
      </c>
      <c r="S1092">
        <v>0.0268972</v>
      </c>
      <c r="T1092">
        <v>2.4655766666666665E-05</v>
      </c>
      <c r="U1092" t="s">
        <v>137</v>
      </c>
      <c r="V1092">
        <v>0.0078450166666666661</v>
      </c>
      <c r="W1092">
        <v>0.20511580576666666</v>
      </c>
      <c r="X1092" t="s">
        <v>138</v>
      </c>
      <c r="Y1092">
        <v>0.012306948345999999</v>
      </c>
      <c r="Z1092">
        <v>0</v>
      </c>
      <c r="AA1092" t="s">
        <v>139</v>
      </c>
      <c r="AB1092">
        <v>0.024613896691999999</v>
      </c>
      <c r="AC1092">
        <v>0.24203665080466666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Q1092" t="s">
        <v>140</v>
      </c>
      <c r="AR1092" t="s">
        <v>141</v>
      </c>
      <c r="AS1092">
        <v>0.22414333333333333</v>
      </c>
    </row>
    <row r="1093" spans="1:45" ht="12.75">
      <c r="A1093" s="2" t="str">
        <f>HYPERLINK("https://ibp.a2mac1.com/costing(costing:projects/details/8191/material/5320586)","Standard Structural Steel sheet")</f>
        <v>Standard Structural Steel sheet</v>
      </c>
      <c r="B1093">
        <v>5320586</v>
      </c>
      <c r="C1093">
        <v>6976177</v>
      </c>
      <c r="E1093">
        <v>0.61129999999999995</v>
      </c>
      <c r="F1093" t="s">
        <v>7177</v>
      </c>
      <c r="G1093">
        <v>85</v>
      </c>
      <c r="H1093" t="s">
        <v>7178</v>
      </c>
      <c r="I1093">
        <v>30</v>
      </c>
      <c r="J1093">
        <v>0.013998040274361589</v>
      </c>
      <c r="K1093">
        <v>0</v>
      </c>
      <c r="L1093">
        <v>0</v>
      </c>
      <c r="M1093">
        <v>0</v>
      </c>
      <c r="O1093">
        <v>200000</v>
      </c>
      <c r="R1093" t="s">
        <v>136</v>
      </c>
      <c r="S1093">
        <v>0.034304717647058822</v>
      </c>
      <c r="T1093">
        <v>0.00010672578823529411</v>
      </c>
      <c r="U1093" t="s">
        <v>137</v>
      </c>
      <c r="V1093">
        <v>0.02668144705882353</v>
      </c>
      <c r="W1093">
        <v>0.75481051402352939</v>
      </c>
      <c r="X1093" t="s">
        <v>138</v>
      </c>
      <c r="Y1093">
        <v>0.045288630841411763</v>
      </c>
      <c r="Z1093">
        <v>0</v>
      </c>
      <c r="AA1093" t="s">
        <v>139</v>
      </c>
      <c r="AB1093">
        <v>0.090577261682823526</v>
      </c>
      <c r="AC1093">
        <v>0.8906764065477647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Q1093" t="s">
        <v>140</v>
      </c>
      <c r="AR1093" t="s">
        <v>141</v>
      </c>
      <c r="AS1093">
        <v>0.76232705882352936</v>
      </c>
    </row>
    <row r="1094" spans="1:45" ht="12.75">
      <c r="A1094" s="2" t="str">
        <f>HYPERLINK("https://ibp.a2mac1.com/costing(costing:projects/details/8191/material/5320587)","Standard Structural Steel sheet")</f>
        <v>Standard Structural Steel sheet</v>
      </c>
      <c r="B1094">
        <v>5320587</v>
      </c>
      <c r="C1094">
        <v>6976178</v>
      </c>
      <c r="E1094">
        <v>0.61129999999999995</v>
      </c>
      <c r="F1094" t="s">
        <v>2819</v>
      </c>
      <c r="G1094">
        <v>80</v>
      </c>
      <c r="H1094" t="s">
        <v>6404</v>
      </c>
      <c r="I1094">
        <v>30</v>
      </c>
      <c r="J1094">
        <v>0.01099879013308536</v>
      </c>
      <c r="K1094">
        <v>0</v>
      </c>
      <c r="L1094">
        <v>0</v>
      </c>
      <c r="M1094">
        <v>0</v>
      </c>
      <c r="O1094">
        <v>400000</v>
      </c>
      <c r="R1094" t="s">
        <v>136</v>
      </c>
      <c r="S1094">
        <v>0.0073356000000000003</v>
      </c>
      <c r="T1094">
        <v>1.34486E-05</v>
      </c>
      <c r="U1094" t="s">
        <v>137</v>
      </c>
      <c r="V1094">
        <v>0.0042791000000000001</v>
      </c>
      <c r="W1094">
        <v>0.1192169486</v>
      </c>
      <c r="X1094" t="s">
        <v>138</v>
      </c>
      <c r="Y1094">
        <v>0.0071530169159999997</v>
      </c>
      <c r="Z1094">
        <v>0</v>
      </c>
      <c r="AA1094" t="s">
        <v>139</v>
      </c>
      <c r="AB1094">
        <v>0.014306033831999999</v>
      </c>
      <c r="AC1094">
        <v>0.14067599934800001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Q1094" t="s">
        <v>140</v>
      </c>
      <c r="AR1094" t="s">
        <v>141</v>
      </c>
      <c r="AS1094">
        <v>0.12225999999999999</v>
      </c>
    </row>
    <row r="1095" spans="1:45" ht="12.75">
      <c r="A1095" s="2" t="str">
        <f>HYPERLINK("https://ibp.a2mac1.com/costing(costing:projects/details/8191/material/5319487)","ABS")</f>
        <v>ABS</v>
      </c>
      <c r="B1095">
        <v>5319487</v>
      </c>
      <c r="C1095">
        <v>6975272</v>
      </c>
      <c r="E1095">
        <v>2.5272700000000001</v>
      </c>
      <c r="F1095" t="s">
        <v>1272</v>
      </c>
      <c r="G1095">
        <v>98.039199999999994</v>
      </c>
      <c r="H1095" t="s">
        <v>7191</v>
      </c>
      <c r="I1095">
        <v>5</v>
      </c>
      <c r="J1095">
        <v>0.10389195236953569</v>
      </c>
      <c r="K1095">
        <v>0</v>
      </c>
      <c r="M1095">
        <v>0</v>
      </c>
      <c r="O1095">
        <v>200000</v>
      </c>
      <c r="R1095" t="s">
        <v>136</v>
      </c>
      <c r="S1095">
        <v>9.603704365600698E-05</v>
      </c>
      <c r="T1095">
        <v>0.00010187528090804495</v>
      </c>
      <c r="U1095" t="s">
        <v>137</v>
      </c>
      <c r="V1095">
        <v>0.0034284950305592051</v>
      </c>
      <c r="W1095">
        <v>0.10139133414093138</v>
      </c>
      <c r="X1095" t="s">
        <v>138</v>
      </c>
      <c r="Y1095">
        <v>0.006083480048455883</v>
      </c>
      <c r="Z1095">
        <v>0</v>
      </c>
      <c r="AA1095" t="s">
        <v>139</v>
      </c>
      <c r="AB1095">
        <v>0.012166960096911766</v>
      </c>
      <c r="AC1095">
        <v>0.11964177428629903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Q1095" t="s">
        <v>140</v>
      </c>
      <c r="AR1095" t="s">
        <v>141</v>
      </c>
      <c r="AS1095">
        <v>0.097957000873120134</v>
      </c>
    </row>
    <row r="1096" spans="1:45" ht="12.75">
      <c r="A1096" s="2" t="str">
        <f>HYPERLINK("https://ibp.a2mac1.com/costing(costing:projects/details/8191/material/5319488)","ABS")</f>
        <v>ABS</v>
      </c>
      <c r="B1096">
        <v>5319488</v>
      </c>
      <c r="C1096">
        <v>6975273</v>
      </c>
      <c r="E1096">
        <v>2.5272700000000001</v>
      </c>
      <c r="F1096" t="s">
        <v>1272</v>
      </c>
      <c r="G1096">
        <v>98.039199999999994</v>
      </c>
      <c r="H1096" t="s">
        <v>7191</v>
      </c>
      <c r="I1096">
        <v>5</v>
      </c>
      <c r="J1096">
        <v>0.10389195236953569</v>
      </c>
      <c r="K1096">
        <v>0</v>
      </c>
      <c r="M1096">
        <v>0</v>
      </c>
      <c r="O1096">
        <v>200000</v>
      </c>
      <c r="R1096" t="s">
        <v>136</v>
      </c>
      <c r="S1096">
        <v>9.603704365600698E-05</v>
      </c>
      <c r="T1096">
        <v>0.00010187528090804495</v>
      </c>
      <c r="U1096" t="s">
        <v>137</v>
      </c>
      <c r="V1096">
        <v>0.0034284950305592051</v>
      </c>
      <c r="W1096">
        <v>0.10139133414093138</v>
      </c>
      <c r="X1096" t="s">
        <v>138</v>
      </c>
      <c r="Y1096">
        <v>0.006083480048455883</v>
      </c>
      <c r="Z1096">
        <v>0</v>
      </c>
      <c r="AA1096" t="s">
        <v>139</v>
      </c>
      <c r="AB1096">
        <v>0.012166960096911766</v>
      </c>
      <c r="AC1096">
        <v>0.11964177428629903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Q1096" t="s">
        <v>140</v>
      </c>
      <c r="AR1096" t="s">
        <v>141</v>
      </c>
      <c r="AS1096">
        <v>0.097957000873120134</v>
      </c>
    </row>
    <row r="1097" spans="1:45" ht="12.75">
      <c r="A1097" s="2" t="str">
        <f>HYPERLINK("https://ibp.a2mac1.com/costing(costing:projects/details/8191/material/5320155)","Standard Structural Steel sheet")</f>
        <v>Standard Structural Steel sheet</v>
      </c>
      <c r="B1097">
        <v>5320155</v>
      </c>
      <c r="C1097">
        <v>6975752</v>
      </c>
      <c r="E1097">
        <v>0.61129999999999995</v>
      </c>
      <c r="F1097" t="s">
        <v>6962</v>
      </c>
      <c r="G1097">
        <v>70</v>
      </c>
      <c r="H1097" t="s">
        <v>7205</v>
      </c>
      <c r="I1097">
        <v>30</v>
      </c>
      <c r="J1097">
        <v>0.1008980929261446</v>
      </c>
      <c r="K1097">
        <v>0</v>
      </c>
      <c r="L1097">
        <v>0</v>
      </c>
      <c r="M1097">
        <v>0</v>
      </c>
      <c r="O1097">
        <v>400000</v>
      </c>
      <c r="R1097" t="s">
        <v>136</v>
      </c>
      <c r="S1097">
        <v>0.17684035714285715</v>
      </c>
      <c r="T1097">
        <v>0.0019845417857142856</v>
      </c>
      <c r="U1097" t="s">
        <v>137</v>
      </c>
      <c r="V1097">
        <v>0.068771250000000006</v>
      </c>
      <c r="W1097">
        <v>1.8588082917857143</v>
      </c>
      <c r="X1097" t="s">
        <v>90</v>
      </c>
      <c r="Y1097">
        <v>0</v>
      </c>
      <c r="Z1097">
        <v>0</v>
      </c>
      <c r="AA1097" t="s">
        <v>90</v>
      </c>
      <c r="AB1097">
        <v>0</v>
      </c>
      <c r="AC1097">
        <v>1.8588082917857143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Q1097" t="s">
        <v>140</v>
      </c>
      <c r="AR1097" t="s">
        <v>141</v>
      </c>
      <c r="AS1097">
        <v>1.9648928571428572</v>
      </c>
    </row>
    <row r="1098" spans="1:45" ht="12.75">
      <c r="A1098" s="2" t="str">
        <f>HYPERLINK("https://ibp.a2mac1.com/costing(costing:projects/details/8191/material/5320156)","Standard Structural Steel sheet")</f>
        <v>Standard Structural Steel sheet</v>
      </c>
      <c r="B1098">
        <v>5320156</v>
      </c>
      <c r="C1098">
        <v>6975753</v>
      </c>
      <c r="E1098">
        <v>0.61129999999999995</v>
      </c>
      <c r="F1098" t="s">
        <v>2706</v>
      </c>
      <c r="G1098">
        <v>85</v>
      </c>
      <c r="H1098" t="s">
        <v>7209</v>
      </c>
      <c r="I1098">
        <v>30</v>
      </c>
      <c r="J1098">
        <v>0.1008980929261446</v>
      </c>
      <c r="K1098">
        <v>0</v>
      </c>
      <c r="L1098">
        <v>0</v>
      </c>
      <c r="M1098">
        <v>0</v>
      </c>
      <c r="O1098">
        <v>400000</v>
      </c>
      <c r="R1098" t="s">
        <v>136</v>
      </c>
      <c r="S1098">
        <v>0.0035599235294117649</v>
      </c>
      <c r="T1098">
        <v>7.9900505882352939E-05</v>
      </c>
      <c r="U1098" t="s">
        <v>137</v>
      </c>
      <c r="V1098">
        <v>0.0027688294117647061</v>
      </c>
      <c r="W1098">
        <v>0.078398218152941179</v>
      </c>
      <c r="X1098" t="s">
        <v>138</v>
      </c>
      <c r="Y1098">
        <v>0.0047038930891764707</v>
      </c>
      <c r="Z1098">
        <v>0</v>
      </c>
      <c r="AA1098" t="s">
        <v>139</v>
      </c>
      <c r="AB1098">
        <v>0.0094077861783529414</v>
      </c>
      <c r="AC1098">
        <v>0.092509897420470583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Q1098" t="s">
        <v>140</v>
      </c>
      <c r="AR1098" t="s">
        <v>141</v>
      </c>
      <c r="AS1098">
        <v>0.079109411764705886</v>
      </c>
    </row>
    <row r="1099" spans="1:45" ht="12.75">
      <c r="A1099" s="2" t="str">
        <f>HYPERLINK("https://ibp.a2mac1.com/costing(costing:projects/details/8191/material/5320157)","Standard Structural Steel sheet")</f>
        <v>Standard Structural Steel sheet</v>
      </c>
      <c r="B1099">
        <v>5320157</v>
      </c>
      <c r="C1099">
        <v>6975754</v>
      </c>
      <c r="E1099">
        <v>0.61129999999999995</v>
      </c>
      <c r="F1099" t="s">
        <v>1885</v>
      </c>
      <c r="G1099">
        <v>80</v>
      </c>
      <c r="H1099" t="s">
        <v>6944</v>
      </c>
      <c r="I1099">
        <v>30</v>
      </c>
      <c r="J1099">
        <v>0.1008980929261446</v>
      </c>
      <c r="K1099">
        <v>0</v>
      </c>
      <c r="L1099">
        <v>0</v>
      </c>
      <c r="M1099">
        <v>0</v>
      </c>
      <c r="O1099">
        <v>400000</v>
      </c>
      <c r="R1099" t="s">
        <v>136</v>
      </c>
      <c r="S1099">
        <v>0.0018339000000000001</v>
      </c>
      <c r="T1099">
        <v>3.0870649999999999E-05</v>
      </c>
      <c r="U1099" t="s">
        <v>137</v>
      </c>
      <c r="V1099">
        <v>0.001069775</v>
      </c>
      <c r="W1099">
        <v>0.029831745650000002</v>
      </c>
      <c r="X1099" t="s">
        <v>138</v>
      </c>
      <c r="Y1099">
        <v>0.001789904739</v>
      </c>
      <c r="Z1099">
        <v>0</v>
      </c>
      <c r="AA1099" t="s">
        <v>139</v>
      </c>
      <c r="AB1099">
        <v>0.003579809478</v>
      </c>
      <c r="AC1099">
        <v>0.035201459866999997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Q1099" t="s">
        <v>140</v>
      </c>
      <c r="AR1099" t="s">
        <v>141</v>
      </c>
      <c r="AS1099">
        <v>0.030564999999999998</v>
      </c>
    </row>
    <row r="1100" spans="1:45" ht="12.75">
      <c r="A1100" s="2" t="str">
        <f>HYPERLINK("https://ibp.a2mac1.com/costing(costing:projects/details/8191/material/5320158)","Standard Structural Steel sheet")</f>
        <v>Standard Structural Steel sheet</v>
      </c>
      <c r="B1100">
        <v>5320158</v>
      </c>
      <c r="C1100">
        <v>6975755</v>
      </c>
      <c r="E1100">
        <v>0.61129999999999995</v>
      </c>
      <c r="F1100" t="s">
        <v>3304</v>
      </c>
      <c r="G1100">
        <v>80</v>
      </c>
      <c r="H1100" t="s">
        <v>4860</v>
      </c>
      <c r="I1100">
        <v>30</v>
      </c>
      <c r="J1100">
        <v>0.1008980929261446</v>
      </c>
      <c r="K1100">
        <v>0</v>
      </c>
      <c r="L1100">
        <v>0</v>
      </c>
      <c r="M1100">
        <v>0</v>
      </c>
      <c r="O1100">
        <v>400000</v>
      </c>
      <c r="R1100" t="s">
        <v>136</v>
      </c>
      <c r="S1100">
        <v>0.0096279750000000004</v>
      </c>
      <c r="T1100">
        <v>0.00016207091250000001</v>
      </c>
      <c r="U1100" t="s">
        <v>137</v>
      </c>
      <c r="V1100">
        <v>0.00561631875</v>
      </c>
      <c r="W1100">
        <v>0.15661666466249999</v>
      </c>
      <c r="X1100" t="s">
        <v>138</v>
      </c>
      <c r="Y1100">
        <v>0.0093969998797499999</v>
      </c>
      <c r="Z1100">
        <v>0</v>
      </c>
      <c r="AA1100" t="s">
        <v>139</v>
      </c>
      <c r="AB1100">
        <v>0.0187939997595</v>
      </c>
      <c r="AC1100">
        <v>0.18480766430175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Q1100" t="s">
        <v>140</v>
      </c>
      <c r="AR1100" t="s">
        <v>141</v>
      </c>
      <c r="AS1100">
        <v>0.16046625</v>
      </c>
    </row>
    <row r="1101" spans="1:45" ht="12.75">
      <c r="A1101" s="2" t="str">
        <f>HYPERLINK("https://ibp.a2mac1.com/costing(costing:projects/details/8191/material/5320159)","Standard Structural Steel sheet")</f>
        <v>Standard Structural Steel sheet</v>
      </c>
      <c r="B1101">
        <v>5320159</v>
      </c>
      <c r="C1101">
        <v>6975756</v>
      </c>
      <c r="E1101">
        <v>0.61129999999999995</v>
      </c>
      <c r="F1101" t="s">
        <v>1885</v>
      </c>
      <c r="G1101">
        <v>85</v>
      </c>
      <c r="H1101" t="s">
        <v>7216</v>
      </c>
      <c r="I1101">
        <v>30</v>
      </c>
      <c r="J1101">
        <v>0.1008980929261446</v>
      </c>
      <c r="K1101">
        <v>0</v>
      </c>
      <c r="L1101">
        <v>0</v>
      </c>
      <c r="M1101">
        <v>0</v>
      </c>
      <c r="O1101">
        <v>400000</v>
      </c>
      <c r="R1101" t="s">
        <v>136</v>
      </c>
      <c r="S1101">
        <v>0.0012945176470588234</v>
      </c>
      <c r="T1101">
        <v>2.9054729411764705E-05</v>
      </c>
      <c r="U1101" t="s">
        <v>137</v>
      </c>
      <c r="V1101">
        <v>0.0010068470588235293</v>
      </c>
      <c r="W1101">
        <v>0.028508442964705883</v>
      </c>
      <c r="X1101" t="s">
        <v>138</v>
      </c>
      <c r="Y1101">
        <v>0.001710506577882353</v>
      </c>
      <c r="Z1101">
        <v>0</v>
      </c>
      <c r="AA1101" t="s">
        <v>139</v>
      </c>
      <c r="AB1101">
        <v>0.0034210131557647059</v>
      </c>
      <c r="AC1101">
        <v>0.03363996269835294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Q1101" t="s">
        <v>140</v>
      </c>
      <c r="AR1101" t="s">
        <v>141</v>
      </c>
      <c r="AS1101">
        <v>0.028767058823529413</v>
      </c>
    </row>
    <row r="1102" spans="1:45" ht="12.75">
      <c r="A1102" s="2" t="str">
        <f>HYPERLINK("https://ibp.a2mac1.com/costing(costing:projects/details/8191/material/5320160)","Standard Structural Steel sheet")</f>
        <v>Standard Structural Steel sheet</v>
      </c>
      <c r="B1102">
        <v>5320160</v>
      </c>
      <c r="C1102">
        <v>6975757</v>
      </c>
      <c r="E1102">
        <v>0.61129999999999995</v>
      </c>
      <c r="F1102" t="s">
        <v>4234</v>
      </c>
      <c r="G1102">
        <v>85</v>
      </c>
      <c r="H1102" t="s">
        <v>6518</v>
      </c>
      <c r="I1102">
        <v>30</v>
      </c>
      <c r="J1102">
        <v>0.1008980929261446</v>
      </c>
      <c r="K1102">
        <v>0</v>
      </c>
      <c r="L1102">
        <v>0</v>
      </c>
      <c r="M1102">
        <v>0</v>
      </c>
      <c r="O1102">
        <v>400000</v>
      </c>
      <c r="R1102" t="s">
        <v>136</v>
      </c>
      <c r="S1102">
        <v>0.00097088823529411768</v>
      </c>
      <c r="T1102">
        <v>2.1791047058823528E-05</v>
      </c>
      <c r="U1102" t="s">
        <v>137</v>
      </c>
      <c r="V1102">
        <v>0.00075513529411764711</v>
      </c>
      <c r="W1102">
        <v>0.021381332223529413</v>
      </c>
      <c r="X1102" t="s">
        <v>138</v>
      </c>
      <c r="Y1102">
        <v>0.0012828799334117648</v>
      </c>
      <c r="Z1102">
        <v>0</v>
      </c>
      <c r="AA1102" t="s">
        <v>139</v>
      </c>
      <c r="AB1102">
        <v>0.0025657598668235295</v>
      </c>
      <c r="AC1102">
        <v>0.025229972023764705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Q1102" t="s">
        <v>140</v>
      </c>
      <c r="AR1102" t="s">
        <v>141</v>
      </c>
      <c r="AS1102">
        <v>0.021575294117647057</v>
      </c>
    </row>
    <row r="1103" spans="1:45" ht="12.75">
      <c r="A1103" s="2" t="str">
        <f>HYPERLINK("https://ibp.a2mac1.com/costing(costing:projects/details/8191/material/5319677)","Standard Structural Steel sheet")</f>
        <v>Standard Structural Steel sheet</v>
      </c>
      <c r="B1103">
        <v>5319677</v>
      </c>
      <c r="C1103">
        <v>6975328</v>
      </c>
      <c r="E1103">
        <v>0.61129999999999995</v>
      </c>
      <c r="F1103" t="s">
        <v>7224</v>
      </c>
      <c r="G1103">
        <v>100</v>
      </c>
      <c r="H1103" t="s">
        <v>7225</v>
      </c>
      <c r="I1103">
        <v>30</v>
      </c>
      <c r="J1103">
        <v>0.30407257863516274</v>
      </c>
      <c r="K1103">
        <v>0</v>
      </c>
      <c r="M1103">
        <v>0</v>
      </c>
      <c r="O1103">
        <v>400000</v>
      </c>
      <c r="R1103" t="s">
        <v>136</v>
      </c>
      <c r="S1103">
        <v>0</v>
      </c>
      <c r="T1103">
        <v>0.00049781215499999996</v>
      </c>
      <c r="U1103" t="s">
        <v>137</v>
      </c>
      <c r="V1103">
        <v>0.0057125984999999999</v>
      </c>
      <c r="W1103">
        <v>0.169427510655</v>
      </c>
      <c r="X1103" t="s">
        <v>138</v>
      </c>
      <c r="Y1103">
        <v>0.0101656506393</v>
      </c>
      <c r="Z1103">
        <v>0</v>
      </c>
      <c r="AA1103" t="s">
        <v>139</v>
      </c>
      <c r="AB1103">
        <v>0.0203313012786</v>
      </c>
      <c r="AC1103">
        <v>0.1999244625729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Q1103" t="s">
        <v>140</v>
      </c>
      <c r="AR1103" t="s">
        <v>141</v>
      </c>
      <c r="AS1103">
        <v>0.1632171</v>
      </c>
    </row>
    <row r="1104" spans="1:45" ht="12.75">
      <c r="A1104" s="2" t="str">
        <f>HYPERLINK("https://ibp.a2mac1.com/costing(costing:projects/details/8191/material/5319678)","PP-PE")</f>
        <v>PP-PE</v>
      </c>
      <c r="B1104">
        <v>5319678</v>
      </c>
      <c r="C1104">
        <v>6975331</v>
      </c>
      <c r="E1104">
        <v>1.34768</v>
      </c>
      <c r="F1104" t="s">
        <v>7234</v>
      </c>
      <c r="G1104">
        <v>98.039199999999994</v>
      </c>
      <c r="H1104" t="s">
        <v>7235</v>
      </c>
      <c r="I1104">
        <v>5</v>
      </c>
      <c r="J1104">
        <v>0.20258874484795864</v>
      </c>
      <c r="K1104">
        <v>0</v>
      </c>
      <c r="M1104">
        <v>0</v>
      </c>
      <c r="O1104">
        <v>400000</v>
      </c>
      <c r="R1104" t="s">
        <v>136</v>
      </c>
      <c r="S1104">
        <v>0.00055053177230332355</v>
      </c>
      <c r="T1104">
        <v>0.001139921968355515</v>
      </c>
      <c r="U1104" t="s">
        <v>137</v>
      </c>
      <c r="V1104">
        <v>0.019653827040612328</v>
      </c>
      <c r="W1104">
        <v>0.58178113268273102</v>
      </c>
      <c r="X1104" t="s">
        <v>138</v>
      </c>
      <c r="Y1104">
        <v>0.034906867960963858</v>
      </c>
      <c r="Z1104">
        <v>0</v>
      </c>
      <c r="AA1104" t="s">
        <v>139</v>
      </c>
      <c r="AB1104">
        <v>0.069813735921927716</v>
      </c>
      <c r="AC1104">
        <v>0.68650173656562252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Q1104" t="s">
        <v>140</v>
      </c>
      <c r="AR1104" t="s">
        <v>141</v>
      </c>
      <c r="AS1104">
        <v>0.56153791544606646</v>
      </c>
    </row>
    <row r="1105" spans="1:45" ht="12.75">
      <c r="A1105" s="2" t="str">
        <f>HYPERLINK("https://ibp.a2mac1.com/costing(costing:projects/details/8191/material/5319679)","Standard Structural Steel sheet")</f>
        <v>Standard Structural Steel sheet</v>
      </c>
      <c r="B1105">
        <v>5319679</v>
      </c>
      <c r="C1105">
        <v>6975333</v>
      </c>
      <c r="E1105">
        <v>0.61129999999999995</v>
      </c>
      <c r="F1105" t="s">
        <v>4204</v>
      </c>
      <c r="G1105">
        <v>56.6233</v>
      </c>
      <c r="H1105" t="s">
        <v>7241</v>
      </c>
      <c r="I1105">
        <v>30</v>
      </c>
      <c r="J1105">
        <v>0.30407257863516274</v>
      </c>
      <c r="K1105">
        <v>0</v>
      </c>
      <c r="M1105">
        <v>0</v>
      </c>
      <c r="O1105">
        <v>400000</v>
      </c>
      <c r="R1105" t="s">
        <v>136</v>
      </c>
      <c r="S1105">
        <v>0.043410567399233178</v>
      </c>
      <c r="T1105">
        <v>0.0010174604535588706</v>
      </c>
      <c r="U1105" t="s">
        <v>137</v>
      </c>
      <c r="V1105">
        <v>0.011675775696577203</v>
      </c>
      <c r="W1105">
        <v>0.30287626008168017</v>
      </c>
      <c r="X1105" t="s">
        <v>138</v>
      </c>
      <c r="Y1105">
        <v>0.01817257560490081</v>
      </c>
      <c r="Z1105">
        <v>0</v>
      </c>
      <c r="AA1105" t="s">
        <v>139</v>
      </c>
      <c r="AB1105">
        <v>0.03634515120980162</v>
      </c>
      <c r="AC1105">
        <v>0.35739398689638258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Q1105" t="s">
        <v>140</v>
      </c>
      <c r="AR1105" t="s">
        <v>141</v>
      </c>
      <c r="AS1105">
        <v>0.33359359133077726</v>
      </c>
    </row>
    <row r="1106" spans="1:45" ht="12.75">
      <c r="A1106" s="2" t="str">
        <f>HYPERLINK("https://ibp.a2mac1.com/costing(costing:projects/details/8191/material/5319680)","Standard Structural Steel sheet")</f>
        <v>Standard Structural Steel sheet</v>
      </c>
      <c r="B1106">
        <v>5319680</v>
      </c>
      <c r="C1106">
        <v>6975336</v>
      </c>
      <c r="E1106">
        <v>0.61129999999999995</v>
      </c>
      <c r="F1106" t="s">
        <v>2785</v>
      </c>
      <c r="G1106">
        <v>35.376600000000003</v>
      </c>
      <c r="H1106" t="s">
        <v>7247</v>
      </c>
      <c r="I1106">
        <v>30</v>
      </c>
      <c r="J1106">
        <v>0.30407257863516274</v>
      </c>
      <c r="K1106">
        <v>0</v>
      </c>
      <c r="M1106">
        <v>0</v>
      </c>
      <c r="O1106">
        <v>400000</v>
      </c>
      <c r="R1106" t="s">
        <v>136</v>
      </c>
      <c r="S1106">
        <v>0.010217607187886907</v>
      </c>
      <c r="T1106">
        <v>0.00016074518891018356</v>
      </c>
      <c r="U1106" t="s">
        <v>137</v>
      </c>
      <c r="V1106">
        <v>0.0018446169219201393</v>
      </c>
      <c r="W1106">
        <v>0.044491095549233112</v>
      </c>
      <c r="X1106" t="s">
        <v>138</v>
      </c>
      <c r="Y1106">
        <v>0.0026694657329539863</v>
      </c>
      <c r="Z1106">
        <v>0</v>
      </c>
      <c r="AA1106" t="s">
        <v>139</v>
      </c>
      <c r="AB1106">
        <v>0.0053389314659079727</v>
      </c>
      <c r="AC1106">
        <v>0.052499492748095067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Q1106" t="s">
        <v>140</v>
      </c>
      <c r="AR1106" t="s">
        <v>141</v>
      </c>
      <c r="AS1106">
        <v>0.052703340626289695</v>
      </c>
    </row>
    <row r="1107" spans="1:45" ht="12.75">
      <c r="A1107" s="2" t="str">
        <f>HYPERLINK("https://ibp.a2mac1.com/costing(costing:projects/details/8191/material/5319681)","PP-TD20")</f>
        <v>PP-TD20</v>
      </c>
      <c r="B1107">
        <v>5319681</v>
      </c>
      <c r="C1107">
        <v>6975339</v>
      </c>
      <c r="E1107">
        <v>1.1148100000000001</v>
      </c>
      <c r="F1107" t="s">
        <v>7253</v>
      </c>
      <c r="G1107">
        <v>98.039199999999994</v>
      </c>
      <c r="H1107" t="s">
        <v>7254</v>
      </c>
      <c r="I1107">
        <v>5</v>
      </c>
      <c r="J1107">
        <v>0.20258874484795864</v>
      </c>
      <c r="K1107">
        <v>0</v>
      </c>
      <c r="M1107">
        <v>0</v>
      </c>
      <c r="O1107">
        <v>400000</v>
      </c>
      <c r="R1107" t="s">
        <v>136</v>
      </c>
      <c r="S1107">
        <v>0.00022965273395131742</v>
      </c>
      <c r="T1107">
        <v>0.00047551514679842349</v>
      </c>
      <c r="U1107" t="s">
        <v>137</v>
      </c>
      <c r="V1107">
        <v>0.008198537013765923</v>
      </c>
      <c r="W1107">
        <v>0.24268831410563937</v>
      </c>
      <c r="X1107" t="s">
        <v>138</v>
      </c>
      <c r="Y1107">
        <v>0.014561298846338363</v>
      </c>
      <c r="Z1107">
        <v>0</v>
      </c>
      <c r="AA1107" t="s">
        <v>139</v>
      </c>
      <c r="AB1107">
        <v>0.029122597692676725</v>
      </c>
      <c r="AC1107">
        <v>0.28637221064465446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Q1107" t="s">
        <v>140</v>
      </c>
      <c r="AR1107" t="s">
        <v>141</v>
      </c>
      <c r="AS1107">
        <v>0.23424391467902636</v>
      </c>
    </row>
    <row r="1108" spans="1:45" ht="12.75">
      <c r="A1108" s="2" t="str">
        <f>HYPERLINK("https://ibp.a2mac1.com/costing(costing:projects/details/8191/material/5319682)","PP-E/P-TD21")</f>
        <v>PP-E/P-TD21</v>
      </c>
      <c r="B1108">
        <v>5319682</v>
      </c>
      <c r="C1108">
        <v>6975341</v>
      </c>
      <c r="E1108">
        <v>1.4319999999999999</v>
      </c>
      <c r="F1108" t="s">
        <v>7263</v>
      </c>
      <c r="G1108">
        <v>98.039199999999994</v>
      </c>
      <c r="H1108" t="s">
        <v>7264</v>
      </c>
      <c r="I1108">
        <v>0</v>
      </c>
      <c r="J1108">
        <v>0.20258874484795864</v>
      </c>
      <c r="K1108">
        <v>0</v>
      </c>
      <c r="L1108">
        <v>0</v>
      </c>
      <c r="M1108">
        <v>0</v>
      </c>
      <c r="O1108">
        <v>400000</v>
      </c>
      <c r="R1108" t="s">
        <v>136</v>
      </c>
      <c r="S1108">
        <v>0</v>
      </c>
      <c r="T1108">
        <v>0.001365428400068544</v>
      </c>
      <c r="U1108" t="s">
        <v>137</v>
      </c>
      <c r="V1108">
        <v>0.023541868966699034</v>
      </c>
      <c r="W1108">
        <v>0.69753212498674</v>
      </c>
      <c r="X1108" t="s">
        <v>138</v>
      </c>
      <c r="Y1108">
        <v>0.041851927499204397</v>
      </c>
      <c r="Z1108">
        <v>0</v>
      </c>
      <c r="AA1108" t="s">
        <v>139</v>
      </c>
      <c r="AB1108">
        <v>0.083703854998408794</v>
      </c>
      <c r="AC1108">
        <v>0.82308790748435323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Q1108" t="s">
        <v>9</v>
      </c>
      <c r="AR1108" t="s">
        <v>141</v>
      </c>
      <c r="AS1108">
        <v>0.67262482761997244</v>
      </c>
    </row>
    <row r="1109" spans="1:45" ht="12.75">
      <c r="A1109" s="2" t="str">
        <f>HYPERLINK("https://ibp.a2mac1.com/costing(costing:projects/details/8191/material/5320161)","PP-E/P")</f>
        <v>PP-E/P</v>
      </c>
      <c r="B1109">
        <v>5320161</v>
      </c>
      <c r="C1109">
        <v>6975758</v>
      </c>
      <c r="E1109">
        <v>1.49563</v>
      </c>
      <c r="F1109" t="s">
        <v>7275</v>
      </c>
      <c r="G1109">
        <v>95</v>
      </c>
      <c r="H1109" t="s">
        <v>7276</v>
      </c>
      <c r="I1109">
        <v>5</v>
      </c>
      <c r="J1109">
        <v>0.50345253019720215</v>
      </c>
      <c r="K1109">
        <v>0</v>
      </c>
      <c r="M1109">
        <v>0</v>
      </c>
      <c r="O1109">
        <v>200000</v>
      </c>
      <c r="R1109" t="s">
        <v>136</v>
      </c>
      <c r="S1109">
        <v>0.003971291236842105</v>
      </c>
      <c r="T1109">
        <v>0.0080378934633684208</v>
      </c>
      <c r="U1109" t="s">
        <v>137</v>
      </c>
      <c r="V1109">
        <v>0.055598077315789474</v>
      </c>
      <c r="W1109">
        <v>1.6481811742791579</v>
      </c>
      <c r="X1109" t="s">
        <v>138</v>
      </c>
      <c r="Y1109">
        <v>0.098890870456749477</v>
      </c>
      <c r="Z1109">
        <v>0</v>
      </c>
      <c r="AA1109" t="s">
        <v>139</v>
      </c>
      <c r="AB1109">
        <v>0.19778174091349895</v>
      </c>
      <c r="AC1109">
        <v>1.9448537856494064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Q1109" t="s">
        <v>140</v>
      </c>
      <c r="AR1109" t="s">
        <v>141</v>
      </c>
      <c r="AS1109">
        <v>1.5885164947368422</v>
      </c>
    </row>
    <row r="1110" spans="1:45" ht="12.75">
      <c r="A1110" s="2" t="str">
        <f>HYPERLINK("https://ibp.a2mac1.com/costing(costing:projects/details/8191/material/5320162)","PP-E/P")</f>
        <v>PP-E/P</v>
      </c>
      <c r="B1110">
        <v>5320162</v>
      </c>
      <c r="C1110">
        <v>6975759</v>
      </c>
      <c r="E1110">
        <v>1.49563</v>
      </c>
      <c r="F1110" t="s">
        <v>7282</v>
      </c>
      <c r="G1110">
        <v>95</v>
      </c>
      <c r="H1110" t="s">
        <v>7283</v>
      </c>
      <c r="I1110">
        <v>5</v>
      </c>
      <c r="J1110">
        <v>0.50345253019720215</v>
      </c>
      <c r="K1110">
        <v>0</v>
      </c>
      <c r="M1110">
        <v>0</v>
      </c>
      <c r="O1110">
        <v>200000</v>
      </c>
      <c r="R1110" t="s">
        <v>136</v>
      </c>
      <c r="S1110">
        <v>0.0021214330789473684</v>
      </c>
      <c r="T1110">
        <v>0.004293780551789474</v>
      </c>
      <c r="U1110" t="s">
        <v>137</v>
      </c>
      <c r="V1110">
        <v>0.029700063105263158</v>
      </c>
      <c r="W1110">
        <v>0.88044564215705268</v>
      </c>
      <c r="X1110" t="s">
        <v>90</v>
      </c>
      <c r="Y1110">
        <v>0</v>
      </c>
      <c r="Z1110">
        <v>0</v>
      </c>
      <c r="AA1110" t="s">
        <v>90</v>
      </c>
      <c r="AB1110">
        <v>0</v>
      </c>
      <c r="AC1110">
        <v>0.88044564215705268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Q1110" t="s">
        <v>140</v>
      </c>
      <c r="AR1110" t="s">
        <v>141</v>
      </c>
      <c r="AS1110">
        <v>0.84857323157894737</v>
      </c>
    </row>
    <row r="1111" spans="1:45" ht="12.75">
      <c r="A1111" s="2" t="str">
        <f>HYPERLINK("https://ibp.a2mac1.com/costing(costing:projects/details/8191/material/5320163)","PP")</f>
        <v>PP</v>
      </c>
      <c r="B1111">
        <v>5320163</v>
      </c>
      <c r="C1111">
        <v>6975760</v>
      </c>
      <c r="E1111">
        <v>1.0113799999999999</v>
      </c>
      <c r="F1111" t="s">
        <v>3246</v>
      </c>
      <c r="G1111">
        <v>95</v>
      </c>
      <c r="H1111" t="s">
        <v>3247</v>
      </c>
      <c r="I1111">
        <v>5</v>
      </c>
      <c r="J1111">
        <v>0.50048257265952256</v>
      </c>
      <c r="K1111">
        <v>0</v>
      </c>
      <c r="M1111">
        <v>0</v>
      </c>
      <c r="O1111">
        <v>400000</v>
      </c>
      <c r="R1111" t="s">
        <v>136</v>
      </c>
      <c r="S1111">
        <v>0.00058287426315789472</v>
      </c>
      <c r="T1111">
        <v>0.0011727430174736841</v>
      </c>
      <c r="U1111" t="s">
        <v>137</v>
      </c>
      <c r="V1111">
        <v>0.0081602396842105265</v>
      </c>
      <c r="W1111">
        <v>0.2418998137016842</v>
      </c>
      <c r="X1111" t="s">
        <v>90</v>
      </c>
      <c r="Y1111">
        <v>0</v>
      </c>
      <c r="Z1111">
        <v>0</v>
      </c>
      <c r="AA1111" t="s">
        <v>90</v>
      </c>
      <c r="AB1111">
        <v>0</v>
      </c>
      <c r="AC1111">
        <v>0.2418998137016842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Q1111" t="s">
        <v>140</v>
      </c>
      <c r="AR1111" t="s">
        <v>141</v>
      </c>
      <c r="AS1111">
        <v>0.2331497052631579</v>
      </c>
    </row>
    <row r="1112" spans="1:45" ht="12.75">
      <c r="A1112" s="2" t="str">
        <f>HYPERLINK("https://ibp.a2mac1.com/costing(costing:projects/details/8191/material/5320164)","PMMA")</f>
        <v>PMMA</v>
      </c>
      <c r="B1112">
        <v>5320164</v>
      </c>
      <c r="C1112">
        <v>6975761</v>
      </c>
      <c r="E1112">
        <v>2.10</v>
      </c>
      <c r="F1112" t="s">
        <v>4746</v>
      </c>
      <c r="G1112">
        <v>95</v>
      </c>
      <c r="H1112" t="s">
        <v>4747</v>
      </c>
      <c r="I1112">
        <v>5</v>
      </c>
      <c r="J1112">
        <v>0.50345253019720215</v>
      </c>
      <c r="K1112">
        <v>0</v>
      </c>
      <c r="M1112">
        <v>0</v>
      </c>
      <c r="O1112">
        <v>200000</v>
      </c>
      <c r="R1112" t="s">
        <v>136</v>
      </c>
      <c r="S1112">
        <v>0.00011052631578947369</v>
      </c>
      <c r="T1112">
        <v>0.00022370526315789474</v>
      </c>
      <c r="U1112" t="s">
        <v>137</v>
      </c>
      <c r="V1112">
        <v>0.0015473684210526315</v>
      </c>
      <c r="W1112">
        <v>0.045871073684210527</v>
      </c>
      <c r="X1112" t="s">
        <v>90</v>
      </c>
      <c r="Y1112">
        <v>0</v>
      </c>
      <c r="Z1112">
        <v>0</v>
      </c>
      <c r="AA1112" t="s">
        <v>90</v>
      </c>
      <c r="AB1112">
        <v>0</v>
      </c>
      <c r="AC1112">
        <v>0.045871073684210527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Q1112" t="s">
        <v>140</v>
      </c>
      <c r="AR1112" t="s">
        <v>141</v>
      </c>
      <c r="AS1112">
        <v>0.044210526315789471</v>
      </c>
    </row>
    <row r="1113" spans="1:45" ht="12.75">
      <c r="A1113" s="2" t="str">
        <f>HYPERLINK("https://ibp.a2mac1.com/costing(costing:projects/details/8191/material/5320165)","PP")</f>
        <v>PP</v>
      </c>
      <c r="B1113">
        <v>5320165</v>
      </c>
      <c r="C1113">
        <v>6975762</v>
      </c>
      <c r="E1113">
        <v>1.0113799999999999</v>
      </c>
      <c r="F1113" t="s">
        <v>7294</v>
      </c>
      <c r="G1113">
        <v>95</v>
      </c>
      <c r="H1113" t="s">
        <v>7295</v>
      </c>
      <c r="I1113">
        <v>5</v>
      </c>
      <c r="J1113">
        <v>0.50048257265952256</v>
      </c>
      <c r="K1113">
        <v>0</v>
      </c>
      <c r="M1113">
        <v>0</v>
      </c>
      <c r="O1113">
        <v>400000</v>
      </c>
      <c r="R1113" t="s">
        <v>136</v>
      </c>
      <c r="S1113">
        <v>0.0006227971578947368</v>
      </c>
      <c r="T1113">
        <v>0.0012530678816842105</v>
      </c>
      <c r="U1113" t="s">
        <v>137</v>
      </c>
      <c r="V1113">
        <v>0.0087191602105263152</v>
      </c>
      <c r="W1113">
        <v>0.2584682940922105</v>
      </c>
      <c r="X1113" t="s">
        <v>90</v>
      </c>
      <c r="Y1113">
        <v>0</v>
      </c>
      <c r="Z1113">
        <v>0</v>
      </c>
      <c r="AA1113" t="s">
        <v>90</v>
      </c>
      <c r="AB1113">
        <v>0</v>
      </c>
      <c r="AC1113">
        <v>0.2584682940922105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Q1113" t="s">
        <v>140</v>
      </c>
      <c r="AR1113" t="s">
        <v>141</v>
      </c>
      <c r="AS1113">
        <v>0.24911886315789475</v>
      </c>
    </row>
    <row r="1114" spans="1:45" ht="12.75">
      <c r="A1114" s="2" t="str">
        <f>HYPERLINK("https://ibp.a2mac1.com/costing(costing:projects/details/8191/material/5320166)","PP-E/P")</f>
        <v>PP-E/P</v>
      </c>
      <c r="B1114">
        <v>5320166</v>
      </c>
      <c r="C1114">
        <v>6975763</v>
      </c>
      <c r="E1114">
        <v>1.49563</v>
      </c>
      <c r="F1114" t="s">
        <v>7299</v>
      </c>
      <c r="G1114">
        <v>95</v>
      </c>
      <c r="H1114" t="s">
        <v>7300</v>
      </c>
      <c r="I1114">
        <v>5</v>
      </c>
      <c r="J1114">
        <v>0.50345253019720215</v>
      </c>
      <c r="K1114">
        <v>0</v>
      </c>
      <c r="M1114">
        <v>0</v>
      </c>
      <c r="O1114">
        <v>200000</v>
      </c>
      <c r="R1114" t="s">
        <v>136</v>
      </c>
      <c r="S1114">
        <v>0.0030148752105263158</v>
      </c>
      <c r="T1114">
        <v>0.0061021074261052629</v>
      </c>
      <c r="U1114" t="s">
        <v>137</v>
      </c>
      <c r="V1114">
        <v>0.042208252947368421</v>
      </c>
      <c r="W1114">
        <v>1.2512455693734736</v>
      </c>
      <c r="X1114" t="s">
        <v>90</v>
      </c>
      <c r="Y1114">
        <v>0</v>
      </c>
      <c r="Z1114">
        <v>0</v>
      </c>
      <c r="AA1114" t="s">
        <v>90</v>
      </c>
      <c r="AB1114">
        <v>0</v>
      </c>
      <c r="AC1114">
        <v>1.2512455693734736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Q1114" t="s">
        <v>140</v>
      </c>
      <c r="AR1114" t="s">
        <v>141</v>
      </c>
      <c r="AS1114">
        <v>1.2059500842105264</v>
      </c>
    </row>
    <row r="1115" spans="1:45" ht="12.75">
      <c r="A1115" s="2" t="str">
        <f>HYPERLINK("https://ibp.a2mac1.com/costing(costing:projects/details/8191/material/5320167)","POM")</f>
        <v>POM</v>
      </c>
      <c r="B1115">
        <v>5320167</v>
      </c>
      <c r="C1115">
        <v>6975764</v>
      </c>
      <c r="E1115">
        <v>2.12338</v>
      </c>
      <c r="F1115" t="s">
        <v>7306</v>
      </c>
      <c r="G1115">
        <v>95</v>
      </c>
      <c r="H1115" t="s">
        <v>7307</v>
      </c>
      <c r="I1115">
        <v>5</v>
      </c>
      <c r="J1115">
        <v>0.50048257265952256</v>
      </c>
      <c r="K1115">
        <v>0</v>
      </c>
      <c r="M1115">
        <v>0</v>
      </c>
      <c r="O1115">
        <v>400000</v>
      </c>
      <c r="R1115" t="s">
        <v>136</v>
      </c>
      <c r="S1115">
        <v>0.00012013860526315789</v>
      </c>
      <c r="T1115">
        <v>0.0002417188737894737</v>
      </c>
      <c r="U1115" t="s">
        <v>137</v>
      </c>
      <c r="V1115">
        <v>0.0016819404736842106</v>
      </c>
      <c r="W1115">
        <v>0.049858962847473681</v>
      </c>
      <c r="X1115" t="s">
        <v>90</v>
      </c>
      <c r="Y1115">
        <v>0</v>
      </c>
      <c r="Z1115">
        <v>0</v>
      </c>
      <c r="AA1115" t="s">
        <v>90</v>
      </c>
      <c r="AB1115">
        <v>0</v>
      </c>
      <c r="AC1115">
        <v>0.049858962847473681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Q1115" t="s">
        <v>140</v>
      </c>
      <c r="AR1115" t="s">
        <v>141</v>
      </c>
      <c r="AS1115">
        <v>0.048055442105263156</v>
      </c>
    </row>
    <row r="1116" spans="1:45" ht="12.75">
      <c r="A1116" s="2" t="str">
        <f>HYPERLINK("https://ibp.a2mac1.com/costing(costing:projects/details/8191/material/5320168)","PP")</f>
        <v>PP</v>
      </c>
      <c r="B1116">
        <v>5320168</v>
      </c>
      <c r="C1116">
        <v>6975765</v>
      </c>
      <c r="E1116">
        <v>1.0113799999999999</v>
      </c>
      <c r="F1116" t="s">
        <v>7313</v>
      </c>
      <c r="G1116">
        <v>95</v>
      </c>
      <c r="H1116" t="s">
        <v>7314</v>
      </c>
      <c r="I1116">
        <v>5</v>
      </c>
      <c r="J1116">
        <v>0.50048257265952256</v>
      </c>
      <c r="K1116">
        <v>0</v>
      </c>
      <c r="M1116">
        <v>0</v>
      </c>
      <c r="O1116">
        <v>400000</v>
      </c>
      <c r="R1116" t="s">
        <v>136</v>
      </c>
      <c r="S1116">
        <v>0.0003074062894736842</v>
      </c>
      <c r="T1116">
        <v>0.00061850145442105258</v>
      </c>
      <c r="U1116" t="s">
        <v>137</v>
      </c>
      <c r="V1116">
        <v>0.0043036880526315787</v>
      </c>
      <c r="W1116">
        <v>0.12757729900705264</v>
      </c>
      <c r="X1116" t="s">
        <v>90</v>
      </c>
      <c r="Y1116">
        <v>0</v>
      </c>
      <c r="Z1116">
        <v>0</v>
      </c>
      <c r="AA1116" t="s">
        <v>90</v>
      </c>
      <c r="AB1116">
        <v>0</v>
      </c>
      <c r="AC1116">
        <v>0.12757729900705264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Q1116" t="s">
        <v>140</v>
      </c>
      <c r="AR1116" t="s">
        <v>141</v>
      </c>
      <c r="AS1116">
        <v>0.12296251578947369</v>
      </c>
    </row>
    <row r="1117" spans="1:45" ht="12.75">
      <c r="A1117" s="2" t="str">
        <f>HYPERLINK("https://ibp.a2mac1.com/costing(costing:projects/details/8191/material/5320169)","PP")</f>
        <v>PP</v>
      </c>
      <c r="B1117">
        <v>5320169</v>
      </c>
      <c r="C1117">
        <v>6975766</v>
      </c>
      <c r="E1117">
        <v>1.0113799999999999</v>
      </c>
      <c r="F1117" t="s">
        <v>7320</v>
      </c>
      <c r="G1117">
        <v>95</v>
      </c>
      <c r="H1117" t="s">
        <v>7321</v>
      </c>
      <c r="I1117">
        <v>5</v>
      </c>
      <c r="J1117">
        <v>0.50345253019720215</v>
      </c>
      <c r="K1117">
        <v>0</v>
      </c>
      <c r="M1117">
        <v>0</v>
      </c>
      <c r="O1117">
        <v>200000</v>
      </c>
      <c r="R1117" t="s">
        <v>136</v>
      </c>
      <c r="S1117">
        <v>0.0045112871052631577</v>
      </c>
      <c r="T1117">
        <v>0.0091308451010526318</v>
      </c>
      <c r="U1117" t="s">
        <v>137</v>
      </c>
      <c r="V1117">
        <v>0.063158019473684213</v>
      </c>
      <c r="W1117">
        <v>1.8722924195747368</v>
      </c>
      <c r="X1117" t="s">
        <v>90</v>
      </c>
      <c r="Y1117">
        <v>0</v>
      </c>
      <c r="Z1117">
        <v>0</v>
      </c>
      <c r="AA1117" t="s">
        <v>90</v>
      </c>
      <c r="AB1117">
        <v>0</v>
      </c>
      <c r="AC1117">
        <v>1.8722924195747368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Q1117" t="s">
        <v>140</v>
      </c>
      <c r="AR1117" t="s">
        <v>141</v>
      </c>
      <c r="AS1117">
        <v>1.8045148421052633</v>
      </c>
    </row>
    <row r="1118" spans="1:45" ht="12.75">
      <c r="A1118" s="2" t="str">
        <f>HYPERLINK("https://ibp.a2mac1.com/costing(costing:projects/details/8191/material/5319960)","PP-PE")</f>
        <v>PP-PE</v>
      </c>
      <c r="B1118">
        <v>5319960</v>
      </c>
      <c r="C1118">
        <v>6975524</v>
      </c>
      <c r="E1118">
        <v>1.34768</v>
      </c>
      <c r="F1118" t="s">
        <v>7326</v>
      </c>
      <c r="G1118">
        <v>100</v>
      </c>
      <c r="H1118" t="s">
        <v>7327</v>
      </c>
      <c r="I1118">
        <v>5</v>
      </c>
      <c r="J1118">
        <v>0.10389195236953569</v>
      </c>
      <c r="K1118">
        <v>0</v>
      </c>
      <c r="L1118">
        <v>0</v>
      </c>
      <c r="M1118">
        <v>0</v>
      </c>
      <c r="O1118">
        <v>200000</v>
      </c>
      <c r="R1118" t="s">
        <v>136</v>
      </c>
      <c r="S1118">
        <v>0</v>
      </c>
      <c r="T1118">
        <v>0.0053442519936000004</v>
      </c>
      <c r="U1118" t="s">
        <v>137</v>
      </c>
      <c r="V1118">
        <v>0.17985463439999999</v>
      </c>
      <c r="W1118">
        <v>5.3239027263935998</v>
      </c>
      <c r="X1118" t="s">
        <v>90</v>
      </c>
      <c r="Y1118">
        <v>0</v>
      </c>
      <c r="Z1118">
        <v>0</v>
      </c>
      <c r="AA1118" t="s">
        <v>90</v>
      </c>
      <c r="AB1118">
        <v>0</v>
      </c>
      <c r="AC1118">
        <v>5.3239027263935998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Q1118" t="s">
        <v>140</v>
      </c>
      <c r="AR1118" t="s">
        <v>141</v>
      </c>
      <c r="AS1118">
        <v>5.1387038399999998</v>
      </c>
    </row>
    <row r="1119" spans="1:45" ht="12.75">
      <c r="A1119" s="2" t="str">
        <f>HYPERLINK("https://ibp.a2mac1.com/costing(costing:projects/details/8191/material/5319961)","PP")</f>
        <v>PP</v>
      </c>
      <c r="B1119">
        <v>5319961</v>
      </c>
      <c r="C1119">
        <v>6975525</v>
      </c>
      <c r="E1119">
        <v>1.0113799999999999</v>
      </c>
      <c r="F1119" t="s">
        <v>7332</v>
      </c>
      <c r="G1119">
        <v>95</v>
      </c>
      <c r="H1119" t="s">
        <v>7333</v>
      </c>
      <c r="I1119">
        <v>5</v>
      </c>
      <c r="J1119">
        <v>0.50048257265952256</v>
      </c>
      <c r="K1119">
        <v>0</v>
      </c>
      <c r="M1119">
        <v>0</v>
      </c>
      <c r="O1119">
        <v>400000</v>
      </c>
      <c r="R1119" t="s">
        <v>136</v>
      </c>
      <c r="S1119">
        <v>0.00097544939473684215</v>
      </c>
      <c r="T1119">
        <v>0.0019626041822105264</v>
      </c>
      <c r="U1119" t="s">
        <v>137</v>
      </c>
      <c r="V1119">
        <v>0.013656291526315789</v>
      </c>
      <c r="W1119">
        <v>0.4048232042085263</v>
      </c>
      <c r="X1119" t="s">
        <v>90</v>
      </c>
      <c r="Y1119">
        <v>0</v>
      </c>
      <c r="Z1119">
        <v>0</v>
      </c>
      <c r="AA1119" t="s">
        <v>90</v>
      </c>
      <c r="AB1119">
        <v>0</v>
      </c>
      <c r="AC1119">
        <v>0.4048232042085263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Q1119" t="s">
        <v>140</v>
      </c>
      <c r="AR1119" t="s">
        <v>141</v>
      </c>
      <c r="AS1119">
        <v>0.39017975789473686</v>
      </c>
    </row>
    <row r="1120" spans="1:45" ht="12.75">
      <c r="A1120" s="2" t="str">
        <f>HYPERLINK("https://ibp.a2mac1.com/costing(costing:projects/details/8191/material/5319962)","PC-PBT")</f>
        <v>PC-PBT</v>
      </c>
      <c r="B1120">
        <v>5319962</v>
      </c>
      <c r="C1120">
        <v>6975526</v>
      </c>
      <c r="E1120">
        <v>2.6194899999999999</v>
      </c>
      <c r="F1120" t="s">
        <v>4279</v>
      </c>
      <c r="G1120">
        <v>95</v>
      </c>
      <c r="H1120" t="s">
        <v>4925</v>
      </c>
      <c r="I1120">
        <v>5</v>
      </c>
      <c r="J1120">
        <v>0.50345253019720215</v>
      </c>
      <c r="K1120">
        <v>0</v>
      </c>
      <c r="M1120">
        <v>0</v>
      </c>
      <c r="O1120">
        <v>200000</v>
      </c>
      <c r="R1120" t="s">
        <v>136</v>
      </c>
      <c r="S1120">
        <v>8.272073684210527E-05</v>
      </c>
      <c r="T1120">
        <v>0.00016742677136842105</v>
      </c>
      <c r="U1120" t="s">
        <v>137</v>
      </c>
      <c r="V1120">
        <v>0.0011580903157894736</v>
      </c>
      <c r="W1120">
        <v>0.034331091087157893</v>
      </c>
      <c r="X1120" t="s">
        <v>90</v>
      </c>
      <c r="Y1120">
        <v>0</v>
      </c>
      <c r="Z1120">
        <v>0</v>
      </c>
      <c r="AA1120" t="s">
        <v>90</v>
      </c>
      <c r="AB1120">
        <v>0</v>
      </c>
      <c r="AC1120">
        <v>0.034331091087157893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Q1120" t="s">
        <v>140</v>
      </c>
      <c r="AR1120" t="s">
        <v>141</v>
      </c>
      <c r="AS1120">
        <v>0.033088294736842105</v>
      </c>
    </row>
    <row r="1121" spans="1:45" ht="12.75">
      <c r="A1121" s="2" t="str">
        <f>HYPERLINK("https://ibp.a2mac1.com/costing(costing:projects/details/8191/material/5319963)","PC")</f>
        <v>PC</v>
      </c>
      <c r="B1121">
        <v>5319963</v>
      </c>
      <c r="C1121">
        <v>6975528</v>
      </c>
      <c r="E1121">
        <v>1.74675</v>
      </c>
      <c r="F1121" t="s">
        <v>7343</v>
      </c>
      <c r="G1121">
        <v>100</v>
      </c>
      <c r="H1121" t="s">
        <v>7344</v>
      </c>
      <c r="I1121">
        <v>5</v>
      </c>
      <c r="J1121">
        <v>0.50345253019720215</v>
      </c>
      <c r="K1121">
        <v>0</v>
      </c>
      <c r="L1121">
        <v>0</v>
      </c>
      <c r="M1121">
        <v>0</v>
      </c>
      <c r="O1121">
        <v>200000</v>
      </c>
      <c r="R1121" t="s">
        <v>136</v>
      </c>
      <c r="S1121">
        <v>0</v>
      </c>
      <c r="T1121">
        <v>0.00296975448</v>
      </c>
      <c r="U1121" t="s">
        <v>137</v>
      </c>
      <c r="V1121">
        <v>0.020541779999999999</v>
      </c>
      <c r="W1121">
        <v>0.61041953447999997</v>
      </c>
      <c r="X1121" t="s">
        <v>90</v>
      </c>
      <c r="Y1121">
        <v>0</v>
      </c>
      <c r="Z1121">
        <v>0</v>
      </c>
      <c r="AA1121" t="s">
        <v>90</v>
      </c>
      <c r="AB1121">
        <v>0</v>
      </c>
      <c r="AC1121">
        <v>0.61041953447999997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Q1121" t="s">
        <v>140</v>
      </c>
      <c r="AR1121" t="s">
        <v>141</v>
      </c>
      <c r="AS1121">
        <v>0.58690799999999999</v>
      </c>
    </row>
    <row r="1122" spans="1:45" ht="12.75">
      <c r="A1122" s="2" t="str">
        <f>HYPERLINK("https://ibp.a2mac1.com/costing(costing:projects/details/8191/material/5319964)","EPDM")</f>
        <v>EPDM</v>
      </c>
      <c r="B1122">
        <v>5319964</v>
      </c>
      <c r="C1122">
        <v>6975529</v>
      </c>
      <c r="E1122">
        <v>2.78701</v>
      </c>
      <c r="F1122" t="s">
        <v>7348</v>
      </c>
      <c r="G1122">
        <v>95</v>
      </c>
      <c r="H1122" t="s">
        <v>7349</v>
      </c>
      <c r="I1122">
        <v>5</v>
      </c>
      <c r="J1122">
        <v>0.50345253019720215</v>
      </c>
      <c r="K1122">
        <v>0</v>
      </c>
      <c r="M1122">
        <v>0</v>
      </c>
      <c r="O1122">
        <v>200000</v>
      </c>
      <c r="R1122" t="s">
        <v>136</v>
      </c>
      <c r="S1122">
        <v>0.0013128283947368422</v>
      </c>
      <c r="T1122">
        <v>0.0026571646709473685</v>
      </c>
      <c r="U1122" t="s">
        <v>137</v>
      </c>
      <c r="V1122">
        <v>0.018379597526315791</v>
      </c>
      <c r="W1122">
        <v>0.54485529169726321</v>
      </c>
      <c r="X1122" t="s">
        <v>90</v>
      </c>
      <c r="Y1122">
        <v>0</v>
      </c>
      <c r="Z1122">
        <v>0</v>
      </c>
      <c r="AA1122" t="s">
        <v>90</v>
      </c>
      <c r="AB1122">
        <v>0</v>
      </c>
      <c r="AC1122">
        <v>0.54485529169726321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Q1122" t="s">
        <v>140</v>
      </c>
      <c r="AR1122" t="s">
        <v>141</v>
      </c>
      <c r="AS1122">
        <v>0.52513135789473686</v>
      </c>
    </row>
    <row r="1123" spans="1:45" ht="12.75">
      <c r="A1123" s="2" t="str">
        <f>HYPERLINK("https://ibp.a2mac1.com/costing(costing:projects/details/8191/material/5320170)","PP-PE")</f>
        <v>PP-PE</v>
      </c>
      <c r="B1123">
        <v>5320170</v>
      </c>
      <c r="C1123">
        <v>6975767</v>
      </c>
      <c r="E1123">
        <v>1.34768</v>
      </c>
      <c r="F1123" t="s">
        <v>7356</v>
      </c>
      <c r="G1123">
        <v>95</v>
      </c>
      <c r="H1123" t="s">
        <v>7357</v>
      </c>
      <c r="I1123">
        <v>5</v>
      </c>
      <c r="J1123">
        <v>0.50345253019720215</v>
      </c>
      <c r="K1123">
        <v>0</v>
      </c>
      <c r="M1123">
        <v>0</v>
      </c>
      <c r="O1123">
        <v>200000</v>
      </c>
      <c r="R1123" t="s">
        <v>136</v>
      </c>
      <c r="S1123">
        <v>0.0028283547368421051</v>
      </c>
      <c r="T1123">
        <v>0.0057245899873684209</v>
      </c>
      <c r="U1123" t="s">
        <v>137</v>
      </c>
      <c r="V1123">
        <v>0.039596966315789475</v>
      </c>
      <c r="W1123">
        <v>1.1738350963031579</v>
      </c>
      <c r="X1123" t="s">
        <v>138</v>
      </c>
      <c r="Y1123">
        <v>0.070430105778189478</v>
      </c>
      <c r="Z1123">
        <v>0</v>
      </c>
      <c r="AA1123" t="s">
        <v>139</v>
      </c>
      <c r="AB1123">
        <v>0.14086021155637896</v>
      </c>
      <c r="AC1123">
        <v>1.3851254136377262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Q1123" t="s">
        <v>140</v>
      </c>
      <c r="AR1123" t="s">
        <v>141</v>
      </c>
      <c r="AS1123">
        <v>1.1313418947368421</v>
      </c>
    </row>
    <row r="1124" spans="1:45" ht="12.75">
      <c r="A1124" s="2" t="str">
        <f>HYPERLINK("https://ibp.a2mac1.com/costing(costing:projects/details/8191/material/5320171)","PP-PE")</f>
        <v>PP-PE</v>
      </c>
      <c r="B1124">
        <v>5320171</v>
      </c>
      <c r="C1124">
        <v>6975768</v>
      </c>
      <c r="E1124">
        <v>1.34768</v>
      </c>
      <c r="F1124" t="s">
        <v>7356</v>
      </c>
      <c r="G1124">
        <v>95</v>
      </c>
      <c r="H1124" t="s">
        <v>7357</v>
      </c>
      <c r="I1124">
        <v>5</v>
      </c>
      <c r="J1124">
        <v>0.50345253019720215</v>
      </c>
      <c r="K1124">
        <v>0</v>
      </c>
      <c r="M1124">
        <v>0</v>
      </c>
      <c r="O1124">
        <v>200000</v>
      </c>
      <c r="R1124" t="s">
        <v>136</v>
      </c>
      <c r="S1124">
        <v>0.0028283547368421051</v>
      </c>
      <c r="T1124">
        <v>0.0057245899873684209</v>
      </c>
      <c r="U1124" t="s">
        <v>137</v>
      </c>
      <c r="V1124">
        <v>0.039596966315789475</v>
      </c>
      <c r="W1124">
        <v>1.1738350963031579</v>
      </c>
      <c r="X1124" t="s">
        <v>138</v>
      </c>
      <c r="Y1124">
        <v>0.070430105778189478</v>
      </c>
      <c r="Z1124">
        <v>0</v>
      </c>
      <c r="AA1124" t="s">
        <v>139</v>
      </c>
      <c r="AB1124">
        <v>0.14086021155637896</v>
      </c>
      <c r="AC1124">
        <v>1.3851254136377262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Q1124" t="s">
        <v>140</v>
      </c>
      <c r="AR1124" t="s">
        <v>141</v>
      </c>
      <c r="AS1124">
        <v>1.1313418947368421</v>
      </c>
    </row>
    <row r="1125" spans="1:45" ht="12.75">
      <c r="A1125" s="2" t="str">
        <f>HYPERLINK("https://ibp.a2mac1.com/costing(costing:projects/details/8191/material/5319965)","EPP")</f>
        <v>EPP</v>
      </c>
      <c r="B1125">
        <v>5319965</v>
      </c>
      <c r="C1125">
        <v>6975530</v>
      </c>
      <c r="E1125">
        <v>2.5973999999999999</v>
      </c>
      <c r="F1125" t="s">
        <v>7370</v>
      </c>
      <c r="G1125">
        <v>97</v>
      </c>
      <c r="H1125" t="s">
        <v>7371</v>
      </c>
      <c r="I1125">
        <v>5</v>
      </c>
      <c r="J1125">
        <v>2.001136786813273</v>
      </c>
      <c r="K1125">
        <v>0</v>
      </c>
      <c r="L1125">
        <v>0</v>
      </c>
      <c r="M1125">
        <v>0</v>
      </c>
      <c r="O1125">
        <v>200000</v>
      </c>
      <c r="R1125" t="s">
        <v>136</v>
      </c>
      <c r="S1125">
        <v>0.00091176773195876287</v>
      </c>
      <c r="T1125">
        <v>0.012412198057731959</v>
      </c>
      <c r="U1125" t="s">
        <v>137</v>
      </c>
      <c r="V1125">
        <v>0.021274580412371135</v>
      </c>
      <c r="W1125">
        <v>0.64062016537731958</v>
      </c>
      <c r="X1125" t="s">
        <v>138</v>
      </c>
      <c r="Y1125">
        <v>0.038437209922639173</v>
      </c>
      <c r="Z1125">
        <v>0</v>
      </c>
      <c r="AA1125" t="s">
        <v>139</v>
      </c>
      <c r="AB1125">
        <v>0.076874419845278347</v>
      </c>
      <c r="AC1125">
        <v>0.75593179514523712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Q1125" t="s">
        <v>140</v>
      </c>
      <c r="AR1125" t="s">
        <v>141</v>
      </c>
      <c r="AS1125">
        <v>0.60784515463917521</v>
      </c>
    </row>
    <row r="1126" spans="1:45" ht="12.75">
      <c r="A1126" s="2" t="str">
        <f>HYPERLINK("https://ibp.a2mac1.com/costing(costing:projects/details/8191/material/5319966)","Steel sheet (default)")</f>
        <v>Steel sheet (default)</v>
      </c>
      <c r="B1126">
        <v>5319966</v>
      </c>
      <c r="C1126">
        <v>6975532</v>
      </c>
      <c r="E1126">
        <v>0.52766000000000002</v>
      </c>
      <c r="F1126" t="s">
        <v>7379</v>
      </c>
      <c r="G1126">
        <v>100</v>
      </c>
      <c r="H1126" t="s">
        <v>7380</v>
      </c>
      <c r="I1126">
        <v>30</v>
      </c>
      <c r="J1126">
        <v>0.50345253019720215</v>
      </c>
      <c r="K1126">
        <v>0</v>
      </c>
      <c r="L1126">
        <v>0</v>
      </c>
      <c r="M1126">
        <v>0</v>
      </c>
      <c r="O1126">
        <v>200000</v>
      </c>
      <c r="R1126" t="s">
        <v>136</v>
      </c>
      <c r="S1126">
        <v>0</v>
      </c>
      <c r="T1126">
        <v>0.052659613190800002</v>
      </c>
      <c r="U1126" t="s">
        <v>137</v>
      </c>
      <c r="V1126">
        <v>0.36424633629999997</v>
      </c>
      <c r="W1126">
        <v>10.823944129490799</v>
      </c>
      <c r="X1126" t="s">
        <v>138</v>
      </c>
      <c r="Y1126">
        <v>0.64943664776944798</v>
      </c>
      <c r="Z1126">
        <v>0</v>
      </c>
      <c r="AA1126" t="s">
        <v>139</v>
      </c>
      <c r="AB1126">
        <v>1.298873295538896</v>
      </c>
      <c r="AC1126">
        <v>12.772254072799145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Q1126" t="s">
        <v>140</v>
      </c>
      <c r="AR1126" t="s">
        <v>141</v>
      </c>
      <c r="AS1126">
        <v>10.407038180000001</v>
      </c>
    </row>
    <row r="1127" spans="1:45" ht="12.75">
      <c r="A1127" s="2" t="str">
        <f>HYPERLINK("https://ibp.a2mac1.com/costing(costing:projects/details/8191/material/5319967)","POM")</f>
        <v>POM</v>
      </c>
      <c r="B1127">
        <v>5319967</v>
      </c>
      <c r="C1127">
        <v>6975533</v>
      </c>
      <c r="E1127">
        <v>2.12338</v>
      </c>
      <c r="F1127" t="s">
        <v>4334</v>
      </c>
      <c r="G1127">
        <v>95</v>
      </c>
      <c r="H1127" t="s">
        <v>6208</v>
      </c>
      <c r="I1127">
        <v>5</v>
      </c>
      <c r="J1127">
        <v>0.50345253019720215</v>
      </c>
      <c r="K1127">
        <v>0</v>
      </c>
      <c r="M1127">
        <v>0</v>
      </c>
      <c r="O1127">
        <v>200000</v>
      </c>
      <c r="R1127" t="s">
        <v>136</v>
      </c>
      <c r="S1127">
        <v>0.00038556110526315792</v>
      </c>
      <c r="T1127">
        <v>0.00078037567705263155</v>
      </c>
      <c r="U1127" t="s">
        <v>137</v>
      </c>
      <c r="V1127">
        <v>0.0053978554736842108</v>
      </c>
      <c r="W1127">
        <v>0.16001711215073683</v>
      </c>
      <c r="X1127" t="s">
        <v>138</v>
      </c>
      <c r="Y1127">
        <v>0.0096010267290442108</v>
      </c>
      <c r="Z1127">
        <v>0</v>
      </c>
      <c r="AA1127" t="s">
        <v>139</v>
      </c>
      <c r="AB1127">
        <v>0.019202053458088422</v>
      </c>
      <c r="AC1127">
        <v>0.18882019233786948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Q1127" t="s">
        <v>140</v>
      </c>
      <c r="AR1127" t="s">
        <v>141</v>
      </c>
      <c r="AS1127">
        <v>0.15422444210526315</v>
      </c>
    </row>
    <row r="1128" spans="1:45" ht="12.75">
      <c r="A1128" s="2" t="str">
        <f>HYPERLINK("https://ibp.a2mac1.com/costing(costing:projects/details/8191/material/5319968)","POM")</f>
        <v>POM</v>
      </c>
      <c r="B1128">
        <v>5319968</v>
      </c>
      <c r="C1128">
        <v>6975534</v>
      </c>
      <c r="E1128">
        <v>2.12338</v>
      </c>
      <c r="F1128" t="s">
        <v>4334</v>
      </c>
      <c r="G1128">
        <v>95</v>
      </c>
      <c r="H1128" t="s">
        <v>6208</v>
      </c>
      <c r="I1128">
        <v>5</v>
      </c>
      <c r="J1128">
        <v>0.50345253019720215</v>
      </c>
      <c r="K1128">
        <v>0</v>
      </c>
      <c r="M1128">
        <v>0</v>
      </c>
      <c r="O1128">
        <v>200000</v>
      </c>
      <c r="R1128" t="s">
        <v>136</v>
      </c>
      <c r="S1128">
        <v>0.00038556110526315792</v>
      </c>
      <c r="T1128">
        <v>0.00078037567705263155</v>
      </c>
      <c r="U1128" t="s">
        <v>137</v>
      </c>
      <c r="V1128">
        <v>0.0053978554736842108</v>
      </c>
      <c r="W1128">
        <v>0.16001711215073683</v>
      </c>
      <c r="X1128" t="s">
        <v>90</v>
      </c>
      <c r="Y1128">
        <v>0</v>
      </c>
      <c r="Z1128">
        <v>0</v>
      </c>
      <c r="AA1128" t="s">
        <v>90</v>
      </c>
      <c r="AB1128">
        <v>0</v>
      </c>
      <c r="AC1128">
        <v>0.16001711215073683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Q1128" t="s">
        <v>140</v>
      </c>
      <c r="AR1128" t="s">
        <v>141</v>
      </c>
      <c r="AS1128">
        <v>0.15422444210526315</v>
      </c>
    </row>
    <row r="1129" spans="1:45" ht="12.75">
      <c r="A1129" s="2" t="str">
        <f>HYPERLINK("https://ibp.a2mac1.com/costing(costing:projects/details/8191/material/5320172)","PP-E/P")</f>
        <v>PP-E/P</v>
      </c>
      <c r="B1129">
        <v>5320172</v>
      </c>
      <c r="C1129">
        <v>6975769</v>
      </c>
      <c r="E1129">
        <v>1.49563</v>
      </c>
      <c r="F1129" t="s">
        <v>7397</v>
      </c>
      <c r="G1129">
        <v>95</v>
      </c>
      <c r="H1129" t="s">
        <v>7398</v>
      </c>
      <c r="I1129">
        <v>5</v>
      </c>
      <c r="J1129">
        <v>0.50345253019720215</v>
      </c>
      <c r="K1129">
        <v>0</v>
      </c>
      <c r="M1129">
        <v>0</v>
      </c>
      <c r="O1129">
        <v>200000</v>
      </c>
      <c r="R1129" t="s">
        <v>136</v>
      </c>
      <c r="S1129">
        <v>0.0017829483947368421</v>
      </c>
      <c r="T1129">
        <v>0.0036086875509473686</v>
      </c>
      <c r="U1129" t="s">
        <v>137</v>
      </c>
      <c r="V1129">
        <v>0.02496127752631579</v>
      </c>
      <c r="W1129">
        <v>0.73996637457726311</v>
      </c>
      <c r="X1129" t="s">
        <v>90</v>
      </c>
      <c r="Y1129">
        <v>0</v>
      </c>
      <c r="Z1129">
        <v>0</v>
      </c>
      <c r="AA1129" t="s">
        <v>90</v>
      </c>
      <c r="AB1129">
        <v>0</v>
      </c>
      <c r="AC1129">
        <v>0.73996637457726311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Q1129" t="s">
        <v>140</v>
      </c>
      <c r="AR1129" t="s">
        <v>141</v>
      </c>
      <c r="AS1129">
        <v>0.71317935789473685</v>
      </c>
    </row>
    <row r="1130" spans="1:45" ht="12.75">
      <c r="A1130" s="2" t="str">
        <f>HYPERLINK("https://ibp.a2mac1.com/costing(costing:projects/details/8191/material/5320173)","PP-E/P")</f>
        <v>PP-E/P</v>
      </c>
      <c r="B1130">
        <v>5320173</v>
      </c>
      <c r="C1130">
        <v>6975770</v>
      </c>
      <c r="E1130">
        <v>1.49563</v>
      </c>
      <c r="F1130" t="s">
        <v>1444</v>
      </c>
      <c r="G1130">
        <v>95</v>
      </c>
      <c r="H1130" t="s">
        <v>7404</v>
      </c>
      <c r="I1130">
        <v>5</v>
      </c>
      <c r="J1130">
        <v>0.50345253019720215</v>
      </c>
      <c r="K1130">
        <v>0</v>
      </c>
      <c r="M1130">
        <v>0</v>
      </c>
      <c r="O1130">
        <v>200000</v>
      </c>
      <c r="R1130" t="s">
        <v>136</v>
      </c>
      <c r="S1130">
        <v>0.0059549689210526315</v>
      </c>
      <c r="T1130">
        <v>0.012052857096210526</v>
      </c>
      <c r="U1130" t="s">
        <v>137</v>
      </c>
      <c r="V1130">
        <v>0.083369564894736847</v>
      </c>
      <c r="W1130">
        <v>2.4714550214909474</v>
      </c>
      <c r="X1130" t="s">
        <v>90</v>
      </c>
      <c r="Y1130">
        <v>0</v>
      </c>
      <c r="Z1130">
        <v>0</v>
      </c>
      <c r="AA1130" t="s">
        <v>90</v>
      </c>
      <c r="AB1130">
        <v>0</v>
      </c>
      <c r="AC1130">
        <v>2.4714550214909474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Q1130" t="s">
        <v>140</v>
      </c>
      <c r="AR1130" t="s">
        <v>141</v>
      </c>
      <c r="AS1130">
        <v>2.3819875684210525</v>
      </c>
    </row>
    <row r="1131" spans="1:45" ht="12.75">
      <c r="A1131" s="2" t="str">
        <f>HYPERLINK("https://ibp.a2mac1.com/costing(costing:projects/details/8191/material/5319969)","PP")</f>
        <v>PP</v>
      </c>
      <c r="B1131">
        <v>5319969</v>
      </c>
      <c r="C1131">
        <v>6975535</v>
      </c>
      <c r="E1131">
        <v>1.0113799999999999</v>
      </c>
      <c r="F1131" t="s">
        <v>7409</v>
      </c>
      <c r="G1131">
        <v>98.039199999999994</v>
      </c>
      <c r="H1131" t="s">
        <v>7410</v>
      </c>
      <c r="I1131">
        <v>5</v>
      </c>
      <c r="J1131">
        <v>0.10389195236953569</v>
      </c>
      <c r="K1131">
        <v>0</v>
      </c>
      <c r="M1131">
        <v>0</v>
      </c>
      <c r="O1131">
        <v>200000</v>
      </c>
      <c r="R1131" t="s">
        <v>136</v>
      </c>
      <c r="S1131">
        <v>0.0029502195335988054</v>
      </c>
      <c r="T1131">
        <v>0.0031295678446988553</v>
      </c>
      <c r="U1131" t="s">
        <v>137</v>
      </c>
      <c r="V1131">
        <v>0.10532199477351917</v>
      </c>
      <c r="W1131">
        <v>3.1147011937565954</v>
      </c>
      <c r="X1131" t="s">
        <v>90</v>
      </c>
      <c r="Y1131">
        <v>0</v>
      </c>
      <c r="Z1131">
        <v>0</v>
      </c>
      <c r="AA1131" t="s">
        <v>90</v>
      </c>
      <c r="AB1131">
        <v>0</v>
      </c>
      <c r="AC1131">
        <v>3.1147011937565954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Q1131" t="s">
        <v>140</v>
      </c>
      <c r="AR1131" t="s">
        <v>141</v>
      </c>
      <c r="AS1131">
        <v>3.0091998506719762</v>
      </c>
    </row>
    <row r="1132" spans="1:45" ht="12.75">
      <c r="A1132" s="2" t="str">
        <f>HYPERLINK("https://ibp.a2mac1.com/costing(costing:projects/details/8191/material/5319970)","PP-E/P")</f>
        <v>PP-E/P</v>
      </c>
      <c r="B1132">
        <v>5319970</v>
      </c>
      <c r="C1132">
        <v>6975536</v>
      </c>
      <c r="E1132">
        <v>1.49563</v>
      </c>
      <c r="F1132" t="s">
        <v>7415</v>
      </c>
      <c r="G1132">
        <v>95</v>
      </c>
      <c r="H1132" t="s">
        <v>7416</v>
      </c>
      <c r="I1132">
        <v>5</v>
      </c>
      <c r="J1132">
        <v>0.50345253019720215</v>
      </c>
      <c r="K1132">
        <v>0</v>
      </c>
      <c r="M1132">
        <v>0</v>
      </c>
      <c r="O1132">
        <v>200000</v>
      </c>
      <c r="R1132" t="s">
        <v>136</v>
      </c>
      <c r="S1132">
        <v>0.0032313479736842104</v>
      </c>
      <c r="T1132">
        <v>0.0065402482987368419</v>
      </c>
      <c r="U1132" t="s">
        <v>137</v>
      </c>
      <c r="V1132">
        <v>0.045238871631578949</v>
      </c>
      <c r="W1132">
        <v>1.3410869614303158</v>
      </c>
      <c r="X1132" t="s">
        <v>90</v>
      </c>
      <c r="Y1132">
        <v>0</v>
      </c>
      <c r="Z1132">
        <v>0</v>
      </c>
      <c r="AA1132" t="s">
        <v>90</v>
      </c>
      <c r="AB1132">
        <v>0</v>
      </c>
      <c r="AC1132">
        <v>1.3410869614303158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Q1132" t="s">
        <v>140</v>
      </c>
      <c r="AR1132" t="s">
        <v>141</v>
      </c>
      <c r="AS1132">
        <v>1.2925391894736842</v>
      </c>
    </row>
    <row r="1133" spans="1:45" ht="12.75">
      <c r="A1133" s="2" t="str">
        <f>HYPERLINK("https://ibp.a2mac1.com/costing(costing:projects/details/8191/material/5319971)","PP-E/P")</f>
        <v>PP-E/P</v>
      </c>
      <c r="B1133">
        <v>5319971</v>
      </c>
      <c r="C1133">
        <v>6975537</v>
      </c>
      <c r="E1133">
        <v>1.49563</v>
      </c>
      <c r="F1133" t="s">
        <v>7420</v>
      </c>
      <c r="G1133">
        <v>95</v>
      </c>
      <c r="H1133" t="s">
        <v>7421</v>
      </c>
      <c r="I1133">
        <v>5</v>
      </c>
      <c r="J1133">
        <v>0.50345253019720215</v>
      </c>
      <c r="K1133">
        <v>0</v>
      </c>
      <c r="M1133">
        <v>0</v>
      </c>
      <c r="O1133">
        <v>200000</v>
      </c>
      <c r="R1133" t="s">
        <v>136</v>
      </c>
      <c r="S1133">
        <v>0.0032510273157894736</v>
      </c>
      <c r="T1133">
        <v>0.0065800792871578946</v>
      </c>
      <c r="U1133" t="s">
        <v>137</v>
      </c>
      <c r="V1133">
        <v>0.045514382421052629</v>
      </c>
      <c r="W1133">
        <v>1.3492543607082106</v>
      </c>
      <c r="X1133" t="s">
        <v>90</v>
      </c>
      <c r="Y1133">
        <v>0</v>
      </c>
      <c r="Z1133">
        <v>0</v>
      </c>
      <c r="AA1133" t="s">
        <v>90</v>
      </c>
      <c r="AB1133">
        <v>0</v>
      </c>
      <c r="AC1133">
        <v>1.3492543607082106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Q1133" t="s">
        <v>140</v>
      </c>
      <c r="AR1133" t="s">
        <v>141</v>
      </c>
      <c r="AS1133">
        <v>1.3004109263157895</v>
      </c>
    </row>
    <row r="1134" spans="1:45" ht="12.75">
      <c r="A1134" s="2" t="str">
        <f>HYPERLINK("https://ibp.a2mac1.com/costing(costing:projects/details/8191/material/5319972)","PP-E/P")</f>
        <v>PP-E/P</v>
      </c>
      <c r="B1134">
        <v>5319972</v>
      </c>
      <c r="C1134">
        <v>6975538</v>
      </c>
      <c r="E1134">
        <v>1.49563</v>
      </c>
      <c r="F1134" t="s">
        <v>2980</v>
      </c>
      <c r="G1134">
        <v>95</v>
      </c>
      <c r="H1134" t="s">
        <v>2981</v>
      </c>
      <c r="I1134">
        <v>5</v>
      </c>
      <c r="J1134">
        <v>0.50345253019720215</v>
      </c>
      <c r="K1134">
        <v>0</v>
      </c>
      <c r="M1134">
        <v>0</v>
      </c>
      <c r="O1134">
        <v>200000</v>
      </c>
      <c r="R1134" t="s">
        <v>136</v>
      </c>
      <c r="S1134">
        <v>1.9679342105263157E-05</v>
      </c>
      <c r="T1134">
        <v>3.983098842105263E-05</v>
      </c>
      <c r="U1134" t="s">
        <v>137</v>
      </c>
      <c r="V1134">
        <v>0.0002755107894736842</v>
      </c>
      <c r="W1134">
        <v>0.0081673992778947373</v>
      </c>
      <c r="X1134" t="s">
        <v>90</v>
      </c>
      <c r="Y1134">
        <v>0</v>
      </c>
      <c r="Z1134">
        <v>0</v>
      </c>
      <c r="AA1134" t="s">
        <v>90</v>
      </c>
      <c r="AB1134">
        <v>0</v>
      </c>
      <c r="AC1134">
        <v>0.0081673992778947373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Q1134" t="s">
        <v>140</v>
      </c>
      <c r="AR1134" t="s">
        <v>141</v>
      </c>
      <c r="AS1134">
        <v>0.007871736842105263</v>
      </c>
    </row>
    <row r="1135" spans="1:45" ht="12.75">
      <c r="A1135" s="2" t="str">
        <f>HYPERLINK("https://ibp.a2mac1.com/costing(costing:projects/details/8191/material/5319973)","PLASTIC UNKNOWN")</f>
        <v>PLASTIC UNKNOWN</v>
      </c>
      <c r="B1135">
        <v>5319973</v>
      </c>
      <c r="C1135">
        <v>6975539</v>
      </c>
      <c r="E1135">
        <v>1.57609</v>
      </c>
      <c r="F1135" t="s">
        <v>3132</v>
      </c>
      <c r="G1135">
        <v>95</v>
      </c>
      <c r="H1135" t="s">
        <v>3133</v>
      </c>
      <c r="I1135">
        <v>0</v>
      </c>
      <c r="J1135">
        <v>0.50345253019720215</v>
      </c>
      <c r="K1135">
        <v>0</v>
      </c>
      <c r="M1135">
        <v>0</v>
      </c>
      <c r="O1135">
        <v>200000</v>
      </c>
      <c r="R1135" t="s">
        <v>136</v>
      </c>
      <c r="S1135">
        <v>0</v>
      </c>
      <c r="T1135">
        <v>1.6789506105263158E-05</v>
      </c>
      <c r="U1135" t="s">
        <v>137</v>
      </c>
      <c r="V1135">
        <v>0.00011613294736842105</v>
      </c>
      <c r="W1135">
        <v>0.0034510066639999999</v>
      </c>
      <c r="X1135" t="s">
        <v>90</v>
      </c>
      <c r="Y1135">
        <v>0</v>
      </c>
      <c r="Z1135">
        <v>0</v>
      </c>
      <c r="AA1135" t="s">
        <v>90</v>
      </c>
      <c r="AB1135">
        <v>0</v>
      </c>
      <c r="AC1135">
        <v>0.0034510066639999999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Q1135" t="s">
        <v>9</v>
      </c>
      <c r="AR1135" t="s">
        <v>141</v>
      </c>
      <c r="AS1135">
        <v>0.0033180842105263158</v>
      </c>
    </row>
    <row r="1136" spans="1:45" ht="12.75">
      <c r="A1136" s="2" t="str">
        <f>HYPERLINK("https://ibp.a2mac1.com/costing(costing:projects/details/8191/material/5319974)","POM")</f>
        <v>POM</v>
      </c>
      <c r="B1136">
        <v>5319974</v>
      </c>
      <c r="C1136">
        <v>6975540</v>
      </c>
      <c r="E1136">
        <v>2.12338</v>
      </c>
      <c r="F1136" t="s">
        <v>3884</v>
      </c>
      <c r="G1136">
        <v>95</v>
      </c>
      <c r="H1136" t="s">
        <v>7434</v>
      </c>
      <c r="I1136">
        <v>5</v>
      </c>
      <c r="J1136">
        <v>0.50345253019720215</v>
      </c>
      <c r="K1136">
        <v>0</v>
      </c>
      <c r="M1136">
        <v>0</v>
      </c>
      <c r="O1136">
        <v>200000</v>
      </c>
      <c r="R1136" t="s">
        <v>136</v>
      </c>
      <c r="S1136">
        <v>0.0012069738947368422</v>
      </c>
      <c r="T1136">
        <v>0.0024429151629473686</v>
      </c>
      <c r="U1136" t="s">
        <v>137</v>
      </c>
      <c r="V1136">
        <v>0.016897634526315788</v>
      </c>
      <c r="W1136">
        <v>0.50092313368926311</v>
      </c>
      <c r="X1136" t="s">
        <v>138</v>
      </c>
      <c r="Y1136">
        <v>0.030055388021355791</v>
      </c>
      <c r="Z1136">
        <v>0</v>
      </c>
      <c r="AA1136" t="s">
        <v>139</v>
      </c>
      <c r="AB1136">
        <v>0.060110776042711582</v>
      </c>
      <c r="AC1136">
        <v>0.59108929775333052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Q1136" t="s">
        <v>140</v>
      </c>
      <c r="AR1136" t="s">
        <v>141</v>
      </c>
      <c r="AS1136">
        <v>0.48278955789473682</v>
      </c>
    </row>
    <row r="1137" spans="1:45" ht="12.75">
      <c r="A1137" s="2" t="str">
        <f>HYPERLINK("https://ibp.a2mac1.com/costing(costing:projects/details/8191/material/5319975)","POM")</f>
        <v>POM</v>
      </c>
      <c r="B1137">
        <v>5319975</v>
      </c>
      <c r="C1137">
        <v>6975541</v>
      </c>
      <c r="E1137">
        <v>2.12338</v>
      </c>
      <c r="F1137" t="s">
        <v>7438</v>
      </c>
      <c r="G1137">
        <v>95</v>
      </c>
      <c r="H1137" t="s">
        <v>7439</v>
      </c>
      <c r="I1137">
        <v>5</v>
      </c>
      <c r="J1137">
        <v>0.50345253019720215</v>
      </c>
      <c r="K1137">
        <v>0</v>
      </c>
      <c r="M1137">
        <v>0</v>
      </c>
      <c r="O1137">
        <v>200000</v>
      </c>
      <c r="R1137" t="s">
        <v>136</v>
      </c>
      <c r="S1137">
        <v>0.0011790346842105264</v>
      </c>
      <c r="T1137">
        <v>0.0023863662008421051</v>
      </c>
      <c r="U1137" t="s">
        <v>137</v>
      </c>
      <c r="V1137">
        <v>0.016506485578947367</v>
      </c>
      <c r="W1137">
        <v>0.48932769077978949</v>
      </c>
      <c r="X1137" t="s">
        <v>138</v>
      </c>
      <c r="Y1137">
        <v>0.02935966144678737</v>
      </c>
      <c r="Z1137">
        <v>0</v>
      </c>
      <c r="AA1137" t="s">
        <v>139</v>
      </c>
      <c r="AB1137">
        <v>0.058719322893574739</v>
      </c>
      <c r="AC1137">
        <v>0.57740667512015154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Q1137" t="s">
        <v>140</v>
      </c>
      <c r="AR1137" t="s">
        <v>141</v>
      </c>
      <c r="AS1137">
        <v>0.47161387368421054</v>
      </c>
    </row>
    <row r="1138" spans="1:45" ht="12.75">
      <c r="A1138" s="2" t="str">
        <f>HYPERLINK("https://ibp.a2mac1.com/costing(costing:projects/details/8191/material/5319976)","POM")</f>
        <v>POM</v>
      </c>
      <c r="B1138">
        <v>5319976</v>
      </c>
      <c r="C1138">
        <v>6975542</v>
      </c>
      <c r="E1138">
        <v>2.12338</v>
      </c>
      <c r="F1138" t="s">
        <v>7443</v>
      </c>
      <c r="G1138">
        <v>95</v>
      </c>
      <c r="H1138" t="s">
        <v>7444</v>
      </c>
      <c r="I1138">
        <v>5</v>
      </c>
      <c r="J1138">
        <v>0.50345253019720215</v>
      </c>
      <c r="K1138">
        <v>0</v>
      </c>
      <c r="M1138">
        <v>0</v>
      </c>
      <c r="O1138">
        <v>200000</v>
      </c>
      <c r="R1138" t="s">
        <v>136</v>
      </c>
      <c r="S1138">
        <v>0.00085493984210526311</v>
      </c>
      <c r="T1138">
        <v>0.0017303982404210526</v>
      </c>
      <c r="U1138" t="s">
        <v>137</v>
      </c>
      <c r="V1138">
        <v>0.011969157789473684</v>
      </c>
      <c r="W1138">
        <v>0.35482055302989474</v>
      </c>
      <c r="X1138" t="s">
        <v>138</v>
      </c>
      <c r="Y1138">
        <v>0.021289233181793685</v>
      </c>
      <c r="Z1138">
        <v>0</v>
      </c>
      <c r="AA1138" t="s">
        <v>139</v>
      </c>
      <c r="AB1138">
        <v>0.042578466363587371</v>
      </c>
      <c r="AC1138">
        <v>0.41868825257527581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Q1138" t="s">
        <v>140</v>
      </c>
      <c r="AR1138" t="s">
        <v>141</v>
      </c>
      <c r="AS1138">
        <v>0.34197593684210525</v>
      </c>
    </row>
    <row r="1139" spans="1:45" ht="12.75">
      <c r="A1139" s="2" t="str">
        <f>HYPERLINK("https://ibp.a2mac1.com/costing(costing:projects/details/8191/material/5319977)","POM")</f>
        <v>POM</v>
      </c>
      <c r="B1139">
        <v>5319977</v>
      </c>
      <c r="C1139">
        <v>6975543</v>
      </c>
      <c r="E1139">
        <v>2.12338</v>
      </c>
      <c r="F1139" t="s">
        <v>7448</v>
      </c>
      <c r="G1139">
        <v>95</v>
      </c>
      <c r="H1139" t="s">
        <v>2849</v>
      </c>
      <c r="I1139">
        <v>5</v>
      </c>
      <c r="J1139">
        <v>0.50345253019720215</v>
      </c>
      <c r="K1139">
        <v>0</v>
      </c>
      <c r="M1139">
        <v>0</v>
      </c>
      <c r="O1139">
        <v>200000</v>
      </c>
      <c r="R1139" t="s">
        <v>136</v>
      </c>
      <c r="S1139">
        <v>0.00084935200000000005</v>
      </c>
      <c r="T1139">
        <v>0.0017190884480000001</v>
      </c>
      <c r="U1139" t="s">
        <v>137</v>
      </c>
      <c r="V1139">
        <v>0.011890928</v>
      </c>
      <c r="W1139">
        <v>0.35250146444800001</v>
      </c>
      <c r="X1139" t="s">
        <v>90</v>
      </c>
      <c r="Y1139">
        <v>0</v>
      </c>
      <c r="Z1139">
        <v>0</v>
      </c>
      <c r="AA1139" t="s">
        <v>90</v>
      </c>
      <c r="AB1139">
        <v>0</v>
      </c>
      <c r="AC1139">
        <v>0.35250146444800001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Q1139" t="s">
        <v>140</v>
      </c>
      <c r="AR1139" t="s">
        <v>141</v>
      </c>
      <c r="AS1139">
        <v>0.33974080000000001</v>
      </c>
    </row>
    <row r="1140" spans="1:45" ht="12.75">
      <c r="A1140" s="2" t="str">
        <f>HYPERLINK("https://ibp.a2mac1.com/costing(costing:projects/details/8191/material/5320174)","Material")</f>
        <v>Material</v>
      </c>
      <c r="B1140">
        <v>5320174</v>
      </c>
      <c r="C1140">
        <v>6975771</v>
      </c>
      <c r="E1140">
        <v>1.69</v>
      </c>
      <c r="F1140" t="s">
        <v>296</v>
      </c>
      <c r="G1140">
        <v>100</v>
      </c>
      <c r="H1140" t="s">
        <v>297</v>
      </c>
      <c r="I1140">
        <v>0</v>
      </c>
      <c r="J1140">
        <v>0.50345253019720215</v>
      </c>
      <c r="K1140">
        <v>0</v>
      </c>
      <c r="L1140">
        <v>0</v>
      </c>
      <c r="M1140">
        <v>0</v>
      </c>
      <c r="O1140">
        <v>200000</v>
      </c>
      <c r="R1140" t="s">
        <v>136</v>
      </c>
      <c r="S1140">
        <v>0</v>
      </c>
      <c r="T1140">
        <v>0.0085514000000000007</v>
      </c>
      <c r="U1140" t="s">
        <v>137</v>
      </c>
      <c r="V1140">
        <v>0.059150000000000001</v>
      </c>
      <c r="W1140">
        <v>1.7577014</v>
      </c>
      <c r="X1140" t="s">
        <v>138</v>
      </c>
      <c r="Y1140">
        <v>0.105462084</v>
      </c>
      <c r="Z1140">
        <v>0</v>
      </c>
      <c r="AA1140" t="s">
        <v>139</v>
      </c>
      <c r="AB1140">
        <v>0.210924168</v>
      </c>
      <c r="AC1140">
        <v>2.0740876519999998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 t="s">
        <v>603</v>
      </c>
      <c r="AN1140" t="s">
        <v>603</v>
      </c>
      <c r="AQ1140" t="s">
        <v>9</v>
      </c>
      <c r="AR1140" t="s">
        <v>141</v>
      </c>
      <c r="AS1140">
        <v>1.69</v>
      </c>
    </row>
    <row r="1141" spans="1:45" ht="12.75">
      <c r="A1141" s="2" t="str">
        <f>HYPERLINK("https://ibp.a2mac1.com/costing(costing:projects/details/8191/material/5320175)","Material")</f>
        <v>Material</v>
      </c>
      <c r="B1141">
        <v>5320175</v>
      </c>
      <c r="C1141">
        <v>6975772</v>
      </c>
      <c r="E1141">
        <v>1.69</v>
      </c>
      <c r="F1141" t="s">
        <v>296</v>
      </c>
      <c r="G1141">
        <v>100</v>
      </c>
      <c r="H1141" t="s">
        <v>297</v>
      </c>
      <c r="I1141">
        <v>0</v>
      </c>
      <c r="J1141">
        <v>0.50345253019720215</v>
      </c>
      <c r="K1141">
        <v>0</v>
      </c>
      <c r="L1141">
        <v>0</v>
      </c>
      <c r="M1141">
        <v>0</v>
      </c>
      <c r="O1141">
        <v>200000</v>
      </c>
      <c r="R1141" t="s">
        <v>136</v>
      </c>
      <c r="S1141">
        <v>0</v>
      </c>
      <c r="T1141">
        <v>0.0085514000000000007</v>
      </c>
      <c r="U1141" t="s">
        <v>137</v>
      </c>
      <c r="V1141">
        <v>0.059150000000000001</v>
      </c>
      <c r="W1141">
        <v>1.7577014</v>
      </c>
      <c r="X1141" t="s">
        <v>138</v>
      </c>
      <c r="Y1141">
        <v>0.105462084</v>
      </c>
      <c r="Z1141">
        <v>0</v>
      </c>
      <c r="AA1141" t="s">
        <v>139</v>
      </c>
      <c r="AB1141">
        <v>0.210924168</v>
      </c>
      <c r="AC1141">
        <v>2.0740876519999998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 t="s">
        <v>603</v>
      </c>
      <c r="AN1141" t="s">
        <v>603</v>
      </c>
      <c r="AQ1141" t="s">
        <v>9</v>
      </c>
      <c r="AR1141" t="s">
        <v>141</v>
      </c>
      <c r="AS1141">
        <v>1.69</v>
      </c>
    </row>
    <row r="1142" spans="1:45" ht="12.75">
      <c r="A1142" s="2" t="str">
        <f>HYPERLINK("https://ibp.a2mac1.com/costing(costing:projects/details/8191/material/5319978)","PP-EPDM")</f>
        <v>PP-EPDM</v>
      </c>
      <c r="B1142">
        <v>5319978</v>
      </c>
      <c r="C1142">
        <v>6975544</v>
      </c>
      <c r="E1142">
        <v>1.7894600000000001</v>
      </c>
      <c r="F1142" t="s">
        <v>7465</v>
      </c>
      <c r="G1142">
        <v>95</v>
      </c>
      <c r="H1142" t="s">
        <v>7466</v>
      </c>
      <c r="I1142">
        <v>5</v>
      </c>
      <c r="J1142">
        <v>0.50048257265952256</v>
      </c>
      <c r="K1142">
        <v>0</v>
      </c>
      <c r="M1142">
        <v>0</v>
      </c>
      <c r="O1142">
        <v>400000</v>
      </c>
      <c r="R1142" t="s">
        <v>136</v>
      </c>
      <c r="S1142">
        <v>0.00054625621052631574</v>
      </c>
      <c r="T1142">
        <v>0.0010990674955789475</v>
      </c>
      <c r="U1142" t="s">
        <v>137</v>
      </c>
      <c r="V1142">
        <v>0.0076475869473684212</v>
      </c>
      <c r="W1142">
        <v>0.22670288244294737</v>
      </c>
      <c r="X1142" t="s">
        <v>138</v>
      </c>
      <c r="Y1142">
        <v>0.013602172946576842</v>
      </c>
      <c r="Z1142">
        <v>0</v>
      </c>
      <c r="AA1142" t="s">
        <v>139</v>
      </c>
      <c r="AB1142">
        <v>0.027204345893153684</v>
      </c>
      <c r="AC1142">
        <v>0.26750940128267792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Q1142" t="s">
        <v>140</v>
      </c>
      <c r="AR1142" t="s">
        <v>141</v>
      </c>
      <c r="AS1142">
        <v>0.21850248421052632</v>
      </c>
    </row>
    <row r="1143" spans="1:45" ht="12.75">
      <c r="A1143" s="2" t="str">
        <f>HYPERLINK("https://ibp.a2mac1.com/costing(costing:projects/details/8191/material/5319688)","Steel sheet (default)")</f>
        <v>Steel sheet (default)</v>
      </c>
      <c r="B1143">
        <v>5319688</v>
      </c>
      <c r="C1143">
        <v>6975343</v>
      </c>
      <c r="E1143">
        <v>0.52766000000000002</v>
      </c>
      <c r="F1143" t="s">
        <v>7471</v>
      </c>
      <c r="G1143">
        <v>100</v>
      </c>
      <c r="H1143" t="s">
        <v>7472</v>
      </c>
      <c r="I1143">
        <v>30</v>
      </c>
      <c r="J1143">
        <v>0.50345253019720215</v>
      </c>
      <c r="K1143">
        <v>0</v>
      </c>
      <c r="L1143">
        <v>0</v>
      </c>
      <c r="M1143">
        <v>0</v>
      </c>
      <c r="O1143">
        <v>200000</v>
      </c>
      <c r="R1143" t="s">
        <v>136</v>
      </c>
      <c r="S1143">
        <v>0</v>
      </c>
      <c r="T1143">
        <v>0.053185595231999998</v>
      </c>
      <c r="U1143" t="s">
        <v>137</v>
      </c>
      <c r="V1143">
        <v>0.36788455199999998</v>
      </c>
      <c r="W1143">
        <v>10.932057347232</v>
      </c>
      <c r="X1143" t="s">
        <v>138</v>
      </c>
      <c r="Y1143">
        <v>0.65592344083391996</v>
      </c>
      <c r="Z1143">
        <v>0</v>
      </c>
      <c r="AA1143" t="s">
        <v>139</v>
      </c>
      <c r="AB1143">
        <v>1.3118468816678399</v>
      </c>
      <c r="AC1143">
        <v>12.89982766973376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Q1143" t="s">
        <v>140</v>
      </c>
      <c r="AR1143" t="s">
        <v>141</v>
      </c>
      <c r="AS1143">
        <v>10.510987200000001</v>
      </c>
    </row>
    <row r="1144" spans="1:45" ht="12.75">
      <c r="A1144" s="2" t="str">
        <f>HYPERLINK("https://ibp.a2mac1.com/costing(costing:projects/details/8191/material/5319979)","PA66")</f>
        <v>PA66</v>
      </c>
      <c r="B1144">
        <v>5319979</v>
      </c>
      <c r="C1144">
        <v>6975545</v>
      </c>
      <c r="E1144">
        <v>2.03416</v>
      </c>
      <c r="F1144" t="s">
        <v>4161</v>
      </c>
      <c r="G1144">
        <v>95</v>
      </c>
      <c r="H1144" t="s">
        <v>4162</v>
      </c>
      <c r="I1144">
        <v>5</v>
      </c>
      <c r="J1144">
        <v>0.50048257265952256</v>
      </c>
      <c r="K1144">
        <v>0</v>
      </c>
      <c r="M1144">
        <v>0</v>
      </c>
      <c r="O1144">
        <v>400000</v>
      </c>
      <c r="R1144" t="s">
        <v>136</v>
      </c>
      <c r="S1144">
        <v>4.0147894736842105E-05</v>
      </c>
      <c r="T1144">
        <v>8.0777564210526311E-05</v>
      </c>
      <c r="U1144" t="s">
        <v>137</v>
      </c>
      <c r="V1144">
        <v>0.00056207052631578947</v>
      </c>
      <c r="W1144">
        <v>0.016661858090526317</v>
      </c>
      <c r="X1144" t="s">
        <v>138</v>
      </c>
      <c r="Y1144">
        <v>0.00099971148543157896</v>
      </c>
      <c r="Z1144">
        <v>0</v>
      </c>
      <c r="AA1144" t="s">
        <v>139</v>
      </c>
      <c r="AB1144">
        <v>0.0019994229708631579</v>
      </c>
      <c r="AC1144">
        <v>0.019660992546821052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Q1144" t="s">
        <v>140</v>
      </c>
      <c r="AR1144" t="s">
        <v>141</v>
      </c>
      <c r="AS1144">
        <v>0.016059157894736841</v>
      </c>
    </row>
    <row r="1145" spans="1:45" ht="12.75">
      <c r="A1145" s="2" t="str">
        <f>HYPERLINK("https://ibp.a2mac1.com/costing(costing:projects/details/8191/material/5319980)","Aluminum sheet (default, e.g. EN AW1050A)")</f>
        <v>Aluminum sheet (default, e.g. EN AW1050A)</v>
      </c>
      <c r="B1145">
        <v>5319980</v>
      </c>
      <c r="C1145">
        <v>6975552</v>
      </c>
      <c r="E1145">
        <v>3.4857100000000001</v>
      </c>
      <c r="F1145" t="s">
        <v>7557</v>
      </c>
      <c r="G1145">
        <v>75</v>
      </c>
      <c r="H1145" t="s">
        <v>7558</v>
      </c>
      <c r="I1145">
        <v>30</v>
      </c>
      <c r="J1145">
        <v>0.50345253019720215</v>
      </c>
      <c r="K1145">
        <v>0</v>
      </c>
      <c r="L1145">
        <v>0</v>
      </c>
      <c r="M1145">
        <v>0</v>
      </c>
      <c r="O1145">
        <v>200000</v>
      </c>
      <c r="R1145" t="s">
        <v>136</v>
      </c>
      <c r="S1145">
        <v>0.15929694699999999</v>
      </c>
      <c r="T1145">
        <v>0.010747234024266666</v>
      </c>
      <c r="U1145" t="s">
        <v>137</v>
      </c>
      <c r="V1145">
        <v>0.074338575266666665</v>
      </c>
      <c r="W1145">
        <v>2.0497481556242665</v>
      </c>
      <c r="X1145" t="s">
        <v>138</v>
      </c>
      <c r="Y1145">
        <v>0.12298488933745599</v>
      </c>
      <c r="Z1145">
        <v>0</v>
      </c>
      <c r="AA1145" t="s">
        <v>139</v>
      </c>
      <c r="AB1145">
        <v>0.24596977867491199</v>
      </c>
      <c r="AC1145">
        <v>2.4187028236366346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Q1145" t="s">
        <v>140</v>
      </c>
      <c r="AR1145" t="s">
        <v>141</v>
      </c>
      <c r="AS1145">
        <v>2.1239592933333333</v>
      </c>
    </row>
    <row r="1146" spans="1:45" ht="12.75">
      <c r="A1146" s="2" t="str">
        <f>HYPERLINK("https://ibp.a2mac1.com/costing(costing:projects/details/8191/material/5319981)","Aluminum sheet (default, e.g. EN AW1050A)")</f>
        <v>Aluminum sheet (default, e.g. EN AW1050A)</v>
      </c>
      <c r="B1146">
        <v>5319981</v>
      </c>
      <c r="C1146">
        <v>6975553</v>
      </c>
      <c r="E1146">
        <v>3.4857100000000001</v>
      </c>
      <c r="F1146" t="s">
        <v>7563</v>
      </c>
      <c r="G1146">
        <v>75</v>
      </c>
      <c r="H1146" t="s">
        <v>7564</v>
      </c>
      <c r="I1146">
        <v>30</v>
      </c>
      <c r="J1146">
        <v>0.50345253019720215</v>
      </c>
      <c r="K1146">
        <v>0</v>
      </c>
      <c r="L1146">
        <v>0</v>
      </c>
      <c r="M1146">
        <v>0</v>
      </c>
      <c r="O1146">
        <v>200000</v>
      </c>
      <c r="R1146" t="s">
        <v>136</v>
      </c>
      <c r="S1146">
        <v>0.20670260300000001</v>
      </c>
      <c r="T1146">
        <v>0.013945535615733333</v>
      </c>
      <c r="U1146" t="s">
        <v>137</v>
      </c>
      <c r="V1146">
        <v>0.096461214733333328</v>
      </c>
      <c r="W1146">
        <v>2.6597388540157332</v>
      </c>
      <c r="X1146" t="s">
        <v>138</v>
      </c>
      <c r="Y1146">
        <v>0.15958433124094401</v>
      </c>
      <c r="Z1146">
        <v>0</v>
      </c>
      <c r="AA1146" t="s">
        <v>139</v>
      </c>
      <c r="AB1146">
        <v>0.31916866248188802</v>
      </c>
      <c r="AC1146">
        <v>3.1384918477385653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Q1146" t="s">
        <v>140</v>
      </c>
      <c r="AR1146" t="s">
        <v>141</v>
      </c>
      <c r="AS1146">
        <v>2.7560347066666666</v>
      </c>
    </row>
    <row r="1147" spans="1:45" ht="12.75">
      <c r="A1147" s="2" t="str">
        <f>HYPERLINK("https://ibp.a2mac1.com/costing(costing:projects/details/8191/material/5319693)","Steel sheet (default)")</f>
        <v>Steel sheet (default)</v>
      </c>
      <c r="B1147">
        <v>5319693</v>
      </c>
      <c r="C1147">
        <v>6975350</v>
      </c>
      <c r="E1147">
        <v>0.52766000000000002</v>
      </c>
      <c r="F1147" t="s">
        <v>7575</v>
      </c>
      <c r="G1147">
        <v>75</v>
      </c>
      <c r="H1147" t="s">
        <v>7576</v>
      </c>
      <c r="I1147">
        <v>30</v>
      </c>
      <c r="J1147">
        <v>0.50345253019720215</v>
      </c>
      <c r="K1147">
        <v>0</v>
      </c>
      <c r="L1147">
        <v>0</v>
      </c>
      <c r="M1147">
        <v>0</v>
      </c>
      <c r="O1147">
        <v>200000</v>
      </c>
      <c r="R1147" t="s">
        <v>136</v>
      </c>
      <c r="S1147">
        <v>0.0088646880000000008</v>
      </c>
      <c r="T1147">
        <v>0.00059807095040000004</v>
      </c>
      <c r="U1147" t="s">
        <v>137</v>
      </c>
      <c r="V1147">
        <v>0.0041368543999999998</v>
      </c>
      <c r="W1147">
        <v>0.1140660773504</v>
      </c>
      <c r="X1147" t="s">
        <v>138</v>
      </c>
      <c r="Y1147">
        <v>0.0068439646410239996</v>
      </c>
      <c r="Z1147">
        <v>0</v>
      </c>
      <c r="AA1147" t="s">
        <v>139</v>
      </c>
      <c r="AB1147">
        <v>0.013687929282047999</v>
      </c>
      <c r="AC1147">
        <v>0.13459797127347201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Q1147" t="s">
        <v>140</v>
      </c>
      <c r="AR1147" t="s">
        <v>141</v>
      </c>
      <c r="AS1147">
        <v>0.11819584</v>
      </c>
    </row>
    <row r="1148" spans="1:45" ht="12.75">
      <c r="A1148" s="2" t="str">
        <f>HYPERLINK("https://ibp.a2mac1.com/costing(costing:projects/details/8191/material/5319694)","Steel ")</f>
        <v xml:space="preserve">Steel </v>
      </c>
      <c r="B1148">
        <v>5319694</v>
      </c>
      <c r="C1148">
        <v>6975351</v>
      </c>
      <c r="E1148">
        <v>0.83896000000000004</v>
      </c>
      <c r="F1148" t="s">
        <v>7580</v>
      </c>
      <c r="G1148">
        <v>75</v>
      </c>
      <c r="H1148" t="s">
        <v>7581</v>
      </c>
      <c r="I1148">
        <v>0</v>
      </c>
      <c r="J1148">
        <v>0.50345253019720215</v>
      </c>
      <c r="K1148">
        <v>0</v>
      </c>
      <c r="L1148">
        <v>0</v>
      </c>
      <c r="M1148">
        <v>0</v>
      </c>
      <c r="O1148">
        <v>200000</v>
      </c>
      <c r="R1148" t="s">
        <v>136</v>
      </c>
      <c r="S1148">
        <v>0</v>
      </c>
      <c r="T1148">
        <v>0.00074714421760000002</v>
      </c>
      <c r="U1148" t="s">
        <v>137</v>
      </c>
      <c r="V1148">
        <v>0.0051679936000000003</v>
      </c>
      <c r="W1148">
        <v>0.15357209781760001</v>
      </c>
      <c r="X1148" t="s">
        <v>138</v>
      </c>
      <c r="Y1148">
        <v>0.0092143258690559997</v>
      </c>
      <c r="Z1148">
        <v>0</v>
      </c>
      <c r="AA1148" t="s">
        <v>139</v>
      </c>
      <c r="AB1148">
        <v>0.018428651738111999</v>
      </c>
      <c r="AC1148">
        <v>0.181215075424768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Q1148" t="s">
        <v>9</v>
      </c>
      <c r="AR1148" t="s">
        <v>141</v>
      </c>
      <c r="AS1148">
        <v>0.14765696</v>
      </c>
    </row>
    <row r="1149" spans="1:45" ht="12.75">
      <c r="A1149" s="2" t="str">
        <f>HYPERLINK("https://ibp.a2mac1.com/costing(costing:projects/details/8191/material/5319982)","EPDM")</f>
        <v>EPDM</v>
      </c>
      <c r="B1149">
        <v>5319982</v>
      </c>
      <c r="C1149">
        <v>6975554</v>
      </c>
      <c r="E1149">
        <v>2.78701</v>
      </c>
      <c r="F1149" t="s">
        <v>3665</v>
      </c>
      <c r="G1149">
        <v>95</v>
      </c>
      <c r="H1149" t="s">
        <v>3666</v>
      </c>
      <c r="I1149">
        <v>5</v>
      </c>
      <c r="J1149">
        <v>0.10389195236953569</v>
      </c>
      <c r="K1149">
        <v>0</v>
      </c>
      <c r="L1149">
        <v>0</v>
      </c>
      <c r="M1149">
        <v>0</v>
      </c>
      <c r="O1149">
        <v>200000</v>
      </c>
      <c r="R1149" t="s">
        <v>136</v>
      </c>
      <c r="S1149">
        <v>0.00015401897368421053</v>
      </c>
      <c r="T1149">
        <v>6.4071893052631578E-05</v>
      </c>
      <c r="U1149" t="s">
        <v>137</v>
      </c>
      <c r="V1149">
        <v>0.0021562656315789472</v>
      </c>
      <c r="W1149">
        <v>0.063673908024631576</v>
      </c>
      <c r="X1149" t="s">
        <v>90</v>
      </c>
      <c r="Y1149">
        <v>0</v>
      </c>
      <c r="Z1149">
        <v>0</v>
      </c>
      <c r="AA1149" t="s">
        <v>90</v>
      </c>
      <c r="AB1149">
        <v>0</v>
      </c>
      <c r="AC1149">
        <v>0.063673908024631576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P1149" t="s">
        <v>4818</v>
      </c>
      <c r="AQ1149" t="s">
        <v>140</v>
      </c>
      <c r="AR1149" t="s">
        <v>141</v>
      </c>
      <c r="AS1149">
        <v>0.061607589473684207</v>
      </c>
    </row>
    <row r="1150" spans="1:45" ht="12.75">
      <c r="A1150" s="2" t="str">
        <f>HYPERLINK("https://ibp.a2mac1.com/costing(costing:projects/details/8191/material/5319983)","High Carbon Spring Steel Wire")</f>
        <v>High Carbon Spring Steel Wire</v>
      </c>
      <c r="B1150">
        <v>5319983</v>
      </c>
      <c r="C1150">
        <v>6975554</v>
      </c>
      <c r="E1150">
        <v>0.58701000000000003</v>
      </c>
      <c r="F1150" t="s">
        <v>4166</v>
      </c>
      <c r="G1150">
        <v>95</v>
      </c>
      <c r="H1150" t="s">
        <v>5695</v>
      </c>
      <c r="I1150">
        <v>30</v>
      </c>
      <c r="J1150">
        <v>0.10389195236953569</v>
      </c>
      <c r="K1150">
        <v>0</v>
      </c>
      <c r="L1150">
        <v>0</v>
      </c>
      <c r="M1150">
        <v>0</v>
      </c>
      <c r="O1150">
        <v>200000</v>
      </c>
      <c r="R1150" t="s">
        <v>136</v>
      </c>
      <c r="S1150">
        <v>9.2685789473684205E-05</v>
      </c>
      <c r="T1150">
        <v>6.4262147368421054E-06</v>
      </c>
      <c r="U1150" t="s">
        <v>137</v>
      </c>
      <c r="V1150">
        <v>0.00021626684210526316</v>
      </c>
      <c r="W1150">
        <v>0.0063090598989473685</v>
      </c>
      <c r="X1150" t="s">
        <v>90</v>
      </c>
      <c r="Y1150">
        <v>0</v>
      </c>
      <c r="Z1150">
        <v>0</v>
      </c>
      <c r="AA1150" t="s">
        <v>90</v>
      </c>
      <c r="AB1150">
        <v>0</v>
      </c>
      <c r="AC1150">
        <v>0.0063090598989473685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Q1150" t="s">
        <v>140</v>
      </c>
      <c r="AR1150" t="s">
        <v>141</v>
      </c>
      <c r="AS1150">
        <v>0.0061790526315789471</v>
      </c>
    </row>
    <row r="1151" spans="1:45" ht="12.75">
      <c r="A1151" s="2" t="str">
        <f>HYPERLINK("https://ibp.a2mac1.com/costing(costing:projects/details/8191/material/5319984)","PA66-GF30")</f>
        <v>PA66-GF30</v>
      </c>
      <c r="B1151">
        <v>5319984</v>
      </c>
      <c r="C1151">
        <v>6975555</v>
      </c>
      <c r="E1151">
        <v>2.4020800000000002</v>
      </c>
      <c r="F1151" t="s">
        <v>1788</v>
      </c>
      <c r="G1151">
        <v>98.039199999999994</v>
      </c>
      <c r="H1151" t="s">
        <v>7593</v>
      </c>
      <c r="I1151">
        <v>5</v>
      </c>
      <c r="J1151">
        <v>0.20557651238448796</v>
      </c>
      <c r="K1151">
        <v>0</v>
      </c>
      <c r="M1151">
        <v>0</v>
      </c>
      <c r="O1151">
        <v>200000</v>
      </c>
      <c r="R1151" t="s">
        <v>136</v>
      </c>
      <c r="S1151">
        <v>0.00021378686448685831</v>
      </c>
      <c r="T1151">
        <v>0.00044920536601685858</v>
      </c>
      <c r="U1151" t="s">
        <v>137</v>
      </c>
      <c r="V1151">
        <v>0.007632130005140801</v>
      </c>
      <c r="W1151">
        <v>0.22592840579640797</v>
      </c>
      <c r="X1151" t="s">
        <v>90</v>
      </c>
      <c r="Y1151">
        <v>0</v>
      </c>
      <c r="Z1151">
        <v>0</v>
      </c>
      <c r="AA1151" t="s">
        <v>90</v>
      </c>
      <c r="AB1151">
        <v>0</v>
      </c>
      <c r="AC1151">
        <v>0.22592840579640797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Q1151" t="s">
        <v>140</v>
      </c>
      <c r="AR1151" t="s">
        <v>141</v>
      </c>
      <c r="AS1151">
        <v>0.21806085728973718</v>
      </c>
    </row>
    <row r="1152" spans="1:45" ht="12.75">
      <c r="A1152" s="2" t="str">
        <f>HYPERLINK("https://ibp.a2mac1.com/costing(costing:projects/details/8191/material/5319985)","PA66-GF30")</f>
        <v>PA66-GF30</v>
      </c>
      <c r="B1152">
        <v>5319985</v>
      </c>
      <c r="C1152">
        <v>6975557</v>
      </c>
      <c r="E1152">
        <v>2.4020800000000002</v>
      </c>
      <c r="F1152" t="s">
        <v>4279</v>
      </c>
      <c r="G1152">
        <v>98.039199999999994</v>
      </c>
      <c r="H1152" t="s">
        <v>7599</v>
      </c>
      <c r="I1152">
        <v>5</v>
      </c>
      <c r="J1152">
        <v>0.20557651238448796</v>
      </c>
      <c r="K1152">
        <v>0</v>
      </c>
      <c r="M1152">
        <v>0</v>
      </c>
      <c r="O1152">
        <v>200000</v>
      </c>
      <c r="R1152" t="s">
        <v>136</v>
      </c>
      <c r="S1152">
        <v>2.8825195211711233E-05</v>
      </c>
      <c r="T1152">
        <v>6.0567015642722501E-05</v>
      </c>
      <c r="U1152" t="s">
        <v>137</v>
      </c>
      <c r="V1152">
        <v>0.0010290512366481978</v>
      </c>
      <c r="W1152">
        <v>0.030462256961313435</v>
      </c>
      <c r="X1152" t="s">
        <v>90</v>
      </c>
      <c r="Y1152">
        <v>0</v>
      </c>
      <c r="Z1152">
        <v>0</v>
      </c>
      <c r="AA1152" t="s">
        <v>90</v>
      </c>
      <c r="AB1152">
        <v>0</v>
      </c>
      <c r="AC1152">
        <v>0.030462256961313435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Q1152" t="s">
        <v>140</v>
      </c>
      <c r="AR1152" t="s">
        <v>141</v>
      </c>
      <c r="AS1152">
        <v>0.029401463904234225</v>
      </c>
    </row>
    <row r="1153" spans="1:45" ht="12.75">
      <c r="A1153" s="2" t="str">
        <f>HYPERLINK("https://ibp.a2mac1.com/costing(costing:projects/details/8191/material/5319986)","Aluminum sheet (default, e.g. EN AW1050A)")</f>
        <v>Aluminum sheet (default, e.g. EN AW1050A)</v>
      </c>
      <c r="B1153">
        <v>5319986</v>
      </c>
      <c r="C1153">
        <v>6975559</v>
      </c>
      <c r="E1153">
        <v>3.4857100000000001</v>
      </c>
      <c r="F1153" t="s">
        <v>4186</v>
      </c>
      <c r="G1153">
        <v>75</v>
      </c>
      <c r="H1153" t="s">
        <v>2930</v>
      </c>
      <c r="I1153">
        <v>30</v>
      </c>
      <c r="J1153">
        <v>0.50345253019720215</v>
      </c>
      <c r="K1153">
        <v>0</v>
      </c>
      <c r="L1153">
        <v>0</v>
      </c>
      <c r="M1153">
        <v>0</v>
      </c>
      <c r="O1153">
        <v>200000</v>
      </c>
      <c r="R1153" t="s">
        <v>136</v>
      </c>
      <c r="S1153">
        <v>0.00052285649999999999</v>
      </c>
      <c r="T1153">
        <v>3.52753852E-05</v>
      </c>
      <c r="U1153" t="s">
        <v>137</v>
      </c>
      <c r="V1153">
        <v>0.0002439997</v>
      </c>
      <c r="W1153">
        <v>0.0067278385852000003</v>
      </c>
      <c r="X1153" t="s">
        <v>138</v>
      </c>
      <c r="Y1153">
        <v>0.00040367031511199999</v>
      </c>
      <c r="Z1153">
        <v>0</v>
      </c>
      <c r="AA1153" t="s">
        <v>139</v>
      </c>
      <c r="AB1153">
        <v>0.00080734063022399997</v>
      </c>
      <c r="AC1153">
        <v>0.0079388495305360001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Q1153" t="s">
        <v>140</v>
      </c>
      <c r="AR1153" t="s">
        <v>141</v>
      </c>
      <c r="AS1153">
        <v>0.0069714199999999999</v>
      </c>
    </row>
    <row r="1154" spans="1:45" ht="12.75">
      <c r="A1154" s="2" t="str">
        <f>HYPERLINK("https://ibp.a2mac1.com/costing(costing:projects/details/8191/material/5319987)","PC")</f>
        <v>PC</v>
      </c>
      <c r="B1154">
        <v>5319987</v>
      </c>
      <c r="C1154">
        <v>6975559</v>
      </c>
      <c r="E1154">
        <v>1.74675</v>
      </c>
      <c r="F1154" t="s">
        <v>1280</v>
      </c>
      <c r="G1154">
        <v>100</v>
      </c>
      <c r="H1154" t="s">
        <v>7608</v>
      </c>
      <c r="I1154">
        <v>5</v>
      </c>
      <c r="J1154">
        <v>0.50345253019720215</v>
      </c>
      <c r="K1154">
        <v>0</v>
      </c>
      <c r="L1154">
        <v>0</v>
      </c>
      <c r="M1154">
        <v>0</v>
      </c>
      <c r="O1154">
        <v>200000</v>
      </c>
      <c r="R1154" t="s">
        <v>136</v>
      </c>
      <c r="S1154">
        <v>0</v>
      </c>
      <c r="T1154">
        <v>2.6515664999999998E-05</v>
      </c>
      <c r="U1154" t="s">
        <v>137</v>
      </c>
      <c r="V1154">
        <v>0.00018340874999999999</v>
      </c>
      <c r="W1154">
        <v>0.005450174415</v>
      </c>
      <c r="X1154" t="s">
        <v>138</v>
      </c>
      <c r="Y1154">
        <v>0.00032701046489999998</v>
      </c>
      <c r="Z1154">
        <v>0</v>
      </c>
      <c r="AA1154" t="s">
        <v>139</v>
      </c>
      <c r="AB1154">
        <v>0.00065402092979999996</v>
      </c>
      <c r="AC1154">
        <v>0.0064312058097000004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P1154" t="s">
        <v>7609</v>
      </c>
      <c r="AQ1154" t="s">
        <v>140</v>
      </c>
      <c r="AR1154" t="s">
        <v>141</v>
      </c>
      <c r="AS1154">
        <v>0.0052402500000000001</v>
      </c>
    </row>
    <row r="1155" spans="1:45" ht="12.75">
      <c r="A1155" s="2" t="str">
        <f>HYPERLINK("https://ibp.a2mac1.com/costing(costing:projects/details/8191/material/5319697)","EPDM")</f>
        <v>EPDM</v>
      </c>
      <c r="B1155">
        <v>5319697</v>
      </c>
      <c r="C1155">
        <v>6975353</v>
      </c>
      <c r="E1155">
        <v>2.78701</v>
      </c>
      <c r="F1155" t="s">
        <v>3726</v>
      </c>
      <c r="G1155">
        <v>95</v>
      </c>
      <c r="H1155" t="s">
        <v>3727</v>
      </c>
      <c r="I1155">
        <v>5</v>
      </c>
      <c r="J1155">
        <v>0.50345253019720215</v>
      </c>
      <c r="K1155">
        <v>0</v>
      </c>
      <c r="L1155">
        <v>0</v>
      </c>
      <c r="M1155">
        <v>0</v>
      </c>
      <c r="O1155">
        <v>200000</v>
      </c>
      <c r="R1155" t="s">
        <v>136</v>
      </c>
      <c r="S1155">
        <v>6.6008131578947372E-05</v>
      </c>
      <c r="T1155">
        <v>0.00013360045831578948</v>
      </c>
      <c r="U1155" t="s">
        <v>137</v>
      </c>
      <c r="V1155">
        <v>0.00092411384210526319</v>
      </c>
      <c r="W1155">
        <v>0.027394958800421053</v>
      </c>
      <c r="X1155" t="s">
        <v>138</v>
      </c>
      <c r="Y1155">
        <v>0.0016436975280252632</v>
      </c>
      <c r="Z1155">
        <v>0</v>
      </c>
      <c r="AA1155" t="s">
        <v>139</v>
      </c>
      <c r="AB1155">
        <v>0.0032873950560505264</v>
      </c>
      <c r="AC1155">
        <v>0.032326051384496846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Q1155" t="s">
        <v>140</v>
      </c>
      <c r="AR1155" t="s">
        <v>141</v>
      </c>
      <c r="AS1155">
        <v>0.026403252631578947</v>
      </c>
    </row>
    <row r="1156" spans="1:45" ht="12.75">
      <c r="A1156" s="2" t="str">
        <f>HYPERLINK("https://ibp.a2mac1.com/costing(costing:projects/details/8191/material/5319699)","PP-PE")</f>
        <v>PP-PE</v>
      </c>
      <c r="B1156">
        <v>5319699</v>
      </c>
      <c r="C1156">
        <v>6975354</v>
      </c>
      <c r="E1156">
        <v>1.34768</v>
      </c>
      <c r="F1156" t="s">
        <v>7624</v>
      </c>
      <c r="G1156">
        <v>95</v>
      </c>
      <c r="H1156" t="s">
        <v>7625</v>
      </c>
      <c r="I1156">
        <v>5</v>
      </c>
      <c r="J1156">
        <v>0.50345253019720215</v>
      </c>
      <c r="K1156">
        <v>0</v>
      </c>
      <c r="M1156">
        <v>0</v>
      </c>
      <c r="O1156">
        <v>200000</v>
      </c>
      <c r="R1156" t="s">
        <v>136</v>
      </c>
      <c r="S1156">
        <v>0.00063128168421052626</v>
      </c>
      <c r="T1156">
        <v>0.0012777141288421053</v>
      </c>
      <c r="U1156" t="s">
        <v>137</v>
      </c>
      <c r="V1156">
        <v>0.0088379435789473684</v>
      </c>
      <c r="W1156">
        <v>0.26199704970778948</v>
      </c>
      <c r="X1156" t="s">
        <v>138</v>
      </c>
      <c r="Y1156">
        <v>0.015719822982467369</v>
      </c>
      <c r="Z1156">
        <v>0</v>
      </c>
      <c r="AA1156" t="s">
        <v>139</v>
      </c>
      <c r="AB1156">
        <v>0.031439645964934738</v>
      </c>
      <c r="AC1156">
        <v>0.30915651865519156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Q1156" t="s">
        <v>140</v>
      </c>
      <c r="AR1156" t="s">
        <v>141</v>
      </c>
      <c r="AS1156">
        <v>0.25251267368421054</v>
      </c>
    </row>
    <row r="1157" spans="1:45" ht="12.75">
      <c r="A1157" s="2" t="str">
        <f>HYPERLINK("https://ibp.a2mac1.com/costing(costing:projects/details/8191/material/5319700)","PP-PE")</f>
        <v>PP-PE</v>
      </c>
      <c r="B1157">
        <v>5319700</v>
      </c>
      <c r="C1157">
        <v>6975355</v>
      </c>
      <c r="E1157">
        <v>1.34768</v>
      </c>
      <c r="F1157" t="s">
        <v>509</v>
      </c>
      <c r="G1157">
        <v>95</v>
      </c>
      <c r="H1157" t="s">
        <v>510</v>
      </c>
      <c r="I1157">
        <v>5</v>
      </c>
      <c r="J1157">
        <v>0.50345253019720215</v>
      </c>
      <c r="K1157">
        <v>0</v>
      </c>
      <c r="M1157">
        <v>0</v>
      </c>
      <c r="O1157">
        <v>200000</v>
      </c>
      <c r="R1157" t="s">
        <v>136</v>
      </c>
      <c r="S1157">
        <v>0.00017732631578947367</v>
      </c>
      <c r="T1157">
        <v>0.00035890846315789475</v>
      </c>
      <c r="U1157" t="s">
        <v>137</v>
      </c>
      <c r="V1157">
        <v>0.0024825684210526317</v>
      </c>
      <c r="W1157">
        <v>0.073594676884210522</v>
      </c>
      <c r="X1157" t="s">
        <v>138</v>
      </c>
      <c r="Y1157">
        <v>0.0044156806130526312</v>
      </c>
      <c r="Z1157">
        <v>0</v>
      </c>
      <c r="AA1157" t="s">
        <v>139</v>
      </c>
      <c r="AB1157">
        <v>0.0088313612261052624</v>
      </c>
      <c r="AC1157">
        <v>0.086841718723368419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Q1157" t="s">
        <v>140</v>
      </c>
      <c r="AR1157" t="s">
        <v>141</v>
      </c>
      <c r="AS1157">
        <v>0.070930526315789472</v>
      </c>
    </row>
    <row r="1158" spans="1:45" ht="12.75">
      <c r="A1158" s="2" t="str">
        <f>HYPERLINK("https://ibp.a2mac1.com/costing(costing:projects/details/8191/material/5319701)","PP-PE")</f>
        <v>PP-PE</v>
      </c>
      <c r="B1158">
        <v>5319701</v>
      </c>
      <c r="C1158">
        <v>6975356</v>
      </c>
      <c r="E1158">
        <v>1.34768</v>
      </c>
      <c r="F1158" t="s">
        <v>1992</v>
      </c>
      <c r="G1158">
        <v>95</v>
      </c>
      <c r="H1158" t="s">
        <v>7633</v>
      </c>
      <c r="I1158">
        <v>5</v>
      </c>
      <c r="J1158">
        <v>0.50345253019720215</v>
      </c>
      <c r="K1158">
        <v>0</v>
      </c>
      <c r="M1158">
        <v>0</v>
      </c>
      <c r="O1158">
        <v>200000</v>
      </c>
      <c r="R1158" t="s">
        <v>136</v>
      </c>
      <c r="S1158">
        <v>0.00016668673684210527</v>
      </c>
      <c r="T1158">
        <v>0.00033737395536842106</v>
      </c>
      <c r="U1158" t="s">
        <v>137</v>
      </c>
      <c r="V1158">
        <v>0.0023336143157894735</v>
      </c>
      <c r="W1158">
        <v>0.069178996271157894</v>
      </c>
      <c r="X1158" t="s">
        <v>138</v>
      </c>
      <c r="Y1158">
        <v>0.0041507397762694737</v>
      </c>
      <c r="Z1158">
        <v>0</v>
      </c>
      <c r="AA1158" t="s">
        <v>139</v>
      </c>
      <c r="AB1158">
        <v>0.0083014795525389474</v>
      </c>
      <c r="AC1158">
        <v>0.08163121559996632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Q1158" t="s">
        <v>140</v>
      </c>
      <c r="AR1158" t="s">
        <v>141</v>
      </c>
      <c r="AS1158">
        <v>0.066674694736842108</v>
      </c>
    </row>
    <row r="1159" spans="1:45" ht="12.75">
      <c r="A1159" s="2" t="str">
        <f>HYPERLINK("https://ibp.a2mac1.com/costing(costing:projects/details/8191/material/5319702)","PP")</f>
        <v>PP</v>
      </c>
      <c r="B1159">
        <v>5319702</v>
      </c>
      <c r="C1159">
        <v>6975357</v>
      </c>
      <c r="E1159">
        <v>1.0113799999999999</v>
      </c>
      <c r="F1159" t="s">
        <v>539</v>
      </c>
      <c r="G1159">
        <v>95</v>
      </c>
      <c r="H1159" t="s">
        <v>7637</v>
      </c>
      <c r="I1159">
        <v>5</v>
      </c>
      <c r="J1159">
        <v>0.50345253019720215</v>
      </c>
      <c r="K1159">
        <v>0</v>
      </c>
      <c r="M1159">
        <v>0</v>
      </c>
      <c r="O1159">
        <v>200000</v>
      </c>
      <c r="R1159" t="s">
        <v>136</v>
      </c>
      <c r="S1159">
        <v>2.129221052631579E-05</v>
      </c>
      <c r="T1159">
        <v>4.3095434105263156E-05</v>
      </c>
      <c r="U1159" t="s">
        <v>137</v>
      </c>
      <c r="V1159">
        <v>0.00029809094736842106</v>
      </c>
      <c r="W1159">
        <v>0.0088367783814736842</v>
      </c>
      <c r="X1159" t="s">
        <v>138</v>
      </c>
      <c r="Y1159">
        <v>0.00053020670288842105</v>
      </c>
      <c r="Z1159">
        <v>0</v>
      </c>
      <c r="AA1159" t="s">
        <v>139</v>
      </c>
      <c r="AB1159">
        <v>0.0010604134057768421</v>
      </c>
      <c r="AC1159">
        <v>0.010427398490138948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Q1159" t="s">
        <v>140</v>
      </c>
      <c r="AR1159" t="s">
        <v>141</v>
      </c>
      <c r="AS1159">
        <v>0.0085168842105263157</v>
      </c>
    </row>
    <row r="1160" spans="1:45" ht="12.75">
      <c r="A1160" s="2" t="str">
        <f>HYPERLINK("https://ibp.a2mac1.com/costing(costing:projects/details/8191/material/5319703)","POM")</f>
        <v>POM</v>
      </c>
      <c r="B1160">
        <v>5319703</v>
      </c>
      <c r="C1160">
        <v>6975358</v>
      </c>
      <c r="E1160">
        <v>2.12338</v>
      </c>
      <c r="F1160" t="s">
        <v>7641</v>
      </c>
      <c r="G1160">
        <v>95</v>
      </c>
      <c r="H1160" t="s">
        <v>7642</v>
      </c>
      <c r="I1160">
        <v>5</v>
      </c>
      <c r="J1160">
        <v>0.50345253019720215</v>
      </c>
      <c r="K1160">
        <v>0</v>
      </c>
      <c r="M1160">
        <v>0</v>
      </c>
      <c r="O1160">
        <v>200000</v>
      </c>
      <c r="R1160" t="s">
        <v>136</v>
      </c>
      <c r="S1160">
        <v>0.00018255480157894737</v>
      </c>
      <c r="T1160">
        <v>0.00036949091839578947</v>
      </c>
      <c r="U1160" t="s">
        <v>137</v>
      </c>
      <c r="V1160">
        <v>0.002555767222105263</v>
      </c>
      <c r="W1160">
        <v>0.075764623970501058</v>
      </c>
      <c r="X1160" t="s">
        <v>138</v>
      </c>
      <c r="Y1160">
        <v>0.0045458774382300627</v>
      </c>
      <c r="Z1160">
        <v>0</v>
      </c>
      <c r="AA1160" t="s">
        <v>139</v>
      </c>
      <c r="AB1160">
        <v>0.0090917548764601255</v>
      </c>
      <c r="AC1160">
        <v>0.089402256285191245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Q1160" t="s">
        <v>140</v>
      </c>
      <c r="AR1160" t="s">
        <v>141</v>
      </c>
      <c r="AS1160">
        <v>0.073021920631578946</v>
      </c>
    </row>
    <row r="1161" spans="1:45" ht="12.75">
      <c r="A1161" s="2" t="str">
        <f>HYPERLINK("https://ibp.a2mac1.com/costing(costing:projects/details/8191/material/5319704)","PA")</f>
        <v>PA</v>
      </c>
      <c r="B1161">
        <v>5319704</v>
      </c>
      <c r="C1161">
        <v>6975358</v>
      </c>
      <c r="E1161">
        <v>2.03416</v>
      </c>
      <c r="F1161" t="s">
        <v>7641</v>
      </c>
      <c r="G1161">
        <v>95</v>
      </c>
      <c r="H1161" t="s">
        <v>7642</v>
      </c>
      <c r="I1161">
        <v>5</v>
      </c>
      <c r="J1161">
        <v>0.50345253019720215</v>
      </c>
      <c r="K1161">
        <v>0</v>
      </c>
      <c r="M1161">
        <v>0</v>
      </c>
      <c r="O1161">
        <v>200000</v>
      </c>
      <c r="R1161" t="s">
        <v>136</v>
      </c>
      <c r="S1161">
        <v>0.00017488422947368421</v>
      </c>
      <c r="T1161">
        <v>0.00035396568045473686</v>
      </c>
      <c r="U1161" t="s">
        <v>137</v>
      </c>
      <c r="V1161">
        <v>0.0024483792126315791</v>
      </c>
      <c r="W1161">
        <v>0.072581152453086314</v>
      </c>
      <c r="X1161" t="s">
        <v>138</v>
      </c>
      <c r="Y1161">
        <v>0.0043548691471851789</v>
      </c>
      <c r="Z1161">
        <v>0</v>
      </c>
      <c r="AA1161" t="s">
        <v>139</v>
      </c>
      <c r="AB1161">
        <v>0.0087097382943703578</v>
      </c>
      <c r="AC1161">
        <v>0.085645759894641849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Q1161" t="s">
        <v>140</v>
      </c>
      <c r="AR1161" t="s">
        <v>141</v>
      </c>
      <c r="AS1161">
        <v>0.069953691789473679</v>
      </c>
    </row>
    <row r="1162" spans="1:45" ht="12.75">
      <c r="A1162" s="2" t="str">
        <f>HYPERLINK("https://ibp.a2mac1.com/costing(costing:projects/details/8191/material/5319705)","PBT")</f>
        <v>PBT</v>
      </c>
      <c r="B1162">
        <v>5319705</v>
      </c>
      <c r="C1162">
        <v>6975359</v>
      </c>
      <c r="E1162">
        <v>2.2103899999999999</v>
      </c>
      <c r="F1162" t="s">
        <v>4272</v>
      </c>
      <c r="G1162">
        <v>95</v>
      </c>
      <c r="H1162" t="s">
        <v>4273</v>
      </c>
      <c r="I1162">
        <v>5</v>
      </c>
      <c r="J1162">
        <v>0.50048257265952256</v>
      </c>
      <c r="K1162">
        <v>0</v>
      </c>
      <c r="M1162">
        <v>0</v>
      </c>
      <c r="O1162">
        <v>400000</v>
      </c>
      <c r="R1162" t="s">
        <v>136</v>
      </c>
      <c r="S1162">
        <v>2.617567105263158E-05</v>
      </c>
      <c r="T1162">
        <v>5.2665450157894737E-05</v>
      </c>
      <c r="U1162" t="s">
        <v>137</v>
      </c>
      <c r="V1162">
        <v>0.00036645939473684209</v>
      </c>
      <c r="W1162">
        <v>0.010863217594894737</v>
      </c>
      <c r="X1162" t="s">
        <v>138</v>
      </c>
      <c r="Y1162">
        <v>0.00065179305569368416</v>
      </c>
      <c r="Z1162">
        <v>0</v>
      </c>
      <c r="AA1162" t="s">
        <v>139</v>
      </c>
      <c r="AB1162">
        <v>0.0013035861113873683</v>
      </c>
      <c r="AC1162">
        <v>0.01281859676197579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Q1162" t="s">
        <v>140</v>
      </c>
      <c r="AR1162" t="s">
        <v>141</v>
      </c>
      <c r="AS1162">
        <v>0.010470268421052632</v>
      </c>
    </row>
    <row r="1163" spans="1:45" ht="12.75">
      <c r="A1163" s="2" t="str">
        <f>HYPERLINK("https://ibp.a2mac1.com/costing(costing:projects/details/8191/material/5319706)","PP-PE")</f>
        <v>PP-PE</v>
      </c>
      <c r="B1163">
        <v>5319706</v>
      </c>
      <c r="C1163">
        <v>6975360</v>
      </c>
      <c r="E1163">
        <v>1.34768</v>
      </c>
      <c r="F1163" t="s">
        <v>4279</v>
      </c>
      <c r="G1163">
        <v>95</v>
      </c>
      <c r="H1163" t="s">
        <v>4925</v>
      </c>
      <c r="I1163">
        <v>5</v>
      </c>
      <c r="J1163">
        <v>0.50345253019720215</v>
      </c>
      <c r="K1163">
        <v>0</v>
      </c>
      <c r="M1163">
        <v>0</v>
      </c>
      <c r="O1163">
        <v>200000</v>
      </c>
      <c r="R1163" t="s">
        <v>136</v>
      </c>
      <c r="S1163">
        <v>4.2558315789473687E-05</v>
      </c>
      <c r="T1163">
        <v>8.613803115789474E-05</v>
      </c>
      <c r="U1163" t="s">
        <v>137</v>
      </c>
      <c r="V1163">
        <v>0.00059581642105263155</v>
      </c>
      <c r="W1163">
        <v>0.017662722452210525</v>
      </c>
      <c r="X1163" t="s">
        <v>138</v>
      </c>
      <c r="Y1163">
        <v>0.0010597633471326315</v>
      </c>
      <c r="Z1163">
        <v>0</v>
      </c>
      <c r="AA1163" t="s">
        <v>139</v>
      </c>
      <c r="AB1163">
        <v>0.0021195266942652629</v>
      </c>
      <c r="AC1163">
        <v>0.020842012493608422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Q1163" t="s">
        <v>140</v>
      </c>
      <c r="AR1163" t="s">
        <v>141</v>
      </c>
      <c r="AS1163">
        <v>0.017023326315789473</v>
      </c>
    </row>
    <row r="1164" spans="1:45" ht="12.75">
      <c r="A1164" s="2" t="str">
        <f>HYPERLINK("https://ibp.a2mac1.com/costing(costing:projects/details/8191/material/5319707)","POM")</f>
        <v>POM</v>
      </c>
      <c r="B1164">
        <v>5319707</v>
      </c>
      <c r="C1164">
        <v>6975361</v>
      </c>
      <c r="E1164">
        <v>2.12338</v>
      </c>
      <c r="F1164" t="s">
        <v>670</v>
      </c>
      <c r="G1164">
        <v>95</v>
      </c>
      <c r="H1164" t="s">
        <v>3722</v>
      </c>
      <c r="I1164">
        <v>5</v>
      </c>
      <c r="J1164">
        <v>0.50048257265952256</v>
      </c>
      <c r="K1164">
        <v>0</v>
      </c>
      <c r="M1164">
        <v>0</v>
      </c>
      <c r="O1164">
        <v>400000</v>
      </c>
      <c r="R1164" t="s">
        <v>136</v>
      </c>
      <c r="S1164">
        <v>7.8229789473684207E-05</v>
      </c>
      <c r="T1164">
        <v>0.00015739833642105264</v>
      </c>
      <c r="U1164" t="s">
        <v>137</v>
      </c>
      <c r="V1164">
        <v>0.0010952170526315789</v>
      </c>
      <c r="W1164">
        <v>0.032466301389052633</v>
      </c>
      <c r="X1164" t="s">
        <v>138</v>
      </c>
      <c r="Y1164">
        <v>0.0019479780833431578</v>
      </c>
      <c r="Z1164">
        <v>0</v>
      </c>
      <c r="AA1164" t="s">
        <v>139</v>
      </c>
      <c r="AB1164">
        <v>0.0038959561666863157</v>
      </c>
      <c r="AC1164">
        <v>0.038310235639082105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Q1164" t="s">
        <v>140</v>
      </c>
      <c r="AR1164" t="s">
        <v>141</v>
      </c>
      <c r="AS1164">
        <v>0.031291915789473684</v>
      </c>
    </row>
  </sheetData>
  <mergeCells count="12">
    <mergeCell ref="A1:R2"/>
    <mergeCell ref="S1:AC1"/>
    <mergeCell ref="U3:V3"/>
    <mergeCell ref="S2:W2"/>
    <mergeCell ref="X3:Y3"/>
    <mergeCell ref="AA3:AB3"/>
    <mergeCell ref="X2:AB2"/>
    <mergeCell ref="AD1:AH1"/>
    <mergeCell ref="AD2:AG2"/>
    <mergeCell ref="AI1:AK2"/>
    <mergeCell ref="AL1:AP2"/>
    <mergeCell ref="AQ1:A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8671cd-e032-4627-8c7b-d450d9f5c7e6}">
  <dimension ref="A1:AV1370"/>
  <sheetViews>
    <sheetView workbookViewId="0" topLeftCell="A1"/>
  </sheetViews>
  <sheetFormatPr defaultRowHeight="12.75"/>
  <cols>
    <col min="1" max="1" width="6.57142857142857" customWidth="1"/>
    <col min="2" max="2" width="3.14285714285714" customWidth="1"/>
    <col min="3" max="3" width="17.1428571428571" customWidth="1"/>
    <col min="4" max="4" width="13.2857142857143" customWidth="1"/>
    <col min="5" max="5" width="18.8571428571429" customWidth="1"/>
    <col min="6" max="6" width="11.4285714285714" customWidth="1"/>
    <col min="7" max="7" width="11.8571428571429" customWidth="1"/>
    <col min="8" max="8" width="12" customWidth="1"/>
    <col min="9" max="9" width="13.2857142857143" customWidth="1"/>
    <col min="10" max="10" width="23.2857142857143" customWidth="1"/>
    <col min="11" max="11" width="15.8571428571429" customWidth="1"/>
    <col min="12" max="12" width="22.5714285714286" customWidth="1"/>
    <col min="13" max="13" width="15.7142857142857" customWidth="1"/>
    <col min="14" max="14" width="28" customWidth="1"/>
    <col min="15" max="15" width="17.8571428571429" customWidth="1"/>
    <col min="16" max="17" width="13.4285714285714" customWidth="1"/>
    <col min="18" max="18" width="19" customWidth="1"/>
    <col min="19" max="19" width="18.4285714285714" customWidth="1"/>
    <col min="20" max="20" width="19.7142857142857" customWidth="1"/>
    <col min="21" max="21" width="19" customWidth="1"/>
    <col min="22" max="22" width="13.7142857142857" customWidth="1"/>
    <col min="23" max="23" width="24" customWidth="1"/>
    <col min="24" max="24" width="13.5714285714286" customWidth="1"/>
    <col min="25" max="27" width="27.2857142857143" customWidth="1"/>
    <col min="28" max="28" width="28.5714285714286" customWidth="1"/>
    <col min="29" max="29" width="30.1428571428571" customWidth="1"/>
    <col min="30" max="30" width="26.2857142857143" customWidth="1"/>
    <col min="31" max="31" width="29.8571428571429" customWidth="1"/>
    <col min="32" max="32" width="28.5714285714286" customWidth="1"/>
    <col min="33" max="33" width="37" customWidth="1"/>
    <col min="34" max="34" width="38.5714285714286" customWidth="1"/>
    <col min="35" max="35" width="34.7142857142857" customWidth="1"/>
    <col min="36" max="36" width="38.2857142857143" customWidth="1"/>
    <col min="37" max="37" width="37" customWidth="1"/>
    <col min="38" max="38" width="35.7142857142857" customWidth="1"/>
    <col min="39" max="39" width="32.7142857142857" customWidth="1"/>
    <col min="40" max="40" width="22.5714285714286" customWidth="1"/>
    <col min="41" max="41" width="31.7142857142857" customWidth="1"/>
    <col min="42" max="42" width="20.5714285714286" customWidth="1"/>
    <col min="43" max="43" width="21.7142857142857" customWidth="1"/>
    <col min="44" max="44" width="29" customWidth="1"/>
    <col min="45" max="45" width="24.5714285714286" customWidth="1"/>
    <col min="46" max="46" width="24.8571428571429" customWidth="1"/>
    <col min="47" max="47" width="21.1428571428571" customWidth="1"/>
    <col min="48" max="48" width="19.5714285714286" customWidth="1"/>
  </cols>
  <sheetData>
    <row r="1" spans="1:48" ht="12.75">
      <c r="A1" s="1" t="s">
        <v>16</v>
      </c>
      <c r="B1" s="1"/>
      <c r="C1" s="1"/>
      <c r="D1" s="1"/>
      <c r="E1" s="1"/>
      <c r="F1" s="1"/>
      <c r="G1" s="1"/>
      <c r="H1" s="1"/>
      <c r="I1" s="1" t="s">
        <v>17</v>
      </c>
      <c r="J1" s="1"/>
      <c r="K1" s="1"/>
      <c r="L1" s="1"/>
      <c r="M1" s="1"/>
      <c r="N1" s="1"/>
      <c r="O1" s="1"/>
      <c r="P1" s="1"/>
      <c r="Q1" s="1"/>
      <c r="R1" s="1" t="s">
        <v>164</v>
      </c>
      <c r="S1" s="1"/>
      <c r="T1" s="1"/>
      <c r="U1" s="1"/>
      <c r="V1" s="1"/>
      <c r="W1" s="1"/>
      <c r="X1" s="1"/>
      <c r="Y1" s="1"/>
      <c r="Z1" s="1"/>
      <c r="AA1" s="1"/>
      <c r="AB1" s="1" t="s">
        <v>175</v>
      </c>
      <c r="AC1" s="1"/>
      <c r="AD1" s="1"/>
      <c r="AE1" s="1"/>
      <c r="AF1" s="1"/>
      <c r="AG1" s="1"/>
      <c r="AH1" s="1"/>
      <c r="AI1" s="1"/>
      <c r="AJ1" s="1"/>
      <c r="AK1" s="1"/>
      <c r="AL1" s="1" t="s">
        <v>186</v>
      </c>
      <c r="AM1" s="1"/>
      <c r="AN1" s="1"/>
      <c r="AO1" s="1"/>
      <c r="AP1" s="1"/>
      <c r="AQ1" s="1"/>
      <c r="AR1" s="1"/>
      <c r="AS1" s="1"/>
      <c r="AT1" s="1"/>
      <c r="AU1" s="1"/>
      <c r="AV1" s="1" t="s">
        <v>188</v>
      </c>
    </row>
    <row r="2" spans="1:48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2.75">
      <c r="A3" s="4" t="s">
        <v>4</v>
      </c>
      <c r="B3" s="4" t="s">
        <v>14</v>
      </c>
      <c r="C3" s="4" t="s">
        <v>101</v>
      </c>
      <c r="D3" s="4" t="s">
        <v>51</v>
      </c>
      <c r="E3" s="4" t="s">
        <v>143</v>
      </c>
      <c r="F3" s="4" t="s">
        <v>16</v>
      </c>
      <c r="G3" s="4" t="s">
        <v>144</v>
      </c>
      <c r="H3" s="4" t="s">
        <v>65</v>
      </c>
      <c r="I3" s="4" t="s">
        <v>145</v>
      </c>
      <c r="J3" s="4" t="s">
        <v>146</v>
      </c>
      <c r="K3" s="4" t="s">
        <v>147</v>
      </c>
      <c r="L3" s="4" t="s">
        <v>148</v>
      </c>
      <c r="M3" s="4" t="s">
        <v>149</v>
      </c>
      <c r="N3" s="4" t="s">
        <v>150</v>
      </c>
      <c r="O3" s="4" t="s">
        <v>151</v>
      </c>
      <c r="P3" s="4" t="s">
        <v>152</v>
      </c>
      <c r="Q3" s="4" t="s">
        <v>153</v>
      </c>
      <c r="R3" s="4" t="s">
        <v>154</v>
      </c>
      <c r="S3" s="4" t="s">
        <v>155</v>
      </c>
      <c r="T3" s="4" t="s">
        <v>156</v>
      </c>
      <c r="U3" s="4" t="s">
        <v>157</v>
      </c>
      <c r="V3" s="4" t="s">
        <v>158</v>
      </c>
      <c r="W3" s="4" t="s">
        <v>159</v>
      </c>
      <c r="X3" s="4" t="s">
        <v>160</v>
      </c>
      <c r="Y3" s="4" t="s">
        <v>161</v>
      </c>
      <c r="Z3" s="4" t="s">
        <v>162</v>
      </c>
      <c r="AA3" s="4" t="s">
        <v>163</v>
      </c>
      <c r="AB3" s="4" t="s">
        <v>165</v>
      </c>
      <c r="AC3" s="4" t="s">
        <v>166</v>
      </c>
      <c r="AD3" s="4" t="s">
        <v>167</v>
      </c>
      <c r="AE3" s="4" t="s">
        <v>168</v>
      </c>
      <c r="AF3" s="4" t="s">
        <v>169</v>
      </c>
      <c r="AG3" s="4" t="s">
        <v>170</v>
      </c>
      <c r="AH3" s="4" t="s">
        <v>171</v>
      </c>
      <c r="AI3" s="4" t="s">
        <v>172</v>
      </c>
      <c r="AJ3" s="4" t="s">
        <v>173</v>
      </c>
      <c r="AK3" s="4" t="s">
        <v>174</v>
      </c>
      <c r="AL3" s="4" t="s">
        <v>176</v>
      </c>
      <c r="AM3" s="4" t="s">
        <v>177</v>
      </c>
      <c r="AN3" s="4" t="s">
        <v>178</v>
      </c>
      <c r="AO3" s="4" t="s">
        <v>179</v>
      </c>
      <c r="AP3" s="4" t="s">
        <v>180</v>
      </c>
      <c r="AQ3" s="4" t="s">
        <v>181</v>
      </c>
      <c r="AR3" s="4" t="s">
        <v>182</v>
      </c>
      <c r="AS3" s="4" t="s">
        <v>183</v>
      </c>
      <c r="AT3" s="4" t="s">
        <v>184</v>
      </c>
      <c r="AU3" s="4" t="s">
        <v>185</v>
      </c>
      <c r="AV3" s="4" t="s">
        <v>187</v>
      </c>
    </row>
    <row r="4" spans="1:48" ht="12.75">
      <c r="A4" s="2" t="str">
        <f>HYPERLINK("https://ibp.a2mac1.com/costing(costing:projects/details/8191/equipment/6941965)","Machine")</f>
        <v>Machine</v>
      </c>
      <c r="B4">
        <v>6941965</v>
      </c>
      <c r="C4">
        <v>6969755</v>
      </c>
      <c r="H4" t="s">
        <v>136</v>
      </c>
      <c r="I4">
        <v>6117.6833131071426</v>
      </c>
      <c r="J4">
        <v>0</v>
      </c>
      <c r="K4">
        <v>6</v>
      </c>
      <c r="L4">
        <v>0</v>
      </c>
      <c r="M4">
        <v>7.1546090920294345</v>
      </c>
      <c r="N4">
        <v>0</v>
      </c>
      <c r="O4">
        <v>0.11924348486715725</v>
      </c>
      <c r="P4">
        <v>0.068858000000000003</v>
      </c>
      <c r="Q4">
        <v>0.00059144547276088308</v>
      </c>
      <c r="R4">
        <v>21325.889149999999</v>
      </c>
      <c r="S4">
        <v>0</v>
      </c>
      <c r="T4">
        <v>0</v>
      </c>
      <c r="V4">
        <v>1800</v>
      </c>
      <c r="W4">
        <v>7</v>
      </c>
      <c r="X4">
        <v>85</v>
      </c>
      <c r="Y4">
        <v>3</v>
      </c>
      <c r="Z4">
        <v>4</v>
      </c>
      <c r="AA4">
        <v>5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100</v>
      </c>
      <c r="AM4">
        <v>75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60</v>
      </c>
      <c r="AU4">
        <v>0</v>
      </c>
      <c r="AV4">
        <v>0</v>
      </c>
    </row>
    <row r="5" spans="1:48" ht="12.75">
      <c r="A5" s="2" t="str">
        <f>HYPERLINK("https://ibp.a2mac1.com/costing(costing:projects/details/8191/equipment/6942118)","Machine")</f>
        <v>Machine</v>
      </c>
      <c r="B5">
        <v>6942118</v>
      </c>
      <c r="C5">
        <v>6969812</v>
      </c>
      <c r="H5" t="s">
        <v>136</v>
      </c>
      <c r="I5">
        <v>1737174.1266025286</v>
      </c>
      <c r="J5">
        <v>0</v>
      </c>
      <c r="K5">
        <v>5.1996000000000002</v>
      </c>
      <c r="L5">
        <v>0</v>
      </c>
      <c r="M5">
        <v>362.78281997356612</v>
      </c>
      <c r="N5">
        <v>0</v>
      </c>
      <c r="O5">
        <v>6.0463803328927694</v>
      </c>
      <c r="P5">
        <v>0.068858000000000003</v>
      </c>
      <c r="Q5">
        <v>0.011260291799206984</v>
      </c>
      <c r="R5">
        <v>9754173.3614600003</v>
      </c>
      <c r="S5">
        <v>0</v>
      </c>
      <c r="T5">
        <v>0</v>
      </c>
      <c r="V5">
        <v>1800</v>
      </c>
      <c r="W5">
        <v>7</v>
      </c>
      <c r="X5">
        <v>85</v>
      </c>
      <c r="Y5">
        <v>3</v>
      </c>
      <c r="Z5">
        <v>4</v>
      </c>
      <c r="AA5">
        <v>5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1</v>
      </c>
      <c r="AJ5">
        <v>0</v>
      </c>
      <c r="AK5">
        <v>0</v>
      </c>
      <c r="AL5">
        <v>86.66</v>
      </c>
      <c r="AM5">
        <v>75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60</v>
      </c>
      <c r="AU5">
        <v>0</v>
      </c>
      <c r="AV5">
        <v>0</v>
      </c>
    </row>
    <row r="6" spans="1:48" ht="12.75">
      <c r="A6" s="2" t="str">
        <f>HYPERLINK("https://ibp.a2mac1.com/costing(costing:projects/details/8191/equipment/6942119)","Machine")</f>
        <v>Machine</v>
      </c>
      <c r="B6">
        <v>6942119</v>
      </c>
      <c r="C6">
        <v>6969813</v>
      </c>
      <c r="H6" t="s">
        <v>136</v>
      </c>
      <c r="I6">
        <v>6117.6833131071426</v>
      </c>
      <c r="J6">
        <v>0</v>
      </c>
      <c r="K6">
        <v>5.1996000000000002</v>
      </c>
      <c r="L6">
        <v>0</v>
      </c>
      <c r="M6">
        <v>6.3542090920294347</v>
      </c>
      <c r="N6">
        <v>0</v>
      </c>
      <c r="O6">
        <v>0.10590348486715724</v>
      </c>
      <c r="P6">
        <v>0.068858000000000003</v>
      </c>
      <c r="Q6">
        <v>0.00056743347276088307</v>
      </c>
      <c r="R6">
        <v>21325.889149999999</v>
      </c>
      <c r="S6">
        <v>0</v>
      </c>
      <c r="T6">
        <v>0</v>
      </c>
      <c r="V6">
        <v>1800</v>
      </c>
      <c r="W6">
        <v>7</v>
      </c>
      <c r="X6">
        <v>85</v>
      </c>
      <c r="Y6">
        <v>3</v>
      </c>
      <c r="Z6">
        <v>4</v>
      </c>
      <c r="AA6">
        <v>5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0</v>
      </c>
      <c r="AK6">
        <v>0</v>
      </c>
      <c r="AL6">
        <v>86.66</v>
      </c>
      <c r="AM6">
        <v>75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60</v>
      </c>
      <c r="AU6">
        <v>0</v>
      </c>
      <c r="AV6">
        <v>0</v>
      </c>
    </row>
    <row r="7" spans="1:48" ht="12.75">
      <c r="A7" s="2" t="str">
        <f>HYPERLINK("https://ibp.a2mac1.com/costing(costing:projects/details/8191/equipment/6942380)","General production process (0.5-10€)")</f>
        <v>General production process (0.5-10€)</v>
      </c>
      <c r="B7">
        <v>6942380</v>
      </c>
      <c r="C7">
        <v>6969939</v>
      </c>
      <c r="H7" t="s">
        <v>136</v>
      </c>
      <c r="I7">
        <v>116914.84457142858</v>
      </c>
      <c r="J7">
        <v>0</v>
      </c>
      <c r="K7">
        <v>3.60</v>
      </c>
      <c r="L7">
        <v>0</v>
      </c>
      <c r="M7">
        <v>27.497982091197134</v>
      </c>
      <c r="N7">
        <v>0</v>
      </c>
      <c r="O7">
        <v>4.2774638808528875</v>
      </c>
      <c r="P7">
        <v>0.64267466666666662</v>
      </c>
      <c r="Q7">
        <v>0.703929982584929</v>
      </c>
      <c r="R7">
        <v>635568</v>
      </c>
      <c r="S7">
        <v>0</v>
      </c>
      <c r="T7">
        <v>0</v>
      </c>
      <c r="V7">
        <v>648000</v>
      </c>
      <c r="W7">
        <v>7</v>
      </c>
      <c r="X7">
        <v>85</v>
      </c>
      <c r="Y7">
        <v>3</v>
      </c>
      <c r="Z7">
        <v>4</v>
      </c>
      <c r="AA7">
        <v>5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3</v>
      </c>
      <c r="AJ7">
        <v>0</v>
      </c>
      <c r="AK7">
        <v>0</v>
      </c>
      <c r="AL7">
        <v>100</v>
      </c>
      <c r="AM7">
        <v>45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100</v>
      </c>
      <c r="AU7">
        <v>0</v>
      </c>
      <c r="AV7">
        <v>0</v>
      </c>
    </row>
    <row r="8" spans="1:48" ht="12.75">
      <c r="A8" s="2" t="str">
        <f>HYPERLINK("https://ibp.a2mac1.com/costing(costing:projects/details/8191/equipment/6942370)","General production process (0.5-10€)")</f>
        <v>General production process (0.5-10€)</v>
      </c>
      <c r="B8">
        <v>6942370</v>
      </c>
      <c r="C8">
        <v>6969935</v>
      </c>
      <c r="H8" t="s">
        <v>136</v>
      </c>
      <c r="I8">
        <v>116914.84457142858</v>
      </c>
      <c r="J8">
        <v>0</v>
      </c>
      <c r="K8">
        <v>3.60</v>
      </c>
      <c r="L8">
        <v>0</v>
      </c>
      <c r="M8">
        <v>27.497982091197134</v>
      </c>
      <c r="N8">
        <v>0</v>
      </c>
      <c r="O8">
        <v>6.7981122392126245</v>
      </c>
      <c r="P8">
        <v>1.0213936666666668</v>
      </c>
      <c r="Q8">
        <v>0.703929982584929</v>
      </c>
      <c r="R8">
        <v>635568</v>
      </c>
      <c r="S8">
        <v>0</v>
      </c>
      <c r="T8">
        <v>0</v>
      </c>
      <c r="V8">
        <v>648000</v>
      </c>
      <c r="W8">
        <v>7</v>
      </c>
      <c r="X8">
        <v>85</v>
      </c>
      <c r="Y8">
        <v>3</v>
      </c>
      <c r="Z8">
        <v>4</v>
      </c>
      <c r="AA8">
        <v>5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3</v>
      </c>
      <c r="AJ8">
        <v>0</v>
      </c>
      <c r="AK8">
        <v>0</v>
      </c>
      <c r="AL8">
        <v>100</v>
      </c>
      <c r="AM8">
        <v>45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100</v>
      </c>
      <c r="AU8">
        <v>0</v>
      </c>
      <c r="AV8">
        <v>0</v>
      </c>
    </row>
    <row r="9" spans="1:48" ht="12.75">
      <c r="A9" s="2" t="str">
        <f>HYPERLINK("https://ibp.a2mac1.com/costing(costing:projects/details/8191/equipment/6942381)","General production process (0.5-10€)")</f>
        <v>General production process (0.5-10€)</v>
      </c>
      <c r="B9">
        <v>6942381</v>
      </c>
      <c r="C9">
        <v>6969940</v>
      </c>
      <c r="H9" t="s">
        <v>136</v>
      </c>
      <c r="I9">
        <v>116914.84457142858</v>
      </c>
      <c r="J9">
        <v>0</v>
      </c>
      <c r="K9">
        <v>3.60</v>
      </c>
      <c r="L9">
        <v>0</v>
      </c>
      <c r="M9">
        <v>27.497982091197134</v>
      </c>
      <c r="N9">
        <v>0</v>
      </c>
      <c r="O9">
        <v>2.6734149255330548</v>
      </c>
      <c r="P9">
        <v>0.40167166666666665</v>
      </c>
      <c r="Q9">
        <v>0.703929982584929</v>
      </c>
      <c r="R9">
        <v>635568</v>
      </c>
      <c r="S9">
        <v>0</v>
      </c>
      <c r="T9">
        <v>0</v>
      </c>
      <c r="V9">
        <v>648000</v>
      </c>
      <c r="W9">
        <v>7</v>
      </c>
      <c r="X9">
        <v>85</v>
      </c>
      <c r="Y9">
        <v>3</v>
      </c>
      <c r="Z9">
        <v>4</v>
      </c>
      <c r="AA9">
        <v>5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3</v>
      </c>
      <c r="AJ9">
        <v>0</v>
      </c>
      <c r="AK9">
        <v>0</v>
      </c>
      <c r="AL9">
        <v>100</v>
      </c>
      <c r="AM9">
        <v>45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100</v>
      </c>
      <c r="AU9">
        <v>0</v>
      </c>
      <c r="AV9">
        <v>0</v>
      </c>
    </row>
    <row r="10" spans="1:48" ht="12.75">
      <c r="A10" s="2" t="str">
        <f>HYPERLINK("https://ibp.a2mac1.com/costing(costing:projects/details/8191/equipment/6942382)","General production process (0.5-10€)")</f>
        <v>General production process (0.5-10€)</v>
      </c>
      <c r="B10">
        <v>6942382</v>
      </c>
      <c r="C10">
        <v>6969941</v>
      </c>
      <c r="H10" t="s">
        <v>136</v>
      </c>
      <c r="I10">
        <v>116914.84457142858</v>
      </c>
      <c r="J10">
        <v>0</v>
      </c>
      <c r="K10">
        <v>3.60</v>
      </c>
      <c r="L10">
        <v>0</v>
      </c>
      <c r="M10">
        <v>27.497982091197134</v>
      </c>
      <c r="N10">
        <v>0</v>
      </c>
      <c r="O10">
        <v>0.80202447765991647</v>
      </c>
      <c r="P10">
        <v>0.1205015</v>
      </c>
      <c r="Q10">
        <v>0.703929982584929</v>
      </c>
      <c r="R10">
        <v>635568</v>
      </c>
      <c r="S10">
        <v>0</v>
      </c>
      <c r="T10">
        <v>0</v>
      </c>
      <c r="V10">
        <v>648000</v>
      </c>
      <c r="W10">
        <v>7</v>
      </c>
      <c r="X10">
        <v>85</v>
      </c>
      <c r="Y10">
        <v>3</v>
      </c>
      <c r="Z10">
        <v>4</v>
      </c>
      <c r="AA10">
        <v>5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3</v>
      </c>
      <c r="AJ10">
        <v>0</v>
      </c>
      <c r="AK10">
        <v>0</v>
      </c>
      <c r="AL10">
        <v>100</v>
      </c>
      <c r="AM10">
        <v>45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100</v>
      </c>
      <c r="AU10">
        <v>0</v>
      </c>
      <c r="AV10">
        <v>0</v>
      </c>
    </row>
    <row r="11" spans="1:48" ht="12.75">
      <c r="A11" s="2" t="str">
        <f>HYPERLINK("https://ibp.a2mac1.com/costing(costing:projects/details/8191/equipment/6942383)","General production process (0.5-10€)")</f>
        <v>General production process (0.5-10€)</v>
      </c>
      <c r="B11">
        <v>6942383</v>
      </c>
      <c r="C11">
        <v>6969942</v>
      </c>
      <c r="H11" t="s">
        <v>136</v>
      </c>
      <c r="I11">
        <v>116914.84457142858</v>
      </c>
      <c r="J11">
        <v>0</v>
      </c>
      <c r="K11">
        <v>3.60</v>
      </c>
      <c r="L11">
        <v>0</v>
      </c>
      <c r="M11">
        <v>27.497982091197134</v>
      </c>
      <c r="N11">
        <v>0</v>
      </c>
      <c r="O11">
        <v>2.6734149255330548</v>
      </c>
      <c r="P11">
        <v>0.40167166666666665</v>
      </c>
      <c r="Q11">
        <v>0.703929982584929</v>
      </c>
      <c r="R11">
        <v>635568</v>
      </c>
      <c r="S11">
        <v>0</v>
      </c>
      <c r="T11">
        <v>0</v>
      </c>
      <c r="V11">
        <v>648000</v>
      </c>
      <c r="W11">
        <v>7</v>
      </c>
      <c r="X11">
        <v>85</v>
      </c>
      <c r="Y11">
        <v>3</v>
      </c>
      <c r="Z11">
        <v>4</v>
      </c>
      <c r="AA11">
        <v>5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3</v>
      </c>
      <c r="AJ11">
        <v>0</v>
      </c>
      <c r="AK11">
        <v>0</v>
      </c>
      <c r="AL11">
        <v>100</v>
      </c>
      <c r="AM11">
        <v>45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100</v>
      </c>
      <c r="AU11">
        <v>0</v>
      </c>
      <c r="AV11">
        <v>0</v>
      </c>
    </row>
    <row r="12" spans="1:48" ht="12.75">
      <c r="A12" s="2" t="str">
        <f>HYPERLINK("https://ibp.a2mac1.com/costing(costing:projects/details/8191/equipment/6942384)","General production process (0.5-10€)")</f>
        <v>General production process (0.5-10€)</v>
      </c>
      <c r="B12">
        <v>6942384</v>
      </c>
      <c r="C12">
        <v>6969943</v>
      </c>
      <c r="H12" t="s">
        <v>136</v>
      </c>
      <c r="I12">
        <v>116914.84457142858</v>
      </c>
      <c r="J12">
        <v>0</v>
      </c>
      <c r="K12">
        <v>3.60</v>
      </c>
      <c r="L12">
        <v>0</v>
      </c>
      <c r="M12">
        <v>27.497982091197134</v>
      </c>
      <c r="N12">
        <v>0</v>
      </c>
      <c r="O12">
        <v>0.80202447765991647</v>
      </c>
      <c r="P12">
        <v>0.1205015</v>
      </c>
      <c r="Q12">
        <v>0.703929982584929</v>
      </c>
      <c r="R12">
        <v>635568</v>
      </c>
      <c r="S12">
        <v>0</v>
      </c>
      <c r="T12">
        <v>0</v>
      </c>
      <c r="V12">
        <v>648000</v>
      </c>
      <c r="W12">
        <v>7</v>
      </c>
      <c r="X12">
        <v>85</v>
      </c>
      <c r="Y12">
        <v>3</v>
      </c>
      <c r="Z12">
        <v>4</v>
      </c>
      <c r="AA12">
        <v>5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100</v>
      </c>
      <c r="AM12">
        <v>45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100</v>
      </c>
      <c r="AU12">
        <v>0</v>
      </c>
      <c r="AV12">
        <v>0</v>
      </c>
    </row>
    <row r="13" spans="1:48" ht="12.75">
      <c r="A13" s="2" t="str">
        <f>HYPERLINK("https://ibp.a2mac1.com/costing(costing:projects/details/8191/equipment/6942371)","General production process (&gt;10€)")</f>
        <v>General production process (&gt;10€)</v>
      </c>
      <c r="B13">
        <v>6942371</v>
      </c>
      <c r="C13">
        <v>6969936</v>
      </c>
      <c r="H13" t="s">
        <v>136</v>
      </c>
      <c r="I13">
        <v>116914.84457142858</v>
      </c>
      <c r="J13">
        <v>0</v>
      </c>
      <c r="K13">
        <v>3.60</v>
      </c>
      <c r="L13">
        <v>0</v>
      </c>
      <c r="M13">
        <v>27.497982091197134</v>
      </c>
      <c r="N13">
        <v>0</v>
      </c>
      <c r="O13">
        <v>6.110662686932697</v>
      </c>
      <c r="P13">
        <v>0.91810666666666663</v>
      </c>
      <c r="Q13">
        <v>3.5196499129246455</v>
      </c>
      <c r="R13">
        <v>635568</v>
      </c>
      <c r="S13">
        <v>0</v>
      </c>
      <c r="T13">
        <v>0</v>
      </c>
      <c r="V13">
        <v>6480000</v>
      </c>
      <c r="W13">
        <v>7</v>
      </c>
      <c r="X13">
        <v>85</v>
      </c>
      <c r="Y13">
        <v>3</v>
      </c>
      <c r="Z13">
        <v>4</v>
      </c>
      <c r="AA13">
        <v>5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3</v>
      </c>
      <c r="AJ13">
        <v>0</v>
      </c>
      <c r="AK13">
        <v>0</v>
      </c>
      <c r="AL13">
        <v>100</v>
      </c>
      <c r="AM13">
        <v>45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100</v>
      </c>
      <c r="AU13">
        <v>0</v>
      </c>
      <c r="AV13">
        <v>0</v>
      </c>
    </row>
    <row r="14" spans="1:48" ht="12.75">
      <c r="A14" s="2" t="str">
        <f>HYPERLINK("https://ibp.a2mac1.com/costing(costing:projects/details/8191/equipment/6942386)","General production process (0.5-10€)")</f>
        <v>General production process (0.5-10€)</v>
      </c>
      <c r="B14">
        <v>6942386</v>
      </c>
      <c r="C14">
        <v>6969999</v>
      </c>
      <c r="H14" t="s">
        <v>136</v>
      </c>
      <c r="I14">
        <v>116914.84457142858</v>
      </c>
      <c r="J14">
        <v>0</v>
      </c>
      <c r="K14">
        <v>3.60</v>
      </c>
      <c r="L14">
        <v>0</v>
      </c>
      <c r="M14">
        <v>27.497982091197134</v>
      </c>
      <c r="N14">
        <v>0</v>
      </c>
      <c r="O14">
        <v>1.1457492537998806</v>
      </c>
      <c r="P14">
        <v>0.17214499999999999</v>
      </c>
      <c r="Q14">
        <v>0.3519649912924645</v>
      </c>
      <c r="R14">
        <v>635568</v>
      </c>
      <c r="S14">
        <v>0</v>
      </c>
      <c r="T14">
        <v>0</v>
      </c>
      <c r="V14">
        <v>648000</v>
      </c>
      <c r="W14">
        <v>7</v>
      </c>
      <c r="X14">
        <v>85</v>
      </c>
      <c r="Y14">
        <v>3</v>
      </c>
      <c r="Z14">
        <v>4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3</v>
      </c>
      <c r="AJ14">
        <v>0</v>
      </c>
      <c r="AK14">
        <v>0</v>
      </c>
      <c r="AL14">
        <v>100</v>
      </c>
      <c r="AM14">
        <v>45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100</v>
      </c>
      <c r="AU14">
        <v>0</v>
      </c>
      <c r="AV14">
        <v>0</v>
      </c>
    </row>
    <row r="15" spans="1:48" ht="12.75">
      <c r="A15" s="2" t="str">
        <f>HYPERLINK("https://ibp.a2mac1.com/costing(costing:projects/details/8191/equipment/6942385)","General production process (0.5-10€)")</f>
        <v>General production process (0.5-10€)</v>
      </c>
      <c r="B15">
        <v>6942385</v>
      </c>
      <c r="C15">
        <v>6969944</v>
      </c>
      <c r="H15" t="s">
        <v>136</v>
      </c>
      <c r="I15">
        <v>116914.84457142858</v>
      </c>
      <c r="J15">
        <v>0</v>
      </c>
      <c r="K15">
        <v>3.60</v>
      </c>
      <c r="L15">
        <v>0</v>
      </c>
      <c r="M15">
        <v>27.497982091197134</v>
      </c>
      <c r="N15">
        <v>0</v>
      </c>
      <c r="O15">
        <v>3.0553313434663485</v>
      </c>
      <c r="P15">
        <v>0.45905333333333331</v>
      </c>
      <c r="Q15">
        <v>0.3519649912924645</v>
      </c>
      <c r="R15">
        <v>635568</v>
      </c>
      <c r="S15">
        <v>0</v>
      </c>
      <c r="T15">
        <v>0</v>
      </c>
      <c r="V15">
        <v>648000</v>
      </c>
      <c r="W15">
        <v>7</v>
      </c>
      <c r="X15">
        <v>85</v>
      </c>
      <c r="Y15">
        <v>3</v>
      </c>
      <c r="Z15">
        <v>4</v>
      </c>
      <c r="AA15">
        <v>5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100</v>
      </c>
      <c r="AM15">
        <v>45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100</v>
      </c>
      <c r="AU15">
        <v>0</v>
      </c>
      <c r="AV15">
        <v>0</v>
      </c>
    </row>
    <row r="16" spans="1:48" ht="12.75">
      <c r="A16" s="2" t="str">
        <f>HYPERLINK("https://ibp.a2mac1.com/costing(costing:projects/details/8191/equipment/6942480)","General production process (&gt;10€)")</f>
        <v>General production process (&gt;10€)</v>
      </c>
      <c r="B16">
        <v>6942480</v>
      </c>
      <c r="C16">
        <v>6970060</v>
      </c>
      <c r="H16" t="s">
        <v>136</v>
      </c>
      <c r="I16">
        <v>116914.84457142858</v>
      </c>
      <c r="J16">
        <v>0</v>
      </c>
      <c r="K16">
        <v>3.60</v>
      </c>
      <c r="L16">
        <v>0</v>
      </c>
      <c r="M16">
        <v>27.497982091197134</v>
      </c>
      <c r="N16">
        <v>0</v>
      </c>
      <c r="O16">
        <v>5.9197044779660501</v>
      </c>
      <c r="P16">
        <v>0.88941583333333329</v>
      </c>
      <c r="Q16">
        <v>3.5196499129246455</v>
      </c>
      <c r="R16">
        <v>635568</v>
      </c>
      <c r="S16">
        <v>0</v>
      </c>
      <c r="T16">
        <v>0</v>
      </c>
      <c r="V16">
        <v>6480000</v>
      </c>
      <c r="W16">
        <v>7</v>
      </c>
      <c r="X16">
        <v>85</v>
      </c>
      <c r="Y16">
        <v>3</v>
      </c>
      <c r="Z16">
        <v>4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3</v>
      </c>
      <c r="AJ16">
        <v>0</v>
      </c>
      <c r="AK16">
        <v>0</v>
      </c>
      <c r="AL16">
        <v>100</v>
      </c>
      <c r="AM16">
        <v>45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100</v>
      </c>
      <c r="AU16">
        <v>0</v>
      </c>
      <c r="AV16">
        <v>0</v>
      </c>
    </row>
    <row r="17" spans="1:48" ht="12.75">
      <c r="A17" s="2" t="str">
        <f>HYPERLINK("https://ibp.a2mac1.com/costing(costing:projects/details/8191/equipment/6942425)","General production process (0.5-10€)")</f>
        <v>General production process (0.5-10€)</v>
      </c>
      <c r="B17">
        <v>6942425</v>
      </c>
      <c r="C17">
        <v>6970053</v>
      </c>
      <c r="H17" t="s">
        <v>136</v>
      </c>
      <c r="I17">
        <v>116914.84457142858</v>
      </c>
      <c r="J17">
        <v>0</v>
      </c>
      <c r="K17">
        <v>3.60</v>
      </c>
      <c r="L17">
        <v>0</v>
      </c>
      <c r="M17">
        <v>27.497982091197134</v>
      </c>
      <c r="N17">
        <v>0</v>
      </c>
      <c r="O17">
        <v>1.710985552341155</v>
      </c>
      <c r="P17">
        <v>0.25706986666666665</v>
      </c>
      <c r="Q17">
        <v>0.58660831882077424</v>
      </c>
      <c r="R17">
        <v>635568</v>
      </c>
      <c r="S17">
        <v>0</v>
      </c>
      <c r="T17">
        <v>0</v>
      </c>
      <c r="V17">
        <v>648000</v>
      </c>
      <c r="W17">
        <v>7</v>
      </c>
      <c r="X17">
        <v>85</v>
      </c>
      <c r="Y17">
        <v>3</v>
      </c>
      <c r="Z17">
        <v>4</v>
      </c>
      <c r="AA17">
        <v>5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3</v>
      </c>
      <c r="AJ17">
        <v>0</v>
      </c>
      <c r="AK17">
        <v>0</v>
      </c>
      <c r="AL17">
        <v>100</v>
      </c>
      <c r="AM17">
        <v>45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100</v>
      </c>
      <c r="AU17">
        <v>0</v>
      </c>
      <c r="AV17">
        <v>0</v>
      </c>
    </row>
    <row r="18" spans="1:48" ht="12.75">
      <c r="A18" s="2" t="str">
        <f>HYPERLINK("https://ibp.a2mac1.com/costing(costing:projects/details/8191/equipment/6942481)","General production process (&gt;10€)")</f>
        <v>General production process (&gt;10€)</v>
      </c>
      <c r="B18">
        <v>6942481</v>
      </c>
      <c r="C18">
        <v>6970061</v>
      </c>
      <c r="H18" t="s">
        <v>136</v>
      </c>
      <c r="I18">
        <v>116914.84457142858</v>
      </c>
      <c r="J18">
        <v>0</v>
      </c>
      <c r="K18">
        <v>3.60</v>
      </c>
      <c r="L18">
        <v>0</v>
      </c>
      <c r="M18">
        <v>27.497982091197134</v>
      </c>
      <c r="N18">
        <v>0</v>
      </c>
      <c r="O18">
        <v>4.7357635823728401</v>
      </c>
      <c r="P18">
        <v>0.7115326666666667</v>
      </c>
      <c r="Q18">
        <v>3.5196499129246455</v>
      </c>
      <c r="R18">
        <v>635568</v>
      </c>
      <c r="S18">
        <v>0</v>
      </c>
      <c r="T18">
        <v>0</v>
      </c>
      <c r="V18">
        <v>6480000</v>
      </c>
      <c r="W18">
        <v>7</v>
      </c>
      <c r="X18">
        <v>85</v>
      </c>
      <c r="Y18">
        <v>3</v>
      </c>
      <c r="Z18">
        <v>4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3</v>
      </c>
      <c r="AJ18">
        <v>0</v>
      </c>
      <c r="AK18">
        <v>0</v>
      </c>
      <c r="AL18">
        <v>100</v>
      </c>
      <c r="AM18">
        <v>45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100</v>
      </c>
      <c r="AU18">
        <v>0</v>
      </c>
      <c r="AV18">
        <v>0</v>
      </c>
    </row>
    <row r="19" spans="1:48" ht="12.75">
      <c r="A19" s="2" t="str">
        <f>HYPERLINK("https://ibp.a2mac1.com/costing(costing:projects/details/8191/equipment/6942426)","General production process (0.5-10€)")</f>
        <v>General production process (0.5-10€)</v>
      </c>
      <c r="B19">
        <v>6942426</v>
      </c>
      <c r="C19">
        <v>6970054</v>
      </c>
      <c r="H19" t="s">
        <v>136</v>
      </c>
      <c r="I19">
        <v>116914.84457142858</v>
      </c>
      <c r="J19">
        <v>0</v>
      </c>
      <c r="K19">
        <v>3.60</v>
      </c>
      <c r="L19">
        <v>0</v>
      </c>
      <c r="M19">
        <v>27.497982091197134</v>
      </c>
      <c r="N19">
        <v>0</v>
      </c>
      <c r="O19">
        <v>1.5047506866571765</v>
      </c>
      <c r="P19">
        <v>0.22608376666666666</v>
      </c>
      <c r="Q19">
        <v>0.58660831882077424</v>
      </c>
      <c r="R19">
        <v>635568</v>
      </c>
      <c r="S19">
        <v>0</v>
      </c>
      <c r="T19">
        <v>0</v>
      </c>
      <c r="V19">
        <v>648000</v>
      </c>
      <c r="W19">
        <v>7</v>
      </c>
      <c r="X19">
        <v>85</v>
      </c>
      <c r="Y19">
        <v>3</v>
      </c>
      <c r="Z19">
        <v>4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3</v>
      </c>
      <c r="AJ19">
        <v>0</v>
      </c>
      <c r="AK19">
        <v>0</v>
      </c>
      <c r="AL19">
        <v>100</v>
      </c>
      <c r="AM19">
        <v>45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100</v>
      </c>
      <c r="AU19">
        <v>0</v>
      </c>
      <c r="AV19">
        <v>0</v>
      </c>
    </row>
    <row r="20" spans="1:48" ht="12.75">
      <c r="A20" s="2" t="str">
        <f>HYPERLINK("https://ibp.a2mac1.com/costing(costing:projects/details/8191/equipment/6942514)","General production process (0.5-10€)")</f>
        <v>General production process (0.5-10€)</v>
      </c>
      <c r="B20">
        <v>6942514</v>
      </c>
      <c r="C20">
        <v>6970068</v>
      </c>
      <c r="H20" t="s">
        <v>136</v>
      </c>
      <c r="I20">
        <v>116914.84457142858</v>
      </c>
      <c r="J20">
        <v>0</v>
      </c>
      <c r="K20">
        <v>3.60</v>
      </c>
      <c r="L20">
        <v>0</v>
      </c>
      <c r="M20">
        <v>27.497982091197134</v>
      </c>
      <c r="N20">
        <v>0</v>
      </c>
      <c r="O20">
        <v>0.9165994030399045</v>
      </c>
      <c r="P20">
        <v>0.13771600000000001</v>
      </c>
      <c r="Q20">
        <v>0.3519649912924645</v>
      </c>
      <c r="R20">
        <v>635568</v>
      </c>
      <c r="S20">
        <v>0</v>
      </c>
      <c r="T20">
        <v>0</v>
      </c>
      <c r="V20">
        <v>648000</v>
      </c>
      <c r="W20">
        <v>7</v>
      </c>
      <c r="X20">
        <v>85</v>
      </c>
      <c r="Y20">
        <v>3</v>
      </c>
      <c r="Z20">
        <v>4</v>
      </c>
      <c r="AA20">
        <v>5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3</v>
      </c>
      <c r="AJ20">
        <v>0</v>
      </c>
      <c r="AK20">
        <v>0</v>
      </c>
      <c r="AL20">
        <v>100</v>
      </c>
      <c r="AM20">
        <v>45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100</v>
      </c>
      <c r="AU20">
        <v>0</v>
      </c>
      <c r="AV20">
        <v>0</v>
      </c>
    </row>
    <row r="21" spans="1:48" ht="12.75">
      <c r="A21" s="2" t="str">
        <f>HYPERLINK("https://ibp.a2mac1.com/costing(costing:projects/details/8191/equipment/6942515)","General production process (0.5-10€)")</f>
        <v>General production process (0.5-10€)</v>
      </c>
      <c r="B21">
        <v>6942515</v>
      </c>
      <c r="C21">
        <v>6970069</v>
      </c>
      <c r="H21" t="s">
        <v>136</v>
      </c>
      <c r="I21">
        <v>116914.84457142858</v>
      </c>
      <c r="J21">
        <v>0</v>
      </c>
      <c r="K21">
        <v>3.60</v>
      </c>
      <c r="L21">
        <v>0</v>
      </c>
      <c r="M21">
        <v>27.497982091197134</v>
      </c>
      <c r="N21">
        <v>0</v>
      </c>
      <c r="O21">
        <v>1.1457492537998806</v>
      </c>
      <c r="P21">
        <v>0.17214499999999999</v>
      </c>
      <c r="Q21">
        <v>0.703929982584929</v>
      </c>
      <c r="R21">
        <v>635568</v>
      </c>
      <c r="S21">
        <v>0</v>
      </c>
      <c r="T21">
        <v>0</v>
      </c>
      <c r="V21">
        <v>648000</v>
      </c>
      <c r="W21">
        <v>7</v>
      </c>
      <c r="X21">
        <v>85</v>
      </c>
      <c r="Y21">
        <v>3</v>
      </c>
      <c r="Z21">
        <v>4</v>
      </c>
      <c r="AA21">
        <v>5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3</v>
      </c>
      <c r="AJ21">
        <v>0</v>
      </c>
      <c r="AK21">
        <v>0</v>
      </c>
      <c r="AL21">
        <v>100</v>
      </c>
      <c r="AM21">
        <v>45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100</v>
      </c>
      <c r="AU21">
        <v>0</v>
      </c>
      <c r="AV21">
        <v>0</v>
      </c>
    </row>
    <row r="22" spans="1:48" ht="12.75">
      <c r="A22" s="2" t="str">
        <f>HYPERLINK("https://ibp.a2mac1.com/costing(costing:projects/details/8191/equipment/6942516)","General production process (&gt;10€)")</f>
        <v>General production process (&gt;10€)</v>
      </c>
      <c r="B22">
        <v>6942516</v>
      </c>
      <c r="C22">
        <v>6970070</v>
      </c>
      <c r="H22" t="s">
        <v>136</v>
      </c>
      <c r="I22">
        <v>116914.84457142858</v>
      </c>
      <c r="J22">
        <v>0</v>
      </c>
      <c r="K22">
        <v>3.60</v>
      </c>
      <c r="L22">
        <v>0</v>
      </c>
      <c r="M22">
        <v>27.497982091197134</v>
      </c>
      <c r="N22">
        <v>0</v>
      </c>
      <c r="O22">
        <v>5.7287462689994033</v>
      </c>
      <c r="P22">
        <v>0.86072499999999996</v>
      </c>
      <c r="Q22">
        <v>3.5196499129246455</v>
      </c>
      <c r="R22">
        <v>635568</v>
      </c>
      <c r="S22">
        <v>0</v>
      </c>
      <c r="T22">
        <v>0</v>
      </c>
      <c r="V22">
        <v>6480000</v>
      </c>
      <c r="W22">
        <v>7</v>
      </c>
      <c r="X22">
        <v>85</v>
      </c>
      <c r="Y22">
        <v>3</v>
      </c>
      <c r="Z22">
        <v>4</v>
      </c>
      <c r="AA22">
        <v>5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3</v>
      </c>
      <c r="AJ22">
        <v>0</v>
      </c>
      <c r="AK22">
        <v>0</v>
      </c>
      <c r="AL22">
        <v>100</v>
      </c>
      <c r="AM22">
        <v>45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100</v>
      </c>
      <c r="AU22">
        <v>0</v>
      </c>
      <c r="AV22">
        <v>0</v>
      </c>
    </row>
    <row r="23" spans="1:48" ht="12.75">
      <c r="A23" s="2" t="str">
        <f>HYPERLINK("https://ibp.a2mac1.com/costing(costing:projects/details/8191/equipment/6942517)","General production process (&gt;10€)")</f>
        <v>General production process (&gt;10€)</v>
      </c>
      <c r="B23">
        <v>6942517</v>
      </c>
      <c r="C23">
        <v>6970071</v>
      </c>
      <c r="H23" t="s">
        <v>136</v>
      </c>
      <c r="I23">
        <v>116914.84457142858</v>
      </c>
      <c r="J23">
        <v>0</v>
      </c>
      <c r="K23">
        <v>3.60</v>
      </c>
      <c r="L23">
        <v>0</v>
      </c>
      <c r="M23">
        <v>27.497982091197134</v>
      </c>
      <c r="N23">
        <v>0</v>
      </c>
      <c r="O23">
        <v>3.2080979106396659</v>
      </c>
      <c r="P23">
        <v>0.48200599999999999</v>
      </c>
      <c r="Q23">
        <v>3.5196499129246455</v>
      </c>
      <c r="R23">
        <v>635568</v>
      </c>
      <c r="S23">
        <v>0</v>
      </c>
      <c r="T23">
        <v>0</v>
      </c>
      <c r="V23">
        <v>6480000</v>
      </c>
      <c r="W23">
        <v>7</v>
      </c>
      <c r="X23">
        <v>85</v>
      </c>
      <c r="Y23">
        <v>3</v>
      </c>
      <c r="Z23">
        <v>4</v>
      </c>
      <c r="AA23">
        <v>5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3</v>
      </c>
      <c r="AJ23">
        <v>0</v>
      </c>
      <c r="AK23">
        <v>0</v>
      </c>
      <c r="AL23">
        <v>100</v>
      </c>
      <c r="AM23">
        <v>45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100</v>
      </c>
      <c r="AU23">
        <v>0</v>
      </c>
      <c r="AV23">
        <v>0</v>
      </c>
    </row>
    <row r="24" spans="1:48" ht="12.75">
      <c r="A24" s="2" t="str">
        <f>HYPERLINK("https://ibp.a2mac1.com/costing(costing:projects/details/8191/equipment/6942518)","General production process (&gt;10€)")</f>
        <v>General production process (&gt;10€)</v>
      </c>
      <c r="B24">
        <v>6942518</v>
      </c>
      <c r="C24">
        <v>6970072</v>
      </c>
      <c r="H24" t="s">
        <v>136</v>
      </c>
      <c r="I24">
        <v>116914.84457142858</v>
      </c>
      <c r="J24">
        <v>0</v>
      </c>
      <c r="K24">
        <v>3.60</v>
      </c>
      <c r="L24">
        <v>0</v>
      </c>
      <c r="M24">
        <v>27.497982091197134</v>
      </c>
      <c r="N24">
        <v>0</v>
      </c>
      <c r="O24">
        <v>3.7045892539529475</v>
      </c>
      <c r="P24">
        <v>0.55660216666666662</v>
      </c>
      <c r="Q24">
        <v>7.0392998258492909</v>
      </c>
      <c r="R24">
        <v>635568</v>
      </c>
      <c r="S24">
        <v>0</v>
      </c>
      <c r="T24">
        <v>0</v>
      </c>
      <c r="V24">
        <v>6480000</v>
      </c>
      <c r="W24">
        <v>7</v>
      </c>
      <c r="X24">
        <v>85</v>
      </c>
      <c r="Y24">
        <v>3</v>
      </c>
      <c r="Z24">
        <v>4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3</v>
      </c>
      <c r="AJ24">
        <v>0</v>
      </c>
      <c r="AK24">
        <v>0</v>
      </c>
      <c r="AL24">
        <v>100</v>
      </c>
      <c r="AM24">
        <v>45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100</v>
      </c>
      <c r="AU24">
        <v>0</v>
      </c>
      <c r="AV24">
        <v>0</v>
      </c>
    </row>
    <row r="25" spans="1:48" ht="12.75">
      <c r="A25" s="2" t="str">
        <f>HYPERLINK("https://ibp.a2mac1.com/costing(costing:projects/details/8191/equipment/6942482)","General production process (0.5-10€)")</f>
        <v>General production process (0.5-10€)</v>
      </c>
      <c r="B25">
        <v>6942482</v>
      </c>
      <c r="C25">
        <v>6970062</v>
      </c>
      <c r="H25" t="s">
        <v>136</v>
      </c>
      <c r="I25">
        <v>116914.84457142858</v>
      </c>
      <c r="J25">
        <v>0</v>
      </c>
      <c r="K25">
        <v>3.60</v>
      </c>
      <c r="L25">
        <v>0</v>
      </c>
      <c r="M25">
        <v>27.497982091197134</v>
      </c>
      <c r="N25">
        <v>0</v>
      </c>
      <c r="O25">
        <v>33.608644778129829</v>
      </c>
      <c r="P25">
        <v>5.0495866666666664</v>
      </c>
      <c r="Q25">
        <v>1.1732166376415485</v>
      </c>
      <c r="R25">
        <v>635568</v>
      </c>
      <c r="S25">
        <v>0</v>
      </c>
      <c r="T25">
        <v>0</v>
      </c>
      <c r="V25">
        <v>648000</v>
      </c>
      <c r="W25">
        <v>7</v>
      </c>
      <c r="X25">
        <v>85</v>
      </c>
      <c r="Y25">
        <v>3</v>
      </c>
      <c r="Z25">
        <v>4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100</v>
      </c>
      <c r="AM25">
        <v>45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100</v>
      </c>
      <c r="AU25">
        <v>0</v>
      </c>
      <c r="AV25">
        <v>0</v>
      </c>
    </row>
    <row r="26" spans="1:48" ht="12.75">
      <c r="A26" s="2" t="str">
        <f>HYPERLINK("https://ibp.a2mac1.com/costing(costing:projects/details/8191/equipment/6942519)","General production process (0.5-10€)")</f>
        <v>General production process (0.5-10€)</v>
      </c>
      <c r="B26">
        <v>6942519</v>
      </c>
      <c r="C26">
        <v>6970073</v>
      </c>
      <c r="H26" t="s">
        <v>136</v>
      </c>
      <c r="I26">
        <v>116914.84457142858</v>
      </c>
      <c r="J26">
        <v>0</v>
      </c>
      <c r="K26">
        <v>3.60</v>
      </c>
      <c r="L26">
        <v>0</v>
      </c>
      <c r="M26">
        <v>27.497982091197134</v>
      </c>
      <c r="N26">
        <v>0</v>
      </c>
      <c r="O26">
        <v>1.5276656717331742</v>
      </c>
      <c r="P26">
        <v>0.22952666666666666</v>
      </c>
      <c r="Q26">
        <v>0.3519649912924645</v>
      </c>
      <c r="R26">
        <v>635568</v>
      </c>
      <c r="S26">
        <v>0</v>
      </c>
      <c r="T26">
        <v>0</v>
      </c>
      <c r="V26">
        <v>648000</v>
      </c>
      <c r="W26">
        <v>7</v>
      </c>
      <c r="X26">
        <v>85</v>
      </c>
      <c r="Y26">
        <v>3</v>
      </c>
      <c r="Z26">
        <v>4</v>
      </c>
      <c r="AA26">
        <v>5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3</v>
      </c>
      <c r="AJ26">
        <v>0</v>
      </c>
      <c r="AK26">
        <v>0</v>
      </c>
      <c r="AL26">
        <v>100</v>
      </c>
      <c r="AM26">
        <v>45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100</v>
      </c>
      <c r="AU26">
        <v>0</v>
      </c>
      <c r="AV26">
        <v>0</v>
      </c>
    </row>
    <row r="27" spans="1:48" ht="12.75">
      <c r="A27" s="2" t="str">
        <f>HYPERLINK("https://ibp.a2mac1.com/costing(costing:projects/details/8191/equipment/6942520)","General production process (0.5-10€)")</f>
        <v>General production process (0.5-10€)</v>
      </c>
      <c r="B27">
        <v>6942520</v>
      </c>
      <c r="C27">
        <v>6970074</v>
      </c>
      <c r="H27" t="s">
        <v>136</v>
      </c>
      <c r="I27">
        <v>116914.84457142858</v>
      </c>
      <c r="J27">
        <v>0</v>
      </c>
      <c r="K27">
        <v>3.60</v>
      </c>
      <c r="L27">
        <v>0</v>
      </c>
      <c r="M27">
        <v>27.497982091197134</v>
      </c>
      <c r="N27">
        <v>0</v>
      </c>
      <c r="O27">
        <v>1.9095820896664677</v>
      </c>
      <c r="P27">
        <v>0.28690833333333332</v>
      </c>
      <c r="Q27">
        <v>0.3519649912924645</v>
      </c>
      <c r="R27">
        <v>635568</v>
      </c>
      <c r="S27">
        <v>0</v>
      </c>
      <c r="T27">
        <v>0</v>
      </c>
      <c r="V27">
        <v>648000</v>
      </c>
      <c r="W27">
        <v>7</v>
      </c>
      <c r="X27">
        <v>85</v>
      </c>
      <c r="Y27">
        <v>3</v>
      </c>
      <c r="Z27">
        <v>4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3</v>
      </c>
      <c r="AJ27">
        <v>0</v>
      </c>
      <c r="AK27">
        <v>0</v>
      </c>
      <c r="AL27">
        <v>100</v>
      </c>
      <c r="AM27">
        <v>45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100</v>
      </c>
      <c r="AU27">
        <v>0</v>
      </c>
      <c r="AV27">
        <v>0</v>
      </c>
    </row>
    <row r="28" spans="1:48" ht="12.75">
      <c r="A28" s="2" t="str">
        <f>HYPERLINK("https://ibp.a2mac1.com/costing(costing:projects/details/8191/equipment/6942521)","General production process (0.5-10€)")</f>
        <v>General production process (0.5-10€)</v>
      </c>
      <c r="B28">
        <v>6942521</v>
      </c>
      <c r="C28">
        <v>6970075</v>
      </c>
      <c r="H28" t="s">
        <v>136</v>
      </c>
      <c r="I28">
        <v>116914.84457142858</v>
      </c>
      <c r="J28">
        <v>0</v>
      </c>
      <c r="K28">
        <v>3.60</v>
      </c>
      <c r="L28">
        <v>0</v>
      </c>
      <c r="M28">
        <v>27.497982091197134</v>
      </c>
      <c r="N28">
        <v>0</v>
      </c>
      <c r="O28">
        <v>2.5970316419463959</v>
      </c>
      <c r="P28">
        <v>0.39019533333333334</v>
      </c>
      <c r="Q28">
        <v>0.703929982584929</v>
      </c>
      <c r="R28">
        <v>635568</v>
      </c>
      <c r="S28">
        <v>0</v>
      </c>
      <c r="T28">
        <v>0</v>
      </c>
      <c r="V28">
        <v>648000</v>
      </c>
      <c r="W28">
        <v>7</v>
      </c>
      <c r="X28">
        <v>85</v>
      </c>
      <c r="Y28">
        <v>3</v>
      </c>
      <c r="Z28">
        <v>4</v>
      </c>
      <c r="AA28">
        <v>5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3</v>
      </c>
      <c r="AJ28">
        <v>0</v>
      </c>
      <c r="AK28">
        <v>0</v>
      </c>
      <c r="AL28">
        <v>100</v>
      </c>
      <c r="AM28">
        <v>45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100</v>
      </c>
      <c r="AU28">
        <v>0</v>
      </c>
      <c r="AV28">
        <v>0</v>
      </c>
    </row>
    <row r="29" spans="1:48" ht="12.75">
      <c r="A29" s="2" t="str">
        <f>HYPERLINK("https://ibp.a2mac1.com/costing(costing:projects/details/8191/equipment/6942522)","General production process (&gt;10€)")</f>
        <v>General production process (&gt;10€)</v>
      </c>
      <c r="B29">
        <v>6942522</v>
      </c>
      <c r="C29">
        <v>6970076</v>
      </c>
      <c r="H29" t="s">
        <v>136</v>
      </c>
      <c r="I29">
        <v>116914.84457142858</v>
      </c>
      <c r="J29">
        <v>0</v>
      </c>
      <c r="K29">
        <v>3.60</v>
      </c>
      <c r="L29">
        <v>0</v>
      </c>
      <c r="M29">
        <v>27.497982091197134</v>
      </c>
      <c r="N29">
        <v>0</v>
      </c>
      <c r="O29">
        <v>49.649134331328163</v>
      </c>
      <c r="P29">
        <v>7.4596166666666663</v>
      </c>
      <c r="Q29">
        <v>7.0392998258492909</v>
      </c>
      <c r="R29">
        <v>635568</v>
      </c>
      <c r="S29">
        <v>0</v>
      </c>
      <c r="T29">
        <v>0</v>
      </c>
      <c r="V29">
        <v>6480000</v>
      </c>
      <c r="W29">
        <v>7</v>
      </c>
      <c r="X29">
        <v>85</v>
      </c>
      <c r="Y29">
        <v>3</v>
      </c>
      <c r="Z29">
        <v>4</v>
      </c>
      <c r="AA29">
        <v>5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3</v>
      </c>
      <c r="AJ29">
        <v>0</v>
      </c>
      <c r="AK29">
        <v>0</v>
      </c>
      <c r="AL29">
        <v>100</v>
      </c>
      <c r="AM29">
        <v>45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100</v>
      </c>
      <c r="AU29">
        <v>0</v>
      </c>
      <c r="AV29">
        <v>0</v>
      </c>
    </row>
    <row r="30" spans="1:48" ht="12.75">
      <c r="A30" s="2" t="str">
        <f>HYPERLINK("https://ibp.a2mac1.com/costing(costing:projects/details/8191/equipment/6942484)","General production process (&gt;10€)")</f>
        <v>General production process (&gt;10€)</v>
      </c>
      <c r="B30">
        <v>6942484</v>
      </c>
      <c r="C30">
        <v>6970064</v>
      </c>
      <c r="H30" t="s">
        <v>136</v>
      </c>
      <c r="I30">
        <v>116914.84457142858</v>
      </c>
      <c r="J30">
        <v>0</v>
      </c>
      <c r="K30">
        <v>3.60</v>
      </c>
      <c r="L30">
        <v>0</v>
      </c>
      <c r="M30">
        <v>27.497982091197134</v>
      </c>
      <c r="N30">
        <v>0</v>
      </c>
      <c r="O30">
        <v>42.01080597266229</v>
      </c>
      <c r="P30">
        <v>6.3119833333333331</v>
      </c>
      <c r="Q30">
        <v>11.732166376415485</v>
      </c>
      <c r="R30">
        <v>635568</v>
      </c>
      <c r="S30">
        <v>0</v>
      </c>
      <c r="T30">
        <v>0</v>
      </c>
      <c r="V30">
        <v>6480000</v>
      </c>
      <c r="W30">
        <v>7</v>
      </c>
      <c r="X30">
        <v>85</v>
      </c>
      <c r="Y30">
        <v>3</v>
      </c>
      <c r="Z30">
        <v>4</v>
      </c>
      <c r="AA30">
        <v>5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3</v>
      </c>
      <c r="AJ30">
        <v>0</v>
      </c>
      <c r="AK30">
        <v>0</v>
      </c>
      <c r="AL30">
        <v>100</v>
      </c>
      <c r="AM30">
        <v>45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100</v>
      </c>
      <c r="AU30">
        <v>0</v>
      </c>
      <c r="AV30">
        <v>0</v>
      </c>
    </row>
    <row r="31" spans="1:48" ht="12.75">
      <c r="A31" s="2" t="str">
        <f>HYPERLINK("https://ibp.a2mac1.com/costing(costing:projects/details/8191/equipment/6942483)","General production process (&gt;10€)")</f>
        <v>General production process (&gt;10€)</v>
      </c>
      <c r="B31">
        <v>6942483</v>
      </c>
      <c r="C31">
        <v>6970063</v>
      </c>
      <c r="H31" t="s">
        <v>136</v>
      </c>
      <c r="I31">
        <v>116914.84457142858</v>
      </c>
      <c r="J31">
        <v>0</v>
      </c>
      <c r="K31">
        <v>3.60</v>
      </c>
      <c r="L31">
        <v>0</v>
      </c>
      <c r="M31">
        <v>27.497982091197134</v>
      </c>
      <c r="N31">
        <v>0</v>
      </c>
      <c r="O31">
        <v>3.2844811942263243</v>
      </c>
      <c r="P31">
        <v>0.49348233333333336</v>
      </c>
      <c r="Q31">
        <v>3.5196499129246455</v>
      </c>
      <c r="R31">
        <v>635568</v>
      </c>
      <c r="S31">
        <v>0</v>
      </c>
      <c r="T31">
        <v>0</v>
      </c>
      <c r="V31">
        <v>6480000</v>
      </c>
      <c r="W31">
        <v>7</v>
      </c>
      <c r="X31">
        <v>85</v>
      </c>
      <c r="Y31">
        <v>3</v>
      </c>
      <c r="Z31">
        <v>4</v>
      </c>
      <c r="AA31">
        <v>5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3</v>
      </c>
      <c r="AJ31">
        <v>0</v>
      </c>
      <c r="AK31">
        <v>0</v>
      </c>
      <c r="AL31">
        <v>100</v>
      </c>
      <c r="AM31">
        <v>45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100</v>
      </c>
      <c r="AU31">
        <v>0</v>
      </c>
      <c r="AV31">
        <v>0</v>
      </c>
    </row>
    <row r="32" spans="1:48" ht="12.75">
      <c r="A32" s="2" t="str">
        <f>HYPERLINK("https://ibp.a2mac1.com/costing(costing:projects/details/8191/equipment/6942485)","General production process (0.5-10€)")</f>
        <v>General production process (0.5-10€)</v>
      </c>
      <c r="B32">
        <v>6942485</v>
      </c>
      <c r="C32">
        <v>6970065</v>
      </c>
      <c r="H32" t="s">
        <v>136</v>
      </c>
      <c r="I32">
        <v>116914.84457142858</v>
      </c>
      <c r="J32">
        <v>0</v>
      </c>
      <c r="K32">
        <v>3.60</v>
      </c>
      <c r="L32">
        <v>0</v>
      </c>
      <c r="M32">
        <v>27.497982091197134</v>
      </c>
      <c r="N32">
        <v>0</v>
      </c>
      <c r="O32">
        <v>1.7950071642864796</v>
      </c>
      <c r="P32">
        <v>0.26969383333333335</v>
      </c>
      <c r="Q32">
        <v>0.703929982584929</v>
      </c>
      <c r="R32">
        <v>635568</v>
      </c>
      <c r="S32">
        <v>0</v>
      </c>
      <c r="T32">
        <v>0</v>
      </c>
      <c r="V32">
        <v>648000</v>
      </c>
      <c r="W32">
        <v>7</v>
      </c>
      <c r="X32">
        <v>85</v>
      </c>
      <c r="Y32">
        <v>3</v>
      </c>
      <c r="Z32">
        <v>4</v>
      </c>
      <c r="AA32">
        <v>5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3</v>
      </c>
      <c r="AJ32">
        <v>0</v>
      </c>
      <c r="AK32">
        <v>0</v>
      </c>
      <c r="AL32">
        <v>100</v>
      </c>
      <c r="AM32">
        <v>45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100</v>
      </c>
      <c r="AU32">
        <v>0</v>
      </c>
      <c r="AV32">
        <v>0</v>
      </c>
    </row>
    <row r="33" spans="1:48" ht="12.75">
      <c r="A33" s="2" t="str">
        <f>HYPERLINK("https://ibp.a2mac1.com/costing(costing:projects/details/8191/equipment/6942486)","General production process (0.5-10€)")</f>
        <v>General production process (0.5-10€)</v>
      </c>
      <c r="B33">
        <v>6942486</v>
      </c>
      <c r="C33">
        <v>6970066</v>
      </c>
      <c r="H33" t="s">
        <v>136</v>
      </c>
      <c r="I33">
        <v>116914.84457142858</v>
      </c>
      <c r="J33">
        <v>0</v>
      </c>
      <c r="K33">
        <v>3.60</v>
      </c>
      <c r="L33">
        <v>0</v>
      </c>
      <c r="M33">
        <v>27.497982091197134</v>
      </c>
      <c r="N33">
        <v>0</v>
      </c>
      <c r="O33">
        <v>1.7950071642864796</v>
      </c>
      <c r="P33">
        <v>0.26969383333333335</v>
      </c>
      <c r="Q33">
        <v>0.703929982584929</v>
      </c>
      <c r="R33">
        <v>635568</v>
      </c>
      <c r="S33">
        <v>0</v>
      </c>
      <c r="T33">
        <v>0</v>
      </c>
      <c r="V33">
        <v>648000</v>
      </c>
      <c r="W33">
        <v>7</v>
      </c>
      <c r="X33">
        <v>85</v>
      </c>
      <c r="Y33">
        <v>3</v>
      </c>
      <c r="Z33">
        <v>4</v>
      </c>
      <c r="AA33">
        <v>5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3</v>
      </c>
      <c r="AJ33">
        <v>0</v>
      </c>
      <c r="AK33">
        <v>0</v>
      </c>
      <c r="AL33">
        <v>100</v>
      </c>
      <c r="AM33">
        <v>45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100</v>
      </c>
      <c r="AU33">
        <v>0</v>
      </c>
      <c r="AV33">
        <v>0</v>
      </c>
    </row>
    <row r="34" spans="1:48" ht="12.75">
      <c r="A34" s="2" t="str">
        <f>HYPERLINK("https://ibp.a2mac1.com/costing(costing:projects/details/8191/equipment/6942487)","General production process (&gt;10€)")</f>
        <v>General production process (&gt;10€)</v>
      </c>
      <c r="B34">
        <v>6942487</v>
      </c>
      <c r="C34">
        <v>6970067</v>
      </c>
      <c r="H34" t="s">
        <v>136</v>
      </c>
      <c r="I34">
        <v>116914.84457142858</v>
      </c>
      <c r="J34">
        <v>0</v>
      </c>
      <c r="K34">
        <v>3.60</v>
      </c>
      <c r="L34">
        <v>0</v>
      </c>
      <c r="M34">
        <v>27.497982091197134</v>
      </c>
      <c r="N34">
        <v>0</v>
      </c>
      <c r="O34">
        <v>8.0202447765991636</v>
      </c>
      <c r="P34">
        <v>1.2050149999999999</v>
      </c>
      <c r="Q34">
        <v>1.7598249564623227</v>
      </c>
      <c r="R34">
        <v>635568</v>
      </c>
      <c r="S34">
        <v>0</v>
      </c>
      <c r="T34">
        <v>0</v>
      </c>
      <c r="V34">
        <v>6480000</v>
      </c>
      <c r="W34">
        <v>7</v>
      </c>
      <c r="X34">
        <v>85</v>
      </c>
      <c r="Y34">
        <v>3</v>
      </c>
      <c r="Z34">
        <v>4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3</v>
      </c>
      <c r="AJ34">
        <v>0</v>
      </c>
      <c r="AK34">
        <v>0</v>
      </c>
      <c r="AL34">
        <v>100</v>
      </c>
      <c r="AM34">
        <v>45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100</v>
      </c>
      <c r="AU34">
        <v>0</v>
      </c>
      <c r="AV34">
        <v>0</v>
      </c>
    </row>
    <row r="35" spans="1:48" ht="12.75">
      <c r="A35" s="2" t="str">
        <f>HYPERLINK("https://ibp.a2mac1.com/costing(costing:projects/details/8191/equipment/6942804)","No.09 - Injection Press - 400T - 72kW - 650x650 - Max Volume 1497cm3 ")</f>
        <v xml:space="preserve">No.09 - Injection Press - 400T - 72kW - 650x650 - Max Volume 1497cm3 </v>
      </c>
      <c r="B35">
        <v>6942804</v>
      </c>
      <c r="C35">
        <v>6970311</v>
      </c>
      <c r="E35" t="s">
        <v>499</v>
      </c>
      <c r="H35" t="s">
        <v>136</v>
      </c>
      <c r="I35">
        <v>48364.573120000001</v>
      </c>
      <c r="J35">
        <v>0</v>
      </c>
      <c r="K35">
        <v>3.3384</v>
      </c>
      <c r="L35">
        <v>0</v>
      </c>
      <c r="M35">
        <v>13.361635795564128</v>
      </c>
      <c r="N35">
        <v>0</v>
      </c>
      <c r="O35">
        <v>0.043959243590408655</v>
      </c>
      <c r="P35">
        <v>0.0033981006982916665</v>
      </c>
      <c r="Q35">
        <v>0.0069267808432015429</v>
      </c>
      <c r="R35">
        <v>280000</v>
      </c>
      <c r="S35">
        <v>0</v>
      </c>
      <c r="T35">
        <v>0</v>
      </c>
      <c r="V35">
        <v>10800</v>
      </c>
      <c r="W35">
        <v>8</v>
      </c>
      <c r="X35">
        <v>85</v>
      </c>
      <c r="Y35">
        <v>3</v>
      </c>
      <c r="Z35">
        <v>4</v>
      </c>
      <c r="AA35">
        <v>5</v>
      </c>
      <c r="AB35">
        <v>0</v>
      </c>
      <c r="AC35">
        <v>0</v>
      </c>
      <c r="AD35">
        <v>0</v>
      </c>
      <c r="AE35">
        <v>0</v>
      </c>
      <c r="AF35">
        <v>0.25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92</v>
      </c>
      <c r="AM35">
        <v>44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92</v>
      </c>
      <c r="AU35">
        <v>0.10</v>
      </c>
      <c r="AV35">
        <v>0</v>
      </c>
    </row>
    <row r="36" spans="1:48" ht="12.75">
      <c r="A36" s="2" t="str">
        <f>HYPERLINK("https://ibp.a2mac1.com/costing(costing:projects/details/8191/equipment/6942806)","No.01 - Progressive Press - 250T ")</f>
        <v xml:space="preserve">No.01 - Progressive Press - 250T </v>
      </c>
      <c r="B36">
        <v>6942806</v>
      </c>
      <c r="C36">
        <v>6970313</v>
      </c>
      <c r="E36" t="s">
        <v>499</v>
      </c>
      <c r="H36" t="s">
        <v>136</v>
      </c>
      <c r="I36">
        <v>295789.00731428573</v>
      </c>
      <c r="J36">
        <v>0</v>
      </c>
      <c r="K36">
        <v>5.82</v>
      </c>
      <c r="L36">
        <v>0</v>
      </c>
      <c r="M36">
        <v>66.618618983331032</v>
      </c>
      <c r="N36">
        <v>0</v>
      </c>
      <c r="O36">
        <v>0.0158239575774545</v>
      </c>
      <c r="P36">
        <v>0.00098135273966666668</v>
      </c>
      <c r="Q36">
        <v>0.0023753657694999312</v>
      </c>
      <c r="R36">
        <v>1650000</v>
      </c>
      <c r="S36">
        <v>0</v>
      </c>
      <c r="T36">
        <v>0</v>
      </c>
      <c r="V36">
        <v>1800</v>
      </c>
      <c r="W36">
        <v>7</v>
      </c>
      <c r="X36">
        <v>85</v>
      </c>
      <c r="Y36">
        <v>3</v>
      </c>
      <c r="Z36">
        <v>4</v>
      </c>
      <c r="AA36">
        <v>5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87</v>
      </c>
      <c r="AM36">
        <v>75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60</v>
      </c>
      <c r="AU36">
        <v>0.60</v>
      </c>
      <c r="AV36">
        <v>0</v>
      </c>
    </row>
    <row r="37" spans="1:48" ht="12.75">
      <c r="A37" s="2" t="str">
        <f>HYPERLINK("https://ibp.a2mac1.com/costing(costing:projects/details/8191/equipment/6942807)","No.05 - Cleaning - Batch - 2000x2000x1200 - 500kg/batch - 3000kg/h ")</f>
        <v xml:space="preserve">No.05 - Cleaning - Batch - 2000x2000x1200 - 500kg/batch - 3000kg/h </v>
      </c>
      <c r="B37">
        <v>6942807</v>
      </c>
      <c r="C37">
        <v>6970314</v>
      </c>
      <c r="E37" t="s">
        <v>499</v>
      </c>
      <c r="H37" t="s">
        <v>136</v>
      </c>
      <c r="I37">
        <v>36749.814400000003</v>
      </c>
      <c r="J37">
        <v>0</v>
      </c>
      <c r="K37">
        <v>7.60</v>
      </c>
      <c r="L37">
        <v>0</v>
      </c>
      <c r="M37">
        <v>15.274351398264224</v>
      </c>
      <c r="N37">
        <v>0</v>
      </c>
      <c r="O37">
        <v>0.042428753884067291</v>
      </c>
      <c r="P37">
        <v>0.0011476333333333333</v>
      </c>
      <c r="Q37">
        <v>0</v>
      </c>
      <c r="R37">
        <v>220000</v>
      </c>
      <c r="S37">
        <v>0</v>
      </c>
      <c r="T37">
        <v>0</v>
      </c>
      <c r="V37">
        <v>0</v>
      </c>
      <c r="W37">
        <v>8</v>
      </c>
      <c r="X37">
        <v>85</v>
      </c>
      <c r="Y37">
        <v>3</v>
      </c>
      <c r="Z37">
        <v>4</v>
      </c>
      <c r="AA37">
        <v>5</v>
      </c>
      <c r="AB37">
        <v>0</v>
      </c>
      <c r="AC37">
        <v>0</v>
      </c>
      <c r="AD37">
        <v>0</v>
      </c>
      <c r="AE37">
        <v>0</v>
      </c>
      <c r="AF37">
        <v>0.10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100</v>
      </c>
      <c r="AM37">
        <v>60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40</v>
      </c>
      <c r="AU37">
        <v>2.80</v>
      </c>
      <c r="AV37">
        <v>0</v>
      </c>
    </row>
    <row r="38" spans="1:48" ht="12.75">
      <c r="A38" s="2" t="str">
        <f>HYPERLINK("https://ibp.a2mac1.com/costing(costing:projects/details/8191/equipment/6942805)","No.01 - Foaming Carrousel ")</f>
        <v xml:space="preserve">No.01 - Foaming Carrousel </v>
      </c>
      <c r="B38">
        <v>6942805</v>
      </c>
      <c r="C38">
        <v>6970312</v>
      </c>
      <c r="H38" t="s">
        <v>136</v>
      </c>
      <c r="I38">
        <v>173623.60800000001</v>
      </c>
      <c r="J38">
        <v>0</v>
      </c>
      <c r="K38">
        <v>12.80</v>
      </c>
      <c r="L38">
        <v>0</v>
      </c>
      <c r="M38">
        <v>50.347992285438764</v>
      </c>
      <c r="N38">
        <v>0</v>
      </c>
      <c r="O38">
        <v>0.13985553412621879</v>
      </c>
      <c r="P38">
        <v>0.034429000000000001</v>
      </c>
      <c r="Q38">
        <v>0.001887246968563163</v>
      </c>
      <c r="R38">
        <v>1200000</v>
      </c>
      <c r="S38">
        <v>0</v>
      </c>
      <c r="T38">
        <v>800000</v>
      </c>
      <c r="V38">
        <v>1800</v>
      </c>
      <c r="W38">
        <v>10</v>
      </c>
      <c r="X38">
        <v>85</v>
      </c>
      <c r="Y38">
        <v>3</v>
      </c>
      <c r="Z38">
        <v>4</v>
      </c>
      <c r="AA38">
        <v>5</v>
      </c>
      <c r="AB38">
        <v>0</v>
      </c>
      <c r="AC38">
        <v>0</v>
      </c>
      <c r="AD38">
        <v>0</v>
      </c>
      <c r="AE38">
        <v>0</v>
      </c>
      <c r="AF38">
        <v>3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100</v>
      </c>
      <c r="AM38">
        <v>160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300</v>
      </c>
      <c r="AU38">
        <v>0</v>
      </c>
      <c r="AV38">
        <v>0</v>
      </c>
    </row>
    <row r="39" spans="1:48" ht="12.75">
      <c r="A39" s="2" t="str">
        <f>HYPERLINK("https://ibp.a2mac1.com/costing(costing:projects/details/8191/equipment/6942784)","No.02 - Injection Press - 60T - 25kW - 320x320 - Max Volume 164cm3 ")</f>
        <v xml:space="preserve">No.02 - Injection Press - 60T - 25kW - 320x320 - Max Volume 164cm3 </v>
      </c>
      <c r="B39">
        <v>6942784</v>
      </c>
      <c r="C39">
        <v>6970276</v>
      </c>
      <c r="E39" t="s">
        <v>499</v>
      </c>
      <c r="H39" t="s">
        <v>136</v>
      </c>
      <c r="I39">
        <v>16929.888640000001</v>
      </c>
      <c r="J39">
        <v>0</v>
      </c>
      <c r="K39">
        <v>1.9124000000000001</v>
      </c>
      <c r="L39">
        <v>0</v>
      </c>
      <c r="M39">
        <v>5.4369722661523623</v>
      </c>
      <c r="N39">
        <v>0</v>
      </c>
      <c r="O39">
        <v>0.022507705938804242</v>
      </c>
      <c r="P39">
        <v>0.0042758235825000003</v>
      </c>
      <c r="Q39">
        <v>0.0036668942719382835</v>
      </c>
      <c r="R39">
        <v>100000</v>
      </c>
      <c r="S39">
        <v>0</v>
      </c>
      <c r="T39">
        <v>0</v>
      </c>
      <c r="V39">
        <v>7200</v>
      </c>
      <c r="W39">
        <v>8</v>
      </c>
      <c r="X39">
        <v>85</v>
      </c>
      <c r="Y39">
        <v>3</v>
      </c>
      <c r="Z39">
        <v>4</v>
      </c>
      <c r="AA39">
        <v>5</v>
      </c>
      <c r="AB39">
        <v>0</v>
      </c>
      <c r="AC39">
        <v>0</v>
      </c>
      <c r="AD39">
        <v>0</v>
      </c>
      <c r="AE39">
        <v>0</v>
      </c>
      <c r="AF39">
        <v>0.25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97</v>
      </c>
      <c r="AM39">
        <v>24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24</v>
      </c>
      <c r="AU39">
        <v>0.05</v>
      </c>
      <c r="AV39">
        <v>0</v>
      </c>
    </row>
    <row r="40" spans="1:48" ht="12.75">
      <c r="A40" s="2" t="str">
        <f>HYPERLINK("https://ibp.a2mac1.com/costing(costing:projects/details/8191/equipment/6942785)","No.01 - Injection Press - 40T - 18kW - 270x270 - Max Volume 128cm3 ")</f>
        <v xml:space="preserve">No.01 - Injection Press - 40T - 18kW - 270x270 - Max Volume 128cm3 </v>
      </c>
      <c r="B40">
        <v>6942785</v>
      </c>
      <c r="C40">
        <v>6970277</v>
      </c>
      <c r="E40" t="s">
        <v>499</v>
      </c>
      <c r="H40" t="s">
        <v>136</v>
      </c>
      <c r="I40">
        <v>13574.9072</v>
      </c>
      <c r="J40">
        <v>0</v>
      </c>
      <c r="K40">
        <v>1.6020000000000001</v>
      </c>
      <c r="L40">
        <v>0</v>
      </c>
      <c r="M40">
        <v>4.4266395371263263</v>
      </c>
      <c r="N40">
        <v>0</v>
      </c>
      <c r="O40">
        <v>0.017996060374233364</v>
      </c>
      <c r="P40">
        <v>0.0041990296979999998</v>
      </c>
      <c r="Q40">
        <v>0.0035456543444551589</v>
      </c>
      <c r="R40">
        <v>80000</v>
      </c>
      <c r="S40">
        <v>0</v>
      </c>
      <c r="T40">
        <v>0</v>
      </c>
      <c r="V40">
        <v>7200</v>
      </c>
      <c r="W40">
        <v>8</v>
      </c>
      <c r="X40">
        <v>85</v>
      </c>
      <c r="Y40">
        <v>3</v>
      </c>
      <c r="Z40">
        <v>4</v>
      </c>
      <c r="AA40">
        <v>5</v>
      </c>
      <c r="AB40">
        <v>0</v>
      </c>
      <c r="AC40">
        <v>0</v>
      </c>
      <c r="AD40">
        <v>0</v>
      </c>
      <c r="AE40">
        <v>0</v>
      </c>
      <c r="AF40">
        <v>0.25</v>
      </c>
      <c r="AG40">
        <v>0</v>
      </c>
      <c r="AH40">
        <v>0</v>
      </c>
      <c r="AI40">
        <v>2</v>
      </c>
      <c r="AJ40">
        <v>0</v>
      </c>
      <c r="AK40">
        <v>0</v>
      </c>
      <c r="AL40">
        <v>97</v>
      </c>
      <c r="AM40">
        <v>20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20</v>
      </c>
      <c r="AU40">
        <v>0.05</v>
      </c>
      <c r="AV40">
        <v>0</v>
      </c>
    </row>
    <row r="41" spans="1:48" ht="12.75">
      <c r="A41" s="2" t="str">
        <f>HYPERLINK("https://ibp.a2mac1.com/costing(costing:projects/details/8191/equipment/6942786)","No.05 - Injection Press - 125T - 34kW - 500x500 - Max Volume 260cm3 ")</f>
        <v xml:space="preserve">No.05 - Injection Press - 125T - 34kW - 500x500 - Max Volume 260cm3 </v>
      </c>
      <c r="B41">
        <v>6942786</v>
      </c>
      <c r="C41">
        <v>6970278</v>
      </c>
      <c r="E41" t="s">
        <v>499</v>
      </c>
      <c r="H41" t="s">
        <v>136</v>
      </c>
      <c r="I41">
        <v>25501.382699999998</v>
      </c>
      <c r="J41">
        <v>0</v>
      </c>
      <c r="K41">
        <v>2.375</v>
      </c>
      <c r="L41">
        <v>0</v>
      </c>
      <c r="M41">
        <v>7.6789830761812921</v>
      </c>
      <c r="N41">
        <v>0</v>
      </c>
      <c r="O41">
        <v>0.03441521841014987</v>
      </c>
      <c r="P41">
        <v>0.0046290565152500001</v>
      </c>
      <c r="Q41">
        <v>0.0039359355691417552</v>
      </c>
      <c r="R41">
        <v>150000</v>
      </c>
      <c r="S41">
        <v>0</v>
      </c>
      <c r="T41">
        <v>0</v>
      </c>
      <c r="V41">
        <v>7200</v>
      </c>
      <c r="W41">
        <v>8</v>
      </c>
      <c r="X41">
        <v>85</v>
      </c>
      <c r="Y41">
        <v>3</v>
      </c>
      <c r="Z41">
        <v>4</v>
      </c>
      <c r="AA41">
        <v>5</v>
      </c>
      <c r="AB41">
        <v>0</v>
      </c>
      <c r="AC41">
        <v>0</v>
      </c>
      <c r="AD41">
        <v>0</v>
      </c>
      <c r="AE41">
        <v>0</v>
      </c>
      <c r="AF41">
        <v>0.25</v>
      </c>
      <c r="AG41">
        <v>0</v>
      </c>
      <c r="AH41">
        <v>0</v>
      </c>
      <c r="AI41">
        <v>2</v>
      </c>
      <c r="AJ41">
        <v>0</v>
      </c>
      <c r="AK41">
        <v>0</v>
      </c>
      <c r="AL41">
        <v>93</v>
      </c>
      <c r="AM41">
        <v>31.25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38.75</v>
      </c>
      <c r="AU41">
        <v>0.05</v>
      </c>
      <c r="AV41">
        <v>0</v>
      </c>
    </row>
    <row r="42" spans="1:48" ht="12.75">
      <c r="A42" s="2" t="str">
        <f>HYPERLINK("https://ibp.a2mac1.com/costing(costing:projects/details/8191/equipment/6942686)","No.06 - Injection Press - 200T - 45kW - 510x510 - Max Volume 624cm3 ")</f>
        <v xml:space="preserve">No.06 - Injection Press - 200T - 45kW - 510x510 - Max Volume 624cm3 </v>
      </c>
      <c r="B42">
        <v>6942686</v>
      </c>
      <c r="C42">
        <v>6970251</v>
      </c>
      <c r="E42" t="s">
        <v>499</v>
      </c>
      <c r="H42" t="s">
        <v>136</v>
      </c>
      <c r="I42">
        <v>34247.230880000003</v>
      </c>
      <c r="J42">
        <v>0</v>
      </c>
      <c r="K42">
        <v>2.6539999999999999</v>
      </c>
      <c r="L42">
        <v>0</v>
      </c>
      <c r="M42">
        <v>9.7654160848601741</v>
      </c>
      <c r="N42">
        <v>0</v>
      </c>
      <c r="O42">
        <v>0.03191956452884346</v>
      </c>
      <c r="P42">
        <v>0.0033760733109999999</v>
      </c>
      <c r="Q42">
        <v>0.0041863075301832205</v>
      </c>
      <c r="R42">
        <v>200000</v>
      </c>
      <c r="S42">
        <v>0</v>
      </c>
      <c r="T42">
        <v>0</v>
      </c>
      <c r="V42">
        <v>7200</v>
      </c>
      <c r="W42">
        <v>8</v>
      </c>
      <c r="X42">
        <v>85</v>
      </c>
      <c r="Y42">
        <v>3</v>
      </c>
      <c r="Z42">
        <v>4</v>
      </c>
      <c r="AA42">
        <v>5</v>
      </c>
      <c r="AB42">
        <v>0</v>
      </c>
      <c r="AC42">
        <v>0</v>
      </c>
      <c r="AD42">
        <v>0</v>
      </c>
      <c r="AE42">
        <v>0</v>
      </c>
      <c r="AF42">
        <v>0.25</v>
      </c>
      <c r="AG42">
        <v>0</v>
      </c>
      <c r="AH42">
        <v>0</v>
      </c>
      <c r="AI42">
        <v>2</v>
      </c>
      <c r="AJ42">
        <v>0</v>
      </c>
      <c r="AK42">
        <v>0</v>
      </c>
      <c r="AL42">
        <v>93</v>
      </c>
      <c r="AM42">
        <v>35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58</v>
      </c>
      <c r="AU42">
        <v>0.05</v>
      </c>
      <c r="AV42">
        <v>0</v>
      </c>
    </row>
    <row r="43" spans="1:48" ht="12.75">
      <c r="A43" s="2" t="str">
        <f>HYPERLINK("https://ibp.a2mac1.com/costing(costing:projects/details/8191/equipment/6942687)","General production process (&gt;10€)")</f>
        <v>General production process (&gt;10€)</v>
      </c>
      <c r="B43">
        <v>6942687</v>
      </c>
      <c r="C43">
        <v>6970252</v>
      </c>
      <c r="H43" t="s">
        <v>136</v>
      </c>
      <c r="I43">
        <v>116914.84457142858</v>
      </c>
      <c r="J43">
        <v>0</v>
      </c>
      <c r="K43">
        <v>3.60</v>
      </c>
      <c r="L43">
        <v>0</v>
      </c>
      <c r="M43">
        <v>27.497982091197134</v>
      </c>
      <c r="N43">
        <v>0</v>
      </c>
      <c r="O43">
        <v>9.1659940303990446</v>
      </c>
      <c r="P43">
        <v>1.3771599999999999</v>
      </c>
      <c r="Q43">
        <v>7.0392998258492909</v>
      </c>
      <c r="R43">
        <v>635568</v>
      </c>
      <c r="S43">
        <v>0</v>
      </c>
      <c r="T43">
        <v>0</v>
      </c>
      <c r="V43">
        <v>6480000</v>
      </c>
      <c r="W43">
        <v>7</v>
      </c>
      <c r="X43">
        <v>85</v>
      </c>
      <c r="Y43">
        <v>3</v>
      </c>
      <c r="Z43">
        <v>4</v>
      </c>
      <c r="AA43">
        <v>5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3</v>
      </c>
      <c r="AJ43">
        <v>0</v>
      </c>
      <c r="AK43">
        <v>0</v>
      </c>
      <c r="AL43">
        <v>100</v>
      </c>
      <c r="AM43">
        <v>45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100</v>
      </c>
      <c r="AU43">
        <v>0</v>
      </c>
      <c r="AV43">
        <v>0</v>
      </c>
    </row>
    <row r="44" spans="1:48" ht="12.75">
      <c r="A44" s="2" t="str">
        <f>HYPERLINK("https://ibp.a2mac1.com/costing(costing:projects/details/8191/equipment/6942524)","General production process (0.5-10€)")</f>
        <v>General production process (0.5-10€)</v>
      </c>
      <c r="B44">
        <v>6942524</v>
      </c>
      <c r="C44">
        <v>6970214</v>
      </c>
      <c r="H44" t="s">
        <v>136</v>
      </c>
      <c r="I44">
        <v>116914.84457142858</v>
      </c>
      <c r="J44">
        <v>0</v>
      </c>
      <c r="K44">
        <v>3.60</v>
      </c>
      <c r="L44">
        <v>0</v>
      </c>
      <c r="M44">
        <v>27.497982091197134</v>
      </c>
      <c r="N44">
        <v>0</v>
      </c>
      <c r="O44">
        <v>2.7497982091197133</v>
      </c>
      <c r="P44">
        <v>0.41314800000000002</v>
      </c>
      <c r="Q44">
        <v>1.1732166376415485</v>
      </c>
      <c r="R44">
        <v>635568</v>
      </c>
      <c r="S44">
        <v>0</v>
      </c>
      <c r="T44">
        <v>0</v>
      </c>
      <c r="V44">
        <v>648000</v>
      </c>
      <c r="W44">
        <v>7</v>
      </c>
      <c r="X44">
        <v>85</v>
      </c>
      <c r="Y44">
        <v>3</v>
      </c>
      <c r="Z44">
        <v>4</v>
      </c>
      <c r="AA44">
        <v>5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3</v>
      </c>
      <c r="AJ44">
        <v>0</v>
      </c>
      <c r="AK44">
        <v>0</v>
      </c>
      <c r="AL44">
        <v>100</v>
      </c>
      <c r="AM44">
        <v>45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100</v>
      </c>
      <c r="AU44">
        <v>0</v>
      </c>
      <c r="AV44">
        <v>0</v>
      </c>
    </row>
    <row r="45" spans="1:48" ht="12.75">
      <c r="A45" s="2" t="str">
        <f>HYPERLINK("https://ibp.a2mac1.com/costing(costing:projects/details/8191/equipment/6942688)","General production process (0.5-10€)")</f>
        <v>General production process (0.5-10€)</v>
      </c>
      <c r="B45">
        <v>6942688</v>
      </c>
      <c r="C45">
        <v>6970253</v>
      </c>
      <c r="H45" t="s">
        <v>136</v>
      </c>
      <c r="I45">
        <v>116914.84457142858</v>
      </c>
      <c r="J45">
        <v>0</v>
      </c>
      <c r="K45">
        <v>3.60</v>
      </c>
      <c r="L45">
        <v>0</v>
      </c>
      <c r="M45">
        <v>27.497982091197134</v>
      </c>
      <c r="N45">
        <v>0</v>
      </c>
      <c r="O45">
        <v>3.0553313434663485</v>
      </c>
      <c r="P45">
        <v>0.45905333333333331</v>
      </c>
      <c r="Q45">
        <v>0.703929982584929</v>
      </c>
      <c r="R45">
        <v>635568</v>
      </c>
      <c r="S45">
        <v>0</v>
      </c>
      <c r="T45">
        <v>0</v>
      </c>
      <c r="V45">
        <v>648000</v>
      </c>
      <c r="W45">
        <v>7</v>
      </c>
      <c r="X45">
        <v>85</v>
      </c>
      <c r="Y45">
        <v>3</v>
      </c>
      <c r="Z45">
        <v>4</v>
      </c>
      <c r="AA45">
        <v>5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3</v>
      </c>
      <c r="AJ45">
        <v>0</v>
      </c>
      <c r="AK45">
        <v>0</v>
      </c>
      <c r="AL45">
        <v>100</v>
      </c>
      <c r="AM45">
        <v>45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100</v>
      </c>
      <c r="AU45">
        <v>0</v>
      </c>
      <c r="AV45">
        <v>0</v>
      </c>
    </row>
    <row r="46" spans="1:48" ht="12.75">
      <c r="A46" s="2" t="str">
        <f>HYPERLINK("https://ibp.a2mac1.com/costing(costing:projects/details/8191/equipment/6942527)","General production process (0.5-10€)")</f>
        <v>General production process (0.5-10€)</v>
      </c>
      <c r="B46">
        <v>6942527</v>
      </c>
      <c r="C46">
        <v>6970217</v>
      </c>
      <c r="H46" t="s">
        <v>136</v>
      </c>
      <c r="I46">
        <v>116914.84457142858</v>
      </c>
      <c r="J46">
        <v>0</v>
      </c>
      <c r="K46">
        <v>3.60</v>
      </c>
      <c r="L46">
        <v>0</v>
      </c>
      <c r="M46">
        <v>27.497982091197134</v>
      </c>
      <c r="N46">
        <v>0</v>
      </c>
      <c r="O46">
        <v>0.34372477613996416</v>
      </c>
      <c r="P46">
        <v>0.051643500000000002</v>
      </c>
      <c r="Q46">
        <v>1.1732166376415485</v>
      </c>
      <c r="R46">
        <v>635568</v>
      </c>
      <c r="S46">
        <v>0</v>
      </c>
      <c r="T46">
        <v>0</v>
      </c>
      <c r="V46">
        <v>648000</v>
      </c>
      <c r="W46">
        <v>7</v>
      </c>
      <c r="X46">
        <v>85</v>
      </c>
      <c r="Y46">
        <v>3</v>
      </c>
      <c r="Z46">
        <v>4</v>
      </c>
      <c r="AA46">
        <v>5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3</v>
      </c>
      <c r="AJ46">
        <v>0</v>
      </c>
      <c r="AK46">
        <v>0</v>
      </c>
      <c r="AL46">
        <v>100</v>
      </c>
      <c r="AM46">
        <v>45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100</v>
      </c>
      <c r="AU46">
        <v>0</v>
      </c>
      <c r="AV46">
        <v>0</v>
      </c>
    </row>
    <row r="47" spans="1:48" ht="12.75">
      <c r="A47" s="2" t="str">
        <f>HYPERLINK("https://ibp.a2mac1.com/costing(costing:projects/details/8191/equipment/6942525)","Dummy Machine (PCBA+Final Assembly Line)")</f>
        <v>Dummy Machine (PCBA+Final Assembly Line)</v>
      </c>
      <c r="B47">
        <v>6942525</v>
      </c>
      <c r="C47">
        <v>6970215</v>
      </c>
      <c r="F47" t="s">
        <v>559</v>
      </c>
      <c r="H47" t="s">
        <v>136</v>
      </c>
      <c r="I47">
        <v>79501.662769714283</v>
      </c>
      <c r="J47">
        <v>0</v>
      </c>
      <c r="K47">
        <v>0.28895999999999999</v>
      </c>
      <c r="L47">
        <v>0</v>
      </c>
      <c r="M47">
        <v>16.624578413647427</v>
      </c>
      <c r="N47">
        <v>0</v>
      </c>
      <c r="O47">
        <v>1.5008299956765037</v>
      </c>
      <c r="P47">
        <v>0.26108658333333334</v>
      </c>
      <c r="Q47">
        <v>6.889185508913073E-05</v>
      </c>
      <c r="R47">
        <v>442771.10</v>
      </c>
      <c r="S47">
        <v>0</v>
      </c>
      <c r="T47">
        <v>0</v>
      </c>
      <c r="V47">
        <v>216</v>
      </c>
      <c r="W47">
        <v>7</v>
      </c>
      <c r="X47">
        <v>85</v>
      </c>
      <c r="Y47">
        <v>3</v>
      </c>
      <c r="Z47">
        <v>4</v>
      </c>
      <c r="AA47">
        <v>5</v>
      </c>
      <c r="AB47">
        <v>0</v>
      </c>
      <c r="AC47">
        <v>0</v>
      </c>
      <c r="AD47">
        <v>0</v>
      </c>
      <c r="AE47">
        <v>0</v>
      </c>
      <c r="AF47">
        <v>0.70</v>
      </c>
      <c r="AG47">
        <v>0</v>
      </c>
      <c r="AH47">
        <v>0</v>
      </c>
      <c r="AI47">
        <v>0.20</v>
      </c>
      <c r="AJ47">
        <v>0</v>
      </c>
      <c r="AK47">
        <v>0</v>
      </c>
      <c r="AL47">
        <v>86</v>
      </c>
      <c r="AM47">
        <v>4.20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19.40</v>
      </c>
      <c r="AU47">
        <v>0</v>
      </c>
      <c r="AV47">
        <v>0</v>
      </c>
    </row>
    <row r="48" spans="1:48" ht="12.75">
      <c r="A48" s="2" t="str">
        <f>HYPERLINK("https://ibp.a2mac1.com/costing(costing:projects/details/8191/equipment/6942526)","No.01 - Injection Press - 40T - 18kW - 270x270 - Max Volume 128cm3 ")</f>
        <v xml:space="preserve">No.01 - Injection Press - 40T - 18kW - 270x270 - Max Volume 128cm3 </v>
      </c>
      <c r="B48">
        <v>6942526</v>
      </c>
      <c r="C48">
        <v>6970216</v>
      </c>
      <c r="E48" t="s">
        <v>499</v>
      </c>
      <c r="H48" t="s">
        <v>136</v>
      </c>
      <c r="I48">
        <v>13574.9072</v>
      </c>
      <c r="J48">
        <v>0</v>
      </c>
      <c r="K48">
        <v>1.6020000000000001</v>
      </c>
      <c r="L48">
        <v>0</v>
      </c>
      <c r="M48">
        <v>4.4266395371263263</v>
      </c>
      <c r="N48">
        <v>0</v>
      </c>
      <c r="O48">
        <v>0.016081182184019074</v>
      </c>
      <c r="P48">
        <v>0.0037522302195833333</v>
      </c>
      <c r="Q48">
        <v>0.0035456543444551589</v>
      </c>
      <c r="R48">
        <v>80000</v>
      </c>
      <c r="S48">
        <v>0</v>
      </c>
      <c r="T48">
        <v>0</v>
      </c>
      <c r="V48">
        <v>7200</v>
      </c>
      <c r="W48">
        <v>8</v>
      </c>
      <c r="X48">
        <v>85</v>
      </c>
      <c r="Y48">
        <v>3</v>
      </c>
      <c r="Z48">
        <v>4</v>
      </c>
      <c r="AA48">
        <v>5</v>
      </c>
      <c r="AB48">
        <v>0</v>
      </c>
      <c r="AC48">
        <v>0</v>
      </c>
      <c r="AD48">
        <v>0</v>
      </c>
      <c r="AE48">
        <v>0</v>
      </c>
      <c r="AF48">
        <v>0.25</v>
      </c>
      <c r="AG48">
        <v>0</v>
      </c>
      <c r="AH48">
        <v>0</v>
      </c>
      <c r="AI48">
        <v>2</v>
      </c>
      <c r="AJ48">
        <v>0</v>
      </c>
      <c r="AK48">
        <v>0</v>
      </c>
      <c r="AL48">
        <v>97</v>
      </c>
      <c r="AM48">
        <v>20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20</v>
      </c>
      <c r="AU48">
        <v>0.05</v>
      </c>
      <c r="AV48">
        <v>0</v>
      </c>
    </row>
    <row r="49" spans="1:48" ht="12.75">
      <c r="A49" s="2" t="str">
        <f>HYPERLINK("https://ibp.a2mac1.com/costing(costing:projects/details/8191/equipment/6942528)","General production process (&gt;10€)")</f>
        <v>General production process (&gt;10€)</v>
      </c>
      <c r="B49">
        <v>6942528</v>
      </c>
      <c r="C49">
        <v>6970218</v>
      </c>
      <c r="H49" t="s">
        <v>136</v>
      </c>
      <c r="I49">
        <v>116914.84457142858</v>
      </c>
      <c r="J49">
        <v>0</v>
      </c>
      <c r="K49">
        <v>3.60</v>
      </c>
      <c r="L49">
        <v>0</v>
      </c>
      <c r="M49">
        <v>27.497982091197134</v>
      </c>
      <c r="N49">
        <v>0</v>
      </c>
      <c r="O49">
        <v>36.663976121596178</v>
      </c>
      <c r="P49">
        <v>5.5086399999999998</v>
      </c>
      <c r="Q49">
        <v>7.0392998258492909</v>
      </c>
      <c r="R49">
        <v>635568</v>
      </c>
      <c r="S49">
        <v>0</v>
      </c>
      <c r="T49">
        <v>0</v>
      </c>
      <c r="V49">
        <v>6480000</v>
      </c>
      <c r="W49">
        <v>7</v>
      </c>
      <c r="X49">
        <v>85</v>
      </c>
      <c r="Y49">
        <v>3</v>
      </c>
      <c r="Z49">
        <v>4</v>
      </c>
      <c r="AA49">
        <v>5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3</v>
      </c>
      <c r="AJ49">
        <v>0</v>
      </c>
      <c r="AK49">
        <v>0</v>
      </c>
      <c r="AL49">
        <v>100</v>
      </c>
      <c r="AM49">
        <v>45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100</v>
      </c>
      <c r="AU49">
        <v>0</v>
      </c>
      <c r="AV49">
        <v>0</v>
      </c>
    </row>
    <row r="50" spans="1:48" ht="12.75">
      <c r="A50" s="2" t="str">
        <f>HYPERLINK("https://ibp.a2mac1.com/costing(costing:projects/details/8191/equipment/6942529)","General production process (0.5-10€)")</f>
        <v>General production process (0.5-10€)</v>
      </c>
      <c r="B50">
        <v>6942529</v>
      </c>
      <c r="C50">
        <v>6970219</v>
      </c>
      <c r="H50" t="s">
        <v>136</v>
      </c>
      <c r="I50">
        <v>116914.84457142858</v>
      </c>
      <c r="J50">
        <v>0</v>
      </c>
      <c r="K50">
        <v>3.60</v>
      </c>
      <c r="L50">
        <v>0</v>
      </c>
      <c r="M50">
        <v>27.497982091197134</v>
      </c>
      <c r="N50">
        <v>0</v>
      </c>
      <c r="O50">
        <v>2.1641675738608011</v>
      </c>
      <c r="P50">
        <v>0.32515895233333331</v>
      </c>
      <c r="Q50">
        <v>0.703929982584929</v>
      </c>
      <c r="R50">
        <v>635568</v>
      </c>
      <c r="S50">
        <v>0</v>
      </c>
      <c r="T50">
        <v>0</v>
      </c>
      <c r="V50">
        <v>648000</v>
      </c>
      <c r="W50">
        <v>7</v>
      </c>
      <c r="X50">
        <v>85</v>
      </c>
      <c r="Y50">
        <v>3</v>
      </c>
      <c r="Z50">
        <v>4</v>
      </c>
      <c r="AA50">
        <v>5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3</v>
      </c>
      <c r="AJ50">
        <v>0</v>
      </c>
      <c r="AK50">
        <v>0</v>
      </c>
      <c r="AL50">
        <v>100</v>
      </c>
      <c r="AM50">
        <v>45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100</v>
      </c>
      <c r="AU50">
        <v>0</v>
      </c>
      <c r="AV50">
        <v>0</v>
      </c>
    </row>
    <row r="51" spans="1:48" ht="12.75">
      <c r="A51" s="2" t="str">
        <f>HYPERLINK("https://ibp.a2mac1.com/costing(costing:projects/details/8191/equipment/6942689)","Dummy Machine (PCBA+Final Assembly Line)")</f>
        <v>Dummy Machine (PCBA+Final Assembly Line)</v>
      </c>
      <c r="B51">
        <v>6942689</v>
      </c>
      <c r="C51">
        <v>6970254</v>
      </c>
      <c r="F51" t="s">
        <v>559</v>
      </c>
      <c r="H51" t="s">
        <v>136</v>
      </c>
      <c r="I51">
        <v>79501.662769714283</v>
      </c>
      <c r="J51">
        <v>0</v>
      </c>
      <c r="K51">
        <v>0.28895999999999999</v>
      </c>
      <c r="L51">
        <v>0</v>
      </c>
      <c r="M51">
        <v>16.624578413647427</v>
      </c>
      <c r="N51">
        <v>0</v>
      </c>
      <c r="O51">
        <v>0.75734190551060498</v>
      </c>
      <c r="P51">
        <v>0.13174830666666668</v>
      </c>
      <c r="Q51">
        <v>0.00011481975848188456</v>
      </c>
      <c r="R51">
        <v>442771.10</v>
      </c>
      <c r="S51">
        <v>0</v>
      </c>
      <c r="T51">
        <v>0</v>
      </c>
      <c r="V51">
        <v>216</v>
      </c>
      <c r="W51">
        <v>7</v>
      </c>
      <c r="X51">
        <v>85</v>
      </c>
      <c r="Y51">
        <v>3</v>
      </c>
      <c r="Z51">
        <v>4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0.70</v>
      </c>
      <c r="AG51">
        <v>0</v>
      </c>
      <c r="AH51">
        <v>0</v>
      </c>
      <c r="AI51">
        <v>0.20</v>
      </c>
      <c r="AJ51">
        <v>0</v>
      </c>
      <c r="AK51">
        <v>0</v>
      </c>
      <c r="AL51">
        <v>86</v>
      </c>
      <c r="AM51">
        <v>4.20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19.40</v>
      </c>
      <c r="AU51">
        <v>0</v>
      </c>
      <c r="AV51">
        <v>0</v>
      </c>
    </row>
    <row r="52" spans="1:48" ht="12.75">
      <c r="A52" s="2" t="str">
        <f>HYPERLINK("https://ibp.a2mac1.com/costing(costing:projects/details/8191/equipment/6942690)","Dummy Machine (PCBA+Final Assembly Line)")</f>
        <v>Dummy Machine (PCBA+Final Assembly Line)</v>
      </c>
      <c r="B52">
        <v>6942690</v>
      </c>
      <c r="C52">
        <v>6970255</v>
      </c>
      <c r="F52" t="s">
        <v>559</v>
      </c>
      <c r="H52" t="s">
        <v>136</v>
      </c>
      <c r="I52">
        <v>79501.662769714283</v>
      </c>
      <c r="J52">
        <v>0</v>
      </c>
      <c r="K52">
        <v>0.28895999999999999</v>
      </c>
      <c r="L52">
        <v>0</v>
      </c>
      <c r="M52">
        <v>16.624578413647427</v>
      </c>
      <c r="N52">
        <v>0</v>
      </c>
      <c r="O52">
        <v>0.75734190551060498</v>
      </c>
      <c r="P52">
        <v>0.13174830666666668</v>
      </c>
      <c r="Q52">
        <v>0.00011481975848188456</v>
      </c>
      <c r="R52">
        <v>442771.10</v>
      </c>
      <c r="S52">
        <v>0</v>
      </c>
      <c r="T52">
        <v>0</v>
      </c>
      <c r="V52">
        <v>216</v>
      </c>
      <c r="W52">
        <v>7</v>
      </c>
      <c r="X52">
        <v>85</v>
      </c>
      <c r="Y52">
        <v>3</v>
      </c>
      <c r="Z52">
        <v>4</v>
      </c>
      <c r="AA52">
        <v>5</v>
      </c>
      <c r="AB52">
        <v>0</v>
      </c>
      <c r="AC52">
        <v>0</v>
      </c>
      <c r="AD52">
        <v>0</v>
      </c>
      <c r="AE52">
        <v>0</v>
      </c>
      <c r="AF52">
        <v>0.70</v>
      </c>
      <c r="AG52">
        <v>0</v>
      </c>
      <c r="AH52">
        <v>0</v>
      </c>
      <c r="AI52">
        <v>0.20</v>
      </c>
      <c r="AJ52">
        <v>0</v>
      </c>
      <c r="AK52">
        <v>0</v>
      </c>
      <c r="AL52">
        <v>86</v>
      </c>
      <c r="AM52">
        <v>4.20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19.40</v>
      </c>
      <c r="AU52">
        <v>0</v>
      </c>
      <c r="AV52">
        <v>0</v>
      </c>
    </row>
    <row r="53" spans="1:48" ht="12.75">
      <c r="A53" s="2" t="str">
        <f>HYPERLINK("https://ibp.a2mac1.com/costing(costing:projects/details/8191/equipment/6942691)","No.09 - Injection Press - 400T - 72kW - 650x650 - Max Volume 1497cm3 ")</f>
        <v xml:space="preserve">No.09 - Injection Press - 400T - 72kW - 650x650 - Max Volume 1497cm3 </v>
      </c>
      <c r="B53">
        <v>6942691</v>
      </c>
      <c r="C53">
        <v>6970256</v>
      </c>
      <c r="E53" t="s">
        <v>499</v>
      </c>
      <c r="H53" t="s">
        <v>136</v>
      </c>
      <c r="I53">
        <v>48364.573120000001</v>
      </c>
      <c r="J53">
        <v>0</v>
      </c>
      <c r="K53">
        <v>3.3384</v>
      </c>
      <c r="L53">
        <v>0</v>
      </c>
      <c r="M53">
        <v>13.361635795564128</v>
      </c>
      <c r="N53">
        <v>0</v>
      </c>
      <c r="O53">
        <v>0.075351942946399228</v>
      </c>
      <c r="P53">
        <v>0.0058247928997499998</v>
      </c>
      <c r="Q53">
        <v>0.0069267808432015429</v>
      </c>
      <c r="R53">
        <v>280000</v>
      </c>
      <c r="S53">
        <v>0</v>
      </c>
      <c r="T53">
        <v>0</v>
      </c>
      <c r="V53">
        <v>10800</v>
      </c>
      <c r="W53">
        <v>8</v>
      </c>
      <c r="X53">
        <v>85</v>
      </c>
      <c r="Y53">
        <v>3</v>
      </c>
      <c r="Z53">
        <v>4</v>
      </c>
      <c r="AA53">
        <v>5</v>
      </c>
      <c r="AB53">
        <v>0</v>
      </c>
      <c r="AC53">
        <v>0</v>
      </c>
      <c r="AD53">
        <v>0</v>
      </c>
      <c r="AE53">
        <v>0</v>
      </c>
      <c r="AF53">
        <v>0.25</v>
      </c>
      <c r="AG53">
        <v>0</v>
      </c>
      <c r="AH53">
        <v>0</v>
      </c>
      <c r="AI53">
        <v>2</v>
      </c>
      <c r="AJ53">
        <v>0</v>
      </c>
      <c r="AK53">
        <v>0</v>
      </c>
      <c r="AL53">
        <v>92</v>
      </c>
      <c r="AM53">
        <v>44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92</v>
      </c>
      <c r="AU53">
        <v>0.10</v>
      </c>
      <c r="AV53">
        <v>0</v>
      </c>
    </row>
    <row r="54" spans="1:48" ht="12.75">
      <c r="A54" s="2" t="str">
        <f>HYPERLINK("https://ibp.a2mac1.com/costing(costing:projects/details/8191/equipment/6942692)","Chroming line - Small Parts")</f>
        <v>Chroming line - Small Parts</v>
      </c>
      <c r="B54">
        <v>6942692</v>
      </c>
      <c r="C54">
        <v>6970257</v>
      </c>
      <c r="F54" t="s">
        <v>9</v>
      </c>
      <c r="G54" t="s">
        <v>9</v>
      </c>
      <c r="H54" t="s">
        <v>136</v>
      </c>
      <c r="I54">
        <v>1104334.5916800001</v>
      </c>
      <c r="J54">
        <v>0</v>
      </c>
      <c r="K54">
        <v>70.09872</v>
      </c>
      <c r="L54">
        <v>0</v>
      </c>
      <c r="M54">
        <v>313.1209944583735</v>
      </c>
      <c r="N54">
        <v>0</v>
      </c>
      <c r="O54">
        <v>0.54361283760134294</v>
      </c>
      <c r="P54">
        <v>0</v>
      </c>
      <c r="Q54">
        <v>0</v>
      </c>
      <c r="R54">
        <v>8155000</v>
      </c>
      <c r="S54">
        <v>0</v>
      </c>
      <c r="T54">
        <v>0</v>
      </c>
      <c r="U54" t="s">
        <v>9</v>
      </c>
      <c r="V54">
        <v>0</v>
      </c>
      <c r="W54">
        <v>10</v>
      </c>
      <c r="X54">
        <v>85</v>
      </c>
      <c r="Y54">
        <v>3</v>
      </c>
      <c r="Z54">
        <v>4</v>
      </c>
      <c r="AA54">
        <v>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100</v>
      </c>
      <c r="AM54">
        <v>10</v>
      </c>
      <c r="AN54">
        <v>0</v>
      </c>
      <c r="AO54">
        <v>0</v>
      </c>
      <c r="AP54">
        <v>0</v>
      </c>
      <c r="AQ54">
        <v>4</v>
      </c>
      <c r="AR54">
        <v>0</v>
      </c>
      <c r="AS54">
        <v>100</v>
      </c>
      <c r="AT54">
        <v>88</v>
      </c>
      <c r="AU54">
        <v>0</v>
      </c>
      <c r="AV54">
        <v>0</v>
      </c>
    </row>
    <row r="55" spans="1:48" ht="12.75">
      <c r="A55" s="2" t="str">
        <f>HYPERLINK("https://ibp.a2mac1.com/costing(costing:projects/details/8191/equipment/6942693)","Chroming line - Load &amp; Unload parts to/from jig")</f>
        <v>Chroming line - Load &amp; Unload parts to/from jig</v>
      </c>
      <c r="B55">
        <v>6942693</v>
      </c>
      <c r="C55">
        <v>6970258</v>
      </c>
      <c r="H55" t="s">
        <v>136</v>
      </c>
      <c r="I55">
        <v>1504.98143865</v>
      </c>
      <c r="J55">
        <v>0</v>
      </c>
      <c r="K55">
        <v>0</v>
      </c>
      <c r="L55">
        <v>0</v>
      </c>
      <c r="M55">
        <v>0.32224066829797493</v>
      </c>
      <c r="N55">
        <v>0</v>
      </c>
      <c r="O55">
        <v>0.00021445414846219397</v>
      </c>
      <c r="P55">
        <v>0.013747690972222223</v>
      </c>
      <c r="Q55">
        <v>0</v>
      </c>
      <c r="R55">
        <v>9999.9999900000003</v>
      </c>
      <c r="S55">
        <v>0</v>
      </c>
      <c r="T55">
        <v>0</v>
      </c>
      <c r="V55">
        <v>0</v>
      </c>
      <c r="W55">
        <v>10</v>
      </c>
      <c r="X55">
        <v>85</v>
      </c>
      <c r="Y55">
        <v>3</v>
      </c>
      <c r="Z55">
        <v>4</v>
      </c>
      <c r="AA55">
        <v>5</v>
      </c>
      <c r="AB55">
        <v>0</v>
      </c>
      <c r="AC55">
        <v>0</v>
      </c>
      <c r="AD55">
        <v>0</v>
      </c>
      <c r="AE55">
        <v>0</v>
      </c>
      <c r="AF55">
        <v>5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100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0</v>
      </c>
      <c r="AV55">
        <v>0</v>
      </c>
    </row>
    <row r="56" spans="1:48" ht="12.75">
      <c r="A56" s="2" t="str">
        <f>HYPERLINK("https://ibp.a2mac1.com/costing(costing:projects/details/8191/equipment/6942694)","No.04 - 60000x6000x3500 - Automatic Painting Line - with 12x100kW on line ovens")</f>
        <v>No.04 - 60000x6000x3500 - Automatic Painting Line - with 12x100kW on line ovens</v>
      </c>
      <c r="B56">
        <v>6942694</v>
      </c>
      <c r="C56">
        <v>6970259</v>
      </c>
      <c r="H56" t="s">
        <v>136</v>
      </c>
      <c r="I56">
        <v>1438767.4831999999</v>
      </c>
      <c r="J56">
        <v>0</v>
      </c>
      <c r="K56">
        <v>279.76751999999999</v>
      </c>
      <c r="L56">
        <v>0</v>
      </c>
      <c r="M56">
        <v>580.11587795564128</v>
      </c>
      <c r="N56">
        <v>0</v>
      </c>
      <c r="O56">
        <v>0.21038152981416003</v>
      </c>
      <c r="P56">
        <v>0.010488093518518518</v>
      </c>
      <c r="Q56">
        <v>0</v>
      </c>
      <c r="R56">
        <v>8600000</v>
      </c>
      <c r="S56">
        <v>0</v>
      </c>
      <c r="T56">
        <v>0</v>
      </c>
      <c r="V56">
        <v>0</v>
      </c>
      <c r="W56">
        <v>8</v>
      </c>
      <c r="X56">
        <v>85</v>
      </c>
      <c r="Y56">
        <v>3</v>
      </c>
      <c r="Z56">
        <v>4</v>
      </c>
      <c r="AA56">
        <v>5</v>
      </c>
      <c r="AB56">
        <v>0</v>
      </c>
      <c r="AC56">
        <v>0</v>
      </c>
      <c r="AD56">
        <v>0</v>
      </c>
      <c r="AE56">
        <v>0</v>
      </c>
      <c r="AF56">
        <v>7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100</v>
      </c>
      <c r="AM56">
        <v>3400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4</v>
      </c>
      <c r="AT56">
        <v>1620</v>
      </c>
      <c r="AU56">
        <v>5</v>
      </c>
      <c r="AV56">
        <v>0</v>
      </c>
    </row>
    <row r="57" spans="1:48" ht="12.75">
      <c r="A57" s="2" t="str">
        <f>HYPERLINK("https://ibp.a2mac1.com/costing(costing:projects/details/8191/equipment/6942695)","Loading + Unloading + Retouching + Checking")</f>
        <v>Loading + Unloading + Retouching + Checking</v>
      </c>
      <c r="B57">
        <v>6942695</v>
      </c>
      <c r="C57">
        <v>6970260</v>
      </c>
      <c r="H57" t="s">
        <v>136</v>
      </c>
      <c r="I57">
        <v>116.23608</v>
      </c>
      <c r="J57">
        <v>0</v>
      </c>
      <c r="K57">
        <v>0</v>
      </c>
      <c r="L57">
        <v>0</v>
      </c>
      <c r="M57">
        <v>0.018681465766634521</v>
      </c>
      <c r="N57">
        <v>0</v>
      </c>
      <c r="O57">
        <v>6.7749142826529515E-06</v>
      </c>
      <c r="P57">
        <v>0.041952374074074074</v>
      </c>
      <c r="Q57">
        <v>0</v>
      </c>
      <c r="R57">
        <v>0</v>
      </c>
      <c r="S57">
        <v>0</v>
      </c>
      <c r="T57">
        <v>0</v>
      </c>
      <c r="V57">
        <v>0</v>
      </c>
      <c r="W57">
        <v>8</v>
      </c>
      <c r="X57">
        <v>85</v>
      </c>
      <c r="Y57">
        <v>3</v>
      </c>
      <c r="Z57">
        <v>4</v>
      </c>
      <c r="AA57">
        <v>5</v>
      </c>
      <c r="AB57">
        <v>0</v>
      </c>
      <c r="AC57">
        <v>0</v>
      </c>
      <c r="AD57">
        <v>0</v>
      </c>
      <c r="AE57">
        <v>0</v>
      </c>
      <c r="AF57">
        <v>28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3</v>
      </c>
      <c r="AU57">
        <v>0</v>
      </c>
      <c r="AV57">
        <v>0</v>
      </c>
    </row>
    <row r="58" spans="1:48" ht="12.75">
      <c r="A58" s="2" t="str">
        <f>HYPERLINK("https://ibp.a2mac1.com/costing(costing:projects/details/8191/equipment/6942696)","No.02 - Injection Press - 60T - 25kW - 320x320 - Max Volume 164cm3 ")</f>
        <v xml:space="preserve">No.02 - Injection Press - 60T - 25kW - 320x320 - Max Volume 164cm3 </v>
      </c>
      <c r="B58">
        <v>6942696</v>
      </c>
      <c r="C58">
        <v>6970261</v>
      </c>
      <c r="E58" t="s">
        <v>499</v>
      </c>
      <c r="H58" t="s">
        <v>136</v>
      </c>
      <c r="I58">
        <v>16929.888640000001</v>
      </c>
      <c r="J58">
        <v>0</v>
      </c>
      <c r="K58">
        <v>1.9124000000000001</v>
      </c>
      <c r="L58">
        <v>0</v>
      </c>
      <c r="M58">
        <v>5.4369722661523623</v>
      </c>
      <c r="N58">
        <v>0</v>
      </c>
      <c r="O58">
        <v>0.024129751100907103</v>
      </c>
      <c r="P58">
        <v>0.0045839660015833334</v>
      </c>
      <c r="Q58">
        <v>0.0036668942719382835</v>
      </c>
      <c r="R58">
        <v>100000</v>
      </c>
      <c r="S58">
        <v>0</v>
      </c>
      <c r="T58">
        <v>0</v>
      </c>
      <c r="V58">
        <v>7200</v>
      </c>
      <c r="W58">
        <v>8</v>
      </c>
      <c r="X58">
        <v>85</v>
      </c>
      <c r="Y58">
        <v>3</v>
      </c>
      <c r="Z58">
        <v>4</v>
      </c>
      <c r="AA58">
        <v>5</v>
      </c>
      <c r="AB58">
        <v>0</v>
      </c>
      <c r="AC58">
        <v>0</v>
      </c>
      <c r="AD58">
        <v>0</v>
      </c>
      <c r="AE58">
        <v>0</v>
      </c>
      <c r="AF58">
        <v>0.25</v>
      </c>
      <c r="AG58">
        <v>0</v>
      </c>
      <c r="AH58">
        <v>0</v>
      </c>
      <c r="AI58">
        <v>2</v>
      </c>
      <c r="AJ58">
        <v>0</v>
      </c>
      <c r="AK58">
        <v>0</v>
      </c>
      <c r="AL58">
        <v>97</v>
      </c>
      <c r="AM58">
        <v>24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24</v>
      </c>
      <c r="AU58">
        <v>0.05</v>
      </c>
      <c r="AV58">
        <v>0</v>
      </c>
    </row>
    <row r="59" spans="1:48" ht="12.75">
      <c r="A59" s="2" t="str">
        <f>HYPERLINK("https://ibp.a2mac1.com/costing(costing:projects/details/8191/equipment/6942697)","No.03 - T,TF 80/11 ")</f>
        <v xml:space="preserve">No.03 - T,TF 80/11 </v>
      </c>
      <c r="B59">
        <v>6942697</v>
      </c>
      <c r="C59">
        <v>6970262</v>
      </c>
      <c r="H59" t="s">
        <v>136</v>
      </c>
      <c r="I59">
        <v>13987.453600000001</v>
      </c>
      <c r="J59">
        <v>0</v>
      </c>
      <c r="K59">
        <v>3.88</v>
      </c>
      <c r="L59">
        <v>0</v>
      </c>
      <c r="M59">
        <v>6.8111240115718417</v>
      </c>
      <c r="N59">
        <v>0</v>
      </c>
      <c r="O59">
        <v>0.11351873352619736</v>
      </c>
      <c r="P59">
        <v>0</v>
      </c>
      <c r="Q59">
        <v>0</v>
      </c>
      <c r="R59">
        <v>85000</v>
      </c>
      <c r="S59">
        <v>0</v>
      </c>
      <c r="T59">
        <v>0</v>
      </c>
      <c r="V59">
        <v>0</v>
      </c>
      <c r="W59">
        <v>8</v>
      </c>
      <c r="X59">
        <v>85</v>
      </c>
      <c r="Y59">
        <v>3</v>
      </c>
      <c r="Z59">
        <v>4</v>
      </c>
      <c r="AA59">
        <v>5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97</v>
      </c>
      <c r="AM59">
        <v>50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10</v>
      </c>
      <c r="AU59">
        <v>0</v>
      </c>
      <c r="AV59">
        <v>0</v>
      </c>
    </row>
    <row r="60" spans="1:48" ht="12.75">
      <c r="A60" s="2" t="str">
        <f>HYPERLINK("https://ibp.a2mac1.com/costing(costing:projects/details/8191/equipment/6942698)","No.01 - Buhler ladel Model 4,5L ")</f>
        <v xml:space="preserve">No.01 - Buhler ladel Model 4,5L </v>
      </c>
      <c r="B60">
        <v>6942698</v>
      </c>
      <c r="C60">
        <v>6970263</v>
      </c>
      <c r="H60" t="s">
        <v>136</v>
      </c>
      <c r="I60">
        <v>4348.7082399999999</v>
      </c>
      <c r="J60">
        <v>0</v>
      </c>
      <c r="K60">
        <v>0.78400000000000003</v>
      </c>
      <c r="L60">
        <v>0</v>
      </c>
      <c r="M60">
        <v>1.6838245323047252</v>
      </c>
      <c r="N60">
        <v>0</v>
      </c>
      <c r="O60">
        <v>0.028063742205078752</v>
      </c>
      <c r="P60">
        <v>0</v>
      </c>
      <c r="Q60">
        <v>2.5257367984570877E-05</v>
      </c>
      <c r="R60">
        <v>25000</v>
      </c>
      <c r="S60">
        <v>0</v>
      </c>
      <c r="T60">
        <v>0</v>
      </c>
      <c r="V60">
        <v>900</v>
      </c>
      <c r="W60">
        <v>8</v>
      </c>
      <c r="X60">
        <v>85</v>
      </c>
      <c r="Y60">
        <v>3</v>
      </c>
      <c r="Z60">
        <v>4</v>
      </c>
      <c r="AA60">
        <v>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98</v>
      </c>
      <c r="AM60">
        <v>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9</v>
      </c>
      <c r="AU60">
        <v>0</v>
      </c>
      <c r="AV60">
        <v>0</v>
      </c>
    </row>
    <row r="61" spans="1:48" ht="12.75">
      <c r="A61" s="2" t="str">
        <f>HYPERLINK("https://ibp.a2mac1.com/costing(costing:projects/details/8191/equipment/6942699)","No.04 - Idra - OL 900S ")</f>
        <v xml:space="preserve">No.04 - Idra - OL 900S </v>
      </c>
      <c r="B61">
        <v>6942699</v>
      </c>
      <c r="C61">
        <v>6970264</v>
      </c>
      <c r="H61" t="s">
        <v>136</v>
      </c>
      <c r="I61">
        <v>88337.267999999996</v>
      </c>
      <c r="J61">
        <v>0</v>
      </c>
      <c r="K61">
        <v>5.1327199999999999</v>
      </c>
      <c r="L61">
        <v>0</v>
      </c>
      <c r="M61">
        <v>24.47332880745741</v>
      </c>
      <c r="N61">
        <v>0</v>
      </c>
      <c r="O61">
        <v>0.40788881345762351</v>
      </c>
      <c r="P61">
        <v>0</v>
      </c>
      <c r="Q61">
        <v>0.0059512570568948887</v>
      </c>
      <c r="R61">
        <v>640000</v>
      </c>
      <c r="S61">
        <v>0</v>
      </c>
      <c r="T61">
        <v>0</v>
      </c>
      <c r="V61">
        <v>7200</v>
      </c>
      <c r="W61">
        <v>10</v>
      </c>
      <c r="X61">
        <v>85</v>
      </c>
      <c r="Y61">
        <v>3</v>
      </c>
      <c r="Z61">
        <v>4</v>
      </c>
      <c r="AA61">
        <v>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</v>
      </c>
      <c r="AJ61">
        <v>0</v>
      </c>
      <c r="AK61">
        <v>0</v>
      </c>
      <c r="AL61">
        <v>93</v>
      </c>
      <c r="AM61">
        <v>67.50</v>
      </c>
      <c r="AN61">
        <v>0</v>
      </c>
      <c r="AO61">
        <v>0</v>
      </c>
      <c r="AP61">
        <v>0</v>
      </c>
      <c r="AQ61">
        <v>4</v>
      </c>
      <c r="AR61">
        <v>0</v>
      </c>
      <c r="AS61">
        <v>0</v>
      </c>
      <c r="AT61">
        <v>50</v>
      </c>
      <c r="AU61">
        <v>0</v>
      </c>
      <c r="AV61">
        <v>0</v>
      </c>
    </row>
    <row r="62" spans="1:48" ht="12.75">
      <c r="A62" s="2" t="str">
        <f>HYPERLINK("https://ibp.a2mac1.com/costing(costing:projects/details/8191/equipment/6942700)","No.04 - Headcutter - 1200x800x700 - 100kg/Mould ")</f>
        <v xml:space="preserve">No.04 - Headcutter - 1200x800x700 - 100kg/Mould </v>
      </c>
      <c r="B62">
        <v>6942700</v>
      </c>
      <c r="C62">
        <v>6970265</v>
      </c>
      <c r="H62" t="s">
        <v>136</v>
      </c>
      <c r="I62">
        <v>3736.1618400000002</v>
      </c>
      <c r="J62">
        <v>0</v>
      </c>
      <c r="K62">
        <v>0.52944000000000002</v>
      </c>
      <c r="L62">
        <v>0</v>
      </c>
      <c r="M62">
        <v>1.2805910511089682</v>
      </c>
      <c r="N62">
        <v>0</v>
      </c>
      <c r="O62">
        <v>0.010671592092574735</v>
      </c>
      <c r="P62">
        <v>0.034429000000000001</v>
      </c>
      <c r="Q62">
        <v>0.0003960160657666345</v>
      </c>
      <c r="R62">
        <v>18750</v>
      </c>
      <c r="S62">
        <v>0</v>
      </c>
      <c r="T62">
        <v>0</v>
      </c>
      <c r="V62">
        <v>900</v>
      </c>
      <c r="W62">
        <v>8</v>
      </c>
      <c r="X62">
        <v>85</v>
      </c>
      <c r="Y62">
        <v>3</v>
      </c>
      <c r="Z62">
        <v>4</v>
      </c>
      <c r="AA62">
        <v>5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2</v>
      </c>
      <c r="AJ62">
        <v>0</v>
      </c>
      <c r="AK62">
        <v>0</v>
      </c>
      <c r="AL62">
        <v>93</v>
      </c>
      <c r="AM62">
        <v>6</v>
      </c>
      <c r="AN62">
        <v>0</v>
      </c>
      <c r="AO62">
        <v>0</v>
      </c>
      <c r="AP62">
        <v>0</v>
      </c>
      <c r="AQ62">
        <v>3</v>
      </c>
      <c r="AR62">
        <v>0</v>
      </c>
      <c r="AS62">
        <v>0</v>
      </c>
      <c r="AT62">
        <v>19</v>
      </c>
      <c r="AU62">
        <v>0</v>
      </c>
      <c r="AV62">
        <v>0</v>
      </c>
    </row>
    <row r="63" spans="1:48" ht="12.75">
      <c r="A63" s="2" t="str">
        <f>HYPERLINK("https://ibp.a2mac1.com/costing(costing:projects/details/8191/equipment/6942701)","Laser marking line ")</f>
        <v xml:space="preserve">Laser marking line </v>
      </c>
      <c r="B63">
        <v>6942701</v>
      </c>
      <c r="C63">
        <v>6970266</v>
      </c>
      <c r="H63" t="s">
        <v>136</v>
      </c>
      <c r="I63">
        <v>14562.453600000001</v>
      </c>
      <c r="J63">
        <v>0</v>
      </c>
      <c r="K63">
        <v>0.21536</v>
      </c>
      <c r="L63">
        <v>0</v>
      </c>
      <c r="M63">
        <v>3.3996180520732882</v>
      </c>
      <c r="N63">
        <v>0</v>
      </c>
      <c r="O63">
        <v>0.02833015043394407</v>
      </c>
      <c r="P63">
        <v>0.034429000000000001</v>
      </c>
      <c r="Q63">
        <v>0.0009575914831243973</v>
      </c>
      <c r="R63">
        <v>105000</v>
      </c>
      <c r="S63">
        <v>0</v>
      </c>
      <c r="T63">
        <v>0</v>
      </c>
      <c r="V63">
        <v>3600</v>
      </c>
      <c r="W63">
        <v>10</v>
      </c>
      <c r="X63">
        <v>85</v>
      </c>
      <c r="Y63">
        <v>3</v>
      </c>
      <c r="Z63">
        <v>4</v>
      </c>
      <c r="AA63">
        <v>5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100</v>
      </c>
      <c r="AM63">
        <v>2</v>
      </c>
      <c r="AN63">
        <v>0</v>
      </c>
      <c r="AO63">
        <v>0</v>
      </c>
      <c r="AP63">
        <v>0</v>
      </c>
      <c r="AQ63">
        <v>2</v>
      </c>
      <c r="AR63">
        <v>0</v>
      </c>
      <c r="AS63">
        <v>0</v>
      </c>
      <c r="AT63">
        <v>10</v>
      </c>
      <c r="AU63">
        <v>0</v>
      </c>
      <c r="AV63">
        <v>0</v>
      </c>
    </row>
    <row r="64" spans="1:48" ht="12.75">
      <c r="A64" s="2" t="str">
        <f>HYPERLINK("https://ibp.a2mac1.com/costing(costing:projects/details/8191/equipment/6942702)","Machining Center, medium ")</f>
        <v xml:space="preserve">Machining Center, medium </v>
      </c>
      <c r="B64">
        <v>6942702</v>
      </c>
      <c r="C64">
        <v>6970267</v>
      </c>
      <c r="H64" t="s">
        <v>136</v>
      </c>
      <c r="I64">
        <v>97212.175199999998</v>
      </c>
      <c r="J64">
        <v>0</v>
      </c>
      <c r="K64">
        <v>4.3208000000000002</v>
      </c>
      <c r="L64">
        <v>0</v>
      </c>
      <c r="M64">
        <v>25.569944198007072</v>
      </c>
      <c r="N64">
        <v>0</v>
      </c>
      <c r="O64">
        <v>0.31962430247508838</v>
      </c>
      <c r="P64">
        <v>0.157003</v>
      </c>
      <c r="Q64">
        <v>0.006082850903760849</v>
      </c>
      <c r="R64">
        <v>700000</v>
      </c>
      <c r="S64">
        <v>0</v>
      </c>
      <c r="T64">
        <v>0</v>
      </c>
      <c r="V64">
        <v>7200</v>
      </c>
      <c r="W64">
        <v>10</v>
      </c>
      <c r="X64">
        <v>85</v>
      </c>
      <c r="Y64">
        <v>3</v>
      </c>
      <c r="Z64">
        <v>4</v>
      </c>
      <c r="AA64">
        <v>5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2</v>
      </c>
      <c r="AJ64">
        <v>0</v>
      </c>
      <c r="AK64">
        <v>0</v>
      </c>
      <c r="AL64">
        <v>25</v>
      </c>
      <c r="AM64">
        <v>133</v>
      </c>
      <c r="AN64">
        <v>0</v>
      </c>
      <c r="AO64">
        <v>0</v>
      </c>
      <c r="AP64">
        <v>0</v>
      </c>
      <c r="AQ64">
        <v>60</v>
      </c>
      <c r="AR64">
        <v>0</v>
      </c>
      <c r="AS64">
        <v>0</v>
      </c>
      <c r="AT64">
        <v>70</v>
      </c>
      <c r="AU64">
        <v>0</v>
      </c>
      <c r="AV64">
        <v>0</v>
      </c>
    </row>
    <row r="65" spans="1:48" ht="12.75">
      <c r="A65" s="2" t="str">
        <f>HYPERLINK("https://ibp.a2mac1.com/costing(costing:projects/details/8191/equipment/6942703)","Cleaning machine, run through ")</f>
        <v xml:space="preserve">Cleaning machine, run through </v>
      </c>
      <c r="B65">
        <v>6942703</v>
      </c>
      <c r="C65">
        <v>6970268</v>
      </c>
      <c r="H65" t="s">
        <v>136</v>
      </c>
      <c r="I65">
        <v>51904.814400000003</v>
      </c>
      <c r="J65">
        <v>0</v>
      </c>
      <c r="K65">
        <v>3.43072</v>
      </c>
      <c r="L65">
        <v>0</v>
      </c>
      <c r="M65">
        <v>14.770291584699454</v>
      </c>
      <c r="N65">
        <v>0</v>
      </c>
      <c r="O65">
        <v>0.12308576320582879</v>
      </c>
      <c r="P65">
        <v>0</v>
      </c>
      <c r="Q65">
        <v>0.00013665265792349728</v>
      </c>
      <c r="R65">
        <v>373000</v>
      </c>
      <c r="S65">
        <v>0</v>
      </c>
      <c r="T65">
        <v>0</v>
      </c>
      <c r="V65">
        <v>300</v>
      </c>
      <c r="W65">
        <v>10</v>
      </c>
      <c r="X65">
        <v>85</v>
      </c>
      <c r="Y65">
        <v>3</v>
      </c>
      <c r="Z65">
        <v>4</v>
      </c>
      <c r="AA65">
        <v>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100</v>
      </c>
      <c r="AM65">
        <v>41.50</v>
      </c>
      <c r="AN65">
        <v>0</v>
      </c>
      <c r="AO65">
        <v>0</v>
      </c>
      <c r="AP65">
        <v>0</v>
      </c>
      <c r="AQ65">
        <v>4</v>
      </c>
      <c r="AR65">
        <v>0</v>
      </c>
      <c r="AS65">
        <v>0</v>
      </c>
      <c r="AT65">
        <v>40</v>
      </c>
      <c r="AU65">
        <v>0</v>
      </c>
      <c r="AV65">
        <v>0</v>
      </c>
    </row>
    <row r="66" spans="1:48" ht="12.75">
      <c r="A66" s="2" t="str">
        <f>HYPERLINK("https://ibp.a2mac1.com/costing(costing:projects/details/8191/equipment/6942704)","Reaction Injection Molding Machine")</f>
        <v>Reaction Injection Molding Machine</v>
      </c>
      <c r="B66">
        <v>6942704</v>
      </c>
      <c r="C66">
        <v>6970269</v>
      </c>
      <c r="H66" t="s">
        <v>136</v>
      </c>
      <c r="I66">
        <v>172624.5359973</v>
      </c>
      <c r="J66">
        <v>0</v>
      </c>
      <c r="K66">
        <v>2.0276752</v>
      </c>
      <c r="L66">
        <v>0</v>
      </c>
      <c r="M66">
        <v>39.816896671600773</v>
      </c>
      <c r="N66">
        <v>0</v>
      </c>
      <c r="O66">
        <v>0.44240996301778635</v>
      </c>
      <c r="P66">
        <v>0.045905333333333333</v>
      </c>
      <c r="Q66">
        <v>0.0047139423004440694</v>
      </c>
      <c r="R66">
        <v>1249999.9999800001</v>
      </c>
      <c r="S66">
        <v>0</v>
      </c>
      <c r="T66">
        <v>0</v>
      </c>
      <c r="V66">
        <v>5400</v>
      </c>
      <c r="W66">
        <v>10</v>
      </c>
      <c r="X66">
        <v>85</v>
      </c>
      <c r="Y66">
        <v>3</v>
      </c>
      <c r="Z66">
        <v>4</v>
      </c>
      <c r="AA66">
        <v>5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100</v>
      </c>
      <c r="AM66">
        <v>25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0.04</v>
      </c>
      <c r="AT66">
        <v>100</v>
      </c>
      <c r="AU66">
        <v>0</v>
      </c>
      <c r="AV66">
        <v>0</v>
      </c>
    </row>
    <row r="67" spans="1:48" ht="12.75">
      <c r="A67" s="2" t="str">
        <f>HYPERLINK("https://ibp.a2mac1.com/costing(costing:projects/details/8191/equipment/6942705)","No.01 - Die cutting - PLOTTERMAX 1725 ALLROUNDER ")</f>
        <v xml:space="preserve">No.01 - Die cutting - PLOTTERMAX 1725 ALLROUNDER </v>
      </c>
      <c r="B67">
        <v>6942705</v>
      </c>
      <c r="C67">
        <v>6970270</v>
      </c>
      <c r="H67" t="s">
        <v>136</v>
      </c>
      <c r="I67">
        <v>21501.553710728571</v>
      </c>
      <c r="J67">
        <v>0</v>
      </c>
      <c r="K67">
        <v>0.08</v>
      </c>
      <c r="L67">
        <v>0</v>
      </c>
      <c r="M67">
        <v>4.4196904065780407</v>
      </c>
      <c r="N67">
        <v>0</v>
      </c>
      <c r="O67">
        <v>0.012276917796050115</v>
      </c>
      <c r="P67">
        <v>0.011476333333333333</v>
      </c>
      <c r="Q67">
        <v>0.00050939791219734118</v>
      </c>
      <c r="R67">
        <v>109999.99997999999</v>
      </c>
      <c r="S67">
        <v>0</v>
      </c>
      <c r="T67">
        <v>0</v>
      </c>
      <c r="V67">
        <v>1800</v>
      </c>
      <c r="W67">
        <v>7</v>
      </c>
      <c r="X67">
        <v>85</v>
      </c>
      <c r="Y67">
        <v>3</v>
      </c>
      <c r="Z67">
        <v>4</v>
      </c>
      <c r="AA67">
        <v>5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100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50</v>
      </c>
      <c r="AU67">
        <v>0</v>
      </c>
      <c r="AV67">
        <v>0</v>
      </c>
    </row>
    <row r="68" spans="1:48" ht="12.75">
      <c r="A68" s="2" t="str">
        <f>HYPERLINK("https://ibp.a2mac1.com/costing(costing:projects/details/8191/equipment/6942706)","Simple Assembly Cell ")</f>
        <v xml:space="preserve">Simple Assembly Cell </v>
      </c>
      <c r="B68">
        <v>6942706</v>
      </c>
      <c r="C68">
        <v>6970271</v>
      </c>
      <c r="H68" t="s">
        <v>136</v>
      </c>
      <c r="I68">
        <v>6462.4535999999998</v>
      </c>
      <c r="J68">
        <v>0</v>
      </c>
      <c r="K68">
        <v>0.16</v>
      </c>
      <c r="L68">
        <v>0</v>
      </c>
      <c r="M68">
        <v>1.5602657666345228</v>
      </c>
      <c r="N68">
        <v>0</v>
      </c>
      <c r="O68">
        <v>0.39006644165863069</v>
      </c>
      <c r="P68">
        <v>2.0899200000000002</v>
      </c>
      <c r="Q68">
        <v>0.00021180758649951784</v>
      </c>
      <c r="R68">
        <v>45000</v>
      </c>
      <c r="S68">
        <v>0</v>
      </c>
      <c r="T68">
        <v>0</v>
      </c>
      <c r="V68">
        <v>900</v>
      </c>
      <c r="W68">
        <v>10</v>
      </c>
      <c r="X68">
        <v>85</v>
      </c>
      <c r="Y68">
        <v>3</v>
      </c>
      <c r="Z68">
        <v>4</v>
      </c>
      <c r="AA68">
        <v>5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100</v>
      </c>
      <c r="AM68">
        <v>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10</v>
      </c>
      <c r="AU68">
        <v>0</v>
      </c>
      <c r="AV68">
        <v>0</v>
      </c>
    </row>
    <row r="69" spans="1:48" ht="12.75">
      <c r="A69" s="2" t="str">
        <f>HYPERLINK("https://ibp.a2mac1.com/costing(costing:projects/details/8191/equipment/6942523)","DC machine - General")</f>
        <v>DC machine - General</v>
      </c>
      <c r="B69">
        <v>6942523</v>
      </c>
      <c r="C69">
        <v>6970087</v>
      </c>
      <c r="E69" t="s">
        <v>659</v>
      </c>
      <c r="H69" t="s">
        <v>136</v>
      </c>
      <c r="I69">
        <v>116914.84457142858</v>
      </c>
      <c r="J69">
        <v>0</v>
      </c>
      <c r="K69">
        <v>3.60</v>
      </c>
      <c r="L69">
        <v>0</v>
      </c>
      <c r="M69">
        <v>27.497982091197134</v>
      </c>
      <c r="N69">
        <v>0</v>
      </c>
      <c r="O69">
        <v>0.64161958212793313</v>
      </c>
      <c r="P69">
        <v>0.096401200000000006</v>
      </c>
      <c r="Q69">
        <v>0.019553610627359139</v>
      </c>
      <c r="R69">
        <v>635568</v>
      </c>
      <c r="S69">
        <v>0</v>
      </c>
      <c r="T69">
        <v>0</v>
      </c>
      <c r="V69">
        <v>10800</v>
      </c>
      <c r="W69">
        <v>7</v>
      </c>
      <c r="X69">
        <v>85</v>
      </c>
      <c r="Y69">
        <v>3</v>
      </c>
      <c r="Z69">
        <v>4</v>
      </c>
      <c r="AA69">
        <v>5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3</v>
      </c>
      <c r="AJ69">
        <v>0</v>
      </c>
      <c r="AK69">
        <v>0</v>
      </c>
      <c r="AL69">
        <v>100</v>
      </c>
      <c r="AM69">
        <v>45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100</v>
      </c>
      <c r="AU69">
        <v>0</v>
      </c>
      <c r="AV69">
        <v>0</v>
      </c>
    </row>
    <row r="70" spans="1:48" ht="12.75">
      <c r="A70" s="2" t="str">
        <f>HYPERLINK("https://ibp.a2mac1.com/costing(costing:projects/details/8191/equipment/6942530)","No.02 - Injection Press - 60T - 25kW - 320x320 - Max Volume 164cm3 ")</f>
        <v xml:space="preserve">No.02 - Injection Press - 60T - 25kW - 320x320 - Max Volume 164cm3 </v>
      </c>
      <c r="B70">
        <v>6942530</v>
      </c>
      <c r="C70">
        <v>6970220</v>
      </c>
      <c r="E70" t="s">
        <v>499</v>
      </c>
      <c r="H70" t="s">
        <v>136</v>
      </c>
      <c r="I70">
        <v>16929.888640000001</v>
      </c>
      <c r="J70">
        <v>0</v>
      </c>
      <c r="K70">
        <v>1.9124000000000001</v>
      </c>
      <c r="L70">
        <v>0</v>
      </c>
      <c r="M70">
        <v>5.4369722661523623</v>
      </c>
      <c r="N70">
        <v>0</v>
      </c>
      <c r="O70">
        <v>0.022507705938804242</v>
      </c>
      <c r="P70">
        <v>0.0042758235825000003</v>
      </c>
      <c r="Q70">
        <v>0.0036668942719382835</v>
      </c>
      <c r="R70">
        <v>100000</v>
      </c>
      <c r="S70">
        <v>0</v>
      </c>
      <c r="T70">
        <v>0</v>
      </c>
      <c r="V70">
        <v>7200</v>
      </c>
      <c r="W70">
        <v>8</v>
      </c>
      <c r="X70">
        <v>85</v>
      </c>
      <c r="Y70">
        <v>3</v>
      </c>
      <c r="Z70">
        <v>4</v>
      </c>
      <c r="AA70">
        <v>5</v>
      </c>
      <c r="AB70">
        <v>0</v>
      </c>
      <c r="AC70">
        <v>0</v>
      </c>
      <c r="AD70">
        <v>0</v>
      </c>
      <c r="AE70">
        <v>0</v>
      </c>
      <c r="AF70">
        <v>0.25</v>
      </c>
      <c r="AG70">
        <v>0</v>
      </c>
      <c r="AH70">
        <v>0</v>
      </c>
      <c r="AI70">
        <v>2</v>
      </c>
      <c r="AJ70">
        <v>0</v>
      </c>
      <c r="AK70">
        <v>0</v>
      </c>
      <c r="AL70">
        <v>97</v>
      </c>
      <c r="AM70">
        <v>24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24</v>
      </c>
      <c r="AU70">
        <v>0.05</v>
      </c>
      <c r="AV70">
        <v>0</v>
      </c>
    </row>
    <row r="71" spans="1:48" ht="12.75">
      <c r="A71" s="2" t="str">
        <f>HYPERLINK("https://ibp.a2mac1.com/costing(costing:projects/details/8191/equipment/6942531)","No.06 - Injection Press - 200T - 45kW - 510x510 - Max Volume 624cm3 ")</f>
        <v xml:space="preserve">No.06 - Injection Press - 200T - 45kW - 510x510 - Max Volume 624cm3 </v>
      </c>
      <c r="B71">
        <v>6942531</v>
      </c>
      <c r="C71">
        <v>6970221</v>
      </c>
      <c r="E71" t="s">
        <v>499</v>
      </c>
      <c r="H71" t="s">
        <v>136</v>
      </c>
      <c r="I71">
        <v>34247.230880000003</v>
      </c>
      <c r="J71">
        <v>0</v>
      </c>
      <c r="K71">
        <v>2.6539999999999999</v>
      </c>
      <c r="L71">
        <v>0</v>
      </c>
      <c r="M71">
        <v>9.7654160848601741</v>
      </c>
      <c r="N71">
        <v>0</v>
      </c>
      <c r="O71">
        <v>0.048466926453860068</v>
      </c>
      <c r="P71">
        <v>0.0051262571805833334</v>
      </c>
      <c r="Q71">
        <v>0.0041863075301832205</v>
      </c>
      <c r="R71">
        <v>200000</v>
      </c>
      <c r="S71">
        <v>0</v>
      </c>
      <c r="T71">
        <v>0</v>
      </c>
      <c r="V71">
        <v>7200</v>
      </c>
      <c r="W71">
        <v>8</v>
      </c>
      <c r="X71">
        <v>85</v>
      </c>
      <c r="Y71">
        <v>3</v>
      </c>
      <c r="Z71">
        <v>4</v>
      </c>
      <c r="AA71">
        <v>5</v>
      </c>
      <c r="AB71">
        <v>0</v>
      </c>
      <c r="AC71">
        <v>0</v>
      </c>
      <c r="AD71">
        <v>0</v>
      </c>
      <c r="AE71">
        <v>0</v>
      </c>
      <c r="AF71">
        <v>0.25</v>
      </c>
      <c r="AG71">
        <v>0</v>
      </c>
      <c r="AH71">
        <v>0</v>
      </c>
      <c r="AI71">
        <v>2</v>
      </c>
      <c r="AJ71">
        <v>0</v>
      </c>
      <c r="AK71">
        <v>0</v>
      </c>
      <c r="AL71">
        <v>93</v>
      </c>
      <c r="AM71">
        <v>35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58</v>
      </c>
      <c r="AU71">
        <v>0.05</v>
      </c>
      <c r="AV71">
        <v>0</v>
      </c>
    </row>
    <row r="72" spans="1:48" ht="12.75">
      <c r="A72" s="2" t="str">
        <f>HYPERLINK("https://ibp.a2mac1.com/costing(costing:projects/details/8191/equipment/6942532)","No.02 - Injection Press - 60T - 25kW - 320x320 - Max Volume 164cm3 ")</f>
        <v xml:space="preserve">No.02 - Injection Press - 60T - 25kW - 320x320 - Max Volume 164cm3 </v>
      </c>
      <c r="B72">
        <v>6942532</v>
      </c>
      <c r="C72">
        <v>6970222</v>
      </c>
      <c r="E72" t="s">
        <v>499</v>
      </c>
      <c r="H72" t="s">
        <v>136</v>
      </c>
      <c r="I72">
        <v>16929.888640000001</v>
      </c>
      <c r="J72">
        <v>0</v>
      </c>
      <c r="K72">
        <v>1.9124000000000001</v>
      </c>
      <c r="L72">
        <v>0</v>
      </c>
      <c r="M72">
        <v>5.4369722661523623</v>
      </c>
      <c r="N72">
        <v>0</v>
      </c>
      <c r="O72">
        <v>0.022063188147944071</v>
      </c>
      <c r="P72">
        <v>0.0041913778527500004</v>
      </c>
      <c r="Q72">
        <v>0.0036668942719382835</v>
      </c>
      <c r="R72">
        <v>100000</v>
      </c>
      <c r="S72">
        <v>0</v>
      </c>
      <c r="T72">
        <v>0</v>
      </c>
      <c r="V72">
        <v>7200</v>
      </c>
      <c r="W72">
        <v>8</v>
      </c>
      <c r="X72">
        <v>85</v>
      </c>
      <c r="Y72">
        <v>3</v>
      </c>
      <c r="Z72">
        <v>4</v>
      </c>
      <c r="AA72">
        <v>5</v>
      </c>
      <c r="AB72">
        <v>0</v>
      </c>
      <c r="AC72">
        <v>0</v>
      </c>
      <c r="AD72">
        <v>0</v>
      </c>
      <c r="AE72">
        <v>0</v>
      </c>
      <c r="AF72">
        <v>0.25</v>
      </c>
      <c r="AG72">
        <v>0</v>
      </c>
      <c r="AH72">
        <v>0</v>
      </c>
      <c r="AI72">
        <v>2</v>
      </c>
      <c r="AJ72">
        <v>0</v>
      </c>
      <c r="AK72">
        <v>0</v>
      </c>
      <c r="AL72">
        <v>97</v>
      </c>
      <c r="AM72">
        <v>24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24</v>
      </c>
      <c r="AU72">
        <v>0.05</v>
      </c>
      <c r="AV72">
        <v>0</v>
      </c>
    </row>
    <row r="73" spans="1:48" ht="12.75">
      <c r="A73" s="2" t="str">
        <f>HYPERLINK("https://ibp.a2mac1.com/costing(costing:projects/details/8191/equipment/6942798)","Dummy Machine (PCBA+Final Assembly Line)")</f>
        <v>Dummy Machine (PCBA+Final Assembly Line)</v>
      </c>
      <c r="B73">
        <v>6942798</v>
      </c>
      <c r="C73">
        <v>6970273</v>
      </c>
      <c r="F73" t="s">
        <v>559</v>
      </c>
      <c r="H73" t="s">
        <v>136</v>
      </c>
      <c r="I73">
        <v>79501.662769714283</v>
      </c>
      <c r="J73">
        <v>0</v>
      </c>
      <c r="K73">
        <v>0.28895999999999999</v>
      </c>
      <c r="L73">
        <v>0</v>
      </c>
      <c r="M73">
        <v>16.624578413647427</v>
      </c>
      <c r="N73">
        <v>0</v>
      </c>
      <c r="O73">
        <v>1.0852155353353181</v>
      </c>
      <c r="P73">
        <v>0.18878568333333334</v>
      </c>
      <c r="Q73">
        <v>6.889185508913073E-05</v>
      </c>
      <c r="R73">
        <v>442771.10</v>
      </c>
      <c r="S73">
        <v>0</v>
      </c>
      <c r="T73">
        <v>0</v>
      </c>
      <c r="V73">
        <v>216</v>
      </c>
      <c r="W73">
        <v>7</v>
      </c>
      <c r="X73">
        <v>85</v>
      </c>
      <c r="Y73">
        <v>3</v>
      </c>
      <c r="Z73">
        <v>4</v>
      </c>
      <c r="AA73">
        <v>5</v>
      </c>
      <c r="AB73">
        <v>0</v>
      </c>
      <c r="AC73">
        <v>0</v>
      </c>
      <c r="AD73">
        <v>0</v>
      </c>
      <c r="AE73">
        <v>0</v>
      </c>
      <c r="AF73">
        <v>0.70</v>
      </c>
      <c r="AG73">
        <v>0</v>
      </c>
      <c r="AH73">
        <v>0</v>
      </c>
      <c r="AI73">
        <v>0.20</v>
      </c>
      <c r="AJ73">
        <v>0</v>
      </c>
      <c r="AK73">
        <v>0</v>
      </c>
      <c r="AL73">
        <v>86</v>
      </c>
      <c r="AM73">
        <v>4.20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19.40</v>
      </c>
      <c r="AU73">
        <v>0</v>
      </c>
      <c r="AV73">
        <v>0</v>
      </c>
    </row>
    <row r="74" spans="1:48" ht="12.75">
      <c r="A74" s="2" t="str">
        <f>HYPERLINK("https://ibp.a2mac1.com/costing(costing:projects/details/8191/equipment/6942799)","Dummy Machine (PCBA+Final Assembly Line)")</f>
        <v>Dummy Machine (PCBA+Final Assembly Line)</v>
      </c>
      <c r="B74">
        <v>6942799</v>
      </c>
      <c r="C74">
        <v>6970274</v>
      </c>
      <c r="F74" t="s">
        <v>559</v>
      </c>
      <c r="H74" t="s">
        <v>136</v>
      </c>
      <c r="I74">
        <v>79501.662769714283</v>
      </c>
      <c r="J74">
        <v>0</v>
      </c>
      <c r="K74">
        <v>0.28895999999999999</v>
      </c>
      <c r="L74">
        <v>0</v>
      </c>
      <c r="M74">
        <v>16.624578413647427</v>
      </c>
      <c r="N74">
        <v>0</v>
      </c>
      <c r="O74">
        <v>0.36943507585883167</v>
      </c>
      <c r="P74">
        <v>0.064267466666666662</v>
      </c>
      <c r="Q74">
        <v>6.889185508913073E-05</v>
      </c>
      <c r="R74">
        <v>442771.10</v>
      </c>
      <c r="S74">
        <v>0</v>
      </c>
      <c r="T74">
        <v>0</v>
      </c>
      <c r="V74">
        <v>216</v>
      </c>
      <c r="W74">
        <v>7</v>
      </c>
      <c r="X74">
        <v>85</v>
      </c>
      <c r="Y74">
        <v>3</v>
      </c>
      <c r="Z74">
        <v>4</v>
      </c>
      <c r="AA74">
        <v>5</v>
      </c>
      <c r="AB74">
        <v>0</v>
      </c>
      <c r="AC74">
        <v>0</v>
      </c>
      <c r="AD74">
        <v>0</v>
      </c>
      <c r="AE74">
        <v>0</v>
      </c>
      <c r="AF74">
        <v>0.70</v>
      </c>
      <c r="AG74">
        <v>0</v>
      </c>
      <c r="AH74">
        <v>0</v>
      </c>
      <c r="AI74">
        <v>0.20</v>
      </c>
      <c r="AJ74">
        <v>0</v>
      </c>
      <c r="AK74">
        <v>0</v>
      </c>
      <c r="AL74">
        <v>86</v>
      </c>
      <c r="AM74">
        <v>4.20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19.40</v>
      </c>
      <c r="AU74">
        <v>0</v>
      </c>
      <c r="AV74">
        <v>0</v>
      </c>
    </row>
    <row r="75" spans="1:48" ht="12.75">
      <c r="A75" s="2" t="str">
        <f>HYPERLINK("https://ibp.a2mac1.com/costing(costing:projects/details/8191/equipment/6942800)","DC machine - General")</f>
        <v>DC machine - General</v>
      </c>
      <c r="B75">
        <v>6942800</v>
      </c>
      <c r="C75">
        <v>6970275</v>
      </c>
      <c r="H75" t="s">
        <v>136</v>
      </c>
      <c r="I75">
        <v>116914.84457142858</v>
      </c>
      <c r="J75">
        <v>0</v>
      </c>
      <c r="K75">
        <v>3.60</v>
      </c>
      <c r="L75">
        <v>0</v>
      </c>
      <c r="M75">
        <v>27.497982091197134</v>
      </c>
      <c r="N75">
        <v>0</v>
      </c>
      <c r="O75">
        <v>2.5915279208308428</v>
      </c>
      <c r="P75">
        <v>0.38936841761133334</v>
      </c>
      <c r="Q75">
        <v>0.011732166376415484</v>
      </c>
      <c r="R75">
        <v>635568</v>
      </c>
      <c r="S75">
        <v>0</v>
      </c>
      <c r="T75">
        <v>0</v>
      </c>
      <c r="V75">
        <v>10800</v>
      </c>
      <c r="W75">
        <v>7</v>
      </c>
      <c r="X75">
        <v>85</v>
      </c>
      <c r="Y75">
        <v>3</v>
      </c>
      <c r="Z75">
        <v>4</v>
      </c>
      <c r="AA75">
        <v>5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3</v>
      </c>
      <c r="AJ75">
        <v>0</v>
      </c>
      <c r="AK75">
        <v>0</v>
      </c>
      <c r="AL75">
        <v>100</v>
      </c>
      <c r="AM75">
        <v>45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100</v>
      </c>
      <c r="AU75">
        <v>0</v>
      </c>
      <c r="AV75">
        <v>0</v>
      </c>
    </row>
    <row r="76" spans="1:48" ht="12.75">
      <c r="A76" s="2" t="str">
        <f>HYPERLINK("https://ibp.a2mac1.com/costing(costing:projects/details/8191/equipment/6942801)","DC machine - General")</f>
        <v>DC machine - General</v>
      </c>
      <c r="B76">
        <v>6942801</v>
      </c>
      <c r="C76">
        <v>6970296</v>
      </c>
      <c r="H76" t="s">
        <v>136</v>
      </c>
      <c r="I76">
        <v>116914.84457142858</v>
      </c>
      <c r="J76">
        <v>0</v>
      </c>
      <c r="K76">
        <v>3.60</v>
      </c>
      <c r="L76">
        <v>0</v>
      </c>
      <c r="M76">
        <v>27.497982091197134</v>
      </c>
      <c r="N76">
        <v>0</v>
      </c>
      <c r="O76">
        <v>1.3187092696550029</v>
      </c>
      <c r="P76">
        <v>0.19813166491</v>
      </c>
      <c r="Q76">
        <v>0.011732166376415484</v>
      </c>
      <c r="R76">
        <v>635568</v>
      </c>
      <c r="S76">
        <v>0</v>
      </c>
      <c r="T76">
        <v>0</v>
      </c>
      <c r="V76">
        <v>10800</v>
      </c>
      <c r="W76">
        <v>7</v>
      </c>
      <c r="X76">
        <v>85</v>
      </c>
      <c r="Y76">
        <v>3</v>
      </c>
      <c r="Z76">
        <v>4</v>
      </c>
      <c r="AA76">
        <v>5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3</v>
      </c>
      <c r="AJ76">
        <v>0</v>
      </c>
      <c r="AK76">
        <v>0</v>
      </c>
      <c r="AL76">
        <v>100</v>
      </c>
      <c r="AM76">
        <v>45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100</v>
      </c>
      <c r="AU76">
        <v>0</v>
      </c>
      <c r="AV76">
        <v>0</v>
      </c>
    </row>
    <row r="77" spans="1:48" ht="12.75">
      <c r="A77" s="2" t="str">
        <f>HYPERLINK("https://ibp.a2mac1.com/costing(costing:projects/details/8191/equipment/6942808)","No.01 - Progressive Press - 250T ")</f>
        <v xml:space="preserve">No.01 - Progressive Press - 250T </v>
      </c>
      <c r="B77">
        <v>6942808</v>
      </c>
      <c r="C77">
        <v>6970322</v>
      </c>
      <c r="E77" t="s">
        <v>499</v>
      </c>
      <c r="H77" t="s">
        <v>136</v>
      </c>
      <c r="I77">
        <v>295789.00731428573</v>
      </c>
      <c r="J77">
        <v>0</v>
      </c>
      <c r="K77">
        <v>5.82</v>
      </c>
      <c r="L77">
        <v>0</v>
      </c>
      <c r="M77">
        <v>66.618618983331032</v>
      </c>
      <c r="N77">
        <v>0</v>
      </c>
      <c r="O77">
        <v>0.031647730103189602</v>
      </c>
      <c r="P77">
        <v>0.0019626940030000001</v>
      </c>
      <c r="Q77">
        <v>0.0011876828847499656</v>
      </c>
      <c r="R77">
        <v>1650000</v>
      </c>
      <c r="S77">
        <v>0</v>
      </c>
      <c r="T77">
        <v>0</v>
      </c>
      <c r="V77">
        <v>1800</v>
      </c>
      <c r="W77">
        <v>7</v>
      </c>
      <c r="X77">
        <v>85</v>
      </c>
      <c r="Y77">
        <v>3</v>
      </c>
      <c r="Z77">
        <v>4</v>
      </c>
      <c r="AA77">
        <v>5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87</v>
      </c>
      <c r="AM77">
        <v>75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60</v>
      </c>
      <c r="AU77">
        <v>0.60</v>
      </c>
      <c r="AV77">
        <v>0</v>
      </c>
    </row>
    <row r="78" spans="1:48" ht="12.75">
      <c r="A78" s="2" t="str">
        <f>HYPERLINK("https://ibp.a2mac1.com/costing(costing:projects/details/8191/equipment/6942809)","No.02 - Injection Press - 60T - 25kW - 320x320 - Max Volume 164cm3 ")</f>
        <v xml:space="preserve">No.02 - Injection Press - 60T - 25kW - 320x320 - Max Volume 164cm3 </v>
      </c>
      <c r="B78">
        <v>6942809</v>
      </c>
      <c r="C78">
        <v>6970323</v>
      </c>
      <c r="E78" t="s">
        <v>499</v>
      </c>
      <c r="H78" t="s">
        <v>136</v>
      </c>
      <c r="I78">
        <v>16929.888640000001</v>
      </c>
      <c r="J78">
        <v>0</v>
      </c>
      <c r="K78">
        <v>1.9124000000000001</v>
      </c>
      <c r="L78">
        <v>0</v>
      </c>
      <c r="M78">
        <v>5.4369722661523623</v>
      </c>
      <c r="N78">
        <v>0</v>
      </c>
      <c r="O78">
        <v>0.023070266438642881</v>
      </c>
      <c r="P78">
        <v>0.0043826940675833334</v>
      </c>
      <c r="Q78">
        <v>0.0018334471359691417</v>
      </c>
      <c r="R78">
        <v>100000</v>
      </c>
      <c r="S78">
        <v>0</v>
      </c>
      <c r="T78">
        <v>0</v>
      </c>
      <c r="V78">
        <v>7200</v>
      </c>
      <c r="W78">
        <v>8</v>
      </c>
      <c r="X78">
        <v>85</v>
      </c>
      <c r="Y78">
        <v>3</v>
      </c>
      <c r="Z78">
        <v>4</v>
      </c>
      <c r="AA78">
        <v>5</v>
      </c>
      <c r="AB78">
        <v>0</v>
      </c>
      <c r="AC78">
        <v>0</v>
      </c>
      <c r="AD78">
        <v>0</v>
      </c>
      <c r="AE78">
        <v>0</v>
      </c>
      <c r="AF78">
        <v>0.25</v>
      </c>
      <c r="AG78">
        <v>0</v>
      </c>
      <c r="AH78">
        <v>0</v>
      </c>
      <c r="AI78">
        <v>2</v>
      </c>
      <c r="AJ78">
        <v>0</v>
      </c>
      <c r="AK78">
        <v>0</v>
      </c>
      <c r="AL78">
        <v>97</v>
      </c>
      <c r="AM78">
        <v>24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24</v>
      </c>
      <c r="AU78">
        <v>0.05</v>
      </c>
      <c r="AV78">
        <v>0</v>
      </c>
    </row>
    <row r="79" spans="1:48" ht="12.75">
      <c r="A79" s="2" t="str">
        <f>HYPERLINK("https://ibp.a2mac1.com/costing(costing:projects/details/8191/equipment/6942802)","DC machine - General")</f>
        <v>DC machine - General</v>
      </c>
      <c r="B79">
        <v>6942802</v>
      </c>
      <c r="C79">
        <v>6970297</v>
      </c>
      <c r="H79" t="s">
        <v>136</v>
      </c>
      <c r="I79">
        <v>116914.84457142858</v>
      </c>
      <c r="J79">
        <v>0</v>
      </c>
      <c r="K79">
        <v>3.60</v>
      </c>
      <c r="L79">
        <v>0</v>
      </c>
      <c r="M79">
        <v>27.497982091197134</v>
      </c>
      <c r="N79">
        <v>0</v>
      </c>
      <c r="O79">
        <v>1.5006726595297684</v>
      </c>
      <c r="P79">
        <v>0.22547105670633333</v>
      </c>
      <c r="Q79">
        <v>0.0058660831882077422</v>
      </c>
      <c r="R79">
        <v>635568</v>
      </c>
      <c r="S79">
        <v>0</v>
      </c>
      <c r="T79">
        <v>0</v>
      </c>
      <c r="V79">
        <v>10800</v>
      </c>
      <c r="W79">
        <v>7</v>
      </c>
      <c r="X79">
        <v>85</v>
      </c>
      <c r="Y79">
        <v>3</v>
      </c>
      <c r="Z79">
        <v>4</v>
      </c>
      <c r="AA79">
        <v>5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3</v>
      </c>
      <c r="AJ79">
        <v>0</v>
      </c>
      <c r="AK79">
        <v>0</v>
      </c>
      <c r="AL79">
        <v>100</v>
      </c>
      <c r="AM79">
        <v>45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100</v>
      </c>
      <c r="AU79">
        <v>0</v>
      </c>
      <c r="AV79">
        <v>0</v>
      </c>
    </row>
    <row r="80" spans="1:48" ht="12.75">
      <c r="A80" s="2" t="str">
        <f>HYPERLINK("https://ibp.a2mac1.com/costing(costing:projects/details/8191/equipment/6942810)","Equipment (Injection Molding)")</f>
        <v>Equipment (Injection Molding)</v>
      </c>
      <c r="B80">
        <v>6942810</v>
      </c>
      <c r="C80">
        <v>6970324</v>
      </c>
      <c r="H80" t="s">
        <v>136</v>
      </c>
      <c r="I80">
        <v>5217.8842979999999</v>
      </c>
      <c r="J80">
        <v>0</v>
      </c>
      <c r="K80">
        <v>0.22176000000000001</v>
      </c>
      <c r="L80">
        <v>0</v>
      </c>
      <c r="M80">
        <v>1.2831364541947927</v>
      </c>
      <c r="N80">
        <v>0</v>
      </c>
      <c r="O80">
        <v>0.021385607569913211</v>
      </c>
      <c r="P80">
        <v>0.0013633884</v>
      </c>
      <c r="Q80">
        <v>0.0001176281113034378</v>
      </c>
      <c r="R80">
        <v>27720</v>
      </c>
      <c r="S80">
        <v>0</v>
      </c>
      <c r="T80">
        <v>0</v>
      </c>
      <c r="V80">
        <v>267.30</v>
      </c>
      <c r="W80">
        <v>7</v>
      </c>
      <c r="X80">
        <v>85</v>
      </c>
      <c r="Y80">
        <v>3</v>
      </c>
      <c r="Z80">
        <v>4</v>
      </c>
      <c r="AA80">
        <v>5</v>
      </c>
      <c r="AB80">
        <v>0</v>
      </c>
      <c r="AC80">
        <v>0</v>
      </c>
      <c r="AD80">
        <v>0</v>
      </c>
      <c r="AE80">
        <v>0</v>
      </c>
      <c r="AF80">
        <v>0.019800000000000002</v>
      </c>
      <c r="AG80">
        <v>0</v>
      </c>
      <c r="AH80">
        <v>0</v>
      </c>
      <c r="AI80">
        <v>2</v>
      </c>
      <c r="AJ80">
        <v>0</v>
      </c>
      <c r="AK80">
        <v>0</v>
      </c>
      <c r="AL80">
        <v>80</v>
      </c>
      <c r="AM80">
        <v>3.465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7.425</v>
      </c>
      <c r="AU80">
        <v>0</v>
      </c>
      <c r="AV80">
        <v>0</v>
      </c>
    </row>
    <row r="81" spans="1:48" ht="12.75">
      <c r="A81" s="2" t="str">
        <f>HYPERLINK("https://ibp.a2mac1.com/costing(costing:projects/details/8191/equipment/6942811)","DC machine - General")</f>
        <v>DC machine - General</v>
      </c>
      <c r="B81">
        <v>6942811</v>
      </c>
      <c r="C81">
        <v>6970325</v>
      </c>
      <c r="E81" t="s">
        <v>659</v>
      </c>
      <c r="H81" t="s">
        <v>136</v>
      </c>
      <c r="I81">
        <v>116914.84457142858</v>
      </c>
      <c r="J81">
        <v>0</v>
      </c>
      <c r="K81">
        <v>3.60</v>
      </c>
      <c r="L81">
        <v>0</v>
      </c>
      <c r="M81">
        <v>27.497982091197134</v>
      </c>
      <c r="N81">
        <v>0</v>
      </c>
      <c r="O81">
        <v>0.076383283586658704</v>
      </c>
      <c r="P81">
        <v>0.011476333333333333</v>
      </c>
      <c r="Q81">
        <v>0.011732166376415484</v>
      </c>
      <c r="R81">
        <v>635568</v>
      </c>
      <c r="S81">
        <v>0</v>
      </c>
      <c r="T81">
        <v>0</v>
      </c>
      <c r="V81">
        <v>10800</v>
      </c>
      <c r="W81">
        <v>7</v>
      </c>
      <c r="X81">
        <v>85</v>
      </c>
      <c r="Y81">
        <v>3</v>
      </c>
      <c r="Z81">
        <v>4</v>
      </c>
      <c r="AA81">
        <v>5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3</v>
      </c>
      <c r="AJ81">
        <v>0</v>
      </c>
      <c r="AK81">
        <v>0</v>
      </c>
      <c r="AL81">
        <v>100</v>
      </c>
      <c r="AM81">
        <v>45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100</v>
      </c>
      <c r="AU81">
        <v>0</v>
      </c>
      <c r="AV81">
        <v>0</v>
      </c>
    </row>
    <row r="82" spans="1:48" ht="12.75">
      <c r="A82" s="2" t="str">
        <f>HYPERLINK("https://ibp.a2mac1.com/costing(costing:projects/details/8191/equipment/6942812)","Equipment (Injection Molding)")</f>
        <v>Equipment (Injection Molding)</v>
      </c>
      <c r="B82">
        <v>6942812</v>
      </c>
      <c r="C82">
        <v>6970326</v>
      </c>
      <c r="H82" t="s">
        <v>136</v>
      </c>
      <c r="I82">
        <v>5217.8842979999999</v>
      </c>
      <c r="J82">
        <v>0</v>
      </c>
      <c r="K82">
        <v>0.22176000000000001</v>
      </c>
      <c r="L82">
        <v>0</v>
      </c>
      <c r="M82">
        <v>1.2831364541947927</v>
      </c>
      <c r="N82">
        <v>0</v>
      </c>
      <c r="O82">
        <v>0.021385607569913211</v>
      </c>
      <c r="P82">
        <v>0.0013633884</v>
      </c>
      <c r="Q82">
        <v>0.0001176281113034378</v>
      </c>
      <c r="R82">
        <v>27720</v>
      </c>
      <c r="S82">
        <v>0</v>
      </c>
      <c r="T82">
        <v>0</v>
      </c>
      <c r="V82">
        <v>267.30</v>
      </c>
      <c r="W82">
        <v>7</v>
      </c>
      <c r="X82">
        <v>85</v>
      </c>
      <c r="Y82">
        <v>3</v>
      </c>
      <c r="Z82">
        <v>4</v>
      </c>
      <c r="AA82">
        <v>5</v>
      </c>
      <c r="AB82">
        <v>0</v>
      </c>
      <c r="AC82">
        <v>0</v>
      </c>
      <c r="AD82">
        <v>0</v>
      </c>
      <c r="AE82">
        <v>0</v>
      </c>
      <c r="AF82">
        <v>0.019800000000000002</v>
      </c>
      <c r="AG82">
        <v>0</v>
      </c>
      <c r="AH82">
        <v>0</v>
      </c>
      <c r="AI82">
        <v>2</v>
      </c>
      <c r="AJ82">
        <v>0</v>
      </c>
      <c r="AK82">
        <v>0</v>
      </c>
      <c r="AL82">
        <v>80</v>
      </c>
      <c r="AM82">
        <v>3.465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7.425</v>
      </c>
      <c r="AU82">
        <v>0</v>
      </c>
      <c r="AV82">
        <v>0</v>
      </c>
    </row>
    <row r="83" spans="1:48" ht="12.75">
      <c r="A83" s="2" t="str">
        <f>HYPERLINK("https://ibp.a2mac1.com/costing(costing:projects/details/8191/equipment/6942813)","DC machine - General")</f>
        <v>DC machine - General</v>
      </c>
      <c r="B83">
        <v>6942813</v>
      </c>
      <c r="C83">
        <v>6970327</v>
      </c>
      <c r="E83" t="s">
        <v>659</v>
      </c>
      <c r="H83" t="s">
        <v>136</v>
      </c>
      <c r="I83">
        <v>116914.84457142858</v>
      </c>
      <c r="J83">
        <v>0</v>
      </c>
      <c r="K83">
        <v>3.60</v>
      </c>
      <c r="L83">
        <v>0</v>
      </c>
      <c r="M83">
        <v>27.497982091197134</v>
      </c>
      <c r="N83">
        <v>0</v>
      </c>
      <c r="O83">
        <v>0.076383283586658704</v>
      </c>
      <c r="P83">
        <v>0.011476333333333333</v>
      </c>
      <c r="Q83">
        <v>0.011732166376415484</v>
      </c>
      <c r="R83">
        <v>635568</v>
      </c>
      <c r="S83">
        <v>0</v>
      </c>
      <c r="T83">
        <v>0</v>
      </c>
      <c r="V83">
        <v>10800</v>
      </c>
      <c r="W83">
        <v>7</v>
      </c>
      <c r="X83">
        <v>85</v>
      </c>
      <c r="Y83">
        <v>3</v>
      </c>
      <c r="Z83">
        <v>4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3</v>
      </c>
      <c r="AJ83">
        <v>0</v>
      </c>
      <c r="AK83">
        <v>0</v>
      </c>
      <c r="AL83">
        <v>100</v>
      </c>
      <c r="AM83">
        <v>45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100</v>
      </c>
      <c r="AU83">
        <v>0</v>
      </c>
      <c r="AV83">
        <v>0</v>
      </c>
    </row>
    <row r="84" spans="1:48" ht="12.75">
      <c r="A84" s="2" t="str">
        <f>HYPERLINK("https://ibp.a2mac1.com/costing(costing:projects/details/8191/equipment/6942803)","Equipment (Injection Molding)")</f>
        <v>Equipment (Injection Molding)</v>
      </c>
      <c r="B84">
        <v>6942803</v>
      </c>
      <c r="C84">
        <v>6970298</v>
      </c>
      <c r="H84" t="s">
        <v>136</v>
      </c>
      <c r="I84">
        <v>5270.5901999999996</v>
      </c>
      <c r="J84">
        <v>0</v>
      </c>
      <c r="K84">
        <v>0.224</v>
      </c>
      <c r="L84">
        <v>0</v>
      </c>
      <c r="M84">
        <v>1.2960974284795885</v>
      </c>
      <c r="N84">
        <v>0</v>
      </c>
      <c r="O84">
        <v>0.021601623807993141</v>
      </c>
      <c r="P84">
        <v>0.0013771600000000001</v>
      </c>
      <c r="Q84">
        <v>0.00011887459842815814</v>
      </c>
      <c r="R84">
        <v>28000</v>
      </c>
      <c r="S84">
        <v>0</v>
      </c>
      <c r="T84">
        <v>0</v>
      </c>
      <c r="V84">
        <v>270</v>
      </c>
      <c r="W84">
        <v>7</v>
      </c>
      <c r="X84">
        <v>85</v>
      </c>
      <c r="Y84">
        <v>3</v>
      </c>
      <c r="Z84">
        <v>4</v>
      </c>
      <c r="AA84">
        <v>5</v>
      </c>
      <c r="AB84">
        <v>0</v>
      </c>
      <c r="AC84">
        <v>0</v>
      </c>
      <c r="AD84">
        <v>0</v>
      </c>
      <c r="AE84">
        <v>0</v>
      </c>
      <c r="AF84">
        <v>0.02</v>
      </c>
      <c r="AG84">
        <v>0</v>
      </c>
      <c r="AH84">
        <v>0</v>
      </c>
      <c r="AI84">
        <v>2</v>
      </c>
      <c r="AJ84">
        <v>0</v>
      </c>
      <c r="AK84">
        <v>0</v>
      </c>
      <c r="AL84">
        <v>80</v>
      </c>
      <c r="AM84">
        <v>3.50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7.50</v>
      </c>
      <c r="AU84">
        <v>0</v>
      </c>
      <c r="AV84">
        <v>0</v>
      </c>
    </row>
    <row r="85" spans="1:48" ht="12.75">
      <c r="A85" s="2" t="str">
        <f>HYPERLINK("https://ibp.a2mac1.com/costing(costing:projects/details/8191/equipment/6942838)","Machine")</f>
        <v>Machine</v>
      </c>
      <c r="B85">
        <v>6942838</v>
      </c>
      <c r="C85">
        <v>6970315</v>
      </c>
      <c r="H85" t="s">
        <v>136</v>
      </c>
      <c r="I85">
        <v>6117.6833131071426</v>
      </c>
      <c r="J85">
        <v>0</v>
      </c>
      <c r="K85">
        <v>5.1996000000000002</v>
      </c>
      <c r="L85">
        <v>0</v>
      </c>
      <c r="M85">
        <v>6.3542090920294347</v>
      </c>
      <c r="N85">
        <v>0</v>
      </c>
      <c r="O85">
        <v>0.10590348486715724</v>
      </c>
      <c r="P85">
        <v>0.068858000000000003</v>
      </c>
      <c r="Q85">
        <v>0.00056743347276088307</v>
      </c>
      <c r="R85">
        <v>21325.889149999999</v>
      </c>
      <c r="S85">
        <v>0</v>
      </c>
      <c r="T85">
        <v>0</v>
      </c>
      <c r="V85">
        <v>1800</v>
      </c>
      <c r="W85">
        <v>7</v>
      </c>
      <c r="X85">
        <v>85</v>
      </c>
      <c r="Y85">
        <v>3</v>
      </c>
      <c r="Z85">
        <v>4</v>
      </c>
      <c r="AA85">
        <v>5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86.66</v>
      </c>
      <c r="AM85">
        <v>75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60</v>
      </c>
      <c r="AU85">
        <v>0</v>
      </c>
      <c r="AV85">
        <v>0</v>
      </c>
    </row>
    <row r="86" spans="1:48" ht="12.75">
      <c r="A86" s="2" t="str">
        <f>HYPERLINK("https://ibp.a2mac1.com/costing(costing:projects/details/8191/equipment/6942839)","Machine")</f>
        <v>Machine</v>
      </c>
      <c r="B86">
        <v>6942839</v>
      </c>
      <c r="C86">
        <v>6970316</v>
      </c>
      <c r="H86" t="s">
        <v>136</v>
      </c>
      <c r="I86">
        <v>6117.6833131071426</v>
      </c>
      <c r="J86">
        <v>0</v>
      </c>
      <c r="K86">
        <v>5.1996000000000002</v>
      </c>
      <c r="L86">
        <v>0</v>
      </c>
      <c r="M86">
        <v>6.3542090920294347</v>
      </c>
      <c r="N86">
        <v>0</v>
      </c>
      <c r="O86">
        <v>0.10590348486715724</v>
      </c>
      <c r="P86">
        <v>0.068858000000000003</v>
      </c>
      <c r="Q86">
        <v>0.00056743347276088307</v>
      </c>
      <c r="R86">
        <v>21325.889149999999</v>
      </c>
      <c r="S86">
        <v>0</v>
      </c>
      <c r="T86">
        <v>0</v>
      </c>
      <c r="V86">
        <v>1800</v>
      </c>
      <c r="W86">
        <v>7</v>
      </c>
      <c r="X86">
        <v>85</v>
      </c>
      <c r="Y86">
        <v>3</v>
      </c>
      <c r="Z86">
        <v>4</v>
      </c>
      <c r="AA86">
        <v>5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86.66</v>
      </c>
      <c r="AM86">
        <v>75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60</v>
      </c>
      <c r="AU86">
        <v>0</v>
      </c>
      <c r="AV86">
        <v>0</v>
      </c>
    </row>
    <row r="87" spans="1:48" ht="12.75">
      <c r="A87" s="2" t="str">
        <f>HYPERLINK("https://ibp.a2mac1.com/costing(costing:projects/details/8191/equipment/6942840)","Machine")</f>
        <v>Machine</v>
      </c>
      <c r="B87">
        <v>6942840</v>
      </c>
      <c r="C87">
        <v>6970317</v>
      </c>
      <c r="H87" t="s">
        <v>136</v>
      </c>
      <c r="I87">
        <v>6117.6833131071426</v>
      </c>
      <c r="J87">
        <v>0</v>
      </c>
      <c r="K87">
        <v>5.1996000000000002</v>
      </c>
      <c r="L87">
        <v>0</v>
      </c>
      <c r="M87">
        <v>6.3542090920294347</v>
      </c>
      <c r="N87">
        <v>0</v>
      </c>
      <c r="O87">
        <v>0.10590348486715724</v>
      </c>
      <c r="P87">
        <v>0.068858000000000003</v>
      </c>
      <c r="Q87">
        <v>0.00056743347276088307</v>
      </c>
      <c r="R87">
        <v>21325.889149999999</v>
      </c>
      <c r="S87">
        <v>0</v>
      </c>
      <c r="T87">
        <v>0</v>
      </c>
      <c r="V87">
        <v>1800</v>
      </c>
      <c r="W87">
        <v>7</v>
      </c>
      <c r="X87">
        <v>85</v>
      </c>
      <c r="Y87">
        <v>3</v>
      </c>
      <c r="Z87">
        <v>4</v>
      </c>
      <c r="AA87">
        <v>5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86.66</v>
      </c>
      <c r="AM87">
        <v>75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60</v>
      </c>
      <c r="AU87">
        <v>0</v>
      </c>
      <c r="AV87">
        <v>0</v>
      </c>
    </row>
    <row r="88" spans="1:48" ht="12.75">
      <c r="A88" s="2" t="str">
        <f>HYPERLINK("https://ibp.a2mac1.com/costing(costing:projects/details/8191/equipment/6942841)","Machine")</f>
        <v>Machine</v>
      </c>
      <c r="B88">
        <v>6942841</v>
      </c>
      <c r="C88">
        <v>6970318</v>
      </c>
      <c r="H88" t="s">
        <v>136</v>
      </c>
      <c r="I88">
        <v>6117.6833131071426</v>
      </c>
      <c r="J88">
        <v>0</v>
      </c>
      <c r="K88">
        <v>5.1996000000000002</v>
      </c>
      <c r="L88">
        <v>0</v>
      </c>
      <c r="M88">
        <v>6.3542090920294347</v>
      </c>
      <c r="N88">
        <v>0</v>
      </c>
      <c r="O88">
        <v>0.10590348486715724</v>
      </c>
      <c r="P88">
        <v>0.068858000000000003</v>
      </c>
      <c r="Q88">
        <v>0.00056743347276088307</v>
      </c>
      <c r="R88">
        <v>21325.889149999999</v>
      </c>
      <c r="S88">
        <v>0</v>
      </c>
      <c r="T88">
        <v>0</v>
      </c>
      <c r="V88">
        <v>1800</v>
      </c>
      <c r="W88">
        <v>7</v>
      </c>
      <c r="X88">
        <v>85</v>
      </c>
      <c r="Y88">
        <v>3</v>
      </c>
      <c r="Z88">
        <v>4</v>
      </c>
      <c r="AA88">
        <v>5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86.66</v>
      </c>
      <c r="AM88">
        <v>75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60</v>
      </c>
      <c r="AU88">
        <v>0</v>
      </c>
      <c r="AV88">
        <v>0</v>
      </c>
    </row>
    <row r="89" spans="1:48" ht="12.75">
      <c r="A89" s="2" t="str">
        <f>HYPERLINK("https://ibp.a2mac1.com/costing(costing:projects/details/8191/equipment/6942842)","Machine")</f>
        <v>Machine</v>
      </c>
      <c r="B89">
        <v>6942842</v>
      </c>
      <c r="C89">
        <v>6970319</v>
      </c>
      <c r="H89" t="s">
        <v>136</v>
      </c>
      <c r="I89">
        <v>1442336.1259389643</v>
      </c>
      <c r="J89">
        <v>0</v>
      </c>
      <c r="K89">
        <v>5.1996000000000002</v>
      </c>
      <c r="L89">
        <v>0</v>
      </c>
      <c r="M89">
        <v>302.07497915243721</v>
      </c>
      <c r="N89">
        <v>0</v>
      </c>
      <c r="O89">
        <v>5.0345829858739535</v>
      </c>
      <c r="P89">
        <v>0.068858000000000003</v>
      </c>
      <c r="Q89">
        <v>0.009439056574573116</v>
      </c>
      <c r="R89">
        <v>8096449.6629499998</v>
      </c>
      <c r="S89">
        <v>0</v>
      </c>
      <c r="T89">
        <v>0</v>
      </c>
      <c r="V89">
        <v>1800</v>
      </c>
      <c r="W89">
        <v>7</v>
      </c>
      <c r="X89">
        <v>85</v>
      </c>
      <c r="Y89">
        <v>3</v>
      </c>
      <c r="Z89">
        <v>4</v>
      </c>
      <c r="AA89">
        <v>5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86.66</v>
      </c>
      <c r="AM89">
        <v>75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60</v>
      </c>
      <c r="AU89">
        <v>0</v>
      </c>
      <c r="AV89">
        <v>0</v>
      </c>
    </row>
    <row r="90" spans="1:48" ht="12.75">
      <c r="A90" s="2" t="str">
        <f>HYPERLINK("https://ibp.a2mac1.com/costing(costing:projects/details/8191/equipment/6942685)","Machine")</f>
        <v>Machine</v>
      </c>
      <c r="B90">
        <v>6942685</v>
      </c>
      <c r="C90">
        <v>6970272</v>
      </c>
      <c r="H90" t="s">
        <v>136</v>
      </c>
      <c r="I90">
        <v>1402130.9440311857</v>
      </c>
      <c r="J90">
        <v>0</v>
      </c>
      <c r="K90">
        <v>5.1996000000000002</v>
      </c>
      <c r="L90">
        <v>0</v>
      </c>
      <c r="M90">
        <v>293.79663722246636</v>
      </c>
      <c r="N90">
        <v>0</v>
      </c>
      <c r="O90">
        <v>4.8966106203744397</v>
      </c>
      <c r="P90">
        <v>0.068858000000000003</v>
      </c>
      <c r="Q90">
        <v>0.015317843861123318</v>
      </c>
      <c r="R90">
        <v>7870396.4313399997</v>
      </c>
      <c r="S90">
        <v>0</v>
      </c>
      <c r="T90">
        <v>0</v>
      </c>
      <c r="V90">
        <v>1800</v>
      </c>
      <c r="W90">
        <v>7</v>
      </c>
      <c r="X90">
        <v>85</v>
      </c>
      <c r="Y90">
        <v>3</v>
      </c>
      <c r="Z90">
        <v>4</v>
      </c>
      <c r="AA90">
        <v>5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86.66</v>
      </c>
      <c r="AM90">
        <v>75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60</v>
      </c>
      <c r="AU90">
        <v>0</v>
      </c>
      <c r="AV90">
        <v>0</v>
      </c>
    </row>
    <row r="91" spans="1:48" ht="12.75">
      <c r="A91" s="2" t="str">
        <f>HYPERLINK("https://ibp.a2mac1.com/costing(costing:projects/details/8191/equipment/6942783)","Machine")</f>
        <v>Machine</v>
      </c>
      <c r="B91">
        <v>6942783</v>
      </c>
      <c r="C91">
        <v>6970279</v>
      </c>
      <c r="H91" t="s">
        <v>136</v>
      </c>
      <c r="I91">
        <v>44089.244003292857</v>
      </c>
      <c r="J91">
        <v>0</v>
      </c>
      <c r="K91">
        <v>5.1996000000000002</v>
      </c>
      <c r="L91">
        <v>0</v>
      </c>
      <c r="M91">
        <v>14.17264313690017</v>
      </c>
      <c r="N91">
        <v>0</v>
      </c>
      <c r="O91">
        <v>0.23621071894833617</v>
      </c>
      <c r="P91">
        <v>0.068858000000000003</v>
      </c>
      <c r="Q91">
        <v>0.00080198649410700507</v>
      </c>
      <c r="R91">
        <v>234820.60789000001</v>
      </c>
      <c r="S91">
        <v>0</v>
      </c>
      <c r="T91">
        <v>0</v>
      </c>
      <c r="V91">
        <v>1800</v>
      </c>
      <c r="W91">
        <v>7</v>
      </c>
      <c r="X91">
        <v>85</v>
      </c>
      <c r="Y91">
        <v>3</v>
      </c>
      <c r="Z91">
        <v>4</v>
      </c>
      <c r="AA91">
        <v>5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86.66</v>
      </c>
      <c r="AM91">
        <v>75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60</v>
      </c>
      <c r="AU91">
        <v>0</v>
      </c>
      <c r="AV91">
        <v>0</v>
      </c>
    </row>
    <row r="92" spans="1:48" ht="12.75">
      <c r="A92" s="2" t="str">
        <f>HYPERLINK("https://ibp.a2mac1.com/costing(costing:projects/details/8191/equipment/6942843)","Machine")</f>
        <v>Machine</v>
      </c>
      <c r="B92">
        <v>6942843</v>
      </c>
      <c r="C92">
        <v>6970320</v>
      </c>
      <c r="H92" t="s">
        <v>136</v>
      </c>
      <c r="I92">
        <v>7681.2181638214288</v>
      </c>
      <c r="J92">
        <v>0</v>
      </c>
      <c r="K92">
        <v>5.1996000000000002</v>
      </c>
      <c r="L92">
        <v>0</v>
      </c>
      <c r="M92">
        <v>6.6761446112699181</v>
      </c>
      <c r="N92">
        <v>0</v>
      </c>
      <c r="O92">
        <v>0.11126907685449863</v>
      </c>
      <c r="P92">
        <v>0.068858000000000003</v>
      </c>
      <c r="Q92">
        <v>0.00057709153833809758</v>
      </c>
      <c r="R92">
        <v>30116.848150000002</v>
      </c>
      <c r="S92">
        <v>0</v>
      </c>
      <c r="T92">
        <v>0</v>
      </c>
      <c r="V92">
        <v>1800</v>
      </c>
      <c r="W92">
        <v>7</v>
      </c>
      <c r="X92">
        <v>85</v>
      </c>
      <c r="Y92">
        <v>3</v>
      </c>
      <c r="Z92">
        <v>4</v>
      </c>
      <c r="AA92">
        <v>5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86.66</v>
      </c>
      <c r="AM92">
        <v>75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60</v>
      </c>
      <c r="AU92">
        <v>0</v>
      </c>
      <c r="AV92">
        <v>0</v>
      </c>
    </row>
    <row r="93" spans="1:48" ht="12.75">
      <c r="A93" s="2" t="str">
        <f>HYPERLINK("https://ibp.a2mac1.com/costing(costing:projects/details/8191/equipment/6942844)","Machine")</f>
        <v>Machine</v>
      </c>
      <c r="B93">
        <v>6942844</v>
      </c>
      <c r="C93">
        <v>6970321</v>
      </c>
      <c r="H93" t="s">
        <v>136</v>
      </c>
      <c r="I93">
        <v>7681.2181638214288</v>
      </c>
      <c r="J93">
        <v>0</v>
      </c>
      <c r="K93">
        <v>5.1996000000000002</v>
      </c>
      <c r="L93">
        <v>0</v>
      </c>
      <c r="M93">
        <v>6.6761446112699181</v>
      </c>
      <c r="N93">
        <v>0</v>
      </c>
      <c r="O93">
        <v>0.11126907685449863</v>
      </c>
      <c r="P93">
        <v>0.068858000000000003</v>
      </c>
      <c r="Q93">
        <v>0.00057709153833809758</v>
      </c>
      <c r="R93">
        <v>30116.848150000002</v>
      </c>
      <c r="S93">
        <v>0</v>
      </c>
      <c r="T93">
        <v>0</v>
      </c>
      <c r="V93">
        <v>1800</v>
      </c>
      <c r="W93">
        <v>7</v>
      </c>
      <c r="X93">
        <v>85</v>
      </c>
      <c r="Y93">
        <v>3</v>
      </c>
      <c r="Z93">
        <v>4</v>
      </c>
      <c r="AA93">
        <v>5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86.66</v>
      </c>
      <c r="AM93">
        <v>75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60</v>
      </c>
      <c r="AU93">
        <v>0</v>
      </c>
      <c r="AV93">
        <v>0</v>
      </c>
    </row>
    <row r="94" spans="1:48" ht="12.75">
      <c r="A94" s="2" t="str">
        <f>HYPERLINK("https://ibp.a2mac1.com/costing(costing:projects/details/8191/equipment/6942845)","Dummy Machine (PCBA+Final Assembly Line)")</f>
        <v>Dummy Machine (PCBA+Final Assembly Line)</v>
      </c>
      <c r="B94">
        <v>6942845</v>
      </c>
      <c r="C94">
        <v>6970328</v>
      </c>
      <c r="F94" t="s">
        <v>559</v>
      </c>
      <c r="H94" t="s">
        <v>136</v>
      </c>
      <c r="I94">
        <v>79501.662769714283</v>
      </c>
      <c r="J94">
        <v>0</v>
      </c>
      <c r="K94">
        <v>0.28895999999999999</v>
      </c>
      <c r="L94">
        <v>0</v>
      </c>
      <c r="M94">
        <v>16.624578413647427</v>
      </c>
      <c r="N94">
        <v>0</v>
      </c>
      <c r="O94">
        <v>0.73887015171766335</v>
      </c>
      <c r="P94">
        <v>0.12853493333333332</v>
      </c>
      <c r="Q94">
        <v>6.889185508913073E-05</v>
      </c>
      <c r="R94">
        <v>442771.10</v>
      </c>
      <c r="S94">
        <v>0</v>
      </c>
      <c r="T94">
        <v>0</v>
      </c>
      <c r="V94">
        <v>216</v>
      </c>
      <c r="W94">
        <v>7</v>
      </c>
      <c r="X94">
        <v>85</v>
      </c>
      <c r="Y94">
        <v>3</v>
      </c>
      <c r="Z94">
        <v>4</v>
      </c>
      <c r="AA94">
        <v>5</v>
      </c>
      <c r="AB94">
        <v>0</v>
      </c>
      <c r="AC94">
        <v>0</v>
      </c>
      <c r="AD94">
        <v>0</v>
      </c>
      <c r="AE94">
        <v>0</v>
      </c>
      <c r="AF94">
        <v>0.70</v>
      </c>
      <c r="AG94">
        <v>0</v>
      </c>
      <c r="AH94">
        <v>0</v>
      </c>
      <c r="AI94">
        <v>0.20</v>
      </c>
      <c r="AJ94">
        <v>0</v>
      </c>
      <c r="AK94">
        <v>0</v>
      </c>
      <c r="AL94">
        <v>86</v>
      </c>
      <c r="AM94">
        <v>4.20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19.40</v>
      </c>
      <c r="AU94">
        <v>0</v>
      </c>
      <c r="AV94">
        <v>0</v>
      </c>
    </row>
    <row r="95" spans="1:48" ht="12.75">
      <c r="A95" s="2" t="str">
        <f>HYPERLINK("https://ibp.a2mac1.com/costing(costing:projects/details/8191/equipment/6942814)","Dummy Machine (PCBA+Final Assembly Line)")</f>
        <v>Dummy Machine (PCBA+Final Assembly Line)</v>
      </c>
      <c r="B95">
        <v>6942814</v>
      </c>
      <c r="C95">
        <v>6970280</v>
      </c>
      <c r="F95" t="s">
        <v>559</v>
      </c>
      <c r="H95" t="s">
        <v>136</v>
      </c>
      <c r="I95">
        <v>79501.662769714283</v>
      </c>
      <c r="J95">
        <v>0</v>
      </c>
      <c r="K95">
        <v>0.28895999999999999</v>
      </c>
      <c r="L95">
        <v>0</v>
      </c>
      <c r="M95">
        <v>16.624578413647427</v>
      </c>
      <c r="N95">
        <v>0</v>
      </c>
      <c r="O95">
        <v>0.73887015171766335</v>
      </c>
      <c r="P95">
        <v>0.12853493333333332</v>
      </c>
      <c r="Q95">
        <v>6.889185508913073E-05</v>
      </c>
      <c r="R95">
        <v>442771.10</v>
      </c>
      <c r="S95">
        <v>0</v>
      </c>
      <c r="T95">
        <v>0</v>
      </c>
      <c r="V95">
        <v>216</v>
      </c>
      <c r="W95">
        <v>7</v>
      </c>
      <c r="X95">
        <v>85</v>
      </c>
      <c r="Y95">
        <v>3</v>
      </c>
      <c r="Z95">
        <v>4</v>
      </c>
      <c r="AA95">
        <v>5</v>
      </c>
      <c r="AB95">
        <v>0</v>
      </c>
      <c r="AC95">
        <v>0</v>
      </c>
      <c r="AD95">
        <v>0</v>
      </c>
      <c r="AE95">
        <v>0</v>
      </c>
      <c r="AF95">
        <v>0.70</v>
      </c>
      <c r="AG95">
        <v>0</v>
      </c>
      <c r="AH95">
        <v>0</v>
      </c>
      <c r="AI95">
        <v>0.20</v>
      </c>
      <c r="AJ95">
        <v>0</v>
      </c>
      <c r="AK95">
        <v>0</v>
      </c>
      <c r="AL95">
        <v>86</v>
      </c>
      <c r="AM95">
        <v>4.20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19.40</v>
      </c>
      <c r="AU95">
        <v>0</v>
      </c>
      <c r="AV95">
        <v>0</v>
      </c>
    </row>
    <row r="96" spans="1:48" ht="12.75">
      <c r="A96" s="2" t="str">
        <f>HYPERLINK("https://ibp.a2mac1.com/costing(costing:projects/details/8191/equipment/6942815)","Dummy Machine (PCBA+Final Assembly Line)")</f>
        <v>Dummy Machine (PCBA+Final Assembly Line)</v>
      </c>
      <c r="B96">
        <v>6942815</v>
      </c>
      <c r="C96">
        <v>6970281</v>
      </c>
      <c r="F96" t="s">
        <v>559</v>
      </c>
      <c r="H96" t="s">
        <v>136</v>
      </c>
      <c r="I96">
        <v>79501.662769714283</v>
      </c>
      <c r="J96">
        <v>0</v>
      </c>
      <c r="K96">
        <v>0.28895999999999999</v>
      </c>
      <c r="L96">
        <v>0</v>
      </c>
      <c r="M96">
        <v>16.624578413647427</v>
      </c>
      <c r="N96">
        <v>0</v>
      </c>
      <c r="O96">
        <v>0.73887015171766335</v>
      </c>
      <c r="P96">
        <v>0.12853493333333332</v>
      </c>
      <c r="Q96">
        <v>6.889185508913073E-05</v>
      </c>
      <c r="R96">
        <v>442771.10</v>
      </c>
      <c r="S96">
        <v>0</v>
      </c>
      <c r="T96">
        <v>0</v>
      </c>
      <c r="V96">
        <v>216</v>
      </c>
      <c r="W96">
        <v>7</v>
      </c>
      <c r="X96">
        <v>85</v>
      </c>
      <c r="Y96">
        <v>3</v>
      </c>
      <c r="Z96">
        <v>4</v>
      </c>
      <c r="AA96">
        <v>5</v>
      </c>
      <c r="AB96">
        <v>0</v>
      </c>
      <c r="AC96">
        <v>0</v>
      </c>
      <c r="AD96">
        <v>0</v>
      </c>
      <c r="AE96">
        <v>0</v>
      </c>
      <c r="AF96">
        <v>0.70</v>
      </c>
      <c r="AG96">
        <v>0</v>
      </c>
      <c r="AH96">
        <v>0</v>
      </c>
      <c r="AI96">
        <v>0.20</v>
      </c>
      <c r="AJ96">
        <v>0</v>
      </c>
      <c r="AK96">
        <v>0</v>
      </c>
      <c r="AL96">
        <v>86</v>
      </c>
      <c r="AM96">
        <v>4.20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19.40</v>
      </c>
      <c r="AU96">
        <v>0</v>
      </c>
      <c r="AV96">
        <v>0</v>
      </c>
    </row>
    <row r="97" spans="1:48" ht="12.75">
      <c r="A97" s="2" t="str">
        <f>HYPERLINK("https://ibp.a2mac1.com/costing(costing:projects/details/8191/equipment/6942816)","Dummy Machine (PCBA+Final Assembly Line)")</f>
        <v>Dummy Machine (PCBA+Final Assembly Line)</v>
      </c>
      <c r="B97">
        <v>6942816</v>
      </c>
      <c r="C97">
        <v>6970282</v>
      </c>
      <c r="F97" t="s">
        <v>559</v>
      </c>
      <c r="H97" t="s">
        <v>136</v>
      </c>
      <c r="I97">
        <v>79501.662769714283</v>
      </c>
      <c r="J97">
        <v>0</v>
      </c>
      <c r="K97">
        <v>0.28895999999999999</v>
      </c>
      <c r="L97">
        <v>0</v>
      </c>
      <c r="M97">
        <v>16.624578413647427</v>
      </c>
      <c r="N97">
        <v>0</v>
      </c>
      <c r="O97">
        <v>0.26322249154941757</v>
      </c>
      <c r="P97">
        <v>0.045790570000000003</v>
      </c>
      <c r="Q97">
        <v>0.00011481975848188456</v>
      </c>
      <c r="R97">
        <v>442771.10</v>
      </c>
      <c r="S97">
        <v>0</v>
      </c>
      <c r="T97">
        <v>0</v>
      </c>
      <c r="V97">
        <v>216</v>
      </c>
      <c r="W97">
        <v>7</v>
      </c>
      <c r="X97">
        <v>85</v>
      </c>
      <c r="Y97">
        <v>3</v>
      </c>
      <c r="Z97">
        <v>4</v>
      </c>
      <c r="AA97">
        <v>5</v>
      </c>
      <c r="AB97">
        <v>0</v>
      </c>
      <c r="AC97">
        <v>0</v>
      </c>
      <c r="AD97">
        <v>0</v>
      </c>
      <c r="AE97">
        <v>0</v>
      </c>
      <c r="AF97">
        <v>0.70</v>
      </c>
      <c r="AG97">
        <v>0</v>
      </c>
      <c r="AH97">
        <v>0</v>
      </c>
      <c r="AI97">
        <v>0.20</v>
      </c>
      <c r="AJ97">
        <v>0</v>
      </c>
      <c r="AK97">
        <v>0</v>
      </c>
      <c r="AL97">
        <v>86</v>
      </c>
      <c r="AM97">
        <v>4.20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19.40</v>
      </c>
      <c r="AU97">
        <v>0</v>
      </c>
      <c r="AV97">
        <v>0</v>
      </c>
    </row>
    <row r="98" spans="1:48" ht="12.75">
      <c r="A98" s="2" t="str">
        <f>HYPERLINK("https://ibp.a2mac1.com/costing(costing:projects/details/8191/equipment/6942817)","Dummy Machine (PCBA+Final Assembly Line)")</f>
        <v>Dummy Machine (PCBA+Final Assembly Line)</v>
      </c>
      <c r="B98">
        <v>6942817</v>
      </c>
      <c r="C98">
        <v>6970283</v>
      </c>
      <c r="F98" t="s">
        <v>559</v>
      </c>
      <c r="H98" t="s">
        <v>136</v>
      </c>
      <c r="I98">
        <v>79501.662769714283</v>
      </c>
      <c r="J98">
        <v>0</v>
      </c>
      <c r="K98">
        <v>0.28895999999999999</v>
      </c>
      <c r="L98">
        <v>0</v>
      </c>
      <c r="M98">
        <v>16.624578413647427</v>
      </c>
      <c r="N98">
        <v>0</v>
      </c>
      <c r="O98">
        <v>0.26322249154941757</v>
      </c>
      <c r="P98">
        <v>0.045790570000000003</v>
      </c>
      <c r="Q98">
        <v>0.00011481975848188456</v>
      </c>
      <c r="R98">
        <v>442771.10</v>
      </c>
      <c r="S98">
        <v>0</v>
      </c>
      <c r="T98">
        <v>0</v>
      </c>
      <c r="V98">
        <v>216</v>
      </c>
      <c r="W98">
        <v>7</v>
      </c>
      <c r="X98">
        <v>85</v>
      </c>
      <c r="Y98">
        <v>3</v>
      </c>
      <c r="Z98">
        <v>4</v>
      </c>
      <c r="AA98">
        <v>5</v>
      </c>
      <c r="AB98">
        <v>0</v>
      </c>
      <c r="AC98">
        <v>0</v>
      </c>
      <c r="AD98">
        <v>0</v>
      </c>
      <c r="AE98">
        <v>0</v>
      </c>
      <c r="AF98">
        <v>0.70</v>
      </c>
      <c r="AG98">
        <v>0</v>
      </c>
      <c r="AH98">
        <v>0</v>
      </c>
      <c r="AI98">
        <v>0.20</v>
      </c>
      <c r="AJ98">
        <v>0</v>
      </c>
      <c r="AK98">
        <v>0</v>
      </c>
      <c r="AL98">
        <v>86</v>
      </c>
      <c r="AM98">
        <v>4.20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19.40</v>
      </c>
      <c r="AU98">
        <v>0</v>
      </c>
      <c r="AV98">
        <v>0</v>
      </c>
    </row>
    <row r="99" spans="1:48" ht="12.75">
      <c r="A99" s="2" t="str">
        <f>HYPERLINK("https://ibp.a2mac1.com/costing(costing:projects/details/8191/equipment/6942818)","Equipment (Injection Molding)")</f>
        <v>Equipment (Injection Molding)</v>
      </c>
      <c r="B99">
        <v>6942818</v>
      </c>
      <c r="C99">
        <v>6970285</v>
      </c>
      <c r="H99" t="s">
        <v>136</v>
      </c>
      <c r="I99">
        <v>42375.545208000003</v>
      </c>
      <c r="J99">
        <v>0</v>
      </c>
      <c r="K99">
        <v>1.8009599999999999</v>
      </c>
      <c r="L99">
        <v>0</v>
      </c>
      <c r="M99">
        <v>10.420623324975892</v>
      </c>
      <c r="N99">
        <v>0</v>
      </c>
      <c r="O99">
        <v>0.17367705541626485</v>
      </c>
      <c r="P99">
        <v>0.0110723664</v>
      </c>
      <c r="Q99">
        <v>0.0012858771182976277</v>
      </c>
      <c r="R99">
        <v>225120</v>
      </c>
      <c r="S99">
        <v>0</v>
      </c>
      <c r="T99">
        <v>0</v>
      </c>
      <c r="V99">
        <v>2170.80</v>
      </c>
      <c r="W99">
        <v>7</v>
      </c>
      <c r="X99">
        <v>85</v>
      </c>
      <c r="Y99">
        <v>3</v>
      </c>
      <c r="Z99">
        <v>4</v>
      </c>
      <c r="AA99">
        <v>5</v>
      </c>
      <c r="AB99">
        <v>0</v>
      </c>
      <c r="AC99">
        <v>0</v>
      </c>
      <c r="AD99">
        <v>0</v>
      </c>
      <c r="AE99">
        <v>0</v>
      </c>
      <c r="AF99">
        <v>0.1608</v>
      </c>
      <c r="AG99">
        <v>0</v>
      </c>
      <c r="AH99">
        <v>0</v>
      </c>
      <c r="AI99">
        <v>2</v>
      </c>
      <c r="AJ99">
        <v>0</v>
      </c>
      <c r="AK99">
        <v>0</v>
      </c>
      <c r="AL99">
        <v>80</v>
      </c>
      <c r="AM99">
        <v>28.14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60.30</v>
      </c>
      <c r="AU99">
        <v>0</v>
      </c>
      <c r="AV99">
        <v>0</v>
      </c>
    </row>
    <row r="100" spans="1:48" ht="12.75">
      <c r="A100" s="2" t="str">
        <f>HYPERLINK("https://ibp.a2mac1.com/costing(costing:projects/details/8191/equipment/6942819)","Equipment (Injection Molding)")</f>
        <v>Equipment (Injection Molding)</v>
      </c>
      <c r="B100">
        <v>6942819</v>
      </c>
      <c r="C100">
        <v>6970287</v>
      </c>
      <c r="H100" t="s">
        <v>136</v>
      </c>
      <c r="I100">
        <v>1897.412472</v>
      </c>
      <c r="J100">
        <v>0</v>
      </c>
      <c r="K100">
        <v>0.080640000000000003</v>
      </c>
      <c r="L100">
        <v>0</v>
      </c>
      <c r="M100">
        <v>0.4665950742526519</v>
      </c>
      <c r="N100">
        <v>0</v>
      </c>
      <c r="O100">
        <v>0.0077765845708775315</v>
      </c>
      <c r="P100">
        <v>0.00049577759999999997</v>
      </c>
      <c r="Q100">
        <v>4.1451061620289295E-05</v>
      </c>
      <c r="R100">
        <v>10080</v>
      </c>
      <c r="S100">
        <v>0</v>
      </c>
      <c r="T100">
        <v>0</v>
      </c>
      <c r="V100">
        <v>97.20</v>
      </c>
      <c r="W100">
        <v>7</v>
      </c>
      <c r="X100">
        <v>85</v>
      </c>
      <c r="Y100">
        <v>3</v>
      </c>
      <c r="Z100">
        <v>4</v>
      </c>
      <c r="AA100">
        <v>5</v>
      </c>
      <c r="AB100">
        <v>0</v>
      </c>
      <c r="AC100">
        <v>0</v>
      </c>
      <c r="AD100">
        <v>0</v>
      </c>
      <c r="AE100">
        <v>0</v>
      </c>
      <c r="AF100">
        <v>0.0071999999999999998</v>
      </c>
      <c r="AG100">
        <v>0</v>
      </c>
      <c r="AH100">
        <v>0</v>
      </c>
      <c r="AI100">
        <v>2</v>
      </c>
      <c r="AJ100">
        <v>0</v>
      </c>
      <c r="AK100">
        <v>0</v>
      </c>
      <c r="AL100">
        <v>80</v>
      </c>
      <c r="AM100">
        <v>1.26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2.70</v>
      </c>
      <c r="AU100">
        <v>0</v>
      </c>
      <c r="AV100">
        <v>0</v>
      </c>
    </row>
    <row r="101" spans="1:48" ht="12.75">
      <c r="A101" s="2" t="str">
        <f>HYPERLINK("https://ibp.a2mac1.com/costing(costing:projects/details/8191/equipment/6942820)","Equipment (Injection Molding)")</f>
        <v>Equipment (Injection Molding)</v>
      </c>
      <c r="B101">
        <v>6942820</v>
      </c>
      <c r="C101">
        <v>6970289</v>
      </c>
      <c r="H101" t="s">
        <v>136</v>
      </c>
      <c r="I101">
        <v>2608.942149</v>
      </c>
      <c r="J101">
        <v>0</v>
      </c>
      <c r="K101">
        <v>0.11088000000000001</v>
      </c>
      <c r="L101">
        <v>0</v>
      </c>
      <c r="M101">
        <v>0.64156822709739636</v>
      </c>
      <c r="N101">
        <v>0</v>
      </c>
      <c r="O101">
        <v>0.010692803784956606</v>
      </c>
      <c r="P101">
        <v>0.00068169420000000001</v>
      </c>
      <c r="Q101">
        <v>5.7384962425859451E-05</v>
      </c>
      <c r="R101">
        <v>13860</v>
      </c>
      <c r="S101">
        <v>0</v>
      </c>
      <c r="T101">
        <v>0</v>
      </c>
      <c r="V101">
        <v>133.65</v>
      </c>
      <c r="W101">
        <v>7</v>
      </c>
      <c r="X101">
        <v>85</v>
      </c>
      <c r="Y101">
        <v>3</v>
      </c>
      <c r="Z101">
        <v>4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0.0099000000000000008</v>
      </c>
      <c r="AG101">
        <v>0</v>
      </c>
      <c r="AH101">
        <v>0</v>
      </c>
      <c r="AI101">
        <v>2</v>
      </c>
      <c r="AJ101">
        <v>0</v>
      </c>
      <c r="AK101">
        <v>0</v>
      </c>
      <c r="AL101">
        <v>80</v>
      </c>
      <c r="AM101">
        <v>1.7325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3.7125</v>
      </c>
      <c r="AU101">
        <v>0</v>
      </c>
      <c r="AV101">
        <v>0</v>
      </c>
    </row>
    <row r="102" spans="1:48" ht="12.75">
      <c r="A102" s="2" t="str">
        <f>HYPERLINK("https://ibp.a2mac1.com/costing(costing:projects/details/8191/equipment/6942821)","Equipment (Stamping)")</f>
        <v>Equipment (Stamping)</v>
      </c>
      <c r="B102">
        <v>6942821</v>
      </c>
      <c r="C102">
        <v>6970289</v>
      </c>
      <c r="H102" t="s">
        <v>136</v>
      </c>
      <c r="I102">
        <v>354.51378694285717</v>
      </c>
      <c r="J102">
        <v>0</v>
      </c>
      <c r="K102">
        <v>0.01584</v>
      </c>
      <c r="L102">
        <v>0</v>
      </c>
      <c r="M102">
        <v>0.087535401308720215</v>
      </c>
      <c r="N102">
        <v>0</v>
      </c>
      <c r="O102">
        <v>0.0014589233551453367</v>
      </c>
      <c r="P102">
        <v>0.00017076784</v>
      </c>
      <c r="Q102">
        <v>0.00037433902870943447</v>
      </c>
      <c r="R102">
        <v>1831.50</v>
      </c>
      <c r="S102">
        <v>0</v>
      </c>
      <c r="T102">
        <v>0</v>
      </c>
      <c r="V102">
        <v>891</v>
      </c>
      <c r="W102">
        <v>7</v>
      </c>
      <c r="X102">
        <v>85</v>
      </c>
      <c r="Y102">
        <v>3</v>
      </c>
      <c r="Z102">
        <v>4</v>
      </c>
      <c r="AA102">
        <v>5</v>
      </c>
      <c r="AB102">
        <v>0</v>
      </c>
      <c r="AC102">
        <v>0</v>
      </c>
      <c r="AD102">
        <v>0</v>
      </c>
      <c r="AE102">
        <v>0</v>
      </c>
      <c r="AF102">
        <v>0.00248</v>
      </c>
      <c r="AG102">
        <v>0</v>
      </c>
      <c r="AH102">
        <v>0</v>
      </c>
      <c r="AI102">
        <v>2</v>
      </c>
      <c r="AJ102">
        <v>0</v>
      </c>
      <c r="AK102">
        <v>0</v>
      </c>
      <c r="AL102">
        <v>80</v>
      </c>
      <c r="AM102">
        <v>0.2475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0.7425</v>
      </c>
      <c r="AU102">
        <v>0</v>
      </c>
      <c r="AV102">
        <v>0</v>
      </c>
    </row>
    <row r="103" spans="1:48" ht="12.75">
      <c r="A103" s="2" t="str">
        <f>HYPERLINK("https://ibp.a2mac1.com/costing(costing:projects/details/8191/equipment/6942846)","Dummy Machine (PCBA+Final Assembly Line)")</f>
        <v>Dummy Machine (PCBA+Final Assembly Line)</v>
      </c>
      <c r="B103">
        <v>6942846</v>
      </c>
      <c r="C103">
        <v>6970329</v>
      </c>
      <c r="F103" t="s">
        <v>559</v>
      </c>
      <c r="H103" t="s">
        <v>136</v>
      </c>
      <c r="I103">
        <v>79501.662769714283</v>
      </c>
      <c r="J103">
        <v>0</v>
      </c>
      <c r="K103">
        <v>0.28895999999999999</v>
      </c>
      <c r="L103">
        <v>0</v>
      </c>
      <c r="M103">
        <v>16.624578413647427</v>
      </c>
      <c r="N103">
        <v>0</v>
      </c>
      <c r="O103">
        <v>1.3853815344706188</v>
      </c>
      <c r="P103">
        <v>0.241003</v>
      </c>
      <c r="Q103">
        <v>6.889185508913073E-05</v>
      </c>
      <c r="R103">
        <v>442771.10</v>
      </c>
      <c r="S103">
        <v>0</v>
      </c>
      <c r="T103">
        <v>0</v>
      </c>
      <c r="V103">
        <v>216</v>
      </c>
      <c r="W103">
        <v>7</v>
      </c>
      <c r="X103">
        <v>85</v>
      </c>
      <c r="Y103">
        <v>3</v>
      </c>
      <c r="Z103">
        <v>4</v>
      </c>
      <c r="AA103">
        <v>5</v>
      </c>
      <c r="AB103">
        <v>0</v>
      </c>
      <c r="AC103">
        <v>0</v>
      </c>
      <c r="AD103">
        <v>0</v>
      </c>
      <c r="AE103">
        <v>0</v>
      </c>
      <c r="AF103">
        <v>0.70</v>
      </c>
      <c r="AG103">
        <v>0</v>
      </c>
      <c r="AH103">
        <v>0</v>
      </c>
      <c r="AI103">
        <v>0.20</v>
      </c>
      <c r="AJ103">
        <v>0</v>
      </c>
      <c r="AK103">
        <v>0</v>
      </c>
      <c r="AL103">
        <v>86</v>
      </c>
      <c r="AM103">
        <v>4.20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19.40</v>
      </c>
      <c r="AU103">
        <v>0</v>
      </c>
      <c r="AV103">
        <v>0</v>
      </c>
    </row>
    <row r="104" spans="1:48" ht="12.75">
      <c r="A104" s="2" t="str">
        <f>HYPERLINK("https://ibp.a2mac1.com/costing(costing:projects/details/8191/equipment/6942822)","Dummy Machine (PCBA+Final Assembly Line)")</f>
        <v>Dummy Machine (PCBA+Final Assembly Line)</v>
      </c>
      <c r="B104">
        <v>6942822</v>
      </c>
      <c r="C104">
        <v>6970292</v>
      </c>
      <c r="F104" t="s">
        <v>559</v>
      </c>
      <c r="H104" t="s">
        <v>136</v>
      </c>
      <c r="I104">
        <v>79501.662769714283</v>
      </c>
      <c r="J104">
        <v>0</v>
      </c>
      <c r="K104">
        <v>0.28895999999999999</v>
      </c>
      <c r="L104">
        <v>0</v>
      </c>
      <c r="M104">
        <v>16.624578413647427</v>
      </c>
      <c r="N104">
        <v>0</v>
      </c>
      <c r="O104">
        <v>7.2963427482119263</v>
      </c>
      <c r="P104">
        <v>1.2692824666666667</v>
      </c>
      <c r="Q104">
        <v>6.889185508913073E-05</v>
      </c>
      <c r="R104">
        <v>442771.10</v>
      </c>
      <c r="S104">
        <v>0</v>
      </c>
      <c r="T104">
        <v>0</v>
      </c>
      <c r="V104">
        <v>216</v>
      </c>
      <c r="W104">
        <v>7</v>
      </c>
      <c r="X104">
        <v>85</v>
      </c>
      <c r="Y104">
        <v>3</v>
      </c>
      <c r="Z104">
        <v>4</v>
      </c>
      <c r="AA104">
        <v>5</v>
      </c>
      <c r="AB104">
        <v>0</v>
      </c>
      <c r="AC104">
        <v>0</v>
      </c>
      <c r="AD104">
        <v>0</v>
      </c>
      <c r="AE104">
        <v>0</v>
      </c>
      <c r="AF104">
        <v>0.70</v>
      </c>
      <c r="AG104">
        <v>0</v>
      </c>
      <c r="AH104">
        <v>0</v>
      </c>
      <c r="AI104">
        <v>0.20</v>
      </c>
      <c r="AJ104">
        <v>0</v>
      </c>
      <c r="AK104">
        <v>0</v>
      </c>
      <c r="AL104">
        <v>86</v>
      </c>
      <c r="AM104">
        <v>4.20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19.40</v>
      </c>
      <c r="AU104">
        <v>0</v>
      </c>
      <c r="AV104">
        <v>0</v>
      </c>
    </row>
    <row r="105" spans="1:48" ht="12.75">
      <c r="A105" s="2" t="str">
        <f>HYPERLINK("https://ibp.a2mac1.com/costing(costing:projects/details/8191/equipment/6942823)","Dummy Machine (PCBA+Final Assembly Line)")</f>
        <v>Dummy Machine (PCBA+Final Assembly Line)</v>
      </c>
      <c r="B105">
        <v>6942823</v>
      </c>
      <c r="C105">
        <v>6970293</v>
      </c>
      <c r="F105" t="s">
        <v>559</v>
      </c>
      <c r="H105" t="s">
        <v>136</v>
      </c>
      <c r="I105">
        <v>79501.662769714283</v>
      </c>
      <c r="J105">
        <v>0</v>
      </c>
      <c r="K105">
        <v>0.28895999999999999</v>
      </c>
      <c r="L105">
        <v>0</v>
      </c>
      <c r="M105">
        <v>16.624578413647427</v>
      </c>
      <c r="N105">
        <v>0</v>
      </c>
      <c r="O105">
        <v>2.0318929172235745</v>
      </c>
      <c r="P105">
        <v>0.35347106666666667</v>
      </c>
      <c r="Q105">
        <v>6.889185508913073E-05</v>
      </c>
      <c r="R105">
        <v>442771.10</v>
      </c>
      <c r="S105">
        <v>0</v>
      </c>
      <c r="T105">
        <v>0</v>
      </c>
      <c r="V105">
        <v>216</v>
      </c>
      <c r="W105">
        <v>7</v>
      </c>
      <c r="X105">
        <v>85</v>
      </c>
      <c r="Y105">
        <v>3</v>
      </c>
      <c r="Z105">
        <v>4</v>
      </c>
      <c r="AA105">
        <v>5</v>
      </c>
      <c r="AB105">
        <v>0</v>
      </c>
      <c r="AC105">
        <v>0</v>
      </c>
      <c r="AD105">
        <v>0</v>
      </c>
      <c r="AE105">
        <v>0</v>
      </c>
      <c r="AF105">
        <v>0.70</v>
      </c>
      <c r="AG105">
        <v>0</v>
      </c>
      <c r="AH105">
        <v>0</v>
      </c>
      <c r="AI105">
        <v>0.20</v>
      </c>
      <c r="AJ105">
        <v>0</v>
      </c>
      <c r="AK105">
        <v>0</v>
      </c>
      <c r="AL105">
        <v>86</v>
      </c>
      <c r="AM105">
        <v>4.20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19.40</v>
      </c>
      <c r="AU105">
        <v>0</v>
      </c>
      <c r="AV105">
        <v>0</v>
      </c>
    </row>
    <row r="106" spans="1:48" ht="12.75">
      <c r="A106" s="2" t="str">
        <f>HYPERLINK("https://ibp.a2mac1.com/costing(costing:projects/details/8191/equipment/6942824)","Equipment (Injection Molding)")</f>
        <v>Equipment (Injection Molding)</v>
      </c>
      <c r="B106">
        <v>6942824</v>
      </c>
      <c r="C106">
        <v>6970294</v>
      </c>
      <c r="H106" t="s">
        <v>136</v>
      </c>
      <c r="I106">
        <v>2002.8242760000001</v>
      </c>
      <c r="J106">
        <v>0</v>
      </c>
      <c r="K106">
        <v>0.085120000000000001</v>
      </c>
      <c r="L106">
        <v>0</v>
      </c>
      <c r="M106">
        <v>0.49251702282224363</v>
      </c>
      <c r="N106">
        <v>0</v>
      </c>
      <c r="O106">
        <v>0.0082086170470373945</v>
      </c>
      <c r="P106">
        <v>0.00052332080000000003</v>
      </c>
      <c r="Q106">
        <v>4.3798224909026038E-05</v>
      </c>
      <c r="R106">
        <v>10640</v>
      </c>
      <c r="S106">
        <v>0</v>
      </c>
      <c r="T106">
        <v>0</v>
      </c>
      <c r="V106">
        <v>102.60</v>
      </c>
      <c r="W106">
        <v>7</v>
      </c>
      <c r="X106">
        <v>85</v>
      </c>
      <c r="Y106">
        <v>3</v>
      </c>
      <c r="Z106">
        <v>4</v>
      </c>
      <c r="AA106">
        <v>5</v>
      </c>
      <c r="AB106">
        <v>0</v>
      </c>
      <c r="AC106">
        <v>0</v>
      </c>
      <c r="AD106">
        <v>0</v>
      </c>
      <c r="AE106">
        <v>0</v>
      </c>
      <c r="AF106">
        <v>0.0076</v>
      </c>
      <c r="AG106">
        <v>0</v>
      </c>
      <c r="AH106">
        <v>0</v>
      </c>
      <c r="AI106">
        <v>2</v>
      </c>
      <c r="AJ106">
        <v>0</v>
      </c>
      <c r="AK106">
        <v>0</v>
      </c>
      <c r="AL106">
        <v>80</v>
      </c>
      <c r="AM106">
        <v>1.33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2.85</v>
      </c>
      <c r="AU106">
        <v>0</v>
      </c>
      <c r="AV106">
        <v>0</v>
      </c>
    </row>
    <row r="107" spans="1:48" ht="12.75">
      <c r="A107" s="2" t="str">
        <f>HYPERLINK("https://ibp.a2mac1.com/costing(costing:projects/details/8191/equipment/6942825)","Equipment (Injection Molding)")</f>
        <v>Equipment (Injection Molding)</v>
      </c>
      <c r="B107">
        <v>6942825</v>
      </c>
      <c r="C107">
        <v>6970295</v>
      </c>
      <c r="H107" t="s">
        <v>136</v>
      </c>
      <c r="I107">
        <v>158.117706</v>
      </c>
      <c r="J107">
        <v>0</v>
      </c>
      <c r="K107">
        <v>0.0067200000000000003</v>
      </c>
      <c r="L107">
        <v>0</v>
      </c>
      <c r="M107">
        <v>0.038882922854387658</v>
      </c>
      <c r="N107">
        <v>0</v>
      </c>
      <c r="O107">
        <v>0.00064804871423979429</v>
      </c>
      <c r="P107">
        <v>4.13148E-05</v>
      </c>
      <c r="Q107">
        <v>3.3965139945853423E-06</v>
      </c>
      <c r="R107">
        <v>840</v>
      </c>
      <c r="S107">
        <v>0</v>
      </c>
      <c r="T107">
        <v>0</v>
      </c>
      <c r="V107">
        <v>8.10</v>
      </c>
      <c r="W107">
        <v>7</v>
      </c>
      <c r="X107">
        <v>85</v>
      </c>
      <c r="Y107">
        <v>3</v>
      </c>
      <c r="Z107">
        <v>4</v>
      </c>
      <c r="AA107">
        <v>5</v>
      </c>
      <c r="AB107">
        <v>0</v>
      </c>
      <c r="AC107">
        <v>0</v>
      </c>
      <c r="AD107">
        <v>0</v>
      </c>
      <c r="AE107">
        <v>0</v>
      </c>
      <c r="AF107">
        <v>0.00059999999999999995</v>
      </c>
      <c r="AG107">
        <v>0</v>
      </c>
      <c r="AH107">
        <v>0</v>
      </c>
      <c r="AI107">
        <v>2</v>
      </c>
      <c r="AJ107">
        <v>0</v>
      </c>
      <c r="AK107">
        <v>0</v>
      </c>
      <c r="AL107">
        <v>80</v>
      </c>
      <c r="AM107">
        <v>0.105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0.225</v>
      </c>
      <c r="AU107">
        <v>0</v>
      </c>
      <c r="AV107">
        <v>0</v>
      </c>
    </row>
    <row r="108" spans="1:48" ht="12.75">
      <c r="A108" s="2" t="str">
        <f>HYPERLINK("https://ibp.a2mac1.com/costing(costing:projects/details/8191/equipment/6942826)","Equipment (Injection Molding)")</f>
        <v>Equipment (Injection Molding)</v>
      </c>
      <c r="B108">
        <v>6942826</v>
      </c>
      <c r="C108">
        <v>6970299</v>
      </c>
      <c r="H108" t="s">
        <v>136</v>
      </c>
      <c r="I108">
        <v>368.94131399999998</v>
      </c>
      <c r="J108">
        <v>0</v>
      </c>
      <c r="K108">
        <v>0.015679999999999999</v>
      </c>
      <c r="L108">
        <v>0</v>
      </c>
      <c r="M108">
        <v>0.090726819993571198</v>
      </c>
      <c r="N108">
        <v>0</v>
      </c>
      <c r="O108">
        <v>0.0015121136665595201</v>
      </c>
      <c r="P108">
        <v>9.6401200000000001E-05</v>
      </c>
      <c r="Q108">
        <v>3.9707650741489875E-06</v>
      </c>
      <c r="R108">
        <v>1960</v>
      </c>
      <c r="S108">
        <v>0</v>
      </c>
      <c r="T108">
        <v>0</v>
      </c>
      <c r="V108">
        <v>18.90</v>
      </c>
      <c r="W108">
        <v>7</v>
      </c>
      <c r="X108">
        <v>85</v>
      </c>
      <c r="Y108">
        <v>3</v>
      </c>
      <c r="Z108">
        <v>4</v>
      </c>
      <c r="AA108">
        <v>5</v>
      </c>
      <c r="AB108">
        <v>0</v>
      </c>
      <c r="AC108">
        <v>0</v>
      </c>
      <c r="AD108">
        <v>0</v>
      </c>
      <c r="AE108">
        <v>0</v>
      </c>
      <c r="AF108">
        <v>0.0014</v>
      </c>
      <c r="AG108">
        <v>0</v>
      </c>
      <c r="AH108">
        <v>0</v>
      </c>
      <c r="AI108">
        <v>2</v>
      </c>
      <c r="AJ108">
        <v>0</v>
      </c>
      <c r="AK108">
        <v>0</v>
      </c>
      <c r="AL108">
        <v>80</v>
      </c>
      <c r="AM108">
        <v>0.245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0.525</v>
      </c>
      <c r="AU108">
        <v>0</v>
      </c>
      <c r="AV108">
        <v>0</v>
      </c>
    </row>
    <row r="109" spans="1:48" ht="12.75">
      <c r="A109" s="2" t="str">
        <f>HYPERLINK("https://ibp.a2mac1.com/costing(costing:projects/details/8191/equipment/6942827)","Equipment (Injection Molding)")</f>
        <v>Equipment (Injection Molding)</v>
      </c>
      <c r="B109">
        <v>6942827</v>
      </c>
      <c r="C109">
        <v>6970300</v>
      </c>
      <c r="H109" t="s">
        <v>136</v>
      </c>
      <c r="I109">
        <v>342.58836300000002</v>
      </c>
      <c r="J109">
        <v>0</v>
      </c>
      <c r="K109">
        <v>0.01456</v>
      </c>
      <c r="L109">
        <v>0</v>
      </c>
      <c r="M109">
        <v>0.08424633285117325</v>
      </c>
      <c r="N109">
        <v>0</v>
      </c>
      <c r="O109">
        <v>0.0014041055475195543</v>
      </c>
      <c r="P109">
        <v>8.95154E-05</v>
      </c>
      <c r="Q109">
        <v>3.6861912261794843E-06</v>
      </c>
      <c r="R109">
        <v>1820</v>
      </c>
      <c r="S109">
        <v>0</v>
      </c>
      <c r="T109">
        <v>0</v>
      </c>
      <c r="V109">
        <v>17.55</v>
      </c>
      <c r="W109">
        <v>7</v>
      </c>
      <c r="X109">
        <v>85</v>
      </c>
      <c r="Y109">
        <v>3</v>
      </c>
      <c r="Z109">
        <v>4</v>
      </c>
      <c r="AA109">
        <v>5</v>
      </c>
      <c r="AB109">
        <v>0</v>
      </c>
      <c r="AC109">
        <v>0</v>
      </c>
      <c r="AD109">
        <v>0</v>
      </c>
      <c r="AE109">
        <v>0</v>
      </c>
      <c r="AF109">
        <v>0.0012999999999999999</v>
      </c>
      <c r="AG109">
        <v>0</v>
      </c>
      <c r="AH109">
        <v>0</v>
      </c>
      <c r="AI109">
        <v>2</v>
      </c>
      <c r="AJ109">
        <v>0</v>
      </c>
      <c r="AK109">
        <v>0</v>
      </c>
      <c r="AL109">
        <v>80</v>
      </c>
      <c r="AM109">
        <v>0.2275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0.4875</v>
      </c>
      <c r="AU109">
        <v>0</v>
      </c>
      <c r="AV109">
        <v>0</v>
      </c>
    </row>
    <row r="110" spans="1:48" ht="12.75">
      <c r="A110" s="2" t="str">
        <f>HYPERLINK("https://ibp.a2mac1.com/costing(costing:projects/details/8191/equipment/6942828)","Equipment (Injection Molding)")</f>
        <v>Equipment (Injection Molding)</v>
      </c>
      <c r="B110">
        <v>6942828</v>
      </c>
      <c r="C110">
        <v>6970300</v>
      </c>
      <c r="H110" t="s">
        <v>136</v>
      </c>
      <c r="I110">
        <v>342.58836300000002</v>
      </c>
      <c r="J110">
        <v>0</v>
      </c>
      <c r="K110">
        <v>0.01456</v>
      </c>
      <c r="L110">
        <v>0</v>
      </c>
      <c r="M110">
        <v>0.08424633285117325</v>
      </c>
      <c r="N110">
        <v>0</v>
      </c>
      <c r="O110">
        <v>0.0014041055475195543</v>
      </c>
      <c r="P110">
        <v>8.95154E-05</v>
      </c>
      <c r="Q110">
        <v>3.6861912261794843E-06</v>
      </c>
      <c r="R110">
        <v>1820</v>
      </c>
      <c r="S110">
        <v>0</v>
      </c>
      <c r="T110">
        <v>0</v>
      </c>
      <c r="V110">
        <v>17.55</v>
      </c>
      <c r="W110">
        <v>7</v>
      </c>
      <c r="X110">
        <v>85</v>
      </c>
      <c r="Y110">
        <v>3</v>
      </c>
      <c r="Z110">
        <v>4</v>
      </c>
      <c r="AA110">
        <v>5</v>
      </c>
      <c r="AB110">
        <v>0</v>
      </c>
      <c r="AC110">
        <v>0</v>
      </c>
      <c r="AD110">
        <v>0</v>
      </c>
      <c r="AE110">
        <v>0</v>
      </c>
      <c r="AF110">
        <v>0.0012999999999999999</v>
      </c>
      <c r="AG110">
        <v>0</v>
      </c>
      <c r="AH110">
        <v>0</v>
      </c>
      <c r="AI110">
        <v>2</v>
      </c>
      <c r="AJ110">
        <v>0</v>
      </c>
      <c r="AK110">
        <v>0</v>
      </c>
      <c r="AL110">
        <v>80</v>
      </c>
      <c r="AM110">
        <v>0.2275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0.4875</v>
      </c>
      <c r="AU110">
        <v>0</v>
      </c>
      <c r="AV110">
        <v>0</v>
      </c>
    </row>
    <row r="111" spans="1:48" ht="12.75">
      <c r="A111" s="2" t="str">
        <f>HYPERLINK("https://ibp.a2mac1.com/costing(costing:projects/details/8191/equipment/6942829)","Dummy Machine (PCBA+Final Assembly Line)")</f>
        <v>Dummy Machine (PCBA+Final Assembly Line)</v>
      </c>
      <c r="B111">
        <v>6942829</v>
      </c>
      <c r="C111">
        <v>6970301</v>
      </c>
      <c r="F111" t="s">
        <v>559</v>
      </c>
      <c r="H111" t="s">
        <v>136</v>
      </c>
      <c r="I111">
        <v>79501.662769714283</v>
      </c>
      <c r="J111">
        <v>0</v>
      </c>
      <c r="K111">
        <v>0.28895999999999999</v>
      </c>
      <c r="L111">
        <v>0</v>
      </c>
      <c r="M111">
        <v>16.624578413647427</v>
      </c>
      <c r="N111">
        <v>0</v>
      </c>
      <c r="O111">
        <v>0.92358768964707927</v>
      </c>
      <c r="P111">
        <v>0.16066866666666665</v>
      </c>
      <c r="Q111">
        <v>6.889185508913073E-05</v>
      </c>
      <c r="R111">
        <v>442771.10</v>
      </c>
      <c r="S111">
        <v>0</v>
      </c>
      <c r="T111">
        <v>0</v>
      </c>
      <c r="V111">
        <v>216</v>
      </c>
      <c r="W111">
        <v>7</v>
      </c>
      <c r="X111">
        <v>85</v>
      </c>
      <c r="Y111">
        <v>3</v>
      </c>
      <c r="Z111">
        <v>4</v>
      </c>
      <c r="AA111">
        <v>5</v>
      </c>
      <c r="AB111">
        <v>0</v>
      </c>
      <c r="AC111">
        <v>0</v>
      </c>
      <c r="AD111">
        <v>0</v>
      </c>
      <c r="AE111">
        <v>0</v>
      </c>
      <c r="AF111">
        <v>0.70</v>
      </c>
      <c r="AG111">
        <v>0</v>
      </c>
      <c r="AH111">
        <v>0</v>
      </c>
      <c r="AI111">
        <v>0.20</v>
      </c>
      <c r="AJ111">
        <v>0</v>
      </c>
      <c r="AK111">
        <v>0</v>
      </c>
      <c r="AL111">
        <v>86</v>
      </c>
      <c r="AM111">
        <v>4.20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19.40</v>
      </c>
      <c r="AU111">
        <v>0</v>
      </c>
      <c r="AV111">
        <v>0</v>
      </c>
    </row>
    <row r="112" spans="1:48" ht="12.75">
      <c r="A112" s="2" t="str">
        <f>HYPERLINK("https://ibp.a2mac1.com/costing(costing:projects/details/8191/equipment/6942830)","Dummy Machine (PCBA+Final Assembly Line)")</f>
        <v>Dummy Machine (PCBA+Final Assembly Line)</v>
      </c>
      <c r="B112">
        <v>6942830</v>
      </c>
      <c r="C112">
        <v>6970302</v>
      </c>
      <c r="F112" t="s">
        <v>559</v>
      </c>
      <c r="H112" t="s">
        <v>136</v>
      </c>
      <c r="I112">
        <v>79501.662769714283</v>
      </c>
      <c r="J112">
        <v>0</v>
      </c>
      <c r="K112">
        <v>0.28895999999999999</v>
      </c>
      <c r="L112">
        <v>0</v>
      </c>
      <c r="M112">
        <v>16.624578413647427</v>
      </c>
      <c r="N112">
        <v>0</v>
      </c>
      <c r="O112">
        <v>0.43870415258236262</v>
      </c>
      <c r="P112">
        <v>0.076317616666666671</v>
      </c>
      <c r="Q112">
        <v>6.889185508913073E-05</v>
      </c>
      <c r="R112">
        <v>442771.10</v>
      </c>
      <c r="S112">
        <v>0</v>
      </c>
      <c r="T112">
        <v>0</v>
      </c>
      <c r="V112">
        <v>216</v>
      </c>
      <c r="W112">
        <v>7</v>
      </c>
      <c r="X112">
        <v>85</v>
      </c>
      <c r="Y112">
        <v>3</v>
      </c>
      <c r="Z112">
        <v>4</v>
      </c>
      <c r="AA112">
        <v>5</v>
      </c>
      <c r="AB112">
        <v>0</v>
      </c>
      <c r="AC112">
        <v>0</v>
      </c>
      <c r="AD112">
        <v>0</v>
      </c>
      <c r="AE112">
        <v>0</v>
      </c>
      <c r="AF112">
        <v>0.70</v>
      </c>
      <c r="AG112">
        <v>0</v>
      </c>
      <c r="AH112">
        <v>0</v>
      </c>
      <c r="AI112">
        <v>0.20</v>
      </c>
      <c r="AJ112">
        <v>0</v>
      </c>
      <c r="AK112">
        <v>0</v>
      </c>
      <c r="AL112">
        <v>86</v>
      </c>
      <c r="AM112">
        <v>4.20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19.40</v>
      </c>
      <c r="AU112">
        <v>0</v>
      </c>
      <c r="AV112">
        <v>0</v>
      </c>
    </row>
    <row r="113" spans="1:48" ht="12.75">
      <c r="A113" s="2" t="str">
        <f>HYPERLINK("https://ibp.a2mac1.com/costing(costing:projects/details/8191/equipment/6942831)","Dummy Machine (PCBA+Final Assembly Line)")</f>
        <v>Dummy Machine (PCBA+Final Assembly Line)</v>
      </c>
      <c r="B113">
        <v>6942831</v>
      </c>
      <c r="C113">
        <v>6970303</v>
      </c>
      <c r="F113" t="s">
        <v>559</v>
      </c>
      <c r="H113" t="s">
        <v>136</v>
      </c>
      <c r="I113">
        <v>79501.662769714283</v>
      </c>
      <c r="J113">
        <v>0</v>
      </c>
      <c r="K113">
        <v>0.28895999999999999</v>
      </c>
      <c r="L113">
        <v>0</v>
      </c>
      <c r="M113">
        <v>16.624578413647427</v>
      </c>
      <c r="N113">
        <v>0</v>
      </c>
      <c r="O113">
        <v>0.43870415258236262</v>
      </c>
      <c r="P113">
        <v>0.076317616666666671</v>
      </c>
      <c r="Q113">
        <v>6.889185508913073E-05</v>
      </c>
      <c r="R113">
        <v>442771.10</v>
      </c>
      <c r="S113">
        <v>0</v>
      </c>
      <c r="T113">
        <v>0</v>
      </c>
      <c r="V113">
        <v>216</v>
      </c>
      <c r="W113">
        <v>7</v>
      </c>
      <c r="X113">
        <v>85</v>
      </c>
      <c r="Y113">
        <v>3</v>
      </c>
      <c r="Z113">
        <v>4</v>
      </c>
      <c r="AA113">
        <v>5</v>
      </c>
      <c r="AB113">
        <v>0</v>
      </c>
      <c r="AC113">
        <v>0</v>
      </c>
      <c r="AD113">
        <v>0</v>
      </c>
      <c r="AE113">
        <v>0</v>
      </c>
      <c r="AF113">
        <v>0.70</v>
      </c>
      <c r="AG113">
        <v>0</v>
      </c>
      <c r="AH113">
        <v>0</v>
      </c>
      <c r="AI113">
        <v>0.20</v>
      </c>
      <c r="AJ113">
        <v>0</v>
      </c>
      <c r="AK113">
        <v>0</v>
      </c>
      <c r="AL113">
        <v>86</v>
      </c>
      <c r="AM113">
        <v>4.20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19.40</v>
      </c>
      <c r="AU113">
        <v>0</v>
      </c>
      <c r="AV113">
        <v>0</v>
      </c>
    </row>
    <row r="114" spans="1:48" ht="12.75">
      <c r="A114" s="2" t="str">
        <f>HYPERLINK("https://ibp.a2mac1.com/costing(costing:projects/details/8191/equipment/6942848)","Dummy Machine (PCBA+Final Assembly Line)")</f>
        <v>Dummy Machine (PCBA+Final Assembly Line)</v>
      </c>
      <c r="B114">
        <v>6942848</v>
      </c>
      <c r="C114">
        <v>6970439</v>
      </c>
      <c r="F114" t="s">
        <v>559</v>
      </c>
      <c r="H114" t="s">
        <v>136</v>
      </c>
      <c r="I114">
        <v>79501.662769714283</v>
      </c>
      <c r="J114">
        <v>0</v>
      </c>
      <c r="K114">
        <v>0.28895999999999999</v>
      </c>
      <c r="L114">
        <v>0</v>
      </c>
      <c r="M114">
        <v>16.624578413647427</v>
      </c>
      <c r="N114">
        <v>0</v>
      </c>
      <c r="O114">
        <v>2.0088032249823975</v>
      </c>
      <c r="P114">
        <v>0.34945435000000002</v>
      </c>
      <c r="Q114">
        <v>6.889185508913073E-05</v>
      </c>
      <c r="R114">
        <v>442771.10</v>
      </c>
      <c r="S114">
        <v>0</v>
      </c>
      <c r="T114">
        <v>0</v>
      </c>
      <c r="V114">
        <v>216</v>
      </c>
      <c r="W114">
        <v>7</v>
      </c>
      <c r="X114">
        <v>85</v>
      </c>
      <c r="Y114">
        <v>3</v>
      </c>
      <c r="Z114">
        <v>4</v>
      </c>
      <c r="AA114">
        <v>5</v>
      </c>
      <c r="AB114">
        <v>0</v>
      </c>
      <c r="AC114">
        <v>0</v>
      </c>
      <c r="AD114">
        <v>0</v>
      </c>
      <c r="AE114">
        <v>0</v>
      </c>
      <c r="AF114">
        <v>0.70</v>
      </c>
      <c r="AG114">
        <v>0</v>
      </c>
      <c r="AH114">
        <v>0</v>
      </c>
      <c r="AI114">
        <v>0.20</v>
      </c>
      <c r="AJ114">
        <v>0</v>
      </c>
      <c r="AK114">
        <v>0</v>
      </c>
      <c r="AL114">
        <v>86</v>
      </c>
      <c r="AM114">
        <v>4.20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19.40</v>
      </c>
      <c r="AU114">
        <v>0</v>
      </c>
      <c r="AV114">
        <v>0</v>
      </c>
    </row>
    <row r="115" spans="1:48" ht="12.75">
      <c r="A115" s="2" t="str">
        <f>HYPERLINK("https://ibp.a2mac1.com/costing(costing:projects/details/8191/equipment/6942847)","Dummy Machine (PCBA+Final Assembly Line)")</f>
        <v>Dummy Machine (PCBA+Final Assembly Line)</v>
      </c>
      <c r="B115">
        <v>6942847</v>
      </c>
      <c r="C115">
        <v>6970396</v>
      </c>
      <c r="F115" t="s">
        <v>559</v>
      </c>
      <c r="H115" t="s">
        <v>136</v>
      </c>
      <c r="I115">
        <v>79501.662769714283</v>
      </c>
      <c r="J115">
        <v>0</v>
      </c>
      <c r="K115">
        <v>0.28895999999999999</v>
      </c>
      <c r="L115">
        <v>0</v>
      </c>
      <c r="M115">
        <v>16.624578413647427</v>
      </c>
      <c r="N115">
        <v>0</v>
      </c>
      <c r="O115">
        <v>0.43408621413412724</v>
      </c>
      <c r="P115">
        <v>0.07551427333333334</v>
      </c>
      <c r="Q115">
        <v>6.889185508913073E-05</v>
      </c>
      <c r="R115">
        <v>442771.10</v>
      </c>
      <c r="S115">
        <v>0</v>
      </c>
      <c r="T115">
        <v>0</v>
      </c>
      <c r="V115">
        <v>216</v>
      </c>
      <c r="W115">
        <v>7</v>
      </c>
      <c r="X115">
        <v>85</v>
      </c>
      <c r="Y115">
        <v>3</v>
      </c>
      <c r="Z115">
        <v>4</v>
      </c>
      <c r="AA115">
        <v>5</v>
      </c>
      <c r="AB115">
        <v>0</v>
      </c>
      <c r="AC115">
        <v>0</v>
      </c>
      <c r="AD115">
        <v>0</v>
      </c>
      <c r="AE115">
        <v>0</v>
      </c>
      <c r="AF115">
        <v>0.70</v>
      </c>
      <c r="AG115">
        <v>0</v>
      </c>
      <c r="AH115">
        <v>0</v>
      </c>
      <c r="AI115">
        <v>0.20</v>
      </c>
      <c r="AJ115">
        <v>0</v>
      </c>
      <c r="AK115">
        <v>0</v>
      </c>
      <c r="AL115">
        <v>86</v>
      </c>
      <c r="AM115">
        <v>4.20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19.40</v>
      </c>
      <c r="AU115">
        <v>0</v>
      </c>
      <c r="AV115">
        <v>0</v>
      </c>
    </row>
    <row r="116" spans="1:48" ht="12.75">
      <c r="A116" s="2" t="str">
        <f>HYPERLINK("https://ibp.a2mac1.com/costing(costing:projects/details/8191/equipment/6942832)","Dummy Machine (PCBA+Final Assembly Line)")</f>
        <v>Dummy Machine (PCBA+Final Assembly Line)</v>
      </c>
      <c r="B116">
        <v>6942832</v>
      </c>
      <c r="C116">
        <v>6970304</v>
      </c>
      <c r="F116" t="s">
        <v>559</v>
      </c>
      <c r="H116" t="s">
        <v>136</v>
      </c>
      <c r="I116">
        <v>79501.662769714283</v>
      </c>
      <c r="J116">
        <v>0</v>
      </c>
      <c r="K116">
        <v>0.28895999999999999</v>
      </c>
      <c r="L116">
        <v>0</v>
      </c>
      <c r="M116">
        <v>16.624578413647427</v>
      </c>
      <c r="N116">
        <v>0</v>
      </c>
      <c r="O116">
        <v>2.6553146077353529</v>
      </c>
      <c r="P116">
        <v>0.46192241666666667</v>
      </c>
      <c r="Q116">
        <v>6.889185508913073E-05</v>
      </c>
      <c r="R116">
        <v>442771.10</v>
      </c>
      <c r="S116">
        <v>0</v>
      </c>
      <c r="T116">
        <v>0</v>
      </c>
      <c r="V116">
        <v>216</v>
      </c>
      <c r="W116">
        <v>7</v>
      </c>
      <c r="X116">
        <v>85</v>
      </c>
      <c r="Y116">
        <v>3</v>
      </c>
      <c r="Z116">
        <v>4</v>
      </c>
      <c r="AA116">
        <v>5</v>
      </c>
      <c r="AB116">
        <v>0</v>
      </c>
      <c r="AC116">
        <v>0</v>
      </c>
      <c r="AD116">
        <v>0</v>
      </c>
      <c r="AE116">
        <v>0</v>
      </c>
      <c r="AF116">
        <v>0.70</v>
      </c>
      <c r="AG116">
        <v>0</v>
      </c>
      <c r="AH116">
        <v>0</v>
      </c>
      <c r="AI116">
        <v>0.20</v>
      </c>
      <c r="AJ116">
        <v>0</v>
      </c>
      <c r="AK116">
        <v>0</v>
      </c>
      <c r="AL116">
        <v>86</v>
      </c>
      <c r="AM116">
        <v>4.20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19.40</v>
      </c>
      <c r="AU116">
        <v>0</v>
      </c>
      <c r="AV116">
        <v>0</v>
      </c>
    </row>
    <row r="117" spans="1:48" ht="12.75">
      <c r="A117" s="2" t="str">
        <f>HYPERLINK("https://ibp.a2mac1.com/costing(costing:projects/details/8191/equipment/6942833)","Dummy Machine (PCBA+Final Assembly Line)")</f>
        <v>Dummy Machine (PCBA+Final Assembly Line)</v>
      </c>
      <c r="B117">
        <v>6942833</v>
      </c>
      <c r="C117">
        <v>6970305</v>
      </c>
      <c r="F117" t="s">
        <v>559</v>
      </c>
      <c r="H117" t="s">
        <v>136</v>
      </c>
      <c r="I117">
        <v>79501.662769714283</v>
      </c>
      <c r="J117">
        <v>0</v>
      </c>
      <c r="K117">
        <v>0.28895999999999999</v>
      </c>
      <c r="L117">
        <v>0</v>
      </c>
      <c r="M117">
        <v>16.624578413647427</v>
      </c>
      <c r="N117">
        <v>0</v>
      </c>
      <c r="O117">
        <v>6.6960107499413244</v>
      </c>
      <c r="P117">
        <v>1.1648478333333334</v>
      </c>
      <c r="Q117">
        <v>6.889185508913073E-05</v>
      </c>
      <c r="R117">
        <v>442771.10</v>
      </c>
      <c r="S117">
        <v>0</v>
      </c>
      <c r="T117">
        <v>0</v>
      </c>
      <c r="V117">
        <v>216</v>
      </c>
      <c r="W117">
        <v>7</v>
      </c>
      <c r="X117">
        <v>85</v>
      </c>
      <c r="Y117">
        <v>3</v>
      </c>
      <c r="Z117">
        <v>4</v>
      </c>
      <c r="AA117">
        <v>5</v>
      </c>
      <c r="AB117">
        <v>0</v>
      </c>
      <c r="AC117">
        <v>0</v>
      </c>
      <c r="AD117">
        <v>0</v>
      </c>
      <c r="AE117">
        <v>0</v>
      </c>
      <c r="AF117">
        <v>0.70</v>
      </c>
      <c r="AG117">
        <v>0</v>
      </c>
      <c r="AH117">
        <v>0</v>
      </c>
      <c r="AI117">
        <v>0.20</v>
      </c>
      <c r="AJ117">
        <v>0</v>
      </c>
      <c r="AK117">
        <v>0</v>
      </c>
      <c r="AL117">
        <v>86</v>
      </c>
      <c r="AM117">
        <v>4.20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19.40</v>
      </c>
      <c r="AU117">
        <v>0</v>
      </c>
      <c r="AV117">
        <v>0</v>
      </c>
    </row>
    <row r="118" spans="1:48" ht="12.75">
      <c r="A118" s="2" t="str">
        <f>HYPERLINK("https://ibp.a2mac1.com/costing(costing:projects/details/8191/equipment/6942834)","Dummy Machine (PCBA+Final Assembly Line)")</f>
        <v>Dummy Machine (PCBA+Final Assembly Line)</v>
      </c>
      <c r="B118">
        <v>6942834</v>
      </c>
      <c r="C118">
        <v>6970306</v>
      </c>
      <c r="F118" t="s">
        <v>559</v>
      </c>
      <c r="H118" t="s">
        <v>136</v>
      </c>
      <c r="I118">
        <v>79501.662769714283</v>
      </c>
      <c r="J118">
        <v>0</v>
      </c>
      <c r="K118">
        <v>0.28895999999999999</v>
      </c>
      <c r="L118">
        <v>0</v>
      </c>
      <c r="M118">
        <v>16.624578413647427</v>
      </c>
      <c r="N118">
        <v>0</v>
      </c>
      <c r="O118">
        <v>1.7317269180882735</v>
      </c>
      <c r="P118">
        <v>0.30125374999999999</v>
      </c>
      <c r="Q118">
        <v>5.7409879240942279E-05</v>
      </c>
      <c r="R118">
        <v>442771.10</v>
      </c>
      <c r="S118">
        <v>0</v>
      </c>
      <c r="T118">
        <v>0</v>
      </c>
      <c r="V118">
        <v>216</v>
      </c>
      <c r="W118">
        <v>7</v>
      </c>
      <c r="X118">
        <v>85</v>
      </c>
      <c r="Y118">
        <v>3</v>
      </c>
      <c r="Z118">
        <v>4</v>
      </c>
      <c r="AA118">
        <v>5</v>
      </c>
      <c r="AB118">
        <v>0</v>
      </c>
      <c r="AC118">
        <v>0</v>
      </c>
      <c r="AD118">
        <v>0</v>
      </c>
      <c r="AE118">
        <v>0</v>
      </c>
      <c r="AF118">
        <v>0.70</v>
      </c>
      <c r="AG118">
        <v>0</v>
      </c>
      <c r="AH118">
        <v>0</v>
      </c>
      <c r="AI118">
        <v>0.20</v>
      </c>
      <c r="AJ118">
        <v>0</v>
      </c>
      <c r="AK118">
        <v>0</v>
      </c>
      <c r="AL118">
        <v>86</v>
      </c>
      <c r="AM118">
        <v>4.20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19.40</v>
      </c>
      <c r="AU118">
        <v>0</v>
      </c>
      <c r="AV118">
        <v>0</v>
      </c>
    </row>
    <row r="119" spans="1:48" ht="12.75">
      <c r="A119" s="2" t="str">
        <f>HYPERLINK("https://ibp.a2mac1.com/costing(costing:projects/details/8191/equipment/6942835)","Equipment (Injection Molding)")</f>
        <v>Equipment (Injection Molding)</v>
      </c>
      <c r="B119">
        <v>6942835</v>
      </c>
      <c r="C119">
        <v>6970308</v>
      </c>
      <c r="H119" t="s">
        <v>136</v>
      </c>
      <c r="I119">
        <v>1423.059354</v>
      </c>
      <c r="J119">
        <v>0</v>
      </c>
      <c r="K119">
        <v>0.060479999999999999</v>
      </c>
      <c r="L119">
        <v>0</v>
      </c>
      <c r="M119">
        <v>0.34994630568948892</v>
      </c>
      <c r="N119">
        <v>0</v>
      </c>
      <c r="O119">
        <v>0.0058324384281581484</v>
      </c>
      <c r="P119">
        <v>0.00037183319999999998</v>
      </c>
      <c r="Q119">
        <v>3.0946567961412728E-05</v>
      </c>
      <c r="R119">
        <v>7560</v>
      </c>
      <c r="S119">
        <v>0</v>
      </c>
      <c r="T119">
        <v>0</v>
      </c>
      <c r="V119">
        <v>72.90</v>
      </c>
      <c r="W119">
        <v>7</v>
      </c>
      <c r="X119">
        <v>85</v>
      </c>
      <c r="Y119">
        <v>3</v>
      </c>
      <c r="Z119">
        <v>4</v>
      </c>
      <c r="AA119">
        <v>5</v>
      </c>
      <c r="AB119">
        <v>0</v>
      </c>
      <c r="AC119">
        <v>0</v>
      </c>
      <c r="AD119">
        <v>0</v>
      </c>
      <c r="AE119">
        <v>0</v>
      </c>
      <c r="AF119">
        <v>0.0054000000000000003</v>
      </c>
      <c r="AG119">
        <v>0</v>
      </c>
      <c r="AH119">
        <v>0</v>
      </c>
      <c r="AI119">
        <v>2</v>
      </c>
      <c r="AJ119">
        <v>0</v>
      </c>
      <c r="AK119">
        <v>0</v>
      </c>
      <c r="AL119">
        <v>80</v>
      </c>
      <c r="AM119">
        <v>0.945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2.025</v>
      </c>
      <c r="AU119">
        <v>0</v>
      </c>
      <c r="AV119">
        <v>0</v>
      </c>
    </row>
    <row r="120" spans="1:48" ht="12.75">
      <c r="A120" s="2" t="str">
        <f>HYPERLINK("https://ibp.a2mac1.com/costing(costing:projects/details/8191/equipment/6942836)","Dummy Machine (PCBA+Final Assembly Line)")</f>
        <v>Dummy Machine (PCBA+Final Assembly Line)</v>
      </c>
      <c r="B120">
        <v>6942836</v>
      </c>
      <c r="C120">
        <v>6970309</v>
      </c>
      <c r="F120" t="s">
        <v>559</v>
      </c>
      <c r="H120" t="s">
        <v>136</v>
      </c>
      <c r="I120">
        <v>79501.662769714283</v>
      </c>
      <c r="J120">
        <v>0</v>
      </c>
      <c r="K120">
        <v>0.28895999999999999</v>
      </c>
      <c r="L120">
        <v>0</v>
      </c>
      <c r="M120">
        <v>16.624578413647427</v>
      </c>
      <c r="N120">
        <v>0</v>
      </c>
      <c r="O120">
        <v>0.55415261378824754</v>
      </c>
      <c r="P120">
        <v>0.096401200000000006</v>
      </c>
      <c r="Q120">
        <v>6.889185508913073E-05</v>
      </c>
      <c r="R120">
        <v>442771.10</v>
      </c>
      <c r="S120">
        <v>0</v>
      </c>
      <c r="T120">
        <v>0</v>
      </c>
      <c r="V120">
        <v>216</v>
      </c>
      <c r="W120">
        <v>7</v>
      </c>
      <c r="X120">
        <v>85</v>
      </c>
      <c r="Y120">
        <v>3</v>
      </c>
      <c r="Z120">
        <v>4</v>
      </c>
      <c r="AA120">
        <v>5</v>
      </c>
      <c r="AB120">
        <v>0</v>
      </c>
      <c r="AC120">
        <v>0</v>
      </c>
      <c r="AD120">
        <v>0</v>
      </c>
      <c r="AE120">
        <v>0</v>
      </c>
      <c r="AF120">
        <v>0.70</v>
      </c>
      <c r="AG120">
        <v>0</v>
      </c>
      <c r="AH120">
        <v>0</v>
      </c>
      <c r="AI120">
        <v>0.20</v>
      </c>
      <c r="AJ120">
        <v>0</v>
      </c>
      <c r="AK120">
        <v>0</v>
      </c>
      <c r="AL120">
        <v>86</v>
      </c>
      <c r="AM120">
        <v>4.20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19.40</v>
      </c>
      <c r="AU120">
        <v>0</v>
      </c>
      <c r="AV120">
        <v>0</v>
      </c>
    </row>
    <row r="121" spans="1:48" ht="12.75">
      <c r="A121" s="2" t="str">
        <f>HYPERLINK("https://ibp.a2mac1.com/costing(costing:projects/details/8191/equipment/6942837)","Dummy Machine (PCBA+Final Assembly Line)")</f>
        <v>Dummy Machine (PCBA+Final Assembly Line)</v>
      </c>
      <c r="B121">
        <v>6942837</v>
      </c>
      <c r="C121">
        <v>6970310</v>
      </c>
      <c r="F121" t="s">
        <v>559</v>
      </c>
      <c r="H121" t="s">
        <v>136</v>
      </c>
      <c r="I121">
        <v>79501.662769714283</v>
      </c>
      <c r="J121">
        <v>0</v>
      </c>
      <c r="K121">
        <v>0.28895999999999999</v>
      </c>
      <c r="L121">
        <v>0</v>
      </c>
      <c r="M121">
        <v>16.624578413647427</v>
      </c>
      <c r="N121">
        <v>0</v>
      </c>
      <c r="O121">
        <v>0.42946827568589185</v>
      </c>
      <c r="P121">
        <v>0.074710929999999995</v>
      </c>
      <c r="Q121">
        <v>0.00011481975848188456</v>
      </c>
      <c r="R121">
        <v>442771.10</v>
      </c>
      <c r="S121">
        <v>0</v>
      </c>
      <c r="T121">
        <v>0</v>
      </c>
      <c r="V121">
        <v>216</v>
      </c>
      <c r="W121">
        <v>7</v>
      </c>
      <c r="X121">
        <v>85</v>
      </c>
      <c r="Y121">
        <v>3</v>
      </c>
      <c r="Z121">
        <v>4</v>
      </c>
      <c r="AA121">
        <v>5</v>
      </c>
      <c r="AB121">
        <v>0</v>
      </c>
      <c r="AC121">
        <v>0</v>
      </c>
      <c r="AD121">
        <v>0</v>
      </c>
      <c r="AE121">
        <v>0</v>
      </c>
      <c r="AF121">
        <v>0.70</v>
      </c>
      <c r="AG121">
        <v>0</v>
      </c>
      <c r="AH121">
        <v>0</v>
      </c>
      <c r="AI121">
        <v>0.20</v>
      </c>
      <c r="AJ121">
        <v>0</v>
      </c>
      <c r="AK121">
        <v>0</v>
      </c>
      <c r="AL121">
        <v>86</v>
      </c>
      <c r="AM121">
        <v>4.20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19.40</v>
      </c>
      <c r="AU121">
        <v>0</v>
      </c>
      <c r="AV121">
        <v>0</v>
      </c>
    </row>
    <row r="122" spans="1:48" ht="12.75">
      <c r="A122" s="2" t="str">
        <f>HYPERLINK("https://ibp.a2mac1.com/costing(costing:projects/details/8191/equipment/6943009)","Machine")</f>
        <v>Machine</v>
      </c>
      <c r="B122">
        <v>6943009</v>
      </c>
      <c r="C122">
        <v>6970496</v>
      </c>
      <c r="H122" t="s">
        <v>136</v>
      </c>
      <c r="I122">
        <v>1815350.8692022713</v>
      </c>
      <c r="J122">
        <v>0</v>
      </c>
      <c r="K122">
        <v>5.1996000000000002</v>
      </c>
      <c r="L122">
        <v>0</v>
      </c>
      <c r="M122">
        <v>378.87959594877395</v>
      </c>
      <c r="N122">
        <v>0</v>
      </c>
      <c r="O122">
        <v>6.3146599324795654</v>
      </c>
      <c r="P122">
        <v>0.068858000000000003</v>
      </c>
      <c r="Q122">
        <v>0.011743195078463218</v>
      </c>
      <c r="R122">
        <v>10193721.31182</v>
      </c>
      <c r="S122">
        <v>0</v>
      </c>
      <c r="T122">
        <v>0</v>
      </c>
      <c r="V122">
        <v>1800</v>
      </c>
      <c r="W122">
        <v>7</v>
      </c>
      <c r="X122">
        <v>85</v>
      </c>
      <c r="Y122">
        <v>3</v>
      </c>
      <c r="Z122">
        <v>4</v>
      </c>
      <c r="AA122">
        <v>5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86.66</v>
      </c>
      <c r="AM122">
        <v>75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60</v>
      </c>
      <c r="AU122">
        <v>0</v>
      </c>
      <c r="AV122">
        <v>0</v>
      </c>
    </row>
    <row r="123" spans="1:48" ht="12.75">
      <c r="A123" s="2" t="str">
        <f>HYPERLINK("https://ibp.a2mac1.com/costing(costing:projects/details/8191/equipment/6943010)","Machine")</f>
        <v>Machine</v>
      </c>
      <c r="B123">
        <v>6943010</v>
      </c>
      <c r="C123">
        <v>6970497</v>
      </c>
      <c r="H123" t="s">
        <v>136</v>
      </c>
      <c r="I123">
        <v>441673.82065656426</v>
      </c>
      <c r="J123">
        <v>0</v>
      </c>
      <c r="K123">
        <v>5.1996000000000002</v>
      </c>
      <c r="L123">
        <v>0</v>
      </c>
      <c r="M123">
        <v>96.036246668605642</v>
      </c>
      <c r="N123">
        <v>0</v>
      </c>
      <c r="O123">
        <v>1.6006041111434273</v>
      </c>
      <c r="P123">
        <v>0.068858000000000003</v>
      </c>
      <c r="Q123">
        <v>0.0032578946000581693</v>
      </c>
      <c r="R123">
        <v>2470235.8983100001</v>
      </c>
      <c r="S123">
        <v>0</v>
      </c>
      <c r="T123">
        <v>0</v>
      </c>
      <c r="V123">
        <v>1800</v>
      </c>
      <c r="W123">
        <v>7</v>
      </c>
      <c r="X123">
        <v>85</v>
      </c>
      <c r="Y123">
        <v>3</v>
      </c>
      <c r="Z123">
        <v>4</v>
      </c>
      <c r="AA123">
        <v>5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86.66</v>
      </c>
      <c r="AM123">
        <v>75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60</v>
      </c>
      <c r="AU123">
        <v>0</v>
      </c>
      <c r="AV123">
        <v>0</v>
      </c>
    </row>
    <row r="124" spans="1:48" ht="12.75">
      <c r="A124" s="2" t="str">
        <f>HYPERLINK("https://ibp.a2mac1.com/costing(costing:projects/details/8191/equipment/6943011)","Machine")</f>
        <v>Machine</v>
      </c>
      <c r="B124">
        <v>6943011</v>
      </c>
      <c r="C124">
        <v>6970498</v>
      </c>
      <c r="H124" t="s">
        <v>136</v>
      </c>
      <c r="I124">
        <v>111097.88051862858</v>
      </c>
      <c r="J124">
        <v>0</v>
      </c>
      <c r="K124">
        <v>5.1996000000000002</v>
      </c>
      <c r="L124">
        <v>0</v>
      </c>
      <c r="M124">
        <v>27.969879687339855</v>
      </c>
      <c r="N124">
        <v>0</v>
      </c>
      <c r="O124">
        <v>0.46616466145566421</v>
      </c>
      <c r="P124">
        <v>0.068858000000000003</v>
      </c>
      <c r="Q124">
        <v>0.00060795179531009786</v>
      </c>
      <c r="R124">
        <v>611575.99392000004</v>
      </c>
      <c r="S124">
        <v>0</v>
      </c>
      <c r="T124">
        <v>0</v>
      </c>
      <c r="V124">
        <v>1800</v>
      </c>
      <c r="W124">
        <v>7</v>
      </c>
      <c r="X124">
        <v>85</v>
      </c>
      <c r="Y124">
        <v>3</v>
      </c>
      <c r="Z124">
        <v>4</v>
      </c>
      <c r="AA124">
        <v>5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86.66</v>
      </c>
      <c r="AM124">
        <v>75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60</v>
      </c>
      <c r="AU124">
        <v>0</v>
      </c>
      <c r="AV124">
        <v>0</v>
      </c>
    </row>
    <row r="125" spans="1:48" ht="12.75">
      <c r="A125" s="2" t="str">
        <f>HYPERLINK("https://ibp.a2mac1.com/costing(costing:projects/details/8191/equipment/6943012)","Machine")</f>
        <v>Machine</v>
      </c>
      <c r="B125">
        <v>6943012</v>
      </c>
      <c r="C125">
        <v>6970499</v>
      </c>
      <c r="H125" t="s">
        <v>136</v>
      </c>
      <c r="I125">
        <v>117798.74416962857</v>
      </c>
      <c r="J125">
        <v>0</v>
      </c>
      <c r="K125">
        <v>5.1996000000000002</v>
      </c>
      <c r="L125">
        <v>0</v>
      </c>
      <c r="M125">
        <v>29.349603342273959</v>
      </c>
      <c r="N125">
        <v>0</v>
      </c>
      <c r="O125">
        <v>0.489160055704566</v>
      </c>
      <c r="P125">
        <v>0.068858000000000003</v>
      </c>
      <c r="Q125">
        <v>0.00062864765013410939</v>
      </c>
      <c r="R125">
        <v>649251.53252000001</v>
      </c>
      <c r="S125">
        <v>0</v>
      </c>
      <c r="T125">
        <v>0</v>
      </c>
      <c r="V125">
        <v>1800</v>
      </c>
      <c r="W125">
        <v>7</v>
      </c>
      <c r="X125">
        <v>85</v>
      </c>
      <c r="Y125">
        <v>3</v>
      </c>
      <c r="Z125">
        <v>4</v>
      </c>
      <c r="AA125">
        <v>5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86.66</v>
      </c>
      <c r="AM125">
        <v>75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60</v>
      </c>
      <c r="AU125">
        <v>0</v>
      </c>
      <c r="AV125">
        <v>0</v>
      </c>
    </row>
    <row r="126" spans="1:48" ht="12.75">
      <c r="A126" s="2" t="str">
        <f>HYPERLINK("https://ibp.a2mac1.com/costing(costing:projects/details/8191/equipment/6942853)","Machine")</f>
        <v>Machine</v>
      </c>
      <c r="B126">
        <v>6942853</v>
      </c>
      <c r="C126">
        <v>6970492</v>
      </c>
      <c r="H126" t="s">
        <v>136</v>
      </c>
      <c r="I126">
        <v>1190505.4405889357</v>
      </c>
      <c r="J126">
        <v>0</v>
      </c>
      <c r="K126">
        <v>5.1996000000000002</v>
      </c>
      <c r="L126">
        <v>0</v>
      </c>
      <c r="M126">
        <v>250.22244614889678</v>
      </c>
      <c r="N126">
        <v>0</v>
      </c>
      <c r="O126">
        <v>4.1703741024816132</v>
      </c>
      <c r="P126">
        <v>0.068858000000000003</v>
      </c>
      <c r="Q126">
        <v>0.013139134307444839</v>
      </c>
      <c r="R126">
        <v>6680534.1629900001</v>
      </c>
      <c r="S126">
        <v>0</v>
      </c>
      <c r="T126">
        <v>0</v>
      </c>
      <c r="V126">
        <v>1800</v>
      </c>
      <c r="W126">
        <v>7</v>
      </c>
      <c r="X126">
        <v>85</v>
      </c>
      <c r="Y126">
        <v>3</v>
      </c>
      <c r="Z126">
        <v>4</v>
      </c>
      <c r="AA126">
        <v>5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86.66</v>
      </c>
      <c r="AM126">
        <v>75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60</v>
      </c>
      <c r="AU126">
        <v>0</v>
      </c>
      <c r="AV126">
        <v>0</v>
      </c>
    </row>
    <row r="127" spans="1:48" ht="12.75">
      <c r="A127" s="2" t="str">
        <f>HYPERLINK("https://ibp.a2mac1.com/costing(costing:projects/details/8191/equipment/6943013)","Machine")</f>
        <v>Machine</v>
      </c>
      <c r="B127">
        <v>6943013</v>
      </c>
      <c r="C127">
        <v>6970500</v>
      </c>
      <c r="H127" t="s">
        <v>136</v>
      </c>
      <c r="I127">
        <v>707474.7454967571</v>
      </c>
      <c r="J127">
        <v>0</v>
      </c>
      <c r="K127">
        <v>5.1996000000000002</v>
      </c>
      <c r="L127">
        <v>0</v>
      </c>
      <c r="M127">
        <v>150.76528498453183</v>
      </c>
      <c r="N127">
        <v>0</v>
      </c>
      <c r="O127">
        <v>2.5127547497421974</v>
      </c>
      <c r="P127">
        <v>0.068858000000000003</v>
      </c>
      <c r="Q127">
        <v>0.0048997657495359554</v>
      </c>
      <c r="R127">
        <v>3964698.9295399999</v>
      </c>
      <c r="S127">
        <v>0</v>
      </c>
      <c r="T127">
        <v>0</v>
      </c>
      <c r="V127">
        <v>1800</v>
      </c>
      <c r="W127">
        <v>7</v>
      </c>
      <c r="X127">
        <v>85</v>
      </c>
      <c r="Y127">
        <v>3</v>
      </c>
      <c r="Z127">
        <v>4</v>
      </c>
      <c r="AA127">
        <v>5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86.66</v>
      </c>
      <c r="AM127">
        <v>75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60</v>
      </c>
      <c r="AU127">
        <v>0</v>
      </c>
      <c r="AV127">
        <v>0</v>
      </c>
    </row>
    <row r="128" spans="1:48" ht="12.75">
      <c r="A128" s="2" t="str">
        <f>HYPERLINK("https://ibp.a2mac1.com/costing(costing:projects/details/8191/equipment/6943014)","Machine")</f>
        <v>Machine</v>
      </c>
      <c r="B128">
        <v>6943014</v>
      </c>
      <c r="C128">
        <v>6970501</v>
      </c>
      <c r="H128" t="s">
        <v>136</v>
      </c>
      <c r="I128">
        <v>2661893.3105027787</v>
      </c>
      <c r="J128">
        <v>0</v>
      </c>
      <c r="K128">
        <v>5.1996000000000002</v>
      </c>
      <c r="L128">
        <v>0</v>
      </c>
      <c r="M128">
        <v>553.18468436729006</v>
      </c>
      <c r="N128">
        <v>0</v>
      </c>
      <c r="O128">
        <v>9.2197447394548337</v>
      </c>
      <c r="P128">
        <v>0.068858000000000003</v>
      </c>
      <c r="Q128">
        <v>0.016972347731018703</v>
      </c>
      <c r="R128">
        <v>14953397.688610001</v>
      </c>
      <c r="S128">
        <v>0</v>
      </c>
      <c r="T128">
        <v>0</v>
      </c>
      <c r="V128">
        <v>1800</v>
      </c>
      <c r="W128">
        <v>7</v>
      </c>
      <c r="X128">
        <v>85</v>
      </c>
      <c r="Y128">
        <v>3</v>
      </c>
      <c r="Z128">
        <v>4</v>
      </c>
      <c r="AA128">
        <v>5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86.66</v>
      </c>
      <c r="AM128">
        <v>75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60</v>
      </c>
      <c r="AU128">
        <v>0</v>
      </c>
      <c r="AV128">
        <v>0</v>
      </c>
    </row>
    <row r="129" spans="1:48" ht="12.75">
      <c r="A129" s="2" t="str">
        <f>HYPERLINK("https://ibp.a2mac1.com/costing(costing:projects/details/8191/equipment/6943015)","Machine")</f>
        <v>Machine</v>
      </c>
      <c r="B129">
        <v>6943015</v>
      </c>
      <c r="C129">
        <v>6970502</v>
      </c>
      <c r="H129" t="s">
        <v>136</v>
      </c>
      <c r="I129">
        <v>6117.6833131071426</v>
      </c>
      <c r="J129">
        <v>0</v>
      </c>
      <c r="K129">
        <v>5.1996000000000002</v>
      </c>
      <c r="L129">
        <v>0</v>
      </c>
      <c r="M129">
        <v>6.3542090920294347</v>
      </c>
      <c r="N129">
        <v>0</v>
      </c>
      <c r="O129">
        <v>0.10590348486715724</v>
      </c>
      <c r="P129">
        <v>0.068858000000000003</v>
      </c>
      <c r="Q129">
        <v>0.00056743347276088307</v>
      </c>
      <c r="R129">
        <v>21325.889149999999</v>
      </c>
      <c r="S129">
        <v>0</v>
      </c>
      <c r="T129">
        <v>0</v>
      </c>
      <c r="V129">
        <v>1800</v>
      </c>
      <c r="W129">
        <v>7</v>
      </c>
      <c r="X129">
        <v>85</v>
      </c>
      <c r="Y129">
        <v>3</v>
      </c>
      <c r="Z129">
        <v>4</v>
      </c>
      <c r="AA129">
        <v>5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86.66</v>
      </c>
      <c r="AM129">
        <v>75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60</v>
      </c>
      <c r="AU129">
        <v>0</v>
      </c>
      <c r="AV129">
        <v>0</v>
      </c>
    </row>
    <row r="130" spans="1:48" ht="12.75">
      <c r="A130" s="2" t="str">
        <f>HYPERLINK("https://ibp.a2mac1.com/costing(costing:projects/details/8191/equipment/6942851)","Machine")</f>
        <v>Machine</v>
      </c>
      <c r="B130">
        <v>6942851</v>
      </c>
      <c r="C130">
        <v>6970490</v>
      </c>
      <c r="H130" t="s">
        <v>136</v>
      </c>
      <c r="I130">
        <v>209377.21407315001</v>
      </c>
      <c r="J130">
        <v>0</v>
      </c>
      <c r="K130">
        <v>5.1996000000000002</v>
      </c>
      <c r="L130">
        <v>0</v>
      </c>
      <c r="M130">
        <v>48.205826627716171</v>
      </c>
      <c r="N130">
        <v>0</v>
      </c>
      <c r="O130">
        <v>0.80343044379526951</v>
      </c>
      <c r="P130">
        <v>0.068858000000000003</v>
      </c>
      <c r="Q130">
        <v>0.001822981998831485</v>
      </c>
      <c r="R130">
        <v>1164150.56009</v>
      </c>
      <c r="S130">
        <v>0</v>
      </c>
      <c r="T130">
        <v>0</v>
      </c>
      <c r="V130">
        <v>1800</v>
      </c>
      <c r="W130">
        <v>7</v>
      </c>
      <c r="X130">
        <v>85</v>
      </c>
      <c r="Y130">
        <v>3</v>
      </c>
      <c r="Z130">
        <v>4</v>
      </c>
      <c r="AA130">
        <v>5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86.66</v>
      </c>
      <c r="AM130">
        <v>75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60</v>
      </c>
      <c r="AU130">
        <v>0</v>
      </c>
      <c r="AV130">
        <v>0</v>
      </c>
    </row>
    <row r="131" spans="1:48" ht="12.75">
      <c r="A131" s="2" t="str">
        <f>HYPERLINK("https://ibp.a2mac1.com/costing(costing:projects/details/8191/equipment/6942852)","Machine")</f>
        <v>Machine</v>
      </c>
      <c r="B131">
        <v>6942852</v>
      </c>
      <c r="C131">
        <v>6970491</v>
      </c>
      <c r="H131" t="s">
        <v>136</v>
      </c>
      <c r="I131">
        <v>948705.83694876428</v>
      </c>
      <c r="J131">
        <v>0</v>
      </c>
      <c r="K131">
        <v>5.1996000000000002</v>
      </c>
      <c r="L131">
        <v>0</v>
      </c>
      <c r="M131">
        <v>200.43533656545551</v>
      </c>
      <c r="N131">
        <v>0</v>
      </c>
      <c r="O131">
        <v>3.3405889427575923</v>
      </c>
      <c r="P131">
        <v>0.068858000000000003</v>
      </c>
      <c r="Q131">
        <v>0.0063898672969636659</v>
      </c>
      <c r="R131">
        <v>5321018.3192299996</v>
      </c>
      <c r="S131">
        <v>0</v>
      </c>
      <c r="T131">
        <v>0</v>
      </c>
      <c r="V131">
        <v>1800</v>
      </c>
      <c r="W131">
        <v>7</v>
      </c>
      <c r="X131">
        <v>85</v>
      </c>
      <c r="Y131">
        <v>3</v>
      </c>
      <c r="Z131">
        <v>4</v>
      </c>
      <c r="AA131">
        <v>5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86.66</v>
      </c>
      <c r="AM131">
        <v>75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60</v>
      </c>
      <c r="AU131">
        <v>0</v>
      </c>
      <c r="AV131">
        <v>0</v>
      </c>
    </row>
    <row r="132" spans="1:48" ht="12.75">
      <c r="A132" s="2" t="str">
        <f>HYPERLINK("https://ibp.a2mac1.com/costing(costing:projects/details/8191/equipment/6942849)","Machine")</f>
        <v>Machine</v>
      </c>
      <c r="B132">
        <v>6942849</v>
      </c>
      <c r="C132">
        <v>6970352</v>
      </c>
      <c r="H132" t="s">
        <v>136</v>
      </c>
      <c r="I132">
        <v>2945187.355092857</v>
      </c>
      <c r="J132">
        <v>0</v>
      </c>
      <c r="K132">
        <v>5.1996000000000002</v>
      </c>
      <c r="L132">
        <v>0</v>
      </c>
      <c r="M132">
        <v>611.51559736304353</v>
      </c>
      <c r="N132">
        <v>0</v>
      </c>
      <c r="O132">
        <v>10.191926622717393</v>
      </c>
      <c r="P132">
        <v>0.068858000000000003</v>
      </c>
      <c r="Q132">
        <v>0.03120379186815218</v>
      </c>
      <c r="R132">
        <v>16546215.609999999</v>
      </c>
      <c r="S132">
        <v>0</v>
      </c>
      <c r="T132">
        <v>0</v>
      </c>
      <c r="V132">
        <v>1800</v>
      </c>
      <c r="W132">
        <v>7</v>
      </c>
      <c r="X132">
        <v>85</v>
      </c>
      <c r="Y132">
        <v>3</v>
      </c>
      <c r="Z132">
        <v>4</v>
      </c>
      <c r="AA132">
        <v>5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86.66</v>
      </c>
      <c r="AM132">
        <v>75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60</v>
      </c>
      <c r="AU132">
        <v>0</v>
      </c>
      <c r="AV132">
        <v>0</v>
      </c>
    </row>
    <row r="133" spans="1:48" ht="12.75">
      <c r="A133" s="2" t="str">
        <f>HYPERLINK("https://ibp.a2mac1.com/costing(costing:projects/details/8191/equipment/6943016)","Machine")</f>
        <v>Machine</v>
      </c>
      <c r="B133">
        <v>6943016</v>
      </c>
      <c r="C133">
        <v>6970503</v>
      </c>
      <c r="H133" t="s">
        <v>136</v>
      </c>
      <c r="I133">
        <v>687372.15454375709</v>
      </c>
      <c r="J133">
        <v>0</v>
      </c>
      <c r="K133">
        <v>5.1996000000000002</v>
      </c>
      <c r="L133">
        <v>0</v>
      </c>
      <c r="M133">
        <v>146.62611401972953</v>
      </c>
      <c r="N133">
        <v>0</v>
      </c>
      <c r="O133">
        <v>2.4437685669954923</v>
      </c>
      <c r="P133">
        <v>0.068858000000000003</v>
      </c>
      <c r="Q133">
        <v>0.0047755906205918857</v>
      </c>
      <c r="R133">
        <v>3851672.3137400001</v>
      </c>
      <c r="S133">
        <v>0</v>
      </c>
      <c r="T133">
        <v>0</v>
      </c>
      <c r="V133">
        <v>1800</v>
      </c>
      <c r="W133">
        <v>7</v>
      </c>
      <c r="X133">
        <v>85</v>
      </c>
      <c r="Y133">
        <v>3</v>
      </c>
      <c r="Z133">
        <v>4</v>
      </c>
      <c r="AA133">
        <v>5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86.66</v>
      </c>
      <c r="AM133">
        <v>75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60</v>
      </c>
      <c r="AU133">
        <v>0</v>
      </c>
      <c r="AV133">
        <v>0</v>
      </c>
    </row>
    <row r="134" spans="1:48" ht="12.75">
      <c r="A134" s="2" t="str">
        <f>HYPERLINK("https://ibp.a2mac1.com/costing(costing:projects/details/8191/equipment/6943017)","Machine")</f>
        <v>Machine</v>
      </c>
      <c r="B134">
        <v>6943017</v>
      </c>
      <c r="C134">
        <v>6970504</v>
      </c>
      <c r="H134" t="s">
        <v>136</v>
      </c>
      <c r="I134">
        <v>153536.683644</v>
      </c>
      <c r="J134">
        <v>0</v>
      </c>
      <c r="K134">
        <v>5.1996000000000002</v>
      </c>
      <c r="L134">
        <v>0</v>
      </c>
      <c r="M134">
        <v>36.708129502410799</v>
      </c>
      <c r="N134">
        <v>0</v>
      </c>
      <c r="O134">
        <v>0.61180215837351337</v>
      </c>
      <c r="P134">
        <v>0.068858000000000003</v>
      </c>
      <c r="Q134">
        <v>0.00073902554253616197</v>
      </c>
      <c r="R134">
        <v>850187.73840000003</v>
      </c>
      <c r="S134">
        <v>0</v>
      </c>
      <c r="T134">
        <v>0</v>
      </c>
      <c r="V134">
        <v>1800</v>
      </c>
      <c r="W134">
        <v>7</v>
      </c>
      <c r="X134">
        <v>85</v>
      </c>
      <c r="Y134">
        <v>3</v>
      </c>
      <c r="Z134">
        <v>4</v>
      </c>
      <c r="AA134">
        <v>5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86.66</v>
      </c>
      <c r="AM134">
        <v>75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60</v>
      </c>
      <c r="AU134">
        <v>0</v>
      </c>
      <c r="AV134">
        <v>0</v>
      </c>
    </row>
    <row r="135" spans="1:48" ht="12.75">
      <c r="A135" s="2" t="str">
        <f>HYPERLINK("https://ibp.a2mac1.com/costing(costing:projects/details/8191/equipment/6943018)","Machine")</f>
        <v>Machine</v>
      </c>
      <c r="B135">
        <v>6943018</v>
      </c>
      <c r="C135">
        <v>6970505</v>
      </c>
      <c r="H135" t="s">
        <v>136</v>
      </c>
      <c r="I135">
        <v>70892.698609071434</v>
      </c>
      <c r="J135">
        <v>0</v>
      </c>
      <c r="K135">
        <v>5.1996000000000002</v>
      </c>
      <c r="L135">
        <v>0</v>
      </c>
      <c r="M135">
        <v>19.691537757002802</v>
      </c>
      <c r="N135">
        <v>0</v>
      </c>
      <c r="O135">
        <v>0.32819229595004668</v>
      </c>
      <c r="P135">
        <v>0.068858000000000003</v>
      </c>
      <c r="Q135">
        <v>0.000483776666355042</v>
      </c>
      <c r="R135">
        <v>385522.7623</v>
      </c>
      <c r="S135">
        <v>0</v>
      </c>
      <c r="T135">
        <v>0</v>
      </c>
      <c r="V135">
        <v>1800</v>
      </c>
      <c r="W135">
        <v>7</v>
      </c>
      <c r="X135">
        <v>85</v>
      </c>
      <c r="Y135">
        <v>3</v>
      </c>
      <c r="Z135">
        <v>4</v>
      </c>
      <c r="AA135">
        <v>5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86.66</v>
      </c>
      <c r="AM135">
        <v>75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60</v>
      </c>
      <c r="AU135">
        <v>0</v>
      </c>
      <c r="AV135">
        <v>0</v>
      </c>
    </row>
    <row r="136" spans="1:48" ht="12.75">
      <c r="A136" s="2" t="str">
        <f>HYPERLINK("https://ibp.a2mac1.com/costing(costing:projects/details/8191/equipment/6943019)","Machine")</f>
        <v>Machine</v>
      </c>
      <c r="B136">
        <v>6943019</v>
      </c>
      <c r="C136">
        <v>6970506</v>
      </c>
      <c r="H136" t="s">
        <v>136</v>
      </c>
      <c r="I136">
        <v>2623921.7498108144</v>
      </c>
      <c r="J136">
        <v>0</v>
      </c>
      <c r="K136">
        <v>5.1996000000000002</v>
      </c>
      <c r="L136">
        <v>0</v>
      </c>
      <c r="M136">
        <v>545.36625032205313</v>
      </c>
      <c r="N136">
        <v>0</v>
      </c>
      <c r="O136">
        <v>9.0894375053675507</v>
      </c>
      <c r="P136">
        <v>0.068858000000000003</v>
      </c>
      <c r="Q136">
        <v>0.016737794709661594</v>
      </c>
      <c r="R136">
        <v>14739902.969860001</v>
      </c>
      <c r="S136">
        <v>0</v>
      </c>
      <c r="T136">
        <v>0</v>
      </c>
      <c r="V136">
        <v>1800</v>
      </c>
      <c r="W136">
        <v>7</v>
      </c>
      <c r="X136">
        <v>85</v>
      </c>
      <c r="Y136">
        <v>3</v>
      </c>
      <c r="Z136">
        <v>4</v>
      </c>
      <c r="AA136">
        <v>5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86.66</v>
      </c>
      <c r="AM136">
        <v>75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60</v>
      </c>
      <c r="AU136">
        <v>0</v>
      </c>
      <c r="AV136">
        <v>0</v>
      </c>
    </row>
    <row r="137" spans="1:48" ht="12.75">
      <c r="A137" s="2" t="str">
        <f>HYPERLINK("https://ibp.a2mac1.com/costing(costing:projects/details/8191/equipment/6943020)","Machine")</f>
        <v>Machine</v>
      </c>
      <c r="B137">
        <v>6943020</v>
      </c>
      <c r="C137">
        <v>6970507</v>
      </c>
      <c r="H137" t="s">
        <v>136</v>
      </c>
      <c r="I137">
        <v>10584.925746514285</v>
      </c>
      <c r="J137">
        <v>0</v>
      </c>
      <c r="K137">
        <v>5.1996000000000002</v>
      </c>
      <c r="L137">
        <v>0</v>
      </c>
      <c r="M137">
        <v>7.2740248618634338</v>
      </c>
      <c r="N137">
        <v>0</v>
      </c>
      <c r="O137">
        <v>0.1212337476977239</v>
      </c>
      <c r="P137">
        <v>0.068858000000000003</v>
      </c>
      <c r="Q137">
        <v>0.00059502794585590297</v>
      </c>
      <c r="R137">
        <v>46442.914879999997</v>
      </c>
      <c r="S137">
        <v>0</v>
      </c>
      <c r="T137">
        <v>0</v>
      </c>
      <c r="V137">
        <v>1800</v>
      </c>
      <c r="W137">
        <v>7</v>
      </c>
      <c r="X137">
        <v>85</v>
      </c>
      <c r="Y137">
        <v>3</v>
      </c>
      <c r="Z137">
        <v>4</v>
      </c>
      <c r="AA137">
        <v>5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86.66</v>
      </c>
      <c r="AM137">
        <v>75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60</v>
      </c>
      <c r="AU137">
        <v>0</v>
      </c>
      <c r="AV137">
        <v>0</v>
      </c>
    </row>
    <row r="138" spans="1:48" ht="12.75">
      <c r="A138" s="2" t="str">
        <f>HYPERLINK("https://ibp.a2mac1.com/costing(costing:projects/details/8191/equipment/6942856)","Machine")</f>
        <v>Machine</v>
      </c>
      <c r="B138">
        <v>6942856</v>
      </c>
      <c r="C138">
        <v>6970495</v>
      </c>
      <c r="H138" t="s">
        <v>136</v>
      </c>
      <c r="I138">
        <v>1190505.4405889357</v>
      </c>
      <c r="J138">
        <v>0</v>
      </c>
      <c r="K138">
        <v>5.1996000000000002</v>
      </c>
      <c r="L138">
        <v>0</v>
      </c>
      <c r="M138">
        <v>250.22244614889678</v>
      </c>
      <c r="N138">
        <v>0</v>
      </c>
      <c r="O138">
        <v>4.1703741024816132</v>
      </c>
      <c r="P138">
        <v>0.068858000000000003</v>
      </c>
      <c r="Q138">
        <v>0.013139134307444839</v>
      </c>
      <c r="R138">
        <v>6680534.1629900001</v>
      </c>
      <c r="S138">
        <v>0</v>
      </c>
      <c r="T138">
        <v>0</v>
      </c>
      <c r="V138">
        <v>1800</v>
      </c>
      <c r="W138">
        <v>7</v>
      </c>
      <c r="X138">
        <v>85</v>
      </c>
      <c r="Y138">
        <v>3</v>
      </c>
      <c r="Z138">
        <v>4</v>
      </c>
      <c r="AA138">
        <v>5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86.66</v>
      </c>
      <c r="AM138">
        <v>75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60</v>
      </c>
      <c r="AU138">
        <v>0</v>
      </c>
      <c r="AV138">
        <v>0</v>
      </c>
    </row>
    <row r="139" spans="1:48" ht="12.75">
      <c r="A139" s="2" t="str">
        <f>HYPERLINK("https://ibp.a2mac1.com/costing(costing:projects/details/8191/equipment/6943021)","Machine")</f>
        <v>Machine</v>
      </c>
      <c r="B139">
        <v>6943021</v>
      </c>
      <c r="C139">
        <v>6970508</v>
      </c>
      <c r="H139" t="s">
        <v>136</v>
      </c>
      <c r="I139">
        <v>1087190.3524128429</v>
      </c>
      <c r="J139">
        <v>0</v>
      </c>
      <c r="K139">
        <v>5.1996000000000002</v>
      </c>
      <c r="L139">
        <v>0</v>
      </c>
      <c r="M139">
        <v>228.9496254361689</v>
      </c>
      <c r="N139">
        <v>0</v>
      </c>
      <c r="O139">
        <v>3.8158270906028151</v>
      </c>
      <c r="P139">
        <v>0.068858000000000003</v>
      </c>
      <c r="Q139">
        <v>0.0072452959630850671</v>
      </c>
      <c r="R139">
        <v>6099646.1170199998</v>
      </c>
      <c r="S139">
        <v>0</v>
      </c>
      <c r="T139">
        <v>0</v>
      </c>
      <c r="V139">
        <v>1800</v>
      </c>
      <c r="W139">
        <v>7</v>
      </c>
      <c r="X139">
        <v>85</v>
      </c>
      <c r="Y139">
        <v>3</v>
      </c>
      <c r="Z139">
        <v>4</v>
      </c>
      <c r="AA139">
        <v>5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86.66</v>
      </c>
      <c r="AM139">
        <v>75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60</v>
      </c>
      <c r="AU139">
        <v>0</v>
      </c>
      <c r="AV139">
        <v>0</v>
      </c>
    </row>
    <row r="140" spans="1:48" ht="12.75">
      <c r="A140" s="2" t="str">
        <f>HYPERLINK("https://ibp.a2mac1.com/costing(costing:projects/details/8191/equipment/6943022)","Machine")</f>
        <v>Machine</v>
      </c>
      <c r="B140">
        <v>6943022</v>
      </c>
      <c r="C140">
        <v>6970509</v>
      </c>
      <c r="H140" t="s">
        <v>136</v>
      </c>
      <c r="I140">
        <v>1033583.4432012857</v>
      </c>
      <c r="J140">
        <v>0</v>
      </c>
      <c r="K140">
        <v>5.1996000000000002</v>
      </c>
      <c r="L140">
        <v>0</v>
      </c>
      <c r="M140">
        <v>217.91183619596364</v>
      </c>
      <c r="N140">
        <v>0</v>
      </c>
      <c r="O140">
        <v>3.6318639365993937</v>
      </c>
      <c r="P140">
        <v>0.068858000000000003</v>
      </c>
      <c r="Q140">
        <v>0.0069141622858789088</v>
      </c>
      <c r="R140">
        <v>5798241.8081999999</v>
      </c>
      <c r="S140">
        <v>0</v>
      </c>
      <c r="T140">
        <v>0</v>
      </c>
      <c r="V140">
        <v>1800</v>
      </c>
      <c r="W140">
        <v>7</v>
      </c>
      <c r="X140">
        <v>85</v>
      </c>
      <c r="Y140">
        <v>3</v>
      </c>
      <c r="Z140">
        <v>4</v>
      </c>
      <c r="AA140">
        <v>5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86.66</v>
      </c>
      <c r="AM140">
        <v>75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60</v>
      </c>
      <c r="AU140">
        <v>0</v>
      </c>
      <c r="AV140">
        <v>0</v>
      </c>
    </row>
    <row r="141" spans="1:48" ht="12.75">
      <c r="A141" s="2" t="str">
        <f>HYPERLINK("https://ibp.a2mac1.com/costing(costing:projects/details/8191/equipment/6943023)","Machine")</f>
        <v>Machine</v>
      </c>
      <c r="B141">
        <v>6943023</v>
      </c>
      <c r="C141">
        <v>6970510</v>
      </c>
      <c r="H141" t="s">
        <v>136</v>
      </c>
      <c r="I141">
        <v>2455303.5794571429</v>
      </c>
      <c r="J141">
        <v>0</v>
      </c>
      <c r="K141">
        <v>5.1996000000000002</v>
      </c>
      <c r="L141">
        <v>0</v>
      </c>
      <c r="M141">
        <v>510.6473707259953</v>
      </c>
      <c r="N141">
        <v>0</v>
      </c>
      <c r="O141">
        <v>8.5107895120999224</v>
      </c>
      <c r="P141">
        <v>0.068858000000000003</v>
      </c>
      <c r="Q141">
        <v>0.015696228321779859</v>
      </c>
      <c r="R141">
        <v>13791849</v>
      </c>
      <c r="S141">
        <v>0</v>
      </c>
      <c r="T141">
        <v>0</v>
      </c>
      <c r="V141">
        <v>1800</v>
      </c>
      <c r="W141">
        <v>7</v>
      </c>
      <c r="X141">
        <v>85</v>
      </c>
      <c r="Y141">
        <v>3</v>
      </c>
      <c r="Z141">
        <v>4</v>
      </c>
      <c r="AA141">
        <v>5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86.66</v>
      </c>
      <c r="AM141">
        <v>75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60</v>
      </c>
      <c r="AU141">
        <v>0</v>
      </c>
      <c r="AV141">
        <v>0</v>
      </c>
    </row>
    <row r="142" spans="1:48" ht="12.75">
      <c r="A142" s="2" t="str">
        <f>HYPERLINK("https://ibp.a2mac1.com/costing(costing:projects/details/8191/equipment/6942854)","Machine")</f>
        <v>Machine</v>
      </c>
      <c r="B142">
        <v>6942854</v>
      </c>
      <c r="C142">
        <v>6970493</v>
      </c>
      <c r="H142" t="s">
        <v>136</v>
      </c>
      <c r="I142">
        <v>901799.79138998571</v>
      </c>
      <c r="J142">
        <v>0</v>
      </c>
      <c r="K142">
        <v>5.1996000000000002</v>
      </c>
      <c r="L142">
        <v>0</v>
      </c>
      <c r="M142">
        <v>190.77727098055058</v>
      </c>
      <c r="N142">
        <v>0</v>
      </c>
      <c r="O142">
        <v>3.1796211830091763</v>
      </c>
      <c r="P142">
        <v>0.068858000000000003</v>
      </c>
      <c r="Q142">
        <v>0.0061001253294165171</v>
      </c>
      <c r="R142">
        <v>5057289.5490199998</v>
      </c>
      <c r="S142">
        <v>0</v>
      </c>
      <c r="T142">
        <v>0</v>
      </c>
      <c r="V142">
        <v>1800</v>
      </c>
      <c r="W142">
        <v>7</v>
      </c>
      <c r="X142">
        <v>85</v>
      </c>
      <c r="Y142">
        <v>3</v>
      </c>
      <c r="Z142">
        <v>4</v>
      </c>
      <c r="AA142">
        <v>5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86.66</v>
      </c>
      <c r="AM142">
        <v>75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60</v>
      </c>
      <c r="AU142">
        <v>0</v>
      </c>
      <c r="AV142">
        <v>0</v>
      </c>
    </row>
    <row r="143" spans="1:48" ht="12.75">
      <c r="A143" s="2" t="str">
        <f>HYPERLINK("https://ibp.a2mac1.com/costing(costing:projects/details/8191/equipment/6942855)","Machine")</f>
        <v>Machine</v>
      </c>
      <c r="B143">
        <v>6942855</v>
      </c>
      <c r="C143">
        <v>6970494</v>
      </c>
      <c r="H143" t="s">
        <v>136</v>
      </c>
      <c r="I143">
        <v>993378.26129172859</v>
      </c>
      <c r="J143">
        <v>0</v>
      </c>
      <c r="K143">
        <v>5.1996000000000002</v>
      </c>
      <c r="L143">
        <v>0</v>
      </c>
      <c r="M143">
        <v>209.63349426562658</v>
      </c>
      <c r="N143">
        <v>0</v>
      </c>
      <c r="O143">
        <v>3.4938915710937763</v>
      </c>
      <c r="P143">
        <v>0.068858000000000003</v>
      </c>
      <c r="Q143">
        <v>0.0066658120279687975</v>
      </c>
      <c r="R143">
        <v>5572188.5765800001</v>
      </c>
      <c r="S143">
        <v>0</v>
      </c>
      <c r="T143">
        <v>0</v>
      </c>
      <c r="V143">
        <v>1800</v>
      </c>
      <c r="W143">
        <v>7</v>
      </c>
      <c r="X143">
        <v>85</v>
      </c>
      <c r="Y143">
        <v>3</v>
      </c>
      <c r="Z143">
        <v>4</v>
      </c>
      <c r="AA143">
        <v>5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86.66</v>
      </c>
      <c r="AM143">
        <v>75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60</v>
      </c>
      <c r="AU143">
        <v>0</v>
      </c>
      <c r="AV143">
        <v>0</v>
      </c>
    </row>
    <row r="144" spans="1:48" ht="12.75">
      <c r="A144" s="2" t="str">
        <f>HYPERLINK("https://ibp.a2mac1.com/costing(costing:projects/details/8191/equipment/6942850)","Machine")</f>
        <v>Machine</v>
      </c>
      <c r="B144">
        <v>6942850</v>
      </c>
      <c r="C144">
        <v>6970353</v>
      </c>
      <c r="H144" t="s">
        <v>136</v>
      </c>
      <c r="I144">
        <v>2945187.355092857</v>
      </c>
      <c r="J144">
        <v>0</v>
      </c>
      <c r="K144">
        <v>5.1996000000000002</v>
      </c>
      <c r="L144">
        <v>0</v>
      </c>
      <c r="M144">
        <v>611.51559736304353</v>
      </c>
      <c r="N144">
        <v>0</v>
      </c>
      <c r="O144">
        <v>10.191926622717393</v>
      </c>
      <c r="P144">
        <v>0.068858000000000003</v>
      </c>
      <c r="Q144">
        <v>0.03120379186815218</v>
      </c>
      <c r="R144">
        <v>16546215.609999999</v>
      </c>
      <c r="S144">
        <v>0</v>
      </c>
      <c r="T144">
        <v>0</v>
      </c>
      <c r="V144">
        <v>1800</v>
      </c>
      <c r="W144">
        <v>7</v>
      </c>
      <c r="X144">
        <v>85</v>
      </c>
      <c r="Y144">
        <v>3</v>
      </c>
      <c r="Z144">
        <v>4</v>
      </c>
      <c r="AA144">
        <v>5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86.66</v>
      </c>
      <c r="AM144">
        <v>75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60</v>
      </c>
      <c r="AU144">
        <v>0</v>
      </c>
      <c r="AV144">
        <v>0</v>
      </c>
    </row>
    <row r="145" spans="1:48" ht="12.75">
      <c r="A145" s="2" t="str">
        <f>HYPERLINK("https://ibp.a2mac1.com/costing(costing:projects/details/8191/equipment/6943024)","Dummy Machine (PCBA+Final Assembly Line)")</f>
        <v>Dummy Machine (PCBA+Final Assembly Line)</v>
      </c>
      <c r="B145">
        <v>6943024</v>
      </c>
      <c r="C145">
        <v>6970511</v>
      </c>
      <c r="F145" t="s">
        <v>559</v>
      </c>
      <c r="H145" t="s">
        <v>136</v>
      </c>
      <c r="I145">
        <v>79501.662769714283</v>
      </c>
      <c r="J145">
        <v>0</v>
      </c>
      <c r="K145">
        <v>0.28895999999999999</v>
      </c>
      <c r="L145">
        <v>0</v>
      </c>
      <c r="M145">
        <v>16.624578413647427</v>
      </c>
      <c r="N145">
        <v>0</v>
      </c>
      <c r="O145">
        <v>0.29093012223882997</v>
      </c>
      <c r="P145">
        <v>0.050610629999999997</v>
      </c>
      <c r="Q145">
        <v>0.00011481975848188456</v>
      </c>
      <c r="R145">
        <v>442771.10</v>
      </c>
      <c r="S145">
        <v>0</v>
      </c>
      <c r="T145">
        <v>0</v>
      </c>
      <c r="V145">
        <v>216</v>
      </c>
      <c r="W145">
        <v>7</v>
      </c>
      <c r="X145">
        <v>85</v>
      </c>
      <c r="Y145">
        <v>3</v>
      </c>
      <c r="Z145">
        <v>4</v>
      </c>
      <c r="AA145">
        <v>5</v>
      </c>
      <c r="AB145">
        <v>0</v>
      </c>
      <c r="AC145">
        <v>0</v>
      </c>
      <c r="AD145">
        <v>0</v>
      </c>
      <c r="AE145">
        <v>0</v>
      </c>
      <c r="AF145">
        <v>0.70</v>
      </c>
      <c r="AG145">
        <v>0</v>
      </c>
      <c r="AH145">
        <v>0</v>
      </c>
      <c r="AI145">
        <v>0.20</v>
      </c>
      <c r="AJ145">
        <v>0</v>
      </c>
      <c r="AK145">
        <v>0</v>
      </c>
      <c r="AL145">
        <v>86</v>
      </c>
      <c r="AM145">
        <v>4.20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19.40</v>
      </c>
      <c r="AU145">
        <v>0</v>
      </c>
      <c r="AV145">
        <v>0</v>
      </c>
    </row>
    <row r="146" spans="1:48" ht="12.75">
      <c r="A146" s="2" t="str">
        <f>HYPERLINK("https://ibp.a2mac1.com/costing(costing:projects/details/8191/equipment/6943025)","Dummy Machine (Wireharness production line)")</f>
        <v>Dummy Machine (Wireharness production line)</v>
      </c>
      <c r="B146">
        <v>6943025</v>
      </c>
      <c r="C146">
        <v>6970512</v>
      </c>
      <c r="H146" t="s">
        <v>136</v>
      </c>
      <c r="I146">
        <v>18664.599488571428</v>
      </c>
      <c r="J146">
        <v>0</v>
      </c>
      <c r="K146">
        <v>0.096320000000000003</v>
      </c>
      <c r="L146">
        <v>0</v>
      </c>
      <c r="M146">
        <v>3.815112106809937</v>
      </c>
      <c r="N146">
        <v>0</v>
      </c>
      <c r="O146">
        <v>3.887175335494125</v>
      </c>
      <c r="P146">
        <v>14.948002205733333</v>
      </c>
      <c r="Q146">
        <v>7.4898068373834779E-05</v>
      </c>
      <c r="R146">
        <v>89474.50</v>
      </c>
      <c r="S146">
        <v>0</v>
      </c>
      <c r="T146">
        <v>0</v>
      </c>
      <c r="V146">
        <v>126</v>
      </c>
      <c r="W146">
        <v>7</v>
      </c>
      <c r="X146">
        <v>85</v>
      </c>
      <c r="Y146">
        <v>3</v>
      </c>
      <c r="Z146">
        <v>4</v>
      </c>
      <c r="AA146">
        <v>5</v>
      </c>
      <c r="AB146">
        <v>0</v>
      </c>
      <c r="AC146">
        <v>0</v>
      </c>
      <c r="AD146">
        <v>0</v>
      </c>
      <c r="AE146">
        <v>0</v>
      </c>
      <c r="AF146">
        <v>3.5510000000000002</v>
      </c>
      <c r="AG146">
        <v>0</v>
      </c>
      <c r="AH146">
        <v>0</v>
      </c>
      <c r="AI146">
        <v>1.40</v>
      </c>
      <c r="AJ146">
        <v>0</v>
      </c>
      <c r="AK146">
        <v>0</v>
      </c>
      <c r="AL146">
        <v>86</v>
      </c>
      <c r="AM146">
        <v>1.40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71</v>
      </c>
      <c r="AU146">
        <v>0</v>
      </c>
      <c r="AV146">
        <v>0</v>
      </c>
    </row>
    <row r="147" spans="1:48" ht="12.75">
      <c r="A147" s="2" t="str">
        <f>HYPERLINK("https://ibp.a2mac1.com/costing(costing:projects/details/8191/equipment/6943026)","Dummy Machine (Wireharness production line)")</f>
        <v>Dummy Machine (Wireharness production line)</v>
      </c>
      <c r="B147">
        <v>6943026</v>
      </c>
      <c r="C147">
        <v>6970513</v>
      </c>
      <c r="H147" t="s">
        <v>136</v>
      </c>
      <c r="I147">
        <v>18664.599488571428</v>
      </c>
      <c r="J147">
        <v>0</v>
      </c>
      <c r="K147">
        <v>0.096320000000000003</v>
      </c>
      <c r="L147">
        <v>0</v>
      </c>
      <c r="M147">
        <v>3.815112106809937</v>
      </c>
      <c r="N147">
        <v>0</v>
      </c>
      <c r="O147">
        <v>0.70685549312284113</v>
      </c>
      <c r="P147">
        <v>2.7181890597666665</v>
      </c>
      <c r="Q147">
        <v>7.4898068373834779E-05</v>
      </c>
      <c r="R147">
        <v>89474.50</v>
      </c>
      <c r="S147">
        <v>0</v>
      </c>
      <c r="T147">
        <v>0</v>
      </c>
      <c r="V147">
        <v>126</v>
      </c>
      <c r="W147">
        <v>7</v>
      </c>
      <c r="X147">
        <v>85</v>
      </c>
      <c r="Y147">
        <v>3</v>
      </c>
      <c r="Z147">
        <v>4</v>
      </c>
      <c r="AA147">
        <v>5</v>
      </c>
      <c r="AB147">
        <v>0</v>
      </c>
      <c r="AC147">
        <v>0</v>
      </c>
      <c r="AD147">
        <v>0</v>
      </c>
      <c r="AE147">
        <v>0</v>
      </c>
      <c r="AF147">
        <v>3.5510000000000002</v>
      </c>
      <c r="AG147">
        <v>0</v>
      </c>
      <c r="AH147">
        <v>0</v>
      </c>
      <c r="AI147">
        <v>1.40</v>
      </c>
      <c r="AJ147">
        <v>0</v>
      </c>
      <c r="AK147">
        <v>0</v>
      </c>
      <c r="AL147">
        <v>86</v>
      </c>
      <c r="AM147">
        <v>1.40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71</v>
      </c>
      <c r="AU147">
        <v>0</v>
      </c>
      <c r="AV147">
        <v>0</v>
      </c>
    </row>
    <row r="148" spans="1:48" ht="12.75">
      <c r="A148" s="2" t="str">
        <f>HYPERLINK("https://ibp.a2mac1.com/costing(costing:projects/details/8191/equipment/6943027)","Dummy Machine (Wireharness production line)")</f>
        <v>Dummy Machine (Wireharness production line)</v>
      </c>
      <c r="B148">
        <v>6943027</v>
      </c>
      <c r="C148">
        <v>6970514</v>
      </c>
      <c r="H148" t="s">
        <v>136</v>
      </c>
      <c r="I148">
        <v>18664.599488571428</v>
      </c>
      <c r="J148">
        <v>0</v>
      </c>
      <c r="K148">
        <v>0.096320000000000003</v>
      </c>
      <c r="L148">
        <v>0</v>
      </c>
      <c r="M148">
        <v>3.815112106809937</v>
      </c>
      <c r="N148">
        <v>0</v>
      </c>
      <c r="O148">
        <v>1.1816249997480777</v>
      </c>
      <c r="P148">
        <v>4.5438992528333335</v>
      </c>
      <c r="Q148">
        <v>7.4898068373834779E-05</v>
      </c>
      <c r="R148">
        <v>89474.50</v>
      </c>
      <c r="S148">
        <v>0</v>
      </c>
      <c r="T148">
        <v>0</v>
      </c>
      <c r="V148">
        <v>126</v>
      </c>
      <c r="W148">
        <v>7</v>
      </c>
      <c r="X148">
        <v>85</v>
      </c>
      <c r="Y148">
        <v>3</v>
      </c>
      <c r="Z148">
        <v>4</v>
      </c>
      <c r="AA148">
        <v>5</v>
      </c>
      <c r="AB148">
        <v>0</v>
      </c>
      <c r="AC148">
        <v>0</v>
      </c>
      <c r="AD148">
        <v>0</v>
      </c>
      <c r="AE148">
        <v>0</v>
      </c>
      <c r="AF148">
        <v>3.5510000000000002</v>
      </c>
      <c r="AG148">
        <v>0</v>
      </c>
      <c r="AH148">
        <v>0</v>
      </c>
      <c r="AI148">
        <v>1.40</v>
      </c>
      <c r="AJ148">
        <v>0</v>
      </c>
      <c r="AK148">
        <v>0</v>
      </c>
      <c r="AL148">
        <v>86</v>
      </c>
      <c r="AM148">
        <v>1.40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71</v>
      </c>
      <c r="AU148">
        <v>0</v>
      </c>
      <c r="AV148">
        <v>0</v>
      </c>
    </row>
    <row r="149" spans="1:48" ht="12.75">
      <c r="A149" s="2" t="str">
        <f>HYPERLINK("https://ibp.a2mac1.com/costing(costing:projects/details/8191/equipment/6943031)","Dummy Machine (PCBA+Final Assembly Line)")</f>
        <v>Dummy Machine (PCBA+Final Assembly Line)</v>
      </c>
      <c r="B149">
        <v>6943031</v>
      </c>
      <c r="C149">
        <v>6970518</v>
      </c>
      <c r="F149" t="s">
        <v>559</v>
      </c>
      <c r="H149" t="s">
        <v>136</v>
      </c>
      <c r="I149">
        <v>79501.662769714283</v>
      </c>
      <c r="J149">
        <v>0</v>
      </c>
      <c r="K149">
        <v>0.28895999999999999</v>
      </c>
      <c r="L149">
        <v>0</v>
      </c>
      <c r="M149">
        <v>16.624578413647427</v>
      </c>
      <c r="N149">
        <v>0</v>
      </c>
      <c r="O149">
        <v>3.9252476810000867</v>
      </c>
      <c r="P149">
        <v>0.68284183333333337</v>
      </c>
      <c r="Q149">
        <v>6.889185508913073E-05</v>
      </c>
      <c r="R149">
        <v>442771.10</v>
      </c>
      <c r="S149">
        <v>0</v>
      </c>
      <c r="T149">
        <v>0</v>
      </c>
      <c r="V149">
        <v>216</v>
      </c>
      <c r="W149">
        <v>7</v>
      </c>
      <c r="X149">
        <v>85</v>
      </c>
      <c r="Y149">
        <v>3</v>
      </c>
      <c r="Z149">
        <v>4</v>
      </c>
      <c r="AA149">
        <v>5</v>
      </c>
      <c r="AB149">
        <v>0</v>
      </c>
      <c r="AC149">
        <v>0</v>
      </c>
      <c r="AD149">
        <v>0</v>
      </c>
      <c r="AE149">
        <v>0</v>
      </c>
      <c r="AF149">
        <v>0.70</v>
      </c>
      <c r="AG149">
        <v>0</v>
      </c>
      <c r="AH149">
        <v>0</v>
      </c>
      <c r="AI149">
        <v>0.20</v>
      </c>
      <c r="AJ149">
        <v>0</v>
      </c>
      <c r="AK149">
        <v>0</v>
      </c>
      <c r="AL149">
        <v>86</v>
      </c>
      <c r="AM149">
        <v>4.20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19.40</v>
      </c>
      <c r="AU149">
        <v>0</v>
      </c>
      <c r="AV149">
        <v>0</v>
      </c>
    </row>
    <row r="150" spans="1:48" ht="12.75">
      <c r="A150" s="2" t="str">
        <f>HYPERLINK("https://ibp.a2mac1.com/costing(costing:projects/details/8191/equipment/6943032)","Dummy Machine (PCBA+Final Assembly Line)")</f>
        <v>Dummy Machine (PCBA+Final Assembly Line)</v>
      </c>
      <c r="B150">
        <v>6943032</v>
      </c>
      <c r="C150">
        <v>6970519</v>
      </c>
      <c r="F150" t="s">
        <v>559</v>
      </c>
      <c r="H150" t="s">
        <v>136</v>
      </c>
      <c r="I150">
        <v>79501.662769714283</v>
      </c>
      <c r="J150">
        <v>0</v>
      </c>
      <c r="K150">
        <v>0.28895999999999999</v>
      </c>
      <c r="L150">
        <v>0</v>
      </c>
      <c r="M150">
        <v>16.624578413647427</v>
      </c>
      <c r="N150">
        <v>0</v>
      </c>
      <c r="O150">
        <v>0.62342169051177854</v>
      </c>
      <c r="P150">
        <v>0.10845135</v>
      </c>
      <c r="Q150">
        <v>6.889185508913073E-05</v>
      </c>
      <c r="R150">
        <v>442771.10</v>
      </c>
      <c r="S150">
        <v>0</v>
      </c>
      <c r="T150">
        <v>0</v>
      </c>
      <c r="V150">
        <v>216</v>
      </c>
      <c r="W150">
        <v>7</v>
      </c>
      <c r="X150">
        <v>85</v>
      </c>
      <c r="Y150">
        <v>3</v>
      </c>
      <c r="Z150">
        <v>4</v>
      </c>
      <c r="AA150">
        <v>5</v>
      </c>
      <c r="AB150">
        <v>0</v>
      </c>
      <c r="AC150">
        <v>0</v>
      </c>
      <c r="AD150">
        <v>0</v>
      </c>
      <c r="AE150">
        <v>0</v>
      </c>
      <c r="AF150">
        <v>0.70</v>
      </c>
      <c r="AG150">
        <v>0</v>
      </c>
      <c r="AH150">
        <v>0</v>
      </c>
      <c r="AI150">
        <v>0.20</v>
      </c>
      <c r="AJ150">
        <v>0</v>
      </c>
      <c r="AK150">
        <v>0</v>
      </c>
      <c r="AL150">
        <v>86</v>
      </c>
      <c r="AM150">
        <v>4.20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19.40</v>
      </c>
      <c r="AU150">
        <v>0</v>
      </c>
      <c r="AV150">
        <v>0</v>
      </c>
    </row>
    <row r="151" spans="1:48" ht="12.75">
      <c r="A151" s="2" t="str">
        <f>HYPERLINK("https://ibp.a2mac1.com/costing(costing:projects/details/8191/equipment/6943033)","Dummy Machine (PCBA+Final Assembly Line)")</f>
        <v>Dummy Machine (PCBA+Final Assembly Line)</v>
      </c>
      <c r="B151">
        <v>6943033</v>
      </c>
      <c r="C151">
        <v>6970520</v>
      </c>
      <c r="F151" t="s">
        <v>559</v>
      </c>
      <c r="H151" t="s">
        <v>136</v>
      </c>
      <c r="I151">
        <v>79501.662769714283</v>
      </c>
      <c r="J151">
        <v>0</v>
      </c>
      <c r="K151">
        <v>0.28895999999999999</v>
      </c>
      <c r="L151">
        <v>0</v>
      </c>
      <c r="M151">
        <v>16.624578413647427</v>
      </c>
      <c r="N151">
        <v>0</v>
      </c>
      <c r="O151">
        <v>9.6976707412943313</v>
      </c>
      <c r="P151">
        <v>1.6870210000000001</v>
      </c>
      <c r="Q151">
        <v>6.889185508913073E-05</v>
      </c>
      <c r="R151">
        <v>442771.10</v>
      </c>
      <c r="S151">
        <v>0</v>
      </c>
      <c r="T151">
        <v>0</v>
      </c>
      <c r="V151">
        <v>216</v>
      </c>
      <c r="W151">
        <v>7</v>
      </c>
      <c r="X151">
        <v>85</v>
      </c>
      <c r="Y151">
        <v>3</v>
      </c>
      <c r="Z151">
        <v>4</v>
      </c>
      <c r="AA151">
        <v>5</v>
      </c>
      <c r="AB151">
        <v>0</v>
      </c>
      <c r="AC151">
        <v>0</v>
      </c>
      <c r="AD151">
        <v>0</v>
      </c>
      <c r="AE151">
        <v>0</v>
      </c>
      <c r="AF151">
        <v>0.70</v>
      </c>
      <c r="AG151">
        <v>0</v>
      </c>
      <c r="AH151">
        <v>0</v>
      </c>
      <c r="AI151">
        <v>0.20</v>
      </c>
      <c r="AJ151">
        <v>0</v>
      </c>
      <c r="AK151">
        <v>0</v>
      </c>
      <c r="AL151">
        <v>86</v>
      </c>
      <c r="AM151">
        <v>4.20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19.40</v>
      </c>
      <c r="AU151">
        <v>0</v>
      </c>
      <c r="AV151">
        <v>0</v>
      </c>
    </row>
    <row r="152" spans="1:48" ht="12.75">
      <c r="A152" s="2" t="str">
        <f>HYPERLINK("https://ibp.a2mac1.com/costing(costing:projects/details/8191/equipment/6943034)","Dummy Machine (PCBA+Final Assembly Line)")</f>
        <v>Dummy Machine (PCBA+Final Assembly Line)</v>
      </c>
      <c r="B152">
        <v>6943034</v>
      </c>
      <c r="C152">
        <v>6970521</v>
      </c>
      <c r="F152" t="s">
        <v>559</v>
      </c>
      <c r="H152" t="s">
        <v>136</v>
      </c>
      <c r="I152">
        <v>79501.662769714283</v>
      </c>
      <c r="J152">
        <v>0</v>
      </c>
      <c r="K152">
        <v>0.28895999999999999</v>
      </c>
      <c r="L152">
        <v>0</v>
      </c>
      <c r="M152">
        <v>16.624578413647427</v>
      </c>
      <c r="N152">
        <v>0</v>
      </c>
      <c r="O152">
        <v>0.78504953620001738</v>
      </c>
      <c r="P152">
        <v>0.13656836666666666</v>
      </c>
      <c r="Q152">
        <v>6.889185508913073E-05</v>
      </c>
      <c r="R152">
        <v>442771.10</v>
      </c>
      <c r="S152">
        <v>0</v>
      </c>
      <c r="T152">
        <v>0</v>
      </c>
      <c r="V152">
        <v>216</v>
      </c>
      <c r="W152">
        <v>7</v>
      </c>
      <c r="X152">
        <v>85</v>
      </c>
      <c r="Y152">
        <v>3</v>
      </c>
      <c r="Z152">
        <v>4</v>
      </c>
      <c r="AA152">
        <v>5</v>
      </c>
      <c r="AB152">
        <v>0</v>
      </c>
      <c r="AC152">
        <v>0</v>
      </c>
      <c r="AD152">
        <v>0</v>
      </c>
      <c r="AE152">
        <v>0</v>
      </c>
      <c r="AF152">
        <v>0.70</v>
      </c>
      <c r="AG152">
        <v>0</v>
      </c>
      <c r="AH152">
        <v>0</v>
      </c>
      <c r="AI152">
        <v>0.20</v>
      </c>
      <c r="AJ152">
        <v>0</v>
      </c>
      <c r="AK152">
        <v>0</v>
      </c>
      <c r="AL152">
        <v>86</v>
      </c>
      <c r="AM152">
        <v>4.20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19.40</v>
      </c>
      <c r="AU152">
        <v>0</v>
      </c>
      <c r="AV152">
        <v>0</v>
      </c>
    </row>
    <row r="153" spans="1:48" ht="12.75">
      <c r="A153" s="2" t="str">
        <f>HYPERLINK("https://ibp.a2mac1.com/costing(costing:projects/details/8191/equipment/6943035)","Dummy Machine (PCBA+Final Assembly Line)")</f>
        <v>Dummy Machine (PCBA+Final Assembly Line)</v>
      </c>
      <c r="B153">
        <v>6943035</v>
      </c>
      <c r="C153">
        <v>6970522</v>
      </c>
      <c r="F153" t="s">
        <v>559</v>
      </c>
      <c r="H153" t="s">
        <v>136</v>
      </c>
      <c r="I153">
        <v>79501.662769714283</v>
      </c>
      <c r="J153">
        <v>0</v>
      </c>
      <c r="K153">
        <v>0.28895999999999999</v>
      </c>
      <c r="L153">
        <v>0</v>
      </c>
      <c r="M153">
        <v>16.624578413647427</v>
      </c>
      <c r="N153">
        <v>0</v>
      </c>
      <c r="O153">
        <v>1.316112457747088</v>
      </c>
      <c r="P153">
        <v>0.22895285000000001</v>
      </c>
      <c r="Q153">
        <v>6.889185508913073E-05</v>
      </c>
      <c r="R153">
        <v>442771.10</v>
      </c>
      <c r="S153">
        <v>0</v>
      </c>
      <c r="T153">
        <v>0</v>
      </c>
      <c r="V153">
        <v>216</v>
      </c>
      <c r="W153">
        <v>7</v>
      </c>
      <c r="X153">
        <v>85</v>
      </c>
      <c r="Y153">
        <v>3</v>
      </c>
      <c r="Z153">
        <v>4</v>
      </c>
      <c r="AA153">
        <v>5</v>
      </c>
      <c r="AB153">
        <v>0</v>
      </c>
      <c r="AC153">
        <v>0</v>
      </c>
      <c r="AD153">
        <v>0</v>
      </c>
      <c r="AE153">
        <v>0</v>
      </c>
      <c r="AF153">
        <v>0.70</v>
      </c>
      <c r="AG153">
        <v>0</v>
      </c>
      <c r="AH153">
        <v>0</v>
      </c>
      <c r="AI153">
        <v>0.20</v>
      </c>
      <c r="AJ153">
        <v>0</v>
      </c>
      <c r="AK153">
        <v>0</v>
      </c>
      <c r="AL153">
        <v>86</v>
      </c>
      <c r="AM153">
        <v>4.20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19.40</v>
      </c>
      <c r="AU153">
        <v>0</v>
      </c>
      <c r="AV153">
        <v>0</v>
      </c>
    </row>
    <row r="154" spans="1:48" ht="12.75">
      <c r="A154" s="2" t="str">
        <f>HYPERLINK("https://ibp.a2mac1.com/costing(costing:projects/details/8191/equipment/6943028)","Dummy Machine (PCBA+Final Assembly Line)")</f>
        <v>Dummy Machine (PCBA+Final Assembly Line)</v>
      </c>
      <c r="B154">
        <v>6943028</v>
      </c>
      <c r="C154">
        <v>6970515</v>
      </c>
      <c r="F154" t="s">
        <v>559</v>
      </c>
      <c r="H154" t="s">
        <v>136</v>
      </c>
      <c r="I154">
        <v>79501.662769714283</v>
      </c>
      <c r="J154">
        <v>0</v>
      </c>
      <c r="K154">
        <v>0.28895999999999999</v>
      </c>
      <c r="L154">
        <v>0</v>
      </c>
      <c r="M154">
        <v>16.624578413647427</v>
      </c>
      <c r="N154">
        <v>0</v>
      </c>
      <c r="O154">
        <v>0.39252476810000869</v>
      </c>
      <c r="P154">
        <v>0.068284183333333331</v>
      </c>
      <c r="Q154">
        <v>0.00011481975848188456</v>
      </c>
      <c r="R154">
        <v>442771.10</v>
      </c>
      <c r="S154">
        <v>0</v>
      </c>
      <c r="T154">
        <v>0</v>
      </c>
      <c r="V154">
        <v>216</v>
      </c>
      <c r="W154">
        <v>7</v>
      </c>
      <c r="X154">
        <v>85</v>
      </c>
      <c r="Y154">
        <v>3</v>
      </c>
      <c r="Z154">
        <v>4</v>
      </c>
      <c r="AA154">
        <v>5</v>
      </c>
      <c r="AB154">
        <v>0</v>
      </c>
      <c r="AC154">
        <v>0</v>
      </c>
      <c r="AD154">
        <v>0</v>
      </c>
      <c r="AE154">
        <v>0</v>
      </c>
      <c r="AF154">
        <v>0.70</v>
      </c>
      <c r="AG154">
        <v>0</v>
      </c>
      <c r="AH154">
        <v>0</v>
      </c>
      <c r="AI154">
        <v>0.20</v>
      </c>
      <c r="AJ154">
        <v>0</v>
      </c>
      <c r="AK154">
        <v>0</v>
      </c>
      <c r="AL154">
        <v>86</v>
      </c>
      <c r="AM154">
        <v>4.20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19.40</v>
      </c>
      <c r="AU154">
        <v>0</v>
      </c>
      <c r="AV154">
        <v>0</v>
      </c>
    </row>
    <row r="155" spans="1:48" ht="12.75">
      <c r="A155" s="2" t="str">
        <f>HYPERLINK("https://ibp.a2mac1.com/costing(costing:projects/details/8191/equipment/6943029)","Dummy Machine (PCBA+Final Assembly Line)")</f>
        <v>Dummy Machine (PCBA+Final Assembly Line)</v>
      </c>
      <c r="B155">
        <v>6943029</v>
      </c>
      <c r="C155">
        <v>6970516</v>
      </c>
      <c r="F155" t="s">
        <v>559</v>
      </c>
      <c r="H155" t="s">
        <v>136</v>
      </c>
      <c r="I155">
        <v>79501.662769714283</v>
      </c>
      <c r="J155">
        <v>0</v>
      </c>
      <c r="K155">
        <v>0.28895999999999999</v>
      </c>
      <c r="L155">
        <v>0</v>
      </c>
      <c r="M155">
        <v>16.624578413647427</v>
      </c>
      <c r="N155">
        <v>0</v>
      </c>
      <c r="O155">
        <v>0.66960107499413246</v>
      </c>
      <c r="P155">
        <v>0.11648478333333333</v>
      </c>
      <c r="Q155">
        <v>0.00011481975848188456</v>
      </c>
      <c r="R155">
        <v>442771.10</v>
      </c>
      <c r="S155">
        <v>0</v>
      </c>
      <c r="T155">
        <v>0</v>
      </c>
      <c r="V155">
        <v>216</v>
      </c>
      <c r="W155">
        <v>7</v>
      </c>
      <c r="X155">
        <v>85</v>
      </c>
      <c r="Y155">
        <v>3</v>
      </c>
      <c r="Z155">
        <v>4</v>
      </c>
      <c r="AA155">
        <v>5</v>
      </c>
      <c r="AB155">
        <v>0</v>
      </c>
      <c r="AC155">
        <v>0</v>
      </c>
      <c r="AD155">
        <v>0</v>
      </c>
      <c r="AE155">
        <v>0</v>
      </c>
      <c r="AF155">
        <v>0.70</v>
      </c>
      <c r="AG155">
        <v>0</v>
      </c>
      <c r="AH155">
        <v>0</v>
      </c>
      <c r="AI155">
        <v>0.20</v>
      </c>
      <c r="AJ155">
        <v>0</v>
      </c>
      <c r="AK155">
        <v>0</v>
      </c>
      <c r="AL155">
        <v>86</v>
      </c>
      <c r="AM155">
        <v>4.20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19.40</v>
      </c>
      <c r="AU155">
        <v>0</v>
      </c>
      <c r="AV155">
        <v>0</v>
      </c>
    </row>
    <row r="156" spans="1:48" ht="12.75">
      <c r="A156" s="2" t="str">
        <f>HYPERLINK("https://ibp.a2mac1.com/costing(costing:projects/details/8191/equipment/6943030)","No.01 - Injection Press - 40T - 18kW - 270x270 - Max Volume 128cm3 ")</f>
        <v xml:space="preserve">No.01 - Injection Press - 40T - 18kW - 270x270 - Max Volume 128cm3 </v>
      </c>
      <c r="B156">
        <v>6943030</v>
      </c>
      <c r="C156">
        <v>6970517</v>
      </c>
      <c r="E156" t="s">
        <v>499</v>
      </c>
      <c r="H156" t="s">
        <v>136</v>
      </c>
      <c r="I156">
        <v>13574.9072</v>
      </c>
      <c r="J156">
        <v>0</v>
      </c>
      <c r="K156">
        <v>1.6020000000000001</v>
      </c>
      <c r="L156">
        <v>0</v>
      </c>
      <c r="M156">
        <v>4.4266395371263263</v>
      </c>
      <c r="N156">
        <v>0</v>
      </c>
      <c r="O156">
        <v>0.0070455870419414979</v>
      </c>
      <c r="P156">
        <v>0.0016439503209999999</v>
      </c>
      <c r="Q156">
        <v>0.0035456543444551589</v>
      </c>
      <c r="R156">
        <v>80000</v>
      </c>
      <c r="S156">
        <v>0</v>
      </c>
      <c r="T156">
        <v>0</v>
      </c>
      <c r="V156">
        <v>7200</v>
      </c>
      <c r="W156">
        <v>8</v>
      </c>
      <c r="X156">
        <v>85</v>
      </c>
      <c r="Y156">
        <v>3</v>
      </c>
      <c r="Z156">
        <v>4</v>
      </c>
      <c r="AA156">
        <v>5</v>
      </c>
      <c r="AB156">
        <v>0</v>
      </c>
      <c r="AC156">
        <v>0</v>
      </c>
      <c r="AD156">
        <v>0</v>
      </c>
      <c r="AE156">
        <v>0</v>
      </c>
      <c r="AF156">
        <v>0.25</v>
      </c>
      <c r="AG156">
        <v>0</v>
      </c>
      <c r="AH156">
        <v>0</v>
      </c>
      <c r="AI156">
        <v>2</v>
      </c>
      <c r="AJ156">
        <v>0</v>
      </c>
      <c r="AK156">
        <v>0</v>
      </c>
      <c r="AL156">
        <v>97</v>
      </c>
      <c r="AM156">
        <v>20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20</v>
      </c>
      <c r="AU156">
        <v>0.05</v>
      </c>
      <c r="AV156">
        <v>0</v>
      </c>
    </row>
    <row r="157" spans="1:48" ht="12.75">
      <c r="A157" s="2" t="str">
        <f>HYPERLINK("https://ibp.a2mac1.com/costing(costing:projects/details/8191/equipment/6944614)","Machine 1")</f>
        <v>Machine 1</v>
      </c>
      <c r="B157">
        <v>6944614</v>
      </c>
      <c r="C157">
        <v>6972155</v>
      </c>
      <c r="H157" t="s">
        <v>136</v>
      </c>
      <c r="I157">
        <v>20189.496980207143</v>
      </c>
      <c r="J157">
        <v>0</v>
      </c>
      <c r="K157">
        <v>5.1996000000000002</v>
      </c>
      <c r="L157">
        <v>0</v>
      </c>
      <c r="M157">
        <v>9.251628767391054</v>
      </c>
      <c r="N157">
        <v>0</v>
      </c>
      <c r="O157">
        <v>0.15419381278985092</v>
      </c>
      <c r="P157">
        <v>0.068858000000000003</v>
      </c>
      <c r="Q157">
        <v>0.00065435606302173164</v>
      </c>
      <c r="R157">
        <v>100444.52021</v>
      </c>
      <c r="S157">
        <v>0</v>
      </c>
      <c r="T157">
        <v>0</v>
      </c>
      <c r="V157">
        <v>1800</v>
      </c>
      <c r="W157">
        <v>7</v>
      </c>
      <c r="X157">
        <v>85</v>
      </c>
      <c r="Y157">
        <v>3</v>
      </c>
      <c r="Z157">
        <v>4</v>
      </c>
      <c r="AA157">
        <v>5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86.66</v>
      </c>
      <c r="AM157">
        <v>75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60</v>
      </c>
      <c r="AU157">
        <v>0</v>
      </c>
      <c r="AV157">
        <v>0</v>
      </c>
    </row>
    <row r="158" spans="1:48" ht="12.75">
      <c r="A158" s="2" t="str">
        <f>HYPERLINK("https://ibp.a2mac1.com/costing(costing:projects/details/8191/equipment/6944615)","Machine 2")</f>
        <v>Machine 2</v>
      </c>
      <c r="B158">
        <v>6944615</v>
      </c>
      <c r="C158">
        <v>6972156</v>
      </c>
      <c r="H158" t="s">
        <v>136</v>
      </c>
      <c r="I158">
        <v>26666.998510692858</v>
      </c>
      <c r="J158">
        <v>0</v>
      </c>
      <c r="K158">
        <v>5.1996000000000002</v>
      </c>
      <c r="L158">
        <v>0</v>
      </c>
      <c r="M158">
        <v>10.585361634071498</v>
      </c>
      <c r="N158">
        <v>0</v>
      </c>
      <c r="O158">
        <v>0.17642269390119161</v>
      </c>
      <c r="P158">
        <v>0.068858000000000003</v>
      </c>
      <c r="Q158">
        <v>0.00069436804902214496</v>
      </c>
      <c r="R158">
        <v>136864.20753000001</v>
      </c>
      <c r="S158">
        <v>0</v>
      </c>
      <c r="T158">
        <v>0</v>
      </c>
      <c r="V158">
        <v>1800</v>
      </c>
      <c r="W158">
        <v>7</v>
      </c>
      <c r="X158">
        <v>85</v>
      </c>
      <c r="Y158">
        <v>3</v>
      </c>
      <c r="Z158">
        <v>4</v>
      </c>
      <c r="AA158">
        <v>5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86.66</v>
      </c>
      <c r="AM158">
        <v>75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60</v>
      </c>
      <c r="AU158">
        <v>0</v>
      </c>
      <c r="AV158">
        <v>0</v>
      </c>
    </row>
    <row r="159" spans="1:48" ht="12.75">
      <c r="A159" s="2" t="str">
        <f>HYPERLINK("https://ibp.a2mac1.com/costing(costing:projects/details/8191/equipment/6944616)","Machine 3")</f>
        <v>Machine 3</v>
      </c>
      <c r="B159">
        <v>6944616</v>
      </c>
      <c r="C159">
        <v>6972157</v>
      </c>
      <c r="H159" t="s">
        <v>136</v>
      </c>
      <c r="I159">
        <v>3345381.469457143</v>
      </c>
      <c r="J159">
        <v>0</v>
      </c>
      <c r="K159">
        <v>5.1996000000000002</v>
      </c>
      <c r="L159">
        <v>0</v>
      </c>
      <c r="M159">
        <v>693.91651087385776</v>
      </c>
      <c r="N159">
        <v>0</v>
      </c>
      <c r="O159">
        <v>11.565275181230962</v>
      </c>
      <c r="P159">
        <v>0.068858000000000003</v>
      </c>
      <c r="Q159">
        <v>0.021194302526215732</v>
      </c>
      <c r="R159">
        <v>18796303</v>
      </c>
      <c r="S159">
        <v>0</v>
      </c>
      <c r="T159">
        <v>0</v>
      </c>
      <c r="V159">
        <v>1800</v>
      </c>
      <c r="W159">
        <v>7</v>
      </c>
      <c r="X159">
        <v>85</v>
      </c>
      <c r="Y159">
        <v>3</v>
      </c>
      <c r="Z159">
        <v>4</v>
      </c>
      <c r="AA159">
        <v>5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86.66</v>
      </c>
      <c r="AM159">
        <v>75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60</v>
      </c>
      <c r="AU159">
        <v>0</v>
      </c>
      <c r="AV159">
        <v>0</v>
      </c>
    </row>
    <row r="160" spans="1:48" ht="12.75">
      <c r="A160" s="2" t="str">
        <f>HYPERLINK("https://ibp.a2mac1.com/costing(costing:projects/details/8191/equipment/6944617)","Machine 4")</f>
        <v>Machine 4</v>
      </c>
      <c r="B160">
        <v>6944617</v>
      </c>
      <c r="C160">
        <v>6972158</v>
      </c>
      <c r="H160" t="s">
        <v>136</v>
      </c>
      <c r="I160">
        <v>6117.6833131071426</v>
      </c>
      <c r="J160">
        <v>0</v>
      </c>
      <c r="K160">
        <v>5.1996000000000002</v>
      </c>
      <c r="L160">
        <v>0</v>
      </c>
      <c r="M160">
        <v>6.3542090920294347</v>
      </c>
      <c r="N160">
        <v>0</v>
      </c>
      <c r="O160">
        <v>0.10590348486715724</v>
      </c>
      <c r="P160">
        <v>0.068858000000000003</v>
      </c>
      <c r="Q160">
        <v>0.00056743347276088307</v>
      </c>
      <c r="R160">
        <v>21325.889149999999</v>
      </c>
      <c r="S160">
        <v>0</v>
      </c>
      <c r="T160">
        <v>0</v>
      </c>
      <c r="V160">
        <v>1800</v>
      </c>
      <c r="W160">
        <v>7</v>
      </c>
      <c r="X160">
        <v>85</v>
      </c>
      <c r="Y160">
        <v>3</v>
      </c>
      <c r="Z160">
        <v>4</v>
      </c>
      <c r="AA160">
        <v>5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86.66</v>
      </c>
      <c r="AM160">
        <v>75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60</v>
      </c>
      <c r="AU160">
        <v>0</v>
      </c>
      <c r="AV160">
        <v>0</v>
      </c>
    </row>
    <row r="161" spans="1:48" ht="12.75">
      <c r="A161" s="2" t="str">
        <f>HYPERLINK("https://ibp.a2mac1.com/costing(costing:projects/details/8191/equipment/6944618)","Machine 5")</f>
        <v>Machine 5</v>
      </c>
      <c r="B161">
        <v>6944618</v>
      </c>
      <c r="C161">
        <v>6972159</v>
      </c>
      <c r="H161" t="s">
        <v>136</v>
      </c>
      <c r="I161">
        <v>564522.96874285711</v>
      </c>
      <c r="J161">
        <v>0</v>
      </c>
      <c r="K161">
        <v>5.1996000000000002</v>
      </c>
      <c r="L161">
        <v>0</v>
      </c>
      <c r="M161">
        <v>121.33117646140424</v>
      </c>
      <c r="N161">
        <v>0</v>
      </c>
      <c r="O161">
        <v>2.0221862743567374</v>
      </c>
      <c r="P161">
        <v>0.068858000000000003</v>
      </c>
      <c r="Q161">
        <v>0.0040167424938421271</v>
      </c>
      <c r="R161">
        <v>3160954</v>
      </c>
      <c r="S161">
        <v>0</v>
      </c>
      <c r="T161">
        <v>0</v>
      </c>
      <c r="V161">
        <v>1800</v>
      </c>
      <c r="W161">
        <v>7</v>
      </c>
      <c r="X161">
        <v>85</v>
      </c>
      <c r="Y161">
        <v>3</v>
      </c>
      <c r="Z161">
        <v>4</v>
      </c>
      <c r="AA161">
        <v>5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86.66</v>
      </c>
      <c r="AM161">
        <v>75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60</v>
      </c>
      <c r="AU161">
        <v>0</v>
      </c>
      <c r="AV161">
        <v>0</v>
      </c>
    </row>
    <row r="162" spans="1:48" ht="12.75">
      <c r="A162" s="2" t="str">
        <f>HYPERLINK("https://ibp.a2mac1.com/costing(costing:projects/details/8191/equipment/6944238)","Machine 6")</f>
        <v>Machine 6</v>
      </c>
      <c r="B162">
        <v>6944238</v>
      </c>
      <c r="C162">
        <v>6971730</v>
      </c>
      <c r="H162" t="s">
        <v>136</v>
      </c>
      <c r="I162">
        <v>4462192.011525129</v>
      </c>
      <c r="J162">
        <v>0</v>
      </c>
      <c r="K162">
        <v>5.1996000000000002</v>
      </c>
      <c r="L162">
        <v>0</v>
      </c>
      <c r="M162">
        <v>923.87043968436649</v>
      </c>
      <c r="N162">
        <v>0</v>
      </c>
      <c r="O162">
        <v>15.397840661406109</v>
      </c>
      <c r="P162">
        <v>0.068858000000000003</v>
      </c>
      <c r="Q162">
        <v>0.046821533984218323</v>
      </c>
      <c r="R162">
        <v>25075559.05982</v>
      </c>
      <c r="S162">
        <v>0</v>
      </c>
      <c r="T162">
        <v>0</v>
      </c>
      <c r="V162">
        <v>1800</v>
      </c>
      <c r="W162">
        <v>7</v>
      </c>
      <c r="X162">
        <v>85</v>
      </c>
      <c r="Y162">
        <v>3</v>
      </c>
      <c r="Z162">
        <v>4</v>
      </c>
      <c r="AA162">
        <v>5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86.66</v>
      </c>
      <c r="AM162">
        <v>75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60</v>
      </c>
      <c r="AU162">
        <v>0</v>
      </c>
      <c r="AV162">
        <v>0</v>
      </c>
    </row>
    <row r="163" spans="1:48" ht="12.75">
      <c r="A163" s="2" t="str">
        <f>HYPERLINK("https://ibp.a2mac1.com/costing(costing:projects/details/8191/equipment/6944458)","Machine")</f>
        <v>Machine</v>
      </c>
      <c r="B163">
        <v>6944458</v>
      </c>
      <c r="C163">
        <v>6971944</v>
      </c>
      <c r="H163" t="s">
        <v>136</v>
      </c>
      <c r="I163">
        <v>6117.6833131071426</v>
      </c>
      <c r="J163">
        <v>0</v>
      </c>
      <c r="K163">
        <v>6</v>
      </c>
      <c r="L163">
        <v>0</v>
      </c>
      <c r="M163">
        <v>7.1546090920294345</v>
      </c>
      <c r="N163">
        <v>0</v>
      </c>
      <c r="O163">
        <v>0.11924348486715725</v>
      </c>
      <c r="P163">
        <v>0.068858000000000003</v>
      </c>
      <c r="Q163">
        <v>0.00059144547276088308</v>
      </c>
      <c r="R163">
        <v>21325.889149999999</v>
      </c>
      <c r="S163">
        <v>0</v>
      </c>
      <c r="T163">
        <v>0</v>
      </c>
      <c r="V163">
        <v>1800</v>
      </c>
      <c r="W163">
        <v>7</v>
      </c>
      <c r="X163">
        <v>85</v>
      </c>
      <c r="Y163">
        <v>3</v>
      </c>
      <c r="Z163">
        <v>4</v>
      </c>
      <c r="AA163">
        <v>5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100</v>
      </c>
      <c r="AM163">
        <v>75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60</v>
      </c>
      <c r="AU163">
        <v>0</v>
      </c>
      <c r="AV163">
        <v>0</v>
      </c>
    </row>
    <row r="164" spans="1:48" ht="12.75">
      <c r="A164" s="2" t="str">
        <f>HYPERLINK("https://ibp.a2mac1.com/costing(costing:projects/details/8191/equipment/6944459)","Machine")</f>
        <v>Machine</v>
      </c>
      <c r="B164">
        <v>6944459</v>
      </c>
      <c r="C164">
        <v>6971945</v>
      </c>
      <c r="H164" t="s">
        <v>136</v>
      </c>
      <c r="I164">
        <v>22423.118197799999</v>
      </c>
      <c r="J164">
        <v>0</v>
      </c>
      <c r="K164">
        <v>6</v>
      </c>
      <c r="L164">
        <v>0</v>
      </c>
      <c r="M164">
        <v>10.51193665249116</v>
      </c>
      <c r="N164">
        <v>0</v>
      </c>
      <c r="O164">
        <v>0.17519894420818602</v>
      </c>
      <c r="P164">
        <v>0.068858000000000003</v>
      </c>
      <c r="Q164">
        <v>0.00069216529957473482</v>
      </c>
      <c r="R164">
        <v>113003.03307999999</v>
      </c>
      <c r="S164">
        <v>0</v>
      </c>
      <c r="T164">
        <v>0</v>
      </c>
      <c r="V164">
        <v>1800</v>
      </c>
      <c r="W164">
        <v>7</v>
      </c>
      <c r="X164">
        <v>85</v>
      </c>
      <c r="Y164">
        <v>3</v>
      </c>
      <c r="Z164">
        <v>4</v>
      </c>
      <c r="AA164">
        <v>5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100</v>
      </c>
      <c r="AM164">
        <v>75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60</v>
      </c>
      <c r="AU164">
        <v>0</v>
      </c>
      <c r="AV164">
        <v>0</v>
      </c>
    </row>
    <row r="165" spans="1:48" ht="12.75">
      <c r="A165" s="2" t="str">
        <f>HYPERLINK("https://ibp.a2mac1.com/costing(costing:projects/details/8191/equipment/6944460)","Machine")</f>
        <v>Machine</v>
      </c>
      <c r="B165">
        <v>6944460</v>
      </c>
      <c r="C165">
        <v>6971946</v>
      </c>
      <c r="H165" t="s">
        <v>136</v>
      </c>
      <c r="I165">
        <v>3847946.1768080359</v>
      </c>
      <c r="J165">
        <v>0</v>
      </c>
      <c r="K165">
        <v>6</v>
      </c>
      <c r="L165">
        <v>0</v>
      </c>
      <c r="M165">
        <v>798.19617130673987</v>
      </c>
      <c r="N165">
        <v>0</v>
      </c>
      <c r="O165">
        <v>13.303269521778999</v>
      </c>
      <c r="P165">
        <v>0.068858000000000003</v>
      </c>
      <c r="Q165">
        <v>0.024322692339202198</v>
      </c>
      <c r="R165">
        <v>21621968.021249998</v>
      </c>
      <c r="S165">
        <v>0</v>
      </c>
      <c r="T165">
        <v>0</v>
      </c>
      <c r="V165">
        <v>1800</v>
      </c>
      <c r="W165">
        <v>7</v>
      </c>
      <c r="X165">
        <v>85</v>
      </c>
      <c r="Y165">
        <v>3</v>
      </c>
      <c r="Z165">
        <v>4</v>
      </c>
      <c r="AA165">
        <v>5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100</v>
      </c>
      <c r="AM165">
        <v>75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60</v>
      </c>
      <c r="AU165">
        <v>0</v>
      </c>
      <c r="AV165">
        <v>0</v>
      </c>
    </row>
    <row r="166" spans="1:48" ht="12.75">
      <c r="A166" s="2" t="str">
        <f>HYPERLINK("https://ibp.a2mac1.com/costing(costing:projects/details/8191/equipment/6944461)","Machine")</f>
        <v>Machine</v>
      </c>
      <c r="B166">
        <v>6944461</v>
      </c>
      <c r="C166">
        <v>6971947</v>
      </c>
      <c r="H166" t="s">
        <v>136</v>
      </c>
      <c r="I166">
        <v>1614324.9596598214</v>
      </c>
      <c r="J166">
        <v>0</v>
      </c>
      <c r="K166">
        <v>6</v>
      </c>
      <c r="L166">
        <v>0</v>
      </c>
      <c r="M166">
        <v>338.2882862981873</v>
      </c>
      <c r="N166">
        <v>0</v>
      </c>
      <c r="O166">
        <v>5.6381381049697881</v>
      </c>
      <c r="P166">
        <v>0.068858000000000003</v>
      </c>
      <c r="Q166">
        <v>0.010525455788945618</v>
      </c>
      <c r="R166">
        <v>9063455.1537500005</v>
      </c>
      <c r="S166">
        <v>0</v>
      </c>
      <c r="T166">
        <v>0</v>
      </c>
      <c r="V166">
        <v>1800</v>
      </c>
      <c r="W166">
        <v>7</v>
      </c>
      <c r="X166">
        <v>85</v>
      </c>
      <c r="Y166">
        <v>3</v>
      </c>
      <c r="Z166">
        <v>4</v>
      </c>
      <c r="AA166">
        <v>5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100</v>
      </c>
      <c r="AM166">
        <v>75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60</v>
      </c>
      <c r="AU166">
        <v>0</v>
      </c>
      <c r="AV166">
        <v>0</v>
      </c>
    </row>
    <row r="167" spans="1:48" ht="12.75">
      <c r="A167" s="2" t="str">
        <f>HYPERLINK("https://ibp.a2mac1.com/costing(costing:projects/details/8191/equipment/6944462)","Machine")</f>
        <v>Machine</v>
      </c>
      <c r="B167">
        <v>6944462</v>
      </c>
      <c r="C167">
        <v>6971948</v>
      </c>
      <c r="H167" t="s">
        <v>136</v>
      </c>
      <c r="I167">
        <v>888398.06408620719</v>
      </c>
      <c r="J167">
        <v>0</v>
      </c>
      <c r="K167">
        <v>6</v>
      </c>
      <c r="L167">
        <v>0</v>
      </c>
      <c r="M167">
        <v>188.81822367031617</v>
      </c>
      <c r="N167">
        <v>0</v>
      </c>
      <c r="O167">
        <v>3.1469703945052694</v>
      </c>
      <c r="P167">
        <v>0.068858000000000003</v>
      </c>
      <c r="Q167">
        <v>0.0060413539101094845</v>
      </c>
      <c r="R167">
        <v>4981938.47181</v>
      </c>
      <c r="S167">
        <v>0</v>
      </c>
      <c r="T167">
        <v>0</v>
      </c>
      <c r="V167">
        <v>1800</v>
      </c>
      <c r="W167">
        <v>7</v>
      </c>
      <c r="X167">
        <v>85</v>
      </c>
      <c r="Y167">
        <v>3</v>
      </c>
      <c r="Z167">
        <v>4</v>
      </c>
      <c r="AA167">
        <v>5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100</v>
      </c>
      <c r="AM167">
        <v>75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60</v>
      </c>
      <c r="AU167">
        <v>0</v>
      </c>
      <c r="AV167">
        <v>0</v>
      </c>
    </row>
    <row r="168" spans="1:48" ht="12.75">
      <c r="A168" s="2" t="str">
        <f>HYPERLINK("https://ibp.a2mac1.com/costing(costing:projects/details/8191/equipment/6944239)","Machine")</f>
        <v>Machine</v>
      </c>
      <c r="B168">
        <v>6944239</v>
      </c>
      <c r="C168">
        <v>6971731</v>
      </c>
      <c r="H168" t="s">
        <v>136</v>
      </c>
      <c r="I168">
        <v>2235271.6580279144</v>
      </c>
      <c r="J168">
        <v>0</v>
      </c>
      <c r="K168">
        <v>6</v>
      </c>
      <c r="L168">
        <v>0</v>
      </c>
      <c r="M168">
        <v>466.14267833074803</v>
      </c>
      <c r="N168">
        <v>0</v>
      </c>
      <c r="O168">
        <v>7.7690446388458003</v>
      </c>
      <c r="P168">
        <v>0.068858000000000003</v>
      </c>
      <c r="Q168">
        <v>0.023935145916537403</v>
      </c>
      <c r="R168">
        <v>12554721.73092</v>
      </c>
      <c r="S168">
        <v>0</v>
      </c>
      <c r="T168">
        <v>0</v>
      </c>
      <c r="V168">
        <v>1800</v>
      </c>
      <c r="W168">
        <v>7</v>
      </c>
      <c r="X168">
        <v>85</v>
      </c>
      <c r="Y168">
        <v>3</v>
      </c>
      <c r="Z168">
        <v>4</v>
      </c>
      <c r="AA168">
        <v>5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100</v>
      </c>
      <c r="AM168">
        <v>75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60</v>
      </c>
      <c r="AU168">
        <v>0</v>
      </c>
      <c r="AV168">
        <v>0</v>
      </c>
    </row>
    <row r="169" spans="1:48" ht="12.75">
      <c r="A169" s="2" t="str">
        <f>HYPERLINK("https://ibp.a2mac1.com/costing(costing:projects/details/8191/equipment/6944463)","Machine")</f>
        <v>Machine</v>
      </c>
      <c r="B169">
        <v>6944463</v>
      </c>
      <c r="C169">
        <v>6971949</v>
      </c>
      <c r="H169" t="s">
        <v>136</v>
      </c>
      <c r="I169">
        <v>776717.00322968571</v>
      </c>
      <c r="J169">
        <v>0</v>
      </c>
      <c r="K169">
        <v>5.1996000000000002</v>
      </c>
      <c r="L169">
        <v>0</v>
      </c>
      <c r="M169">
        <v>165.02242942007163</v>
      </c>
      <c r="N169">
        <v>0</v>
      </c>
      <c r="O169">
        <v>2.7503738236678608</v>
      </c>
      <c r="P169">
        <v>0.068858000000000003</v>
      </c>
      <c r="Q169">
        <v>0.005327480082602149</v>
      </c>
      <c r="R169">
        <v>4354012.8284400003</v>
      </c>
      <c r="S169">
        <v>0</v>
      </c>
      <c r="T169">
        <v>0</v>
      </c>
      <c r="V169">
        <v>1800</v>
      </c>
      <c r="W169">
        <v>7</v>
      </c>
      <c r="X169">
        <v>85</v>
      </c>
      <c r="Y169">
        <v>3</v>
      </c>
      <c r="Z169">
        <v>4</v>
      </c>
      <c r="AA169">
        <v>5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86.66</v>
      </c>
      <c r="AM169">
        <v>75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60</v>
      </c>
      <c r="AU169">
        <v>0</v>
      </c>
      <c r="AV169">
        <v>0</v>
      </c>
    </row>
    <row r="170" spans="1:48" ht="12.75">
      <c r="A170" s="2" t="str">
        <f>HYPERLINK("https://ibp.a2mac1.com/costing(costing:projects/details/8191/equipment/6944303)","Machine")</f>
        <v>Machine</v>
      </c>
      <c r="B170">
        <v>6944303</v>
      </c>
      <c r="C170">
        <v>6971879</v>
      </c>
      <c r="H170" t="s">
        <v>136</v>
      </c>
      <c r="I170">
        <v>1601908.0218015644</v>
      </c>
      <c r="J170">
        <v>0</v>
      </c>
      <c r="K170">
        <v>5.1996000000000002</v>
      </c>
      <c r="L170">
        <v>0</v>
      </c>
      <c r="M170">
        <v>334.93120946111611</v>
      </c>
      <c r="N170">
        <v>0</v>
      </c>
      <c r="O170">
        <v>5.5821868243519344</v>
      </c>
      <c r="P170">
        <v>0.068858000000000003</v>
      </c>
      <c r="Q170">
        <v>0.017374572473055804</v>
      </c>
      <c r="R170">
        <v>8993641.04531</v>
      </c>
      <c r="S170">
        <v>0</v>
      </c>
      <c r="T170">
        <v>0</v>
      </c>
      <c r="V170">
        <v>1800</v>
      </c>
      <c r="W170">
        <v>7</v>
      </c>
      <c r="X170">
        <v>85</v>
      </c>
      <c r="Y170">
        <v>3</v>
      </c>
      <c r="Z170">
        <v>4</v>
      </c>
      <c r="AA170">
        <v>5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86.66</v>
      </c>
      <c r="AM170">
        <v>75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60</v>
      </c>
      <c r="AU170">
        <v>0</v>
      </c>
      <c r="AV170">
        <v>0</v>
      </c>
    </row>
    <row r="171" spans="1:48" ht="12.75">
      <c r="A171" s="2" t="str">
        <f>HYPERLINK("https://ibp.a2mac1.com/costing(costing:projects/details/8191/equipment/6944464)","Machine")</f>
        <v>Machine</v>
      </c>
      <c r="B171">
        <v>6944464</v>
      </c>
      <c r="C171">
        <v>6971950</v>
      </c>
      <c r="H171" t="s">
        <v>136</v>
      </c>
      <c r="I171">
        <v>1844692.4148872572</v>
      </c>
      <c r="J171">
        <v>0</v>
      </c>
      <c r="K171">
        <v>5.1996000000000002</v>
      </c>
      <c r="L171">
        <v>0</v>
      </c>
      <c r="M171">
        <v>384.92108951772053</v>
      </c>
      <c r="N171">
        <v>0</v>
      </c>
      <c r="O171">
        <v>6.4153514919620092</v>
      </c>
      <c r="P171">
        <v>0.068858000000000003</v>
      </c>
      <c r="Q171">
        <v>0.011924439885531615</v>
      </c>
      <c r="R171">
        <v>10358693.85784</v>
      </c>
      <c r="S171">
        <v>0</v>
      </c>
      <c r="T171">
        <v>0</v>
      </c>
      <c r="V171">
        <v>1800</v>
      </c>
      <c r="W171">
        <v>7</v>
      </c>
      <c r="X171">
        <v>85</v>
      </c>
      <c r="Y171">
        <v>3</v>
      </c>
      <c r="Z171">
        <v>4</v>
      </c>
      <c r="AA171">
        <v>5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86.66</v>
      </c>
      <c r="AM171">
        <v>75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60</v>
      </c>
      <c r="AU171">
        <v>0</v>
      </c>
      <c r="AV171">
        <v>0</v>
      </c>
    </row>
    <row r="172" spans="1:48" ht="12.75">
      <c r="A172" s="2" t="str">
        <f>HYPERLINK("https://ibp.a2mac1.com/costing(costing:projects/details/8191/equipment/6944465)","Machine")</f>
        <v>Machine</v>
      </c>
      <c r="B172">
        <v>6944465</v>
      </c>
      <c r="C172">
        <v>6971951</v>
      </c>
      <c r="H172" t="s">
        <v>136</v>
      </c>
      <c r="I172">
        <v>1087190.3524128429</v>
      </c>
      <c r="J172">
        <v>0</v>
      </c>
      <c r="K172">
        <v>5.1996000000000002</v>
      </c>
      <c r="L172">
        <v>0</v>
      </c>
      <c r="M172">
        <v>228.9496254361689</v>
      </c>
      <c r="N172">
        <v>0</v>
      </c>
      <c r="O172">
        <v>3.8158270906028151</v>
      </c>
      <c r="P172">
        <v>0.068858000000000003</v>
      </c>
      <c r="Q172">
        <v>0.0072452959630850671</v>
      </c>
      <c r="R172">
        <v>6099646.1170199998</v>
      </c>
      <c r="S172">
        <v>0</v>
      </c>
      <c r="T172">
        <v>0</v>
      </c>
      <c r="V172">
        <v>1800</v>
      </c>
      <c r="W172">
        <v>7</v>
      </c>
      <c r="X172">
        <v>85</v>
      </c>
      <c r="Y172">
        <v>3</v>
      </c>
      <c r="Z172">
        <v>4</v>
      </c>
      <c r="AA172">
        <v>5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86.66</v>
      </c>
      <c r="AM172">
        <v>75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60</v>
      </c>
      <c r="AU172">
        <v>0</v>
      </c>
      <c r="AV172">
        <v>0</v>
      </c>
    </row>
    <row r="173" spans="1:48" ht="12.75">
      <c r="A173" s="2" t="str">
        <f>HYPERLINK("https://ibp.a2mac1.com/costing(costing:projects/details/8191/equipment/6944304)","Machine")</f>
        <v>Machine</v>
      </c>
      <c r="B173">
        <v>6944304</v>
      </c>
      <c r="C173">
        <v>6971880</v>
      </c>
      <c r="H173" t="s">
        <v>136</v>
      </c>
      <c r="I173">
        <v>799621.72758844285</v>
      </c>
      <c r="J173">
        <v>0</v>
      </c>
      <c r="K173">
        <v>5.1996000000000002</v>
      </c>
      <c r="L173">
        <v>0</v>
      </c>
      <c r="M173">
        <v>169.73856627249162</v>
      </c>
      <c r="N173">
        <v>0</v>
      </c>
      <c r="O173">
        <v>2.8289761045415269</v>
      </c>
      <c r="P173">
        <v>0.068858000000000003</v>
      </c>
      <c r="Q173">
        <v>0.0091149403136245814</v>
      </c>
      <c r="R173">
        <v>4482794.4111799998</v>
      </c>
      <c r="S173">
        <v>0</v>
      </c>
      <c r="T173">
        <v>0</v>
      </c>
      <c r="V173">
        <v>1800</v>
      </c>
      <c r="W173">
        <v>7</v>
      </c>
      <c r="X173">
        <v>85</v>
      </c>
      <c r="Y173">
        <v>3</v>
      </c>
      <c r="Z173">
        <v>4</v>
      </c>
      <c r="AA173">
        <v>5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86.66</v>
      </c>
      <c r="AM173">
        <v>75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60</v>
      </c>
      <c r="AU173">
        <v>0</v>
      </c>
      <c r="AV173">
        <v>0</v>
      </c>
    </row>
    <row r="174" spans="1:48" ht="12.75">
      <c r="A174" s="2" t="str">
        <f>HYPERLINK("https://ibp.a2mac1.com/costing(costing:projects/details/8191/equipment/6944301)","Machine")</f>
        <v>Machine</v>
      </c>
      <c r="B174">
        <v>6944301</v>
      </c>
      <c r="C174">
        <v>6971877</v>
      </c>
      <c r="H174" t="s">
        <v>136</v>
      </c>
      <c r="I174">
        <v>1962769.8695349428</v>
      </c>
      <c r="J174">
        <v>0</v>
      </c>
      <c r="K174">
        <v>5.1996000000000002</v>
      </c>
      <c r="L174">
        <v>0</v>
      </c>
      <c r="M174">
        <v>409.2335163595215</v>
      </c>
      <c r="N174">
        <v>0</v>
      </c>
      <c r="O174">
        <v>6.8205586059920256</v>
      </c>
      <c r="P174">
        <v>0.068858000000000003</v>
      </c>
      <c r="Q174">
        <v>0.012653812690785646</v>
      </c>
      <c r="R174">
        <v>11022583.161080001</v>
      </c>
      <c r="S174">
        <v>0</v>
      </c>
      <c r="T174">
        <v>0</v>
      </c>
      <c r="V174">
        <v>1800</v>
      </c>
      <c r="W174">
        <v>7</v>
      </c>
      <c r="X174">
        <v>85</v>
      </c>
      <c r="Y174">
        <v>3</v>
      </c>
      <c r="Z174">
        <v>4</v>
      </c>
      <c r="AA174">
        <v>5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86.66</v>
      </c>
      <c r="AM174">
        <v>75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60</v>
      </c>
      <c r="AU174">
        <v>0</v>
      </c>
      <c r="AV174">
        <v>0</v>
      </c>
    </row>
    <row r="175" spans="1:48" ht="12.75">
      <c r="A175" s="2" t="str">
        <f>HYPERLINK("https://ibp.a2mac1.com/costing(costing:projects/details/8191/equipment/6944302)","Machine")</f>
        <v>Machine</v>
      </c>
      <c r="B175">
        <v>6944302</v>
      </c>
      <c r="C175">
        <v>6971878</v>
      </c>
      <c r="H175" t="s">
        <v>136</v>
      </c>
      <c r="I175">
        <v>1469139.5805447428</v>
      </c>
      <c r="J175">
        <v>0</v>
      </c>
      <c r="K175">
        <v>5.1996000000000002</v>
      </c>
      <c r="L175">
        <v>0</v>
      </c>
      <c r="M175">
        <v>307.59387377253984</v>
      </c>
      <c r="N175">
        <v>0</v>
      </c>
      <c r="O175">
        <v>5.1265645628756635</v>
      </c>
      <c r="P175">
        <v>0.068858000000000003</v>
      </c>
      <c r="Q175">
        <v>0.0096046234131761943</v>
      </c>
      <c r="R175">
        <v>8247151.8173599998</v>
      </c>
      <c r="S175">
        <v>0</v>
      </c>
      <c r="T175">
        <v>0</v>
      </c>
      <c r="V175">
        <v>1800</v>
      </c>
      <c r="W175">
        <v>7</v>
      </c>
      <c r="X175">
        <v>85</v>
      </c>
      <c r="Y175">
        <v>3</v>
      </c>
      <c r="Z175">
        <v>4</v>
      </c>
      <c r="AA175">
        <v>5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86.66</v>
      </c>
      <c r="AM175">
        <v>75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60</v>
      </c>
      <c r="AU175">
        <v>0</v>
      </c>
      <c r="AV175">
        <v>0</v>
      </c>
    </row>
    <row r="176" spans="1:48" ht="12.75">
      <c r="A176" s="2" t="str">
        <f>HYPERLINK("https://ibp.a2mac1.com/costing(costing:projects/details/8191/equipment/6944240)","Machine")</f>
        <v>Machine</v>
      </c>
      <c r="B176">
        <v>6944240</v>
      </c>
      <c r="C176">
        <v>6971732</v>
      </c>
      <c r="H176" t="s">
        <v>136</v>
      </c>
      <c r="I176">
        <v>3282880.4364023786</v>
      </c>
      <c r="J176">
        <v>0</v>
      </c>
      <c r="K176">
        <v>5.1996000000000002</v>
      </c>
      <c r="L176">
        <v>0</v>
      </c>
      <c r="M176">
        <v>681.04740052408852</v>
      </c>
      <c r="N176">
        <v>0</v>
      </c>
      <c r="O176">
        <v>11.350790008734808</v>
      </c>
      <c r="P176">
        <v>0.068858000000000003</v>
      </c>
      <c r="Q176">
        <v>0.034680382026204423</v>
      </c>
      <c r="R176">
        <v>18444891.569169998</v>
      </c>
      <c r="S176">
        <v>0</v>
      </c>
      <c r="T176">
        <v>0</v>
      </c>
      <c r="V176">
        <v>1800</v>
      </c>
      <c r="W176">
        <v>7</v>
      </c>
      <c r="X176">
        <v>85</v>
      </c>
      <c r="Y176">
        <v>3</v>
      </c>
      <c r="Z176">
        <v>4</v>
      </c>
      <c r="AA176">
        <v>5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86.66</v>
      </c>
      <c r="AM176">
        <v>75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60</v>
      </c>
      <c r="AU176">
        <v>0</v>
      </c>
      <c r="AV176">
        <v>0</v>
      </c>
    </row>
    <row r="177" spans="1:48" ht="12.75">
      <c r="A177" s="2" t="str">
        <f>HYPERLINK("https://ibp.a2mac1.com/costing(costing:projects/details/8191/equipment/6944466)","Machine")</f>
        <v>Machine</v>
      </c>
      <c r="B177">
        <v>6944466</v>
      </c>
      <c r="C177">
        <v>6971952</v>
      </c>
      <c r="H177" t="s">
        <v>136</v>
      </c>
      <c r="I177">
        <v>6117.6833131071426</v>
      </c>
      <c r="J177">
        <v>0</v>
      </c>
      <c r="K177">
        <v>5.1996000000000002</v>
      </c>
      <c r="L177">
        <v>0</v>
      </c>
      <c r="M177">
        <v>6.3542090920294347</v>
      </c>
      <c r="N177">
        <v>0</v>
      </c>
      <c r="O177">
        <v>0.10590348486715724</v>
      </c>
      <c r="P177">
        <v>0.068858000000000003</v>
      </c>
      <c r="Q177">
        <v>0.00056743347276088307</v>
      </c>
      <c r="R177">
        <v>21325.889149999999</v>
      </c>
      <c r="S177">
        <v>0</v>
      </c>
      <c r="T177">
        <v>0</v>
      </c>
      <c r="V177">
        <v>1800</v>
      </c>
      <c r="W177">
        <v>7</v>
      </c>
      <c r="X177">
        <v>85</v>
      </c>
      <c r="Y177">
        <v>3</v>
      </c>
      <c r="Z177">
        <v>4</v>
      </c>
      <c r="AA177">
        <v>5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86.66</v>
      </c>
      <c r="AM177">
        <v>75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60</v>
      </c>
      <c r="AU177">
        <v>0</v>
      </c>
      <c r="AV177">
        <v>0</v>
      </c>
    </row>
    <row r="178" spans="1:48" ht="12.75">
      <c r="A178" s="2" t="str">
        <f>HYPERLINK("https://ibp.a2mac1.com/costing(costing:projects/details/8191/equipment/6944467)","Machine")</f>
        <v>Machine</v>
      </c>
      <c r="B178">
        <v>6944467</v>
      </c>
      <c r="C178">
        <v>6971953</v>
      </c>
      <c r="H178" t="s">
        <v>136</v>
      </c>
      <c r="I178">
        <v>1127395.5343206215</v>
      </c>
      <c r="J178">
        <v>0</v>
      </c>
      <c r="K178">
        <v>5.1996000000000002</v>
      </c>
      <c r="L178">
        <v>0</v>
      </c>
      <c r="M178">
        <v>237.22796736613972</v>
      </c>
      <c r="N178">
        <v>0</v>
      </c>
      <c r="O178">
        <v>3.9537994561023289</v>
      </c>
      <c r="P178">
        <v>0.068858000000000003</v>
      </c>
      <c r="Q178">
        <v>0.0074936462209841924</v>
      </c>
      <c r="R178">
        <v>6325699.3486299999</v>
      </c>
      <c r="S178">
        <v>0</v>
      </c>
      <c r="T178">
        <v>0</v>
      </c>
      <c r="V178">
        <v>1800</v>
      </c>
      <c r="W178">
        <v>7</v>
      </c>
      <c r="X178">
        <v>85</v>
      </c>
      <c r="Y178">
        <v>3</v>
      </c>
      <c r="Z178">
        <v>4</v>
      </c>
      <c r="AA178">
        <v>5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86.66</v>
      </c>
      <c r="AM178">
        <v>75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60</v>
      </c>
      <c r="AU178">
        <v>0</v>
      </c>
      <c r="AV178">
        <v>0</v>
      </c>
    </row>
    <row r="179" spans="1:48" ht="12.75">
      <c r="A179" s="2" t="str">
        <f>HYPERLINK("https://ibp.a2mac1.com/costing(costing:projects/details/8191/equipment/6944308)","Machine")</f>
        <v>Machine</v>
      </c>
      <c r="B179">
        <v>6944308</v>
      </c>
      <c r="C179">
        <v>6971884</v>
      </c>
      <c r="H179" t="s">
        <v>136</v>
      </c>
      <c r="I179">
        <v>2037047.8818876643</v>
      </c>
      <c r="J179">
        <v>0</v>
      </c>
      <c r="K179">
        <v>5.1996000000000002</v>
      </c>
      <c r="L179">
        <v>0</v>
      </c>
      <c r="M179">
        <v>424.52753456704664</v>
      </c>
      <c r="N179">
        <v>0</v>
      </c>
      <c r="O179">
        <v>7.0754589094507772</v>
      </c>
      <c r="P179">
        <v>0.068858000000000003</v>
      </c>
      <c r="Q179">
        <v>0.021854388728352332</v>
      </c>
      <c r="R179">
        <v>11440210.53977</v>
      </c>
      <c r="S179">
        <v>0</v>
      </c>
      <c r="T179">
        <v>0</v>
      </c>
      <c r="V179">
        <v>1800</v>
      </c>
      <c r="W179">
        <v>7</v>
      </c>
      <c r="X179">
        <v>85</v>
      </c>
      <c r="Y179">
        <v>3</v>
      </c>
      <c r="Z179">
        <v>4</v>
      </c>
      <c r="AA179">
        <v>5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86.66</v>
      </c>
      <c r="AM179">
        <v>75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60</v>
      </c>
      <c r="AU179">
        <v>0</v>
      </c>
      <c r="AV179">
        <v>0</v>
      </c>
    </row>
    <row r="180" spans="1:48" ht="12.75">
      <c r="A180" s="2" t="str">
        <f>HYPERLINK("https://ibp.a2mac1.com/costing(costing:projects/details/8191/equipment/6944468)","Machine")</f>
        <v>Machine</v>
      </c>
      <c r="B180">
        <v>6944468</v>
      </c>
      <c r="C180">
        <v>6971954</v>
      </c>
      <c r="H180" t="s">
        <v>136</v>
      </c>
      <c r="I180">
        <v>82060.804695257146</v>
      </c>
      <c r="J180">
        <v>0</v>
      </c>
      <c r="K180">
        <v>5.1996000000000002</v>
      </c>
      <c r="L180">
        <v>0</v>
      </c>
      <c r="M180">
        <v>21.991077182137118</v>
      </c>
      <c r="N180">
        <v>0</v>
      </c>
      <c r="O180">
        <v>0.36651795303561863</v>
      </c>
      <c r="P180">
        <v>0.068858000000000003</v>
      </c>
      <c r="Q180">
        <v>0.00051826975773205681</v>
      </c>
      <c r="R180">
        <v>448315.32663999998</v>
      </c>
      <c r="S180">
        <v>0</v>
      </c>
      <c r="T180">
        <v>0</v>
      </c>
      <c r="V180">
        <v>1800</v>
      </c>
      <c r="W180">
        <v>7</v>
      </c>
      <c r="X180">
        <v>85</v>
      </c>
      <c r="Y180">
        <v>3</v>
      </c>
      <c r="Z180">
        <v>4</v>
      </c>
      <c r="AA180">
        <v>5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86.66</v>
      </c>
      <c r="AM180">
        <v>75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60</v>
      </c>
      <c r="AU180">
        <v>0</v>
      </c>
      <c r="AV180">
        <v>0</v>
      </c>
    </row>
    <row r="181" spans="1:48" ht="12.75">
      <c r="A181" s="2" t="str">
        <f>HYPERLINK("https://ibp.a2mac1.com/costing(costing:projects/details/8191/equipment/6944469)","Machine")</f>
        <v>Machine</v>
      </c>
      <c r="B181">
        <v>6944469</v>
      </c>
      <c r="C181">
        <v>6971955</v>
      </c>
      <c r="H181" t="s">
        <v>136</v>
      </c>
      <c r="I181">
        <v>6117.6833131071426</v>
      </c>
      <c r="J181">
        <v>0</v>
      </c>
      <c r="K181">
        <v>6</v>
      </c>
      <c r="L181">
        <v>0</v>
      </c>
      <c r="M181">
        <v>7.1546090920294345</v>
      </c>
      <c r="N181">
        <v>0</v>
      </c>
      <c r="O181">
        <v>0.11924348486715725</v>
      </c>
      <c r="P181">
        <v>0.068858000000000003</v>
      </c>
      <c r="Q181">
        <v>1.8482671023777596E-05</v>
      </c>
      <c r="R181">
        <v>21325.889149999999</v>
      </c>
      <c r="S181">
        <v>0</v>
      </c>
      <c r="T181">
        <v>0</v>
      </c>
      <c r="V181">
        <v>1800</v>
      </c>
      <c r="W181">
        <v>7</v>
      </c>
      <c r="X181">
        <v>85</v>
      </c>
      <c r="Y181">
        <v>3</v>
      </c>
      <c r="Z181">
        <v>4</v>
      </c>
      <c r="AA181">
        <v>5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100</v>
      </c>
      <c r="AM181">
        <v>75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60</v>
      </c>
      <c r="AU181">
        <v>0</v>
      </c>
      <c r="AV181">
        <v>0</v>
      </c>
    </row>
    <row r="182" spans="1:48" ht="12.75">
      <c r="A182" s="2" t="str">
        <f>HYPERLINK("https://ibp.a2mac1.com/costing(costing:projects/details/8191/equipment/6944470)","Machine")</f>
        <v>Machine</v>
      </c>
      <c r="B182">
        <v>6944470</v>
      </c>
      <c r="C182">
        <v>6971956</v>
      </c>
      <c r="H182" t="s">
        <v>136</v>
      </c>
      <c r="I182">
        <v>6117.6833131071426</v>
      </c>
      <c r="J182">
        <v>0</v>
      </c>
      <c r="K182">
        <v>6</v>
      </c>
      <c r="L182">
        <v>0</v>
      </c>
      <c r="M182">
        <v>7.1546090920294345</v>
      </c>
      <c r="N182">
        <v>0</v>
      </c>
      <c r="O182">
        <v>0.11924348486715725</v>
      </c>
      <c r="P182">
        <v>0.068858000000000003</v>
      </c>
      <c r="Q182">
        <v>9.2413355118887981E-06</v>
      </c>
      <c r="R182">
        <v>21325.889149999999</v>
      </c>
      <c r="S182">
        <v>0</v>
      </c>
      <c r="T182">
        <v>0</v>
      </c>
      <c r="V182">
        <v>1800</v>
      </c>
      <c r="W182">
        <v>7</v>
      </c>
      <c r="X182">
        <v>85</v>
      </c>
      <c r="Y182">
        <v>3</v>
      </c>
      <c r="Z182">
        <v>4</v>
      </c>
      <c r="AA182">
        <v>5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100</v>
      </c>
      <c r="AM182">
        <v>75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60</v>
      </c>
      <c r="AU182">
        <v>0</v>
      </c>
      <c r="AV182">
        <v>0</v>
      </c>
    </row>
    <row r="183" spans="1:48" ht="12.75">
      <c r="A183" s="2" t="str">
        <f>HYPERLINK("https://ibp.a2mac1.com/costing(costing:projects/details/8191/equipment/6944471)","Machine")</f>
        <v>Machine</v>
      </c>
      <c r="B183">
        <v>6944471</v>
      </c>
      <c r="C183">
        <v>6971957</v>
      </c>
      <c r="H183" t="s">
        <v>136</v>
      </c>
      <c r="I183">
        <v>1196637.79205355</v>
      </c>
      <c r="J183">
        <v>0</v>
      </c>
      <c r="K183">
        <v>5.1996000000000002</v>
      </c>
      <c r="L183">
        <v>0</v>
      </c>
      <c r="M183">
        <v>251.48511180167952</v>
      </c>
      <c r="N183">
        <v>0</v>
      </c>
      <c r="O183">
        <v>4.1914185300279918</v>
      </c>
      <c r="P183">
        <v>0.068858000000000003</v>
      </c>
      <c r="Q183">
        <v>0.007921360554050386</v>
      </c>
      <c r="R183">
        <v>6715013.2475300003</v>
      </c>
      <c r="S183">
        <v>0</v>
      </c>
      <c r="T183">
        <v>0</v>
      </c>
      <c r="V183">
        <v>1800</v>
      </c>
      <c r="W183">
        <v>7</v>
      </c>
      <c r="X183">
        <v>85</v>
      </c>
      <c r="Y183">
        <v>3</v>
      </c>
      <c r="Z183">
        <v>4</v>
      </c>
      <c r="AA183">
        <v>5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86.66</v>
      </c>
      <c r="AM183">
        <v>75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60</v>
      </c>
      <c r="AU183">
        <v>0</v>
      </c>
      <c r="AV183">
        <v>0</v>
      </c>
    </row>
    <row r="184" spans="1:48" ht="12.75">
      <c r="A184" s="2" t="str">
        <f>HYPERLINK("https://ibp.a2mac1.com/costing(costing:projects/details/8191/equipment/6944472)","Machine")</f>
        <v>Machine</v>
      </c>
      <c r="B184">
        <v>6944472</v>
      </c>
      <c r="C184">
        <v>6971958</v>
      </c>
      <c r="H184" t="s">
        <v>136</v>
      </c>
      <c r="I184">
        <v>895098.92773720715</v>
      </c>
      <c r="J184">
        <v>0</v>
      </c>
      <c r="K184">
        <v>5.1996000000000002</v>
      </c>
      <c r="L184">
        <v>0</v>
      </c>
      <c r="M184">
        <v>189.39754732525026</v>
      </c>
      <c r="N184">
        <v>0</v>
      </c>
      <c r="O184">
        <v>3.1566257887541709</v>
      </c>
      <c r="P184">
        <v>0.068858000000000003</v>
      </c>
      <c r="Q184">
        <v>0.0060587336197575076</v>
      </c>
      <c r="R184">
        <v>5019614.0104099996</v>
      </c>
      <c r="S184">
        <v>0</v>
      </c>
      <c r="T184">
        <v>0</v>
      </c>
      <c r="V184">
        <v>1800</v>
      </c>
      <c r="W184">
        <v>7</v>
      </c>
      <c r="X184">
        <v>85</v>
      </c>
      <c r="Y184">
        <v>3</v>
      </c>
      <c r="Z184">
        <v>4</v>
      </c>
      <c r="AA184">
        <v>5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86.66</v>
      </c>
      <c r="AM184">
        <v>75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60</v>
      </c>
      <c r="AU184">
        <v>0</v>
      </c>
      <c r="AV184">
        <v>0</v>
      </c>
    </row>
    <row r="185" spans="1:48" ht="12.75">
      <c r="A185" s="2" t="str">
        <f>HYPERLINK("https://ibp.a2mac1.com/costing(costing:projects/details/8191/equipment/6944309)","Machine")</f>
        <v>Machine</v>
      </c>
      <c r="B185">
        <v>6944309</v>
      </c>
      <c r="C185">
        <v>6971885</v>
      </c>
      <c r="H185" t="s">
        <v>136</v>
      </c>
      <c r="I185">
        <v>1198607.3709428143</v>
      </c>
      <c r="J185">
        <v>0</v>
      </c>
      <c r="K185">
        <v>5.1996000000000002</v>
      </c>
      <c r="L185">
        <v>0</v>
      </c>
      <c r="M185">
        <v>251.89065274763971</v>
      </c>
      <c r="N185">
        <v>0</v>
      </c>
      <c r="O185">
        <v>4.1981775457939952</v>
      </c>
      <c r="P185">
        <v>0.068858000000000003</v>
      </c>
      <c r="Q185">
        <v>0.013222544637381985</v>
      </c>
      <c r="R185">
        <v>6726087.18506</v>
      </c>
      <c r="S185">
        <v>0</v>
      </c>
      <c r="T185">
        <v>0</v>
      </c>
      <c r="V185">
        <v>1800</v>
      </c>
      <c r="W185">
        <v>7</v>
      </c>
      <c r="X185">
        <v>85</v>
      </c>
      <c r="Y185">
        <v>3</v>
      </c>
      <c r="Z185">
        <v>4</v>
      </c>
      <c r="AA185">
        <v>5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86.66</v>
      </c>
      <c r="AM185">
        <v>75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60</v>
      </c>
      <c r="AU185">
        <v>0</v>
      </c>
      <c r="AV185">
        <v>0</v>
      </c>
    </row>
    <row r="186" spans="1:48" ht="12.75">
      <c r="A186" s="2" t="str">
        <f>HYPERLINK("https://ibp.a2mac1.com/costing(costing:projects/details/8191/equipment/6944305)","Machine")</f>
        <v>Machine</v>
      </c>
      <c r="B186">
        <v>6944305</v>
      </c>
      <c r="C186">
        <v>6971881</v>
      </c>
      <c r="H186" t="s">
        <v>136</v>
      </c>
      <c r="I186">
        <v>1589755.1262716358</v>
      </c>
      <c r="J186">
        <v>0</v>
      </c>
      <c r="K186">
        <v>5.1996000000000002</v>
      </c>
      <c r="L186">
        <v>0</v>
      </c>
      <c r="M186">
        <v>332.42889956318476</v>
      </c>
      <c r="N186">
        <v>0</v>
      </c>
      <c r="O186">
        <v>5.5404816593864128</v>
      </c>
      <c r="P186">
        <v>0.068858000000000003</v>
      </c>
      <c r="Q186">
        <v>0.010349674186895544</v>
      </c>
      <c r="R186">
        <v>8925311.5122100003</v>
      </c>
      <c r="S186">
        <v>0</v>
      </c>
      <c r="T186">
        <v>0</v>
      </c>
      <c r="V186">
        <v>1800</v>
      </c>
      <c r="W186">
        <v>7</v>
      </c>
      <c r="X186">
        <v>85</v>
      </c>
      <c r="Y186">
        <v>3</v>
      </c>
      <c r="Z186">
        <v>4</v>
      </c>
      <c r="AA186">
        <v>5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86.66</v>
      </c>
      <c r="AM186">
        <v>75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60</v>
      </c>
      <c r="AU186">
        <v>0</v>
      </c>
      <c r="AV186">
        <v>0</v>
      </c>
    </row>
    <row r="187" spans="1:48" ht="12.75">
      <c r="A187" s="2" t="str">
        <f>HYPERLINK("https://ibp.a2mac1.com/costing(costing:projects/details/8191/equipment/6944306)","Machine")</f>
        <v>Machine</v>
      </c>
      <c r="B187">
        <v>6944306</v>
      </c>
      <c r="C187">
        <v>6971882</v>
      </c>
      <c r="H187" t="s">
        <v>136</v>
      </c>
      <c r="I187">
        <v>874996.33678420715</v>
      </c>
      <c r="J187">
        <v>0</v>
      </c>
      <c r="K187">
        <v>5.1996000000000002</v>
      </c>
      <c r="L187">
        <v>0</v>
      </c>
      <c r="M187">
        <v>185.25837636044795</v>
      </c>
      <c r="N187">
        <v>0</v>
      </c>
      <c r="O187">
        <v>3.0876396060074658</v>
      </c>
      <c r="P187">
        <v>0.068858000000000003</v>
      </c>
      <c r="Q187">
        <v>0.0059345584908134389</v>
      </c>
      <c r="R187">
        <v>4906587.3946099998</v>
      </c>
      <c r="S187">
        <v>0</v>
      </c>
      <c r="T187">
        <v>0</v>
      </c>
      <c r="V187">
        <v>1800</v>
      </c>
      <c r="W187">
        <v>7</v>
      </c>
      <c r="X187">
        <v>85</v>
      </c>
      <c r="Y187">
        <v>3</v>
      </c>
      <c r="Z187">
        <v>4</v>
      </c>
      <c r="AA187">
        <v>5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86.66</v>
      </c>
      <c r="AM187">
        <v>75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60</v>
      </c>
      <c r="AU187">
        <v>0</v>
      </c>
      <c r="AV187">
        <v>0</v>
      </c>
    </row>
    <row r="188" spans="1:48" ht="12.75">
      <c r="A188" s="2" t="str">
        <f>HYPERLINK("https://ibp.a2mac1.com/costing(costing:projects/details/8191/equipment/6944307)","Machine")</f>
        <v>Machine</v>
      </c>
      <c r="B188">
        <v>6944307</v>
      </c>
      <c r="C188">
        <v>6971883</v>
      </c>
      <c r="H188" t="s">
        <v>136</v>
      </c>
      <c r="I188">
        <v>6117.6833131071426</v>
      </c>
      <c r="J188">
        <v>0</v>
      </c>
      <c r="K188">
        <v>5.1996000000000002</v>
      </c>
      <c r="L188">
        <v>0</v>
      </c>
      <c r="M188">
        <v>6.3542090920294347</v>
      </c>
      <c r="N188">
        <v>0</v>
      </c>
      <c r="O188">
        <v>0.10590348486715724</v>
      </c>
      <c r="P188">
        <v>0.068858000000000003</v>
      </c>
      <c r="Q188">
        <v>0.00056743347276088307</v>
      </c>
      <c r="R188">
        <v>21325.889149999999</v>
      </c>
      <c r="S188">
        <v>0</v>
      </c>
      <c r="T188">
        <v>0</v>
      </c>
      <c r="V188">
        <v>1800</v>
      </c>
      <c r="W188">
        <v>7</v>
      </c>
      <c r="X188">
        <v>85</v>
      </c>
      <c r="Y188">
        <v>3</v>
      </c>
      <c r="Z188">
        <v>4</v>
      </c>
      <c r="AA188">
        <v>5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86.66</v>
      </c>
      <c r="AM188">
        <v>75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60</v>
      </c>
      <c r="AU188">
        <v>0</v>
      </c>
      <c r="AV188">
        <v>0</v>
      </c>
    </row>
    <row r="189" spans="1:48" ht="12.75">
      <c r="A189" s="2" t="str">
        <f>HYPERLINK("https://ibp.a2mac1.com/costing(costing:projects/details/8191/equipment/6944241)","Machine")</f>
        <v>Machine</v>
      </c>
      <c r="B189">
        <v>6944241</v>
      </c>
      <c r="C189">
        <v>6971733</v>
      </c>
      <c r="H189" t="s">
        <v>136</v>
      </c>
      <c r="I189">
        <v>3282880.4364023786</v>
      </c>
      <c r="J189">
        <v>0</v>
      </c>
      <c r="K189">
        <v>5.1996000000000002</v>
      </c>
      <c r="L189">
        <v>0</v>
      </c>
      <c r="M189">
        <v>681.04740052408852</v>
      </c>
      <c r="N189">
        <v>0</v>
      </c>
      <c r="O189">
        <v>11.350790008734808</v>
      </c>
      <c r="P189">
        <v>0.068858000000000003</v>
      </c>
      <c r="Q189">
        <v>0.034680382026204423</v>
      </c>
      <c r="R189">
        <v>18444891.569169998</v>
      </c>
      <c r="S189">
        <v>0</v>
      </c>
      <c r="T189">
        <v>0</v>
      </c>
      <c r="V189">
        <v>1800</v>
      </c>
      <c r="W189">
        <v>7</v>
      </c>
      <c r="X189">
        <v>85</v>
      </c>
      <c r="Y189">
        <v>3</v>
      </c>
      <c r="Z189">
        <v>4</v>
      </c>
      <c r="AA189">
        <v>5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86.66</v>
      </c>
      <c r="AM189">
        <v>75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60</v>
      </c>
      <c r="AU189">
        <v>0</v>
      </c>
      <c r="AV189">
        <v>0</v>
      </c>
    </row>
    <row r="190" spans="1:48" ht="12.75">
      <c r="A190" s="2" t="str">
        <f>HYPERLINK("https://ibp.a2mac1.com/costing(costing:projects/details/8191/equipment/6944242)","Machine 1")</f>
        <v>Machine 1</v>
      </c>
      <c r="B190">
        <v>6944242</v>
      </c>
      <c r="C190">
        <v>6971734</v>
      </c>
      <c r="H190" t="s">
        <v>136</v>
      </c>
      <c r="I190">
        <v>20859.583345307143</v>
      </c>
      <c r="J190">
        <v>0</v>
      </c>
      <c r="K190">
        <v>6</v>
      </c>
      <c r="L190">
        <v>0</v>
      </c>
      <c r="M190">
        <v>10.190001132884465</v>
      </c>
      <c r="N190">
        <v>0</v>
      </c>
      <c r="O190">
        <v>0.16983335221474108</v>
      </c>
      <c r="P190">
        <v>0.068858000000000003</v>
      </c>
      <c r="Q190">
        <v>0.0011375120566442232</v>
      </c>
      <c r="R190">
        <v>104212.07407</v>
      </c>
      <c r="S190">
        <v>0</v>
      </c>
      <c r="T190">
        <v>0</v>
      </c>
      <c r="V190">
        <v>1800</v>
      </c>
      <c r="W190">
        <v>7</v>
      </c>
      <c r="X190">
        <v>85</v>
      </c>
      <c r="Y190">
        <v>3</v>
      </c>
      <c r="Z190">
        <v>4</v>
      </c>
      <c r="AA190">
        <v>5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100</v>
      </c>
      <c r="AM190">
        <v>75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60</v>
      </c>
      <c r="AU190">
        <v>0</v>
      </c>
      <c r="AV190">
        <v>0</v>
      </c>
    </row>
    <row r="191" spans="1:48" ht="12.75">
      <c r="A191" s="2" t="str">
        <f>HYPERLINK("https://ibp.a2mac1.com/costing(costing:projects/details/8191/equipment/6944473)","Machine 1")</f>
        <v>Machine 1</v>
      </c>
      <c r="B191">
        <v>6944473</v>
      </c>
      <c r="C191">
        <v>6971959</v>
      </c>
      <c r="H191" t="s">
        <v>136</v>
      </c>
      <c r="I191">
        <v>2726668.4037428573</v>
      </c>
      <c r="J191">
        <v>0</v>
      </c>
      <c r="K191">
        <v>6</v>
      </c>
      <c r="L191">
        <v>0</v>
      </c>
      <c r="M191">
        <v>567.32242908114063</v>
      </c>
      <c r="N191">
        <v>0</v>
      </c>
      <c r="O191">
        <v>9.4553738180190106</v>
      </c>
      <c r="P191">
        <v>0.068858000000000003</v>
      </c>
      <c r="Q191">
        <v>0.017396480072434221</v>
      </c>
      <c r="R191">
        <v>15317595</v>
      </c>
      <c r="S191">
        <v>0</v>
      </c>
      <c r="T191">
        <v>0</v>
      </c>
      <c r="V191">
        <v>1800</v>
      </c>
      <c r="W191">
        <v>7</v>
      </c>
      <c r="X191">
        <v>85</v>
      </c>
      <c r="Y191">
        <v>3</v>
      </c>
      <c r="Z191">
        <v>4</v>
      </c>
      <c r="AA191">
        <v>5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100</v>
      </c>
      <c r="AM191">
        <v>75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60</v>
      </c>
      <c r="AU191">
        <v>0</v>
      </c>
      <c r="AV191">
        <v>0</v>
      </c>
    </row>
    <row r="192" spans="1:48" ht="12.75">
      <c r="A192" s="2" t="str">
        <f>HYPERLINK("https://ibp.a2mac1.com/costing(costing:projects/details/8191/equipment/6944474)","Machine 1")</f>
        <v>Machine 1</v>
      </c>
      <c r="B192">
        <v>6944474</v>
      </c>
      <c r="C192">
        <v>6971960</v>
      </c>
      <c r="H192" t="s">
        <v>136</v>
      </c>
      <c r="I192">
        <v>6117.6833131071426</v>
      </c>
      <c r="J192">
        <v>0</v>
      </c>
      <c r="K192">
        <v>6</v>
      </c>
      <c r="L192">
        <v>0</v>
      </c>
      <c r="M192">
        <v>7.1546090920294345</v>
      </c>
      <c r="N192">
        <v>0</v>
      </c>
      <c r="O192">
        <v>0.11924348486715725</v>
      </c>
      <c r="P192">
        <v>0.068858000000000003</v>
      </c>
      <c r="Q192">
        <v>0.00059144547276088308</v>
      </c>
      <c r="R192">
        <v>21325.889149999999</v>
      </c>
      <c r="S192">
        <v>0</v>
      </c>
      <c r="T192">
        <v>0</v>
      </c>
      <c r="V192">
        <v>1800</v>
      </c>
      <c r="W192">
        <v>7</v>
      </c>
      <c r="X192">
        <v>85</v>
      </c>
      <c r="Y192">
        <v>3</v>
      </c>
      <c r="Z192">
        <v>4</v>
      </c>
      <c r="AA192">
        <v>5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100</v>
      </c>
      <c r="AM192">
        <v>75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60</v>
      </c>
      <c r="AU192">
        <v>0</v>
      </c>
      <c r="AV192">
        <v>0</v>
      </c>
    </row>
    <row r="193" spans="1:48" ht="12.75">
      <c r="A193" s="2" t="str">
        <f>HYPERLINK("https://ibp.a2mac1.com/costing(costing:projects/details/8191/equipment/6944229)","Machine 1")</f>
        <v>Machine 1</v>
      </c>
      <c r="B193">
        <v>6944229</v>
      </c>
      <c r="C193">
        <v>6971715</v>
      </c>
      <c r="H193" t="s">
        <v>136</v>
      </c>
      <c r="I193">
        <v>976504.12959959998</v>
      </c>
      <c r="J193">
        <v>0</v>
      </c>
      <c r="K193">
        <v>6</v>
      </c>
      <c r="L193">
        <v>0</v>
      </c>
      <c r="M193">
        <v>206.95947068910317</v>
      </c>
      <c r="N193">
        <v>0</v>
      </c>
      <c r="O193">
        <v>3.4493245114850533</v>
      </c>
      <c r="P193">
        <v>0.068858000000000003</v>
      </c>
      <c r="Q193">
        <v>0.01097598553445516</v>
      </c>
      <c r="R193">
        <v>5477313.94056</v>
      </c>
      <c r="S193">
        <v>0</v>
      </c>
      <c r="T193">
        <v>0</v>
      </c>
      <c r="V193">
        <v>1800</v>
      </c>
      <c r="W193">
        <v>7</v>
      </c>
      <c r="X193">
        <v>85</v>
      </c>
      <c r="Y193">
        <v>3</v>
      </c>
      <c r="Z193">
        <v>4</v>
      </c>
      <c r="AA193">
        <v>5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100</v>
      </c>
      <c r="AM193">
        <v>75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60</v>
      </c>
      <c r="AU193">
        <v>0</v>
      </c>
      <c r="AV193">
        <v>0</v>
      </c>
    </row>
    <row r="194" spans="1:48" ht="12.75">
      <c r="A194" s="2" t="str">
        <f>HYPERLINK("https://ibp.a2mac1.com/costing(costing:projects/details/8191/equipment/6944475)","Machine 1")</f>
        <v>Machine 1</v>
      </c>
      <c r="B194">
        <v>6944475</v>
      </c>
      <c r="C194">
        <v>6971961</v>
      </c>
      <c r="H194" t="s">
        <v>136</v>
      </c>
      <c r="I194">
        <v>6117.6833131071426</v>
      </c>
      <c r="J194">
        <v>0</v>
      </c>
      <c r="K194">
        <v>6</v>
      </c>
      <c r="L194">
        <v>0</v>
      </c>
      <c r="M194">
        <v>7.1546090920294345</v>
      </c>
      <c r="N194">
        <v>0</v>
      </c>
      <c r="O194">
        <v>0.11924348486715725</v>
      </c>
      <c r="P194">
        <v>0.068858000000000003</v>
      </c>
      <c r="Q194">
        <v>0.00059144547276088308</v>
      </c>
      <c r="R194">
        <v>21325.889149999999</v>
      </c>
      <c r="S194">
        <v>0</v>
      </c>
      <c r="T194">
        <v>0</v>
      </c>
      <c r="V194">
        <v>1800</v>
      </c>
      <c r="W194">
        <v>7</v>
      </c>
      <c r="X194">
        <v>85</v>
      </c>
      <c r="Y194">
        <v>3</v>
      </c>
      <c r="Z194">
        <v>4</v>
      </c>
      <c r="AA194">
        <v>5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100</v>
      </c>
      <c r="AM194">
        <v>75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60</v>
      </c>
      <c r="AU194">
        <v>0</v>
      </c>
      <c r="AV194">
        <v>0</v>
      </c>
    </row>
    <row r="195" spans="1:48" ht="12.75">
      <c r="A195" s="2" t="str">
        <f>HYPERLINK("https://ibp.a2mac1.com/costing(costing:projects/details/8191/equipment/6944476)","Machine 1")</f>
        <v>Machine 1</v>
      </c>
      <c r="B195">
        <v>6944476</v>
      </c>
      <c r="C195">
        <v>6971962</v>
      </c>
      <c r="H195" t="s">
        <v>136</v>
      </c>
      <c r="I195">
        <v>6117.6833131071426</v>
      </c>
      <c r="J195">
        <v>0</v>
      </c>
      <c r="K195">
        <v>6</v>
      </c>
      <c r="L195">
        <v>0</v>
      </c>
      <c r="M195">
        <v>7.1546090920294345</v>
      </c>
      <c r="N195">
        <v>0</v>
      </c>
      <c r="O195">
        <v>0.11924348486715725</v>
      </c>
      <c r="P195">
        <v>0.068858000000000003</v>
      </c>
      <c r="Q195">
        <v>0.00059144547276088308</v>
      </c>
      <c r="R195">
        <v>21325.889149999999</v>
      </c>
      <c r="S195">
        <v>0</v>
      </c>
      <c r="T195">
        <v>0</v>
      </c>
      <c r="V195">
        <v>1800</v>
      </c>
      <c r="W195">
        <v>7</v>
      </c>
      <c r="X195">
        <v>85</v>
      </c>
      <c r="Y195">
        <v>3</v>
      </c>
      <c r="Z195">
        <v>4</v>
      </c>
      <c r="AA195">
        <v>5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100</v>
      </c>
      <c r="AM195">
        <v>75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60</v>
      </c>
      <c r="AU195">
        <v>0</v>
      </c>
      <c r="AV195">
        <v>0</v>
      </c>
    </row>
    <row r="196" spans="1:48" ht="12.75">
      <c r="A196" s="2" t="str">
        <f>HYPERLINK("https://ibp.a2mac1.com/costing(costing:projects/details/8191/equipment/6944477)","Machine 1")</f>
        <v>Machine 1</v>
      </c>
      <c r="B196">
        <v>6944477</v>
      </c>
      <c r="C196">
        <v>6971963</v>
      </c>
      <c r="H196" t="s">
        <v>136</v>
      </c>
      <c r="I196">
        <v>4685554.0716000004</v>
      </c>
      <c r="J196">
        <v>0</v>
      </c>
      <c r="K196">
        <v>6</v>
      </c>
      <c r="L196">
        <v>0</v>
      </c>
      <c r="M196">
        <v>970.66161549341052</v>
      </c>
      <c r="N196">
        <v>0</v>
      </c>
      <c r="O196">
        <v>16.177693591556842</v>
      </c>
      <c r="P196">
        <v>0.068858000000000003</v>
      </c>
      <c r="Q196">
        <v>0.029496655664802314</v>
      </c>
      <c r="R196">
        <v>26331410</v>
      </c>
      <c r="S196">
        <v>0</v>
      </c>
      <c r="T196">
        <v>0</v>
      </c>
      <c r="V196">
        <v>1800</v>
      </c>
      <c r="W196">
        <v>7</v>
      </c>
      <c r="X196">
        <v>85</v>
      </c>
      <c r="Y196">
        <v>3</v>
      </c>
      <c r="Z196">
        <v>4</v>
      </c>
      <c r="AA196">
        <v>5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100</v>
      </c>
      <c r="AM196">
        <v>75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60</v>
      </c>
      <c r="AU196">
        <v>0</v>
      </c>
      <c r="AV196">
        <v>0</v>
      </c>
    </row>
    <row r="197" spans="1:48" ht="12.75">
      <c r="A197" s="2" t="str">
        <f>HYPERLINK("https://ibp.a2mac1.com/costing(costing:projects/details/8191/equipment/6944230)","Machine 1")</f>
        <v>Machine 1</v>
      </c>
      <c r="B197">
        <v>6944230</v>
      </c>
      <c r="C197">
        <v>6971716</v>
      </c>
      <c r="H197" t="s">
        <v>136</v>
      </c>
      <c r="I197">
        <v>2183898.3816</v>
      </c>
      <c r="J197">
        <v>0</v>
      </c>
      <c r="K197">
        <v>6</v>
      </c>
      <c r="L197">
        <v>0</v>
      </c>
      <c r="M197">
        <v>455.56479935711991</v>
      </c>
      <c r="N197">
        <v>0</v>
      </c>
      <c r="O197">
        <v>7.5927466559519985</v>
      </c>
      <c r="P197">
        <v>0.068858000000000003</v>
      </c>
      <c r="Q197">
        <v>0.023406251967855996</v>
      </c>
      <c r="R197">
        <v>12265876</v>
      </c>
      <c r="S197">
        <v>0</v>
      </c>
      <c r="T197">
        <v>0</v>
      </c>
      <c r="V197">
        <v>1800</v>
      </c>
      <c r="W197">
        <v>7</v>
      </c>
      <c r="X197">
        <v>85</v>
      </c>
      <c r="Y197">
        <v>3</v>
      </c>
      <c r="Z197">
        <v>4</v>
      </c>
      <c r="AA197">
        <v>5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100</v>
      </c>
      <c r="AM197">
        <v>75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60</v>
      </c>
      <c r="AU197">
        <v>0</v>
      </c>
      <c r="AV197">
        <v>0</v>
      </c>
    </row>
    <row r="198" spans="1:48" ht="12.75">
      <c r="A198" s="2" t="str">
        <f>HYPERLINK("https://ibp.a2mac1.com/costing(costing:projects/details/8191/equipment/6944243)","Machine 1")</f>
        <v>Machine 1</v>
      </c>
      <c r="B198">
        <v>6944243</v>
      </c>
      <c r="C198">
        <v>6971735</v>
      </c>
      <c r="H198" t="s">
        <v>136</v>
      </c>
      <c r="I198">
        <v>393511.36316100002</v>
      </c>
      <c r="J198">
        <v>0</v>
      </c>
      <c r="K198">
        <v>6</v>
      </c>
      <c r="L198">
        <v>0</v>
      </c>
      <c r="M198">
        <v>86.919882897942784</v>
      </c>
      <c r="N198">
        <v>0</v>
      </c>
      <c r="O198">
        <v>1.448664714965713</v>
      </c>
      <c r="P198">
        <v>0.068858000000000003</v>
      </c>
      <c r="Q198">
        <v>0.004974006144897139</v>
      </c>
      <c r="R198">
        <v>2199442.9646000001</v>
      </c>
      <c r="S198">
        <v>0</v>
      </c>
      <c r="T198">
        <v>0</v>
      </c>
      <c r="V198">
        <v>1800</v>
      </c>
      <c r="W198">
        <v>7</v>
      </c>
      <c r="X198">
        <v>85</v>
      </c>
      <c r="Y198">
        <v>3</v>
      </c>
      <c r="Z198">
        <v>4</v>
      </c>
      <c r="AA198">
        <v>5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100</v>
      </c>
      <c r="AM198">
        <v>75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60</v>
      </c>
      <c r="AU198">
        <v>0</v>
      </c>
      <c r="AV198">
        <v>0</v>
      </c>
    </row>
    <row r="199" spans="1:48" ht="12.75">
      <c r="A199" s="2" t="str">
        <f>HYPERLINK("https://ibp.a2mac1.com/costing(costing:projects/details/8191/equipment/6944244)","Machine 1")</f>
        <v>Machine 1</v>
      </c>
      <c r="B199">
        <v>6944244</v>
      </c>
      <c r="C199">
        <v>6971736</v>
      </c>
      <c r="H199" t="s">
        <v>136</v>
      </c>
      <c r="I199">
        <v>698670.55519965</v>
      </c>
      <c r="J199">
        <v>0</v>
      </c>
      <c r="K199">
        <v>6</v>
      </c>
      <c r="L199">
        <v>0</v>
      </c>
      <c r="M199">
        <v>149.7528814045564</v>
      </c>
      <c r="N199">
        <v>0</v>
      </c>
      <c r="O199">
        <v>2.4958813567426068</v>
      </c>
      <c r="P199">
        <v>0.068858000000000003</v>
      </c>
      <c r="Q199">
        <v>0.0081156560702278207</v>
      </c>
      <c r="R199">
        <v>3915197.45799</v>
      </c>
      <c r="S199">
        <v>0</v>
      </c>
      <c r="T199">
        <v>0</v>
      </c>
      <c r="V199">
        <v>1800</v>
      </c>
      <c r="W199">
        <v>7</v>
      </c>
      <c r="X199">
        <v>85</v>
      </c>
      <c r="Y199">
        <v>3</v>
      </c>
      <c r="Z199">
        <v>4</v>
      </c>
      <c r="AA199">
        <v>5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100</v>
      </c>
      <c r="AM199">
        <v>75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60</v>
      </c>
      <c r="AU199">
        <v>0</v>
      </c>
      <c r="AV199">
        <v>0</v>
      </c>
    </row>
    <row r="200" spans="1:48" ht="12.75">
      <c r="A200" s="2" t="str">
        <f>HYPERLINK("https://ibp.a2mac1.com/costing(costing:projects/details/8191/equipment/6944245)","Machine")</f>
        <v>Machine</v>
      </c>
      <c r="B200">
        <v>6944245</v>
      </c>
      <c r="C200">
        <v>6971737</v>
      </c>
      <c r="H200" t="s">
        <v>136</v>
      </c>
      <c r="I200">
        <v>6117.6833131071426</v>
      </c>
      <c r="J200">
        <v>0</v>
      </c>
      <c r="K200">
        <v>6</v>
      </c>
      <c r="L200">
        <v>0</v>
      </c>
      <c r="M200">
        <v>7.1546090920294345</v>
      </c>
      <c r="N200">
        <v>0</v>
      </c>
      <c r="O200">
        <v>0.11924348486715725</v>
      </c>
      <c r="P200">
        <v>0.068858000000000003</v>
      </c>
      <c r="Q200">
        <v>0.00059144547276088308</v>
      </c>
      <c r="R200">
        <v>21325.889149999999</v>
      </c>
      <c r="S200">
        <v>0</v>
      </c>
      <c r="T200">
        <v>0</v>
      </c>
      <c r="V200">
        <v>1800</v>
      </c>
      <c r="W200">
        <v>7</v>
      </c>
      <c r="X200">
        <v>85</v>
      </c>
      <c r="Y200">
        <v>3</v>
      </c>
      <c r="Z200">
        <v>4</v>
      </c>
      <c r="AA200">
        <v>5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100</v>
      </c>
      <c r="AM200">
        <v>75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60</v>
      </c>
      <c r="AU200">
        <v>0</v>
      </c>
      <c r="AV200">
        <v>0</v>
      </c>
    </row>
    <row r="201" spans="1:48" ht="12.75">
      <c r="A201" s="2" t="str">
        <f>HYPERLINK("https://ibp.a2mac1.com/costing(costing:projects/details/8191/equipment/6944246)","Machine 1")</f>
        <v>Machine 1</v>
      </c>
      <c r="B201">
        <v>6944246</v>
      </c>
      <c r="C201">
        <v>6971738</v>
      </c>
      <c r="H201" t="s">
        <v>136</v>
      </c>
      <c r="I201">
        <v>700773.88184575713</v>
      </c>
      <c r="J201">
        <v>0</v>
      </c>
      <c r="K201">
        <v>6</v>
      </c>
      <c r="L201">
        <v>0</v>
      </c>
      <c r="M201">
        <v>150.18596132959775</v>
      </c>
      <c r="N201">
        <v>0</v>
      </c>
      <c r="O201">
        <v>2.5030993554932959</v>
      </c>
      <c r="P201">
        <v>0.068858000000000003</v>
      </c>
      <c r="Q201">
        <v>0.0081373100664798876</v>
      </c>
      <c r="R201">
        <v>3927023.3909399998</v>
      </c>
      <c r="S201">
        <v>0</v>
      </c>
      <c r="T201">
        <v>0</v>
      </c>
      <c r="V201">
        <v>1800</v>
      </c>
      <c r="W201">
        <v>7</v>
      </c>
      <c r="X201">
        <v>85</v>
      </c>
      <c r="Y201">
        <v>3</v>
      </c>
      <c r="Z201">
        <v>4</v>
      </c>
      <c r="AA201">
        <v>5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100</v>
      </c>
      <c r="AM201">
        <v>75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60</v>
      </c>
      <c r="AU201">
        <v>0</v>
      </c>
      <c r="AV201">
        <v>0</v>
      </c>
    </row>
    <row r="202" spans="1:48" ht="12.75">
      <c r="A202" s="2" t="str">
        <f>HYPERLINK("https://ibp.a2mac1.com/costing(costing:projects/details/8191/equipment/6944247)","Machine 1")</f>
        <v>Machine 1</v>
      </c>
      <c r="B202">
        <v>6944247</v>
      </c>
      <c r="C202">
        <v>6971739</v>
      </c>
      <c r="H202" t="s">
        <v>136</v>
      </c>
      <c r="I202">
        <v>650517.40445969999</v>
      </c>
      <c r="J202">
        <v>0</v>
      </c>
      <c r="K202">
        <v>6</v>
      </c>
      <c r="L202">
        <v>0</v>
      </c>
      <c r="M202">
        <v>139.83803391685953</v>
      </c>
      <c r="N202">
        <v>0</v>
      </c>
      <c r="O202">
        <v>2.3306338986143253</v>
      </c>
      <c r="P202">
        <v>0.068858000000000003</v>
      </c>
      <c r="Q202">
        <v>0.0076199136958429768</v>
      </c>
      <c r="R202">
        <v>3644456.8514200002</v>
      </c>
      <c r="S202">
        <v>0</v>
      </c>
      <c r="T202">
        <v>0</v>
      </c>
      <c r="V202">
        <v>1800</v>
      </c>
      <c r="W202">
        <v>7</v>
      </c>
      <c r="X202">
        <v>85</v>
      </c>
      <c r="Y202">
        <v>3</v>
      </c>
      <c r="Z202">
        <v>4</v>
      </c>
      <c r="AA202">
        <v>5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100</v>
      </c>
      <c r="AM202">
        <v>75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60</v>
      </c>
      <c r="AU202">
        <v>0</v>
      </c>
      <c r="AV202">
        <v>0</v>
      </c>
    </row>
    <row r="203" spans="1:48" ht="12.75">
      <c r="A203" s="2" t="str">
        <f>HYPERLINK("https://ibp.a2mac1.com/costing(costing:projects/details/8191/equipment/6944248)","Dummy Machine (PCBA+Final Assembly Line)")</f>
        <v>Dummy Machine (PCBA+Final Assembly Line)</v>
      </c>
      <c r="B203">
        <v>6944248</v>
      </c>
      <c r="C203">
        <v>6971740</v>
      </c>
      <c r="F203" t="s">
        <v>559</v>
      </c>
      <c r="H203" t="s">
        <v>136</v>
      </c>
      <c r="I203">
        <v>79501.662769714283</v>
      </c>
      <c r="J203">
        <v>0</v>
      </c>
      <c r="K203">
        <v>0.28895999999999999</v>
      </c>
      <c r="L203">
        <v>0</v>
      </c>
      <c r="M203">
        <v>16.624578413647427</v>
      </c>
      <c r="N203">
        <v>0</v>
      </c>
      <c r="O203">
        <v>0.76195984395884042</v>
      </c>
      <c r="P203">
        <v>0.13255164999999999</v>
      </c>
      <c r="Q203">
        <v>6.889185508913073E-05</v>
      </c>
      <c r="R203">
        <v>442771.10</v>
      </c>
      <c r="S203">
        <v>0</v>
      </c>
      <c r="T203">
        <v>0</v>
      </c>
      <c r="V203">
        <v>216</v>
      </c>
      <c r="W203">
        <v>7</v>
      </c>
      <c r="X203">
        <v>85</v>
      </c>
      <c r="Y203">
        <v>3</v>
      </c>
      <c r="Z203">
        <v>4</v>
      </c>
      <c r="AA203">
        <v>5</v>
      </c>
      <c r="AB203">
        <v>0</v>
      </c>
      <c r="AC203">
        <v>0</v>
      </c>
      <c r="AD203">
        <v>0</v>
      </c>
      <c r="AE203">
        <v>0</v>
      </c>
      <c r="AF203">
        <v>0.70</v>
      </c>
      <c r="AG203">
        <v>0</v>
      </c>
      <c r="AH203">
        <v>0</v>
      </c>
      <c r="AI203">
        <v>0.20</v>
      </c>
      <c r="AJ203">
        <v>0</v>
      </c>
      <c r="AK203">
        <v>0</v>
      </c>
      <c r="AL203">
        <v>86</v>
      </c>
      <c r="AM203">
        <v>4.20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19.40</v>
      </c>
      <c r="AU203">
        <v>0</v>
      </c>
      <c r="AV203">
        <v>0</v>
      </c>
    </row>
    <row r="204" spans="1:48" ht="12.75">
      <c r="A204" s="2" t="str">
        <f>HYPERLINK("https://ibp.a2mac1.com/costing(costing:projects/details/8191/equipment/6944310)","Machine 1")</f>
        <v>Machine 1</v>
      </c>
      <c r="B204">
        <v>6944310</v>
      </c>
      <c r="C204">
        <v>6971886</v>
      </c>
      <c r="H204" t="s">
        <v>136</v>
      </c>
      <c r="I204">
        <v>8316528.783836443</v>
      </c>
      <c r="J204">
        <v>0</v>
      </c>
      <c r="K204">
        <v>6</v>
      </c>
      <c r="L204">
        <v>0</v>
      </c>
      <c r="M204">
        <v>1718.2878860551982</v>
      </c>
      <c r="N204">
        <v>0</v>
      </c>
      <c r="O204">
        <v>17.669727094934288</v>
      </c>
      <c r="P204">
        <v>0.042485386</v>
      </c>
      <c r="Q204">
        <v>0.0072118671918966586</v>
      </c>
      <c r="R204">
        <v>46746528.863980003</v>
      </c>
      <c r="S204">
        <v>0</v>
      </c>
      <c r="T204">
        <v>0</v>
      </c>
      <c r="V204">
        <v>1800</v>
      </c>
      <c r="W204">
        <v>7</v>
      </c>
      <c r="X204">
        <v>85</v>
      </c>
      <c r="Y204">
        <v>3</v>
      </c>
      <c r="Z204">
        <v>4</v>
      </c>
      <c r="AA204">
        <v>5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100</v>
      </c>
      <c r="AM204">
        <v>75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60</v>
      </c>
      <c r="AU204">
        <v>0</v>
      </c>
      <c r="AV204">
        <v>0</v>
      </c>
    </row>
    <row r="205" spans="1:48" ht="12.75">
      <c r="A205" s="2" t="str">
        <f>HYPERLINK("https://ibp.a2mac1.com/costing(costing:projects/details/8191/equipment/6944311)","Machine")</f>
        <v>Machine</v>
      </c>
      <c r="B205">
        <v>6944311</v>
      </c>
      <c r="C205">
        <v>6971887</v>
      </c>
      <c r="H205" t="s">
        <v>136</v>
      </c>
      <c r="I205">
        <v>129143.17379522143</v>
      </c>
      <c r="J205">
        <v>0</v>
      </c>
      <c r="K205">
        <v>5.1996000000000002</v>
      </c>
      <c r="L205">
        <v>0</v>
      </c>
      <c r="M205">
        <v>31.685448200694541</v>
      </c>
      <c r="N205">
        <v>0</v>
      </c>
      <c r="O205">
        <v>0.52809080334490899</v>
      </c>
      <c r="P205">
        <v>0.068858000000000003</v>
      </c>
      <c r="Q205">
        <v>0.00066368532301041812</v>
      </c>
      <c r="R205">
        <v>713035.47418999998</v>
      </c>
      <c r="S205">
        <v>0</v>
      </c>
      <c r="T205">
        <v>0</v>
      </c>
      <c r="V205">
        <v>1800</v>
      </c>
      <c r="W205">
        <v>7</v>
      </c>
      <c r="X205">
        <v>85</v>
      </c>
      <c r="Y205">
        <v>3</v>
      </c>
      <c r="Z205">
        <v>4</v>
      </c>
      <c r="AA205">
        <v>5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86.66</v>
      </c>
      <c r="AM205">
        <v>75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60</v>
      </c>
      <c r="AU205">
        <v>0</v>
      </c>
      <c r="AV205">
        <v>0</v>
      </c>
    </row>
    <row r="206" spans="1:48" ht="12.75">
      <c r="A206" s="2" t="str">
        <f>HYPERLINK("https://ibp.a2mac1.com/costing(costing:projects/details/8191/equipment/6944231)","Machine 1")</f>
        <v>Machine 1</v>
      </c>
      <c r="B206">
        <v>6944231</v>
      </c>
      <c r="C206">
        <v>6971717</v>
      </c>
      <c r="H206" t="s">
        <v>136</v>
      </c>
      <c r="I206">
        <v>8316528.783836443</v>
      </c>
      <c r="J206">
        <v>0</v>
      </c>
      <c r="K206">
        <v>6</v>
      </c>
      <c r="L206">
        <v>0</v>
      </c>
      <c r="M206">
        <v>1718.2878860551982</v>
      </c>
      <c r="N206">
        <v>0</v>
      </c>
      <c r="O206">
        <v>45.343708104234395</v>
      </c>
      <c r="P206">
        <v>0.10902516666666667</v>
      </c>
      <c r="Q206">
        <v>0.086542406302759903</v>
      </c>
      <c r="R206">
        <v>46746528.863980003</v>
      </c>
      <c r="S206">
        <v>0</v>
      </c>
      <c r="T206">
        <v>0</v>
      </c>
      <c r="V206">
        <v>1800</v>
      </c>
      <c r="W206">
        <v>7</v>
      </c>
      <c r="X206">
        <v>85</v>
      </c>
      <c r="Y206">
        <v>3</v>
      </c>
      <c r="Z206">
        <v>4</v>
      </c>
      <c r="AA206">
        <v>5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100</v>
      </c>
      <c r="AM206">
        <v>75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60</v>
      </c>
      <c r="AU206">
        <v>0</v>
      </c>
      <c r="AV206">
        <v>0</v>
      </c>
    </row>
    <row r="207" spans="1:48" ht="12.75">
      <c r="A207" s="2" t="str">
        <f>HYPERLINK("https://ibp.a2mac1.com/costing(costing:projects/details/8191/equipment/6944312)","Machine")</f>
        <v>Machine</v>
      </c>
      <c r="B207">
        <v>6944312</v>
      </c>
      <c r="C207">
        <v>6971888</v>
      </c>
      <c r="H207" t="s">
        <v>136</v>
      </c>
      <c r="I207">
        <v>716409.23036535003</v>
      </c>
      <c r="J207">
        <v>0</v>
      </c>
      <c r="K207">
        <v>5.1996000000000002</v>
      </c>
      <c r="L207">
        <v>0</v>
      </c>
      <c r="M207">
        <v>152.60491652456605</v>
      </c>
      <c r="N207">
        <v>0</v>
      </c>
      <c r="O207">
        <v>2.5434152754094344</v>
      </c>
      <c r="P207">
        <v>0.068858000000000003</v>
      </c>
      <c r="Q207">
        <v>0.004954954695736982</v>
      </c>
      <c r="R207">
        <v>4014932.9810100002</v>
      </c>
      <c r="S207">
        <v>0</v>
      </c>
      <c r="T207">
        <v>0</v>
      </c>
      <c r="V207">
        <v>1800</v>
      </c>
      <c r="W207">
        <v>7</v>
      </c>
      <c r="X207">
        <v>85</v>
      </c>
      <c r="Y207">
        <v>3</v>
      </c>
      <c r="Z207">
        <v>4</v>
      </c>
      <c r="AA207">
        <v>5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86.66</v>
      </c>
      <c r="AM207">
        <v>75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60</v>
      </c>
      <c r="AU207">
        <v>0</v>
      </c>
      <c r="AV207">
        <v>0</v>
      </c>
    </row>
    <row r="208" spans="1:48" ht="12.75">
      <c r="A208" s="2" t="str">
        <f>HYPERLINK("https://ibp.a2mac1.com/costing(costing:projects/details/8191/equipment/6944478)","Machine")</f>
        <v>Machine</v>
      </c>
      <c r="B208">
        <v>6944478</v>
      </c>
      <c r="C208">
        <v>6971976</v>
      </c>
      <c r="H208" t="s">
        <v>136</v>
      </c>
      <c r="I208">
        <v>6117.6833131071426</v>
      </c>
      <c r="J208">
        <v>0</v>
      </c>
      <c r="K208">
        <v>6</v>
      </c>
      <c r="L208">
        <v>0</v>
      </c>
      <c r="M208">
        <v>7.1546090920294345</v>
      </c>
      <c r="N208">
        <v>0</v>
      </c>
      <c r="O208">
        <v>0.11924348486715725</v>
      </c>
      <c r="P208">
        <v>0.068858000000000003</v>
      </c>
      <c r="Q208">
        <v>0.00059144547276088308</v>
      </c>
      <c r="R208">
        <v>21325.889149999999</v>
      </c>
      <c r="S208">
        <v>0</v>
      </c>
      <c r="T208">
        <v>0</v>
      </c>
      <c r="V208">
        <v>1800</v>
      </c>
      <c r="W208">
        <v>7</v>
      </c>
      <c r="X208">
        <v>85</v>
      </c>
      <c r="Y208">
        <v>3</v>
      </c>
      <c r="Z208">
        <v>4</v>
      </c>
      <c r="AA208">
        <v>5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100</v>
      </c>
      <c r="AM208">
        <v>75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60</v>
      </c>
      <c r="AU208">
        <v>0</v>
      </c>
      <c r="AV208">
        <v>0</v>
      </c>
    </row>
    <row r="209" spans="1:48" ht="12.75">
      <c r="A209" s="2" t="str">
        <f>HYPERLINK("https://ibp.a2mac1.com/costing(costing:projects/details/8191/equipment/6944479)","Machine")</f>
        <v>Machine</v>
      </c>
      <c r="B209">
        <v>6944479</v>
      </c>
      <c r="C209">
        <v>6971977</v>
      </c>
      <c r="H209" t="s">
        <v>136</v>
      </c>
      <c r="I209">
        <v>6117.6833131071426</v>
      </c>
      <c r="J209">
        <v>0</v>
      </c>
      <c r="K209">
        <v>5.1996000000000002</v>
      </c>
      <c r="L209">
        <v>0</v>
      </c>
      <c r="M209">
        <v>6.3542090920294347</v>
      </c>
      <c r="N209">
        <v>0</v>
      </c>
      <c r="O209">
        <v>0.10590348486715724</v>
      </c>
      <c r="P209">
        <v>0.068858000000000003</v>
      </c>
      <c r="Q209">
        <v>0.00056743347276088307</v>
      </c>
      <c r="R209">
        <v>21325.889149999999</v>
      </c>
      <c r="S209">
        <v>0</v>
      </c>
      <c r="T209">
        <v>0</v>
      </c>
      <c r="V209">
        <v>1800</v>
      </c>
      <c r="W209">
        <v>7</v>
      </c>
      <c r="X209">
        <v>85</v>
      </c>
      <c r="Y209">
        <v>3</v>
      </c>
      <c r="Z209">
        <v>4</v>
      </c>
      <c r="AA209">
        <v>5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86.66</v>
      </c>
      <c r="AM209">
        <v>75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60</v>
      </c>
      <c r="AU209">
        <v>0</v>
      </c>
      <c r="AV209">
        <v>0</v>
      </c>
    </row>
    <row r="210" spans="1:48" ht="12.75">
      <c r="A210" s="2" t="str">
        <f>HYPERLINK("https://ibp.a2mac1.com/costing(costing:projects/details/8191/equipment/6944313)","Machine")</f>
        <v>Machine</v>
      </c>
      <c r="B210">
        <v>6944313</v>
      </c>
      <c r="C210">
        <v>6971889</v>
      </c>
      <c r="H210" t="s">
        <v>136</v>
      </c>
      <c r="I210">
        <v>6117.6833131071426</v>
      </c>
      <c r="J210">
        <v>0</v>
      </c>
      <c r="K210">
        <v>5.1996000000000002</v>
      </c>
      <c r="L210">
        <v>0</v>
      </c>
      <c r="M210">
        <v>6.3542090920294347</v>
      </c>
      <c r="N210">
        <v>0</v>
      </c>
      <c r="O210">
        <v>0.10590348486715724</v>
      </c>
      <c r="P210">
        <v>0.068858000000000003</v>
      </c>
      <c r="Q210">
        <v>0.00056743347276088307</v>
      </c>
      <c r="R210">
        <v>21325.889149999999</v>
      </c>
      <c r="S210">
        <v>0</v>
      </c>
      <c r="T210">
        <v>0</v>
      </c>
      <c r="V210">
        <v>1800</v>
      </c>
      <c r="W210">
        <v>7</v>
      </c>
      <c r="X210">
        <v>85</v>
      </c>
      <c r="Y210">
        <v>3</v>
      </c>
      <c r="Z210">
        <v>4</v>
      </c>
      <c r="AA210">
        <v>5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86.66</v>
      </c>
      <c r="AM210">
        <v>75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60</v>
      </c>
      <c r="AU210">
        <v>0</v>
      </c>
      <c r="AV210">
        <v>0</v>
      </c>
    </row>
    <row r="211" spans="1:48" ht="12.75">
      <c r="A211" s="2" t="str">
        <f>HYPERLINK("https://ibp.a2mac1.com/costing(costing:projects/details/8191/equipment/6944249)","Machine")</f>
        <v>Machine</v>
      </c>
      <c r="B211">
        <v>6944249</v>
      </c>
      <c r="C211">
        <v>6971741</v>
      </c>
      <c r="H211" t="s">
        <v>136</v>
      </c>
      <c r="I211">
        <v>1759510.3387749</v>
      </c>
      <c r="J211">
        <v>0</v>
      </c>
      <c r="K211">
        <v>5.1996000000000002</v>
      </c>
      <c r="L211">
        <v>0</v>
      </c>
      <c r="M211">
        <v>367.38189882383477</v>
      </c>
      <c r="N211">
        <v>0</v>
      </c>
      <c r="O211">
        <v>6.1230316470639128</v>
      </c>
      <c r="P211">
        <v>0.068858000000000003</v>
      </c>
      <c r="Q211">
        <v>0.011398264164715044</v>
      </c>
      <c r="R211">
        <v>9879758.4901400004</v>
      </c>
      <c r="S211">
        <v>0</v>
      </c>
      <c r="T211">
        <v>0</v>
      </c>
      <c r="V211">
        <v>1800</v>
      </c>
      <c r="W211">
        <v>7</v>
      </c>
      <c r="X211">
        <v>85</v>
      </c>
      <c r="Y211">
        <v>3</v>
      </c>
      <c r="Z211">
        <v>4</v>
      </c>
      <c r="AA211">
        <v>5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86.66</v>
      </c>
      <c r="AM211">
        <v>75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60</v>
      </c>
      <c r="AU211">
        <v>0</v>
      </c>
      <c r="AV211">
        <v>0</v>
      </c>
    </row>
    <row r="212" spans="1:48" ht="12.75">
      <c r="A212" s="2" t="str">
        <f>HYPERLINK("https://ibp.a2mac1.com/costing(costing:projects/details/8191/equipment/6944250)","Machine")</f>
        <v>Machine</v>
      </c>
      <c r="B212">
        <v>6944250</v>
      </c>
      <c r="C212">
        <v>6971742</v>
      </c>
      <c r="H212" t="s">
        <v>136</v>
      </c>
      <c r="I212">
        <v>6117.6833131071426</v>
      </c>
      <c r="J212">
        <v>0</v>
      </c>
      <c r="K212">
        <v>5.1996000000000002</v>
      </c>
      <c r="L212">
        <v>0</v>
      </c>
      <c r="M212">
        <v>6.3542090920294347</v>
      </c>
      <c r="N212">
        <v>0</v>
      </c>
      <c r="O212">
        <v>0.10590348486715724</v>
      </c>
      <c r="P212">
        <v>0.068858000000000003</v>
      </c>
      <c r="Q212">
        <v>0.00056743347276088307</v>
      </c>
      <c r="R212">
        <v>21325.889149999999</v>
      </c>
      <c r="S212">
        <v>0</v>
      </c>
      <c r="T212">
        <v>0</v>
      </c>
      <c r="V212">
        <v>1800</v>
      </c>
      <c r="W212">
        <v>7</v>
      </c>
      <c r="X212">
        <v>85</v>
      </c>
      <c r="Y212">
        <v>3</v>
      </c>
      <c r="Z212">
        <v>4</v>
      </c>
      <c r="AA212">
        <v>5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86.66</v>
      </c>
      <c r="AM212">
        <v>75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60</v>
      </c>
      <c r="AU212">
        <v>0</v>
      </c>
      <c r="AV212">
        <v>0</v>
      </c>
    </row>
    <row r="213" spans="1:48" ht="12.75">
      <c r="A213" s="2" t="str">
        <f>HYPERLINK("https://ibp.a2mac1.com/costing(costing:projects/details/8191/equipment/6944232)","Dummy Machine (PCBA+Final Assembly Line)")</f>
        <v>Dummy Machine (PCBA+Final Assembly Line)</v>
      </c>
      <c r="B213">
        <v>6944232</v>
      </c>
      <c r="C213">
        <v>6971718</v>
      </c>
      <c r="F213" t="s">
        <v>559</v>
      </c>
      <c r="H213" t="s">
        <v>136</v>
      </c>
      <c r="I213">
        <v>79501.662769714283</v>
      </c>
      <c r="J213">
        <v>0</v>
      </c>
      <c r="K213">
        <v>0.28895999999999999</v>
      </c>
      <c r="L213">
        <v>0</v>
      </c>
      <c r="M213">
        <v>16.624578413647427</v>
      </c>
      <c r="N213">
        <v>0</v>
      </c>
      <c r="O213">
        <v>1.1914281196447323</v>
      </c>
      <c r="P213">
        <v>0.20726258</v>
      </c>
      <c r="Q213">
        <v>6.889185508913073E-05</v>
      </c>
      <c r="R213">
        <v>442771.10</v>
      </c>
      <c r="S213">
        <v>0</v>
      </c>
      <c r="T213">
        <v>0</v>
      </c>
      <c r="V213">
        <v>216</v>
      </c>
      <c r="W213">
        <v>7</v>
      </c>
      <c r="X213">
        <v>85</v>
      </c>
      <c r="Y213">
        <v>3</v>
      </c>
      <c r="Z213">
        <v>4</v>
      </c>
      <c r="AA213">
        <v>5</v>
      </c>
      <c r="AB213">
        <v>0</v>
      </c>
      <c r="AC213">
        <v>0</v>
      </c>
      <c r="AD213">
        <v>0</v>
      </c>
      <c r="AE213">
        <v>0</v>
      </c>
      <c r="AF213">
        <v>0.70</v>
      </c>
      <c r="AG213">
        <v>0</v>
      </c>
      <c r="AH213">
        <v>0</v>
      </c>
      <c r="AI213">
        <v>0.20</v>
      </c>
      <c r="AJ213">
        <v>0</v>
      </c>
      <c r="AK213">
        <v>0</v>
      </c>
      <c r="AL213">
        <v>86</v>
      </c>
      <c r="AM213">
        <v>4.20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19.40</v>
      </c>
      <c r="AU213">
        <v>0</v>
      </c>
      <c r="AV213">
        <v>0</v>
      </c>
    </row>
    <row r="214" spans="1:48" ht="12.75">
      <c r="A214" s="2" t="str">
        <f>HYPERLINK("https://ibp.a2mac1.com/costing(costing:projects/details/8191/equipment/6944233)","Machine")</f>
        <v>Machine</v>
      </c>
      <c r="B214">
        <v>6944233</v>
      </c>
      <c r="C214">
        <v>6971719</v>
      </c>
      <c r="H214" t="s">
        <v>136</v>
      </c>
      <c r="I214">
        <v>276385.85058670712</v>
      </c>
      <c r="J214">
        <v>0</v>
      </c>
      <c r="K214">
        <v>5.1996000000000002</v>
      </c>
      <c r="L214">
        <v>0</v>
      </c>
      <c r="M214">
        <v>62.003063177789642</v>
      </c>
      <c r="N214">
        <v>0</v>
      </c>
      <c r="O214">
        <v>1.033384386296494</v>
      </c>
      <c r="P214">
        <v>0.068858000000000003</v>
      </c>
      <c r="Q214">
        <v>0.0022368990953336894</v>
      </c>
      <c r="R214">
        <v>1540905.9461099999</v>
      </c>
      <c r="S214">
        <v>0</v>
      </c>
      <c r="T214">
        <v>0</v>
      </c>
      <c r="V214">
        <v>1800</v>
      </c>
      <c r="W214">
        <v>7</v>
      </c>
      <c r="X214">
        <v>85</v>
      </c>
      <c r="Y214">
        <v>3</v>
      </c>
      <c r="Z214">
        <v>4</v>
      </c>
      <c r="AA214">
        <v>5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86.66</v>
      </c>
      <c r="AM214">
        <v>75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60</v>
      </c>
      <c r="AU214">
        <v>0</v>
      </c>
      <c r="AV214">
        <v>0</v>
      </c>
    </row>
    <row r="215" spans="1:48" ht="12.75">
      <c r="A215" s="2" t="str">
        <f>HYPERLINK("https://ibp.a2mac1.com/costing(costing:projects/details/8191/equipment/6944234)","Machine")</f>
        <v>Machine</v>
      </c>
      <c r="B215">
        <v>6944234</v>
      </c>
      <c r="C215">
        <v>6971720</v>
      </c>
      <c r="H215" t="s">
        <v>136</v>
      </c>
      <c r="I215">
        <v>318824.65371385711</v>
      </c>
      <c r="J215">
        <v>0</v>
      </c>
      <c r="K215">
        <v>5.1996000000000002</v>
      </c>
      <c r="L215">
        <v>0</v>
      </c>
      <c r="M215">
        <v>70.741312993226799</v>
      </c>
      <c r="N215">
        <v>0</v>
      </c>
      <c r="O215">
        <v>1.1790218832204467</v>
      </c>
      <c r="P215">
        <v>0.068858000000000003</v>
      </c>
      <c r="Q215">
        <v>0.0024990465897968038</v>
      </c>
      <c r="R215">
        <v>1779517.6906000001</v>
      </c>
      <c r="S215">
        <v>0</v>
      </c>
      <c r="T215">
        <v>0</v>
      </c>
      <c r="V215">
        <v>1800</v>
      </c>
      <c r="W215">
        <v>7</v>
      </c>
      <c r="X215">
        <v>85</v>
      </c>
      <c r="Y215">
        <v>3</v>
      </c>
      <c r="Z215">
        <v>4</v>
      </c>
      <c r="AA215">
        <v>5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86.66</v>
      </c>
      <c r="AM215">
        <v>75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60</v>
      </c>
      <c r="AU215">
        <v>0</v>
      </c>
      <c r="AV215">
        <v>0</v>
      </c>
    </row>
    <row r="216" spans="1:48" ht="12.75">
      <c r="A216" s="2" t="str">
        <f>HYPERLINK("https://ibp.a2mac1.com/costing(costing:projects/details/8191/equipment/6944235)","Machine")</f>
        <v>Machine</v>
      </c>
      <c r="B216">
        <v>6944235</v>
      </c>
      <c r="C216">
        <v>6971721</v>
      </c>
      <c r="H216" t="s">
        <v>136</v>
      </c>
      <c r="I216">
        <v>305422.92641007859</v>
      </c>
      <c r="J216">
        <v>0</v>
      </c>
      <c r="K216">
        <v>5.1996000000000002</v>
      </c>
      <c r="L216">
        <v>0</v>
      </c>
      <c r="M216">
        <v>67.981865682992378</v>
      </c>
      <c r="N216">
        <v>0</v>
      </c>
      <c r="O216">
        <v>1.1330310947165396</v>
      </c>
      <c r="P216">
        <v>0.068858000000000003</v>
      </c>
      <c r="Q216">
        <v>0.0024162631704897713</v>
      </c>
      <c r="R216">
        <v>1704166.6133900001</v>
      </c>
      <c r="S216">
        <v>0</v>
      </c>
      <c r="T216">
        <v>0</v>
      </c>
      <c r="V216">
        <v>1800</v>
      </c>
      <c r="W216">
        <v>7</v>
      </c>
      <c r="X216">
        <v>85</v>
      </c>
      <c r="Y216">
        <v>3</v>
      </c>
      <c r="Z216">
        <v>4</v>
      </c>
      <c r="AA216">
        <v>5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86.66</v>
      </c>
      <c r="AM216">
        <v>75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60</v>
      </c>
      <c r="AU216">
        <v>0</v>
      </c>
      <c r="AV216">
        <v>0</v>
      </c>
    </row>
    <row r="217" spans="1:48" ht="12.75">
      <c r="A217" s="2" t="str">
        <f>HYPERLINK("https://ibp.a2mac1.com/costing(costing:projects/details/8191/equipment/6944236)","Machine")</f>
        <v>Machine</v>
      </c>
      <c r="B217">
        <v>6944236</v>
      </c>
      <c r="C217">
        <v>6971722</v>
      </c>
      <c r="H217" t="s">
        <v>136</v>
      </c>
      <c r="I217">
        <v>265217.74450229999</v>
      </c>
      <c r="J217">
        <v>0</v>
      </c>
      <c r="K217">
        <v>5.1996000000000002</v>
      </c>
      <c r="L217">
        <v>0</v>
      </c>
      <c r="M217">
        <v>59.703523753021535</v>
      </c>
      <c r="N217">
        <v>0</v>
      </c>
      <c r="O217">
        <v>0.99505872921702565</v>
      </c>
      <c r="P217">
        <v>0.068858000000000003</v>
      </c>
      <c r="Q217">
        <v>0.002167912912590646</v>
      </c>
      <c r="R217">
        <v>1478113.3817799999</v>
      </c>
      <c r="S217">
        <v>0</v>
      </c>
      <c r="T217">
        <v>0</v>
      </c>
      <c r="V217">
        <v>1800</v>
      </c>
      <c r="W217">
        <v>7</v>
      </c>
      <c r="X217">
        <v>85</v>
      </c>
      <c r="Y217">
        <v>3</v>
      </c>
      <c r="Z217">
        <v>4</v>
      </c>
      <c r="AA217">
        <v>5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86.66</v>
      </c>
      <c r="AM217">
        <v>75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60</v>
      </c>
      <c r="AU217">
        <v>0</v>
      </c>
      <c r="AV217">
        <v>0</v>
      </c>
    </row>
    <row r="218" spans="1:48" ht="12.75">
      <c r="A218" s="2" t="str">
        <f>HYPERLINK("https://ibp.a2mac1.com/costing(costing:projects/details/8191/equipment/6944237)","Machine")</f>
        <v>Machine</v>
      </c>
      <c r="B218">
        <v>6944237</v>
      </c>
      <c r="C218">
        <v>6971723</v>
      </c>
      <c r="H218" t="s">
        <v>136</v>
      </c>
      <c r="I218">
        <v>283086.71423948574</v>
      </c>
      <c r="J218">
        <v>0</v>
      </c>
      <c r="K218">
        <v>5.1996000000000002</v>
      </c>
      <c r="L218">
        <v>0</v>
      </c>
      <c r="M218">
        <v>63.382786833089959</v>
      </c>
      <c r="N218">
        <v>0</v>
      </c>
      <c r="O218">
        <v>1.0563797805514994</v>
      </c>
      <c r="P218">
        <v>0.068858000000000003</v>
      </c>
      <c r="Q218">
        <v>0.0022782908049926989</v>
      </c>
      <c r="R218">
        <v>1578581.4847200001</v>
      </c>
      <c r="S218">
        <v>0</v>
      </c>
      <c r="T218">
        <v>0</v>
      </c>
      <c r="V218">
        <v>1800</v>
      </c>
      <c r="W218">
        <v>7</v>
      </c>
      <c r="X218">
        <v>85</v>
      </c>
      <c r="Y218">
        <v>3</v>
      </c>
      <c r="Z218">
        <v>4</v>
      </c>
      <c r="AA218">
        <v>5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86.66</v>
      </c>
      <c r="AM218">
        <v>75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60</v>
      </c>
      <c r="AU218">
        <v>0</v>
      </c>
      <c r="AV218">
        <v>0</v>
      </c>
    </row>
    <row r="219" spans="1:48" ht="12.75">
      <c r="A219" s="2" t="str">
        <f>HYPERLINK("https://ibp.a2mac1.com/costing(costing:projects/details/8191/equipment/6944565)","No.01 - Fabric Cutting")</f>
        <v>No.01 - Fabric Cutting</v>
      </c>
      <c r="B219">
        <v>6944565</v>
      </c>
      <c r="C219">
        <v>6972073</v>
      </c>
      <c r="H219" t="s">
        <v>2693</v>
      </c>
      <c r="I219">
        <v>16787.268</v>
      </c>
      <c r="J219">
        <v>0</v>
      </c>
      <c r="K219">
        <v>0.80</v>
      </c>
      <c r="L219">
        <v>0</v>
      </c>
      <c r="M219">
        <v>4.3820102860816457</v>
      </c>
      <c r="N219">
        <v>0</v>
      </c>
      <c r="O219">
        <v>0.0080702022768670313</v>
      </c>
      <c r="P219">
        <v>0.015217618</v>
      </c>
      <c r="Q219">
        <v>0.00025413375429122467</v>
      </c>
      <c r="R219">
        <v>110000</v>
      </c>
      <c r="S219">
        <v>0</v>
      </c>
      <c r="T219">
        <v>800000</v>
      </c>
      <c r="V219">
        <v>900</v>
      </c>
      <c r="W219">
        <v>10</v>
      </c>
      <c r="X219">
        <v>85</v>
      </c>
      <c r="Y219">
        <v>3</v>
      </c>
      <c r="Z219">
        <v>4</v>
      </c>
      <c r="AA219">
        <v>5</v>
      </c>
      <c r="AB219">
        <v>0</v>
      </c>
      <c r="AC219">
        <v>0</v>
      </c>
      <c r="AD219">
        <v>0</v>
      </c>
      <c r="AE219">
        <v>0</v>
      </c>
      <c r="AF219">
        <v>2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100</v>
      </c>
      <c r="AM219">
        <v>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50</v>
      </c>
      <c r="AU219">
        <v>0</v>
      </c>
      <c r="AV219">
        <v>0</v>
      </c>
    </row>
    <row r="220" spans="1:48" ht="12.75">
      <c r="A220" s="2" t="str">
        <f>HYPERLINK("https://ibp.a2mac1.com/costing(costing:projects/details/8191/equipment/6944566)","No.02 - Fabric Sewing")</f>
        <v>No.02 - Fabric Sewing</v>
      </c>
      <c r="B220">
        <v>6944566</v>
      </c>
      <c r="C220">
        <v>6972074</v>
      </c>
      <c r="E220" t="s">
        <v>9</v>
      </c>
      <c r="F220" t="s">
        <v>9</v>
      </c>
      <c r="G220" t="s">
        <v>9</v>
      </c>
      <c r="H220" t="s">
        <v>79</v>
      </c>
      <c r="I220">
        <v>1969.9257600000001</v>
      </c>
      <c r="J220">
        <v>0</v>
      </c>
      <c r="K220">
        <v>0.16</v>
      </c>
      <c r="L220">
        <v>0</v>
      </c>
      <c r="M220">
        <v>0.55696653166184507</v>
      </c>
      <c r="N220">
        <v>0</v>
      </c>
      <c r="O220">
        <v>0.038436879201685772</v>
      </c>
      <c r="P220">
        <v>0.86679611822222224</v>
      </c>
      <c r="Q220">
        <v>0.00019675809797492768</v>
      </c>
      <c r="R220">
        <v>10000</v>
      </c>
      <c r="S220">
        <v>0</v>
      </c>
      <c r="T220">
        <v>800000</v>
      </c>
      <c r="U220" t="s">
        <v>9</v>
      </c>
      <c r="V220">
        <v>900</v>
      </c>
      <c r="W220">
        <v>10</v>
      </c>
      <c r="X220">
        <v>85</v>
      </c>
      <c r="Y220">
        <v>3</v>
      </c>
      <c r="Z220">
        <v>4</v>
      </c>
      <c r="AA220">
        <v>5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100</v>
      </c>
      <c r="AM220">
        <v>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16</v>
      </c>
      <c r="AU220">
        <v>0</v>
      </c>
      <c r="AV220">
        <v>0</v>
      </c>
    </row>
    <row r="221" spans="1:48" ht="12.75">
      <c r="A221" s="2" t="str">
        <f>HYPERLINK("https://ibp.a2mac1.com/costing(costing:projects/details/8191/equipment/6944567)","Equipment (Injection Molding)")</f>
        <v>Equipment (Injection Molding)</v>
      </c>
      <c r="B221">
        <v>6944567</v>
      </c>
      <c r="C221">
        <v>6972075</v>
      </c>
      <c r="H221" t="s">
        <v>136</v>
      </c>
      <c r="I221">
        <v>11437.180734</v>
      </c>
      <c r="J221">
        <v>0</v>
      </c>
      <c r="K221">
        <v>0.48608000000000001</v>
      </c>
      <c r="L221">
        <v>0</v>
      </c>
      <c r="M221">
        <v>2.812531419800707</v>
      </c>
      <c r="N221">
        <v>0</v>
      </c>
      <c r="O221">
        <v>0.125001396435587</v>
      </c>
      <c r="P221">
        <v>0.0079691658666666675</v>
      </c>
      <c r="Q221">
        <v>0.00027276585651435392</v>
      </c>
      <c r="R221">
        <v>60760</v>
      </c>
      <c r="S221">
        <v>0</v>
      </c>
      <c r="T221">
        <v>0</v>
      </c>
      <c r="V221">
        <v>585.90</v>
      </c>
      <c r="W221">
        <v>7</v>
      </c>
      <c r="X221">
        <v>85</v>
      </c>
      <c r="Y221">
        <v>3</v>
      </c>
      <c r="Z221">
        <v>4</v>
      </c>
      <c r="AA221">
        <v>5</v>
      </c>
      <c r="AB221">
        <v>0</v>
      </c>
      <c r="AC221">
        <v>0</v>
      </c>
      <c r="AD221">
        <v>0</v>
      </c>
      <c r="AE221">
        <v>0</v>
      </c>
      <c r="AF221">
        <v>0.043400000000000001</v>
      </c>
      <c r="AG221">
        <v>0</v>
      </c>
      <c r="AH221">
        <v>0</v>
      </c>
      <c r="AI221">
        <v>2</v>
      </c>
      <c r="AJ221">
        <v>0</v>
      </c>
      <c r="AK221">
        <v>0</v>
      </c>
      <c r="AL221">
        <v>80</v>
      </c>
      <c r="AM221">
        <v>7.595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16.275</v>
      </c>
      <c r="AU221">
        <v>0</v>
      </c>
      <c r="AV221">
        <v>0</v>
      </c>
    </row>
    <row r="222" spans="1:48" ht="12.75">
      <c r="A222" s="2" t="str">
        <f>HYPERLINK("https://ibp.a2mac1.com/costing(costing:projects/details/8191/equipment/6944568)","Equipment")</f>
        <v>Equipment</v>
      </c>
      <c r="B222">
        <v>6944568</v>
      </c>
      <c r="C222">
        <v>6972076</v>
      </c>
      <c r="H222" t="s">
        <v>136</v>
      </c>
      <c r="I222">
        <v>16075.30011</v>
      </c>
      <c r="J222">
        <v>0</v>
      </c>
      <c r="K222">
        <v>0.68320000000000003</v>
      </c>
      <c r="L222">
        <v>0</v>
      </c>
      <c r="M222">
        <v>3.9530971568627451</v>
      </c>
      <c r="N222">
        <v>0</v>
      </c>
      <c r="O222">
        <v>0.32942476307189544</v>
      </c>
      <c r="P222">
        <v>0.02100169</v>
      </c>
      <c r="Q222">
        <v>0.00039903484647794117</v>
      </c>
      <c r="R222">
        <v>85400</v>
      </c>
      <c r="S222">
        <v>0</v>
      </c>
      <c r="T222">
        <v>0</v>
      </c>
      <c r="V222">
        <v>823.50</v>
      </c>
      <c r="W222">
        <v>7</v>
      </c>
      <c r="X222">
        <v>85</v>
      </c>
      <c r="Y222">
        <v>3</v>
      </c>
      <c r="Z222">
        <v>4</v>
      </c>
      <c r="AA222">
        <v>5</v>
      </c>
      <c r="AB222">
        <v>0</v>
      </c>
      <c r="AC222">
        <v>0</v>
      </c>
      <c r="AD222">
        <v>0</v>
      </c>
      <c r="AE222">
        <v>0</v>
      </c>
      <c r="AF222">
        <v>0.060999999999999999</v>
      </c>
      <c r="AG222">
        <v>0</v>
      </c>
      <c r="AH222">
        <v>0</v>
      </c>
      <c r="AI222">
        <v>2</v>
      </c>
      <c r="AJ222">
        <v>0</v>
      </c>
      <c r="AK222">
        <v>0</v>
      </c>
      <c r="AL222">
        <v>80</v>
      </c>
      <c r="AM222">
        <v>10.675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22.875</v>
      </c>
      <c r="AU222">
        <v>0</v>
      </c>
      <c r="AV222">
        <v>0</v>
      </c>
    </row>
    <row r="223" spans="1:48" ht="12.75">
      <c r="A223" s="2" t="str">
        <f>HYPERLINK("https://ibp.a2mac1.com/costing(costing:projects/details/8191/equipment/6944657)","No.01 - Fabric Cutting")</f>
        <v>No.01 - Fabric Cutting</v>
      </c>
      <c r="B223">
        <v>6944657</v>
      </c>
      <c r="C223">
        <v>6972162</v>
      </c>
      <c r="H223" t="s">
        <v>79</v>
      </c>
      <c r="I223">
        <v>16787.268</v>
      </c>
      <c r="J223">
        <v>0</v>
      </c>
      <c r="K223">
        <v>0.80</v>
      </c>
      <c r="L223">
        <v>0</v>
      </c>
      <c r="M223">
        <v>4.3820102860816457</v>
      </c>
      <c r="N223">
        <v>0</v>
      </c>
      <c r="O223">
        <v>0.0046741443051537554</v>
      </c>
      <c r="P223">
        <v>0.0088138239999999996</v>
      </c>
      <c r="Q223">
        <v>0.00025413375429122467</v>
      </c>
      <c r="R223">
        <v>110000</v>
      </c>
      <c r="S223">
        <v>0</v>
      </c>
      <c r="T223">
        <v>800000</v>
      </c>
      <c r="V223">
        <v>900</v>
      </c>
      <c r="W223">
        <v>10</v>
      </c>
      <c r="X223">
        <v>85</v>
      </c>
      <c r="Y223">
        <v>3</v>
      </c>
      <c r="Z223">
        <v>4</v>
      </c>
      <c r="AA223">
        <v>5</v>
      </c>
      <c r="AB223">
        <v>0</v>
      </c>
      <c r="AC223">
        <v>0</v>
      </c>
      <c r="AD223">
        <v>0</v>
      </c>
      <c r="AE223">
        <v>0</v>
      </c>
      <c r="AF223">
        <v>2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100</v>
      </c>
      <c r="AM223">
        <v>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50</v>
      </c>
      <c r="AU223">
        <v>0</v>
      </c>
      <c r="AV223">
        <v>0</v>
      </c>
    </row>
    <row r="224" spans="1:48" ht="12.75">
      <c r="A224" s="2" t="str">
        <f>HYPERLINK("https://ibp.a2mac1.com/costing(costing:projects/details/8191/equipment/6944658)","No.02 - Fabric Sewing")</f>
        <v>No.02 - Fabric Sewing</v>
      </c>
      <c r="B224">
        <v>6944658</v>
      </c>
      <c r="C224">
        <v>6972163</v>
      </c>
      <c r="E224" t="s">
        <v>9</v>
      </c>
      <c r="F224" t="s">
        <v>9</v>
      </c>
      <c r="G224" t="s">
        <v>9</v>
      </c>
      <c r="H224" t="s">
        <v>79</v>
      </c>
      <c r="I224">
        <v>1969.9257600000001</v>
      </c>
      <c r="J224">
        <v>0</v>
      </c>
      <c r="K224">
        <v>0.16</v>
      </c>
      <c r="L224">
        <v>0</v>
      </c>
      <c r="M224">
        <v>0.55696653166184507</v>
      </c>
      <c r="N224">
        <v>0</v>
      </c>
      <c r="O224">
        <v>0.024390492699024966</v>
      </c>
      <c r="P224">
        <v>0.55003384333333338</v>
      </c>
      <c r="Q224">
        <v>0.00019675809797492768</v>
      </c>
      <c r="R224">
        <v>10000</v>
      </c>
      <c r="S224">
        <v>0</v>
      </c>
      <c r="T224">
        <v>800000</v>
      </c>
      <c r="U224" t="s">
        <v>9</v>
      </c>
      <c r="V224">
        <v>900</v>
      </c>
      <c r="W224">
        <v>10</v>
      </c>
      <c r="X224">
        <v>85</v>
      </c>
      <c r="Y224">
        <v>3</v>
      </c>
      <c r="Z224">
        <v>4</v>
      </c>
      <c r="AA224">
        <v>5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100</v>
      </c>
      <c r="AM224">
        <v>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16</v>
      </c>
      <c r="AU224">
        <v>0</v>
      </c>
      <c r="AV224">
        <v>0</v>
      </c>
    </row>
    <row r="225" spans="1:48" ht="12.75">
      <c r="A225" s="2" t="str">
        <f>HYPERLINK("https://ibp.a2mac1.com/costing(costing:projects/details/8191/equipment/6944659)","Equipment (Injection Molding)")</f>
        <v>Equipment (Injection Molding)</v>
      </c>
      <c r="B225">
        <v>6944659</v>
      </c>
      <c r="C225">
        <v>6972164</v>
      </c>
      <c r="H225" t="s">
        <v>136</v>
      </c>
      <c r="I225">
        <v>3215.0600220000001</v>
      </c>
      <c r="J225">
        <v>0</v>
      </c>
      <c r="K225">
        <v>0.13664000000000001</v>
      </c>
      <c r="L225">
        <v>0</v>
      </c>
      <c r="M225">
        <v>0.79061943137254898</v>
      </c>
      <c r="N225">
        <v>0</v>
      </c>
      <c r="O225">
        <v>0.013176990522875817</v>
      </c>
      <c r="P225">
        <v>0.00084006759999999999</v>
      </c>
      <c r="Q225">
        <v>7.1125967939117646E-05</v>
      </c>
      <c r="R225">
        <v>17080</v>
      </c>
      <c r="S225">
        <v>0</v>
      </c>
      <c r="T225">
        <v>0</v>
      </c>
      <c r="V225">
        <v>164.70</v>
      </c>
      <c r="W225">
        <v>7</v>
      </c>
      <c r="X225">
        <v>85</v>
      </c>
      <c r="Y225">
        <v>3</v>
      </c>
      <c r="Z225">
        <v>4</v>
      </c>
      <c r="AA225">
        <v>5</v>
      </c>
      <c r="AB225">
        <v>0</v>
      </c>
      <c r="AC225">
        <v>0</v>
      </c>
      <c r="AD225">
        <v>0</v>
      </c>
      <c r="AE225">
        <v>0</v>
      </c>
      <c r="AF225">
        <v>0.012200000000000001</v>
      </c>
      <c r="AG225">
        <v>0</v>
      </c>
      <c r="AH225">
        <v>0</v>
      </c>
      <c r="AI225">
        <v>2</v>
      </c>
      <c r="AJ225">
        <v>0</v>
      </c>
      <c r="AK225">
        <v>0</v>
      </c>
      <c r="AL225">
        <v>80</v>
      </c>
      <c r="AM225">
        <v>2.135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4.575</v>
      </c>
      <c r="AU225">
        <v>0</v>
      </c>
      <c r="AV225">
        <v>0</v>
      </c>
    </row>
    <row r="226" spans="1:48" ht="12.75">
      <c r="A226" s="2" t="str">
        <f>HYPERLINK("https://ibp.a2mac1.com/costing(costing:projects/details/8191/equipment/6944660)","Equipment (Injection Molding)")</f>
        <v>Equipment (Injection Molding)</v>
      </c>
      <c r="B226">
        <v>6944660</v>
      </c>
      <c r="C226">
        <v>6972165</v>
      </c>
      <c r="H226" t="s">
        <v>136</v>
      </c>
      <c r="I226">
        <v>11648.004342</v>
      </c>
      <c r="J226">
        <v>0</v>
      </c>
      <c r="K226">
        <v>0.49503999999999998</v>
      </c>
      <c r="L226">
        <v>0</v>
      </c>
      <c r="M226">
        <v>2.8643753169398907</v>
      </c>
      <c r="N226">
        <v>0</v>
      </c>
      <c r="O226">
        <v>0.047739588615664845</v>
      </c>
      <c r="P226">
        <v>0.0030435236</v>
      </c>
      <c r="Q226">
        <v>0.00027830938612696723</v>
      </c>
      <c r="R226">
        <v>61880</v>
      </c>
      <c r="S226">
        <v>0</v>
      </c>
      <c r="T226">
        <v>0</v>
      </c>
      <c r="V226">
        <v>596.70</v>
      </c>
      <c r="W226">
        <v>7</v>
      </c>
      <c r="X226">
        <v>85</v>
      </c>
      <c r="Y226">
        <v>3</v>
      </c>
      <c r="Z226">
        <v>4</v>
      </c>
      <c r="AA226">
        <v>5</v>
      </c>
      <c r="AB226">
        <v>0</v>
      </c>
      <c r="AC226">
        <v>0</v>
      </c>
      <c r="AD226">
        <v>0</v>
      </c>
      <c r="AE226">
        <v>0</v>
      </c>
      <c r="AF226">
        <v>0.044200000000000003</v>
      </c>
      <c r="AG226">
        <v>0</v>
      </c>
      <c r="AH226">
        <v>0</v>
      </c>
      <c r="AI226">
        <v>2</v>
      </c>
      <c r="AJ226">
        <v>0</v>
      </c>
      <c r="AK226">
        <v>0</v>
      </c>
      <c r="AL226">
        <v>80</v>
      </c>
      <c r="AM226">
        <v>7.735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16.575</v>
      </c>
      <c r="AU226">
        <v>0</v>
      </c>
      <c r="AV226">
        <v>0</v>
      </c>
    </row>
    <row r="227" spans="1:48" ht="12.75">
      <c r="A227" s="2" t="str">
        <f>HYPERLINK("https://ibp.a2mac1.com/costing(costing:projects/details/8191/equipment/6944661)","Equipment (Injection Molding)")</f>
        <v>Equipment (Injection Molding)</v>
      </c>
      <c r="B227">
        <v>6944661</v>
      </c>
      <c r="C227">
        <v>6972166</v>
      </c>
      <c r="H227" t="s">
        <v>136</v>
      </c>
      <c r="I227">
        <v>5007.0606900000002</v>
      </c>
      <c r="J227">
        <v>0</v>
      </c>
      <c r="K227">
        <v>0.21279999999999999</v>
      </c>
      <c r="L227">
        <v>0</v>
      </c>
      <c r="M227">
        <v>1.231292557055609</v>
      </c>
      <c r="N227">
        <v>0</v>
      </c>
      <c r="O227">
        <v>0.020521542617593487</v>
      </c>
      <c r="P227">
        <v>0.0013083019999999999</v>
      </c>
      <c r="Q227">
        <v>0.00011265382768141273</v>
      </c>
      <c r="R227">
        <v>26600</v>
      </c>
      <c r="S227">
        <v>0</v>
      </c>
      <c r="T227">
        <v>0</v>
      </c>
      <c r="V227">
        <v>256.50</v>
      </c>
      <c r="W227">
        <v>7</v>
      </c>
      <c r="X227">
        <v>85</v>
      </c>
      <c r="Y227">
        <v>3</v>
      </c>
      <c r="Z227">
        <v>4</v>
      </c>
      <c r="AA227">
        <v>5</v>
      </c>
      <c r="AB227">
        <v>0</v>
      </c>
      <c r="AC227">
        <v>0</v>
      </c>
      <c r="AD227">
        <v>0</v>
      </c>
      <c r="AE227">
        <v>0</v>
      </c>
      <c r="AF227">
        <v>0.019</v>
      </c>
      <c r="AG227">
        <v>0</v>
      </c>
      <c r="AH227">
        <v>0</v>
      </c>
      <c r="AI227">
        <v>2</v>
      </c>
      <c r="AJ227">
        <v>0</v>
      </c>
      <c r="AK227">
        <v>0</v>
      </c>
      <c r="AL227">
        <v>80</v>
      </c>
      <c r="AM227">
        <v>3.325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7.125</v>
      </c>
      <c r="AU227">
        <v>0</v>
      </c>
      <c r="AV227">
        <v>0</v>
      </c>
    </row>
    <row r="228" spans="1:48" ht="12.75">
      <c r="A228" s="2" t="str">
        <f>HYPERLINK("https://ibp.a2mac1.com/costing(costing:projects/details/8191/equipment/6944662)","Equipment (Injection Molding)")</f>
        <v>Equipment (Injection Molding)</v>
      </c>
      <c r="B228">
        <v>6944662</v>
      </c>
      <c r="C228">
        <v>6972167</v>
      </c>
      <c r="H228" t="s">
        <v>136</v>
      </c>
      <c r="I228">
        <v>4005.6485520000001</v>
      </c>
      <c r="J228">
        <v>0</v>
      </c>
      <c r="K228">
        <v>0.17024</v>
      </c>
      <c r="L228">
        <v>0</v>
      </c>
      <c r="M228">
        <v>0.98503404564448727</v>
      </c>
      <c r="N228">
        <v>0</v>
      </c>
      <c r="O228">
        <v>0.016417234094074789</v>
      </c>
      <c r="P228">
        <v>0.0010466416000000001</v>
      </c>
      <c r="Q228">
        <v>8.9280858036104149E-05</v>
      </c>
      <c r="R228">
        <v>21280</v>
      </c>
      <c r="S228">
        <v>0</v>
      </c>
      <c r="T228">
        <v>0</v>
      </c>
      <c r="V228">
        <v>205.20</v>
      </c>
      <c r="W228">
        <v>7</v>
      </c>
      <c r="X228">
        <v>85</v>
      </c>
      <c r="Y228">
        <v>3</v>
      </c>
      <c r="Z228">
        <v>4</v>
      </c>
      <c r="AA228">
        <v>5</v>
      </c>
      <c r="AB228">
        <v>0</v>
      </c>
      <c r="AC228">
        <v>0</v>
      </c>
      <c r="AD228">
        <v>0</v>
      </c>
      <c r="AE228">
        <v>0</v>
      </c>
      <c r="AF228">
        <v>0.0152</v>
      </c>
      <c r="AG228">
        <v>0</v>
      </c>
      <c r="AH228">
        <v>0</v>
      </c>
      <c r="AI228">
        <v>2</v>
      </c>
      <c r="AJ228">
        <v>0</v>
      </c>
      <c r="AK228">
        <v>0</v>
      </c>
      <c r="AL228">
        <v>80</v>
      </c>
      <c r="AM228">
        <v>2.66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5.70</v>
      </c>
      <c r="AU228">
        <v>0</v>
      </c>
      <c r="AV228">
        <v>0</v>
      </c>
    </row>
    <row r="229" spans="1:48" ht="12.75">
      <c r="A229" s="2" t="str">
        <f>HYPERLINK("https://ibp.a2mac1.com/costing(costing:projects/details/8191/equipment/6944663)","Equipment (Injection Molding)")</f>
        <v>Equipment (Injection Molding)</v>
      </c>
      <c r="B229">
        <v>6944663</v>
      </c>
      <c r="C229">
        <v>6972168</v>
      </c>
      <c r="H229" t="s">
        <v>136</v>
      </c>
      <c r="I229">
        <v>2688.001002</v>
      </c>
      <c r="J229">
        <v>0</v>
      </c>
      <c r="K229">
        <v>0.11423999999999999</v>
      </c>
      <c r="L229">
        <v>0</v>
      </c>
      <c r="M229">
        <v>0.66100968852459019</v>
      </c>
      <c r="N229">
        <v>0</v>
      </c>
      <c r="O229">
        <v>0.011016828142076503</v>
      </c>
      <c r="P229">
        <v>0.00070235160000000003</v>
      </c>
      <c r="Q229">
        <v>5.9168518835163932E-05</v>
      </c>
      <c r="R229">
        <v>14280</v>
      </c>
      <c r="S229">
        <v>0</v>
      </c>
      <c r="T229">
        <v>0</v>
      </c>
      <c r="V229">
        <v>137.70</v>
      </c>
      <c r="W229">
        <v>7</v>
      </c>
      <c r="X229">
        <v>85</v>
      </c>
      <c r="Y229">
        <v>3</v>
      </c>
      <c r="Z229">
        <v>4</v>
      </c>
      <c r="AA229">
        <v>5</v>
      </c>
      <c r="AB229">
        <v>0</v>
      </c>
      <c r="AC229">
        <v>0</v>
      </c>
      <c r="AD229">
        <v>0</v>
      </c>
      <c r="AE229">
        <v>0</v>
      </c>
      <c r="AF229">
        <v>0.010200000000000001</v>
      </c>
      <c r="AG229">
        <v>0</v>
      </c>
      <c r="AH229">
        <v>0</v>
      </c>
      <c r="AI229">
        <v>2</v>
      </c>
      <c r="AJ229">
        <v>0</v>
      </c>
      <c r="AK229">
        <v>0</v>
      </c>
      <c r="AL229">
        <v>80</v>
      </c>
      <c r="AM229">
        <v>1.785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3.825</v>
      </c>
      <c r="AU229">
        <v>0</v>
      </c>
      <c r="AV229">
        <v>0</v>
      </c>
    </row>
    <row r="230" spans="1:48" ht="12.75">
      <c r="A230" s="2" t="str">
        <f>HYPERLINK("https://ibp.a2mac1.com/costing(costing:projects/details/8191/equipment/6944664)","Equipment (Injection Molding)")</f>
        <v>Equipment (Injection Molding)</v>
      </c>
      <c r="B230">
        <v>6944664</v>
      </c>
      <c r="C230">
        <v>6972169</v>
      </c>
      <c r="H230" t="s">
        <v>136</v>
      </c>
      <c r="I230">
        <v>1686.5888640000001</v>
      </c>
      <c r="J230">
        <v>0</v>
      </c>
      <c r="K230">
        <v>0.071679999999999994</v>
      </c>
      <c r="L230">
        <v>0</v>
      </c>
      <c r="M230">
        <v>0.41475117711346832</v>
      </c>
      <c r="N230">
        <v>0</v>
      </c>
      <c r="O230">
        <v>0.0069125196185578055</v>
      </c>
      <c r="P230">
        <v>0.00044069120000000001</v>
      </c>
      <c r="Q230">
        <v>3.6770732895043396E-05</v>
      </c>
      <c r="R230">
        <v>8960</v>
      </c>
      <c r="S230">
        <v>0</v>
      </c>
      <c r="T230">
        <v>0</v>
      </c>
      <c r="V230">
        <v>86.40</v>
      </c>
      <c r="W230">
        <v>7</v>
      </c>
      <c r="X230">
        <v>85</v>
      </c>
      <c r="Y230">
        <v>3</v>
      </c>
      <c r="Z230">
        <v>4</v>
      </c>
      <c r="AA230">
        <v>5</v>
      </c>
      <c r="AB230">
        <v>0</v>
      </c>
      <c r="AC230">
        <v>0</v>
      </c>
      <c r="AD230">
        <v>0</v>
      </c>
      <c r="AE230">
        <v>0</v>
      </c>
      <c r="AF230">
        <v>0.0064000000000000003</v>
      </c>
      <c r="AG230">
        <v>0</v>
      </c>
      <c r="AH230">
        <v>0</v>
      </c>
      <c r="AI230">
        <v>2</v>
      </c>
      <c r="AJ230">
        <v>0</v>
      </c>
      <c r="AK230">
        <v>0</v>
      </c>
      <c r="AL230">
        <v>80</v>
      </c>
      <c r="AM230">
        <v>1.12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2.40</v>
      </c>
      <c r="AU230">
        <v>0</v>
      </c>
      <c r="AV230">
        <v>0</v>
      </c>
    </row>
    <row r="231" spans="1:48" ht="12.75">
      <c r="A231" s="2" t="str">
        <f>HYPERLINK("https://ibp.a2mac1.com/costing(costing:projects/details/8191/equipment/6944665)","Equipment (Injection Molding)")</f>
        <v>Equipment (Injection Molding)</v>
      </c>
      <c r="B231">
        <v>6944665</v>
      </c>
      <c r="C231">
        <v>6972170</v>
      </c>
      <c r="H231" t="s">
        <v>136</v>
      </c>
      <c r="I231">
        <v>1212.2357460000001</v>
      </c>
      <c r="J231">
        <v>0</v>
      </c>
      <c r="K231">
        <v>0.051520000000000003</v>
      </c>
      <c r="L231">
        <v>0</v>
      </c>
      <c r="M231">
        <v>0.29810240855030534</v>
      </c>
      <c r="N231">
        <v>0</v>
      </c>
      <c r="O231">
        <v>0.0049683734758384224</v>
      </c>
      <c r="P231">
        <v>0.00031674680000000002</v>
      </c>
      <c r="Q231">
        <v>2.6308232792849565E-05</v>
      </c>
      <c r="R231">
        <v>6440</v>
      </c>
      <c r="S231">
        <v>0</v>
      </c>
      <c r="T231">
        <v>0</v>
      </c>
      <c r="V231">
        <v>62.10</v>
      </c>
      <c r="W231">
        <v>7</v>
      </c>
      <c r="X231">
        <v>85</v>
      </c>
      <c r="Y231">
        <v>3</v>
      </c>
      <c r="Z231">
        <v>4</v>
      </c>
      <c r="AA231">
        <v>5</v>
      </c>
      <c r="AB231">
        <v>0</v>
      </c>
      <c r="AC231">
        <v>0</v>
      </c>
      <c r="AD231">
        <v>0</v>
      </c>
      <c r="AE231">
        <v>0</v>
      </c>
      <c r="AF231">
        <v>0.0045999999999999999</v>
      </c>
      <c r="AG231">
        <v>0</v>
      </c>
      <c r="AH231">
        <v>0</v>
      </c>
      <c r="AI231">
        <v>2</v>
      </c>
      <c r="AJ231">
        <v>0</v>
      </c>
      <c r="AK231">
        <v>0</v>
      </c>
      <c r="AL231">
        <v>80</v>
      </c>
      <c r="AM231">
        <v>0.805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1.725</v>
      </c>
      <c r="AU231">
        <v>0</v>
      </c>
      <c r="AV231">
        <v>0</v>
      </c>
    </row>
    <row r="232" spans="1:48" ht="12.75">
      <c r="A232" s="2" t="str">
        <f>HYPERLINK("https://ibp.a2mac1.com/costing(costing:projects/details/8191/equipment/6944569)","No.01 - Fabric Cutting")</f>
        <v>No.01 - Fabric Cutting</v>
      </c>
      <c r="B232">
        <v>6944569</v>
      </c>
      <c r="C232">
        <v>6972077</v>
      </c>
      <c r="H232" t="s">
        <v>79</v>
      </c>
      <c r="I232">
        <v>16787.268</v>
      </c>
      <c r="J232">
        <v>0</v>
      </c>
      <c r="K232">
        <v>0.80</v>
      </c>
      <c r="L232">
        <v>0</v>
      </c>
      <c r="M232">
        <v>4.3820102860816457</v>
      </c>
      <c r="N232">
        <v>0</v>
      </c>
      <c r="O232">
        <v>0.028568272615093395</v>
      </c>
      <c r="P232">
        <v>0.053869908666666667</v>
      </c>
      <c r="Q232">
        <v>0.00025413375429122467</v>
      </c>
      <c r="R232">
        <v>110000</v>
      </c>
      <c r="S232">
        <v>0</v>
      </c>
      <c r="T232">
        <v>800000</v>
      </c>
      <c r="V232">
        <v>900</v>
      </c>
      <c r="W232">
        <v>10</v>
      </c>
      <c r="X232">
        <v>85</v>
      </c>
      <c r="Y232">
        <v>3</v>
      </c>
      <c r="Z232">
        <v>4</v>
      </c>
      <c r="AA232">
        <v>5</v>
      </c>
      <c r="AB232">
        <v>0</v>
      </c>
      <c r="AC232">
        <v>0</v>
      </c>
      <c r="AD232">
        <v>0</v>
      </c>
      <c r="AE232">
        <v>0</v>
      </c>
      <c r="AF232">
        <v>2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100</v>
      </c>
      <c r="AM232">
        <v>10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50</v>
      </c>
      <c r="AU232">
        <v>0</v>
      </c>
      <c r="AV232">
        <v>0</v>
      </c>
    </row>
    <row r="233" spans="1:48" ht="12.75">
      <c r="A233" s="2" t="str">
        <f>HYPERLINK("https://ibp.a2mac1.com/costing(costing:projects/details/8191/equipment/6944570)","No.02 - Fabric Sewing")</f>
        <v>No.02 - Fabric Sewing</v>
      </c>
      <c r="B233">
        <v>6944570</v>
      </c>
      <c r="C233">
        <v>6972078</v>
      </c>
      <c r="E233" t="s">
        <v>9</v>
      </c>
      <c r="F233" t="s">
        <v>9</v>
      </c>
      <c r="G233" t="s">
        <v>9</v>
      </c>
      <c r="H233" t="s">
        <v>79</v>
      </c>
      <c r="I233">
        <v>1969.9257600000001</v>
      </c>
      <c r="J233">
        <v>0</v>
      </c>
      <c r="K233">
        <v>0.16</v>
      </c>
      <c r="L233">
        <v>0</v>
      </c>
      <c r="M233">
        <v>0.55696653166184507</v>
      </c>
      <c r="N233">
        <v>0</v>
      </c>
      <c r="O233">
        <v>0.1278857041865781</v>
      </c>
      <c r="P233">
        <v>2.8839706622222221</v>
      </c>
      <c r="Q233">
        <v>0.00019675809797492768</v>
      </c>
      <c r="R233">
        <v>10000</v>
      </c>
      <c r="S233">
        <v>0</v>
      </c>
      <c r="T233">
        <v>800000</v>
      </c>
      <c r="U233" t="s">
        <v>9</v>
      </c>
      <c r="V233">
        <v>900</v>
      </c>
      <c r="W233">
        <v>10</v>
      </c>
      <c r="X233">
        <v>85</v>
      </c>
      <c r="Y233">
        <v>3</v>
      </c>
      <c r="Z233">
        <v>4</v>
      </c>
      <c r="AA233">
        <v>5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100</v>
      </c>
      <c r="AM233">
        <v>2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16</v>
      </c>
      <c r="AU233">
        <v>0</v>
      </c>
      <c r="AV233">
        <v>0</v>
      </c>
    </row>
    <row r="234" spans="1:48" ht="12.75">
      <c r="A234" s="2" t="str">
        <f>HYPERLINK("https://ibp.a2mac1.com/costing(costing:projects/details/8191/equipment/6944571)","Equipment (Injection Molding)")</f>
        <v>Equipment (Injection Molding)</v>
      </c>
      <c r="B234">
        <v>6944571</v>
      </c>
      <c r="C234">
        <v>6972079</v>
      </c>
      <c r="H234" t="s">
        <v>136</v>
      </c>
      <c r="I234">
        <v>78900.735293999998</v>
      </c>
      <c r="J234">
        <v>0</v>
      </c>
      <c r="K234">
        <v>3.3532799999999998</v>
      </c>
      <c r="L234">
        <v>0</v>
      </c>
      <c r="M234">
        <v>19.402578504339441</v>
      </c>
      <c r="N234">
        <v>0</v>
      </c>
      <c r="O234">
        <v>0.21558420560377156</v>
      </c>
      <c r="P234">
        <v>0.0137440568</v>
      </c>
      <c r="Q234">
        <v>0.0029992958361448265</v>
      </c>
      <c r="R234">
        <v>419160</v>
      </c>
      <c r="S234">
        <v>0</v>
      </c>
      <c r="T234">
        <v>0</v>
      </c>
      <c r="V234">
        <v>4041.90</v>
      </c>
      <c r="W234">
        <v>7</v>
      </c>
      <c r="X234">
        <v>85</v>
      </c>
      <c r="Y234">
        <v>3</v>
      </c>
      <c r="Z234">
        <v>4</v>
      </c>
      <c r="AA234">
        <v>5</v>
      </c>
      <c r="AB234">
        <v>0</v>
      </c>
      <c r="AC234">
        <v>0</v>
      </c>
      <c r="AD234">
        <v>0</v>
      </c>
      <c r="AE234">
        <v>0</v>
      </c>
      <c r="AF234">
        <v>0.2994</v>
      </c>
      <c r="AG234">
        <v>0</v>
      </c>
      <c r="AH234">
        <v>0</v>
      </c>
      <c r="AI234">
        <v>2</v>
      </c>
      <c r="AJ234">
        <v>0</v>
      </c>
      <c r="AK234">
        <v>0</v>
      </c>
      <c r="AL234">
        <v>80</v>
      </c>
      <c r="AM234">
        <v>52.395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112.275</v>
      </c>
      <c r="AU234">
        <v>0</v>
      </c>
      <c r="AV234">
        <v>0</v>
      </c>
    </row>
    <row r="235" spans="1:48" ht="12.75">
      <c r="A235" s="2" t="str">
        <f>HYPERLINK("https://ibp.a2mac1.com/costing(costing:projects/details/8191/equipment/6944572)","Equipment")</f>
        <v>Equipment</v>
      </c>
      <c r="B235">
        <v>6944572</v>
      </c>
      <c r="C235">
        <v>6972113</v>
      </c>
      <c r="H235" t="s">
        <v>136</v>
      </c>
      <c r="I235">
        <v>78900.735293999998</v>
      </c>
      <c r="J235">
        <v>0</v>
      </c>
      <c r="K235">
        <v>3.3532799999999998</v>
      </c>
      <c r="L235">
        <v>0</v>
      </c>
      <c r="M235">
        <v>19.402578504339441</v>
      </c>
      <c r="N235">
        <v>0</v>
      </c>
      <c r="O235">
        <v>2.1558420560377156</v>
      </c>
      <c r="P235">
        <v>0.13744056800000001</v>
      </c>
      <c r="Q235">
        <v>0.0029992958361448265</v>
      </c>
      <c r="R235">
        <v>419160</v>
      </c>
      <c r="S235">
        <v>0</v>
      </c>
      <c r="T235">
        <v>0</v>
      </c>
      <c r="V235">
        <v>4041.90</v>
      </c>
      <c r="W235">
        <v>7</v>
      </c>
      <c r="X235">
        <v>85</v>
      </c>
      <c r="Y235">
        <v>3</v>
      </c>
      <c r="Z235">
        <v>4</v>
      </c>
      <c r="AA235">
        <v>5</v>
      </c>
      <c r="AB235">
        <v>0</v>
      </c>
      <c r="AC235">
        <v>0</v>
      </c>
      <c r="AD235">
        <v>0</v>
      </c>
      <c r="AE235">
        <v>0</v>
      </c>
      <c r="AF235">
        <v>0.2994</v>
      </c>
      <c r="AG235">
        <v>0</v>
      </c>
      <c r="AH235">
        <v>0</v>
      </c>
      <c r="AI235">
        <v>2</v>
      </c>
      <c r="AJ235">
        <v>0</v>
      </c>
      <c r="AK235">
        <v>0</v>
      </c>
      <c r="AL235">
        <v>80</v>
      </c>
      <c r="AM235">
        <v>52.395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112.275</v>
      </c>
      <c r="AU235">
        <v>0</v>
      </c>
      <c r="AV235">
        <v>0</v>
      </c>
    </row>
    <row r="236" spans="1:48" ht="12.75">
      <c r="A236" s="2" t="str">
        <f>HYPERLINK("https://ibp.a2mac1.com/costing(costing:projects/details/8191/equipment/6944573)","Equipment")</f>
        <v>Equipment</v>
      </c>
      <c r="B236">
        <v>6944573</v>
      </c>
      <c r="C236">
        <v>6972114</v>
      </c>
      <c r="H236" t="s">
        <v>136</v>
      </c>
      <c r="I236">
        <v>78900.735293999998</v>
      </c>
      <c r="J236">
        <v>0</v>
      </c>
      <c r="K236">
        <v>3.3532799999999998</v>
      </c>
      <c r="L236">
        <v>0</v>
      </c>
      <c r="M236">
        <v>19.402578504339441</v>
      </c>
      <c r="N236">
        <v>0</v>
      </c>
      <c r="O236">
        <v>0.05389605140094289</v>
      </c>
      <c r="P236">
        <v>0.0034360141999999999</v>
      </c>
      <c r="Q236">
        <v>0.0029992958361448265</v>
      </c>
      <c r="R236">
        <v>419160</v>
      </c>
      <c r="S236">
        <v>0</v>
      </c>
      <c r="T236">
        <v>0</v>
      </c>
      <c r="V236">
        <v>4041.90</v>
      </c>
      <c r="W236">
        <v>7</v>
      </c>
      <c r="X236">
        <v>85</v>
      </c>
      <c r="Y236">
        <v>3</v>
      </c>
      <c r="Z236">
        <v>4</v>
      </c>
      <c r="AA236">
        <v>5</v>
      </c>
      <c r="AB236">
        <v>0</v>
      </c>
      <c r="AC236">
        <v>0</v>
      </c>
      <c r="AD236">
        <v>0</v>
      </c>
      <c r="AE236">
        <v>0</v>
      </c>
      <c r="AF236">
        <v>0.2994</v>
      </c>
      <c r="AG236">
        <v>0</v>
      </c>
      <c r="AH236">
        <v>0</v>
      </c>
      <c r="AI236">
        <v>2</v>
      </c>
      <c r="AJ236">
        <v>0</v>
      </c>
      <c r="AK236">
        <v>0</v>
      </c>
      <c r="AL236">
        <v>80</v>
      </c>
      <c r="AM236">
        <v>52.395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112.275</v>
      </c>
      <c r="AU236">
        <v>0</v>
      </c>
      <c r="AV236">
        <v>0</v>
      </c>
    </row>
    <row r="237" spans="1:48" ht="12.75">
      <c r="A237" s="2" t="str">
        <f>HYPERLINK("https://ibp.a2mac1.com/costing(costing:projects/details/8191/equipment/6944666)","Equipment (Injection Molding)")</f>
        <v>Equipment (Injection Molding)</v>
      </c>
      <c r="B237">
        <v>6944666</v>
      </c>
      <c r="C237">
        <v>6972171</v>
      </c>
      <c r="H237" t="s">
        <v>136</v>
      </c>
      <c r="I237">
        <v>14441.417148</v>
      </c>
      <c r="J237">
        <v>0</v>
      </c>
      <c r="K237">
        <v>0.61375999999999997</v>
      </c>
      <c r="L237">
        <v>0</v>
      </c>
      <c r="M237">
        <v>3.5513069540340725</v>
      </c>
      <c r="N237">
        <v>0</v>
      </c>
      <c r="O237">
        <v>0.059188449233901208</v>
      </c>
      <c r="P237">
        <v>0.0037734183999999999</v>
      </c>
      <c r="Q237">
        <v>0.0003535231331432401</v>
      </c>
      <c r="R237">
        <v>76720</v>
      </c>
      <c r="S237">
        <v>0</v>
      </c>
      <c r="T237">
        <v>0</v>
      </c>
      <c r="V237">
        <v>739.80</v>
      </c>
      <c r="W237">
        <v>7</v>
      </c>
      <c r="X237">
        <v>85</v>
      </c>
      <c r="Y237">
        <v>3</v>
      </c>
      <c r="Z237">
        <v>4</v>
      </c>
      <c r="AA237">
        <v>5</v>
      </c>
      <c r="AB237">
        <v>0</v>
      </c>
      <c r="AC237">
        <v>0</v>
      </c>
      <c r="AD237">
        <v>0</v>
      </c>
      <c r="AE237">
        <v>0</v>
      </c>
      <c r="AF237">
        <v>0.054800000000000001</v>
      </c>
      <c r="AG237">
        <v>0</v>
      </c>
      <c r="AH237">
        <v>0</v>
      </c>
      <c r="AI237">
        <v>2</v>
      </c>
      <c r="AJ237">
        <v>0</v>
      </c>
      <c r="AK237">
        <v>0</v>
      </c>
      <c r="AL237">
        <v>80</v>
      </c>
      <c r="AM237">
        <v>9.59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20.55</v>
      </c>
      <c r="AU237">
        <v>0</v>
      </c>
      <c r="AV237">
        <v>0</v>
      </c>
    </row>
    <row r="238" spans="1:48" ht="12.75">
      <c r="A238" s="2" t="str">
        <f>HYPERLINK("https://ibp.a2mac1.com/costing(costing:projects/details/8191/equipment/6944667)","Equipment (Injection Molding)")</f>
        <v>Equipment (Injection Molding)</v>
      </c>
      <c r="B238">
        <v>6944667</v>
      </c>
      <c r="C238">
        <v>6972172</v>
      </c>
      <c r="H238" t="s">
        <v>136</v>
      </c>
      <c r="I238">
        <v>6693.6495539999996</v>
      </c>
      <c r="J238">
        <v>0</v>
      </c>
      <c r="K238">
        <v>0.28448000000000001</v>
      </c>
      <c r="L238">
        <v>0</v>
      </c>
      <c r="M238">
        <v>1.6460437341690775</v>
      </c>
      <c r="N238">
        <v>0</v>
      </c>
      <c r="O238">
        <v>0.027434062236151292</v>
      </c>
      <c r="P238">
        <v>0.0017489932</v>
      </c>
      <c r="Q238">
        <v>0.00015297068314077628</v>
      </c>
      <c r="R238">
        <v>35560</v>
      </c>
      <c r="S238">
        <v>0</v>
      </c>
      <c r="T238">
        <v>0</v>
      </c>
      <c r="V238">
        <v>342.90</v>
      </c>
      <c r="W238">
        <v>7</v>
      </c>
      <c r="X238">
        <v>85</v>
      </c>
      <c r="Y238">
        <v>3</v>
      </c>
      <c r="Z238">
        <v>4</v>
      </c>
      <c r="AA238">
        <v>5</v>
      </c>
      <c r="AB238">
        <v>0</v>
      </c>
      <c r="AC238">
        <v>0</v>
      </c>
      <c r="AD238">
        <v>0</v>
      </c>
      <c r="AE238">
        <v>0</v>
      </c>
      <c r="AF238">
        <v>0.025399999999999999</v>
      </c>
      <c r="AG238">
        <v>0</v>
      </c>
      <c r="AH238">
        <v>0</v>
      </c>
      <c r="AI238">
        <v>2</v>
      </c>
      <c r="AJ238">
        <v>0</v>
      </c>
      <c r="AK238">
        <v>0</v>
      </c>
      <c r="AL238">
        <v>80</v>
      </c>
      <c r="AM238">
        <v>4.445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9.525</v>
      </c>
      <c r="AU238">
        <v>0</v>
      </c>
      <c r="AV238">
        <v>0</v>
      </c>
    </row>
    <row r="239" spans="1:48" ht="12.75">
      <c r="A239" s="2" t="str">
        <f>HYPERLINK("https://ibp.a2mac1.com/costing(costing:projects/details/8191/equipment/6944668)","Equipment (Injection Molding)")</f>
        <v>Equipment (Injection Molding)</v>
      </c>
      <c r="B239">
        <v>6944668</v>
      </c>
      <c r="C239">
        <v>6972173</v>
      </c>
      <c r="H239" t="s">
        <v>136</v>
      </c>
      <c r="I239">
        <v>4638.1193759999996</v>
      </c>
      <c r="J239">
        <v>0</v>
      </c>
      <c r="K239">
        <v>0.19711999999999999</v>
      </c>
      <c r="L239">
        <v>0</v>
      </c>
      <c r="M239">
        <v>1.1405657370620379</v>
      </c>
      <c r="N239">
        <v>0</v>
      </c>
      <c r="O239">
        <v>0.019009428951033965</v>
      </c>
      <c r="P239">
        <v>0.0012119008</v>
      </c>
      <c r="Q239">
        <v>0.00010399374111876567</v>
      </c>
      <c r="R239">
        <v>24640</v>
      </c>
      <c r="S239">
        <v>0</v>
      </c>
      <c r="T239">
        <v>0</v>
      </c>
      <c r="V239">
        <v>237.60</v>
      </c>
      <c r="W239">
        <v>7</v>
      </c>
      <c r="X239">
        <v>85</v>
      </c>
      <c r="Y239">
        <v>3</v>
      </c>
      <c r="Z239">
        <v>4</v>
      </c>
      <c r="AA239">
        <v>5</v>
      </c>
      <c r="AB239">
        <v>0</v>
      </c>
      <c r="AC239">
        <v>0</v>
      </c>
      <c r="AD239">
        <v>0</v>
      </c>
      <c r="AE239">
        <v>0</v>
      </c>
      <c r="AF239">
        <v>0.017600000000000001</v>
      </c>
      <c r="AG239">
        <v>0</v>
      </c>
      <c r="AH239">
        <v>0</v>
      </c>
      <c r="AI239">
        <v>2</v>
      </c>
      <c r="AJ239">
        <v>0</v>
      </c>
      <c r="AK239">
        <v>0</v>
      </c>
      <c r="AL239">
        <v>80</v>
      </c>
      <c r="AM239">
        <v>3.08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6.60</v>
      </c>
      <c r="AU239">
        <v>0</v>
      </c>
      <c r="AV239">
        <v>0</v>
      </c>
    </row>
    <row r="240" spans="1:48" ht="12.75">
      <c r="A240" s="2" t="str">
        <f>HYPERLINK("https://ibp.a2mac1.com/costing(costing:projects/details/8191/equipment/6944574)","No.01 - Fabric Cutting")</f>
        <v>No.01 - Fabric Cutting</v>
      </c>
      <c r="B240">
        <v>6944574</v>
      </c>
      <c r="C240">
        <v>6972115</v>
      </c>
      <c r="H240" t="s">
        <v>2693</v>
      </c>
      <c r="I240">
        <v>16787.268</v>
      </c>
      <c r="J240">
        <v>0</v>
      </c>
      <c r="K240">
        <v>0.80</v>
      </c>
      <c r="L240">
        <v>0</v>
      </c>
      <c r="M240">
        <v>4.3820102860816457</v>
      </c>
      <c r="N240">
        <v>0</v>
      </c>
      <c r="O240">
        <v>0.022263046703453696</v>
      </c>
      <c r="P240">
        <v>0.041980427333333334</v>
      </c>
      <c r="Q240">
        <v>0.00025413375429122467</v>
      </c>
      <c r="R240">
        <v>110000</v>
      </c>
      <c r="S240">
        <v>0</v>
      </c>
      <c r="T240">
        <v>800000</v>
      </c>
      <c r="V240">
        <v>900</v>
      </c>
      <c r="W240">
        <v>10</v>
      </c>
      <c r="X240">
        <v>85</v>
      </c>
      <c r="Y240">
        <v>3</v>
      </c>
      <c r="Z240">
        <v>4</v>
      </c>
      <c r="AA240">
        <v>5</v>
      </c>
      <c r="AB240">
        <v>0</v>
      </c>
      <c r="AC240">
        <v>0</v>
      </c>
      <c r="AD240">
        <v>0</v>
      </c>
      <c r="AE240">
        <v>0</v>
      </c>
      <c r="AF240">
        <v>2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100</v>
      </c>
      <c r="AM240">
        <v>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50</v>
      </c>
      <c r="AU240">
        <v>0</v>
      </c>
      <c r="AV240">
        <v>0</v>
      </c>
    </row>
    <row r="241" spans="1:48" ht="12.75">
      <c r="A241" s="2" t="str">
        <f>HYPERLINK("https://ibp.a2mac1.com/costing(costing:projects/details/8191/equipment/6944575)","No.02 - Fabric Sewing")</f>
        <v>No.02 - Fabric Sewing</v>
      </c>
      <c r="B241">
        <v>6944575</v>
      </c>
      <c r="C241">
        <v>6972116</v>
      </c>
      <c r="E241" t="s">
        <v>9</v>
      </c>
      <c r="F241" t="s">
        <v>9</v>
      </c>
      <c r="G241" t="s">
        <v>9</v>
      </c>
      <c r="H241" t="s">
        <v>79</v>
      </c>
      <c r="I241">
        <v>1969.9257600000001</v>
      </c>
      <c r="J241">
        <v>0</v>
      </c>
      <c r="K241">
        <v>0.16</v>
      </c>
      <c r="L241">
        <v>0</v>
      </c>
      <c r="M241">
        <v>0.55696653166184507</v>
      </c>
      <c r="N241">
        <v>0</v>
      </c>
      <c r="O241">
        <v>0.098655791179113536</v>
      </c>
      <c r="P241">
        <v>2.224802289111111</v>
      </c>
      <c r="Q241">
        <v>0.00019675809797492768</v>
      </c>
      <c r="R241">
        <v>10000</v>
      </c>
      <c r="S241">
        <v>0</v>
      </c>
      <c r="T241">
        <v>800000</v>
      </c>
      <c r="U241" t="s">
        <v>9</v>
      </c>
      <c r="V241">
        <v>900</v>
      </c>
      <c r="W241">
        <v>10</v>
      </c>
      <c r="X241">
        <v>85</v>
      </c>
      <c r="Y241">
        <v>3</v>
      </c>
      <c r="Z241">
        <v>4</v>
      </c>
      <c r="AA241">
        <v>5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100</v>
      </c>
      <c r="AM241">
        <v>2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16</v>
      </c>
      <c r="AU241">
        <v>0</v>
      </c>
      <c r="AV241">
        <v>0</v>
      </c>
    </row>
    <row r="242" spans="1:48" ht="12.75">
      <c r="A242" s="2" t="str">
        <f>HYPERLINK("https://ibp.a2mac1.com/costing(costing:projects/details/8191/equipment/6944576)","Equipment (Injection Molding)")</f>
        <v>Equipment (Injection Molding)</v>
      </c>
      <c r="B242">
        <v>6944576</v>
      </c>
      <c r="C242">
        <v>6972117</v>
      </c>
      <c r="H242" t="s">
        <v>136</v>
      </c>
      <c r="I242">
        <v>75369.439859999999</v>
      </c>
      <c r="J242">
        <v>0</v>
      </c>
      <c r="K242">
        <v>3.2031999999999998</v>
      </c>
      <c r="L242">
        <v>0</v>
      </c>
      <c r="M242">
        <v>18.534193227258115</v>
      </c>
      <c r="N242">
        <v>0</v>
      </c>
      <c r="O242">
        <v>0.20593548030286796</v>
      </c>
      <c r="P242">
        <v>0.013128925333333333</v>
      </c>
      <c r="Q242">
        <v>0.0028091782221740598</v>
      </c>
      <c r="R242">
        <v>400400</v>
      </c>
      <c r="S242">
        <v>0</v>
      </c>
      <c r="T242">
        <v>0</v>
      </c>
      <c r="V242">
        <v>3861</v>
      </c>
      <c r="W242">
        <v>7</v>
      </c>
      <c r="X242">
        <v>85</v>
      </c>
      <c r="Y242">
        <v>3</v>
      </c>
      <c r="Z242">
        <v>4</v>
      </c>
      <c r="AA242">
        <v>5</v>
      </c>
      <c r="AB242">
        <v>0</v>
      </c>
      <c r="AC242">
        <v>0</v>
      </c>
      <c r="AD242">
        <v>0</v>
      </c>
      <c r="AE242">
        <v>0</v>
      </c>
      <c r="AF242">
        <v>0.28599999999999998</v>
      </c>
      <c r="AG242">
        <v>0</v>
      </c>
      <c r="AH242">
        <v>0</v>
      </c>
      <c r="AI242">
        <v>2</v>
      </c>
      <c r="AJ242">
        <v>0</v>
      </c>
      <c r="AK242">
        <v>0</v>
      </c>
      <c r="AL242">
        <v>80</v>
      </c>
      <c r="AM242">
        <v>50.05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107.25</v>
      </c>
      <c r="AU242">
        <v>0</v>
      </c>
      <c r="AV242">
        <v>0</v>
      </c>
    </row>
    <row r="243" spans="1:48" ht="12.75">
      <c r="A243" s="2" t="str">
        <f>HYPERLINK("https://ibp.a2mac1.com/costing(costing:projects/details/8191/equipment/6944577)","Equipment")</f>
        <v>Equipment</v>
      </c>
      <c r="B243">
        <v>6944577</v>
      </c>
      <c r="C243">
        <v>6972118</v>
      </c>
      <c r="H243" t="s">
        <v>136</v>
      </c>
      <c r="I243">
        <v>78900.735293999998</v>
      </c>
      <c r="J243">
        <v>0</v>
      </c>
      <c r="K243">
        <v>3.3532799999999998</v>
      </c>
      <c r="L243">
        <v>0</v>
      </c>
      <c r="M243">
        <v>19.402578504339441</v>
      </c>
      <c r="N243">
        <v>0</v>
      </c>
      <c r="O243">
        <v>1.2396091822216866</v>
      </c>
      <c r="P243">
        <v>0.079028326600000004</v>
      </c>
      <c r="Q243">
        <v>0.0029992958361448265</v>
      </c>
      <c r="R243">
        <v>419160</v>
      </c>
      <c r="S243">
        <v>0</v>
      </c>
      <c r="T243">
        <v>0</v>
      </c>
      <c r="V243">
        <v>4041.90</v>
      </c>
      <c r="W243">
        <v>7</v>
      </c>
      <c r="X243">
        <v>85</v>
      </c>
      <c r="Y243">
        <v>3</v>
      </c>
      <c r="Z243">
        <v>4</v>
      </c>
      <c r="AA243">
        <v>5</v>
      </c>
      <c r="AB243">
        <v>0</v>
      </c>
      <c r="AC243">
        <v>0</v>
      </c>
      <c r="AD243">
        <v>0</v>
      </c>
      <c r="AE243">
        <v>0</v>
      </c>
      <c r="AF243">
        <v>0.2994</v>
      </c>
      <c r="AG243">
        <v>0</v>
      </c>
      <c r="AH243">
        <v>0</v>
      </c>
      <c r="AI243">
        <v>2</v>
      </c>
      <c r="AJ243">
        <v>0</v>
      </c>
      <c r="AK243">
        <v>0</v>
      </c>
      <c r="AL243">
        <v>80</v>
      </c>
      <c r="AM243">
        <v>52.395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112.275</v>
      </c>
      <c r="AU243">
        <v>0</v>
      </c>
      <c r="AV243">
        <v>0</v>
      </c>
    </row>
    <row r="244" spans="1:48" ht="12.75">
      <c r="A244" s="2" t="str">
        <f>HYPERLINK("https://ibp.a2mac1.com/costing(costing:projects/details/8191/equipment/6944578)","Equipment")</f>
        <v>Equipment</v>
      </c>
      <c r="B244">
        <v>6944578</v>
      </c>
      <c r="C244">
        <v>6972119</v>
      </c>
      <c r="H244" t="s">
        <v>136</v>
      </c>
      <c r="I244">
        <v>78900.735293999998</v>
      </c>
      <c r="J244">
        <v>0</v>
      </c>
      <c r="K244">
        <v>3.3532799999999998</v>
      </c>
      <c r="L244">
        <v>0</v>
      </c>
      <c r="M244">
        <v>19.402578504339441</v>
      </c>
      <c r="N244">
        <v>0</v>
      </c>
      <c r="O244">
        <v>0.59285656541037179</v>
      </c>
      <c r="P244">
        <v>0.0377961562</v>
      </c>
      <c r="Q244">
        <v>0.0029992958361448265</v>
      </c>
      <c r="R244">
        <v>419160</v>
      </c>
      <c r="S244">
        <v>0</v>
      </c>
      <c r="T244">
        <v>0</v>
      </c>
      <c r="V244">
        <v>4041.90</v>
      </c>
      <c r="W244">
        <v>7</v>
      </c>
      <c r="X244">
        <v>85</v>
      </c>
      <c r="Y244">
        <v>3</v>
      </c>
      <c r="Z244">
        <v>4</v>
      </c>
      <c r="AA244">
        <v>5</v>
      </c>
      <c r="AB244">
        <v>0</v>
      </c>
      <c r="AC244">
        <v>0</v>
      </c>
      <c r="AD244">
        <v>0</v>
      </c>
      <c r="AE244">
        <v>0</v>
      </c>
      <c r="AF244">
        <v>0.2994</v>
      </c>
      <c r="AG244">
        <v>0</v>
      </c>
      <c r="AH244">
        <v>0</v>
      </c>
      <c r="AI244">
        <v>2</v>
      </c>
      <c r="AJ244">
        <v>0</v>
      </c>
      <c r="AK244">
        <v>0</v>
      </c>
      <c r="AL244">
        <v>80</v>
      </c>
      <c r="AM244">
        <v>52.395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112.275</v>
      </c>
      <c r="AU244">
        <v>0</v>
      </c>
      <c r="AV244">
        <v>0</v>
      </c>
    </row>
    <row r="245" spans="1:48" ht="12.75">
      <c r="A245" s="2" t="str">
        <f>HYPERLINK("https://ibp.a2mac1.com/costing(costing:projects/details/8191/equipment/6944669)","No.01 - Progressive Press - 250T ")</f>
        <v xml:space="preserve">No.01 - Progressive Press - 250T </v>
      </c>
      <c r="B245">
        <v>6944669</v>
      </c>
      <c r="C245">
        <v>6972174</v>
      </c>
      <c r="E245" t="s">
        <v>499</v>
      </c>
      <c r="H245" t="s">
        <v>136</v>
      </c>
      <c r="I245">
        <v>295789.00731428573</v>
      </c>
      <c r="J245">
        <v>0</v>
      </c>
      <c r="K245">
        <v>5.82</v>
      </c>
      <c r="L245">
        <v>0</v>
      </c>
      <c r="M245">
        <v>66.618618983331032</v>
      </c>
      <c r="N245">
        <v>0</v>
      </c>
      <c r="O245">
        <v>0.031647730103189602</v>
      </c>
      <c r="P245">
        <v>0.0019626940030000001</v>
      </c>
      <c r="Q245">
        <v>0.0023753657694999312</v>
      </c>
      <c r="R245">
        <v>1650000</v>
      </c>
      <c r="S245">
        <v>0</v>
      </c>
      <c r="T245">
        <v>0</v>
      </c>
      <c r="V245">
        <v>1800</v>
      </c>
      <c r="W245">
        <v>7</v>
      </c>
      <c r="X245">
        <v>85</v>
      </c>
      <c r="Y245">
        <v>3</v>
      </c>
      <c r="Z245">
        <v>4</v>
      </c>
      <c r="AA245">
        <v>5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87</v>
      </c>
      <c r="AM245">
        <v>75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60</v>
      </c>
      <c r="AU245">
        <v>0.60</v>
      </c>
      <c r="AV245">
        <v>0</v>
      </c>
    </row>
    <row r="246" spans="1:48" ht="12.75">
      <c r="A246" s="2" t="str">
        <f>HYPERLINK("https://ibp.a2mac1.com/costing(costing:projects/details/8191/equipment/6944670)","No.05 - Cleaning - Batch - 2000x2000x1200 - 500kg/batch - 3000kg/h ")</f>
        <v xml:space="preserve">No.05 - Cleaning - Batch - 2000x2000x1200 - 500kg/batch - 3000kg/h </v>
      </c>
      <c r="B246">
        <v>6944670</v>
      </c>
      <c r="C246">
        <v>6972175</v>
      </c>
      <c r="E246" t="s">
        <v>499</v>
      </c>
      <c r="H246" t="s">
        <v>136</v>
      </c>
      <c r="I246">
        <v>36749.814400000003</v>
      </c>
      <c r="J246">
        <v>0</v>
      </c>
      <c r="K246">
        <v>7.60</v>
      </c>
      <c r="L246">
        <v>0</v>
      </c>
      <c r="M246">
        <v>15.274351398264224</v>
      </c>
      <c r="N246">
        <v>0</v>
      </c>
      <c r="O246">
        <v>0.042428753884067291</v>
      </c>
      <c r="P246">
        <v>0.024368966666666665</v>
      </c>
      <c r="Q246">
        <v>0</v>
      </c>
      <c r="R246">
        <v>220000</v>
      </c>
      <c r="S246">
        <v>0</v>
      </c>
      <c r="T246">
        <v>0</v>
      </c>
      <c r="V246">
        <v>0</v>
      </c>
      <c r="W246">
        <v>8</v>
      </c>
      <c r="X246">
        <v>85</v>
      </c>
      <c r="Y246">
        <v>3</v>
      </c>
      <c r="Z246">
        <v>4</v>
      </c>
      <c r="AA246">
        <v>5</v>
      </c>
      <c r="AB246">
        <v>0</v>
      </c>
      <c r="AC246">
        <v>1</v>
      </c>
      <c r="AD246">
        <v>0</v>
      </c>
      <c r="AE246">
        <v>0</v>
      </c>
      <c r="AF246">
        <v>0.10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100</v>
      </c>
      <c r="AM246">
        <v>60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40</v>
      </c>
      <c r="AU246">
        <v>2.80</v>
      </c>
      <c r="AV246">
        <v>0</v>
      </c>
    </row>
    <row r="247" spans="1:48" ht="12.75">
      <c r="A247" s="2" t="str">
        <f>HYPERLINK("https://ibp.a2mac1.com/costing(costing:projects/details/8191/equipment/6944671)","Packaging ")</f>
        <v xml:space="preserve">Packaging </v>
      </c>
      <c r="B247">
        <v>6944671</v>
      </c>
      <c r="C247">
        <v>6972176</v>
      </c>
      <c r="E247" t="s">
        <v>499</v>
      </c>
      <c r="H247" t="s">
        <v>136</v>
      </c>
      <c r="I247">
        <v>4437.4535999999998</v>
      </c>
      <c r="J247">
        <v>0</v>
      </c>
      <c r="K247">
        <v>0.10768</v>
      </c>
      <c r="L247">
        <v>0</v>
      </c>
      <c r="M247">
        <v>1.0619476952748312</v>
      </c>
      <c r="N247">
        <v>0</v>
      </c>
      <c r="O247">
        <v>0.0023598837672774028</v>
      </c>
      <c r="P247">
        <v>0.027758133333333334</v>
      </c>
      <c r="Q247">
        <v>0.00020433281542912247</v>
      </c>
      <c r="R247">
        <v>30000</v>
      </c>
      <c r="S247">
        <v>0</v>
      </c>
      <c r="T247">
        <v>0</v>
      </c>
      <c r="V247">
        <v>900</v>
      </c>
      <c r="W247">
        <v>10</v>
      </c>
      <c r="X247">
        <v>85</v>
      </c>
      <c r="Y247">
        <v>3</v>
      </c>
      <c r="Z247">
        <v>4</v>
      </c>
      <c r="AA247">
        <v>5</v>
      </c>
      <c r="AB247">
        <v>0</v>
      </c>
      <c r="AC247">
        <v>1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50</v>
      </c>
      <c r="AM247">
        <v>2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10</v>
      </c>
      <c r="AU247">
        <v>0</v>
      </c>
      <c r="AV247">
        <v>0</v>
      </c>
    </row>
    <row r="248" spans="1:48" ht="12.75">
      <c r="A248" s="2" t="str">
        <f>HYPERLINK("https://ibp.a2mac1.com/costing(costing:projects/details/8191/equipment/6944672)","No.05 - Laser Cutting Fiber - 3kW - Turntable - 2D ")</f>
        <v xml:space="preserve">No.05 - Laser Cutting Fiber - 3kW - Turntable - 2D </v>
      </c>
      <c r="B248">
        <v>6944672</v>
      </c>
      <c r="C248">
        <v>6972177</v>
      </c>
      <c r="H248" t="s">
        <v>136</v>
      </c>
      <c r="I248">
        <v>188968.63399999999</v>
      </c>
      <c r="J248">
        <v>0</v>
      </c>
      <c r="K248">
        <v>0.95679999999999998</v>
      </c>
      <c r="L248">
        <v>0</v>
      </c>
      <c r="M248">
        <v>37.756644744455159</v>
      </c>
      <c r="N248">
        <v>0</v>
      </c>
      <c r="O248">
        <v>0.10487956873459767</v>
      </c>
      <c r="P248">
        <v>0</v>
      </c>
      <c r="Q248">
        <v>0.00030190130846673098</v>
      </c>
      <c r="R248">
        <v>800000</v>
      </c>
      <c r="S248">
        <v>0</v>
      </c>
      <c r="T248">
        <v>0</v>
      </c>
      <c r="V248">
        <v>360</v>
      </c>
      <c r="W248">
        <v>5</v>
      </c>
      <c r="X248">
        <v>85</v>
      </c>
      <c r="Y248">
        <v>3</v>
      </c>
      <c r="Z248">
        <v>4</v>
      </c>
      <c r="AA248">
        <v>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92</v>
      </c>
      <c r="AM248">
        <v>13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25</v>
      </c>
      <c r="AU248">
        <v>0</v>
      </c>
      <c r="AV248">
        <v>0</v>
      </c>
    </row>
    <row r="249" spans="1:48" ht="12.75">
      <c r="A249" s="2" t="str">
        <f>HYPERLINK("https://ibp.a2mac1.com/costing(costing:projects/details/8191/equipment/6944673)","No.05 - Laser Cutting Fiber - 3kW - Turntable - 2D ")</f>
        <v xml:space="preserve">No.05 - Laser Cutting Fiber - 3kW - Turntable - 2D </v>
      </c>
      <c r="B249">
        <v>6944673</v>
      </c>
      <c r="C249">
        <v>6972178</v>
      </c>
      <c r="H249" t="s">
        <v>136</v>
      </c>
      <c r="I249">
        <v>188968.63399999999</v>
      </c>
      <c r="J249">
        <v>0</v>
      </c>
      <c r="K249">
        <v>0.95679999999999998</v>
      </c>
      <c r="L249">
        <v>0</v>
      </c>
      <c r="M249">
        <v>37.756644744455159</v>
      </c>
      <c r="N249">
        <v>0</v>
      </c>
      <c r="O249">
        <v>0.10487956873459767</v>
      </c>
      <c r="P249">
        <v>0</v>
      </c>
      <c r="Q249">
        <v>0.00030190130846673098</v>
      </c>
      <c r="R249">
        <v>800000</v>
      </c>
      <c r="S249">
        <v>0</v>
      </c>
      <c r="T249">
        <v>0</v>
      </c>
      <c r="V249">
        <v>360</v>
      </c>
      <c r="W249">
        <v>5</v>
      </c>
      <c r="X249">
        <v>85</v>
      </c>
      <c r="Y249">
        <v>3</v>
      </c>
      <c r="Z249">
        <v>4</v>
      </c>
      <c r="AA249">
        <v>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92</v>
      </c>
      <c r="AM249">
        <v>13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25</v>
      </c>
      <c r="AU249">
        <v>0</v>
      </c>
      <c r="AV249">
        <v>0</v>
      </c>
    </row>
    <row r="250" spans="1:48" ht="12.75">
      <c r="A250" s="2" t="str">
        <f>HYPERLINK("https://ibp.a2mac1.com/costing(costing:projects/details/8191/equipment/6944674)"," Manual Assembly Station Medium")</f>
        <v xml:space="preserve"> Manual Assembly Station Medium</v>
      </c>
      <c r="B250">
        <v>6944674</v>
      </c>
      <c r="C250">
        <v>6972179</v>
      </c>
      <c r="H250" t="s">
        <v>136</v>
      </c>
      <c r="I250">
        <v>2787.4535999999998</v>
      </c>
      <c r="J250">
        <v>0</v>
      </c>
      <c r="K250">
        <v>0.04</v>
      </c>
      <c r="L250">
        <v>0</v>
      </c>
      <c r="M250">
        <v>0.6085396335583414</v>
      </c>
      <c r="N250">
        <v>0</v>
      </c>
      <c r="O250">
        <v>0.0025355818064930892</v>
      </c>
      <c r="P250">
        <v>0.017214500000000001</v>
      </c>
      <c r="Q250">
        <v>0.00019753169450337511</v>
      </c>
      <c r="R250">
        <v>15000</v>
      </c>
      <c r="S250">
        <v>0</v>
      </c>
      <c r="T250">
        <v>0</v>
      </c>
      <c r="V250">
        <v>900</v>
      </c>
      <c r="W250">
        <v>8</v>
      </c>
      <c r="X250">
        <v>85</v>
      </c>
      <c r="Y250">
        <v>3</v>
      </c>
      <c r="Z250">
        <v>4</v>
      </c>
      <c r="AA250">
        <v>5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100</v>
      </c>
      <c r="AM250">
        <v>0.50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10</v>
      </c>
      <c r="AU250">
        <v>0</v>
      </c>
      <c r="AV250">
        <v>0</v>
      </c>
    </row>
    <row r="251" spans="1:48" ht="12.75">
      <c r="A251" s="2" t="str">
        <f>HYPERLINK("https://ibp.a2mac1.com/costing(costing:projects/details/8191/equipment/6944675)","Sewing-No.01 - Simple station - HCC")</f>
        <v>Sewing-No.01 - Simple station - HCC</v>
      </c>
      <c r="B251">
        <v>6944675</v>
      </c>
      <c r="C251">
        <v>6972180</v>
      </c>
      <c r="H251" t="s">
        <v>136</v>
      </c>
      <c r="I251">
        <v>1737.4536000000001</v>
      </c>
      <c r="J251">
        <v>0</v>
      </c>
      <c r="K251">
        <v>3.88</v>
      </c>
      <c r="L251">
        <v>0</v>
      </c>
      <c r="M251">
        <v>4.1951165568137005</v>
      </c>
      <c r="N251">
        <v>0</v>
      </c>
      <c r="O251">
        <v>0.003435800460030421</v>
      </c>
      <c r="P251">
        <v>0.01028683656</v>
      </c>
      <c r="Q251">
        <v>4.1951165568137005E-05</v>
      </c>
      <c r="R251">
        <v>10000</v>
      </c>
      <c r="S251">
        <v>0</v>
      </c>
      <c r="T251">
        <v>0</v>
      </c>
      <c r="V251">
        <v>600</v>
      </c>
      <c r="W251">
        <v>10</v>
      </c>
      <c r="X251">
        <v>97</v>
      </c>
      <c r="Y251">
        <v>3</v>
      </c>
      <c r="Z251">
        <v>4</v>
      </c>
      <c r="AA251">
        <v>5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100</v>
      </c>
      <c r="AM251">
        <v>23.50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10</v>
      </c>
      <c r="AU251">
        <v>2</v>
      </c>
      <c r="AV251">
        <v>0</v>
      </c>
    </row>
    <row r="252" spans="1:48" ht="12.75">
      <c r="A252" s="2" t="str">
        <f>HYPERLINK("https://ibp.a2mac1.com/costing(costing:projects/details/8191/equipment/6944580)","Assembly line for Airbags")</f>
        <v>Assembly line for Airbags</v>
      </c>
      <c r="B252">
        <v>6944580</v>
      </c>
      <c r="C252">
        <v>6972121</v>
      </c>
      <c r="F252" t="s">
        <v>2870</v>
      </c>
      <c r="G252" t="s">
        <v>2871</v>
      </c>
      <c r="H252" t="s">
        <v>79</v>
      </c>
      <c r="I252">
        <v>41662.360800000002</v>
      </c>
      <c r="J252">
        <v>0</v>
      </c>
      <c r="K252">
        <v>0.82767999999999997</v>
      </c>
      <c r="L252">
        <v>0</v>
      </c>
      <c r="M252">
        <v>9.9344560848601731</v>
      </c>
      <c r="N252">
        <v>0</v>
      </c>
      <c r="O252">
        <v>0.11038284538733527</v>
      </c>
      <c r="P252">
        <v>0.69779111111111114</v>
      </c>
      <c r="Q252">
        <v>0.0011247348042430086</v>
      </c>
      <c r="R252">
        <v>300000</v>
      </c>
      <c r="S252">
        <v>0</v>
      </c>
      <c r="T252">
        <v>0</v>
      </c>
      <c r="V252">
        <v>1800</v>
      </c>
      <c r="W252">
        <v>10</v>
      </c>
      <c r="X252">
        <v>85</v>
      </c>
      <c r="Y252">
        <v>3</v>
      </c>
      <c r="Z252">
        <v>4</v>
      </c>
      <c r="AA252">
        <v>5</v>
      </c>
      <c r="AB252">
        <v>0</v>
      </c>
      <c r="AC252">
        <v>0</v>
      </c>
      <c r="AD252">
        <v>5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100</v>
      </c>
      <c r="AM252">
        <v>10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30</v>
      </c>
      <c r="AU252">
        <v>0</v>
      </c>
      <c r="AV252">
        <v>0</v>
      </c>
    </row>
    <row r="253" spans="1:48" ht="12.75">
      <c r="A253" s="2" t="str">
        <f>HYPERLINK("https://ibp.a2mac1.com/costing(costing:projects/details/8191/equipment/6944579)","Equipment (Injection Molding)")</f>
        <v>Equipment (Injection Molding)</v>
      </c>
      <c r="B253">
        <v>6944579</v>
      </c>
      <c r="C253">
        <v>6972120</v>
      </c>
      <c r="H253" t="s">
        <v>136</v>
      </c>
      <c r="I253">
        <v>685.17672600000003</v>
      </c>
      <c r="J253">
        <v>0</v>
      </c>
      <c r="K253">
        <v>0.02912</v>
      </c>
      <c r="L253">
        <v>0</v>
      </c>
      <c r="M253">
        <v>0.1684926657023465</v>
      </c>
      <c r="N253">
        <v>0</v>
      </c>
      <c r="O253">
        <v>0.0028082110950391087</v>
      </c>
      <c r="P253">
        <v>0.0001790308</v>
      </c>
      <c r="Q253">
        <v>1.4794049009435873E-05</v>
      </c>
      <c r="R253">
        <v>3640</v>
      </c>
      <c r="S253">
        <v>0</v>
      </c>
      <c r="T253">
        <v>0</v>
      </c>
      <c r="V253">
        <v>35.10</v>
      </c>
      <c r="W253">
        <v>7</v>
      </c>
      <c r="X253">
        <v>85</v>
      </c>
      <c r="Y253">
        <v>3</v>
      </c>
      <c r="Z253">
        <v>4</v>
      </c>
      <c r="AA253">
        <v>5</v>
      </c>
      <c r="AB253">
        <v>0</v>
      </c>
      <c r="AC253">
        <v>0</v>
      </c>
      <c r="AD253">
        <v>0</v>
      </c>
      <c r="AE253">
        <v>0</v>
      </c>
      <c r="AF253">
        <v>0.0025999999999999999</v>
      </c>
      <c r="AG253">
        <v>0</v>
      </c>
      <c r="AH253">
        <v>0</v>
      </c>
      <c r="AI253">
        <v>2</v>
      </c>
      <c r="AJ253">
        <v>0</v>
      </c>
      <c r="AK253">
        <v>0</v>
      </c>
      <c r="AL253">
        <v>80</v>
      </c>
      <c r="AM253">
        <v>0.455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0.975</v>
      </c>
      <c r="AU253">
        <v>0</v>
      </c>
      <c r="AV253">
        <v>0</v>
      </c>
    </row>
    <row r="254" spans="1:48" ht="12.75">
      <c r="A254" s="2" t="str">
        <f>HYPERLINK("https://ibp.a2mac1.com/costing(costing:projects/details/8191/equipment/6944830)","Equipment")</f>
        <v>Equipment</v>
      </c>
      <c r="B254">
        <v>6944830</v>
      </c>
      <c r="C254">
        <v>6972329</v>
      </c>
      <c r="H254" t="s">
        <v>136</v>
      </c>
      <c r="I254">
        <v>78900.735293999998</v>
      </c>
      <c r="J254">
        <v>0</v>
      </c>
      <c r="K254">
        <v>3.3532799999999998</v>
      </c>
      <c r="L254">
        <v>0</v>
      </c>
      <c r="M254">
        <v>19.402578504339441</v>
      </c>
      <c r="N254">
        <v>0</v>
      </c>
      <c r="O254">
        <v>3.2337630840565734</v>
      </c>
      <c r="P254">
        <v>0.20616085200000001</v>
      </c>
      <c r="Q254">
        <v>0.0029992958361448265</v>
      </c>
      <c r="R254">
        <v>419160</v>
      </c>
      <c r="S254">
        <v>0</v>
      </c>
      <c r="T254">
        <v>0</v>
      </c>
      <c r="V254">
        <v>4041.90</v>
      </c>
      <c r="W254">
        <v>7</v>
      </c>
      <c r="X254">
        <v>85</v>
      </c>
      <c r="Y254">
        <v>3</v>
      </c>
      <c r="Z254">
        <v>4</v>
      </c>
      <c r="AA254">
        <v>5</v>
      </c>
      <c r="AB254">
        <v>0</v>
      </c>
      <c r="AC254">
        <v>0</v>
      </c>
      <c r="AD254">
        <v>0</v>
      </c>
      <c r="AE254">
        <v>0</v>
      </c>
      <c r="AF254">
        <v>0.2994</v>
      </c>
      <c r="AG254">
        <v>0</v>
      </c>
      <c r="AH254">
        <v>0</v>
      </c>
      <c r="AI254">
        <v>2</v>
      </c>
      <c r="AJ254">
        <v>0</v>
      </c>
      <c r="AK254">
        <v>0</v>
      </c>
      <c r="AL254">
        <v>80</v>
      </c>
      <c r="AM254">
        <v>52.395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112.275</v>
      </c>
      <c r="AU254">
        <v>0</v>
      </c>
      <c r="AV254">
        <v>0</v>
      </c>
    </row>
    <row r="255" spans="1:48" ht="12.75">
      <c r="A255" s="2" t="str">
        <f>HYPERLINK("https://ibp.a2mac1.com/costing(costing:projects/details/8191/equipment/6944831)","Equipment")</f>
        <v>Equipment</v>
      </c>
      <c r="B255">
        <v>6944831</v>
      </c>
      <c r="C255">
        <v>6972330</v>
      </c>
      <c r="H255" t="s">
        <v>136</v>
      </c>
      <c r="I255">
        <v>78900.735293999998</v>
      </c>
      <c r="J255">
        <v>0</v>
      </c>
      <c r="K255">
        <v>3.3532799999999998</v>
      </c>
      <c r="L255">
        <v>0</v>
      </c>
      <c r="M255">
        <v>19.402578504339441</v>
      </c>
      <c r="N255">
        <v>0</v>
      </c>
      <c r="O255">
        <v>3.2337630840565734</v>
      </c>
      <c r="P255">
        <v>0.20616085200000001</v>
      </c>
      <c r="Q255">
        <v>0.0029992958361448265</v>
      </c>
      <c r="R255">
        <v>419160</v>
      </c>
      <c r="S255">
        <v>0</v>
      </c>
      <c r="T255">
        <v>0</v>
      </c>
      <c r="V255">
        <v>4041.90</v>
      </c>
      <c r="W255">
        <v>7</v>
      </c>
      <c r="X255">
        <v>85</v>
      </c>
      <c r="Y255">
        <v>3</v>
      </c>
      <c r="Z255">
        <v>4</v>
      </c>
      <c r="AA255">
        <v>5</v>
      </c>
      <c r="AB255">
        <v>0</v>
      </c>
      <c r="AC255">
        <v>0</v>
      </c>
      <c r="AD255">
        <v>0</v>
      </c>
      <c r="AE255">
        <v>0</v>
      </c>
      <c r="AF255">
        <v>0.2994</v>
      </c>
      <c r="AG255">
        <v>0</v>
      </c>
      <c r="AH255">
        <v>0</v>
      </c>
      <c r="AI255">
        <v>2</v>
      </c>
      <c r="AJ255">
        <v>0</v>
      </c>
      <c r="AK255">
        <v>0</v>
      </c>
      <c r="AL255">
        <v>80</v>
      </c>
      <c r="AM255">
        <v>52.395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112.275</v>
      </c>
      <c r="AU255">
        <v>0</v>
      </c>
      <c r="AV255">
        <v>0</v>
      </c>
    </row>
    <row r="256" spans="1:48" ht="12.75">
      <c r="A256" s="2" t="str">
        <f>HYPERLINK("https://ibp.a2mac1.com/costing(costing:projects/details/8191/equipment/6944676)","Equipment")</f>
        <v>Equipment</v>
      </c>
      <c r="B256">
        <v>6944676</v>
      </c>
      <c r="C256">
        <v>6972181</v>
      </c>
      <c r="H256" t="s">
        <v>136</v>
      </c>
      <c r="I256">
        <v>78900.735293999998</v>
      </c>
      <c r="J256">
        <v>0</v>
      </c>
      <c r="K256">
        <v>3.3532799999999998</v>
      </c>
      <c r="L256">
        <v>0</v>
      </c>
      <c r="M256">
        <v>19.402578504339441</v>
      </c>
      <c r="N256">
        <v>0</v>
      </c>
      <c r="O256">
        <v>0.32337630840565734</v>
      </c>
      <c r="P256">
        <v>0.020616085199999998</v>
      </c>
      <c r="Q256">
        <v>0.0029992958361448265</v>
      </c>
      <c r="R256">
        <v>419160</v>
      </c>
      <c r="S256">
        <v>0</v>
      </c>
      <c r="T256">
        <v>0</v>
      </c>
      <c r="V256">
        <v>4041.90</v>
      </c>
      <c r="W256">
        <v>7</v>
      </c>
      <c r="X256">
        <v>85</v>
      </c>
      <c r="Y256">
        <v>3</v>
      </c>
      <c r="Z256">
        <v>4</v>
      </c>
      <c r="AA256">
        <v>5</v>
      </c>
      <c r="AB256">
        <v>0</v>
      </c>
      <c r="AC256">
        <v>0</v>
      </c>
      <c r="AD256">
        <v>0</v>
      </c>
      <c r="AE256">
        <v>0</v>
      </c>
      <c r="AF256">
        <v>0.2994</v>
      </c>
      <c r="AG256">
        <v>0</v>
      </c>
      <c r="AH256">
        <v>0</v>
      </c>
      <c r="AI256">
        <v>2</v>
      </c>
      <c r="AJ256">
        <v>0</v>
      </c>
      <c r="AK256">
        <v>0</v>
      </c>
      <c r="AL256">
        <v>80</v>
      </c>
      <c r="AM256">
        <v>52.395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112.275</v>
      </c>
      <c r="AU256">
        <v>0</v>
      </c>
      <c r="AV256">
        <v>0</v>
      </c>
    </row>
    <row r="257" spans="1:48" ht="12.75">
      <c r="A257" s="2" t="str">
        <f>HYPERLINK("https://ibp.a2mac1.com/costing(costing:projects/details/8191/equipment/6944677)","Equipment (Injection Molding)")</f>
        <v>Equipment (Injection Molding)</v>
      </c>
      <c r="B257">
        <v>6944677</v>
      </c>
      <c r="C257">
        <v>6972182</v>
      </c>
      <c r="H257" t="s">
        <v>136</v>
      </c>
      <c r="I257">
        <v>3689.4131400000001</v>
      </c>
      <c r="J257">
        <v>0</v>
      </c>
      <c r="K257">
        <v>0.15679999999999999</v>
      </c>
      <c r="L257">
        <v>0</v>
      </c>
      <c r="M257">
        <v>0.90726819993571195</v>
      </c>
      <c r="N257">
        <v>0</v>
      </c>
      <c r="O257">
        <v>0.015121136665595199</v>
      </c>
      <c r="P257">
        <v>0.00096401199999999999</v>
      </c>
      <c r="Q257">
        <v>8.1987406829797497E-05</v>
      </c>
      <c r="R257">
        <v>19600</v>
      </c>
      <c r="S257">
        <v>0</v>
      </c>
      <c r="T257">
        <v>0</v>
      </c>
      <c r="V257">
        <v>189</v>
      </c>
      <c r="W257">
        <v>7</v>
      </c>
      <c r="X257">
        <v>85</v>
      </c>
      <c r="Y257">
        <v>3</v>
      </c>
      <c r="Z257">
        <v>4</v>
      </c>
      <c r="AA257">
        <v>5</v>
      </c>
      <c r="AB257">
        <v>0</v>
      </c>
      <c r="AC257">
        <v>0</v>
      </c>
      <c r="AD257">
        <v>0</v>
      </c>
      <c r="AE257">
        <v>0</v>
      </c>
      <c r="AF257">
        <v>0.014</v>
      </c>
      <c r="AG257">
        <v>0</v>
      </c>
      <c r="AH257">
        <v>0</v>
      </c>
      <c r="AI257">
        <v>2</v>
      </c>
      <c r="AJ257">
        <v>0</v>
      </c>
      <c r="AK257">
        <v>0</v>
      </c>
      <c r="AL257">
        <v>80</v>
      </c>
      <c r="AM257">
        <v>2.45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5.25</v>
      </c>
      <c r="AU257">
        <v>0</v>
      </c>
      <c r="AV257">
        <v>0</v>
      </c>
    </row>
    <row r="258" spans="1:48" ht="12.75">
      <c r="A258" s="2" t="str">
        <f>HYPERLINK("https://ibp.a2mac1.com/costing(costing:projects/details/8191/equipment/6944832)","No.01 - Progressive Press - 250T ")</f>
        <v xml:space="preserve">No.01 - Progressive Press - 250T </v>
      </c>
      <c r="B258">
        <v>6944832</v>
      </c>
      <c r="C258">
        <v>6972331</v>
      </c>
      <c r="E258" t="s">
        <v>499</v>
      </c>
      <c r="H258" t="s">
        <v>136</v>
      </c>
      <c r="I258">
        <v>295789.00731428573</v>
      </c>
      <c r="J258">
        <v>0</v>
      </c>
      <c r="K258">
        <v>5.82</v>
      </c>
      <c r="L258">
        <v>0</v>
      </c>
      <c r="M258">
        <v>66.618618983331032</v>
      </c>
      <c r="N258">
        <v>0</v>
      </c>
      <c r="O258">
        <v>0.031647730103189602</v>
      </c>
      <c r="P258">
        <v>0.0019626940030000001</v>
      </c>
      <c r="Q258">
        <v>0.0023753657694999312</v>
      </c>
      <c r="R258">
        <v>1650000</v>
      </c>
      <c r="S258">
        <v>0</v>
      </c>
      <c r="T258">
        <v>0</v>
      </c>
      <c r="V258">
        <v>1800</v>
      </c>
      <c r="W258">
        <v>7</v>
      </c>
      <c r="X258">
        <v>85</v>
      </c>
      <c r="Y258">
        <v>3</v>
      </c>
      <c r="Z258">
        <v>4</v>
      </c>
      <c r="AA258">
        <v>5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87</v>
      </c>
      <c r="AM258">
        <v>75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60</v>
      </c>
      <c r="AU258">
        <v>0.60</v>
      </c>
      <c r="AV258">
        <v>0</v>
      </c>
    </row>
    <row r="259" spans="1:48" ht="12.75">
      <c r="A259" s="2" t="str">
        <f>HYPERLINK("https://ibp.a2mac1.com/costing(costing:projects/details/8191/equipment/6944833)","No.05 - Cleaning - Batch - 2000x2000x1200 - 500kg/batch - 3000kg/h ")</f>
        <v xml:space="preserve">No.05 - Cleaning - Batch - 2000x2000x1200 - 500kg/batch - 3000kg/h </v>
      </c>
      <c r="B259">
        <v>6944833</v>
      </c>
      <c r="C259">
        <v>6972332</v>
      </c>
      <c r="E259" t="s">
        <v>499</v>
      </c>
      <c r="H259" t="s">
        <v>136</v>
      </c>
      <c r="I259">
        <v>36749.814400000003</v>
      </c>
      <c r="J259">
        <v>0</v>
      </c>
      <c r="K259">
        <v>7.60</v>
      </c>
      <c r="L259">
        <v>0</v>
      </c>
      <c r="M259">
        <v>15.274351398264224</v>
      </c>
      <c r="N259">
        <v>0</v>
      </c>
      <c r="O259">
        <v>0.042428753884067291</v>
      </c>
      <c r="P259">
        <v>0.0011476333333333333</v>
      </c>
      <c r="Q259">
        <v>0</v>
      </c>
      <c r="R259">
        <v>220000</v>
      </c>
      <c r="S259">
        <v>0</v>
      </c>
      <c r="T259">
        <v>0</v>
      </c>
      <c r="V259">
        <v>0</v>
      </c>
      <c r="W259">
        <v>8</v>
      </c>
      <c r="X259">
        <v>85</v>
      </c>
      <c r="Y259">
        <v>3</v>
      </c>
      <c r="Z259">
        <v>4</v>
      </c>
      <c r="AA259">
        <v>5</v>
      </c>
      <c r="AB259">
        <v>0</v>
      </c>
      <c r="AC259">
        <v>0</v>
      </c>
      <c r="AD259">
        <v>0</v>
      </c>
      <c r="AE259">
        <v>0</v>
      </c>
      <c r="AF259">
        <v>0.10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100</v>
      </c>
      <c r="AM259">
        <v>60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40</v>
      </c>
      <c r="AU259">
        <v>2.80</v>
      </c>
      <c r="AV259">
        <v>0</v>
      </c>
    </row>
    <row r="260" spans="1:48" ht="12.75">
      <c r="A260" s="2" t="str">
        <f>HYPERLINK("https://ibp.a2mac1.com/costing(costing:projects/details/8191/equipment/6944834)","No.02 - cataphoresis line - tank : 1500x1000x1500 ")</f>
        <v xml:space="preserve">No.02 - cataphoresis line - tank : 1500x1000x1500 </v>
      </c>
      <c r="B260">
        <v>6944834</v>
      </c>
      <c r="C260">
        <v>6972333</v>
      </c>
      <c r="F260" t="s">
        <v>2932</v>
      </c>
      <c r="H260" t="s">
        <v>136</v>
      </c>
      <c r="I260">
        <v>317206.38453333336</v>
      </c>
      <c r="J260">
        <v>0</v>
      </c>
      <c r="K260">
        <v>6.2129700000000003</v>
      </c>
      <c r="L260">
        <v>0</v>
      </c>
      <c r="M260">
        <v>80.980952085074463</v>
      </c>
      <c r="N260">
        <v>0</v>
      </c>
      <c r="O260">
        <v>0.10797460278009929</v>
      </c>
      <c r="P260">
        <v>0.033309760000000001</v>
      </c>
      <c r="Q260">
        <v>0.0056124715251044677</v>
      </c>
      <c r="R260">
        <v>2960000</v>
      </c>
      <c r="S260">
        <v>0</v>
      </c>
      <c r="T260">
        <v>0</v>
      </c>
      <c r="V260">
        <v>3600</v>
      </c>
      <c r="W260">
        <v>15</v>
      </c>
      <c r="X260">
        <v>85</v>
      </c>
      <c r="Y260">
        <v>3</v>
      </c>
      <c r="Z260">
        <v>4</v>
      </c>
      <c r="AA260">
        <v>5</v>
      </c>
      <c r="AB260">
        <v>0</v>
      </c>
      <c r="AC260">
        <v>2</v>
      </c>
      <c r="AD260">
        <v>0</v>
      </c>
      <c r="AE260">
        <v>0</v>
      </c>
      <c r="AF260">
        <v>2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10</v>
      </c>
      <c r="AM260">
        <v>755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0.25</v>
      </c>
      <c r="AT260">
        <v>420</v>
      </c>
      <c r="AU260">
        <v>0</v>
      </c>
      <c r="AV260">
        <v>0</v>
      </c>
    </row>
    <row r="261" spans="1:48" ht="12.75">
      <c r="A261" s="2" t="str">
        <f>HYPERLINK("https://ibp.a2mac1.com/costing(costing:projects/details/8191/equipment/6944835)","Equipment")</f>
        <v>Equipment</v>
      </c>
      <c r="B261">
        <v>6944835</v>
      </c>
      <c r="C261">
        <v>6972334</v>
      </c>
      <c r="H261" t="s">
        <v>136</v>
      </c>
      <c r="I261">
        <v>8512.0031729999992</v>
      </c>
      <c r="J261">
        <v>0</v>
      </c>
      <c r="K261">
        <v>0.36176000000000003</v>
      </c>
      <c r="L261">
        <v>0</v>
      </c>
      <c r="M261">
        <v>2.0931973469945353</v>
      </c>
      <c r="N261">
        <v>0</v>
      </c>
      <c r="O261">
        <v>0.034886622449908929</v>
      </c>
      <c r="P261">
        <v>0.0022241133999999999</v>
      </c>
      <c r="Q261">
        <v>0.00019777540011928278</v>
      </c>
      <c r="R261">
        <v>45220</v>
      </c>
      <c r="S261">
        <v>0</v>
      </c>
      <c r="T261">
        <v>0</v>
      </c>
      <c r="V261">
        <v>436.05</v>
      </c>
      <c r="W261">
        <v>7</v>
      </c>
      <c r="X261">
        <v>85</v>
      </c>
      <c r="Y261">
        <v>3</v>
      </c>
      <c r="Z261">
        <v>4</v>
      </c>
      <c r="AA261">
        <v>5</v>
      </c>
      <c r="AB261">
        <v>0</v>
      </c>
      <c r="AC261">
        <v>0</v>
      </c>
      <c r="AD261">
        <v>0</v>
      </c>
      <c r="AE261">
        <v>0</v>
      </c>
      <c r="AF261">
        <v>0.032300000000000002</v>
      </c>
      <c r="AG261">
        <v>0</v>
      </c>
      <c r="AH261">
        <v>0</v>
      </c>
      <c r="AI261">
        <v>2</v>
      </c>
      <c r="AJ261">
        <v>0</v>
      </c>
      <c r="AK261">
        <v>0</v>
      </c>
      <c r="AL261">
        <v>80</v>
      </c>
      <c r="AM261">
        <v>5.6525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12.1125</v>
      </c>
      <c r="AU261">
        <v>0</v>
      </c>
      <c r="AV261">
        <v>0</v>
      </c>
    </row>
    <row r="262" spans="1:48" ht="12.75">
      <c r="A262" s="2" t="str">
        <f>HYPERLINK("https://ibp.a2mac1.com/costing(costing:projects/details/8191/equipment/6944836)","Equipment (Injection Molding)")</f>
        <v>Equipment (Injection Molding)</v>
      </c>
      <c r="B262">
        <v>6944836</v>
      </c>
      <c r="C262">
        <v>6972335</v>
      </c>
      <c r="H262" t="s">
        <v>136</v>
      </c>
      <c r="I262">
        <v>5876.7080729999998</v>
      </c>
      <c r="J262">
        <v>0</v>
      </c>
      <c r="K262">
        <v>0.24976000000000001</v>
      </c>
      <c r="L262">
        <v>0</v>
      </c>
      <c r="M262">
        <v>1.4451486327547411</v>
      </c>
      <c r="N262">
        <v>0</v>
      </c>
      <c r="O262">
        <v>0.024085810545912353</v>
      </c>
      <c r="P262">
        <v>0.0015355334000000001</v>
      </c>
      <c r="Q262">
        <v>0.00013329304166484691</v>
      </c>
      <c r="R262">
        <v>31220</v>
      </c>
      <c r="S262">
        <v>0</v>
      </c>
      <c r="T262">
        <v>0</v>
      </c>
      <c r="V262">
        <v>301.05</v>
      </c>
      <c r="W262">
        <v>7</v>
      </c>
      <c r="X262">
        <v>85</v>
      </c>
      <c r="Y262">
        <v>3</v>
      </c>
      <c r="Z262">
        <v>4</v>
      </c>
      <c r="AA262">
        <v>5</v>
      </c>
      <c r="AB262">
        <v>0</v>
      </c>
      <c r="AC262">
        <v>0</v>
      </c>
      <c r="AD262">
        <v>0</v>
      </c>
      <c r="AE262">
        <v>0</v>
      </c>
      <c r="AF262">
        <v>0.0223</v>
      </c>
      <c r="AG262">
        <v>0</v>
      </c>
      <c r="AH262">
        <v>0</v>
      </c>
      <c r="AI262">
        <v>2</v>
      </c>
      <c r="AJ262">
        <v>0</v>
      </c>
      <c r="AK262">
        <v>0</v>
      </c>
      <c r="AL262">
        <v>80</v>
      </c>
      <c r="AM262">
        <v>3.9025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8.3625</v>
      </c>
      <c r="AU262">
        <v>0</v>
      </c>
      <c r="AV262">
        <v>0</v>
      </c>
    </row>
    <row r="263" spans="1:48" ht="12.75">
      <c r="A263" s="2" t="str">
        <f>HYPERLINK("https://ibp.a2mac1.com/costing(costing:projects/details/8191/equipment/6944678)","Dummy Machine (PCBA+Final Assembly Line)")</f>
        <v>Dummy Machine (PCBA+Final Assembly Line)</v>
      </c>
      <c r="B263">
        <v>6944678</v>
      </c>
      <c r="C263">
        <v>6972183</v>
      </c>
      <c r="F263" t="s">
        <v>559</v>
      </c>
      <c r="H263" t="s">
        <v>136</v>
      </c>
      <c r="I263">
        <v>79501.662769714283</v>
      </c>
      <c r="J263">
        <v>0</v>
      </c>
      <c r="K263">
        <v>0.28895999999999999</v>
      </c>
      <c r="L263">
        <v>0</v>
      </c>
      <c r="M263">
        <v>16.624578413647427</v>
      </c>
      <c r="N263">
        <v>0</v>
      </c>
      <c r="O263">
        <v>0.50797322930589361</v>
      </c>
      <c r="P263">
        <v>0.088367766666666667</v>
      </c>
      <c r="Q263">
        <v>6.889185508913073E-05</v>
      </c>
      <c r="R263">
        <v>442771.10</v>
      </c>
      <c r="S263">
        <v>0</v>
      </c>
      <c r="T263">
        <v>0</v>
      </c>
      <c r="V263">
        <v>216</v>
      </c>
      <c r="W263">
        <v>7</v>
      </c>
      <c r="X263">
        <v>85</v>
      </c>
      <c r="Y263">
        <v>3</v>
      </c>
      <c r="Z263">
        <v>4</v>
      </c>
      <c r="AA263">
        <v>5</v>
      </c>
      <c r="AB263">
        <v>0</v>
      </c>
      <c r="AC263">
        <v>0</v>
      </c>
      <c r="AD263">
        <v>0</v>
      </c>
      <c r="AE263">
        <v>0</v>
      </c>
      <c r="AF263">
        <v>0.70</v>
      </c>
      <c r="AG263">
        <v>0</v>
      </c>
      <c r="AH263">
        <v>0</v>
      </c>
      <c r="AI263">
        <v>0.20</v>
      </c>
      <c r="AJ263">
        <v>0</v>
      </c>
      <c r="AK263">
        <v>0</v>
      </c>
      <c r="AL263">
        <v>86</v>
      </c>
      <c r="AM263">
        <v>4.20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19.40</v>
      </c>
      <c r="AU263">
        <v>0</v>
      </c>
      <c r="AV263">
        <v>0</v>
      </c>
    </row>
    <row r="264" spans="1:48" ht="12.75">
      <c r="A264" s="2" t="str">
        <f>HYPERLINK("https://ibp.a2mac1.com/costing(costing:projects/details/8191/equipment/6944581)","Dummy Machine (PCBA+Final Assembly Line)")</f>
        <v>Dummy Machine (PCBA+Final Assembly Line)</v>
      </c>
      <c r="B264">
        <v>6944581</v>
      </c>
      <c r="C264">
        <v>6972122</v>
      </c>
      <c r="F264" t="s">
        <v>559</v>
      </c>
      <c r="H264" t="s">
        <v>136</v>
      </c>
      <c r="I264">
        <v>79501.662769714283</v>
      </c>
      <c r="J264">
        <v>0</v>
      </c>
      <c r="K264">
        <v>0.28895999999999999</v>
      </c>
      <c r="L264">
        <v>0</v>
      </c>
      <c r="M264">
        <v>16.624578413647427</v>
      </c>
      <c r="N264">
        <v>0</v>
      </c>
      <c r="O264">
        <v>0.27707630689412377</v>
      </c>
      <c r="P264">
        <v>0.048200600000000003</v>
      </c>
      <c r="Q264">
        <v>6.889185508913073E-05</v>
      </c>
      <c r="R264">
        <v>442771.10</v>
      </c>
      <c r="S264">
        <v>0</v>
      </c>
      <c r="T264">
        <v>0</v>
      </c>
      <c r="V264">
        <v>216</v>
      </c>
      <c r="W264">
        <v>7</v>
      </c>
      <c r="X264">
        <v>85</v>
      </c>
      <c r="Y264">
        <v>3</v>
      </c>
      <c r="Z264">
        <v>4</v>
      </c>
      <c r="AA264">
        <v>5</v>
      </c>
      <c r="AB264">
        <v>0</v>
      </c>
      <c r="AC264">
        <v>0</v>
      </c>
      <c r="AD264">
        <v>0</v>
      </c>
      <c r="AE264">
        <v>0</v>
      </c>
      <c r="AF264">
        <v>0.70</v>
      </c>
      <c r="AG264">
        <v>0</v>
      </c>
      <c r="AH264">
        <v>0</v>
      </c>
      <c r="AI264">
        <v>0.20</v>
      </c>
      <c r="AJ264">
        <v>0</v>
      </c>
      <c r="AK264">
        <v>0</v>
      </c>
      <c r="AL264">
        <v>86</v>
      </c>
      <c r="AM264">
        <v>4.20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19.40</v>
      </c>
      <c r="AU264">
        <v>0</v>
      </c>
      <c r="AV264">
        <v>0</v>
      </c>
    </row>
    <row r="265" spans="1:48" ht="12.75">
      <c r="A265" s="2" t="str">
        <f>HYPERLINK("https://ibp.a2mac1.com/costing(costing:projects/details/8191/equipment/6944582)","Dummy Machine (PCBA+Final Assembly Line)")</f>
        <v>Dummy Machine (PCBA+Final Assembly Line)</v>
      </c>
      <c r="B265">
        <v>6944582</v>
      </c>
      <c r="C265">
        <v>6972123</v>
      </c>
      <c r="F265" t="s">
        <v>559</v>
      </c>
      <c r="H265" t="s">
        <v>136</v>
      </c>
      <c r="I265">
        <v>79501.662769714283</v>
      </c>
      <c r="J265">
        <v>0</v>
      </c>
      <c r="K265">
        <v>0.28895999999999999</v>
      </c>
      <c r="L265">
        <v>0</v>
      </c>
      <c r="M265">
        <v>16.624578413647427</v>
      </c>
      <c r="N265">
        <v>0</v>
      </c>
      <c r="O265">
        <v>0.92358768964707927</v>
      </c>
      <c r="P265">
        <v>0.16066866666666665</v>
      </c>
      <c r="Q265">
        <v>6.889185508913073E-05</v>
      </c>
      <c r="R265">
        <v>442771.10</v>
      </c>
      <c r="S265">
        <v>0</v>
      </c>
      <c r="T265">
        <v>0</v>
      </c>
      <c r="V265">
        <v>216</v>
      </c>
      <c r="W265">
        <v>7</v>
      </c>
      <c r="X265">
        <v>85</v>
      </c>
      <c r="Y265">
        <v>3</v>
      </c>
      <c r="Z265">
        <v>4</v>
      </c>
      <c r="AA265">
        <v>5</v>
      </c>
      <c r="AB265">
        <v>0</v>
      </c>
      <c r="AC265">
        <v>0</v>
      </c>
      <c r="AD265">
        <v>0</v>
      </c>
      <c r="AE265">
        <v>0</v>
      </c>
      <c r="AF265">
        <v>0.70</v>
      </c>
      <c r="AG265">
        <v>0</v>
      </c>
      <c r="AH265">
        <v>0</v>
      </c>
      <c r="AI265">
        <v>0.20</v>
      </c>
      <c r="AJ265">
        <v>0</v>
      </c>
      <c r="AK265">
        <v>0</v>
      </c>
      <c r="AL265">
        <v>86</v>
      </c>
      <c r="AM265">
        <v>4.20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19.40</v>
      </c>
      <c r="AU265">
        <v>0</v>
      </c>
      <c r="AV265">
        <v>0</v>
      </c>
    </row>
    <row r="266" spans="1:48" ht="12.75">
      <c r="A266" s="2" t="str">
        <f>HYPERLINK("https://ibp.a2mac1.com/costing(costing:projects/details/8191/equipment/6944583)","Equipment (Injection Molding)")</f>
        <v>Equipment (Injection Molding)</v>
      </c>
      <c r="B266">
        <v>6944583</v>
      </c>
      <c r="C266">
        <v>6972124</v>
      </c>
      <c r="H266" t="s">
        <v>136</v>
      </c>
      <c r="I266">
        <v>263.52951000000002</v>
      </c>
      <c r="J266">
        <v>0</v>
      </c>
      <c r="K266">
        <v>0.0112</v>
      </c>
      <c r="L266">
        <v>0</v>
      </c>
      <c r="M266">
        <v>0.064804871423979421</v>
      </c>
      <c r="N266">
        <v>0</v>
      </c>
      <c r="O266">
        <v>0.0010800811903996571</v>
      </c>
      <c r="P266">
        <v>6.8857999999999997E-05</v>
      </c>
      <c r="Q266">
        <v>5.6666890960703958E-06</v>
      </c>
      <c r="R266">
        <v>1400</v>
      </c>
      <c r="S266">
        <v>0</v>
      </c>
      <c r="T266">
        <v>0</v>
      </c>
      <c r="V266">
        <v>13.50</v>
      </c>
      <c r="W266">
        <v>7</v>
      </c>
      <c r="X266">
        <v>85</v>
      </c>
      <c r="Y266">
        <v>3</v>
      </c>
      <c r="Z266">
        <v>4</v>
      </c>
      <c r="AA266">
        <v>5</v>
      </c>
      <c r="AB266">
        <v>0</v>
      </c>
      <c r="AC266">
        <v>0</v>
      </c>
      <c r="AD266">
        <v>0</v>
      </c>
      <c r="AE266">
        <v>0</v>
      </c>
      <c r="AF266">
        <v>0.001</v>
      </c>
      <c r="AG266">
        <v>0</v>
      </c>
      <c r="AH266">
        <v>0</v>
      </c>
      <c r="AI266">
        <v>2</v>
      </c>
      <c r="AJ266">
        <v>0</v>
      </c>
      <c r="AK266">
        <v>0</v>
      </c>
      <c r="AL266">
        <v>80</v>
      </c>
      <c r="AM266">
        <v>0.175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0.375</v>
      </c>
      <c r="AU266">
        <v>0</v>
      </c>
      <c r="AV266">
        <v>0</v>
      </c>
    </row>
    <row r="267" spans="1:48" ht="12.75">
      <c r="A267" s="2" t="str">
        <f>HYPERLINK("https://ibp.a2mac1.com/costing(costing:projects/details/8191/equipment/6944584)","Equipment (Injection Molding)")</f>
        <v>Equipment (Injection Molding)</v>
      </c>
      <c r="B267">
        <v>6944584</v>
      </c>
      <c r="C267">
        <v>6972125</v>
      </c>
      <c r="H267" t="s">
        <v>136</v>
      </c>
      <c r="I267">
        <v>263.52951000000002</v>
      </c>
      <c r="J267">
        <v>0</v>
      </c>
      <c r="K267">
        <v>0.0112</v>
      </c>
      <c r="L267">
        <v>0</v>
      </c>
      <c r="M267">
        <v>0.064804871423979421</v>
      </c>
      <c r="N267">
        <v>0</v>
      </c>
      <c r="O267">
        <v>0.0010800811903996571</v>
      </c>
      <c r="P267">
        <v>6.8857999999999997E-05</v>
      </c>
      <c r="Q267">
        <v>5.6666890960703958E-06</v>
      </c>
      <c r="R267">
        <v>1400</v>
      </c>
      <c r="S267">
        <v>0</v>
      </c>
      <c r="T267">
        <v>0</v>
      </c>
      <c r="V267">
        <v>13.50</v>
      </c>
      <c r="W267">
        <v>7</v>
      </c>
      <c r="X267">
        <v>85</v>
      </c>
      <c r="Y267">
        <v>3</v>
      </c>
      <c r="Z267">
        <v>4</v>
      </c>
      <c r="AA267">
        <v>5</v>
      </c>
      <c r="AB267">
        <v>0</v>
      </c>
      <c r="AC267">
        <v>0</v>
      </c>
      <c r="AD267">
        <v>0</v>
      </c>
      <c r="AE267">
        <v>0</v>
      </c>
      <c r="AF267">
        <v>0.001</v>
      </c>
      <c r="AG267">
        <v>0</v>
      </c>
      <c r="AH267">
        <v>0</v>
      </c>
      <c r="AI267">
        <v>2</v>
      </c>
      <c r="AJ267">
        <v>0</v>
      </c>
      <c r="AK267">
        <v>0</v>
      </c>
      <c r="AL267">
        <v>80</v>
      </c>
      <c r="AM267">
        <v>0.175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0.375</v>
      </c>
      <c r="AU267">
        <v>0</v>
      </c>
      <c r="AV267">
        <v>0</v>
      </c>
    </row>
    <row r="268" spans="1:48" ht="12.75">
      <c r="A268" s="2" t="str">
        <f>HYPERLINK("https://ibp.a2mac1.com/costing(costing:projects/details/8191/equipment/6944439)","Dummy Machine (Wireharness production line)")</f>
        <v>Dummy Machine (Wireharness production line)</v>
      </c>
      <c r="B268">
        <v>6944439</v>
      </c>
      <c r="C268">
        <v>6971940</v>
      </c>
      <c r="H268" t="s">
        <v>136</v>
      </c>
      <c r="I268">
        <v>18664.599488571428</v>
      </c>
      <c r="J268">
        <v>0</v>
      </c>
      <c r="K268">
        <v>0.096320000000000003</v>
      </c>
      <c r="L268">
        <v>0</v>
      </c>
      <c r="M268">
        <v>3.815112106809937</v>
      </c>
      <c r="N268">
        <v>0</v>
      </c>
      <c r="O268">
        <v>0.41224405820807375</v>
      </c>
      <c r="P268">
        <v>1.5852706810333332</v>
      </c>
      <c r="Q268">
        <v>4.493884102430087E-05</v>
      </c>
      <c r="R268">
        <v>89474.50</v>
      </c>
      <c r="S268">
        <v>0</v>
      </c>
      <c r="T268">
        <v>0</v>
      </c>
      <c r="V268">
        <v>126</v>
      </c>
      <c r="W268">
        <v>7</v>
      </c>
      <c r="X268">
        <v>85</v>
      </c>
      <c r="Y268">
        <v>3</v>
      </c>
      <c r="Z268">
        <v>4</v>
      </c>
      <c r="AA268">
        <v>5</v>
      </c>
      <c r="AB268">
        <v>0</v>
      </c>
      <c r="AC268">
        <v>0</v>
      </c>
      <c r="AD268">
        <v>0</v>
      </c>
      <c r="AE268">
        <v>0</v>
      </c>
      <c r="AF268">
        <v>3.5510000000000002</v>
      </c>
      <c r="AG268">
        <v>0</v>
      </c>
      <c r="AH268">
        <v>0</v>
      </c>
      <c r="AI268">
        <v>1.40</v>
      </c>
      <c r="AJ268">
        <v>0</v>
      </c>
      <c r="AK268">
        <v>0</v>
      </c>
      <c r="AL268">
        <v>86</v>
      </c>
      <c r="AM268">
        <v>1.40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71</v>
      </c>
      <c r="AU268">
        <v>0</v>
      </c>
      <c r="AV268">
        <v>0</v>
      </c>
    </row>
    <row r="269" spans="1:48" ht="12.75">
      <c r="A269" s="2" t="str">
        <f>HYPERLINK("https://ibp.a2mac1.com/costing(costing:projects/details/8191/equipment/6944440)","No.01 - Injection Press - 40T - 18kW - 270x270 - Max Volume 128cm3 ")</f>
        <v xml:space="preserve">No.01 - Injection Press - 40T - 18kW - 270x270 - Max Volume 128cm3 </v>
      </c>
      <c r="B269">
        <v>6944440</v>
      </c>
      <c r="C269">
        <v>6971941</v>
      </c>
      <c r="E269" t="s">
        <v>499</v>
      </c>
      <c r="H269" t="s">
        <v>136</v>
      </c>
      <c r="I269">
        <v>13574.9072</v>
      </c>
      <c r="J269">
        <v>0</v>
      </c>
      <c r="K269">
        <v>1.6020000000000001</v>
      </c>
      <c r="L269">
        <v>0</v>
      </c>
      <c r="M269">
        <v>4.4266395371263263</v>
      </c>
      <c r="N269">
        <v>0</v>
      </c>
      <c r="O269">
        <v>0.0015671410621311476</v>
      </c>
      <c r="P269">
        <v>0.00036566180174999998</v>
      </c>
      <c r="Q269">
        <v>0.0035456543444551589</v>
      </c>
      <c r="R269">
        <v>80000</v>
      </c>
      <c r="S269">
        <v>0</v>
      </c>
      <c r="T269">
        <v>0</v>
      </c>
      <c r="V269">
        <v>7200</v>
      </c>
      <c r="W269">
        <v>8</v>
      </c>
      <c r="X269">
        <v>85</v>
      </c>
      <c r="Y269">
        <v>3</v>
      </c>
      <c r="Z269">
        <v>4</v>
      </c>
      <c r="AA269">
        <v>5</v>
      </c>
      <c r="AB269">
        <v>0</v>
      </c>
      <c r="AC269">
        <v>0</v>
      </c>
      <c r="AD269">
        <v>0</v>
      </c>
      <c r="AE269">
        <v>0</v>
      </c>
      <c r="AF269">
        <v>0.25</v>
      </c>
      <c r="AG269">
        <v>0</v>
      </c>
      <c r="AH269">
        <v>0</v>
      </c>
      <c r="AI269">
        <v>2</v>
      </c>
      <c r="AJ269">
        <v>0</v>
      </c>
      <c r="AK269">
        <v>0</v>
      </c>
      <c r="AL269">
        <v>97</v>
      </c>
      <c r="AM269">
        <v>20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20</v>
      </c>
      <c r="AU269">
        <v>0.05</v>
      </c>
      <c r="AV269">
        <v>0</v>
      </c>
    </row>
    <row r="270" spans="1:48" ht="12.75">
      <c r="A270" s="2" t="str">
        <f>HYPERLINK("https://ibp.a2mac1.com/costing(costing:projects/details/8191/equipment/6944260)","DC Machine")</f>
        <v>DC Machine</v>
      </c>
      <c r="B270">
        <v>6944260</v>
      </c>
      <c r="C270">
        <v>6971832</v>
      </c>
      <c r="G270" t="s">
        <v>2871</v>
      </c>
      <c r="H270" t="s">
        <v>136</v>
      </c>
      <c r="I270">
        <v>15437.267994600001</v>
      </c>
      <c r="J270">
        <v>0</v>
      </c>
      <c r="K270">
        <v>0.51768000000000003</v>
      </c>
      <c r="L270">
        <v>0</v>
      </c>
      <c r="M270">
        <v>3.80235823731919</v>
      </c>
      <c r="N270">
        <v>0</v>
      </c>
      <c r="O270">
        <v>1.6265643570754313</v>
      </c>
      <c r="P270">
        <v>5.3729915555555552</v>
      </c>
      <c r="Q270">
        <v>0.00040906495593297975</v>
      </c>
      <c r="R270">
        <v>99999.999960000001</v>
      </c>
      <c r="S270">
        <v>0</v>
      </c>
      <c r="T270">
        <v>0</v>
      </c>
      <c r="V270">
        <v>900</v>
      </c>
      <c r="W270">
        <v>10</v>
      </c>
      <c r="X270">
        <v>85</v>
      </c>
      <c r="Y270">
        <v>3</v>
      </c>
      <c r="Z270">
        <v>4</v>
      </c>
      <c r="AA270">
        <v>5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20</v>
      </c>
      <c r="AN270">
        <v>0</v>
      </c>
      <c r="AO270">
        <v>1</v>
      </c>
      <c r="AP270">
        <v>1</v>
      </c>
      <c r="AQ270">
        <v>1</v>
      </c>
      <c r="AR270">
        <v>0</v>
      </c>
      <c r="AS270">
        <v>0</v>
      </c>
      <c r="AT270">
        <v>50</v>
      </c>
      <c r="AU270">
        <v>0</v>
      </c>
      <c r="AV270">
        <v>0</v>
      </c>
    </row>
    <row r="271" spans="1:48" ht="12.75">
      <c r="A271" s="2" t="str">
        <f>HYPERLINK("https://ibp.a2mac1.com/costing(costing:projects/details/8191/equipment/6944679)","Equipment (Injection Molding)")</f>
        <v>Equipment (Injection Molding)</v>
      </c>
      <c r="B271">
        <v>6944679</v>
      </c>
      <c r="C271">
        <v>6972184</v>
      </c>
      <c r="H271" t="s">
        <v>136</v>
      </c>
      <c r="I271">
        <v>1686.5888640000001</v>
      </c>
      <c r="J271">
        <v>0</v>
      </c>
      <c r="K271">
        <v>0.071679999999999994</v>
      </c>
      <c r="L271">
        <v>0</v>
      </c>
      <c r="M271">
        <v>0.41475117711346832</v>
      </c>
      <c r="N271">
        <v>0</v>
      </c>
      <c r="O271">
        <v>0.0069125196185578055</v>
      </c>
      <c r="P271">
        <v>0.00044069120000000001</v>
      </c>
      <c r="Q271">
        <v>3.6770732895043396E-05</v>
      </c>
      <c r="R271">
        <v>8960</v>
      </c>
      <c r="S271">
        <v>0</v>
      </c>
      <c r="T271">
        <v>0</v>
      </c>
      <c r="V271">
        <v>86.40</v>
      </c>
      <c r="W271">
        <v>7</v>
      </c>
      <c r="X271">
        <v>85</v>
      </c>
      <c r="Y271">
        <v>3</v>
      </c>
      <c r="Z271">
        <v>4</v>
      </c>
      <c r="AA271">
        <v>5</v>
      </c>
      <c r="AB271">
        <v>0</v>
      </c>
      <c r="AC271">
        <v>0</v>
      </c>
      <c r="AD271">
        <v>0</v>
      </c>
      <c r="AE271">
        <v>0</v>
      </c>
      <c r="AF271">
        <v>0.0064000000000000003</v>
      </c>
      <c r="AG271">
        <v>0</v>
      </c>
      <c r="AH271">
        <v>0</v>
      </c>
      <c r="AI271">
        <v>2</v>
      </c>
      <c r="AJ271">
        <v>0</v>
      </c>
      <c r="AK271">
        <v>0</v>
      </c>
      <c r="AL271">
        <v>80</v>
      </c>
      <c r="AM271">
        <v>1.12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2.40</v>
      </c>
      <c r="AU271">
        <v>0</v>
      </c>
      <c r="AV271">
        <v>0</v>
      </c>
    </row>
    <row r="272" spans="1:48" ht="12.75">
      <c r="A272" s="2" t="str">
        <f>HYPERLINK("https://ibp.a2mac1.com/costing(costing:projects/details/8191/equipment/6944680)","Equipment (Injection Molding)")</f>
        <v>Equipment (Injection Molding)</v>
      </c>
      <c r="B272">
        <v>6944680</v>
      </c>
      <c r="C272">
        <v>6972185</v>
      </c>
      <c r="H272" t="s">
        <v>136</v>
      </c>
      <c r="I272">
        <v>1212.2357460000001</v>
      </c>
      <c r="J272">
        <v>0</v>
      </c>
      <c r="K272">
        <v>0.051520000000000003</v>
      </c>
      <c r="L272">
        <v>0</v>
      </c>
      <c r="M272">
        <v>0.29810240855030534</v>
      </c>
      <c r="N272">
        <v>0</v>
      </c>
      <c r="O272">
        <v>0.0049683734758384224</v>
      </c>
      <c r="P272">
        <v>0.00031674680000000002</v>
      </c>
      <c r="Q272">
        <v>2.6308232792849565E-05</v>
      </c>
      <c r="R272">
        <v>6440</v>
      </c>
      <c r="S272">
        <v>0</v>
      </c>
      <c r="T272">
        <v>0</v>
      </c>
      <c r="V272">
        <v>62.10</v>
      </c>
      <c r="W272">
        <v>7</v>
      </c>
      <c r="X272">
        <v>85</v>
      </c>
      <c r="Y272">
        <v>3</v>
      </c>
      <c r="Z272">
        <v>4</v>
      </c>
      <c r="AA272">
        <v>5</v>
      </c>
      <c r="AB272">
        <v>0</v>
      </c>
      <c r="AC272">
        <v>0</v>
      </c>
      <c r="AD272">
        <v>0</v>
      </c>
      <c r="AE272">
        <v>0</v>
      </c>
      <c r="AF272">
        <v>0.0045999999999999999</v>
      </c>
      <c r="AG272">
        <v>0</v>
      </c>
      <c r="AH272">
        <v>0</v>
      </c>
      <c r="AI272">
        <v>2</v>
      </c>
      <c r="AJ272">
        <v>0</v>
      </c>
      <c r="AK272">
        <v>0</v>
      </c>
      <c r="AL272">
        <v>80</v>
      </c>
      <c r="AM272">
        <v>0.805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1.725</v>
      </c>
      <c r="AU272">
        <v>0</v>
      </c>
      <c r="AV272">
        <v>0</v>
      </c>
    </row>
    <row r="273" spans="1:48" ht="12.75">
      <c r="A273" s="2" t="str">
        <f>HYPERLINK("https://ibp.a2mac1.com/costing(costing:projects/details/8191/equipment/6944681)","No.01 - Fabric Cutting")</f>
        <v>No.01 - Fabric Cutting</v>
      </c>
      <c r="B273">
        <v>6944681</v>
      </c>
      <c r="C273">
        <v>6972186</v>
      </c>
      <c r="H273" t="s">
        <v>79</v>
      </c>
      <c r="I273">
        <v>16787.268</v>
      </c>
      <c r="J273">
        <v>0</v>
      </c>
      <c r="K273">
        <v>0.80</v>
      </c>
      <c r="L273">
        <v>0</v>
      </c>
      <c r="M273">
        <v>4.3820102860816457</v>
      </c>
      <c r="N273">
        <v>0</v>
      </c>
      <c r="O273">
        <v>0.0046741443051537554</v>
      </c>
      <c r="P273">
        <v>0.0088138239999999996</v>
      </c>
      <c r="Q273">
        <v>0.00025413375429122467</v>
      </c>
      <c r="R273">
        <v>110000</v>
      </c>
      <c r="S273">
        <v>0</v>
      </c>
      <c r="T273">
        <v>800000</v>
      </c>
      <c r="V273">
        <v>900</v>
      </c>
      <c r="W273">
        <v>10</v>
      </c>
      <c r="X273">
        <v>85</v>
      </c>
      <c r="Y273">
        <v>3</v>
      </c>
      <c r="Z273">
        <v>4</v>
      </c>
      <c r="AA273">
        <v>5</v>
      </c>
      <c r="AB273">
        <v>0</v>
      </c>
      <c r="AC273">
        <v>0</v>
      </c>
      <c r="AD273">
        <v>0</v>
      </c>
      <c r="AE273">
        <v>0</v>
      </c>
      <c r="AF273">
        <v>2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100</v>
      </c>
      <c r="AM273">
        <v>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50</v>
      </c>
      <c r="AU273">
        <v>0</v>
      </c>
      <c r="AV273">
        <v>0</v>
      </c>
    </row>
    <row r="274" spans="1:48" ht="12.75">
      <c r="A274" s="2" t="str">
        <f>HYPERLINK("https://ibp.a2mac1.com/costing(costing:projects/details/8191/equipment/6944682)","No.02 - Fabric Sewing")</f>
        <v>No.02 - Fabric Sewing</v>
      </c>
      <c r="B274">
        <v>6944682</v>
      </c>
      <c r="C274">
        <v>6972187</v>
      </c>
      <c r="E274" t="s">
        <v>9</v>
      </c>
      <c r="F274" t="s">
        <v>9</v>
      </c>
      <c r="G274" t="s">
        <v>9</v>
      </c>
      <c r="H274" t="s">
        <v>79</v>
      </c>
      <c r="I274">
        <v>1969.9257600000001</v>
      </c>
      <c r="J274">
        <v>0</v>
      </c>
      <c r="K274">
        <v>0.16</v>
      </c>
      <c r="L274">
        <v>0</v>
      </c>
      <c r="M274">
        <v>0.55696653166184507</v>
      </c>
      <c r="N274">
        <v>0</v>
      </c>
      <c r="O274">
        <v>0.024390492699024966</v>
      </c>
      <c r="P274">
        <v>0.55003384333333338</v>
      </c>
      <c r="Q274">
        <v>0.00019675809797492768</v>
      </c>
      <c r="R274">
        <v>10000</v>
      </c>
      <c r="S274">
        <v>0</v>
      </c>
      <c r="T274">
        <v>800000</v>
      </c>
      <c r="U274" t="s">
        <v>9</v>
      </c>
      <c r="V274">
        <v>900</v>
      </c>
      <c r="W274">
        <v>10</v>
      </c>
      <c r="X274">
        <v>85</v>
      </c>
      <c r="Y274">
        <v>3</v>
      </c>
      <c r="Z274">
        <v>4</v>
      </c>
      <c r="AA274">
        <v>5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100</v>
      </c>
      <c r="AM274">
        <v>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16</v>
      </c>
      <c r="AU274">
        <v>0</v>
      </c>
      <c r="AV274">
        <v>0</v>
      </c>
    </row>
    <row r="275" spans="1:48" ht="12.75">
      <c r="A275" s="2" t="str">
        <f>HYPERLINK("https://ibp.a2mac1.com/costing(costing:projects/details/8191/equipment/6944683)","Equipment (Injection Molding)")</f>
        <v>Equipment (Injection Molding)</v>
      </c>
      <c r="B275">
        <v>6944683</v>
      </c>
      <c r="C275">
        <v>6972188</v>
      </c>
      <c r="H275" t="s">
        <v>136</v>
      </c>
      <c r="I275">
        <v>3215.0600220000001</v>
      </c>
      <c r="J275">
        <v>0</v>
      </c>
      <c r="K275">
        <v>0.13664000000000001</v>
      </c>
      <c r="L275">
        <v>0</v>
      </c>
      <c r="M275">
        <v>0.79061943137254898</v>
      </c>
      <c r="N275">
        <v>0</v>
      </c>
      <c r="O275">
        <v>0.013176990522875817</v>
      </c>
      <c r="P275">
        <v>0.00084006759999999999</v>
      </c>
      <c r="Q275">
        <v>7.1125967939117646E-05</v>
      </c>
      <c r="R275">
        <v>17080</v>
      </c>
      <c r="S275">
        <v>0</v>
      </c>
      <c r="T275">
        <v>0</v>
      </c>
      <c r="V275">
        <v>164.70</v>
      </c>
      <c r="W275">
        <v>7</v>
      </c>
      <c r="X275">
        <v>85</v>
      </c>
      <c r="Y275">
        <v>3</v>
      </c>
      <c r="Z275">
        <v>4</v>
      </c>
      <c r="AA275">
        <v>5</v>
      </c>
      <c r="AB275">
        <v>0</v>
      </c>
      <c r="AC275">
        <v>0</v>
      </c>
      <c r="AD275">
        <v>0</v>
      </c>
      <c r="AE275">
        <v>0</v>
      </c>
      <c r="AF275">
        <v>0.012200000000000001</v>
      </c>
      <c r="AG275">
        <v>0</v>
      </c>
      <c r="AH275">
        <v>0</v>
      </c>
      <c r="AI275">
        <v>2</v>
      </c>
      <c r="AJ275">
        <v>0</v>
      </c>
      <c r="AK275">
        <v>0</v>
      </c>
      <c r="AL275">
        <v>80</v>
      </c>
      <c r="AM275">
        <v>2.135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4.575</v>
      </c>
      <c r="AU275">
        <v>0</v>
      </c>
      <c r="AV275">
        <v>0</v>
      </c>
    </row>
    <row r="276" spans="1:48" ht="12.75">
      <c r="A276" s="2" t="str">
        <f>HYPERLINK("https://ibp.a2mac1.com/costing(costing:projects/details/8191/equipment/6944684)","Equipment (Injection Molding)")</f>
        <v>Equipment (Injection Molding)</v>
      </c>
      <c r="B276">
        <v>6944684</v>
      </c>
      <c r="C276">
        <v>6972189</v>
      </c>
      <c r="H276" t="s">
        <v>136</v>
      </c>
      <c r="I276">
        <v>11648.004342</v>
      </c>
      <c r="J276">
        <v>0</v>
      </c>
      <c r="K276">
        <v>0.49503999999999998</v>
      </c>
      <c r="L276">
        <v>0</v>
      </c>
      <c r="M276">
        <v>2.8643753169398907</v>
      </c>
      <c r="N276">
        <v>0</v>
      </c>
      <c r="O276">
        <v>0.047739588615664845</v>
      </c>
      <c r="P276">
        <v>0.0030435236</v>
      </c>
      <c r="Q276">
        <v>0.00027830938612696723</v>
      </c>
      <c r="R276">
        <v>61880</v>
      </c>
      <c r="S276">
        <v>0</v>
      </c>
      <c r="T276">
        <v>0</v>
      </c>
      <c r="V276">
        <v>596.70</v>
      </c>
      <c r="W276">
        <v>7</v>
      </c>
      <c r="X276">
        <v>85</v>
      </c>
      <c r="Y276">
        <v>3</v>
      </c>
      <c r="Z276">
        <v>4</v>
      </c>
      <c r="AA276">
        <v>5</v>
      </c>
      <c r="AB276">
        <v>0</v>
      </c>
      <c r="AC276">
        <v>0</v>
      </c>
      <c r="AD276">
        <v>0</v>
      </c>
      <c r="AE276">
        <v>0</v>
      </c>
      <c r="AF276">
        <v>0.044200000000000003</v>
      </c>
      <c r="AG276">
        <v>0</v>
      </c>
      <c r="AH276">
        <v>0</v>
      </c>
      <c r="AI276">
        <v>2</v>
      </c>
      <c r="AJ276">
        <v>0</v>
      </c>
      <c r="AK276">
        <v>0</v>
      </c>
      <c r="AL276">
        <v>80</v>
      </c>
      <c r="AM276">
        <v>7.735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16.575</v>
      </c>
      <c r="AU276">
        <v>0</v>
      </c>
      <c r="AV276">
        <v>0</v>
      </c>
    </row>
    <row r="277" spans="1:48" ht="12.75">
      <c r="A277" s="2" t="str">
        <f>HYPERLINK("https://ibp.a2mac1.com/costing(costing:projects/details/8191/equipment/6944685)","Equipment (Injection Molding)")</f>
        <v>Equipment (Injection Molding)</v>
      </c>
      <c r="B277">
        <v>6944685</v>
      </c>
      <c r="C277">
        <v>6972190</v>
      </c>
      <c r="H277" t="s">
        <v>136</v>
      </c>
      <c r="I277">
        <v>5007.0606900000002</v>
      </c>
      <c r="J277">
        <v>0</v>
      </c>
      <c r="K277">
        <v>0.21279999999999999</v>
      </c>
      <c r="L277">
        <v>0</v>
      </c>
      <c r="M277">
        <v>1.231292557055609</v>
      </c>
      <c r="N277">
        <v>0</v>
      </c>
      <c r="O277">
        <v>0.020521542617593487</v>
      </c>
      <c r="P277">
        <v>0.0013083019999999999</v>
      </c>
      <c r="Q277">
        <v>0.00011265382768141273</v>
      </c>
      <c r="R277">
        <v>26600</v>
      </c>
      <c r="S277">
        <v>0</v>
      </c>
      <c r="T277">
        <v>0</v>
      </c>
      <c r="V277">
        <v>256.50</v>
      </c>
      <c r="W277">
        <v>7</v>
      </c>
      <c r="X277">
        <v>85</v>
      </c>
      <c r="Y277">
        <v>3</v>
      </c>
      <c r="Z277">
        <v>4</v>
      </c>
      <c r="AA277">
        <v>5</v>
      </c>
      <c r="AB277">
        <v>0</v>
      </c>
      <c r="AC277">
        <v>0</v>
      </c>
      <c r="AD277">
        <v>0</v>
      </c>
      <c r="AE277">
        <v>0</v>
      </c>
      <c r="AF277">
        <v>0.019</v>
      </c>
      <c r="AG277">
        <v>0</v>
      </c>
      <c r="AH277">
        <v>0</v>
      </c>
      <c r="AI277">
        <v>2</v>
      </c>
      <c r="AJ277">
        <v>0</v>
      </c>
      <c r="AK277">
        <v>0</v>
      </c>
      <c r="AL277">
        <v>80</v>
      </c>
      <c r="AM277">
        <v>3.325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7.125</v>
      </c>
      <c r="AU277">
        <v>0</v>
      </c>
      <c r="AV277">
        <v>0</v>
      </c>
    </row>
    <row r="278" spans="1:48" ht="12.75">
      <c r="A278" s="2" t="str">
        <f>HYPERLINK("https://ibp.a2mac1.com/costing(costing:projects/details/8191/equipment/6944686)","Equipment (Injection Molding)")</f>
        <v>Equipment (Injection Molding)</v>
      </c>
      <c r="B278">
        <v>6944686</v>
      </c>
      <c r="C278">
        <v>6972191</v>
      </c>
      <c r="H278" t="s">
        <v>136</v>
      </c>
      <c r="I278">
        <v>4005.6485520000001</v>
      </c>
      <c r="J278">
        <v>0</v>
      </c>
      <c r="K278">
        <v>0.17024</v>
      </c>
      <c r="L278">
        <v>0</v>
      </c>
      <c r="M278">
        <v>0.98503404564448727</v>
      </c>
      <c r="N278">
        <v>0</v>
      </c>
      <c r="O278">
        <v>0.016417234094074789</v>
      </c>
      <c r="P278">
        <v>0.0010466416000000001</v>
      </c>
      <c r="Q278">
        <v>8.9280858036104149E-05</v>
      </c>
      <c r="R278">
        <v>21280</v>
      </c>
      <c r="S278">
        <v>0</v>
      </c>
      <c r="T278">
        <v>0</v>
      </c>
      <c r="V278">
        <v>205.20</v>
      </c>
      <c r="W278">
        <v>7</v>
      </c>
      <c r="X278">
        <v>85</v>
      </c>
      <c r="Y278">
        <v>3</v>
      </c>
      <c r="Z278">
        <v>4</v>
      </c>
      <c r="AA278">
        <v>5</v>
      </c>
      <c r="AB278">
        <v>0</v>
      </c>
      <c r="AC278">
        <v>0</v>
      </c>
      <c r="AD278">
        <v>0</v>
      </c>
      <c r="AE278">
        <v>0</v>
      </c>
      <c r="AF278">
        <v>0.0152</v>
      </c>
      <c r="AG278">
        <v>0</v>
      </c>
      <c r="AH278">
        <v>0</v>
      </c>
      <c r="AI278">
        <v>2</v>
      </c>
      <c r="AJ278">
        <v>0</v>
      </c>
      <c r="AK278">
        <v>0</v>
      </c>
      <c r="AL278">
        <v>80</v>
      </c>
      <c r="AM278">
        <v>2.66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5.70</v>
      </c>
      <c r="AU278">
        <v>0</v>
      </c>
      <c r="AV278">
        <v>0</v>
      </c>
    </row>
    <row r="279" spans="1:48" ht="12.75">
      <c r="A279" s="2" t="str">
        <f>HYPERLINK("https://ibp.a2mac1.com/costing(costing:projects/details/8191/equipment/6944687)","Equipment (Injection Molding)")</f>
        <v>Equipment (Injection Molding)</v>
      </c>
      <c r="B279">
        <v>6944687</v>
      </c>
      <c r="C279">
        <v>6972192</v>
      </c>
      <c r="H279" t="s">
        <v>136</v>
      </c>
      <c r="I279">
        <v>2688.001002</v>
      </c>
      <c r="J279">
        <v>0</v>
      </c>
      <c r="K279">
        <v>0.11423999999999999</v>
      </c>
      <c r="L279">
        <v>0</v>
      </c>
      <c r="M279">
        <v>0.66100968852459019</v>
      </c>
      <c r="N279">
        <v>0</v>
      </c>
      <c r="O279">
        <v>0.011016828142076503</v>
      </c>
      <c r="P279">
        <v>0.00070235160000000003</v>
      </c>
      <c r="Q279">
        <v>5.9168518835163932E-05</v>
      </c>
      <c r="R279">
        <v>14280</v>
      </c>
      <c r="S279">
        <v>0</v>
      </c>
      <c r="T279">
        <v>0</v>
      </c>
      <c r="V279">
        <v>137.70</v>
      </c>
      <c r="W279">
        <v>7</v>
      </c>
      <c r="X279">
        <v>85</v>
      </c>
      <c r="Y279">
        <v>3</v>
      </c>
      <c r="Z279">
        <v>4</v>
      </c>
      <c r="AA279">
        <v>5</v>
      </c>
      <c r="AB279">
        <v>0</v>
      </c>
      <c r="AC279">
        <v>0</v>
      </c>
      <c r="AD279">
        <v>0</v>
      </c>
      <c r="AE279">
        <v>0</v>
      </c>
      <c r="AF279">
        <v>0.010200000000000001</v>
      </c>
      <c r="AG279">
        <v>0</v>
      </c>
      <c r="AH279">
        <v>0</v>
      </c>
      <c r="AI279">
        <v>2</v>
      </c>
      <c r="AJ279">
        <v>0</v>
      </c>
      <c r="AK279">
        <v>0</v>
      </c>
      <c r="AL279">
        <v>80</v>
      </c>
      <c r="AM279">
        <v>1.785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3.825</v>
      </c>
      <c r="AU279">
        <v>0</v>
      </c>
      <c r="AV279">
        <v>0</v>
      </c>
    </row>
    <row r="280" spans="1:48" ht="12.75">
      <c r="A280" s="2" t="str">
        <f>HYPERLINK("https://ibp.a2mac1.com/costing(costing:projects/details/8191/equipment/6944585)","Equipment (Injection Molding)")</f>
        <v>Equipment (Injection Molding)</v>
      </c>
      <c r="B280">
        <v>6944585</v>
      </c>
      <c r="C280">
        <v>6972126</v>
      </c>
      <c r="H280" t="s">
        <v>136</v>
      </c>
      <c r="I280">
        <v>210.82360800000001</v>
      </c>
      <c r="J280">
        <v>0</v>
      </c>
      <c r="K280">
        <v>0.0089599999999999992</v>
      </c>
      <c r="L280">
        <v>0</v>
      </c>
      <c r="M280">
        <v>0.05184389713918354</v>
      </c>
      <c r="N280">
        <v>0</v>
      </c>
      <c r="O280">
        <v>0.00086406495231972568</v>
      </c>
      <c r="P280">
        <v>5.5086400000000002E-05</v>
      </c>
      <c r="Q280">
        <v>4.5310183014850531E-06</v>
      </c>
      <c r="R280">
        <v>1120</v>
      </c>
      <c r="S280">
        <v>0</v>
      </c>
      <c r="T280">
        <v>0</v>
      </c>
      <c r="V280">
        <v>10.80</v>
      </c>
      <c r="W280">
        <v>7</v>
      </c>
      <c r="X280">
        <v>85</v>
      </c>
      <c r="Y280">
        <v>3</v>
      </c>
      <c r="Z280">
        <v>4</v>
      </c>
      <c r="AA280">
        <v>5</v>
      </c>
      <c r="AB280">
        <v>0</v>
      </c>
      <c r="AC280">
        <v>0</v>
      </c>
      <c r="AD280">
        <v>0</v>
      </c>
      <c r="AE280">
        <v>0</v>
      </c>
      <c r="AF280">
        <v>0.00080000000000000004</v>
      </c>
      <c r="AG280">
        <v>0</v>
      </c>
      <c r="AH280">
        <v>0</v>
      </c>
      <c r="AI280">
        <v>2</v>
      </c>
      <c r="AJ280">
        <v>0</v>
      </c>
      <c r="AK280">
        <v>0</v>
      </c>
      <c r="AL280">
        <v>80</v>
      </c>
      <c r="AM280">
        <v>0.14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0.30</v>
      </c>
      <c r="AU280">
        <v>0</v>
      </c>
      <c r="AV280">
        <v>0</v>
      </c>
    </row>
    <row r="281" spans="1:48" ht="12.75">
      <c r="A281" s="2" t="str">
        <f>HYPERLINK("https://ibp.a2mac1.com/costing(costing:projects/details/8191/equipment/6944586)","Equipment (Injection Molding)")</f>
        <v>Equipment (Injection Molding)</v>
      </c>
      <c r="B281">
        <v>6944586</v>
      </c>
      <c r="C281">
        <v>6972127</v>
      </c>
      <c r="H281" t="s">
        <v>136</v>
      </c>
      <c r="I281">
        <v>3267.7659239999998</v>
      </c>
      <c r="J281">
        <v>0</v>
      </c>
      <c r="K281">
        <v>0.13888</v>
      </c>
      <c r="L281">
        <v>0</v>
      </c>
      <c r="M281">
        <v>0.8035804056573449</v>
      </c>
      <c r="N281">
        <v>0</v>
      </c>
      <c r="O281">
        <v>0.013393006760955749</v>
      </c>
      <c r="P281">
        <v>0.00085383919999999997</v>
      </c>
      <c r="Q281">
        <v>7.2328128531783987E-05</v>
      </c>
      <c r="R281">
        <v>17360</v>
      </c>
      <c r="S281">
        <v>0</v>
      </c>
      <c r="T281">
        <v>0</v>
      </c>
      <c r="V281">
        <v>167.40</v>
      </c>
      <c r="W281">
        <v>7</v>
      </c>
      <c r="X281">
        <v>85</v>
      </c>
      <c r="Y281">
        <v>3</v>
      </c>
      <c r="Z281">
        <v>4</v>
      </c>
      <c r="AA281">
        <v>5</v>
      </c>
      <c r="AB281">
        <v>0</v>
      </c>
      <c r="AC281">
        <v>0</v>
      </c>
      <c r="AD281">
        <v>0</v>
      </c>
      <c r="AE281">
        <v>0</v>
      </c>
      <c r="AF281">
        <v>0.0124</v>
      </c>
      <c r="AG281">
        <v>0</v>
      </c>
      <c r="AH281">
        <v>0</v>
      </c>
      <c r="AI281">
        <v>2</v>
      </c>
      <c r="AJ281">
        <v>0</v>
      </c>
      <c r="AK281">
        <v>0</v>
      </c>
      <c r="AL281">
        <v>80</v>
      </c>
      <c r="AM281">
        <v>2.17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4.65</v>
      </c>
      <c r="AU281">
        <v>0</v>
      </c>
      <c r="AV281">
        <v>0</v>
      </c>
    </row>
    <row r="282" spans="1:48" ht="12.75">
      <c r="A282" s="2" t="str">
        <f>HYPERLINK("https://ibp.a2mac1.com/costing(costing:projects/details/8191/equipment/6944587)","Equipment")</f>
        <v>Equipment</v>
      </c>
      <c r="B282">
        <v>6944587</v>
      </c>
      <c r="C282">
        <v>6972128</v>
      </c>
      <c r="H282" t="s">
        <v>136</v>
      </c>
      <c r="I282">
        <v>78900.735293999998</v>
      </c>
      <c r="J282">
        <v>0</v>
      </c>
      <c r="K282">
        <v>3.3532799999999998</v>
      </c>
      <c r="L282">
        <v>0</v>
      </c>
      <c r="M282">
        <v>19.402578504339441</v>
      </c>
      <c r="N282">
        <v>0</v>
      </c>
      <c r="O282">
        <v>2.1558420560377156</v>
      </c>
      <c r="P282">
        <v>0.13744056800000001</v>
      </c>
      <c r="Q282">
        <v>0.0029992958361448265</v>
      </c>
      <c r="R282">
        <v>419160</v>
      </c>
      <c r="S282">
        <v>0</v>
      </c>
      <c r="T282">
        <v>0</v>
      </c>
      <c r="V282">
        <v>4041.90</v>
      </c>
      <c r="W282">
        <v>7</v>
      </c>
      <c r="X282">
        <v>85</v>
      </c>
      <c r="Y282">
        <v>3</v>
      </c>
      <c r="Z282">
        <v>4</v>
      </c>
      <c r="AA282">
        <v>5</v>
      </c>
      <c r="AB282">
        <v>0</v>
      </c>
      <c r="AC282">
        <v>0</v>
      </c>
      <c r="AD282">
        <v>0</v>
      </c>
      <c r="AE282">
        <v>0</v>
      </c>
      <c r="AF282">
        <v>0.2994</v>
      </c>
      <c r="AG282">
        <v>0</v>
      </c>
      <c r="AH282">
        <v>0</v>
      </c>
      <c r="AI282">
        <v>2</v>
      </c>
      <c r="AJ282">
        <v>0</v>
      </c>
      <c r="AK282">
        <v>0</v>
      </c>
      <c r="AL282">
        <v>80</v>
      </c>
      <c r="AM282">
        <v>52.395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112.275</v>
      </c>
      <c r="AU282">
        <v>0</v>
      </c>
      <c r="AV282">
        <v>0</v>
      </c>
    </row>
    <row r="283" spans="1:48" ht="12.75">
      <c r="A283" s="2" t="str">
        <f>HYPERLINK("https://ibp.a2mac1.com/costing(costing:projects/details/8191/equipment/6944588)","No.01 - Fabric Cutting")</f>
        <v>No.01 - Fabric Cutting</v>
      </c>
      <c r="B283">
        <v>6944588</v>
      </c>
      <c r="C283">
        <v>6972129</v>
      </c>
      <c r="H283" t="s">
        <v>79</v>
      </c>
      <c r="I283">
        <v>16787.268</v>
      </c>
      <c r="J283">
        <v>0</v>
      </c>
      <c r="K283">
        <v>0.80</v>
      </c>
      <c r="L283">
        <v>0</v>
      </c>
      <c r="M283">
        <v>4.3820102860816457</v>
      </c>
      <c r="N283">
        <v>0</v>
      </c>
      <c r="O283">
        <v>0.028568272615093395</v>
      </c>
      <c r="P283">
        <v>0.053869908666666667</v>
      </c>
      <c r="Q283">
        <v>0.00025413375429122467</v>
      </c>
      <c r="R283">
        <v>110000</v>
      </c>
      <c r="S283">
        <v>0</v>
      </c>
      <c r="T283">
        <v>800000</v>
      </c>
      <c r="V283">
        <v>900</v>
      </c>
      <c r="W283">
        <v>10</v>
      </c>
      <c r="X283">
        <v>85</v>
      </c>
      <c r="Y283">
        <v>3</v>
      </c>
      <c r="Z283">
        <v>4</v>
      </c>
      <c r="AA283">
        <v>5</v>
      </c>
      <c r="AB283">
        <v>0</v>
      </c>
      <c r="AC283">
        <v>0</v>
      </c>
      <c r="AD283">
        <v>0</v>
      </c>
      <c r="AE283">
        <v>0</v>
      </c>
      <c r="AF283">
        <v>2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100</v>
      </c>
      <c r="AM283">
        <v>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50</v>
      </c>
      <c r="AU283">
        <v>0</v>
      </c>
      <c r="AV283">
        <v>0</v>
      </c>
    </row>
    <row r="284" spans="1:48" ht="12.75">
      <c r="A284" s="2" t="str">
        <f>HYPERLINK("https://ibp.a2mac1.com/costing(costing:projects/details/8191/equipment/6944589)","No.02 - Fabric Sewing")</f>
        <v>No.02 - Fabric Sewing</v>
      </c>
      <c r="B284">
        <v>6944589</v>
      </c>
      <c r="C284">
        <v>6972130</v>
      </c>
      <c r="E284" t="s">
        <v>9</v>
      </c>
      <c r="F284" t="s">
        <v>9</v>
      </c>
      <c r="G284" t="s">
        <v>9</v>
      </c>
      <c r="H284" t="s">
        <v>79</v>
      </c>
      <c r="I284">
        <v>1969.9257600000001</v>
      </c>
      <c r="J284">
        <v>0</v>
      </c>
      <c r="K284">
        <v>0.16</v>
      </c>
      <c r="L284">
        <v>0</v>
      </c>
      <c r="M284">
        <v>0.55696653166184507</v>
      </c>
      <c r="N284">
        <v>0</v>
      </c>
      <c r="O284">
        <v>0.1278857041865781</v>
      </c>
      <c r="P284">
        <v>2.8839706622222221</v>
      </c>
      <c r="Q284">
        <v>0.00019675809797492768</v>
      </c>
      <c r="R284">
        <v>10000</v>
      </c>
      <c r="S284">
        <v>0</v>
      </c>
      <c r="T284">
        <v>800000</v>
      </c>
      <c r="U284" t="s">
        <v>9</v>
      </c>
      <c r="V284">
        <v>900</v>
      </c>
      <c r="W284">
        <v>10</v>
      </c>
      <c r="X284">
        <v>85</v>
      </c>
      <c r="Y284">
        <v>3</v>
      </c>
      <c r="Z284">
        <v>4</v>
      </c>
      <c r="AA284">
        <v>5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100</v>
      </c>
      <c r="AM284">
        <v>2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16</v>
      </c>
      <c r="AU284">
        <v>0</v>
      </c>
      <c r="AV284">
        <v>0</v>
      </c>
    </row>
    <row r="285" spans="1:48" ht="12.75">
      <c r="A285" s="2" t="str">
        <f>HYPERLINK("https://ibp.a2mac1.com/costing(costing:projects/details/8191/equipment/6944590)","Equipment (Injection Molding)")</f>
        <v>Equipment (Injection Molding)</v>
      </c>
      <c r="B285">
        <v>6944590</v>
      </c>
      <c r="C285">
        <v>6972131</v>
      </c>
      <c r="H285" t="s">
        <v>136</v>
      </c>
      <c r="I285">
        <v>78900.735293999998</v>
      </c>
      <c r="J285">
        <v>0</v>
      </c>
      <c r="K285">
        <v>3.3532799999999998</v>
      </c>
      <c r="L285">
        <v>0</v>
      </c>
      <c r="M285">
        <v>19.402578504339441</v>
      </c>
      <c r="N285">
        <v>0</v>
      </c>
      <c r="O285">
        <v>0.21558420560377156</v>
      </c>
      <c r="P285">
        <v>0.0137440568</v>
      </c>
      <c r="Q285">
        <v>0.0029992958361448265</v>
      </c>
      <c r="R285">
        <v>419160</v>
      </c>
      <c r="S285">
        <v>0</v>
      </c>
      <c r="T285">
        <v>0</v>
      </c>
      <c r="V285">
        <v>4041.90</v>
      </c>
      <c r="W285">
        <v>7</v>
      </c>
      <c r="X285">
        <v>85</v>
      </c>
      <c r="Y285">
        <v>3</v>
      </c>
      <c r="Z285">
        <v>4</v>
      </c>
      <c r="AA285">
        <v>5</v>
      </c>
      <c r="AB285">
        <v>0</v>
      </c>
      <c r="AC285">
        <v>0</v>
      </c>
      <c r="AD285">
        <v>0</v>
      </c>
      <c r="AE285">
        <v>0</v>
      </c>
      <c r="AF285">
        <v>0.2994</v>
      </c>
      <c r="AG285">
        <v>0</v>
      </c>
      <c r="AH285">
        <v>0</v>
      </c>
      <c r="AI285">
        <v>2</v>
      </c>
      <c r="AJ285">
        <v>0</v>
      </c>
      <c r="AK285">
        <v>0</v>
      </c>
      <c r="AL285">
        <v>80</v>
      </c>
      <c r="AM285">
        <v>52.395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112.275</v>
      </c>
      <c r="AU285">
        <v>0</v>
      </c>
      <c r="AV285">
        <v>0</v>
      </c>
    </row>
    <row r="286" spans="1:48" ht="12.75">
      <c r="A286" s="2" t="str">
        <f>HYPERLINK("https://ibp.a2mac1.com/costing(costing:projects/details/8191/equipment/6944688)","Equipment (Injection Molding)")</f>
        <v>Equipment (Injection Molding)</v>
      </c>
      <c r="B286">
        <v>6944688</v>
      </c>
      <c r="C286">
        <v>6972193</v>
      </c>
      <c r="H286" t="s">
        <v>136</v>
      </c>
      <c r="I286">
        <v>14388.711246000001</v>
      </c>
      <c r="J286">
        <v>0</v>
      </c>
      <c r="K286">
        <v>0.61151999999999995</v>
      </c>
      <c r="L286">
        <v>0</v>
      </c>
      <c r="M286">
        <v>3.5383459797492769</v>
      </c>
      <c r="N286">
        <v>0</v>
      </c>
      <c r="O286">
        <v>0.058972432995821278</v>
      </c>
      <c r="P286">
        <v>0.0037596468</v>
      </c>
      <c r="Q286">
        <v>0.00035207367716121984</v>
      </c>
      <c r="R286">
        <v>76440</v>
      </c>
      <c r="S286">
        <v>0</v>
      </c>
      <c r="T286">
        <v>0</v>
      </c>
      <c r="V286">
        <v>737.10</v>
      </c>
      <c r="W286">
        <v>7</v>
      </c>
      <c r="X286">
        <v>85</v>
      </c>
      <c r="Y286">
        <v>3</v>
      </c>
      <c r="Z286">
        <v>4</v>
      </c>
      <c r="AA286">
        <v>5</v>
      </c>
      <c r="AB286">
        <v>0</v>
      </c>
      <c r="AC286">
        <v>0</v>
      </c>
      <c r="AD286">
        <v>0</v>
      </c>
      <c r="AE286">
        <v>0</v>
      </c>
      <c r="AF286">
        <v>0.054600000000000003</v>
      </c>
      <c r="AG286">
        <v>0</v>
      </c>
      <c r="AH286">
        <v>0</v>
      </c>
      <c r="AI286">
        <v>2</v>
      </c>
      <c r="AJ286">
        <v>0</v>
      </c>
      <c r="AK286">
        <v>0</v>
      </c>
      <c r="AL286">
        <v>80</v>
      </c>
      <c r="AM286">
        <v>9.555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20.475</v>
      </c>
      <c r="AU286">
        <v>0</v>
      </c>
      <c r="AV286">
        <v>0</v>
      </c>
    </row>
    <row r="287" spans="1:48" ht="12.75">
      <c r="A287" s="2" t="str">
        <f>HYPERLINK("https://ibp.a2mac1.com/costing(costing:projects/details/8191/equipment/6944689)","Equipment (Injection Molding)")</f>
        <v>Equipment (Injection Molding)</v>
      </c>
      <c r="B287">
        <v>6944689</v>
      </c>
      <c r="C287">
        <v>6972194</v>
      </c>
      <c r="H287" t="s">
        <v>136</v>
      </c>
      <c r="I287">
        <v>4585.413474</v>
      </c>
      <c r="J287">
        <v>0</v>
      </c>
      <c r="K287">
        <v>0.19488</v>
      </c>
      <c r="L287">
        <v>0</v>
      </c>
      <c r="M287">
        <v>1.1276047627772421</v>
      </c>
      <c r="N287">
        <v>0</v>
      </c>
      <c r="O287">
        <v>0.018793412712954035</v>
      </c>
      <c r="P287">
        <v>0.0011981292000000001</v>
      </c>
      <c r="Q287">
        <v>0.00010276125184627291</v>
      </c>
      <c r="R287">
        <v>24360</v>
      </c>
      <c r="S287">
        <v>0</v>
      </c>
      <c r="T287">
        <v>0</v>
      </c>
      <c r="V287">
        <v>234.90</v>
      </c>
      <c r="W287">
        <v>7</v>
      </c>
      <c r="X287">
        <v>85</v>
      </c>
      <c r="Y287">
        <v>3</v>
      </c>
      <c r="Z287">
        <v>4</v>
      </c>
      <c r="AA287">
        <v>5</v>
      </c>
      <c r="AB287">
        <v>0</v>
      </c>
      <c r="AC287">
        <v>0</v>
      </c>
      <c r="AD287">
        <v>0</v>
      </c>
      <c r="AE287">
        <v>0</v>
      </c>
      <c r="AF287">
        <v>0.017399999999999999</v>
      </c>
      <c r="AG287">
        <v>0</v>
      </c>
      <c r="AH287">
        <v>0</v>
      </c>
      <c r="AI287">
        <v>2</v>
      </c>
      <c r="AJ287">
        <v>0</v>
      </c>
      <c r="AK287">
        <v>0</v>
      </c>
      <c r="AL287">
        <v>80</v>
      </c>
      <c r="AM287">
        <v>3.045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6.525</v>
      </c>
      <c r="AU287">
        <v>0</v>
      </c>
      <c r="AV287">
        <v>0</v>
      </c>
    </row>
    <row r="288" spans="1:48" ht="12.75">
      <c r="A288" s="2" t="str">
        <f>HYPERLINK("https://ibp.a2mac1.com/costing(costing:projects/details/8191/equipment/6944690)","Equipment (Injection Molding)")</f>
        <v>Equipment (Injection Molding)</v>
      </c>
      <c r="B288">
        <v>6944690</v>
      </c>
      <c r="C288">
        <v>6972195</v>
      </c>
      <c r="H288" t="s">
        <v>136</v>
      </c>
      <c r="I288">
        <v>6799.0613579999999</v>
      </c>
      <c r="J288">
        <v>0</v>
      </c>
      <c r="K288">
        <v>0.28895999999999999</v>
      </c>
      <c r="L288">
        <v>0</v>
      </c>
      <c r="M288">
        <v>1.6719656827386693</v>
      </c>
      <c r="N288">
        <v>0</v>
      </c>
      <c r="O288">
        <v>0.027866094712311155</v>
      </c>
      <c r="P288">
        <v>0.0017765363999999999</v>
      </c>
      <c r="Q288">
        <v>0.00015553014718829798</v>
      </c>
      <c r="R288">
        <v>36120</v>
      </c>
      <c r="S288">
        <v>0</v>
      </c>
      <c r="T288">
        <v>0</v>
      </c>
      <c r="V288">
        <v>348.30</v>
      </c>
      <c r="W288">
        <v>7</v>
      </c>
      <c r="X288">
        <v>85</v>
      </c>
      <c r="Y288">
        <v>3</v>
      </c>
      <c r="Z288">
        <v>4</v>
      </c>
      <c r="AA288">
        <v>5</v>
      </c>
      <c r="AB288">
        <v>0</v>
      </c>
      <c r="AC288">
        <v>0</v>
      </c>
      <c r="AD288">
        <v>0</v>
      </c>
      <c r="AE288">
        <v>0</v>
      </c>
      <c r="AF288">
        <v>0.0258</v>
      </c>
      <c r="AG288">
        <v>0</v>
      </c>
      <c r="AH288">
        <v>0</v>
      </c>
      <c r="AI288">
        <v>2</v>
      </c>
      <c r="AJ288">
        <v>0</v>
      </c>
      <c r="AK288">
        <v>0</v>
      </c>
      <c r="AL288">
        <v>80</v>
      </c>
      <c r="AM288">
        <v>4.515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9.675</v>
      </c>
      <c r="AU288">
        <v>0</v>
      </c>
      <c r="AV288">
        <v>0</v>
      </c>
    </row>
    <row r="289" spans="1:48" ht="12.75">
      <c r="A289" s="2" t="str">
        <f>HYPERLINK("https://ibp.a2mac1.com/costing(costing:projects/details/8191/equipment/6944591)","Equipment (Injection Molding)")</f>
        <v>Equipment (Injection Molding)</v>
      </c>
      <c r="B289">
        <v>6944591</v>
      </c>
      <c r="C289">
        <v>6972132</v>
      </c>
      <c r="H289" t="s">
        <v>136</v>
      </c>
      <c r="I289">
        <v>75369.439859999999</v>
      </c>
      <c r="J289">
        <v>0</v>
      </c>
      <c r="K289">
        <v>3.2031999999999998</v>
      </c>
      <c r="L289">
        <v>0</v>
      </c>
      <c r="M289">
        <v>18.534193227258115</v>
      </c>
      <c r="N289">
        <v>0</v>
      </c>
      <c r="O289">
        <v>0.20593548030286796</v>
      </c>
      <c r="P289">
        <v>0.013128925333333333</v>
      </c>
      <c r="Q289">
        <v>0.0028091782221740598</v>
      </c>
      <c r="R289">
        <v>400400</v>
      </c>
      <c r="S289">
        <v>0</v>
      </c>
      <c r="T289">
        <v>0</v>
      </c>
      <c r="V289">
        <v>3861</v>
      </c>
      <c r="W289">
        <v>7</v>
      </c>
      <c r="X289">
        <v>85</v>
      </c>
      <c r="Y289">
        <v>3</v>
      </c>
      <c r="Z289">
        <v>4</v>
      </c>
      <c r="AA289">
        <v>5</v>
      </c>
      <c r="AB289">
        <v>0</v>
      </c>
      <c r="AC289">
        <v>0</v>
      </c>
      <c r="AD289">
        <v>0</v>
      </c>
      <c r="AE289">
        <v>0</v>
      </c>
      <c r="AF289">
        <v>0.28599999999999998</v>
      </c>
      <c r="AG289">
        <v>0</v>
      </c>
      <c r="AH289">
        <v>0</v>
      </c>
      <c r="AI289">
        <v>2</v>
      </c>
      <c r="AJ289">
        <v>0</v>
      </c>
      <c r="AK289">
        <v>0</v>
      </c>
      <c r="AL289">
        <v>80</v>
      </c>
      <c r="AM289">
        <v>50.05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107.25</v>
      </c>
      <c r="AU289">
        <v>0</v>
      </c>
      <c r="AV289">
        <v>0</v>
      </c>
    </row>
    <row r="290" spans="1:48" ht="12.75">
      <c r="A290" s="2" t="str">
        <f>HYPERLINK("https://ibp.a2mac1.com/costing(costing:projects/details/8191/equipment/6944592)","No.01 - Fabric Cutting")</f>
        <v>No.01 - Fabric Cutting</v>
      </c>
      <c r="B290">
        <v>6944592</v>
      </c>
      <c r="C290">
        <v>6972133</v>
      </c>
      <c r="H290" t="s">
        <v>2693</v>
      </c>
      <c r="I290">
        <v>16787.268</v>
      </c>
      <c r="J290">
        <v>0</v>
      </c>
      <c r="K290">
        <v>0.80</v>
      </c>
      <c r="L290">
        <v>0</v>
      </c>
      <c r="M290">
        <v>4.3820102860816457</v>
      </c>
      <c r="N290">
        <v>0</v>
      </c>
      <c r="O290">
        <v>0.022263046703453696</v>
      </c>
      <c r="P290">
        <v>0.041980427333333334</v>
      </c>
      <c r="Q290">
        <v>0.00025413375429122467</v>
      </c>
      <c r="R290">
        <v>110000</v>
      </c>
      <c r="S290">
        <v>0</v>
      </c>
      <c r="T290">
        <v>800000</v>
      </c>
      <c r="V290">
        <v>900</v>
      </c>
      <c r="W290">
        <v>10</v>
      </c>
      <c r="X290">
        <v>85</v>
      </c>
      <c r="Y290">
        <v>3</v>
      </c>
      <c r="Z290">
        <v>4</v>
      </c>
      <c r="AA290">
        <v>5</v>
      </c>
      <c r="AB290">
        <v>0</v>
      </c>
      <c r="AC290">
        <v>0</v>
      </c>
      <c r="AD290">
        <v>0</v>
      </c>
      <c r="AE290">
        <v>0</v>
      </c>
      <c r="AF290">
        <v>2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100</v>
      </c>
      <c r="AM290">
        <v>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50</v>
      </c>
      <c r="AU290">
        <v>0</v>
      </c>
      <c r="AV290">
        <v>0</v>
      </c>
    </row>
    <row r="291" spans="1:48" ht="12.75">
      <c r="A291" s="2" t="str">
        <f>HYPERLINK("https://ibp.a2mac1.com/costing(costing:projects/details/8191/equipment/6944593)","No.02 - Fabric Sewing")</f>
        <v>No.02 - Fabric Sewing</v>
      </c>
      <c r="B291">
        <v>6944593</v>
      </c>
      <c r="C291">
        <v>6972134</v>
      </c>
      <c r="E291" t="s">
        <v>9</v>
      </c>
      <c r="F291" t="s">
        <v>9</v>
      </c>
      <c r="G291" t="s">
        <v>9</v>
      </c>
      <c r="H291" t="s">
        <v>79</v>
      </c>
      <c r="I291">
        <v>1969.9257600000001</v>
      </c>
      <c r="J291">
        <v>0</v>
      </c>
      <c r="K291">
        <v>0.16</v>
      </c>
      <c r="L291">
        <v>0</v>
      </c>
      <c r="M291">
        <v>0.55696653166184507</v>
      </c>
      <c r="N291">
        <v>0</v>
      </c>
      <c r="O291">
        <v>0.098655791179113536</v>
      </c>
      <c r="P291">
        <v>2.224802289111111</v>
      </c>
      <c r="Q291">
        <v>0.00019675809797492768</v>
      </c>
      <c r="R291">
        <v>10000</v>
      </c>
      <c r="S291">
        <v>0</v>
      </c>
      <c r="T291">
        <v>800000</v>
      </c>
      <c r="U291" t="s">
        <v>9</v>
      </c>
      <c r="V291">
        <v>900</v>
      </c>
      <c r="W291">
        <v>10</v>
      </c>
      <c r="X291">
        <v>85</v>
      </c>
      <c r="Y291">
        <v>3</v>
      </c>
      <c r="Z291">
        <v>4</v>
      </c>
      <c r="AA291">
        <v>5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100</v>
      </c>
      <c r="AM291">
        <v>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16</v>
      </c>
      <c r="AU291">
        <v>0</v>
      </c>
      <c r="AV291">
        <v>0</v>
      </c>
    </row>
    <row r="292" spans="1:48" ht="12.75">
      <c r="A292" s="2" t="str">
        <f>HYPERLINK("https://ibp.a2mac1.com/costing(costing:projects/details/8191/equipment/6944594)","Equipment")</f>
        <v>Equipment</v>
      </c>
      <c r="B292">
        <v>6944594</v>
      </c>
      <c r="C292">
        <v>6972135</v>
      </c>
      <c r="H292" t="s">
        <v>136</v>
      </c>
      <c r="I292">
        <v>78900.735293999998</v>
      </c>
      <c r="J292">
        <v>0</v>
      </c>
      <c r="K292">
        <v>3.3532799999999998</v>
      </c>
      <c r="L292">
        <v>0</v>
      </c>
      <c r="M292">
        <v>19.402578504339441</v>
      </c>
      <c r="N292">
        <v>0</v>
      </c>
      <c r="O292">
        <v>1.2396091822216866</v>
      </c>
      <c r="P292">
        <v>0.079028326600000004</v>
      </c>
      <c r="Q292">
        <v>0.0029992958361448265</v>
      </c>
      <c r="R292">
        <v>419160</v>
      </c>
      <c r="S292">
        <v>0</v>
      </c>
      <c r="T292">
        <v>0</v>
      </c>
      <c r="V292">
        <v>4041.90</v>
      </c>
      <c r="W292">
        <v>7</v>
      </c>
      <c r="X292">
        <v>85</v>
      </c>
      <c r="Y292">
        <v>3</v>
      </c>
      <c r="Z292">
        <v>4</v>
      </c>
      <c r="AA292">
        <v>5</v>
      </c>
      <c r="AB292">
        <v>0</v>
      </c>
      <c r="AC292">
        <v>0</v>
      </c>
      <c r="AD292">
        <v>0</v>
      </c>
      <c r="AE292">
        <v>0</v>
      </c>
      <c r="AF292">
        <v>0.2994</v>
      </c>
      <c r="AG292">
        <v>0</v>
      </c>
      <c r="AH292">
        <v>0</v>
      </c>
      <c r="AI292">
        <v>2</v>
      </c>
      <c r="AJ292">
        <v>0</v>
      </c>
      <c r="AK292">
        <v>0</v>
      </c>
      <c r="AL292">
        <v>80</v>
      </c>
      <c r="AM292">
        <v>52.395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112.275</v>
      </c>
      <c r="AU292">
        <v>0</v>
      </c>
      <c r="AV292">
        <v>0</v>
      </c>
    </row>
    <row r="293" spans="1:48" ht="12.75">
      <c r="A293" s="2" t="str">
        <f>HYPERLINK("https://ibp.a2mac1.com/costing(costing:projects/details/8191/equipment/6944595)","Equipment")</f>
        <v>Equipment</v>
      </c>
      <c r="B293">
        <v>6944595</v>
      </c>
      <c r="C293">
        <v>6972136</v>
      </c>
      <c r="H293" t="s">
        <v>136</v>
      </c>
      <c r="I293">
        <v>78900.735293999998</v>
      </c>
      <c r="J293">
        <v>0</v>
      </c>
      <c r="K293">
        <v>3.3532799999999998</v>
      </c>
      <c r="L293">
        <v>0</v>
      </c>
      <c r="M293">
        <v>19.402578504339441</v>
      </c>
      <c r="N293">
        <v>0</v>
      </c>
      <c r="O293">
        <v>0.59285656541037179</v>
      </c>
      <c r="P293">
        <v>0.0377961562</v>
      </c>
      <c r="Q293">
        <v>0.0029992958361448265</v>
      </c>
      <c r="R293">
        <v>419160</v>
      </c>
      <c r="S293">
        <v>0</v>
      </c>
      <c r="T293">
        <v>0</v>
      </c>
      <c r="V293">
        <v>4041.90</v>
      </c>
      <c r="W293">
        <v>7</v>
      </c>
      <c r="X293">
        <v>85</v>
      </c>
      <c r="Y293">
        <v>3</v>
      </c>
      <c r="Z293">
        <v>4</v>
      </c>
      <c r="AA293">
        <v>5</v>
      </c>
      <c r="AB293">
        <v>0</v>
      </c>
      <c r="AC293">
        <v>0</v>
      </c>
      <c r="AD293">
        <v>0</v>
      </c>
      <c r="AE293">
        <v>0</v>
      </c>
      <c r="AF293">
        <v>0.2994</v>
      </c>
      <c r="AG293">
        <v>0</v>
      </c>
      <c r="AH293">
        <v>0</v>
      </c>
      <c r="AI293">
        <v>2</v>
      </c>
      <c r="AJ293">
        <v>0</v>
      </c>
      <c r="AK293">
        <v>0</v>
      </c>
      <c r="AL293">
        <v>80</v>
      </c>
      <c r="AM293">
        <v>52.395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112.275</v>
      </c>
      <c r="AU293">
        <v>0</v>
      </c>
      <c r="AV293">
        <v>0</v>
      </c>
    </row>
    <row r="294" spans="1:48" ht="12.75">
      <c r="A294" s="2" t="str">
        <f>HYPERLINK("https://ibp.a2mac1.com/costing(costing:projects/details/8191/equipment/6944691)","Equipment (Injection Molding)")</f>
        <v>Equipment (Injection Molding)</v>
      </c>
      <c r="B294">
        <v>6944691</v>
      </c>
      <c r="C294">
        <v>6972196</v>
      </c>
      <c r="H294" t="s">
        <v>136</v>
      </c>
      <c r="I294">
        <v>52.705902000000002</v>
      </c>
      <c r="J294">
        <v>0</v>
      </c>
      <c r="K294">
        <v>0.0022399999999999998</v>
      </c>
      <c r="L294">
        <v>0</v>
      </c>
      <c r="M294">
        <v>0.012960974284795885</v>
      </c>
      <c r="N294">
        <v>0</v>
      </c>
      <c r="O294">
        <v>0.0021601623807993141</v>
      </c>
      <c r="P294">
        <v>0.00013771599999999999</v>
      </c>
      <c r="Q294">
        <v>1.1310048438428157E-06</v>
      </c>
      <c r="R294">
        <v>280</v>
      </c>
      <c r="S294">
        <v>0</v>
      </c>
      <c r="T294">
        <v>0</v>
      </c>
      <c r="V294">
        <v>2.70</v>
      </c>
      <c r="W294">
        <v>7</v>
      </c>
      <c r="X294">
        <v>85</v>
      </c>
      <c r="Y294">
        <v>3</v>
      </c>
      <c r="Z294">
        <v>4</v>
      </c>
      <c r="AA294">
        <v>5</v>
      </c>
      <c r="AB294">
        <v>0</v>
      </c>
      <c r="AC294">
        <v>0</v>
      </c>
      <c r="AD294">
        <v>0</v>
      </c>
      <c r="AE294">
        <v>0</v>
      </c>
      <c r="AF294">
        <v>0.00020000000000000001</v>
      </c>
      <c r="AG294">
        <v>0</v>
      </c>
      <c r="AH294">
        <v>0</v>
      </c>
      <c r="AI294">
        <v>2</v>
      </c>
      <c r="AJ294">
        <v>0</v>
      </c>
      <c r="AK294">
        <v>0</v>
      </c>
      <c r="AL294">
        <v>80</v>
      </c>
      <c r="AM294">
        <v>0.035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0.075</v>
      </c>
      <c r="AU294">
        <v>0</v>
      </c>
      <c r="AV294">
        <v>0</v>
      </c>
    </row>
    <row r="295" spans="1:48" ht="12.75">
      <c r="A295" s="2" t="str">
        <f>HYPERLINK("https://ibp.a2mac1.com/costing(costing:projects/details/8191/equipment/6944692)","Equipment (Injection Molding)")</f>
        <v>Equipment (Injection Molding)</v>
      </c>
      <c r="B295">
        <v>6944692</v>
      </c>
      <c r="C295">
        <v>6972197</v>
      </c>
      <c r="H295" t="s">
        <v>136</v>
      </c>
      <c r="I295">
        <v>1159.5298439999999</v>
      </c>
      <c r="J295">
        <v>0</v>
      </c>
      <c r="K295">
        <v>0.049279999999999997</v>
      </c>
      <c r="L295">
        <v>0</v>
      </c>
      <c r="M295">
        <v>0.28514143426550947</v>
      </c>
      <c r="N295">
        <v>0</v>
      </c>
      <c r="O295">
        <v>0.012672952634022643</v>
      </c>
      <c r="P295">
        <v>0.00080793386666666665</v>
      </c>
      <c r="Q295">
        <v>2.5151565219922854E-05</v>
      </c>
      <c r="R295">
        <v>6160</v>
      </c>
      <c r="S295">
        <v>0</v>
      </c>
      <c r="T295">
        <v>0</v>
      </c>
      <c r="V295">
        <v>59.40</v>
      </c>
      <c r="W295">
        <v>7</v>
      </c>
      <c r="X295">
        <v>85</v>
      </c>
      <c r="Y295">
        <v>3</v>
      </c>
      <c r="Z295">
        <v>4</v>
      </c>
      <c r="AA295">
        <v>5</v>
      </c>
      <c r="AB295">
        <v>0</v>
      </c>
      <c r="AC295">
        <v>0</v>
      </c>
      <c r="AD295">
        <v>0</v>
      </c>
      <c r="AE295">
        <v>0</v>
      </c>
      <c r="AF295">
        <v>0.0044000000000000003</v>
      </c>
      <c r="AG295">
        <v>0</v>
      </c>
      <c r="AH295">
        <v>0</v>
      </c>
      <c r="AI295">
        <v>2</v>
      </c>
      <c r="AJ295">
        <v>0</v>
      </c>
      <c r="AK295">
        <v>0</v>
      </c>
      <c r="AL295">
        <v>80</v>
      </c>
      <c r="AM295">
        <v>0.77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1.65</v>
      </c>
      <c r="AU295">
        <v>0</v>
      </c>
      <c r="AV295">
        <v>0</v>
      </c>
    </row>
    <row r="296" spans="1:48" ht="12.75">
      <c r="A296" s="2" t="str">
        <f>HYPERLINK("https://ibp.a2mac1.com/costing(costing:projects/details/8191/equipment/6944596)","No.05 - Cleaning - Batch - 2000x2000x1200 - 500kg/batch - 3000kg/h ")</f>
        <v xml:space="preserve">No.05 - Cleaning - Batch - 2000x2000x1200 - 500kg/batch - 3000kg/h </v>
      </c>
      <c r="B296">
        <v>6944596</v>
      </c>
      <c r="C296">
        <v>6972137</v>
      </c>
      <c r="E296" t="s">
        <v>499</v>
      </c>
      <c r="H296" t="s">
        <v>136</v>
      </c>
      <c r="I296">
        <v>36749.814400000003</v>
      </c>
      <c r="J296">
        <v>0</v>
      </c>
      <c r="K296">
        <v>7.60</v>
      </c>
      <c r="L296">
        <v>0</v>
      </c>
      <c r="M296">
        <v>15.274351398264224</v>
      </c>
      <c r="N296">
        <v>0</v>
      </c>
      <c r="O296">
        <v>0.042428753884067291</v>
      </c>
      <c r="P296">
        <v>0.024368966666666665</v>
      </c>
      <c r="Q296">
        <v>0</v>
      </c>
      <c r="R296">
        <v>220000</v>
      </c>
      <c r="S296">
        <v>0</v>
      </c>
      <c r="T296">
        <v>0</v>
      </c>
      <c r="V296">
        <v>0</v>
      </c>
      <c r="W296">
        <v>8</v>
      </c>
      <c r="X296">
        <v>85</v>
      </c>
      <c r="Y296">
        <v>3</v>
      </c>
      <c r="Z296">
        <v>4</v>
      </c>
      <c r="AA296">
        <v>5</v>
      </c>
      <c r="AB296">
        <v>0</v>
      </c>
      <c r="AC296">
        <v>1</v>
      </c>
      <c r="AD296">
        <v>0</v>
      </c>
      <c r="AE296">
        <v>0</v>
      </c>
      <c r="AF296">
        <v>0.10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100</v>
      </c>
      <c r="AM296">
        <v>60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40</v>
      </c>
      <c r="AU296">
        <v>2.80</v>
      </c>
      <c r="AV296">
        <v>0</v>
      </c>
    </row>
    <row r="297" spans="1:48" ht="12.75">
      <c r="A297" s="2" t="str">
        <f>HYPERLINK("https://ibp.a2mac1.com/costing(costing:projects/details/8191/equipment/6944597)","No.01 - Progressive Press - 250T ")</f>
        <v xml:space="preserve">No.01 - Progressive Press - 250T </v>
      </c>
      <c r="B297">
        <v>6944597</v>
      </c>
      <c r="C297">
        <v>6972138</v>
      </c>
      <c r="E297" t="s">
        <v>499</v>
      </c>
      <c r="H297" t="s">
        <v>136</v>
      </c>
      <c r="I297">
        <v>295789.00731428573</v>
      </c>
      <c r="J297">
        <v>0</v>
      </c>
      <c r="K297">
        <v>5.82</v>
      </c>
      <c r="L297">
        <v>0</v>
      </c>
      <c r="M297">
        <v>66.618618983331032</v>
      </c>
      <c r="N297">
        <v>0</v>
      </c>
      <c r="O297">
        <v>0.031647730103189602</v>
      </c>
      <c r="P297">
        <v>0.0019626940030000001</v>
      </c>
      <c r="Q297">
        <v>0.0023753657694999312</v>
      </c>
      <c r="R297">
        <v>1650000</v>
      </c>
      <c r="S297">
        <v>0</v>
      </c>
      <c r="T297">
        <v>0</v>
      </c>
      <c r="V297">
        <v>1800</v>
      </c>
      <c r="W297">
        <v>7</v>
      </c>
      <c r="X297">
        <v>85</v>
      </c>
      <c r="Y297">
        <v>3</v>
      </c>
      <c r="Z297">
        <v>4</v>
      </c>
      <c r="AA297">
        <v>5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87</v>
      </c>
      <c r="AM297">
        <v>75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60</v>
      </c>
      <c r="AU297">
        <v>0.60</v>
      </c>
      <c r="AV297">
        <v>0</v>
      </c>
    </row>
    <row r="298" spans="1:48" ht="12.75">
      <c r="A298" s="2" t="str">
        <f>HYPERLINK("https://ibp.a2mac1.com/costing(costing:projects/details/8191/equipment/6944598)","Packaging ")</f>
        <v xml:space="preserve">Packaging </v>
      </c>
      <c r="B298">
        <v>6944598</v>
      </c>
      <c r="C298">
        <v>6972139</v>
      </c>
      <c r="E298" t="s">
        <v>499</v>
      </c>
      <c r="H298" t="s">
        <v>136</v>
      </c>
      <c r="I298">
        <v>4437.4535999999998</v>
      </c>
      <c r="J298">
        <v>0</v>
      </c>
      <c r="K298">
        <v>0.10768</v>
      </c>
      <c r="L298">
        <v>0</v>
      </c>
      <c r="M298">
        <v>1.0619476952748312</v>
      </c>
      <c r="N298">
        <v>0</v>
      </c>
      <c r="O298">
        <v>0.0023598837672774028</v>
      </c>
      <c r="P298">
        <v>0.027758133333333334</v>
      </c>
      <c r="Q298">
        <v>0.00020433281542912247</v>
      </c>
      <c r="R298">
        <v>30000</v>
      </c>
      <c r="S298">
        <v>0</v>
      </c>
      <c r="T298">
        <v>0</v>
      </c>
      <c r="V298">
        <v>900</v>
      </c>
      <c r="W298">
        <v>10</v>
      </c>
      <c r="X298">
        <v>85</v>
      </c>
      <c r="Y298">
        <v>3</v>
      </c>
      <c r="Z298">
        <v>4</v>
      </c>
      <c r="AA298">
        <v>5</v>
      </c>
      <c r="AB298">
        <v>0</v>
      </c>
      <c r="AC298">
        <v>1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50</v>
      </c>
      <c r="AM298">
        <v>2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0</v>
      </c>
      <c r="AT298">
        <v>10</v>
      </c>
      <c r="AU298">
        <v>0</v>
      </c>
      <c r="AV298">
        <v>0</v>
      </c>
    </row>
    <row r="299" spans="1:48" ht="12.75">
      <c r="A299" s="2" t="str">
        <f>HYPERLINK("https://ibp.a2mac1.com/costing(costing:projects/details/8191/equipment/6944837)","Equipment")</f>
        <v>Equipment</v>
      </c>
      <c r="B299">
        <v>6944837</v>
      </c>
      <c r="C299">
        <v>6972336</v>
      </c>
      <c r="H299" t="s">
        <v>136</v>
      </c>
      <c r="I299">
        <v>78900.735293999998</v>
      </c>
      <c r="J299">
        <v>0</v>
      </c>
      <c r="K299">
        <v>3.3532799999999998</v>
      </c>
      <c r="L299">
        <v>0</v>
      </c>
      <c r="M299">
        <v>19.402578504339441</v>
      </c>
      <c r="N299">
        <v>0</v>
      </c>
      <c r="O299">
        <v>3.2337630840565734</v>
      </c>
      <c r="P299">
        <v>0.20616085200000001</v>
      </c>
      <c r="Q299">
        <v>0.0029992958361448265</v>
      </c>
      <c r="R299">
        <v>419160</v>
      </c>
      <c r="S299">
        <v>0</v>
      </c>
      <c r="T299">
        <v>0</v>
      </c>
      <c r="V299">
        <v>4041.90</v>
      </c>
      <c r="W299">
        <v>7</v>
      </c>
      <c r="X299">
        <v>85</v>
      </c>
      <c r="Y299">
        <v>3</v>
      </c>
      <c r="Z299">
        <v>4</v>
      </c>
      <c r="AA299">
        <v>5</v>
      </c>
      <c r="AB299">
        <v>0</v>
      </c>
      <c r="AC299">
        <v>0</v>
      </c>
      <c r="AD299">
        <v>0</v>
      </c>
      <c r="AE299">
        <v>0</v>
      </c>
      <c r="AF299">
        <v>0.2994</v>
      </c>
      <c r="AG299">
        <v>0</v>
      </c>
      <c r="AH299">
        <v>0</v>
      </c>
      <c r="AI299">
        <v>2</v>
      </c>
      <c r="AJ299">
        <v>0</v>
      </c>
      <c r="AK299">
        <v>0</v>
      </c>
      <c r="AL299">
        <v>80</v>
      </c>
      <c r="AM299">
        <v>52.395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112.275</v>
      </c>
      <c r="AU299">
        <v>0</v>
      </c>
      <c r="AV299">
        <v>0</v>
      </c>
    </row>
    <row r="300" spans="1:48" ht="12.75">
      <c r="A300" s="2" t="str">
        <f>HYPERLINK("https://ibp.a2mac1.com/costing(costing:projects/details/8191/equipment/6944838)","Equipment")</f>
        <v>Equipment</v>
      </c>
      <c r="B300">
        <v>6944838</v>
      </c>
      <c r="C300">
        <v>6972337</v>
      </c>
      <c r="H300" t="s">
        <v>136</v>
      </c>
      <c r="I300">
        <v>78900.735293999998</v>
      </c>
      <c r="J300">
        <v>0</v>
      </c>
      <c r="K300">
        <v>3.3532799999999998</v>
      </c>
      <c r="L300">
        <v>0</v>
      </c>
      <c r="M300">
        <v>19.402578504339441</v>
      </c>
      <c r="N300">
        <v>0</v>
      </c>
      <c r="O300">
        <v>3.2337630840565734</v>
      </c>
      <c r="P300">
        <v>0.20616085200000001</v>
      </c>
      <c r="Q300">
        <v>0.0029992958361448265</v>
      </c>
      <c r="R300">
        <v>419160</v>
      </c>
      <c r="S300">
        <v>0</v>
      </c>
      <c r="T300">
        <v>0</v>
      </c>
      <c r="V300">
        <v>4041.90</v>
      </c>
      <c r="W300">
        <v>7</v>
      </c>
      <c r="X300">
        <v>85</v>
      </c>
      <c r="Y300">
        <v>3</v>
      </c>
      <c r="Z300">
        <v>4</v>
      </c>
      <c r="AA300">
        <v>5</v>
      </c>
      <c r="AB300">
        <v>0</v>
      </c>
      <c r="AC300">
        <v>0</v>
      </c>
      <c r="AD300">
        <v>0</v>
      </c>
      <c r="AE300">
        <v>0</v>
      </c>
      <c r="AF300">
        <v>0.2994</v>
      </c>
      <c r="AG300">
        <v>0</v>
      </c>
      <c r="AH300">
        <v>0</v>
      </c>
      <c r="AI300">
        <v>2</v>
      </c>
      <c r="AJ300">
        <v>0</v>
      </c>
      <c r="AK300">
        <v>0</v>
      </c>
      <c r="AL300">
        <v>80</v>
      </c>
      <c r="AM300">
        <v>52.395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112.275</v>
      </c>
      <c r="AU300">
        <v>0</v>
      </c>
      <c r="AV300">
        <v>0</v>
      </c>
    </row>
    <row r="301" spans="1:48" ht="12.75">
      <c r="A301" s="2" t="str">
        <f>HYPERLINK("https://ibp.a2mac1.com/costing(costing:projects/details/8191/equipment/6944693)","Equipment")</f>
        <v>Equipment</v>
      </c>
      <c r="B301">
        <v>6944693</v>
      </c>
      <c r="C301">
        <v>6972198</v>
      </c>
      <c r="H301" t="s">
        <v>136</v>
      </c>
      <c r="I301">
        <v>78900.735293999998</v>
      </c>
      <c r="J301">
        <v>0</v>
      </c>
      <c r="K301">
        <v>3.3532799999999998</v>
      </c>
      <c r="L301">
        <v>0</v>
      </c>
      <c r="M301">
        <v>19.402578504339441</v>
      </c>
      <c r="N301">
        <v>0</v>
      </c>
      <c r="O301">
        <v>0.32337630840565734</v>
      </c>
      <c r="P301">
        <v>0.020616085199999998</v>
      </c>
      <c r="Q301">
        <v>0.0029992958361448265</v>
      </c>
      <c r="R301">
        <v>419160</v>
      </c>
      <c r="S301">
        <v>0</v>
      </c>
      <c r="T301">
        <v>0</v>
      </c>
      <c r="V301">
        <v>4041.90</v>
      </c>
      <c r="W301">
        <v>7</v>
      </c>
      <c r="X301">
        <v>85</v>
      </c>
      <c r="Y301">
        <v>3</v>
      </c>
      <c r="Z301">
        <v>4</v>
      </c>
      <c r="AA301">
        <v>5</v>
      </c>
      <c r="AB301">
        <v>0</v>
      </c>
      <c r="AC301">
        <v>0</v>
      </c>
      <c r="AD301">
        <v>0</v>
      </c>
      <c r="AE301">
        <v>0</v>
      </c>
      <c r="AF301">
        <v>0.2994</v>
      </c>
      <c r="AG301">
        <v>0</v>
      </c>
      <c r="AH301">
        <v>0</v>
      </c>
      <c r="AI301">
        <v>2</v>
      </c>
      <c r="AJ301">
        <v>0</v>
      </c>
      <c r="AK301">
        <v>0</v>
      </c>
      <c r="AL301">
        <v>80</v>
      </c>
      <c r="AM301">
        <v>52.395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112.275</v>
      </c>
      <c r="AU301">
        <v>0</v>
      </c>
      <c r="AV301">
        <v>0</v>
      </c>
    </row>
    <row r="302" spans="1:48" ht="12.75">
      <c r="A302" s="2" t="str">
        <f>HYPERLINK("https://ibp.a2mac1.com/costing(costing:projects/details/8191/equipment/6944694)","Equipment (Injection Molding)")</f>
        <v>Equipment (Injection Molding)</v>
      </c>
      <c r="B302">
        <v>6944694</v>
      </c>
      <c r="C302">
        <v>6972199</v>
      </c>
      <c r="H302" t="s">
        <v>136</v>
      </c>
      <c r="I302">
        <v>105.411804</v>
      </c>
      <c r="J302">
        <v>0</v>
      </c>
      <c r="K302">
        <v>0.0044799999999999996</v>
      </c>
      <c r="L302">
        <v>0</v>
      </c>
      <c r="M302">
        <v>0.02592194856959177</v>
      </c>
      <c r="N302">
        <v>0</v>
      </c>
      <c r="O302">
        <v>0.00043203247615986284</v>
      </c>
      <c r="P302">
        <v>2.7543200000000001E-05</v>
      </c>
      <c r="Q302">
        <v>2.2631761753712633E-06</v>
      </c>
      <c r="R302">
        <v>560</v>
      </c>
      <c r="S302">
        <v>0</v>
      </c>
      <c r="T302">
        <v>0</v>
      </c>
      <c r="V302">
        <v>5.40</v>
      </c>
      <c r="W302">
        <v>7</v>
      </c>
      <c r="X302">
        <v>85</v>
      </c>
      <c r="Y302">
        <v>3</v>
      </c>
      <c r="Z302">
        <v>4</v>
      </c>
      <c r="AA302">
        <v>5</v>
      </c>
      <c r="AB302">
        <v>0</v>
      </c>
      <c r="AC302">
        <v>0</v>
      </c>
      <c r="AD302">
        <v>0</v>
      </c>
      <c r="AE302">
        <v>0</v>
      </c>
      <c r="AF302">
        <v>0.00040000000000000002</v>
      </c>
      <c r="AG302">
        <v>0</v>
      </c>
      <c r="AH302">
        <v>0</v>
      </c>
      <c r="AI302">
        <v>2</v>
      </c>
      <c r="AJ302">
        <v>0</v>
      </c>
      <c r="AK302">
        <v>0</v>
      </c>
      <c r="AL302">
        <v>80</v>
      </c>
      <c r="AM302">
        <v>0.07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0.15</v>
      </c>
      <c r="AU302">
        <v>0</v>
      </c>
      <c r="AV302">
        <v>0</v>
      </c>
    </row>
    <row r="303" spans="1:48" ht="12.75">
      <c r="A303" s="2" t="str">
        <f>HYPERLINK("https://ibp.a2mac1.com/costing(costing:projects/details/8191/equipment/6944739)","Equipment (Injection Molding)")</f>
        <v>Equipment (Injection Molding)</v>
      </c>
      <c r="B303">
        <v>6944739</v>
      </c>
      <c r="C303">
        <v>6972200</v>
      </c>
      <c r="H303" t="s">
        <v>136</v>
      </c>
      <c r="I303">
        <v>579.76492199999996</v>
      </c>
      <c r="J303">
        <v>0</v>
      </c>
      <c r="K303">
        <v>0.024639999999999999</v>
      </c>
      <c r="L303">
        <v>0</v>
      </c>
      <c r="M303">
        <v>0.14257071713275474</v>
      </c>
      <c r="N303">
        <v>0</v>
      </c>
      <c r="O303">
        <v>0.0023761786188792457</v>
      </c>
      <c r="P303">
        <v>0.0001514876</v>
      </c>
      <c r="Q303">
        <v>1.2505210104980714E-05</v>
      </c>
      <c r="R303">
        <v>3080</v>
      </c>
      <c r="S303">
        <v>0</v>
      </c>
      <c r="T303">
        <v>0</v>
      </c>
      <c r="V303">
        <v>29.70</v>
      </c>
      <c r="W303">
        <v>7</v>
      </c>
      <c r="X303">
        <v>85</v>
      </c>
      <c r="Y303">
        <v>3</v>
      </c>
      <c r="Z303">
        <v>4</v>
      </c>
      <c r="AA303">
        <v>5</v>
      </c>
      <c r="AB303">
        <v>0</v>
      </c>
      <c r="AC303">
        <v>0</v>
      </c>
      <c r="AD303">
        <v>0</v>
      </c>
      <c r="AE303">
        <v>0</v>
      </c>
      <c r="AF303">
        <v>0.0022000000000000001</v>
      </c>
      <c r="AG303">
        <v>0</v>
      </c>
      <c r="AH303">
        <v>0</v>
      </c>
      <c r="AI303">
        <v>2</v>
      </c>
      <c r="AJ303">
        <v>0</v>
      </c>
      <c r="AK303">
        <v>0</v>
      </c>
      <c r="AL303">
        <v>80</v>
      </c>
      <c r="AM303">
        <v>0.385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0.825</v>
      </c>
      <c r="AU303">
        <v>0</v>
      </c>
      <c r="AV303">
        <v>0</v>
      </c>
    </row>
    <row r="304" spans="1:48" ht="12.75">
      <c r="A304" s="2" t="str">
        <f>HYPERLINK("https://ibp.a2mac1.com/costing(costing:projects/details/8191/equipment/6944740)","Equipment (Injection Molding)")</f>
        <v>Equipment (Injection Molding)</v>
      </c>
      <c r="B304">
        <v>6944740</v>
      </c>
      <c r="C304">
        <v>6972201</v>
      </c>
      <c r="H304" t="s">
        <v>136</v>
      </c>
      <c r="I304">
        <v>3742.1190419999998</v>
      </c>
      <c r="J304">
        <v>0</v>
      </c>
      <c r="K304">
        <v>0.15903999999999999</v>
      </c>
      <c r="L304">
        <v>0</v>
      </c>
      <c r="M304">
        <v>0.92022917422050787</v>
      </c>
      <c r="N304">
        <v>0</v>
      </c>
      <c r="O304">
        <v>0.015337152903675131</v>
      </c>
      <c r="P304">
        <v>0.00097778360000000007</v>
      </c>
      <c r="Q304">
        <v>8.320006581163452E-05</v>
      </c>
      <c r="R304">
        <v>19880</v>
      </c>
      <c r="S304">
        <v>0</v>
      </c>
      <c r="T304">
        <v>0</v>
      </c>
      <c r="V304">
        <v>191.70</v>
      </c>
      <c r="W304">
        <v>7</v>
      </c>
      <c r="X304">
        <v>85</v>
      </c>
      <c r="Y304">
        <v>3</v>
      </c>
      <c r="Z304">
        <v>4</v>
      </c>
      <c r="AA304">
        <v>5</v>
      </c>
      <c r="AB304">
        <v>0</v>
      </c>
      <c r="AC304">
        <v>0</v>
      </c>
      <c r="AD304">
        <v>0</v>
      </c>
      <c r="AE304">
        <v>0</v>
      </c>
      <c r="AF304">
        <v>0.014200000000000001</v>
      </c>
      <c r="AG304">
        <v>0</v>
      </c>
      <c r="AH304">
        <v>0</v>
      </c>
      <c r="AI304">
        <v>2</v>
      </c>
      <c r="AJ304">
        <v>0</v>
      </c>
      <c r="AK304">
        <v>0</v>
      </c>
      <c r="AL304">
        <v>80</v>
      </c>
      <c r="AM304">
        <v>2.485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5.325</v>
      </c>
      <c r="AU304">
        <v>0</v>
      </c>
      <c r="AV304">
        <v>0</v>
      </c>
    </row>
    <row r="305" spans="1:48" ht="12.75">
      <c r="A305" s="2" t="str">
        <f>HYPERLINK("https://ibp.a2mac1.com/costing(costing:projects/details/8191/equipment/6944839)","No.01 - Progressive Press - 250T ")</f>
        <v xml:space="preserve">No.01 - Progressive Press - 250T </v>
      </c>
      <c r="B305">
        <v>6944839</v>
      </c>
      <c r="C305">
        <v>6972338</v>
      </c>
      <c r="E305" t="s">
        <v>499</v>
      </c>
      <c r="H305" t="s">
        <v>136</v>
      </c>
      <c r="I305">
        <v>295789.00731428573</v>
      </c>
      <c r="J305">
        <v>0</v>
      </c>
      <c r="K305">
        <v>5.82</v>
      </c>
      <c r="L305">
        <v>0</v>
      </c>
      <c r="M305">
        <v>66.618618983331032</v>
      </c>
      <c r="N305">
        <v>0</v>
      </c>
      <c r="O305">
        <v>0.031647730103189602</v>
      </c>
      <c r="P305">
        <v>0.0019626940030000001</v>
      </c>
      <c r="Q305">
        <v>0.0023753657694999312</v>
      </c>
      <c r="R305">
        <v>1650000</v>
      </c>
      <c r="S305">
        <v>0</v>
      </c>
      <c r="T305">
        <v>0</v>
      </c>
      <c r="V305">
        <v>1800</v>
      </c>
      <c r="W305">
        <v>7</v>
      </c>
      <c r="X305">
        <v>85</v>
      </c>
      <c r="Y305">
        <v>3</v>
      </c>
      <c r="Z305">
        <v>4</v>
      </c>
      <c r="AA305">
        <v>5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87</v>
      </c>
      <c r="AM305">
        <v>75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60</v>
      </c>
      <c r="AU305">
        <v>0.60</v>
      </c>
      <c r="AV305">
        <v>0</v>
      </c>
    </row>
    <row r="306" spans="1:48" ht="12.75">
      <c r="A306" s="2" t="str">
        <f>HYPERLINK("https://ibp.a2mac1.com/costing(costing:projects/details/8191/equipment/6944840)","No.05 - Cleaning - Batch - 2000x2000x1200 - 500kg/batch - 3000kg/h ")</f>
        <v xml:space="preserve">No.05 - Cleaning - Batch - 2000x2000x1200 - 500kg/batch - 3000kg/h </v>
      </c>
      <c r="B306">
        <v>6944840</v>
      </c>
      <c r="C306">
        <v>6972339</v>
      </c>
      <c r="E306" t="s">
        <v>499</v>
      </c>
      <c r="H306" t="s">
        <v>136</v>
      </c>
      <c r="I306">
        <v>36749.814400000003</v>
      </c>
      <c r="J306">
        <v>0</v>
      </c>
      <c r="K306">
        <v>7.60</v>
      </c>
      <c r="L306">
        <v>0</v>
      </c>
      <c r="M306">
        <v>15.274351398264224</v>
      </c>
      <c r="N306">
        <v>0</v>
      </c>
      <c r="O306">
        <v>0.042428753884067291</v>
      </c>
      <c r="P306">
        <v>0.0011476333333333333</v>
      </c>
      <c r="Q306">
        <v>0</v>
      </c>
      <c r="R306">
        <v>220000</v>
      </c>
      <c r="S306">
        <v>0</v>
      </c>
      <c r="T306">
        <v>0</v>
      </c>
      <c r="V306">
        <v>0</v>
      </c>
      <c r="W306">
        <v>8</v>
      </c>
      <c r="X306">
        <v>85</v>
      </c>
      <c r="Y306">
        <v>3</v>
      </c>
      <c r="Z306">
        <v>4</v>
      </c>
      <c r="AA306">
        <v>5</v>
      </c>
      <c r="AB306">
        <v>0</v>
      </c>
      <c r="AC306">
        <v>0</v>
      </c>
      <c r="AD306">
        <v>0</v>
      </c>
      <c r="AE306">
        <v>0</v>
      </c>
      <c r="AF306">
        <v>0.10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100</v>
      </c>
      <c r="AM306">
        <v>60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40</v>
      </c>
      <c r="AU306">
        <v>2.80</v>
      </c>
      <c r="AV306">
        <v>0</v>
      </c>
    </row>
    <row r="307" spans="1:48" ht="12.75">
      <c r="A307" s="2" t="str">
        <f>HYPERLINK("https://ibp.a2mac1.com/costing(costing:projects/details/8191/equipment/6944841)","No.02 - cataphoresis line - tank : 1500x1000x1500 ")</f>
        <v xml:space="preserve">No.02 - cataphoresis line - tank : 1500x1000x1500 </v>
      </c>
      <c r="B307">
        <v>6944841</v>
      </c>
      <c r="C307">
        <v>6972340</v>
      </c>
      <c r="F307" t="s">
        <v>2932</v>
      </c>
      <c r="H307" t="s">
        <v>136</v>
      </c>
      <c r="I307">
        <v>317206.38453333336</v>
      </c>
      <c r="J307">
        <v>0</v>
      </c>
      <c r="K307">
        <v>6.2129700000000003</v>
      </c>
      <c r="L307">
        <v>0</v>
      </c>
      <c r="M307">
        <v>80.980952085074463</v>
      </c>
      <c r="N307">
        <v>0</v>
      </c>
      <c r="O307">
        <v>0.10797460278009929</v>
      </c>
      <c r="P307">
        <v>0.033309760000000001</v>
      </c>
      <c r="Q307">
        <v>0.0056124715251044677</v>
      </c>
      <c r="R307">
        <v>2960000</v>
      </c>
      <c r="S307">
        <v>0</v>
      </c>
      <c r="T307">
        <v>0</v>
      </c>
      <c r="V307">
        <v>3600</v>
      </c>
      <c r="W307">
        <v>15</v>
      </c>
      <c r="X307">
        <v>85</v>
      </c>
      <c r="Y307">
        <v>3</v>
      </c>
      <c r="Z307">
        <v>4</v>
      </c>
      <c r="AA307">
        <v>5</v>
      </c>
      <c r="AB307">
        <v>0</v>
      </c>
      <c r="AC307">
        <v>2</v>
      </c>
      <c r="AD307">
        <v>0</v>
      </c>
      <c r="AE307">
        <v>0</v>
      </c>
      <c r="AF307">
        <v>2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10</v>
      </c>
      <c r="AM307">
        <v>755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0.25</v>
      </c>
      <c r="AT307">
        <v>420</v>
      </c>
      <c r="AU307">
        <v>0</v>
      </c>
      <c r="AV307">
        <v>0</v>
      </c>
    </row>
    <row r="308" spans="1:48" ht="12.75">
      <c r="A308" s="2" t="str">
        <f>HYPERLINK("https://ibp.a2mac1.com/costing(costing:projects/details/8191/equipment/6944842)","Equipment (Injection Molding)")</f>
        <v>Equipment (Injection Molding)</v>
      </c>
      <c r="B308">
        <v>6944842</v>
      </c>
      <c r="C308">
        <v>6972341</v>
      </c>
      <c r="H308" t="s">
        <v>136</v>
      </c>
      <c r="I308">
        <v>5876.7080729999998</v>
      </c>
      <c r="J308">
        <v>0</v>
      </c>
      <c r="K308">
        <v>0.24976000000000001</v>
      </c>
      <c r="L308">
        <v>0</v>
      </c>
      <c r="M308">
        <v>1.4451486327547411</v>
      </c>
      <c r="N308">
        <v>0</v>
      </c>
      <c r="O308">
        <v>0.024085810545912353</v>
      </c>
      <c r="P308">
        <v>0.0015355334000000001</v>
      </c>
      <c r="Q308">
        <v>0.00013329304166484691</v>
      </c>
      <c r="R308">
        <v>31220</v>
      </c>
      <c r="S308">
        <v>0</v>
      </c>
      <c r="T308">
        <v>0</v>
      </c>
      <c r="V308">
        <v>301.05</v>
      </c>
      <c r="W308">
        <v>7</v>
      </c>
      <c r="X308">
        <v>85</v>
      </c>
      <c r="Y308">
        <v>3</v>
      </c>
      <c r="Z308">
        <v>4</v>
      </c>
      <c r="AA308">
        <v>5</v>
      </c>
      <c r="AB308">
        <v>0</v>
      </c>
      <c r="AC308">
        <v>0</v>
      </c>
      <c r="AD308">
        <v>0</v>
      </c>
      <c r="AE308">
        <v>0</v>
      </c>
      <c r="AF308">
        <v>0.0223</v>
      </c>
      <c r="AG308">
        <v>0</v>
      </c>
      <c r="AH308">
        <v>0</v>
      </c>
      <c r="AI308">
        <v>2</v>
      </c>
      <c r="AJ308">
        <v>0</v>
      </c>
      <c r="AK308">
        <v>0</v>
      </c>
      <c r="AL308">
        <v>80</v>
      </c>
      <c r="AM308">
        <v>3.9025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8.3625</v>
      </c>
      <c r="AU308">
        <v>0</v>
      </c>
      <c r="AV308">
        <v>0</v>
      </c>
    </row>
    <row r="309" spans="1:48" ht="12.75">
      <c r="A309" s="2" t="str">
        <f>HYPERLINK("https://ibp.a2mac1.com/costing(costing:projects/details/8191/equipment/6944843)","Equipment")</f>
        <v>Equipment</v>
      </c>
      <c r="B309">
        <v>6944843</v>
      </c>
      <c r="C309">
        <v>6972342</v>
      </c>
      <c r="H309" t="s">
        <v>136</v>
      </c>
      <c r="I309">
        <v>8512.0031729999992</v>
      </c>
      <c r="J309">
        <v>0</v>
      </c>
      <c r="K309">
        <v>0.36176000000000003</v>
      </c>
      <c r="L309">
        <v>0</v>
      </c>
      <c r="M309">
        <v>2.0931973469945353</v>
      </c>
      <c r="N309">
        <v>0</v>
      </c>
      <c r="O309">
        <v>0.15117536394960535</v>
      </c>
      <c r="P309">
        <v>0.009637824733333333</v>
      </c>
      <c r="Q309">
        <v>0.00019777540011928278</v>
      </c>
      <c r="R309">
        <v>45220</v>
      </c>
      <c r="S309">
        <v>0</v>
      </c>
      <c r="T309">
        <v>0</v>
      </c>
      <c r="V309">
        <v>436.05</v>
      </c>
      <c r="W309">
        <v>7</v>
      </c>
      <c r="X309">
        <v>85</v>
      </c>
      <c r="Y309">
        <v>3</v>
      </c>
      <c r="Z309">
        <v>4</v>
      </c>
      <c r="AA309">
        <v>5</v>
      </c>
      <c r="AB309">
        <v>0</v>
      </c>
      <c r="AC309">
        <v>0</v>
      </c>
      <c r="AD309">
        <v>0</v>
      </c>
      <c r="AE309">
        <v>0</v>
      </c>
      <c r="AF309">
        <v>0.032300000000000002</v>
      </c>
      <c r="AG309">
        <v>0</v>
      </c>
      <c r="AH309">
        <v>0</v>
      </c>
      <c r="AI309">
        <v>2</v>
      </c>
      <c r="AJ309">
        <v>0</v>
      </c>
      <c r="AK309">
        <v>0</v>
      </c>
      <c r="AL309">
        <v>80</v>
      </c>
      <c r="AM309">
        <v>5.6525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12.1125</v>
      </c>
      <c r="AU309">
        <v>0</v>
      </c>
      <c r="AV309">
        <v>0</v>
      </c>
    </row>
    <row r="310" spans="1:48" ht="12.75">
      <c r="A310" s="2" t="str">
        <f>HYPERLINK("https://ibp.a2mac1.com/costing(costing:projects/details/8191/equipment/6944741)","Dummy Machine (PCBA+Final Assembly Line)")</f>
        <v>Dummy Machine (PCBA+Final Assembly Line)</v>
      </c>
      <c r="B310">
        <v>6944741</v>
      </c>
      <c r="C310">
        <v>6972202</v>
      </c>
      <c r="F310" t="s">
        <v>559</v>
      </c>
      <c r="H310" t="s">
        <v>136</v>
      </c>
      <c r="I310">
        <v>79501.662769714283</v>
      </c>
      <c r="J310">
        <v>0</v>
      </c>
      <c r="K310">
        <v>0.28895999999999999</v>
      </c>
      <c r="L310">
        <v>0</v>
      </c>
      <c r="M310">
        <v>16.624578413647427</v>
      </c>
      <c r="N310">
        <v>0</v>
      </c>
      <c r="O310">
        <v>0.50797322930589361</v>
      </c>
      <c r="P310">
        <v>0.088367766666666667</v>
      </c>
      <c r="Q310">
        <v>6.889185508913073E-05</v>
      </c>
      <c r="R310">
        <v>442771.10</v>
      </c>
      <c r="S310">
        <v>0</v>
      </c>
      <c r="T310">
        <v>0</v>
      </c>
      <c r="V310">
        <v>216</v>
      </c>
      <c r="W310">
        <v>7</v>
      </c>
      <c r="X310">
        <v>85</v>
      </c>
      <c r="Y310">
        <v>3</v>
      </c>
      <c r="Z310">
        <v>4</v>
      </c>
      <c r="AA310">
        <v>5</v>
      </c>
      <c r="AB310">
        <v>0</v>
      </c>
      <c r="AC310">
        <v>0</v>
      </c>
      <c r="AD310">
        <v>0</v>
      </c>
      <c r="AE310">
        <v>0</v>
      </c>
      <c r="AF310">
        <v>0.70</v>
      </c>
      <c r="AG310">
        <v>0</v>
      </c>
      <c r="AH310">
        <v>0</v>
      </c>
      <c r="AI310">
        <v>0.20</v>
      </c>
      <c r="AJ310">
        <v>0</v>
      </c>
      <c r="AK310">
        <v>0</v>
      </c>
      <c r="AL310">
        <v>86</v>
      </c>
      <c r="AM310">
        <v>4.20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19.40</v>
      </c>
      <c r="AU310">
        <v>0</v>
      </c>
      <c r="AV310">
        <v>0</v>
      </c>
    </row>
    <row r="311" spans="1:48" ht="12.75">
      <c r="A311" s="2" t="str">
        <f>HYPERLINK("https://ibp.a2mac1.com/costing(costing:projects/details/8191/equipment/6944599)","Dummy Machine (PCBA+Final Assembly Line)")</f>
        <v>Dummy Machine (PCBA+Final Assembly Line)</v>
      </c>
      <c r="B311">
        <v>6944599</v>
      </c>
      <c r="C311">
        <v>6972140</v>
      </c>
      <c r="F311" t="s">
        <v>559</v>
      </c>
      <c r="H311" t="s">
        <v>136</v>
      </c>
      <c r="I311">
        <v>79501.662769714283</v>
      </c>
      <c r="J311">
        <v>0</v>
      </c>
      <c r="K311">
        <v>0.28895999999999999</v>
      </c>
      <c r="L311">
        <v>0</v>
      </c>
      <c r="M311">
        <v>16.624578413647427</v>
      </c>
      <c r="N311">
        <v>0</v>
      </c>
      <c r="O311">
        <v>0.27707630689412377</v>
      </c>
      <c r="P311">
        <v>0.048200600000000003</v>
      </c>
      <c r="Q311">
        <v>6.889185508913073E-05</v>
      </c>
      <c r="R311">
        <v>442771.10</v>
      </c>
      <c r="S311">
        <v>0</v>
      </c>
      <c r="T311">
        <v>0</v>
      </c>
      <c r="V311">
        <v>216</v>
      </c>
      <c r="W311">
        <v>7</v>
      </c>
      <c r="X311">
        <v>85</v>
      </c>
      <c r="Y311">
        <v>3</v>
      </c>
      <c r="Z311">
        <v>4</v>
      </c>
      <c r="AA311">
        <v>5</v>
      </c>
      <c r="AB311">
        <v>0</v>
      </c>
      <c r="AC311">
        <v>0</v>
      </c>
      <c r="AD311">
        <v>0</v>
      </c>
      <c r="AE311">
        <v>0</v>
      </c>
      <c r="AF311">
        <v>0.70</v>
      </c>
      <c r="AG311">
        <v>0</v>
      </c>
      <c r="AH311">
        <v>0</v>
      </c>
      <c r="AI311">
        <v>0.20</v>
      </c>
      <c r="AJ311">
        <v>0</v>
      </c>
      <c r="AK311">
        <v>0</v>
      </c>
      <c r="AL311">
        <v>86</v>
      </c>
      <c r="AM311">
        <v>4.20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19.40</v>
      </c>
      <c r="AU311">
        <v>0</v>
      </c>
      <c r="AV311">
        <v>0</v>
      </c>
    </row>
    <row r="312" spans="1:48" ht="12.75">
      <c r="A312" s="2" t="str">
        <f>HYPERLINK("https://ibp.a2mac1.com/costing(costing:projects/details/8191/equipment/6944600)","Dummy Machine (PCBA+Final Assembly Line)")</f>
        <v>Dummy Machine (PCBA+Final Assembly Line)</v>
      </c>
      <c r="B312">
        <v>6944600</v>
      </c>
      <c r="C312">
        <v>6972141</v>
      </c>
      <c r="F312" t="s">
        <v>559</v>
      </c>
      <c r="H312" t="s">
        <v>136</v>
      </c>
      <c r="I312">
        <v>79501.662769714283</v>
      </c>
      <c r="J312">
        <v>0</v>
      </c>
      <c r="K312">
        <v>0.28895999999999999</v>
      </c>
      <c r="L312">
        <v>0</v>
      </c>
      <c r="M312">
        <v>16.624578413647427</v>
      </c>
      <c r="N312">
        <v>0</v>
      </c>
      <c r="O312">
        <v>0.92358768964707927</v>
      </c>
      <c r="P312">
        <v>0.16066866666666665</v>
      </c>
      <c r="Q312">
        <v>6.889185508913073E-05</v>
      </c>
      <c r="R312">
        <v>442771.10</v>
      </c>
      <c r="S312">
        <v>0</v>
      </c>
      <c r="T312">
        <v>0</v>
      </c>
      <c r="V312">
        <v>216</v>
      </c>
      <c r="W312">
        <v>7</v>
      </c>
      <c r="X312">
        <v>85</v>
      </c>
      <c r="Y312">
        <v>3</v>
      </c>
      <c r="Z312">
        <v>4</v>
      </c>
      <c r="AA312">
        <v>5</v>
      </c>
      <c r="AB312">
        <v>0</v>
      </c>
      <c r="AC312">
        <v>0</v>
      </c>
      <c r="AD312">
        <v>0</v>
      </c>
      <c r="AE312">
        <v>0</v>
      </c>
      <c r="AF312">
        <v>0.70</v>
      </c>
      <c r="AG312">
        <v>0</v>
      </c>
      <c r="AH312">
        <v>0</v>
      </c>
      <c r="AI312">
        <v>0.20</v>
      </c>
      <c r="AJ312">
        <v>0</v>
      </c>
      <c r="AK312">
        <v>0</v>
      </c>
      <c r="AL312">
        <v>86</v>
      </c>
      <c r="AM312">
        <v>4.20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19.40</v>
      </c>
      <c r="AU312">
        <v>0</v>
      </c>
      <c r="AV312">
        <v>0</v>
      </c>
    </row>
    <row r="313" spans="1:48" ht="12.75">
      <c r="A313" s="2" t="str">
        <f>HYPERLINK("https://ibp.a2mac1.com/costing(costing:projects/details/8191/equipment/6944601)","Dummy Machine (PCBA+Final Assembly Line)")</f>
        <v>Dummy Machine (PCBA+Final Assembly Line)</v>
      </c>
      <c r="B313">
        <v>6944601</v>
      </c>
      <c r="C313">
        <v>6972142</v>
      </c>
      <c r="F313" t="s">
        <v>559</v>
      </c>
      <c r="H313" t="s">
        <v>136</v>
      </c>
      <c r="I313">
        <v>79501.662769714283</v>
      </c>
      <c r="J313">
        <v>0</v>
      </c>
      <c r="K313">
        <v>0.28895999999999999</v>
      </c>
      <c r="L313">
        <v>0</v>
      </c>
      <c r="M313">
        <v>16.624578413647427</v>
      </c>
      <c r="N313">
        <v>0</v>
      </c>
      <c r="O313">
        <v>0.92358768964707927</v>
      </c>
      <c r="P313">
        <v>0.16066866666666665</v>
      </c>
      <c r="Q313">
        <v>6.889185508913073E-05</v>
      </c>
      <c r="R313">
        <v>442771.10</v>
      </c>
      <c r="S313">
        <v>0</v>
      </c>
      <c r="T313">
        <v>0</v>
      </c>
      <c r="V313">
        <v>216</v>
      </c>
      <c r="W313">
        <v>7</v>
      </c>
      <c r="X313">
        <v>85</v>
      </c>
      <c r="Y313">
        <v>3</v>
      </c>
      <c r="Z313">
        <v>4</v>
      </c>
      <c r="AA313">
        <v>5</v>
      </c>
      <c r="AB313">
        <v>0</v>
      </c>
      <c r="AC313">
        <v>0</v>
      </c>
      <c r="AD313">
        <v>0</v>
      </c>
      <c r="AE313">
        <v>0</v>
      </c>
      <c r="AF313">
        <v>0.70</v>
      </c>
      <c r="AG313">
        <v>0</v>
      </c>
      <c r="AH313">
        <v>0</v>
      </c>
      <c r="AI313">
        <v>0.20</v>
      </c>
      <c r="AJ313">
        <v>0</v>
      </c>
      <c r="AK313">
        <v>0</v>
      </c>
      <c r="AL313">
        <v>86</v>
      </c>
      <c r="AM313">
        <v>4.20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19.40</v>
      </c>
      <c r="AU313">
        <v>0</v>
      </c>
      <c r="AV313">
        <v>0</v>
      </c>
    </row>
    <row r="314" spans="1:48" ht="12.75">
      <c r="A314" s="2" t="str">
        <f>HYPERLINK("https://ibp.a2mac1.com/costing(costing:projects/details/8191/equipment/6944602)","Equipment (Injection Molding)")</f>
        <v>Equipment (Injection Molding)</v>
      </c>
      <c r="B314">
        <v>6944602</v>
      </c>
      <c r="C314">
        <v>6972143</v>
      </c>
      <c r="H314" t="s">
        <v>136</v>
      </c>
      <c r="I314">
        <v>263.52951000000002</v>
      </c>
      <c r="J314">
        <v>0</v>
      </c>
      <c r="K314">
        <v>0.0112</v>
      </c>
      <c r="L314">
        <v>0</v>
      </c>
      <c r="M314">
        <v>0.064804871423979421</v>
      </c>
      <c r="N314">
        <v>0</v>
      </c>
      <c r="O314">
        <v>0.0010800811903996571</v>
      </c>
      <c r="P314">
        <v>6.8857999999999997E-05</v>
      </c>
      <c r="Q314">
        <v>5.6666890960703958E-06</v>
      </c>
      <c r="R314">
        <v>1400</v>
      </c>
      <c r="S314">
        <v>0</v>
      </c>
      <c r="T314">
        <v>0</v>
      </c>
      <c r="V314">
        <v>13.50</v>
      </c>
      <c r="W314">
        <v>7</v>
      </c>
      <c r="X314">
        <v>85</v>
      </c>
      <c r="Y314">
        <v>3</v>
      </c>
      <c r="Z314">
        <v>4</v>
      </c>
      <c r="AA314">
        <v>5</v>
      </c>
      <c r="AB314">
        <v>0</v>
      </c>
      <c r="AC314">
        <v>0</v>
      </c>
      <c r="AD314">
        <v>0</v>
      </c>
      <c r="AE314">
        <v>0</v>
      </c>
      <c r="AF314">
        <v>0.001</v>
      </c>
      <c r="AG314">
        <v>0</v>
      </c>
      <c r="AH314">
        <v>0</v>
      </c>
      <c r="AI314">
        <v>2</v>
      </c>
      <c r="AJ314">
        <v>0</v>
      </c>
      <c r="AK314">
        <v>0</v>
      </c>
      <c r="AL314">
        <v>80</v>
      </c>
      <c r="AM314">
        <v>0.175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0.375</v>
      </c>
      <c r="AU314">
        <v>0</v>
      </c>
      <c r="AV314">
        <v>0</v>
      </c>
    </row>
    <row r="315" spans="1:48" ht="12.75">
      <c r="A315" s="2" t="str">
        <f>HYPERLINK("https://ibp.a2mac1.com/costing(costing:projects/details/8191/equipment/6944603)","Equipment (Injection Molding)")</f>
        <v>Equipment (Injection Molding)</v>
      </c>
      <c r="B315">
        <v>6944603</v>
      </c>
      <c r="C315">
        <v>6972144</v>
      </c>
      <c r="H315" t="s">
        <v>136</v>
      </c>
      <c r="I315">
        <v>263.52951000000002</v>
      </c>
      <c r="J315">
        <v>0</v>
      </c>
      <c r="K315">
        <v>0.0112</v>
      </c>
      <c r="L315">
        <v>0</v>
      </c>
      <c r="M315">
        <v>0.064804871423979421</v>
      </c>
      <c r="N315">
        <v>0</v>
      </c>
      <c r="O315">
        <v>0.0010800811903996571</v>
      </c>
      <c r="P315">
        <v>6.8857999999999997E-05</v>
      </c>
      <c r="Q315">
        <v>5.6666890960703958E-06</v>
      </c>
      <c r="R315">
        <v>1400</v>
      </c>
      <c r="S315">
        <v>0</v>
      </c>
      <c r="T315">
        <v>0</v>
      </c>
      <c r="V315">
        <v>13.50</v>
      </c>
      <c r="W315">
        <v>7</v>
      </c>
      <c r="X315">
        <v>85</v>
      </c>
      <c r="Y315">
        <v>3</v>
      </c>
      <c r="Z315">
        <v>4</v>
      </c>
      <c r="AA315">
        <v>5</v>
      </c>
      <c r="AB315">
        <v>0</v>
      </c>
      <c r="AC315">
        <v>0</v>
      </c>
      <c r="AD315">
        <v>0</v>
      </c>
      <c r="AE315">
        <v>0</v>
      </c>
      <c r="AF315">
        <v>0.001</v>
      </c>
      <c r="AG315">
        <v>0</v>
      </c>
      <c r="AH315">
        <v>0</v>
      </c>
      <c r="AI315">
        <v>2</v>
      </c>
      <c r="AJ315">
        <v>0</v>
      </c>
      <c r="AK315">
        <v>0</v>
      </c>
      <c r="AL315">
        <v>80</v>
      </c>
      <c r="AM315">
        <v>0.175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0.375</v>
      </c>
      <c r="AU315">
        <v>0</v>
      </c>
      <c r="AV315">
        <v>0</v>
      </c>
    </row>
    <row r="316" spans="1:48" ht="12.75">
      <c r="A316" s="2" t="str">
        <f>HYPERLINK("https://ibp.a2mac1.com/costing(costing:projects/details/8191/equipment/6944604)","No.01 - Fabric Cutting")</f>
        <v>No.01 - Fabric Cutting</v>
      </c>
      <c r="B316">
        <v>6944604</v>
      </c>
      <c r="C316">
        <v>6972145</v>
      </c>
      <c r="H316" t="s">
        <v>2693</v>
      </c>
      <c r="I316">
        <v>16787.268</v>
      </c>
      <c r="J316">
        <v>0</v>
      </c>
      <c r="K316">
        <v>0.80</v>
      </c>
      <c r="L316">
        <v>0</v>
      </c>
      <c r="M316">
        <v>4.3820102860816457</v>
      </c>
      <c r="N316">
        <v>0</v>
      </c>
      <c r="O316">
        <v>0.0080702022768670313</v>
      </c>
      <c r="P316">
        <v>0.015217618</v>
      </c>
      <c r="Q316">
        <v>0.00025413375429122467</v>
      </c>
      <c r="R316">
        <v>110000</v>
      </c>
      <c r="S316">
        <v>0</v>
      </c>
      <c r="T316">
        <v>800000</v>
      </c>
      <c r="V316">
        <v>900</v>
      </c>
      <c r="W316">
        <v>10</v>
      </c>
      <c r="X316">
        <v>85</v>
      </c>
      <c r="Y316">
        <v>3</v>
      </c>
      <c r="Z316">
        <v>4</v>
      </c>
      <c r="AA316">
        <v>5</v>
      </c>
      <c r="AB316">
        <v>0</v>
      </c>
      <c r="AC316">
        <v>0</v>
      </c>
      <c r="AD316">
        <v>0</v>
      </c>
      <c r="AE316">
        <v>0</v>
      </c>
      <c r="AF316">
        <v>2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100</v>
      </c>
      <c r="AM316">
        <v>10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50</v>
      </c>
      <c r="AU316">
        <v>0</v>
      </c>
      <c r="AV316">
        <v>0</v>
      </c>
    </row>
    <row r="317" spans="1:48" ht="12.75">
      <c r="A317" s="2" t="str">
        <f>HYPERLINK("https://ibp.a2mac1.com/costing(costing:projects/details/8191/equipment/6944605)","No.02 - Fabric Sewing")</f>
        <v>No.02 - Fabric Sewing</v>
      </c>
      <c r="B317">
        <v>6944605</v>
      </c>
      <c r="C317">
        <v>6972146</v>
      </c>
      <c r="E317" t="s">
        <v>9</v>
      </c>
      <c r="F317" t="s">
        <v>9</v>
      </c>
      <c r="G317" t="s">
        <v>9</v>
      </c>
      <c r="H317" t="s">
        <v>79</v>
      </c>
      <c r="I317">
        <v>1969.9257600000001</v>
      </c>
      <c r="J317">
        <v>0</v>
      </c>
      <c r="K317">
        <v>0.16</v>
      </c>
      <c r="L317">
        <v>0</v>
      </c>
      <c r="M317">
        <v>0.55696653166184507</v>
      </c>
      <c r="N317">
        <v>0</v>
      </c>
      <c r="O317">
        <v>0.038436879201685772</v>
      </c>
      <c r="P317">
        <v>0.86679611822222224</v>
      </c>
      <c r="Q317">
        <v>0.00019675809797492768</v>
      </c>
      <c r="R317">
        <v>10000</v>
      </c>
      <c r="S317">
        <v>0</v>
      </c>
      <c r="T317">
        <v>800000</v>
      </c>
      <c r="U317" t="s">
        <v>9</v>
      </c>
      <c r="V317">
        <v>900</v>
      </c>
      <c r="W317">
        <v>10</v>
      </c>
      <c r="X317">
        <v>85</v>
      </c>
      <c r="Y317">
        <v>3</v>
      </c>
      <c r="Z317">
        <v>4</v>
      </c>
      <c r="AA317">
        <v>5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100</v>
      </c>
      <c r="AM317">
        <v>2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16</v>
      </c>
      <c r="AU317">
        <v>0</v>
      </c>
      <c r="AV317">
        <v>0</v>
      </c>
    </row>
    <row r="318" spans="1:48" ht="12.75">
      <c r="A318" s="2" t="str">
        <f>HYPERLINK("https://ibp.a2mac1.com/costing(costing:projects/details/8191/equipment/6944606)","Equipment (Injection Molding)")</f>
        <v>Equipment (Injection Molding)</v>
      </c>
      <c r="B318">
        <v>6944606</v>
      </c>
      <c r="C318">
        <v>6972147</v>
      </c>
      <c r="H318" t="s">
        <v>136</v>
      </c>
      <c r="I318">
        <v>11437.180734</v>
      </c>
      <c r="J318">
        <v>0</v>
      </c>
      <c r="K318">
        <v>0.48608000000000001</v>
      </c>
      <c r="L318">
        <v>0</v>
      </c>
      <c r="M318">
        <v>2.812531419800707</v>
      </c>
      <c r="N318">
        <v>0</v>
      </c>
      <c r="O318">
        <v>0.125001396435587</v>
      </c>
      <c r="P318">
        <v>0.0079691658666666675</v>
      </c>
      <c r="Q318">
        <v>0.00027276585651435392</v>
      </c>
      <c r="R318">
        <v>60760</v>
      </c>
      <c r="S318">
        <v>0</v>
      </c>
      <c r="T318">
        <v>0</v>
      </c>
      <c r="V318">
        <v>585.90</v>
      </c>
      <c r="W318">
        <v>7</v>
      </c>
      <c r="X318">
        <v>85</v>
      </c>
      <c r="Y318">
        <v>3</v>
      </c>
      <c r="Z318">
        <v>4</v>
      </c>
      <c r="AA318">
        <v>5</v>
      </c>
      <c r="AB318">
        <v>0</v>
      </c>
      <c r="AC318">
        <v>0</v>
      </c>
      <c r="AD318">
        <v>0</v>
      </c>
      <c r="AE318">
        <v>0</v>
      </c>
      <c r="AF318">
        <v>0.043400000000000001</v>
      </c>
      <c r="AG318">
        <v>0</v>
      </c>
      <c r="AH318">
        <v>0</v>
      </c>
      <c r="AI318">
        <v>2</v>
      </c>
      <c r="AJ318">
        <v>0</v>
      </c>
      <c r="AK318">
        <v>0</v>
      </c>
      <c r="AL318">
        <v>80</v>
      </c>
      <c r="AM318">
        <v>7.595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16.275</v>
      </c>
      <c r="AU318">
        <v>0</v>
      </c>
      <c r="AV318">
        <v>0</v>
      </c>
    </row>
    <row r="319" spans="1:48" ht="12.75">
      <c r="A319" s="2" t="str">
        <f>HYPERLINK("https://ibp.a2mac1.com/costing(costing:projects/details/8191/equipment/6944607)","Equipment")</f>
        <v>Equipment</v>
      </c>
      <c r="B319">
        <v>6944607</v>
      </c>
      <c r="C319">
        <v>6972148</v>
      </c>
      <c r="H319" t="s">
        <v>136</v>
      </c>
      <c r="I319">
        <v>16075.30011</v>
      </c>
      <c r="J319">
        <v>0</v>
      </c>
      <c r="K319">
        <v>0.68320000000000003</v>
      </c>
      <c r="L319">
        <v>0</v>
      </c>
      <c r="M319">
        <v>3.9530971568627451</v>
      </c>
      <c r="N319">
        <v>0</v>
      </c>
      <c r="O319">
        <v>0.32942476307189544</v>
      </c>
      <c r="P319">
        <v>0.02100169</v>
      </c>
      <c r="Q319">
        <v>0.00039903484647794117</v>
      </c>
      <c r="R319">
        <v>85400</v>
      </c>
      <c r="S319">
        <v>0</v>
      </c>
      <c r="T319">
        <v>0</v>
      </c>
      <c r="V319">
        <v>823.50</v>
      </c>
      <c r="W319">
        <v>7</v>
      </c>
      <c r="X319">
        <v>85</v>
      </c>
      <c r="Y319">
        <v>3</v>
      </c>
      <c r="Z319">
        <v>4</v>
      </c>
      <c r="AA319">
        <v>5</v>
      </c>
      <c r="AB319">
        <v>0</v>
      </c>
      <c r="AC319">
        <v>0</v>
      </c>
      <c r="AD319">
        <v>0</v>
      </c>
      <c r="AE319">
        <v>0</v>
      </c>
      <c r="AF319">
        <v>0.060999999999999999</v>
      </c>
      <c r="AG319">
        <v>0</v>
      </c>
      <c r="AH319">
        <v>0</v>
      </c>
      <c r="AI319">
        <v>2</v>
      </c>
      <c r="AJ319">
        <v>0</v>
      </c>
      <c r="AK319">
        <v>0</v>
      </c>
      <c r="AL319">
        <v>80</v>
      </c>
      <c r="AM319">
        <v>10.675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22.875</v>
      </c>
      <c r="AU319">
        <v>0</v>
      </c>
      <c r="AV319">
        <v>0</v>
      </c>
    </row>
    <row r="320" spans="1:48" ht="12.75">
      <c r="A320" s="2" t="str">
        <f>HYPERLINK("https://ibp.a2mac1.com/costing(costing:projects/details/8191/equipment/6944441)","Dummy Machine (Wireharness production line)")</f>
        <v>Dummy Machine (Wireharness production line)</v>
      </c>
      <c r="B320">
        <v>6944441</v>
      </c>
      <c r="C320">
        <v>6971942</v>
      </c>
      <c r="H320" t="s">
        <v>136</v>
      </c>
      <c r="I320">
        <v>18664.599488571428</v>
      </c>
      <c r="J320">
        <v>0</v>
      </c>
      <c r="K320">
        <v>0.096320000000000003</v>
      </c>
      <c r="L320">
        <v>0</v>
      </c>
      <c r="M320">
        <v>3.815112106809937</v>
      </c>
      <c r="N320">
        <v>0</v>
      </c>
      <c r="O320">
        <v>0.29355168155176459</v>
      </c>
      <c r="P320">
        <v>1.1288431327666666</v>
      </c>
      <c r="Q320">
        <v>4.493884102430087E-05</v>
      </c>
      <c r="R320">
        <v>89474.50</v>
      </c>
      <c r="S320">
        <v>0</v>
      </c>
      <c r="T320">
        <v>0</v>
      </c>
      <c r="V320">
        <v>126</v>
      </c>
      <c r="W320">
        <v>7</v>
      </c>
      <c r="X320">
        <v>85</v>
      </c>
      <c r="Y320">
        <v>3</v>
      </c>
      <c r="Z320">
        <v>4</v>
      </c>
      <c r="AA320">
        <v>5</v>
      </c>
      <c r="AB320">
        <v>0</v>
      </c>
      <c r="AC320">
        <v>0</v>
      </c>
      <c r="AD320">
        <v>0</v>
      </c>
      <c r="AE320">
        <v>0</v>
      </c>
      <c r="AF320">
        <v>3.5510000000000002</v>
      </c>
      <c r="AG320">
        <v>0</v>
      </c>
      <c r="AH320">
        <v>0</v>
      </c>
      <c r="AI320">
        <v>1.40</v>
      </c>
      <c r="AJ320">
        <v>0</v>
      </c>
      <c r="AK320">
        <v>0</v>
      </c>
      <c r="AL320">
        <v>86</v>
      </c>
      <c r="AM320">
        <v>1.40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71</v>
      </c>
      <c r="AU320">
        <v>0</v>
      </c>
      <c r="AV320">
        <v>0</v>
      </c>
    </row>
    <row r="321" spans="1:48" ht="12.75">
      <c r="A321" s="2" t="str">
        <f>HYPERLINK("https://ibp.a2mac1.com/costing(costing:projects/details/8191/equipment/6944261)","DC Machine")</f>
        <v>DC Machine</v>
      </c>
      <c r="B321">
        <v>6944261</v>
      </c>
      <c r="C321">
        <v>6971833</v>
      </c>
      <c r="G321" t="s">
        <v>2871</v>
      </c>
      <c r="H321" t="s">
        <v>136</v>
      </c>
      <c r="I321">
        <v>15437.267994600001</v>
      </c>
      <c r="J321">
        <v>0</v>
      </c>
      <c r="K321">
        <v>0.51768000000000003</v>
      </c>
      <c r="L321">
        <v>0</v>
      </c>
      <c r="M321">
        <v>3.80235823731919</v>
      </c>
      <c r="N321">
        <v>0</v>
      </c>
      <c r="O321">
        <v>1.6001590915384925</v>
      </c>
      <c r="P321">
        <v>5.2857676666666666</v>
      </c>
      <c r="Q321">
        <v>0.00040906495593297975</v>
      </c>
      <c r="R321">
        <v>99999.999960000001</v>
      </c>
      <c r="S321">
        <v>0</v>
      </c>
      <c r="T321">
        <v>0</v>
      </c>
      <c r="V321">
        <v>900</v>
      </c>
      <c r="W321">
        <v>10</v>
      </c>
      <c r="X321">
        <v>85</v>
      </c>
      <c r="Y321">
        <v>3</v>
      </c>
      <c r="Z321">
        <v>4</v>
      </c>
      <c r="AA321">
        <v>5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20</v>
      </c>
      <c r="AN321">
        <v>0</v>
      </c>
      <c r="AO321">
        <v>1</v>
      </c>
      <c r="AP321">
        <v>1</v>
      </c>
      <c r="AQ321">
        <v>1</v>
      </c>
      <c r="AR321">
        <v>0</v>
      </c>
      <c r="AS321">
        <v>0</v>
      </c>
      <c r="AT321">
        <v>50</v>
      </c>
      <c r="AU321">
        <v>0</v>
      </c>
      <c r="AV321">
        <v>0</v>
      </c>
    </row>
    <row r="322" spans="1:48" ht="12.75">
      <c r="A322" s="2" t="str">
        <f>HYPERLINK("https://ibp.a2mac1.com/costing(costing:projects/details/8191/equipment/6944742)","No.01 - Fabric Cutting")</f>
        <v>No.01 - Fabric Cutting</v>
      </c>
      <c r="B322">
        <v>6944742</v>
      </c>
      <c r="C322">
        <v>6972203</v>
      </c>
      <c r="H322" t="s">
        <v>79</v>
      </c>
      <c r="I322">
        <v>16787.268</v>
      </c>
      <c r="J322">
        <v>0</v>
      </c>
      <c r="K322">
        <v>0.80</v>
      </c>
      <c r="L322">
        <v>0</v>
      </c>
      <c r="M322">
        <v>4.3820102860816457</v>
      </c>
      <c r="N322">
        <v>0</v>
      </c>
      <c r="O322">
        <v>0.0068773216989892498</v>
      </c>
      <c r="P322">
        <v>0.012968256666666667</v>
      </c>
      <c r="Q322">
        <v>0.00025413375429122467</v>
      </c>
      <c r="R322">
        <v>110000</v>
      </c>
      <c r="S322">
        <v>0</v>
      </c>
      <c r="T322">
        <v>800000</v>
      </c>
      <c r="V322">
        <v>900</v>
      </c>
      <c r="W322">
        <v>10</v>
      </c>
      <c r="X322">
        <v>85</v>
      </c>
      <c r="Y322">
        <v>3</v>
      </c>
      <c r="Z322">
        <v>4</v>
      </c>
      <c r="AA322">
        <v>5</v>
      </c>
      <c r="AB322">
        <v>0</v>
      </c>
      <c r="AC322">
        <v>0</v>
      </c>
      <c r="AD322">
        <v>0</v>
      </c>
      <c r="AE322">
        <v>0</v>
      </c>
      <c r="AF322">
        <v>2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100</v>
      </c>
      <c r="AM322">
        <v>10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50</v>
      </c>
      <c r="AU322">
        <v>0</v>
      </c>
      <c r="AV322">
        <v>0</v>
      </c>
    </row>
    <row r="323" spans="1:48" ht="12.75">
      <c r="A323" s="2" t="str">
        <f>HYPERLINK("https://ibp.a2mac1.com/costing(costing:projects/details/8191/equipment/6944743)","No.02 - Fabric Sewing")</f>
        <v>No.02 - Fabric Sewing</v>
      </c>
      <c r="B323">
        <v>6944743</v>
      </c>
      <c r="C323">
        <v>6972204</v>
      </c>
      <c r="E323" t="s">
        <v>9</v>
      </c>
      <c r="F323" t="s">
        <v>9</v>
      </c>
      <c r="G323" t="s">
        <v>9</v>
      </c>
      <c r="H323" t="s">
        <v>79</v>
      </c>
      <c r="I323">
        <v>1969.9257600000001</v>
      </c>
      <c r="J323">
        <v>0</v>
      </c>
      <c r="K323">
        <v>0.16</v>
      </c>
      <c r="L323">
        <v>0</v>
      </c>
      <c r="M323">
        <v>0.55696653166184507</v>
      </c>
      <c r="N323">
        <v>0</v>
      </c>
      <c r="O323">
        <v>0.033999712499446409</v>
      </c>
      <c r="P323">
        <v>0.76673287288888892</v>
      </c>
      <c r="Q323">
        <v>0.00019675809797492768</v>
      </c>
      <c r="R323">
        <v>10000</v>
      </c>
      <c r="S323">
        <v>0</v>
      </c>
      <c r="T323">
        <v>800000</v>
      </c>
      <c r="U323" t="s">
        <v>9</v>
      </c>
      <c r="V323">
        <v>900</v>
      </c>
      <c r="W323">
        <v>10</v>
      </c>
      <c r="X323">
        <v>85</v>
      </c>
      <c r="Y323">
        <v>3</v>
      </c>
      <c r="Z323">
        <v>4</v>
      </c>
      <c r="AA323">
        <v>5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100</v>
      </c>
      <c r="AM323">
        <v>2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16</v>
      </c>
      <c r="AU323">
        <v>0</v>
      </c>
      <c r="AV323">
        <v>0</v>
      </c>
    </row>
    <row r="324" spans="1:48" ht="12.75">
      <c r="A324" s="2" t="str">
        <f>HYPERLINK("https://ibp.a2mac1.com/costing(costing:projects/details/8191/equipment/6944744)","Equipment (Injection Molding)")</f>
        <v>Equipment (Injection Molding)</v>
      </c>
      <c r="B324">
        <v>6944744</v>
      </c>
      <c r="C324">
        <v>6972205</v>
      </c>
      <c r="H324" t="s">
        <v>136</v>
      </c>
      <c r="I324">
        <v>11437.180734</v>
      </c>
      <c r="J324">
        <v>0</v>
      </c>
      <c r="K324">
        <v>0.48608000000000001</v>
      </c>
      <c r="L324">
        <v>0</v>
      </c>
      <c r="M324">
        <v>2.812531419800707</v>
      </c>
      <c r="N324">
        <v>0</v>
      </c>
      <c r="O324">
        <v>0.125001396435587</v>
      </c>
      <c r="P324">
        <v>0.0079691658666666675</v>
      </c>
      <c r="Q324">
        <v>0.00027276585651435392</v>
      </c>
      <c r="R324">
        <v>60760</v>
      </c>
      <c r="S324">
        <v>0</v>
      </c>
      <c r="T324">
        <v>0</v>
      </c>
      <c r="V324">
        <v>585.90</v>
      </c>
      <c r="W324">
        <v>7</v>
      </c>
      <c r="X324">
        <v>85</v>
      </c>
      <c r="Y324">
        <v>3</v>
      </c>
      <c r="Z324">
        <v>4</v>
      </c>
      <c r="AA324">
        <v>5</v>
      </c>
      <c r="AB324">
        <v>0</v>
      </c>
      <c r="AC324">
        <v>0</v>
      </c>
      <c r="AD324">
        <v>0</v>
      </c>
      <c r="AE324">
        <v>0</v>
      </c>
      <c r="AF324">
        <v>0.043400000000000001</v>
      </c>
      <c r="AG324">
        <v>0</v>
      </c>
      <c r="AH324">
        <v>0</v>
      </c>
      <c r="AI324">
        <v>2</v>
      </c>
      <c r="AJ324">
        <v>0</v>
      </c>
      <c r="AK324">
        <v>0</v>
      </c>
      <c r="AL324">
        <v>80</v>
      </c>
      <c r="AM324">
        <v>7.595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16.275</v>
      </c>
      <c r="AU324">
        <v>0</v>
      </c>
      <c r="AV324">
        <v>0</v>
      </c>
    </row>
    <row r="325" spans="1:48" ht="12.75">
      <c r="A325" s="2" t="str">
        <f>HYPERLINK("https://ibp.a2mac1.com/costing(costing:projects/details/8191/equipment/6944745)","Equipment")</f>
        <v>Equipment</v>
      </c>
      <c r="B325">
        <v>6944745</v>
      </c>
      <c r="C325">
        <v>6972206</v>
      </c>
      <c r="H325" t="s">
        <v>136</v>
      </c>
      <c r="I325">
        <v>16075.30011</v>
      </c>
      <c r="J325">
        <v>0</v>
      </c>
      <c r="K325">
        <v>0.68320000000000003</v>
      </c>
      <c r="L325">
        <v>0</v>
      </c>
      <c r="M325">
        <v>3.9530971568627451</v>
      </c>
      <c r="N325">
        <v>0</v>
      </c>
      <c r="O325">
        <v>0.15373155610021785</v>
      </c>
      <c r="P325">
        <v>0.0098007886666666658</v>
      </c>
      <c r="Q325">
        <v>0.00019951742323897058</v>
      </c>
      <c r="R325">
        <v>85400</v>
      </c>
      <c r="S325">
        <v>0</v>
      </c>
      <c r="T325">
        <v>0</v>
      </c>
      <c r="V325">
        <v>823.50</v>
      </c>
      <c r="W325">
        <v>7</v>
      </c>
      <c r="X325">
        <v>85</v>
      </c>
      <c r="Y325">
        <v>3</v>
      </c>
      <c r="Z325">
        <v>4</v>
      </c>
      <c r="AA325">
        <v>5</v>
      </c>
      <c r="AB325">
        <v>0</v>
      </c>
      <c r="AC325">
        <v>0</v>
      </c>
      <c r="AD325">
        <v>0</v>
      </c>
      <c r="AE325">
        <v>0</v>
      </c>
      <c r="AF325">
        <v>0.060999999999999999</v>
      </c>
      <c r="AG325">
        <v>0</v>
      </c>
      <c r="AH325">
        <v>0</v>
      </c>
      <c r="AI325">
        <v>2</v>
      </c>
      <c r="AJ325">
        <v>0</v>
      </c>
      <c r="AK325">
        <v>0</v>
      </c>
      <c r="AL325">
        <v>80</v>
      </c>
      <c r="AM325">
        <v>10.675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22.875</v>
      </c>
      <c r="AU325">
        <v>0</v>
      </c>
      <c r="AV325">
        <v>0</v>
      </c>
    </row>
    <row r="326" spans="1:48" ht="12.75">
      <c r="A326" s="2" t="str">
        <f>HYPERLINK("https://ibp.a2mac1.com/costing(costing:projects/details/8191/equipment/6944746)","Equipment (Injection Molding)")</f>
        <v>Equipment (Injection Molding)</v>
      </c>
      <c r="B326">
        <v>6944746</v>
      </c>
      <c r="C326">
        <v>6972207</v>
      </c>
      <c r="H326" t="s">
        <v>136</v>
      </c>
      <c r="I326">
        <v>11542.592538000001</v>
      </c>
      <c r="J326">
        <v>0</v>
      </c>
      <c r="K326">
        <v>0.49056</v>
      </c>
      <c r="L326">
        <v>0</v>
      </c>
      <c r="M326">
        <v>2.838453368370299</v>
      </c>
      <c r="N326">
        <v>0</v>
      </c>
      <c r="O326">
        <v>0.047307556139504985</v>
      </c>
      <c r="P326">
        <v>0.0030159803999999998</v>
      </c>
      <c r="Q326">
        <v>0.00027553528834528931</v>
      </c>
      <c r="R326">
        <v>61320</v>
      </c>
      <c r="S326">
        <v>0</v>
      </c>
      <c r="T326">
        <v>0</v>
      </c>
      <c r="V326">
        <v>591.30</v>
      </c>
      <c r="W326">
        <v>7</v>
      </c>
      <c r="X326">
        <v>85</v>
      </c>
      <c r="Y326">
        <v>3</v>
      </c>
      <c r="Z326">
        <v>4</v>
      </c>
      <c r="AA326">
        <v>5</v>
      </c>
      <c r="AB326">
        <v>0</v>
      </c>
      <c r="AC326">
        <v>0</v>
      </c>
      <c r="AD326">
        <v>0</v>
      </c>
      <c r="AE326">
        <v>0</v>
      </c>
      <c r="AF326">
        <v>0.043799999999999999</v>
      </c>
      <c r="AG326">
        <v>0</v>
      </c>
      <c r="AH326">
        <v>0</v>
      </c>
      <c r="AI326">
        <v>2</v>
      </c>
      <c r="AJ326">
        <v>0</v>
      </c>
      <c r="AK326">
        <v>0</v>
      </c>
      <c r="AL326">
        <v>80</v>
      </c>
      <c r="AM326">
        <v>7.665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16.425</v>
      </c>
      <c r="AU326">
        <v>0</v>
      </c>
      <c r="AV326">
        <v>0</v>
      </c>
    </row>
    <row r="327" spans="1:48" ht="12.75">
      <c r="A327" s="2" t="str">
        <f>HYPERLINK("https://ibp.a2mac1.com/costing(costing:projects/details/8191/equipment/6944844)","Equipment (Injection Molding)")</f>
        <v>Equipment (Injection Molding)</v>
      </c>
      <c r="B327">
        <v>6944844</v>
      </c>
      <c r="C327">
        <v>6972343</v>
      </c>
      <c r="H327" t="s">
        <v>136</v>
      </c>
      <c r="I327">
        <v>1475.7652559999999</v>
      </c>
      <c r="J327">
        <v>0</v>
      </c>
      <c r="K327">
        <v>0.062719999999999998</v>
      </c>
      <c r="L327">
        <v>0</v>
      </c>
      <c r="M327">
        <v>0.36290727997428479</v>
      </c>
      <c r="N327">
        <v>0</v>
      </c>
      <c r="O327">
        <v>0.070565304439444268</v>
      </c>
      <c r="P327">
        <v>0.0044987226666666665</v>
      </c>
      <c r="Q327">
        <v>3.2109067972767599E-05</v>
      </c>
      <c r="R327">
        <v>7840</v>
      </c>
      <c r="S327">
        <v>0</v>
      </c>
      <c r="T327">
        <v>0</v>
      </c>
      <c r="V327">
        <v>75.60</v>
      </c>
      <c r="W327">
        <v>7</v>
      </c>
      <c r="X327">
        <v>85</v>
      </c>
      <c r="Y327">
        <v>3</v>
      </c>
      <c r="Z327">
        <v>4</v>
      </c>
      <c r="AA327">
        <v>5</v>
      </c>
      <c r="AB327">
        <v>0</v>
      </c>
      <c r="AC327">
        <v>0</v>
      </c>
      <c r="AD327">
        <v>0</v>
      </c>
      <c r="AE327">
        <v>0</v>
      </c>
      <c r="AF327">
        <v>0.0055999999999999999</v>
      </c>
      <c r="AG327">
        <v>0</v>
      </c>
      <c r="AH327">
        <v>0</v>
      </c>
      <c r="AI327">
        <v>2</v>
      </c>
      <c r="AJ327">
        <v>0</v>
      </c>
      <c r="AK327">
        <v>0</v>
      </c>
      <c r="AL327">
        <v>80</v>
      </c>
      <c r="AM327">
        <v>0.98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2.10</v>
      </c>
      <c r="AU327">
        <v>0</v>
      </c>
      <c r="AV327">
        <v>0</v>
      </c>
    </row>
    <row r="328" spans="1:48" ht="12.75">
      <c r="A328" s="2" t="str">
        <f>HYPERLINK("https://ibp.a2mac1.com/costing(costing:projects/details/8191/equipment/6944845)","Equipment (Injection Molding)")</f>
        <v>Equipment (Injection Molding)</v>
      </c>
      <c r="B328">
        <v>6944845</v>
      </c>
      <c r="C328">
        <v>6972344</v>
      </c>
      <c r="H328" t="s">
        <v>136</v>
      </c>
      <c r="I328">
        <v>1475.7652559999999</v>
      </c>
      <c r="J328">
        <v>0</v>
      </c>
      <c r="K328">
        <v>0.062719999999999998</v>
      </c>
      <c r="L328">
        <v>0</v>
      </c>
      <c r="M328">
        <v>0.36290727997428479</v>
      </c>
      <c r="N328">
        <v>0</v>
      </c>
      <c r="O328">
        <v>0.060484546662380796</v>
      </c>
      <c r="P328">
        <v>0.0038560479999999999</v>
      </c>
      <c r="Q328">
        <v>3.2109067972767599E-05</v>
      </c>
      <c r="R328">
        <v>7840</v>
      </c>
      <c r="S328">
        <v>0</v>
      </c>
      <c r="T328">
        <v>0</v>
      </c>
      <c r="V328">
        <v>75.60</v>
      </c>
      <c r="W328">
        <v>7</v>
      </c>
      <c r="X328">
        <v>85</v>
      </c>
      <c r="Y328">
        <v>3</v>
      </c>
      <c r="Z328">
        <v>4</v>
      </c>
      <c r="AA328">
        <v>5</v>
      </c>
      <c r="AB328">
        <v>0</v>
      </c>
      <c r="AC328">
        <v>0</v>
      </c>
      <c r="AD328">
        <v>0</v>
      </c>
      <c r="AE328">
        <v>0</v>
      </c>
      <c r="AF328">
        <v>0.0055999999999999999</v>
      </c>
      <c r="AG328">
        <v>0</v>
      </c>
      <c r="AH328">
        <v>0</v>
      </c>
      <c r="AI328">
        <v>2</v>
      </c>
      <c r="AJ328">
        <v>0</v>
      </c>
      <c r="AK328">
        <v>0</v>
      </c>
      <c r="AL328">
        <v>80</v>
      </c>
      <c r="AM328">
        <v>0.98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2.10</v>
      </c>
      <c r="AU328">
        <v>0</v>
      </c>
      <c r="AV328">
        <v>0</v>
      </c>
    </row>
    <row r="329" spans="1:48" ht="12.75">
      <c r="A329" s="2" t="str">
        <f>HYPERLINK("https://ibp.a2mac1.com/costing(costing:projects/details/8191/equipment/6944846)","Equipment (Injection Molding)")</f>
        <v>Equipment (Injection Molding)</v>
      </c>
      <c r="B329">
        <v>6944846</v>
      </c>
      <c r="C329">
        <v>6972345</v>
      </c>
      <c r="H329" t="s">
        <v>136</v>
      </c>
      <c r="I329">
        <v>2213.647884</v>
      </c>
      <c r="J329">
        <v>0</v>
      </c>
      <c r="K329">
        <v>0.094079999999999997</v>
      </c>
      <c r="L329">
        <v>0</v>
      </c>
      <c r="M329">
        <v>0.54436091996142721</v>
      </c>
      <c r="N329">
        <v>0</v>
      </c>
      <c r="O329">
        <v>0.151211366655952</v>
      </c>
      <c r="P329">
        <v>0.0096401200000000003</v>
      </c>
      <c r="Q329">
        <v>4.8506549338727094E-05</v>
      </c>
      <c r="R329">
        <v>11760</v>
      </c>
      <c r="S329">
        <v>0</v>
      </c>
      <c r="T329">
        <v>0</v>
      </c>
      <c r="V329">
        <v>113.40</v>
      </c>
      <c r="W329">
        <v>7</v>
      </c>
      <c r="X329">
        <v>85</v>
      </c>
      <c r="Y329">
        <v>3</v>
      </c>
      <c r="Z329">
        <v>4</v>
      </c>
      <c r="AA329">
        <v>5</v>
      </c>
      <c r="AB329">
        <v>0</v>
      </c>
      <c r="AC329">
        <v>0</v>
      </c>
      <c r="AD329">
        <v>0</v>
      </c>
      <c r="AE329">
        <v>0</v>
      </c>
      <c r="AF329">
        <v>0.0083999999999999995</v>
      </c>
      <c r="AG329">
        <v>0</v>
      </c>
      <c r="AH329">
        <v>0</v>
      </c>
      <c r="AI329">
        <v>2</v>
      </c>
      <c r="AJ329">
        <v>0</v>
      </c>
      <c r="AK329">
        <v>0</v>
      </c>
      <c r="AL329">
        <v>80</v>
      </c>
      <c r="AM329">
        <v>1.47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3.15</v>
      </c>
      <c r="AU329">
        <v>0</v>
      </c>
      <c r="AV329">
        <v>0</v>
      </c>
    </row>
    <row r="330" spans="1:48" ht="12.75">
      <c r="A330" s="2" t="str">
        <f>HYPERLINK("https://ibp.a2mac1.com/costing(costing:projects/details/8191/equipment/6944747)","No.01 - Fabric Cutting")</f>
        <v>No.01 - Fabric Cutting</v>
      </c>
      <c r="B330">
        <v>6944747</v>
      </c>
      <c r="C330">
        <v>6972208</v>
      </c>
      <c r="H330" t="s">
        <v>2693</v>
      </c>
      <c r="I330">
        <v>16787.268</v>
      </c>
      <c r="J330">
        <v>0</v>
      </c>
      <c r="K330">
        <v>0.80</v>
      </c>
      <c r="L330">
        <v>0</v>
      </c>
      <c r="M330">
        <v>4.3820102860816457</v>
      </c>
      <c r="N330">
        <v>0</v>
      </c>
      <c r="O330">
        <v>0.018891333233329761</v>
      </c>
      <c r="P330">
        <v>0.035622538666666669</v>
      </c>
      <c r="Q330">
        <v>0.00025413375429122467</v>
      </c>
      <c r="R330">
        <v>110000</v>
      </c>
      <c r="S330">
        <v>0</v>
      </c>
      <c r="T330">
        <v>800000</v>
      </c>
      <c r="V330">
        <v>900</v>
      </c>
      <c r="W330">
        <v>10</v>
      </c>
      <c r="X330">
        <v>85</v>
      </c>
      <c r="Y330">
        <v>3</v>
      </c>
      <c r="Z330">
        <v>4</v>
      </c>
      <c r="AA330">
        <v>5</v>
      </c>
      <c r="AB330">
        <v>0</v>
      </c>
      <c r="AC330">
        <v>0</v>
      </c>
      <c r="AD330">
        <v>0</v>
      </c>
      <c r="AE330">
        <v>0</v>
      </c>
      <c r="AF330">
        <v>2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100</v>
      </c>
      <c r="AM330">
        <v>10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50</v>
      </c>
      <c r="AU330">
        <v>0</v>
      </c>
      <c r="AV330">
        <v>0</v>
      </c>
    </row>
    <row r="331" spans="1:48" ht="12.75">
      <c r="A331" s="2" t="str">
        <f>HYPERLINK("https://ibp.a2mac1.com/costing(costing:projects/details/8191/equipment/6944748)","No.02 - Fabric Sewing")</f>
        <v>No.02 - Fabric Sewing</v>
      </c>
      <c r="B331">
        <v>6944748</v>
      </c>
      <c r="C331">
        <v>6972209</v>
      </c>
      <c r="E331" t="s">
        <v>9</v>
      </c>
      <c r="F331" t="s">
        <v>9</v>
      </c>
      <c r="G331" t="s">
        <v>9</v>
      </c>
      <c r="H331" t="s">
        <v>79</v>
      </c>
      <c r="I331">
        <v>1969.9257600000001</v>
      </c>
      <c r="J331">
        <v>0</v>
      </c>
      <c r="K331">
        <v>0.16</v>
      </c>
      <c r="L331">
        <v>0</v>
      </c>
      <c r="M331">
        <v>0.55696653166184507</v>
      </c>
      <c r="N331">
        <v>0</v>
      </c>
      <c r="O331">
        <v>0.077404423737704925</v>
      </c>
      <c r="P331">
        <v>1.7455593540000001</v>
      </c>
      <c r="Q331">
        <v>0.00019675809797492768</v>
      </c>
      <c r="R331">
        <v>10000</v>
      </c>
      <c r="S331">
        <v>0</v>
      </c>
      <c r="T331">
        <v>800000</v>
      </c>
      <c r="U331" t="s">
        <v>9</v>
      </c>
      <c r="V331">
        <v>900</v>
      </c>
      <c r="W331">
        <v>10</v>
      </c>
      <c r="X331">
        <v>85</v>
      </c>
      <c r="Y331">
        <v>3</v>
      </c>
      <c r="Z331">
        <v>4</v>
      </c>
      <c r="AA331">
        <v>5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100</v>
      </c>
      <c r="AM331">
        <v>2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16</v>
      </c>
      <c r="AU331">
        <v>0</v>
      </c>
      <c r="AV331">
        <v>0</v>
      </c>
    </row>
    <row r="332" spans="1:48" ht="12.75">
      <c r="A332" s="2" t="str">
        <f>HYPERLINK("https://ibp.a2mac1.com/costing(costing:projects/details/8191/equipment/6944749)","Equipment (Injection Molding)")</f>
        <v>Equipment (Injection Molding)</v>
      </c>
      <c r="B332">
        <v>6944749</v>
      </c>
      <c r="C332">
        <v>6972210</v>
      </c>
      <c r="H332" t="s">
        <v>136</v>
      </c>
      <c r="I332">
        <v>50755.783625999997</v>
      </c>
      <c r="J332">
        <v>0</v>
      </c>
      <c r="K332">
        <v>2.1571199999999999</v>
      </c>
      <c r="L332">
        <v>0</v>
      </c>
      <c r="M332">
        <v>12.481418236258438</v>
      </c>
      <c r="N332">
        <v>0</v>
      </c>
      <c r="O332">
        <v>0.20802363727097398</v>
      </c>
      <c r="P332">
        <v>0.013262050799999999</v>
      </c>
      <c r="Q332">
        <v>0.0016294782600682594</v>
      </c>
      <c r="R332">
        <v>269640</v>
      </c>
      <c r="S332">
        <v>0</v>
      </c>
      <c r="T332">
        <v>0</v>
      </c>
      <c r="V332">
        <v>2600.10</v>
      </c>
      <c r="W332">
        <v>7</v>
      </c>
      <c r="X332">
        <v>85</v>
      </c>
      <c r="Y332">
        <v>3</v>
      </c>
      <c r="Z332">
        <v>4</v>
      </c>
      <c r="AA332">
        <v>5</v>
      </c>
      <c r="AB332">
        <v>0</v>
      </c>
      <c r="AC332">
        <v>0</v>
      </c>
      <c r="AD332">
        <v>0</v>
      </c>
      <c r="AE332">
        <v>0</v>
      </c>
      <c r="AF332">
        <v>0.19259999999999999</v>
      </c>
      <c r="AG332">
        <v>0</v>
      </c>
      <c r="AH332">
        <v>0</v>
      </c>
      <c r="AI332">
        <v>2</v>
      </c>
      <c r="AJ332">
        <v>0</v>
      </c>
      <c r="AK332">
        <v>0</v>
      </c>
      <c r="AL332">
        <v>80</v>
      </c>
      <c r="AM332">
        <v>33.705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72.225</v>
      </c>
      <c r="AU332">
        <v>0</v>
      </c>
      <c r="AV332">
        <v>0</v>
      </c>
    </row>
    <row r="333" spans="1:48" ht="12.75">
      <c r="A333" s="2" t="str">
        <f>HYPERLINK("https://ibp.a2mac1.com/costing(costing:projects/details/8191/equipment/6944750)","Equipment")</f>
        <v>Equipment</v>
      </c>
      <c r="B333">
        <v>6944750</v>
      </c>
      <c r="C333">
        <v>6972211</v>
      </c>
      <c r="H333" t="s">
        <v>136</v>
      </c>
      <c r="I333">
        <v>78900.735293999998</v>
      </c>
      <c r="J333">
        <v>0</v>
      </c>
      <c r="K333">
        <v>3.3532799999999998</v>
      </c>
      <c r="L333">
        <v>0</v>
      </c>
      <c r="M333">
        <v>19.402578504339441</v>
      </c>
      <c r="N333">
        <v>0</v>
      </c>
      <c r="O333">
        <v>1.9402578504339441</v>
      </c>
      <c r="P333">
        <v>0.1236965112</v>
      </c>
      <c r="Q333">
        <v>0.0029992958361448265</v>
      </c>
      <c r="R333">
        <v>419160</v>
      </c>
      <c r="S333">
        <v>0</v>
      </c>
      <c r="T333">
        <v>0</v>
      </c>
      <c r="V333">
        <v>4041.90</v>
      </c>
      <c r="W333">
        <v>7</v>
      </c>
      <c r="X333">
        <v>85</v>
      </c>
      <c r="Y333">
        <v>3</v>
      </c>
      <c r="Z333">
        <v>4</v>
      </c>
      <c r="AA333">
        <v>5</v>
      </c>
      <c r="AB333">
        <v>0</v>
      </c>
      <c r="AC333">
        <v>0</v>
      </c>
      <c r="AD333">
        <v>0</v>
      </c>
      <c r="AE333">
        <v>0</v>
      </c>
      <c r="AF333">
        <v>0.2994</v>
      </c>
      <c r="AG333">
        <v>0</v>
      </c>
      <c r="AH333">
        <v>0</v>
      </c>
      <c r="AI333">
        <v>2</v>
      </c>
      <c r="AJ333">
        <v>0</v>
      </c>
      <c r="AK333">
        <v>0</v>
      </c>
      <c r="AL333">
        <v>80</v>
      </c>
      <c r="AM333">
        <v>52.395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112.275</v>
      </c>
      <c r="AU333">
        <v>0</v>
      </c>
      <c r="AV333">
        <v>0</v>
      </c>
    </row>
    <row r="334" spans="1:48" ht="12.75">
      <c r="A334" s="2" t="str">
        <f>HYPERLINK("https://ibp.a2mac1.com/costing(costing:projects/details/8191/equipment/6944751)","Equipment (Injection Molding)")</f>
        <v>Equipment (Injection Molding)</v>
      </c>
      <c r="B334">
        <v>6944751</v>
      </c>
      <c r="C334">
        <v>6972212</v>
      </c>
      <c r="H334" t="s">
        <v>136</v>
      </c>
      <c r="I334">
        <v>10962.827616</v>
      </c>
      <c r="J334">
        <v>0</v>
      </c>
      <c r="K334">
        <v>0.46592</v>
      </c>
      <c r="L334">
        <v>0</v>
      </c>
      <c r="M334">
        <v>2.695882651237544</v>
      </c>
      <c r="N334">
        <v>0</v>
      </c>
      <c r="O334">
        <v>0.044931377520625738</v>
      </c>
      <c r="P334">
        <v>0.0028644928</v>
      </c>
      <c r="Q334">
        <v>0.00026036115441558342</v>
      </c>
      <c r="R334">
        <v>58240</v>
      </c>
      <c r="S334">
        <v>0</v>
      </c>
      <c r="T334">
        <v>0</v>
      </c>
      <c r="V334">
        <v>561.60</v>
      </c>
      <c r="W334">
        <v>7</v>
      </c>
      <c r="X334">
        <v>85</v>
      </c>
      <c r="Y334">
        <v>3</v>
      </c>
      <c r="Z334">
        <v>4</v>
      </c>
      <c r="AA334">
        <v>5</v>
      </c>
      <c r="AB334">
        <v>0</v>
      </c>
      <c r="AC334">
        <v>0</v>
      </c>
      <c r="AD334">
        <v>0</v>
      </c>
      <c r="AE334">
        <v>0</v>
      </c>
      <c r="AF334">
        <v>0.041599999999999998</v>
      </c>
      <c r="AG334">
        <v>0</v>
      </c>
      <c r="AH334">
        <v>0</v>
      </c>
      <c r="AI334">
        <v>2</v>
      </c>
      <c r="AJ334">
        <v>0</v>
      </c>
      <c r="AK334">
        <v>0</v>
      </c>
      <c r="AL334">
        <v>80</v>
      </c>
      <c r="AM334">
        <v>7.28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15.60</v>
      </c>
      <c r="AU334">
        <v>0</v>
      </c>
      <c r="AV334">
        <v>0</v>
      </c>
    </row>
    <row r="335" spans="1:48" ht="12.75">
      <c r="A335" s="2" t="str">
        <f>HYPERLINK("https://ibp.a2mac1.com/costing(costing:projects/details/8191/equipment/6944847)","No.01 - Fabric Cutting")</f>
        <v>No.01 - Fabric Cutting</v>
      </c>
      <c r="B335">
        <v>6944847</v>
      </c>
      <c r="C335">
        <v>6972346</v>
      </c>
      <c r="H335" t="s">
        <v>2693</v>
      </c>
      <c r="I335">
        <v>16787.268</v>
      </c>
      <c r="J335">
        <v>0</v>
      </c>
      <c r="K335">
        <v>0.80</v>
      </c>
      <c r="L335">
        <v>0</v>
      </c>
      <c r="M335">
        <v>4.3820102860816457</v>
      </c>
      <c r="N335">
        <v>0</v>
      </c>
      <c r="O335">
        <v>0.0059887473909782489</v>
      </c>
      <c r="P335">
        <v>0.011292712</v>
      </c>
      <c r="Q335">
        <v>0.00025413375429122467</v>
      </c>
      <c r="R335">
        <v>110000</v>
      </c>
      <c r="S335">
        <v>0</v>
      </c>
      <c r="T335">
        <v>800000</v>
      </c>
      <c r="V335">
        <v>900</v>
      </c>
      <c r="W335">
        <v>10</v>
      </c>
      <c r="X335">
        <v>85</v>
      </c>
      <c r="Y335">
        <v>3</v>
      </c>
      <c r="Z335">
        <v>4</v>
      </c>
      <c r="AA335">
        <v>5</v>
      </c>
      <c r="AB335">
        <v>0</v>
      </c>
      <c r="AC335">
        <v>0</v>
      </c>
      <c r="AD335">
        <v>0</v>
      </c>
      <c r="AE335">
        <v>0</v>
      </c>
      <c r="AF335">
        <v>2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100</v>
      </c>
      <c r="AM335">
        <v>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50</v>
      </c>
      <c r="AU335">
        <v>0</v>
      </c>
      <c r="AV335">
        <v>0</v>
      </c>
    </row>
    <row r="336" spans="1:48" ht="12.75">
      <c r="A336" s="2" t="str">
        <f>HYPERLINK("https://ibp.a2mac1.com/costing(costing:projects/details/8191/equipment/6944848)","No.02 - Fabric Sewing")</f>
        <v>No.02 - Fabric Sewing</v>
      </c>
      <c r="B336">
        <v>6944848</v>
      </c>
      <c r="C336">
        <v>6972347</v>
      </c>
      <c r="E336" t="s">
        <v>9</v>
      </c>
      <c r="F336" t="s">
        <v>9</v>
      </c>
      <c r="G336" t="s">
        <v>9</v>
      </c>
      <c r="H336" t="s">
        <v>79</v>
      </c>
      <c r="I336">
        <v>1969.9257600000001</v>
      </c>
      <c r="J336">
        <v>0</v>
      </c>
      <c r="K336">
        <v>0.16</v>
      </c>
      <c r="L336">
        <v>0</v>
      </c>
      <c r="M336">
        <v>0.55696653166184507</v>
      </c>
      <c r="N336">
        <v>0</v>
      </c>
      <c r="O336">
        <v>0.029500660627022394</v>
      </c>
      <c r="P336">
        <v>0.66527404533333334</v>
      </c>
      <c r="Q336">
        <v>0.00019675809797492768</v>
      </c>
      <c r="R336">
        <v>10000</v>
      </c>
      <c r="S336">
        <v>0</v>
      </c>
      <c r="T336">
        <v>800000</v>
      </c>
      <c r="U336" t="s">
        <v>9</v>
      </c>
      <c r="V336">
        <v>900</v>
      </c>
      <c r="W336">
        <v>10</v>
      </c>
      <c r="X336">
        <v>85</v>
      </c>
      <c r="Y336">
        <v>3</v>
      </c>
      <c r="Z336">
        <v>4</v>
      </c>
      <c r="AA336">
        <v>5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100</v>
      </c>
      <c r="AM336">
        <v>2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16</v>
      </c>
      <c r="AU336">
        <v>0</v>
      </c>
      <c r="AV336">
        <v>0</v>
      </c>
    </row>
    <row r="337" spans="1:48" ht="12.75">
      <c r="A337" s="2" t="str">
        <f>HYPERLINK("https://ibp.a2mac1.com/costing(costing:projects/details/8191/equipment/6944849)","Equipment (Injection Molding)")</f>
        <v>Equipment (Injection Molding)</v>
      </c>
      <c r="B337">
        <v>6944849</v>
      </c>
      <c r="C337">
        <v>6972348</v>
      </c>
      <c r="H337" t="s">
        <v>136</v>
      </c>
      <c r="I337">
        <v>11437.180734</v>
      </c>
      <c r="J337">
        <v>0</v>
      </c>
      <c r="K337">
        <v>0.48608000000000001</v>
      </c>
      <c r="L337">
        <v>0</v>
      </c>
      <c r="M337">
        <v>2.812531419800707</v>
      </c>
      <c r="N337">
        <v>0</v>
      </c>
      <c r="O337">
        <v>0.125001396435587</v>
      </c>
      <c r="P337">
        <v>0.0079691658666666675</v>
      </c>
      <c r="Q337">
        <v>0.00027276585651435392</v>
      </c>
      <c r="R337">
        <v>60760</v>
      </c>
      <c r="S337">
        <v>0</v>
      </c>
      <c r="T337">
        <v>0</v>
      </c>
      <c r="V337">
        <v>585.90</v>
      </c>
      <c r="W337">
        <v>7</v>
      </c>
      <c r="X337">
        <v>85</v>
      </c>
      <c r="Y337">
        <v>3</v>
      </c>
      <c r="Z337">
        <v>4</v>
      </c>
      <c r="AA337">
        <v>5</v>
      </c>
      <c r="AB337">
        <v>0</v>
      </c>
      <c r="AC337">
        <v>0</v>
      </c>
      <c r="AD337">
        <v>0</v>
      </c>
      <c r="AE337">
        <v>0</v>
      </c>
      <c r="AF337">
        <v>0.043400000000000001</v>
      </c>
      <c r="AG337">
        <v>0</v>
      </c>
      <c r="AH337">
        <v>0</v>
      </c>
      <c r="AI337">
        <v>2</v>
      </c>
      <c r="AJ337">
        <v>0</v>
      </c>
      <c r="AK337">
        <v>0</v>
      </c>
      <c r="AL337">
        <v>80</v>
      </c>
      <c r="AM337">
        <v>7.595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16.275</v>
      </c>
      <c r="AU337">
        <v>0</v>
      </c>
      <c r="AV337">
        <v>0</v>
      </c>
    </row>
    <row r="338" spans="1:48" ht="12.75">
      <c r="A338" s="2" t="str">
        <f>HYPERLINK("https://ibp.a2mac1.com/costing(costing:projects/details/8191/equipment/6944850)","Equipment")</f>
        <v>Equipment</v>
      </c>
      <c r="B338">
        <v>6944850</v>
      </c>
      <c r="C338">
        <v>6972349</v>
      </c>
      <c r="H338" t="s">
        <v>136</v>
      </c>
      <c r="I338">
        <v>16075.30011</v>
      </c>
      <c r="J338">
        <v>0</v>
      </c>
      <c r="K338">
        <v>0.68320000000000003</v>
      </c>
      <c r="L338">
        <v>0</v>
      </c>
      <c r="M338">
        <v>3.9530971568627451</v>
      </c>
      <c r="N338">
        <v>0</v>
      </c>
      <c r="O338">
        <v>0.15373155610021785</v>
      </c>
      <c r="P338">
        <v>0.0098007886666666658</v>
      </c>
      <c r="Q338">
        <v>0.00019951742323897058</v>
      </c>
      <c r="R338">
        <v>85400</v>
      </c>
      <c r="S338">
        <v>0</v>
      </c>
      <c r="T338">
        <v>0</v>
      </c>
      <c r="V338">
        <v>823.50</v>
      </c>
      <c r="W338">
        <v>7</v>
      </c>
      <c r="X338">
        <v>85</v>
      </c>
      <c r="Y338">
        <v>3</v>
      </c>
      <c r="Z338">
        <v>4</v>
      </c>
      <c r="AA338">
        <v>5</v>
      </c>
      <c r="AB338">
        <v>0</v>
      </c>
      <c r="AC338">
        <v>0</v>
      </c>
      <c r="AD338">
        <v>0</v>
      </c>
      <c r="AE338">
        <v>0</v>
      </c>
      <c r="AF338">
        <v>0.060999999999999999</v>
      </c>
      <c r="AG338">
        <v>0</v>
      </c>
      <c r="AH338">
        <v>0</v>
      </c>
      <c r="AI338">
        <v>2</v>
      </c>
      <c r="AJ338">
        <v>0</v>
      </c>
      <c r="AK338">
        <v>0</v>
      </c>
      <c r="AL338">
        <v>80</v>
      </c>
      <c r="AM338">
        <v>10.675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22.875</v>
      </c>
      <c r="AU338">
        <v>0</v>
      </c>
      <c r="AV338">
        <v>0</v>
      </c>
    </row>
    <row r="339" spans="1:48" ht="12.75">
      <c r="A339" s="2" t="str">
        <f>HYPERLINK("https://ibp.a2mac1.com/costing(costing:projects/details/8191/equipment/6944851)","Equipment (Injection Molding)")</f>
        <v>Equipment (Injection Molding)</v>
      </c>
      <c r="B339">
        <v>6944851</v>
      </c>
      <c r="C339">
        <v>6972350</v>
      </c>
      <c r="H339" t="s">
        <v>136</v>
      </c>
      <c r="I339">
        <v>9012.7092420000008</v>
      </c>
      <c r="J339">
        <v>0</v>
      </c>
      <c r="K339">
        <v>0.38303999999999999</v>
      </c>
      <c r="L339">
        <v>0</v>
      </c>
      <c r="M339">
        <v>2.2163266027000965</v>
      </c>
      <c r="N339">
        <v>0</v>
      </c>
      <c r="O339">
        <v>0.036938776711668272</v>
      </c>
      <c r="P339">
        <v>0.0023549436000000002</v>
      </c>
      <c r="Q339">
        <v>0.00021035672680777724</v>
      </c>
      <c r="R339">
        <v>47880</v>
      </c>
      <c r="S339">
        <v>0</v>
      </c>
      <c r="T339">
        <v>0</v>
      </c>
      <c r="V339">
        <v>461.70</v>
      </c>
      <c r="W339">
        <v>7</v>
      </c>
      <c r="X339">
        <v>85</v>
      </c>
      <c r="Y339">
        <v>3</v>
      </c>
      <c r="Z339">
        <v>4</v>
      </c>
      <c r="AA339">
        <v>5</v>
      </c>
      <c r="AB339">
        <v>0</v>
      </c>
      <c r="AC339">
        <v>0</v>
      </c>
      <c r="AD339">
        <v>0</v>
      </c>
      <c r="AE339">
        <v>0</v>
      </c>
      <c r="AF339">
        <v>0.034200000000000001</v>
      </c>
      <c r="AG339">
        <v>0</v>
      </c>
      <c r="AH339">
        <v>0</v>
      </c>
      <c r="AI339">
        <v>2</v>
      </c>
      <c r="AJ339">
        <v>0</v>
      </c>
      <c r="AK339">
        <v>0</v>
      </c>
      <c r="AL339">
        <v>80</v>
      </c>
      <c r="AM339">
        <v>5.985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12.825</v>
      </c>
      <c r="AU339">
        <v>0</v>
      </c>
      <c r="AV339">
        <v>0</v>
      </c>
    </row>
    <row r="340" spans="1:48" ht="12.75">
      <c r="A340" s="2" t="str">
        <f>HYPERLINK("https://ibp.a2mac1.com/costing(costing:projects/details/8191/equipment/6944852)","No.01 - Fabric Cutting")</f>
        <v>No.01 - Fabric Cutting</v>
      </c>
      <c r="B340">
        <v>6944852</v>
      </c>
      <c r="C340">
        <v>6972351</v>
      </c>
      <c r="H340" t="s">
        <v>79</v>
      </c>
      <c r="I340">
        <v>16787.268</v>
      </c>
      <c r="J340">
        <v>0</v>
      </c>
      <c r="K340">
        <v>0.80</v>
      </c>
      <c r="L340">
        <v>0</v>
      </c>
      <c r="M340">
        <v>4.3820102860816457</v>
      </c>
      <c r="N340">
        <v>0</v>
      </c>
      <c r="O340">
        <v>0.0068773216989892498</v>
      </c>
      <c r="P340">
        <v>0.012968256666666667</v>
      </c>
      <c r="Q340">
        <v>0.00025413375429122467</v>
      </c>
      <c r="R340">
        <v>110000</v>
      </c>
      <c r="S340">
        <v>0</v>
      </c>
      <c r="T340">
        <v>800000</v>
      </c>
      <c r="V340">
        <v>900</v>
      </c>
      <c r="W340">
        <v>10</v>
      </c>
      <c r="X340">
        <v>85</v>
      </c>
      <c r="Y340">
        <v>3</v>
      </c>
      <c r="Z340">
        <v>4</v>
      </c>
      <c r="AA340">
        <v>5</v>
      </c>
      <c r="AB340">
        <v>0</v>
      </c>
      <c r="AC340">
        <v>0</v>
      </c>
      <c r="AD340">
        <v>0</v>
      </c>
      <c r="AE340">
        <v>0</v>
      </c>
      <c r="AF340">
        <v>2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100</v>
      </c>
      <c r="AM340">
        <v>10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50</v>
      </c>
      <c r="AU340">
        <v>0</v>
      </c>
      <c r="AV340">
        <v>0</v>
      </c>
    </row>
    <row r="341" spans="1:48" ht="12.75">
      <c r="A341" s="2" t="str">
        <f>HYPERLINK("https://ibp.a2mac1.com/costing(costing:projects/details/8191/equipment/6944853)","No.02 - Fabric Sewing")</f>
        <v>No.02 - Fabric Sewing</v>
      </c>
      <c r="B341">
        <v>6944853</v>
      </c>
      <c r="C341">
        <v>6972352</v>
      </c>
      <c r="E341" t="s">
        <v>9</v>
      </c>
      <c r="F341" t="s">
        <v>9</v>
      </c>
      <c r="G341" t="s">
        <v>9</v>
      </c>
      <c r="H341" t="s">
        <v>79</v>
      </c>
      <c r="I341">
        <v>1969.9257600000001</v>
      </c>
      <c r="J341">
        <v>0</v>
      </c>
      <c r="K341">
        <v>0.16</v>
      </c>
      <c r="L341">
        <v>0</v>
      </c>
      <c r="M341">
        <v>0.55696653166184507</v>
      </c>
      <c r="N341">
        <v>0</v>
      </c>
      <c r="O341">
        <v>0.033999712499446409</v>
      </c>
      <c r="P341">
        <v>0.76673287288888892</v>
      </c>
      <c r="Q341">
        <v>0.00019675809797492768</v>
      </c>
      <c r="R341">
        <v>10000</v>
      </c>
      <c r="S341">
        <v>0</v>
      </c>
      <c r="T341">
        <v>800000</v>
      </c>
      <c r="U341" t="s">
        <v>9</v>
      </c>
      <c r="V341">
        <v>900</v>
      </c>
      <c r="W341">
        <v>10</v>
      </c>
      <c r="X341">
        <v>85</v>
      </c>
      <c r="Y341">
        <v>3</v>
      </c>
      <c r="Z341">
        <v>4</v>
      </c>
      <c r="AA341">
        <v>5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100</v>
      </c>
      <c r="AM341">
        <v>2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16</v>
      </c>
      <c r="AU341">
        <v>0</v>
      </c>
      <c r="AV341">
        <v>0</v>
      </c>
    </row>
    <row r="342" spans="1:48" ht="12.75">
      <c r="A342" s="2" t="str">
        <f>HYPERLINK("https://ibp.a2mac1.com/costing(costing:projects/details/8191/equipment/6944854)","Equipment (Injection Molding)")</f>
        <v>Equipment (Injection Molding)</v>
      </c>
      <c r="B342">
        <v>6944854</v>
      </c>
      <c r="C342">
        <v>6972353</v>
      </c>
      <c r="H342" t="s">
        <v>136</v>
      </c>
      <c r="I342">
        <v>11437.180734</v>
      </c>
      <c r="J342">
        <v>0</v>
      </c>
      <c r="K342">
        <v>0.48608000000000001</v>
      </c>
      <c r="L342">
        <v>0</v>
      </c>
      <c r="M342">
        <v>2.812531419800707</v>
      </c>
      <c r="N342">
        <v>0</v>
      </c>
      <c r="O342">
        <v>0.125001396435587</v>
      </c>
      <c r="P342">
        <v>0.0079691658666666675</v>
      </c>
      <c r="Q342">
        <v>0.00027276585651435392</v>
      </c>
      <c r="R342">
        <v>60760</v>
      </c>
      <c r="S342">
        <v>0</v>
      </c>
      <c r="T342">
        <v>0</v>
      </c>
      <c r="V342">
        <v>585.90</v>
      </c>
      <c r="W342">
        <v>7</v>
      </c>
      <c r="X342">
        <v>85</v>
      </c>
      <c r="Y342">
        <v>3</v>
      </c>
      <c r="Z342">
        <v>4</v>
      </c>
      <c r="AA342">
        <v>5</v>
      </c>
      <c r="AB342">
        <v>0</v>
      </c>
      <c r="AC342">
        <v>0</v>
      </c>
      <c r="AD342">
        <v>0</v>
      </c>
      <c r="AE342">
        <v>0</v>
      </c>
      <c r="AF342">
        <v>0.043400000000000001</v>
      </c>
      <c r="AG342">
        <v>0</v>
      </c>
      <c r="AH342">
        <v>0</v>
      </c>
      <c r="AI342">
        <v>2</v>
      </c>
      <c r="AJ342">
        <v>0</v>
      </c>
      <c r="AK342">
        <v>0</v>
      </c>
      <c r="AL342">
        <v>80</v>
      </c>
      <c r="AM342">
        <v>7.595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16.275</v>
      </c>
      <c r="AU342">
        <v>0</v>
      </c>
      <c r="AV342">
        <v>0</v>
      </c>
    </row>
    <row r="343" spans="1:48" ht="12.75">
      <c r="A343" s="2" t="str">
        <f>HYPERLINK("https://ibp.a2mac1.com/costing(costing:projects/details/8191/equipment/6944855)","Equipment")</f>
        <v>Equipment</v>
      </c>
      <c r="B343">
        <v>6944855</v>
      </c>
      <c r="C343">
        <v>6972354</v>
      </c>
      <c r="H343" t="s">
        <v>136</v>
      </c>
      <c r="I343">
        <v>16075.30011</v>
      </c>
      <c r="J343">
        <v>0</v>
      </c>
      <c r="K343">
        <v>0.68320000000000003</v>
      </c>
      <c r="L343">
        <v>0</v>
      </c>
      <c r="M343">
        <v>3.9530971568627451</v>
      </c>
      <c r="N343">
        <v>0</v>
      </c>
      <c r="O343">
        <v>0.15373155610021785</v>
      </c>
      <c r="P343">
        <v>0.0098007886666666658</v>
      </c>
      <c r="Q343">
        <v>0.00019951742323897058</v>
      </c>
      <c r="R343">
        <v>85400</v>
      </c>
      <c r="S343">
        <v>0</v>
      </c>
      <c r="T343">
        <v>0</v>
      </c>
      <c r="V343">
        <v>823.50</v>
      </c>
      <c r="W343">
        <v>7</v>
      </c>
      <c r="X343">
        <v>85</v>
      </c>
      <c r="Y343">
        <v>3</v>
      </c>
      <c r="Z343">
        <v>4</v>
      </c>
      <c r="AA343">
        <v>5</v>
      </c>
      <c r="AB343">
        <v>0</v>
      </c>
      <c r="AC343">
        <v>0</v>
      </c>
      <c r="AD343">
        <v>0</v>
      </c>
      <c r="AE343">
        <v>0</v>
      </c>
      <c r="AF343">
        <v>0.060999999999999999</v>
      </c>
      <c r="AG343">
        <v>0</v>
      </c>
      <c r="AH343">
        <v>0</v>
      </c>
      <c r="AI343">
        <v>2</v>
      </c>
      <c r="AJ343">
        <v>0</v>
      </c>
      <c r="AK343">
        <v>0</v>
      </c>
      <c r="AL343">
        <v>80</v>
      </c>
      <c r="AM343">
        <v>10.675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22.875</v>
      </c>
      <c r="AU343">
        <v>0</v>
      </c>
      <c r="AV343">
        <v>0</v>
      </c>
    </row>
    <row r="344" spans="1:48" ht="12.75">
      <c r="A344" s="2" t="str">
        <f>HYPERLINK("https://ibp.a2mac1.com/costing(costing:projects/details/8191/equipment/6944856)","Equipment (Injection Molding)")</f>
        <v>Equipment (Injection Molding)</v>
      </c>
      <c r="B344">
        <v>6944856</v>
      </c>
      <c r="C344">
        <v>6972355</v>
      </c>
      <c r="H344" t="s">
        <v>136</v>
      </c>
      <c r="I344">
        <v>11542.592538000001</v>
      </c>
      <c r="J344">
        <v>0</v>
      </c>
      <c r="K344">
        <v>0.49056</v>
      </c>
      <c r="L344">
        <v>0</v>
      </c>
      <c r="M344">
        <v>2.838453368370299</v>
      </c>
      <c r="N344">
        <v>0</v>
      </c>
      <c r="O344">
        <v>0.047307556139504985</v>
      </c>
      <c r="P344">
        <v>0.0030159803999999998</v>
      </c>
      <c r="Q344">
        <v>0.00027553528834528931</v>
      </c>
      <c r="R344">
        <v>61320</v>
      </c>
      <c r="S344">
        <v>0</v>
      </c>
      <c r="T344">
        <v>0</v>
      </c>
      <c r="V344">
        <v>591.30</v>
      </c>
      <c r="W344">
        <v>7</v>
      </c>
      <c r="X344">
        <v>85</v>
      </c>
      <c r="Y344">
        <v>3</v>
      </c>
      <c r="Z344">
        <v>4</v>
      </c>
      <c r="AA344">
        <v>5</v>
      </c>
      <c r="AB344">
        <v>0</v>
      </c>
      <c r="AC344">
        <v>0</v>
      </c>
      <c r="AD344">
        <v>0</v>
      </c>
      <c r="AE344">
        <v>0</v>
      </c>
      <c r="AF344">
        <v>0.043799999999999999</v>
      </c>
      <c r="AG344">
        <v>0</v>
      </c>
      <c r="AH344">
        <v>0</v>
      </c>
      <c r="AI344">
        <v>2</v>
      </c>
      <c r="AJ344">
        <v>0</v>
      </c>
      <c r="AK344">
        <v>0</v>
      </c>
      <c r="AL344">
        <v>80</v>
      </c>
      <c r="AM344">
        <v>7.665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16.425</v>
      </c>
      <c r="AU344">
        <v>0</v>
      </c>
      <c r="AV344">
        <v>0</v>
      </c>
    </row>
    <row r="345" spans="1:48" ht="12.75">
      <c r="A345" s="2" t="str">
        <f>HYPERLINK("https://ibp.a2mac1.com/costing(costing:projects/details/8191/equipment/6944857)","Equipment (Injection Molding)")</f>
        <v>Equipment (Injection Molding)</v>
      </c>
      <c r="B345">
        <v>6944857</v>
      </c>
      <c r="C345">
        <v>6972356</v>
      </c>
      <c r="H345" t="s">
        <v>136</v>
      </c>
      <c r="I345">
        <v>1475.7652559999999</v>
      </c>
      <c r="J345">
        <v>0</v>
      </c>
      <c r="K345">
        <v>0.062719999999999998</v>
      </c>
      <c r="L345">
        <v>0</v>
      </c>
      <c r="M345">
        <v>0.36290727997428479</v>
      </c>
      <c r="N345">
        <v>0</v>
      </c>
      <c r="O345">
        <v>0.070565304439444268</v>
      </c>
      <c r="P345">
        <v>0.0044987226666666665</v>
      </c>
      <c r="Q345">
        <v>3.2109067972767599E-05</v>
      </c>
      <c r="R345">
        <v>7840</v>
      </c>
      <c r="S345">
        <v>0</v>
      </c>
      <c r="T345">
        <v>0</v>
      </c>
      <c r="V345">
        <v>75.60</v>
      </c>
      <c r="W345">
        <v>7</v>
      </c>
      <c r="X345">
        <v>85</v>
      </c>
      <c r="Y345">
        <v>3</v>
      </c>
      <c r="Z345">
        <v>4</v>
      </c>
      <c r="AA345">
        <v>5</v>
      </c>
      <c r="AB345">
        <v>0</v>
      </c>
      <c r="AC345">
        <v>0</v>
      </c>
      <c r="AD345">
        <v>0</v>
      </c>
      <c r="AE345">
        <v>0</v>
      </c>
      <c r="AF345">
        <v>0.0055999999999999999</v>
      </c>
      <c r="AG345">
        <v>0</v>
      </c>
      <c r="AH345">
        <v>0</v>
      </c>
      <c r="AI345">
        <v>2</v>
      </c>
      <c r="AJ345">
        <v>0</v>
      </c>
      <c r="AK345">
        <v>0</v>
      </c>
      <c r="AL345">
        <v>80</v>
      </c>
      <c r="AM345">
        <v>0.98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2.10</v>
      </c>
      <c r="AU345">
        <v>0</v>
      </c>
      <c r="AV345">
        <v>0</v>
      </c>
    </row>
    <row r="346" spans="1:48" ht="12.75">
      <c r="A346" s="2" t="str">
        <f>HYPERLINK("https://ibp.a2mac1.com/costing(costing:projects/details/8191/equipment/6944858)","Equipment (Injection Molding)")</f>
        <v>Equipment (Injection Molding)</v>
      </c>
      <c r="B346">
        <v>6944858</v>
      </c>
      <c r="C346">
        <v>6972357</v>
      </c>
      <c r="H346" t="s">
        <v>136</v>
      </c>
      <c r="I346">
        <v>1475.7652559999999</v>
      </c>
      <c r="J346">
        <v>0</v>
      </c>
      <c r="K346">
        <v>0.062719999999999998</v>
      </c>
      <c r="L346">
        <v>0</v>
      </c>
      <c r="M346">
        <v>0.36290727997428479</v>
      </c>
      <c r="N346">
        <v>0</v>
      </c>
      <c r="O346">
        <v>0.060484546662380796</v>
      </c>
      <c r="P346">
        <v>0.0038560479999999999</v>
      </c>
      <c r="Q346">
        <v>3.2109067972767599E-05</v>
      </c>
      <c r="R346">
        <v>7840</v>
      </c>
      <c r="S346">
        <v>0</v>
      </c>
      <c r="T346">
        <v>0</v>
      </c>
      <c r="V346">
        <v>75.60</v>
      </c>
      <c r="W346">
        <v>7</v>
      </c>
      <c r="X346">
        <v>85</v>
      </c>
      <c r="Y346">
        <v>3</v>
      </c>
      <c r="Z346">
        <v>4</v>
      </c>
      <c r="AA346">
        <v>5</v>
      </c>
      <c r="AB346">
        <v>0</v>
      </c>
      <c r="AC346">
        <v>0</v>
      </c>
      <c r="AD346">
        <v>0</v>
      </c>
      <c r="AE346">
        <v>0</v>
      </c>
      <c r="AF346">
        <v>0.0055999999999999999</v>
      </c>
      <c r="AG346">
        <v>0</v>
      </c>
      <c r="AH346">
        <v>0</v>
      </c>
      <c r="AI346">
        <v>2</v>
      </c>
      <c r="AJ346">
        <v>0</v>
      </c>
      <c r="AK346">
        <v>0</v>
      </c>
      <c r="AL346">
        <v>80</v>
      </c>
      <c r="AM346">
        <v>0.98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2.10</v>
      </c>
      <c r="AU346">
        <v>0</v>
      </c>
      <c r="AV346">
        <v>0</v>
      </c>
    </row>
    <row r="347" spans="1:48" ht="12.75">
      <c r="A347" s="2" t="str">
        <f>HYPERLINK("https://ibp.a2mac1.com/costing(costing:projects/details/8191/equipment/6944859)","Equipment (Injection Molding)")</f>
        <v>Equipment (Injection Molding)</v>
      </c>
      <c r="B347">
        <v>6944859</v>
      </c>
      <c r="C347">
        <v>6972358</v>
      </c>
      <c r="H347" t="s">
        <v>136</v>
      </c>
      <c r="I347">
        <v>1475.7652559999999</v>
      </c>
      <c r="J347">
        <v>0</v>
      </c>
      <c r="K347">
        <v>0.062719999999999998</v>
      </c>
      <c r="L347">
        <v>0</v>
      </c>
      <c r="M347">
        <v>0.36290727997428479</v>
      </c>
      <c r="N347">
        <v>0</v>
      </c>
      <c r="O347">
        <v>0.070565304439444268</v>
      </c>
      <c r="P347">
        <v>0.0044987226666666665</v>
      </c>
      <c r="Q347">
        <v>3.2109067972767599E-05</v>
      </c>
      <c r="R347">
        <v>7840</v>
      </c>
      <c r="S347">
        <v>0</v>
      </c>
      <c r="T347">
        <v>0</v>
      </c>
      <c r="V347">
        <v>75.60</v>
      </c>
      <c r="W347">
        <v>7</v>
      </c>
      <c r="X347">
        <v>85</v>
      </c>
      <c r="Y347">
        <v>3</v>
      </c>
      <c r="Z347">
        <v>4</v>
      </c>
      <c r="AA347">
        <v>5</v>
      </c>
      <c r="AB347">
        <v>0</v>
      </c>
      <c r="AC347">
        <v>0</v>
      </c>
      <c r="AD347">
        <v>0</v>
      </c>
      <c r="AE347">
        <v>0</v>
      </c>
      <c r="AF347">
        <v>0.0055999999999999999</v>
      </c>
      <c r="AG347">
        <v>0</v>
      </c>
      <c r="AH347">
        <v>0</v>
      </c>
      <c r="AI347">
        <v>2</v>
      </c>
      <c r="AJ347">
        <v>0</v>
      </c>
      <c r="AK347">
        <v>0</v>
      </c>
      <c r="AL347">
        <v>80</v>
      </c>
      <c r="AM347">
        <v>0.98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2.10</v>
      </c>
      <c r="AU347">
        <v>0</v>
      </c>
      <c r="AV347">
        <v>0</v>
      </c>
    </row>
    <row r="348" spans="1:48" ht="12.75">
      <c r="A348" s="2" t="str">
        <f>HYPERLINK("https://ibp.a2mac1.com/costing(costing:projects/details/8191/equipment/6944860)","Equipment (Injection Molding)")</f>
        <v>Equipment (Injection Molding)</v>
      </c>
      <c r="B348">
        <v>6944860</v>
      </c>
      <c r="C348">
        <v>6972359</v>
      </c>
      <c r="H348" t="s">
        <v>136</v>
      </c>
      <c r="I348">
        <v>1475.7652559999999</v>
      </c>
      <c r="J348">
        <v>0</v>
      </c>
      <c r="K348">
        <v>0.062719999999999998</v>
      </c>
      <c r="L348">
        <v>0</v>
      </c>
      <c r="M348">
        <v>0.36290727997428479</v>
      </c>
      <c r="N348">
        <v>0</v>
      </c>
      <c r="O348">
        <v>0.060484546662380796</v>
      </c>
      <c r="P348">
        <v>0.0038560479999999999</v>
      </c>
      <c r="Q348">
        <v>3.2109067972767599E-05</v>
      </c>
      <c r="R348">
        <v>7840</v>
      </c>
      <c r="S348">
        <v>0</v>
      </c>
      <c r="T348">
        <v>0</v>
      </c>
      <c r="V348">
        <v>75.60</v>
      </c>
      <c r="W348">
        <v>7</v>
      </c>
      <c r="X348">
        <v>85</v>
      </c>
      <c r="Y348">
        <v>3</v>
      </c>
      <c r="Z348">
        <v>4</v>
      </c>
      <c r="AA348">
        <v>5</v>
      </c>
      <c r="AB348">
        <v>0</v>
      </c>
      <c r="AC348">
        <v>0</v>
      </c>
      <c r="AD348">
        <v>0</v>
      </c>
      <c r="AE348">
        <v>0</v>
      </c>
      <c r="AF348">
        <v>0.0055999999999999999</v>
      </c>
      <c r="AG348">
        <v>0</v>
      </c>
      <c r="AH348">
        <v>0</v>
      </c>
      <c r="AI348">
        <v>2</v>
      </c>
      <c r="AJ348">
        <v>0</v>
      </c>
      <c r="AK348">
        <v>0</v>
      </c>
      <c r="AL348">
        <v>80</v>
      </c>
      <c r="AM348">
        <v>0.98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2.10</v>
      </c>
      <c r="AU348">
        <v>0</v>
      </c>
      <c r="AV348">
        <v>0</v>
      </c>
    </row>
    <row r="349" spans="1:48" ht="12.75">
      <c r="A349" s="2" t="str">
        <f>HYPERLINK("https://ibp.a2mac1.com/costing(costing:projects/details/8191/equipment/6944861)","Equipment (Injection Molding)")</f>
        <v>Equipment (Injection Molding)</v>
      </c>
      <c r="B349">
        <v>6944861</v>
      </c>
      <c r="C349">
        <v>6972360</v>
      </c>
      <c r="H349" t="s">
        <v>136</v>
      </c>
      <c r="I349">
        <v>2108.2360800000001</v>
      </c>
      <c r="J349">
        <v>0</v>
      </c>
      <c r="K349">
        <v>0.089599999999999999</v>
      </c>
      <c r="L349">
        <v>0</v>
      </c>
      <c r="M349">
        <v>0.51843897139183537</v>
      </c>
      <c r="N349">
        <v>0</v>
      </c>
      <c r="O349">
        <v>0.086406495231972566</v>
      </c>
      <c r="P349">
        <v>0.0055086400000000004</v>
      </c>
      <c r="Q349">
        <v>4.6150054148505304E-05</v>
      </c>
      <c r="R349">
        <v>11200</v>
      </c>
      <c r="S349">
        <v>0</v>
      </c>
      <c r="T349">
        <v>0</v>
      </c>
      <c r="V349">
        <v>108</v>
      </c>
      <c r="W349">
        <v>7</v>
      </c>
      <c r="X349">
        <v>85</v>
      </c>
      <c r="Y349">
        <v>3</v>
      </c>
      <c r="Z349">
        <v>4</v>
      </c>
      <c r="AA349">
        <v>5</v>
      </c>
      <c r="AB349">
        <v>0</v>
      </c>
      <c r="AC349">
        <v>0</v>
      </c>
      <c r="AD349">
        <v>0</v>
      </c>
      <c r="AE349">
        <v>0</v>
      </c>
      <c r="AF349">
        <v>0.0080000000000000002</v>
      </c>
      <c r="AG349">
        <v>0</v>
      </c>
      <c r="AH349">
        <v>0</v>
      </c>
      <c r="AI349">
        <v>2</v>
      </c>
      <c r="AJ349">
        <v>0</v>
      </c>
      <c r="AK349">
        <v>0</v>
      </c>
      <c r="AL349">
        <v>80</v>
      </c>
      <c r="AM349">
        <v>1.40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3</v>
      </c>
      <c r="AU349">
        <v>0</v>
      </c>
      <c r="AV349">
        <v>0</v>
      </c>
    </row>
    <row r="350" spans="1:48" ht="12.75">
      <c r="A350" s="2" t="str">
        <f>HYPERLINK("https://ibp.a2mac1.com/costing(costing:projects/details/8191/equipment/6944862)","Equipment (Injection Molding)")</f>
        <v>Equipment (Injection Molding)</v>
      </c>
      <c r="B350">
        <v>6944862</v>
      </c>
      <c r="C350">
        <v>6972361</v>
      </c>
      <c r="H350" t="s">
        <v>136</v>
      </c>
      <c r="I350">
        <v>1528.4711580000001</v>
      </c>
      <c r="J350">
        <v>0</v>
      </c>
      <c r="K350">
        <v>0.064960000000000004</v>
      </c>
      <c r="L350">
        <v>0</v>
      </c>
      <c r="M350">
        <v>0.37586825425908066</v>
      </c>
      <c r="N350">
        <v>0</v>
      </c>
      <c r="O350">
        <v>0.062644709043180119</v>
      </c>
      <c r="P350">
        <v>0.0039937640000000003</v>
      </c>
      <c r="Q350">
        <v>3.3272734471808103E-05</v>
      </c>
      <c r="R350">
        <v>8120</v>
      </c>
      <c r="S350">
        <v>0</v>
      </c>
      <c r="T350">
        <v>0</v>
      </c>
      <c r="V350">
        <v>78.30</v>
      </c>
      <c r="W350">
        <v>7</v>
      </c>
      <c r="X350">
        <v>85</v>
      </c>
      <c r="Y350">
        <v>3</v>
      </c>
      <c r="Z350">
        <v>4</v>
      </c>
      <c r="AA350">
        <v>5</v>
      </c>
      <c r="AB350">
        <v>0</v>
      </c>
      <c r="AC350">
        <v>0</v>
      </c>
      <c r="AD350">
        <v>0</v>
      </c>
      <c r="AE350">
        <v>0</v>
      </c>
      <c r="AF350">
        <v>0.0057999999999999996</v>
      </c>
      <c r="AG350">
        <v>0</v>
      </c>
      <c r="AH350">
        <v>0</v>
      </c>
      <c r="AI350">
        <v>2</v>
      </c>
      <c r="AJ350">
        <v>0</v>
      </c>
      <c r="AK350">
        <v>0</v>
      </c>
      <c r="AL350">
        <v>80</v>
      </c>
      <c r="AM350">
        <v>1.015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2.175</v>
      </c>
      <c r="AU350">
        <v>0</v>
      </c>
      <c r="AV350">
        <v>0</v>
      </c>
    </row>
    <row r="351" spans="1:48" ht="12.75">
      <c r="A351" s="2" t="str">
        <f>HYPERLINK("https://ibp.a2mac1.com/costing(costing:projects/details/8191/equipment/6944863)","Equipment (Injection Molding)")</f>
        <v>Equipment (Injection Molding)</v>
      </c>
      <c r="B351">
        <v>6944863</v>
      </c>
      <c r="C351">
        <v>6972362</v>
      </c>
      <c r="H351" t="s">
        <v>136</v>
      </c>
      <c r="I351">
        <v>22874.361467999999</v>
      </c>
      <c r="J351">
        <v>0</v>
      </c>
      <c r="K351">
        <v>0.97216000000000002</v>
      </c>
      <c r="L351">
        <v>0</v>
      </c>
      <c r="M351">
        <v>5.625062839601414</v>
      </c>
      <c r="N351">
        <v>0</v>
      </c>
      <c r="O351">
        <v>0.093751047326690234</v>
      </c>
      <c r="P351">
        <v>0.0059768744000000002</v>
      </c>
      <c r="Q351">
        <v>0.0006004604516574156</v>
      </c>
      <c r="R351">
        <v>121520</v>
      </c>
      <c r="S351">
        <v>0</v>
      </c>
      <c r="T351">
        <v>0</v>
      </c>
      <c r="V351">
        <v>1171.80</v>
      </c>
      <c r="W351">
        <v>7</v>
      </c>
      <c r="X351">
        <v>85</v>
      </c>
      <c r="Y351">
        <v>3</v>
      </c>
      <c r="Z351">
        <v>4</v>
      </c>
      <c r="AA351">
        <v>5</v>
      </c>
      <c r="AB351">
        <v>0</v>
      </c>
      <c r="AC351">
        <v>0</v>
      </c>
      <c r="AD351">
        <v>0</v>
      </c>
      <c r="AE351">
        <v>0</v>
      </c>
      <c r="AF351">
        <v>0.086800000000000002</v>
      </c>
      <c r="AG351">
        <v>0</v>
      </c>
      <c r="AH351">
        <v>0</v>
      </c>
      <c r="AI351">
        <v>2</v>
      </c>
      <c r="AJ351">
        <v>0</v>
      </c>
      <c r="AK351">
        <v>0</v>
      </c>
      <c r="AL351">
        <v>80</v>
      </c>
      <c r="AM351">
        <v>15.19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32.55</v>
      </c>
      <c r="AU351">
        <v>0</v>
      </c>
      <c r="AV351">
        <v>0</v>
      </c>
    </row>
    <row r="352" spans="1:48" ht="12.75">
      <c r="A352" s="2" t="str">
        <f>HYPERLINK("https://ibp.a2mac1.com/costing(costing:projects/details/8191/equipment/6944864)","Equipment (Injection Molding)")</f>
        <v>Equipment (Injection Molding)</v>
      </c>
      <c r="B352">
        <v>6944864</v>
      </c>
      <c r="C352">
        <v>6972363</v>
      </c>
      <c r="H352" t="s">
        <v>136</v>
      </c>
      <c r="I352">
        <v>1264.941648</v>
      </c>
      <c r="J352">
        <v>0</v>
      </c>
      <c r="K352">
        <v>0.053760000000000002</v>
      </c>
      <c r="L352">
        <v>0</v>
      </c>
      <c r="M352">
        <v>0.31106338283510127</v>
      </c>
      <c r="N352">
        <v>0</v>
      </c>
      <c r="O352">
        <v>0.013825039237115611</v>
      </c>
      <c r="P352">
        <v>0.00088138240000000003</v>
      </c>
      <c r="Q352">
        <v>2.7466066853461909E-05</v>
      </c>
      <c r="R352">
        <v>6720</v>
      </c>
      <c r="S352">
        <v>0</v>
      </c>
      <c r="T352">
        <v>0</v>
      </c>
      <c r="V352">
        <v>64.80</v>
      </c>
      <c r="W352">
        <v>7</v>
      </c>
      <c r="X352">
        <v>85</v>
      </c>
      <c r="Y352">
        <v>3</v>
      </c>
      <c r="Z352">
        <v>4</v>
      </c>
      <c r="AA352">
        <v>5</v>
      </c>
      <c r="AB352">
        <v>0</v>
      </c>
      <c r="AC352">
        <v>0</v>
      </c>
      <c r="AD352">
        <v>0</v>
      </c>
      <c r="AE352">
        <v>0</v>
      </c>
      <c r="AF352">
        <v>0.0047999999999999996</v>
      </c>
      <c r="AG352">
        <v>0</v>
      </c>
      <c r="AH352">
        <v>0</v>
      </c>
      <c r="AI352">
        <v>2</v>
      </c>
      <c r="AJ352">
        <v>0</v>
      </c>
      <c r="AK352">
        <v>0</v>
      </c>
      <c r="AL352">
        <v>80</v>
      </c>
      <c r="AM352">
        <v>0.84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1.80</v>
      </c>
      <c r="AU352">
        <v>0</v>
      </c>
      <c r="AV352">
        <v>0</v>
      </c>
    </row>
    <row r="353" spans="1:48" ht="12.75">
      <c r="A353" s="2" t="str">
        <f>HYPERLINK("https://ibp.a2mac1.com/costing(costing:projects/details/8191/equipment/6944865)","Equipment (Injection Molding)")</f>
        <v>Equipment (Injection Molding)</v>
      </c>
      <c r="B353">
        <v>6944865</v>
      </c>
      <c r="C353">
        <v>6972364</v>
      </c>
      <c r="H353" t="s">
        <v>136</v>
      </c>
      <c r="I353">
        <v>5270.5901999999996</v>
      </c>
      <c r="J353">
        <v>0</v>
      </c>
      <c r="K353">
        <v>0.224</v>
      </c>
      <c r="L353">
        <v>0</v>
      </c>
      <c r="M353">
        <v>1.2960974284795885</v>
      </c>
      <c r="N353">
        <v>0</v>
      </c>
      <c r="O353">
        <v>0.021601623807993141</v>
      </c>
      <c r="P353">
        <v>0.0013771600000000001</v>
      </c>
      <c r="Q353">
        <v>0.00011887459842815814</v>
      </c>
      <c r="R353">
        <v>28000</v>
      </c>
      <c r="S353">
        <v>0</v>
      </c>
      <c r="T353">
        <v>0</v>
      </c>
      <c r="V353">
        <v>270</v>
      </c>
      <c r="W353">
        <v>7</v>
      </c>
      <c r="X353">
        <v>85</v>
      </c>
      <c r="Y353">
        <v>3</v>
      </c>
      <c r="Z353">
        <v>4</v>
      </c>
      <c r="AA353">
        <v>5</v>
      </c>
      <c r="AB353">
        <v>0</v>
      </c>
      <c r="AC353">
        <v>0</v>
      </c>
      <c r="AD353">
        <v>0</v>
      </c>
      <c r="AE353">
        <v>0</v>
      </c>
      <c r="AF353">
        <v>0.02</v>
      </c>
      <c r="AG353">
        <v>0</v>
      </c>
      <c r="AH353">
        <v>0</v>
      </c>
      <c r="AI353">
        <v>2</v>
      </c>
      <c r="AJ353">
        <v>0</v>
      </c>
      <c r="AK353">
        <v>0</v>
      </c>
      <c r="AL353">
        <v>80</v>
      </c>
      <c r="AM353">
        <v>3.50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7.50</v>
      </c>
      <c r="AU353">
        <v>0</v>
      </c>
      <c r="AV353">
        <v>0</v>
      </c>
    </row>
    <row r="354" spans="1:48" ht="12.75">
      <c r="A354" s="2" t="str">
        <f>HYPERLINK("https://ibp.a2mac1.com/costing(costing:projects/details/8191/equipment/6944866)","Equipment")</f>
        <v>Equipment</v>
      </c>
      <c r="B354">
        <v>6944866</v>
      </c>
      <c r="C354">
        <v>6972365</v>
      </c>
      <c r="H354" t="s">
        <v>136</v>
      </c>
      <c r="I354">
        <v>78900.735293999998</v>
      </c>
      <c r="J354">
        <v>0</v>
      </c>
      <c r="K354">
        <v>3.3532799999999998</v>
      </c>
      <c r="L354">
        <v>0</v>
      </c>
      <c r="M354">
        <v>19.402578504339441</v>
      </c>
      <c r="N354">
        <v>0</v>
      </c>
      <c r="O354">
        <v>0.80844077101414336</v>
      </c>
      <c r="P354">
        <v>0.051540213000000001</v>
      </c>
      <c r="Q354">
        <v>0.0029992958361448265</v>
      </c>
      <c r="R354">
        <v>419160</v>
      </c>
      <c r="S354">
        <v>0</v>
      </c>
      <c r="T354">
        <v>0</v>
      </c>
      <c r="V354">
        <v>4041.90</v>
      </c>
      <c r="W354">
        <v>7</v>
      </c>
      <c r="X354">
        <v>85</v>
      </c>
      <c r="Y354">
        <v>3</v>
      </c>
      <c r="Z354">
        <v>4</v>
      </c>
      <c r="AA354">
        <v>5</v>
      </c>
      <c r="AB354">
        <v>0</v>
      </c>
      <c r="AC354">
        <v>0</v>
      </c>
      <c r="AD354">
        <v>0</v>
      </c>
      <c r="AE354">
        <v>0</v>
      </c>
      <c r="AF354">
        <v>0.2994</v>
      </c>
      <c r="AG354">
        <v>0</v>
      </c>
      <c r="AH354">
        <v>0</v>
      </c>
      <c r="AI354">
        <v>2</v>
      </c>
      <c r="AJ354">
        <v>0</v>
      </c>
      <c r="AK354">
        <v>0</v>
      </c>
      <c r="AL354">
        <v>80</v>
      </c>
      <c r="AM354">
        <v>52.395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112.275</v>
      </c>
      <c r="AU354">
        <v>0</v>
      </c>
      <c r="AV354">
        <v>0</v>
      </c>
    </row>
    <row r="355" spans="1:48" ht="12.75">
      <c r="A355" s="2" t="str">
        <f>HYPERLINK("https://ibp.a2mac1.com/costing(costing:projects/details/8191/equipment/6944867)","Equipment (Injection Molding)")</f>
        <v>Equipment (Injection Molding)</v>
      </c>
      <c r="B355">
        <v>6944867</v>
      </c>
      <c r="C355">
        <v>6972366</v>
      </c>
      <c r="H355" t="s">
        <v>136</v>
      </c>
      <c r="I355">
        <v>3188.7070709999998</v>
      </c>
      <c r="J355">
        <v>0</v>
      </c>
      <c r="K355">
        <v>0.13552</v>
      </c>
      <c r="L355">
        <v>0</v>
      </c>
      <c r="M355">
        <v>0.78413894423015107</v>
      </c>
      <c r="N355">
        <v>0</v>
      </c>
      <c r="O355">
        <v>0.10019553176274153</v>
      </c>
      <c r="P355">
        <v>0.0063877271333333333</v>
      </c>
      <c r="Q355">
        <v>7.0525325075666587E-05</v>
      </c>
      <c r="R355">
        <v>16940</v>
      </c>
      <c r="S355">
        <v>0</v>
      </c>
      <c r="T355">
        <v>0</v>
      </c>
      <c r="V355">
        <v>163.35</v>
      </c>
      <c r="W355">
        <v>7</v>
      </c>
      <c r="X355">
        <v>85</v>
      </c>
      <c r="Y355">
        <v>3</v>
      </c>
      <c r="Z355">
        <v>4</v>
      </c>
      <c r="AA355">
        <v>5</v>
      </c>
      <c r="AB355">
        <v>0</v>
      </c>
      <c r="AC355">
        <v>0</v>
      </c>
      <c r="AD355">
        <v>0</v>
      </c>
      <c r="AE355">
        <v>0</v>
      </c>
      <c r="AF355">
        <v>0.0121</v>
      </c>
      <c r="AG355">
        <v>0</v>
      </c>
      <c r="AH355">
        <v>0</v>
      </c>
      <c r="AI355">
        <v>2</v>
      </c>
      <c r="AJ355">
        <v>0</v>
      </c>
      <c r="AK355">
        <v>0</v>
      </c>
      <c r="AL355">
        <v>80</v>
      </c>
      <c r="AM355">
        <v>2.1175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4.5375</v>
      </c>
      <c r="AU355">
        <v>0</v>
      </c>
      <c r="AV355">
        <v>0</v>
      </c>
    </row>
    <row r="356" spans="1:48" ht="12.75">
      <c r="A356" s="2" t="str">
        <f>HYPERLINK("https://ibp.a2mac1.com/costing(costing:projects/details/8191/equipment/6944868)","Equipment (Injection Molding)")</f>
        <v>Equipment (Injection Molding)</v>
      </c>
      <c r="B356">
        <v>6944868</v>
      </c>
      <c r="C356">
        <v>6972366</v>
      </c>
      <c r="H356" t="s">
        <v>136</v>
      </c>
      <c r="I356">
        <v>3188.7070709999998</v>
      </c>
      <c r="J356">
        <v>0</v>
      </c>
      <c r="K356">
        <v>0.13552</v>
      </c>
      <c r="L356">
        <v>0</v>
      </c>
      <c r="M356">
        <v>0.78413894423015107</v>
      </c>
      <c r="N356">
        <v>0</v>
      </c>
      <c r="O356">
        <v>0.10019553176274153</v>
      </c>
      <c r="P356">
        <v>0.0063877271333333333</v>
      </c>
      <c r="Q356">
        <v>7.0525325075666587E-05</v>
      </c>
      <c r="R356">
        <v>16940</v>
      </c>
      <c r="S356">
        <v>0</v>
      </c>
      <c r="T356">
        <v>0</v>
      </c>
      <c r="V356">
        <v>163.35</v>
      </c>
      <c r="W356">
        <v>7</v>
      </c>
      <c r="X356">
        <v>85</v>
      </c>
      <c r="Y356">
        <v>3</v>
      </c>
      <c r="Z356">
        <v>4</v>
      </c>
      <c r="AA356">
        <v>5</v>
      </c>
      <c r="AB356">
        <v>0</v>
      </c>
      <c r="AC356">
        <v>0</v>
      </c>
      <c r="AD356">
        <v>0</v>
      </c>
      <c r="AE356">
        <v>0</v>
      </c>
      <c r="AF356">
        <v>0.0121</v>
      </c>
      <c r="AG356">
        <v>0</v>
      </c>
      <c r="AH356">
        <v>0</v>
      </c>
      <c r="AI356">
        <v>2</v>
      </c>
      <c r="AJ356">
        <v>0</v>
      </c>
      <c r="AK356">
        <v>0</v>
      </c>
      <c r="AL356">
        <v>80</v>
      </c>
      <c r="AM356">
        <v>2.1175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4.5375</v>
      </c>
      <c r="AU356">
        <v>0</v>
      </c>
      <c r="AV356">
        <v>0</v>
      </c>
    </row>
    <row r="357" spans="1:48" ht="12.75">
      <c r="A357" s="2" t="str">
        <f>HYPERLINK("https://ibp.a2mac1.com/costing(costing:projects/details/8191/equipment/6944869)","Equipment (Injection Molding)")</f>
        <v>Equipment (Injection Molding)</v>
      </c>
      <c r="B357">
        <v>6944869</v>
      </c>
      <c r="C357">
        <v>6972366</v>
      </c>
      <c r="H357" t="s">
        <v>136</v>
      </c>
      <c r="I357">
        <v>3188.7070709999998</v>
      </c>
      <c r="J357">
        <v>0</v>
      </c>
      <c r="K357">
        <v>0.13552</v>
      </c>
      <c r="L357">
        <v>0</v>
      </c>
      <c r="M357">
        <v>0.78413894423015107</v>
      </c>
      <c r="N357">
        <v>0</v>
      </c>
      <c r="O357">
        <v>0.10019553176274153</v>
      </c>
      <c r="P357">
        <v>0.0063877271333333333</v>
      </c>
      <c r="Q357">
        <v>7.0525325075666587E-05</v>
      </c>
      <c r="R357">
        <v>16940</v>
      </c>
      <c r="S357">
        <v>0</v>
      </c>
      <c r="T357">
        <v>0</v>
      </c>
      <c r="V357">
        <v>163.35</v>
      </c>
      <c r="W357">
        <v>7</v>
      </c>
      <c r="X357">
        <v>85</v>
      </c>
      <c r="Y357">
        <v>3</v>
      </c>
      <c r="Z357">
        <v>4</v>
      </c>
      <c r="AA357">
        <v>5</v>
      </c>
      <c r="AB357">
        <v>0</v>
      </c>
      <c r="AC357">
        <v>0</v>
      </c>
      <c r="AD357">
        <v>0</v>
      </c>
      <c r="AE357">
        <v>0</v>
      </c>
      <c r="AF357">
        <v>0.0121</v>
      </c>
      <c r="AG357">
        <v>0</v>
      </c>
      <c r="AH357">
        <v>0</v>
      </c>
      <c r="AI357">
        <v>2</v>
      </c>
      <c r="AJ357">
        <v>0</v>
      </c>
      <c r="AK357">
        <v>0</v>
      </c>
      <c r="AL357">
        <v>80</v>
      </c>
      <c r="AM357">
        <v>2.1175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4.5375</v>
      </c>
      <c r="AU357">
        <v>0</v>
      </c>
      <c r="AV357">
        <v>0</v>
      </c>
    </row>
    <row r="358" spans="1:48" ht="12.75">
      <c r="A358" s="2" t="str">
        <f>HYPERLINK("https://ibp.a2mac1.com/costing(costing:projects/details/8191/equipment/6944870)","Equipment (Injection Molding)")</f>
        <v>Equipment (Injection Molding)</v>
      </c>
      <c r="B358">
        <v>6944870</v>
      </c>
      <c r="C358">
        <v>6972367</v>
      </c>
      <c r="H358" t="s">
        <v>136</v>
      </c>
      <c r="I358">
        <v>1370.3534520000001</v>
      </c>
      <c r="J358">
        <v>0</v>
      </c>
      <c r="K358">
        <v>0.05824</v>
      </c>
      <c r="L358">
        <v>0</v>
      </c>
      <c r="M358">
        <v>0.336985331404693</v>
      </c>
      <c r="N358">
        <v>0</v>
      </c>
      <c r="O358">
        <v>0.0056164221900782173</v>
      </c>
      <c r="P358">
        <v>0.0003580616</v>
      </c>
      <c r="Q358">
        <v>2.978523443774349E-05</v>
      </c>
      <c r="R358">
        <v>7280</v>
      </c>
      <c r="S358">
        <v>0</v>
      </c>
      <c r="T358">
        <v>0</v>
      </c>
      <c r="V358">
        <v>70.20</v>
      </c>
      <c r="W358">
        <v>7</v>
      </c>
      <c r="X358">
        <v>85</v>
      </c>
      <c r="Y358">
        <v>3</v>
      </c>
      <c r="Z358">
        <v>4</v>
      </c>
      <c r="AA358">
        <v>5</v>
      </c>
      <c r="AB358">
        <v>0</v>
      </c>
      <c r="AC358">
        <v>0</v>
      </c>
      <c r="AD358">
        <v>0</v>
      </c>
      <c r="AE358">
        <v>0</v>
      </c>
      <c r="AF358">
        <v>0.0051999999999999998</v>
      </c>
      <c r="AG358">
        <v>0</v>
      </c>
      <c r="AH358">
        <v>0</v>
      </c>
      <c r="AI358">
        <v>2</v>
      </c>
      <c r="AJ358">
        <v>0</v>
      </c>
      <c r="AK358">
        <v>0</v>
      </c>
      <c r="AL358">
        <v>80</v>
      </c>
      <c r="AM358">
        <v>0.91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1.95</v>
      </c>
      <c r="AU358">
        <v>0</v>
      </c>
      <c r="AV358">
        <v>0</v>
      </c>
    </row>
    <row r="359" spans="1:48" ht="12.75">
      <c r="A359" s="2" t="str">
        <f>HYPERLINK("https://ibp.a2mac1.com/costing(costing:projects/details/8191/equipment/6944871)","Equipment (Injection Molding)")</f>
        <v>Equipment (Injection Molding)</v>
      </c>
      <c r="B359">
        <v>6944871</v>
      </c>
      <c r="C359">
        <v>6972368</v>
      </c>
      <c r="H359" t="s">
        <v>136</v>
      </c>
      <c r="I359">
        <v>342.58836300000002</v>
      </c>
      <c r="J359">
        <v>0</v>
      </c>
      <c r="K359">
        <v>0.01456</v>
      </c>
      <c r="L359">
        <v>0</v>
      </c>
      <c r="M359">
        <v>0.08424633285117325</v>
      </c>
      <c r="N359">
        <v>0</v>
      </c>
      <c r="O359">
        <v>0.014041055475195543</v>
      </c>
      <c r="P359">
        <v>0.000895154</v>
      </c>
      <c r="Q359">
        <v>3.6861912261794843E-06</v>
      </c>
      <c r="R359">
        <v>1820</v>
      </c>
      <c r="S359">
        <v>0</v>
      </c>
      <c r="T359">
        <v>0</v>
      </c>
      <c r="V359">
        <v>17.55</v>
      </c>
      <c r="W359">
        <v>7</v>
      </c>
      <c r="X359">
        <v>85</v>
      </c>
      <c r="Y359">
        <v>3</v>
      </c>
      <c r="Z359">
        <v>4</v>
      </c>
      <c r="AA359">
        <v>5</v>
      </c>
      <c r="AB359">
        <v>0</v>
      </c>
      <c r="AC359">
        <v>0</v>
      </c>
      <c r="AD359">
        <v>0</v>
      </c>
      <c r="AE359">
        <v>0</v>
      </c>
      <c r="AF359">
        <v>0.0012999999999999999</v>
      </c>
      <c r="AG359">
        <v>0</v>
      </c>
      <c r="AH359">
        <v>0</v>
      </c>
      <c r="AI359">
        <v>2</v>
      </c>
      <c r="AJ359">
        <v>0</v>
      </c>
      <c r="AK359">
        <v>0</v>
      </c>
      <c r="AL359">
        <v>80</v>
      </c>
      <c r="AM359">
        <v>0.2275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0.4875</v>
      </c>
      <c r="AU359">
        <v>0</v>
      </c>
      <c r="AV359">
        <v>0</v>
      </c>
    </row>
    <row r="360" spans="1:48" ht="12.75">
      <c r="A360" s="2" t="str">
        <f>HYPERLINK("https://ibp.a2mac1.com/costing(costing:projects/details/8191/equipment/6944872)","Equipment")</f>
        <v>Equipment</v>
      </c>
      <c r="B360">
        <v>6944872</v>
      </c>
      <c r="C360">
        <v>6972369</v>
      </c>
      <c r="H360" t="s">
        <v>136</v>
      </c>
      <c r="I360">
        <v>13703.534519999999</v>
      </c>
      <c r="J360">
        <v>0</v>
      </c>
      <c r="K360">
        <v>0.58240000000000003</v>
      </c>
      <c r="L360">
        <v>0</v>
      </c>
      <c r="M360">
        <v>3.3698533140469302</v>
      </c>
      <c r="N360">
        <v>0</v>
      </c>
      <c r="O360">
        <v>0.03744281460052145</v>
      </c>
      <c r="P360">
        <v>0.0023870773333333332</v>
      </c>
      <c r="Q360">
        <v>0.0003333368997743491</v>
      </c>
      <c r="R360">
        <v>72800</v>
      </c>
      <c r="S360">
        <v>0</v>
      </c>
      <c r="T360">
        <v>0</v>
      </c>
      <c r="V360">
        <v>702</v>
      </c>
      <c r="W360">
        <v>7</v>
      </c>
      <c r="X360">
        <v>85</v>
      </c>
      <c r="Y360">
        <v>3</v>
      </c>
      <c r="Z360">
        <v>4</v>
      </c>
      <c r="AA360">
        <v>5</v>
      </c>
      <c r="AB360">
        <v>0</v>
      </c>
      <c r="AC360">
        <v>0</v>
      </c>
      <c r="AD360">
        <v>0</v>
      </c>
      <c r="AE360">
        <v>0</v>
      </c>
      <c r="AF360">
        <v>0.051999999999999998</v>
      </c>
      <c r="AG360">
        <v>0</v>
      </c>
      <c r="AH360">
        <v>0</v>
      </c>
      <c r="AI360">
        <v>2</v>
      </c>
      <c r="AJ360">
        <v>0</v>
      </c>
      <c r="AK360">
        <v>0</v>
      </c>
      <c r="AL360">
        <v>80</v>
      </c>
      <c r="AM360">
        <v>9.10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19.50</v>
      </c>
      <c r="AU360">
        <v>0</v>
      </c>
      <c r="AV360">
        <v>0</v>
      </c>
    </row>
    <row r="361" spans="1:48" ht="12.75">
      <c r="A361" s="2" t="str">
        <f>HYPERLINK("https://ibp.a2mac1.com/costing(costing:projects/details/8191/equipment/6944957)","Equipment (Injection Molding)")</f>
        <v>Equipment (Injection Molding)</v>
      </c>
      <c r="B361">
        <v>6944957</v>
      </c>
      <c r="C361">
        <v>6972573</v>
      </c>
      <c r="H361" t="s">
        <v>136</v>
      </c>
      <c r="I361">
        <v>790.58852999999999</v>
      </c>
      <c r="J361">
        <v>0</v>
      </c>
      <c r="K361">
        <v>0.033599999999999998</v>
      </c>
      <c r="L361">
        <v>0</v>
      </c>
      <c r="M361">
        <v>0.19441461427193829</v>
      </c>
      <c r="N361">
        <v>0</v>
      </c>
      <c r="O361">
        <v>0.0032402435711989712</v>
      </c>
      <c r="P361">
        <v>0.000206574</v>
      </c>
      <c r="Q361">
        <v>1.7087553864633557E-05</v>
      </c>
      <c r="R361">
        <v>4200</v>
      </c>
      <c r="S361">
        <v>0</v>
      </c>
      <c r="T361">
        <v>0</v>
      </c>
      <c r="V361">
        <v>40.50</v>
      </c>
      <c r="W361">
        <v>7</v>
      </c>
      <c r="X361">
        <v>85</v>
      </c>
      <c r="Y361">
        <v>3</v>
      </c>
      <c r="Z361">
        <v>4</v>
      </c>
      <c r="AA361">
        <v>5</v>
      </c>
      <c r="AB361">
        <v>0</v>
      </c>
      <c r="AC361">
        <v>0</v>
      </c>
      <c r="AD361">
        <v>0</v>
      </c>
      <c r="AE361">
        <v>0</v>
      </c>
      <c r="AF361">
        <v>0.0030000000000000001</v>
      </c>
      <c r="AG361">
        <v>0</v>
      </c>
      <c r="AH361">
        <v>0</v>
      </c>
      <c r="AI361">
        <v>2</v>
      </c>
      <c r="AJ361">
        <v>0</v>
      </c>
      <c r="AK361">
        <v>0</v>
      </c>
      <c r="AL361">
        <v>80</v>
      </c>
      <c r="AM361">
        <v>0.525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1.125</v>
      </c>
      <c r="AU361">
        <v>0</v>
      </c>
      <c r="AV361">
        <v>0</v>
      </c>
    </row>
    <row r="362" spans="1:48" ht="12.75">
      <c r="A362" s="2" t="str">
        <f>HYPERLINK("https://ibp.a2mac1.com/costing(costing:projects/details/8191/equipment/6944958)","Equipment (Injection Molding)")</f>
        <v>Equipment (Injection Molding)</v>
      </c>
      <c r="B362">
        <v>6944958</v>
      </c>
      <c r="C362">
        <v>6972574</v>
      </c>
      <c r="H362" t="s">
        <v>136</v>
      </c>
      <c r="I362">
        <v>843.29443200000003</v>
      </c>
      <c r="J362">
        <v>0</v>
      </c>
      <c r="K362">
        <v>0.035839999999999997</v>
      </c>
      <c r="L362">
        <v>0</v>
      </c>
      <c r="M362">
        <v>0.20737558855673416</v>
      </c>
      <c r="N362">
        <v>0</v>
      </c>
      <c r="O362">
        <v>0.0034562598092789027</v>
      </c>
      <c r="P362">
        <v>0.00022034560000000001</v>
      </c>
      <c r="Q362">
        <v>1.8236056023760849E-05</v>
      </c>
      <c r="R362">
        <v>4480</v>
      </c>
      <c r="S362">
        <v>0</v>
      </c>
      <c r="T362">
        <v>0</v>
      </c>
      <c r="V362">
        <v>43.20</v>
      </c>
      <c r="W362">
        <v>7</v>
      </c>
      <c r="X362">
        <v>85</v>
      </c>
      <c r="Y362">
        <v>3</v>
      </c>
      <c r="Z362">
        <v>4</v>
      </c>
      <c r="AA362">
        <v>5</v>
      </c>
      <c r="AB362">
        <v>0</v>
      </c>
      <c r="AC362">
        <v>0</v>
      </c>
      <c r="AD362">
        <v>0</v>
      </c>
      <c r="AE362">
        <v>0</v>
      </c>
      <c r="AF362">
        <v>0.0032000000000000002</v>
      </c>
      <c r="AG362">
        <v>0</v>
      </c>
      <c r="AH362">
        <v>0</v>
      </c>
      <c r="AI362">
        <v>2</v>
      </c>
      <c r="AJ362">
        <v>0</v>
      </c>
      <c r="AK362">
        <v>0</v>
      </c>
      <c r="AL362">
        <v>80</v>
      </c>
      <c r="AM362">
        <v>0.56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1.20</v>
      </c>
      <c r="AU362">
        <v>0</v>
      </c>
      <c r="AV362">
        <v>0</v>
      </c>
    </row>
    <row r="363" spans="1:48" ht="12.75">
      <c r="A363" s="2" t="str">
        <f>HYPERLINK("https://ibp.a2mac1.com/costing(costing:projects/details/8191/equipment/6944959)","Equipment (Injection Molding)")</f>
        <v>Equipment (Injection Molding)</v>
      </c>
      <c r="B363">
        <v>6944959</v>
      </c>
      <c r="C363">
        <v>6972575</v>
      </c>
      <c r="H363" t="s">
        <v>136</v>
      </c>
      <c r="I363">
        <v>3794.824944</v>
      </c>
      <c r="J363">
        <v>0</v>
      </c>
      <c r="K363">
        <v>0.16128000000000001</v>
      </c>
      <c r="L363">
        <v>0</v>
      </c>
      <c r="M363">
        <v>0.9331901485053038</v>
      </c>
      <c r="N363">
        <v>0</v>
      </c>
      <c r="O363">
        <v>0.041475117711346834</v>
      </c>
      <c r="P363">
        <v>0.0026441472</v>
      </c>
      <c r="Q363">
        <v>8.4413891281157188E-05</v>
      </c>
      <c r="R363">
        <v>20160</v>
      </c>
      <c r="S363">
        <v>0</v>
      </c>
      <c r="T363">
        <v>0</v>
      </c>
      <c r="V363">
        <v>194.40</v>
      </c>
      <c r="W363">
        <v>7</v>
      </c>
      <c r="X363">
        <v>85</v>
      </c>
      <c r="Y363">
        <v>3</v>
      </c>
      <c r="Z363">
        <v>4</v>
      </c>
      <c r="AA363">
        <v>5</v>
      </c>
      <c r="AB363">
        <v>0</v>
      </c>
      <c r="AC363">
        <v>0</v>
      </c>
      <c r="AD363">
        <v>0</v>
      </c>
      <c r="AE363">
        <v>0</v>
      </c>
      <c r="AF363">
        <v>0.0144</v>
      </c>
      <c r="AG363">
        <v>0</v>
      </c>
      <c r="AH363">
        <v>0</v>
      </c>
      <c r="AI363">
        <v>2</v>
      </c>
      <c r="AJ363">
        <v>0</v>
      </c>
      <c r="AK363">
        <v>0</v>
      </c>
      <c r="AL363">
        <v>80</v>
      </c>
      <c r="AM363">
        <v>2.52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5.40</v>
      </c>
      <c r="AU363">
        <v>0</v>
      </c>
      <c r="AV363">
        <v>0</v>
      </c>
    </row>
    <row r="364" spans="1:48" ht="12.75">
      <c r="A364" s="2" t="str">
        <f>HYPERLINK("https://ibp.a2mac1.com/costing(costing:projects/details/8191/equipment/6944960)","Equipment (Injection Molding)")</f>
        <v>Equipment (Injection Molding)</v>
      </c>
      <c r="B364">
        <v>6944960</v>
      </c>
      <c r="C364">
        <v>6972575</v>
      </c>
      <c r="H364" t="s">
        <v>136</v>
      </c>
      <c r="I364">
        <v>3794.824944</v>
      </c>
      <c r="J364">
        <v>0</v>
      </c>
      <c r="K364">
        <v>0.16128000000000001</v>
      </c>
      <c r="L364">
        <v>0</v>
      </c>
      <c r="M364">
        <v>0.9331901485053038</v>
      </c>
      <c r="N364">
        <v>0</v>
      </c>
      <c r="O364">
        <v>0.041475117711346834</v>
      </c>
      <c r="P364">
        <v>0.0026441472</v>
      </c>
      <c r="Q364">
        <v>8.4413891281157188E-05</v>
      </c>
      <c r="R364">
        <v>20160</v>
      </c>
      <c r="S364">
        <v>0</v>
      </c>
      <c r="T364">
        <v>0</v>
      </c>
      <c r="V364">
        <v>194.40</v>
      </c>
      <c r="W364">
        <v>7</v>
      </c>
      <c r="X364">
        <v>85</v>
      </c>
      <c r="Y364">
        <v>3</v>
      </c>
      <c r="Z364">
        <v>4</v>
      </c>
      <c r="AA364">
        <v>5</v>
      </c>
      <c r="AB364">
        <v>0</v>
      </c>
      <c r="AC364">
        <v>0</v>
      </c>
      <c r="AD364">
        <v>0</v>
      </c>
      <c r="AE364">
        <v>0</v>
      </c>
      <c r="AF364">
        <v>0.0144</v>
      </c>
      <c r="AG364">
        <v>0</v>
      </c>
      <c r="AH364">
        <v>0</v>
      </c>
      <c r="AI364">
        <v>2</v>
      </c>
      <c r="AJ364">
        <v>0</v>
      </c>
      <c r="AK364">
        <v>0</v>
      </c>
      <c r="AL364">
        <v>80</v>
      </c>
      <c r="AM364">
        <v>2.52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5.40</v>
      </c>
      <c r="AU364">
        <v>0</v>
      </c>
      <c r="AV364">
        <v>0</v>
      </c>
    </row>
    <row r="365" spans="1:48" ht="12.75">
      <c r="A365" s="2" t="str">
        <f>HYPERLINK("https://ibp.a2mac1.com/costing(costing:projects/details/8191/equipment/6944961)","Equipment (Injection Molding)")</f>
        <v>Equipment (Injection Molding)</v>
      </c>
      <c r="B365">
        <v>6944961</v>
      </c>
      <c r="C365">
        <v>6972576</v>
      </c>
      <c r="H365" t="s">
        <v>136</v>
      </c>
      <c r="I365">
        <v>19184.948327999999</v>
      </c>
      <c r="J365">
        <v>0</v>
      </c>
      <c r="K365">
        <v>0.81535999999999997</v>
      </c>
      <c r="L365">
        <v>0</v>
      </c>
      <c r="M365">
        <v>4.7177946396657022</v>
      </c>
      <c r="N365">
        <v>0</v>
      </c>
      <c r="O365">
        <v>0.078629910661095037</v>
      </c>
      <c r="P365">
        <v>0.0050128624</v>
      </c>
      <c r="Q365">
        <v>0.00048875093859772421</v>
      </c>
      <c r="R365">
        <v>101920</v>
      </c>
      <c r="S365">
        <v>0</v>
      </c>
      <c r="T365">
        <v>0</v>
      </c>
      <c r="V365">
        <v>982.80</v>
      </c>
      <c r="W365">
        <v>7</v>
      </c>
      <c r="X365">
        <v>85</v>
      </c>
      <c r="Y365">
        <v>3</v>
      </c>
      <c r="Z365">
        <v>4</v>
      </c>
      <c r="AA365">
        <v>5</v>
      </c>
      <c r="AB365">
        <v>0</v>
      </c>
      <c r="AC365">
        <v>0</v>
      </c>
      <c r="AD365">
        <v>0</v>
      </c>
      <c r="AE365">
        <v>0</v>
      </c>
      <c r="AF365">
        <v>0.072800000000000004</v>
      </c>
      <c r="AG365">
        <v>0</v>
      </c>
      <c r="AH365">
        <v>0</v>
      </c>
      <c r="AI365">
        <v>2</v>
      </c>
      <c r="AJ365">
        <v>0</v>
      </c>
      <c r="AK365">
        <v>0</v>
      </c>
      <c r="AL365">
        <v>80</v>
      </c>
      <c r="AM365">
        <v>12.74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27.30</v>
      </c>
      <c r="AU365">
        <v>0</v>
      </c>
      <c r="AV365">
        <v>0</v>
      </c>
    </row>
    <row r="366" spans="1:48" ht="12.75">
      <c r="A366" s="2" t="str">
        <f>HYPERLINK("https://ibp.a2mac1.com/costing(costing:projects/details/8191/equipment/6944873)","No.01 - Fabric Cutting")</f>
        <v>No.01 - Fabric Cutting</v>
      </c>
      <c r="B366">
        <v>6944873</v>
      </c>
      <c r="C366">
        <v>6972370</v>
      </c>
      <c r="H366" t="s">
        <v>2693</v>
      </c>
      <c r="I366">
        <v>16787.268</v>
      </c>
      <c r="J366">
        <v>0</v>
      </c>
      <c r="K366">
        <v>0.80</v>
      </c>
      <c r="L366">
        <v>0</v>
      </c>
      <c r="M366">
        <v>4.3820102860816457</v>
      </c>
      <c r="N366">
        <v>0</v>
      </c>
      <c r="O366">
        <v>0.0098960398960677171</v>
      </c>
      <c r="P366">
        <v>0.018660518000000001</v>
      </c>
      <c r="Q366">
        <v>0.00025413375429122467</v>
      </c>
      <c r="R366">
        <v>110000</v>
      </c>
      <c r="S366">
        <v>0</v>
      </c>
      <c r="T366">
        <v>800000</v>
      </c>
      <c r="V366">
        <v>900</v>
      </c>
      <c r="W366">
        <v>10</v>
      </c>
      <c r="X366">
        <v>85</v>
      </c>
      <c r="Y366">
        <v>3</v>
      </c>
      <c r="Z366">
        <v>4</v>
      </c>
      <c r="AA366">
        <v>5</v>
      </c>
      <c r="AB366">
        <v>0</v>
      </c>
      <c r="AC366">
        <v>0</v>
      </c>
      <c r="AD366">
        <v>0</v>
      </c>
      <c r="AE366">
        <v>0</v>
      </c>
      <c r="AF366">
        <v>2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100</v>
      </c>
      <c r="AM366">
        <v>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50</v>
      </c>
      <c r="AU366">
        <v>0</v>
      </c>
      <c r="AV366">
        <v>0</v>
      </c>
    </row>
    <row r="367" spans="1:48" ht="12.75">
      <c r="A367" s="2" t="str">
        <f>HYPERLINK("https://ibp.a2mac1.com/costing(costing:projects/details/8191/equipment/6944874)","No.02 - Fabric Sewing")</f>
        <v>No.02 - Fabric Sewing</v>
      </c>
      <c r="B367">
        <v>6944874</v>
      </c>
      <c r="C367">
        <v>6972371</v>
      </c>
      <c r="E367" t="s">
        <v>9</v>
      </c>
      <c r="F367" t="s">
        <v>9</v>
      </c>
      <c r="G367" t="s">
        <v>9</v>
      </c>
      <c r="H367" t="s">
        <v>79</v>
      </c>
      <c r="I367">
        <v>1969.9257600000001</v>
      </c>
      <c r="J367">
        <v>0</v>
      </c>
      <c r="K367">
        <v>0.16</v>
      </c>
      <c r="L367">
        <v>0</v>
      </c>
      <c r="M367">
        <v>0.55696653166184507</v>
      </c>
      <c r="N367">
        <v>0</v>
      </c>
      <c r="O367">
        <v>0.047144122646665954</v>
      </c>
      <c r="P367">
        <v>1.0631545368888888</v>
      </c>
      <c r="Q367">
        <v>0.00019675809797492768</v>
      </c>
      <c r="R367">
        <v>10000</v>
      </c>
      <c r="S367">
        <v>0</v>
      </c>
      <c r="T367">
        <v>800000</v>
      </c>
      <c r="U367" t="s">
        <v>9</v>
      </c>
      <c r="V367">
        <v>900</v>
      </c>
      <c r="W367">
        <v>10</v>
      </c>
      <c r="X367">
        <v>85</v>
      </c>
      <c r="Y367">
        <v>3</v>
      </c>
      <c r="Z367">
        <v>4</v>
      </c>
      <c r="AA367">
        <v>5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100</v>
      </c>
      <c r="AM367">
        <v>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16</v>
      </c>
      <c r="AU367">
        <v>0</v>
      </c>
      <c r="AV367">
        <v>0</v>
      </c>
    </row>
    <row r="368" spans="1:48" ht="12.75">
      <c r="A368" s="2" t="str">
        <f>HYPERLINK("https://ibp.a2mac1.com/costing(costing:projects/details/8191/equipment/6944875)","Equipment (Injection Molding)")</f>
        <v>Equipment (Injection Molding)</v>
      </c>
      <c r="B368">
        <v>6944875</v>
      </c>
      <c r="C368">
        <v>6972372</v>
      </c>
      <c r="H368" t="s">
        <v>136</v>
      </c>
      <c r="I368">
        <v>22206.753375407145</v>
      </c>
      <c r="J368">
        <v>0</v>
      </c>
      <c r="K368">
        <v>0.94378687999999999</v>
      </c>
      <c r="L368">
        <v>0</v>
      </c>
      <c r="M368">
        <v>5.4608907118719294</v>
      </c>
      <c r="N368">
        <v>0</v>
      </c>
      <c r="O368">
        <v>0.24270625386097464</v>
      </c>
      <c r="P368">
        <v>0.01547376976</v>
      </c>
      <c r="Q368">
        <v>0.00057982278869709181</v>
      </c>
      <c r="R368">
        <v>117973.33332999999</v>
      </c>
      <c r="S368">
        <v>0</v>
      </c>
      <c r="T368">
        <v>0</v>
      </c>
      <c r="V368">
        <v>1137.60</v>
      </c>
      <c r="W368">
        <v>7</v>
      </c>
      <c r="X368">
        <v>85</v>
      </c>
      <c r="Y368">
        <v>3</v>
      </c>
      <c r="Z368">
        <v>4</v>
      </c>
      <c r="AA368">
        <v>5</v>
      </c>
      <c r="AB368">
        <v>0</v>
      </c>
      <c r="AC368">
        <v>0</v>
      </c>
      <c r="AD368">
        <v>0</v>
      </c>
      <c r="AE368">
        <v>0</v>
      </c>
      <c r="AF368">
        <v>0.084269999999999998</v>
      </c>
      <c r="AG368">
        <v>0</v>
      </c>
      <c r="AH368">
        <v>0</v>
      </c>
      <c r="AI368">
        <v>2</v>
      </c>
      <c r="AJ368">
        <v>0</v>
      </c>
      <c r="AK368">
        <v>0</v>
      </c>
      <c r="AL368">
        <v>80</v>
      </c>
      <c r="AM368">
        <v>14.74667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31.60</v>
      </c>
      <c r="AU368">
        <v>0</v>
      </c>
      <c r="AV368">
        <v>0</v>
      </c>
    </row>
    <row r="369" spans="1:48" ht="12.75">
      <c r="A369" s="2" t="str">
        <f>HYPERLINK("https://ibp.a2mac1.com/costing(costing:projects/details/8191/equipment/6944876)","Equipment")</f>
        <v>Equipment</v>
      </c>
      <c r="B369">
        <v>6944876</v>
      </c>
      <c r="C369">
        <v>6972372</v>
      </c>
      <c r="H369" t="s">
        <v>136</v>
      </c>
      <c r="I369">
        <v>22206.753375407145</v>
      </c>
      <c r="J369">
        <v>0</v>
      </c>
      <c r="K369">
        <v>0.94378687999999999</v>
      </c>
      <c r="L369">
        <v>0</v>
      </c>
      <c r="M369">
        <v>5.4608907118719294</v>
      </c>
      <c r="N369">
        <v>0</v>
      </c>
      <c r="O369">
        <v>0.24270625386097464</v>
      </c>
      <c r="P369">
        <v>0.01547376976</v>
      </c>
      <c r="Q369">
        <v>0.00057982278869709181</v>
      </c>
      <c r="R369">
        <v>117973.33332999999</v>
      </c>
      <c r="S369">
        <v>0</v>
      </c>
      <c r="T369">
        <v>0</v>
      </c>
      <c r="V369">
        <v>1137.60</v>
      </c>
      <c r="W369">
        <v>7</v>
      </c>
      <c r="X369">
        <v>85</v>
      </c>
      <c r="Y369">
        <v>3</v>
      </c>
      <c r="Z369">
        <v>4</v>
      </c>
      <c r="AA369">
        <v>5</v>
      </c>
      <c r="AB369">
        <v>0</v>
      </c>
      <c r="AC369">
        <v>0</v>
      </c>
      <c r="AD369">
        <v>0</v>
      </c>
      <c r="AE369">
        <v>0</v>
      </c>
      <c r="AF369">
        <v>0.084269999999999998</v>
      </c>
      <c r="AG369">
        <v>0</v>
      </c>
      <c r="AH369">
        <v>0</v>
      </c>
      <c r="AI369">
        <v>2</v>
      </c>
      <c r="AJ369">
        <v>0</v>
      </c>
      <c r="AK369">
        <v>0</v>
      </c>
      <c r="AL369">
        <v>80</v>
      </c>
      <c r="AM369">
        <v>14.74667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31.60</v>
      </c>
      <c r="AU369">
        <v>0</v>
      </c>
      <c r="AV369">
        <v>0</v>
      </c>
    </row>
    <row r="370" spans="1:48" ht="12.75">
      <c r="A370" s="2" t="str">
        <f>HYPERLINK("https://ibp.a2mac1.com/costing(costing:projects/details/8191/equipment/6944877)","Equipment (Injection Molding)")</f>
        <v>Equipment (Injection Molding)</v>
      </c>
      <c r="B370">
        <v>6944877</v>
      </c>
      <c r="C370">
        <v>6972373</v>
      </c>
      <c r="H370" t="s">
        <v>136</v>
      </c>
      <c r="I370">
        <v>3584.0013359999998</v>
      </c>
      <c r="J370">
        <v>0</v>
      </c>
      <c r="K370">
        <v>0.15232000000000001</v>
      </c>
      <c r="L370">
        <v>0</v>
      </c>
      <c r="M370">
        <v>0.88134625136612021</v>
      </c>
      <c r="N370">
        <v>0</v>
      </c>
      <c r="O370">
        <v>0.014689104189435337</v>
      </c>
      <c r="P370">
        <v>0.00093646880000000004</v>
      </c>
      <c r="Q370">
        <v>7.9565588329180324E-05</v>
      </c>
      <c r="R370">
        <v>19040</v>
      </c>
      <c r="S370">
        <v>0</v>
      </c>
      <c r="T370">
        <v>0</v>
      </c>
      <c r="V370">
        <v>183.60</v>
      </c>
      <c r="W370">
        <v>7</v>
      </c>
      <c r="X370">
        <v>85</v>
      </c>
      <c r="Y370">
        <v>3</v>
      </c>
      <c r="Z370">
        <v>4</v>
      </c>
      <c r="AA370">
        <v>5</v>
      </c>
      <c r="AB370">
        <v>0</v>
      </c>
      <c r="AC370">
        <v>0</v>
      </c>
      <c r="AD370">
        <v>0</v>
      </c>
      <c r="AE370">
        <v>0</v>
      </c>
      <c r="AF370">
        <v>0.013599999999999999</v>
      </c>
      <c r="AG370">
        <v>0</v>
      </c>
      <c r="AH370">
        <v>0</v>
      </c>
      <c r="AI370">
        <v>2</v>
      </c>
      <c r="AJ370">
        <v>0</v>
      </c>
      <c r="AK370">
        <v>0</v>
      </c>
      <c r="AL370">
        <v>80</v>
      </c>
      <c r="AM370">
        <v>2.38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5.10</v>
      </c>
      <c r="AU370">
        <v>0</v>
      </c>
      <c r="AV370">
        <v>0</v>
      </c>
    </row>
    <row r="371" spans="1:48" ht="12.75">
      <c r="A371" s="2" t="str">
        <f>HYPERLINK("https://ibp.a2mac1.com/costing(costing:projects/details/8191/equipment/6944878)","No.01 - Fabric Cutting")</f>
        <v>No.01 - Fabric Cutting</v>
      </c>
      <c r="B371">
        <v>6944878</v>
      </c>
      <c r="C371">
        <v>6972374</v>
      </c>
      <c r="H371" t="s">
        <v>2693</v>
      </c>
      <c r="I371">
        <v>16787.268</v>
      </c>
      <c r="J371">
        <v>0</v>
      </c>
      <c r="K371">
        <v>0.80</v>
      </c>
      <c r="L371">
        <v>0</v>
      </c>
      <c r="M371">
        <v>4.3820102860816457</v>
      </c>
      <c r="N371">
        <v>0</v>
      </c>
      <c r="O371">
        <v>0.004990622825815208</v>
      </c>
      <c r="P371">
        <v>0.0094105933333333332</v>
      </c>
      <c r="Q371">
        <v>0.00025413375429122467</v>
      </c>
      <c r="R371">
        <v>110000</v>
      </c>
      <c r="S371">
        <v>0</v>
      </c>
      <c r="T371">
        <v>800000</v>
      </c>
      <c r="V371">
        <v>900</v>
      </c>
      <c r="W371">
        <v>10</v>
      </c>
      <c r="X371">
        <v>85</v>
      </c>
      <c r="Y371">
        <v>3</v>
      </c>
      <c r="Z371">
        <v>4</v>
      </c>
      <c r="AA371">
        <v>5</v>
      </c>
      <c r="AB371">
        <v>0</v>
      </c>
      <c r="AC371">
        <v>0</v>
      </c>
      <c r="AD371">
        <v>0</v>
      </c>
      <c r="AE371">
        <v>0</v>
      </c>
      <c r="AF371">
        <v>2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100</v>
      </c>
      <c r="AM371">
        <v>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50</v>
      </c>
      <c r="AU371">
        <v>0</v>
      </c>
      <c r="AV371">
        <v>0</v>
      </c>
    </row>
    <row r="372" spans="1:48" ht="12.75">
      <c r="A372" s="2" t="str">
        <f>HYPERLINK("https://ibp.a2mac1.com/costing(costing:projects/details/8191/equipment/6944879)","No.02 - Fabric Sewing")</f>
        <v>No.02 - Fabric Sewing</v>
      </c>
      <c r="B372">
        <v>6944879</v>
      </c>
      <c r="C372">
        <v>6972375</v>
      </c>
      <c r="E372" t="s">
        <v>9</v>
      </c>
      <c r="F372" t="s">
        <v>9</v>
      </c>
      <c r="G372" t="s">
        <v>9</v>
      </c>
      <c r="H372" t="s">
        <v>79</v>
      </c>
      <c r="I372">
        <v>1969.9257600000001</v>
      </c>
      <c r="J372">
        <v>0</v>
      </c>
      <c r="K372">
        <v>0.16</v>
      </c>
      <c r="L372">
        <v>0</v>
      </c>
      <c r="M372">
        <v>0.55696653166184507</v>
      </c>
      <c r="N372">
        <v>0</v>
      </c>
      <c r="O372">
        <v>0.025632837490481803</v>
      </c>
      <c r="P372">
        <v>0.57805015644444446</v>
      </c>
      <c r="Q372">
        <v>0.00019675809797492768</v>
      </c>
      <c r="R372">
        <v>10000</v>
      </c>
      <c r="S372">
        <v>0</v>
      </c>
      <c r="T372">
        <v>800000</v>
      </c>
      <c r="U372" t="s">
        <v>9</v>
      </c>
      <c r="V372">
        <v>900</v>
      </c>
      <c r="W372">
        <v>10</v>
      </c>
      <c r="X372">
        <v>85</v>
      </c>
      <c r="Y372">
        <v>3</v>
      </c>
      <c r="Z372">
        <v>4</v>
      </c>
      <c r="AA372">
        <v>5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100</v>
      </c>
      <c r="AM372">
        <v>2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16</v>
      </c>
      <c r="AU372">
        <v>0</v>
      </c>
      <c r="AV372">
        <v>0</v>
      </c>
    </row>
    <row r="373" spans="1:48" ht="12.75">
      <c r="A373" s="2" t="str">
        <f>HYPERLINK("https://ibp.a2mac1.com/costing(costing:projects/details/8191/equipment/6944880)","Equipment (Injection Molding)")</f>
        <v>Equipment (Injection Molding)</v>
      </c>
      <c r="B373">
        <v>6944880</v>
      </c>
      <c r="C373">
        <v>6972376</v>
      </c>
      <c r="H373" t="s">
        <v>136</v>
      </c>
      <c r="I373">
        <v>4321.8839639999997</v>
      </c>
      <c r="J373">
        <v>0</v>
      </c>
      <c r="K373">
        <v>0.18368000000000001</v>
      </c>
      <c r="L373">
        <v>0</v>
      </c>
      <c r="M373">
        <v>1.0627998913532626</v>
      </c>
      <c r="N373">
        <v>0</v>
      </c>
      <c r="O373">
        <v>0.047235550726811674</v>
      </c>
      <c r="P373">
        <v>0.0030113898666666666</v>
      </c>
      <c r="Q373">
        <v>9.6616302799093536E-05</v>
      </c>
      <c r="R373">
        <v>22960</v>
      </c>
      <c r="S373">
        <v>0</v>
      </c>
      <c r="T373">
        <v>0</v>
      </c>
      <c r="V373">
        <v>221.40</v>
      </c>
      <c r="W373">
        <v>7</v>
      </c>
      <c r="X373">
        <v>85</v>
      </c>
      <c r="Y373">
        <v>3</v>
      </c>
      <c r="Z373">
        <v>4</v>
      </c>
      <c r="AA373">
        <v>5</v>
      </c>
      <c r="AB373">
        <v>0</v>
      </c>
      <c r="AC373">
        <v>0</v>
      </c>
      <c r="AD373">
        <v>0</v>
      </c>
      <c r="AE373">
        <v>0</v>
      </c>
      <c r="AF373">
        <v>0.016400000000000001</v>
      </c>
      <c r="AG373">
        <v>0</v>
      </c>
      <c r="AH373">
        <v>0</v>
      </c>
      <c r="AI373">
        <v>2</v>
      </c>
      <c r="AJ373">
        <v>0</v>
      </c>
      <c r="AK373">
        <v>0</v>
      </c>
      <c r="AL373">
        <v>80</v>
      </c>
      <c r="AM373">
        <v>2.87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6.15</v>
      </c>
      <c r="AU373">
        <v>0</v>
      </c>
      <c r="AV373">
        <v>0</v>
      </c>
    </row>
    <row r="374" spans="1:48" ht="12.75">
      <c r="A374" s="2" t="str">
        <f>HYPERLINK("https://ibp.a2mac1.com/costing(costing:projects/details/8191/equipment/6944753)","No.01 - Fabric Cutting")</f>
        <v>No.01 - Fabric Cutting</v>
      </c>
      <c r="B374">
        <v>6944753</v>
      </c>
      <c r="C374">
        <v>6972214</v>
      </c>
      <c r="H374" t="s">
        <v>2693</v>
      </c>
      <c r="I374">
        <v>16787.268</v>
      </c>
      <c r="J374">
        <v>0</v>
      </c>
      <c r="K374">
        <v>0.80</v>
      </c>
      <c r="L374">
        <v>0</v>
      </c>
      <c r="M374">
        <v>4.3820102860816457</v>
      </c>
      <c r="N374">
        <v>0</v>
      </c>
      <c r="O374">
        <v>0.03088100026608093</v>
      </c>
      <c r="P374">
        <v>0.058230915333333334</v>
      </c>
      <c r="Q374">
        <v>0.00025413375429122467</v>
      </c>
      <c r="R374">
        <v>110000</v>
      </c>
      <c r="S374">
        <v>0</v>
      </c>
      <c r="T374">
        <v>800000</v>
      </c>
      <c r="V374">
        <v>900</v>
      </c>
      <c r="W374">
        <v>10</v>
      </c>
      <c r="X374">
        <v>85</v>
      </c>
      <c r="Y374">
        <v>3</v>
      </c>
      <c r="Z374">
        <v>4</v>
      </c>
      <c r="AA374">
        <v>5</v>
      </c>
      <c r="AB374">
        <v>0</v>
      </c>
      <c r="AC374">
        <v>0</v>
      </c>
      <c r="AD374">
        <v>0</v>
      </c>
      <c r="AE374">
        <v>0</v>
      </c>
      <c r="AF374">
        <v>2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100</v>
      </c>
      <c r="AM374">
        <v>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50</v>
      </c>
      <c r="AU374">
        <v>0</v>
      </c>
      <c r="AV374">
        <v>0</v>
      </c>
    </row>
    <row r="375" spans="1:48" ht="12.75">
      <c r="A375" s="2" t="str">
        <f>HYPERLINK("https://ibp.a2mac1.com/costing(costing:projects/details/8191/equipment/6944752)","No.02 - Fabric Sewing")</f>
        <v>No.02 - Fabric Sewing</v>
      </c>
      <c r="B375">
        <v>6944752</v>
      </c>
      <c r="C375">
        <v>6972213</v>
      </c>
      <c r="E375" t="s">
        <v>9</v>
      </c>
      <c r="F375" t="s">
        <v>9</v>
      </c>
      <c r="G375" t="s">
        <v>9</v>
      </c>
      <c r="H375" t="s">
        <v>79</v>
      </c>
      <c r="I375">
        <v>1969.9257600000001</v>
      </c>
      <c r="J375">
        <v>0</v>
      </c>
      <c r="K375">
        <v>0.16</v>
      </c>
      <c r="L375">
        <v>0</v>
      </c>
      <c r="M375">
        <v>0.55696653166184507</v>
      </c>
      <c r="N375">
        <v>0</v>
      </c>
      <c r="O375">
        <v>0.13828395990685383</v>
      </c>
      <c r="P375">
        <v>3.1184633651111113</v>
      </c>
      <c r="Q375">
        <v>0.00019675809797492768</v>
      </c>
      <c r="R375">
        <v>10000</v>
      </c>
      <c r="S375">
        <v>0</v>
      </c>
      <c r="T375">
        <v>800000</v>
      </c>
      <c r="U375" t="s">
        <v>9</v>
      </c>
      <c r="V375">
        <v>900</v>
      </c>
      <c r="W375">
        <v>10</v>
      </c>
      <c r="X375">
        <v>85</v>
      </c>
      <c r="Y375">
        <v>3</v>
      </c>
      <c r="Z375">
        <v>4</v>
      </c>
      <c r="AA375">
        <v>5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100</v>
      </c>
      <c r="AM375">
        <v>2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16</v>
      </c>
      <c r="AU375">
        <v>0</v>
      </c>
      <c r="AV375">
        <v>0</v>
      </c>
    </row>
    <row r="376" spans="1:48" ht="12.75">
      <c r="A376" s="2" t="str">
        <f>HYPERLINK("https://ibp.a2mac1.com/costing(costing:projects/details/8191/equipment/6944754)","Equipment (Injection Molding)")</f>
        <v>Equipment (Injection Molding)</v>
      </c>
      <c r="B376">
        <v>6944754</v>
      </c>
      <c r="C376">
        <v>6972215</v>
      </c>
      <c r="H376" t="s">
        <v>136</v>
      </c>
      <c r="I376">
        <v>53443.784628000001</v>
      </c>
      <c r="J376">
        <v>0</v>
      </c>
      <c r="K376">
        <v>2.27136</v>
      </c>
      <c r="L376">
        <v>0</v>
      </c>
      <c r="M376">
        <v>13.142427924783028</v>
      </c>
      <c r="N376">
        <v>0</v>
      </c>
      <c r="O376">
        <v>0.40157418659059252</v>
      </c>
      <c r="P376">
        <v>0.0256014044</v>
      </c>
      <c r="Q376">
        <v>0.0017459364886078495</v>
      </c>
      <c r="R376">
        <v>283920</v>
      </c>
      <c r="S376">
        <v>0</v>
      </c>
      <c r="T376">
        <v>0</v>
      </c>
      <c r="V376">
        <v>2737.80</v>
      </c>
      <c r="W376">
        <v>7</v>
      </c>
      <c r="X376">
        <v>85</v>
      </c>
      <c r="Y376">
        <v>3</v>
      </c>
      <c r="Z376">
        <v>4</v>
      </c>
      <c r="AA376">
        <v>5</v>
      </c>
      <c r="AB376">
        <v>0</v>
      </c>
      <c r="AC376">
        <v>0</v>
      </c>
      <c r="AD376">
        <v>0</v>
      </c>
      <c r="AE376">
        <v>0</v>
      </c>
      <c r="AF376">
        <v>0.20280000000000001</v>
      </c>
      <c r="AG376">
        <v>0</v>
      </c>
      <c r="AH376">
        <v>0</v>
      </c>
      <c r="AI376">
        <v>2</v>
      </c>
      <c r="AJ376">
        <v>0</v>
      </c>
      <c r="AK376">
        <v>0</v>
      </c>
      <c r="AL376">
        <v>80</v>
      </c>
      <c r="AM376">
        <v>35.49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76.05</v>
      </c>
      <c r="AU376">
        <v>0</v>
      </c>
      <c r="AV376">
        <v>0</v>
      </c>
    </row>
    <row r="377" spans="1:48" ht="12.75">
      <c r="A377" s="2" t="str">
        <f>HYPERLINK("https://ibp.a2mac1.com/costing(costing:projects/details/8191/equipment/6944755)","Equipment")</f>
        <v>Equipment</v>
      </c>
      <c r="B377">
        <v>6944755</v>
      </c>
      <c r="C377">
        <v>6972216</v>
      </c>
      <c r="H377" t="s">
        <v>136</v>
      </c>
      <c r="I377">
        <v>78900.735293999998</v>
      </c>
      <c r="J377">
        <v>0</v>
      </c>
      <c r="K377">
        <v>3.3532799999999998</v>
      </c>
      <c r="L377">
        <v>0</v>
      </c>
      <c r="M377">
        <v>19.402578504339441</v>
      </c>
      <c r="N377">
        <v>0</v>
      </c>
      <c r="O377">
        <v>2.5600624415447872</v>
      </c>
      <c r="P377">
        <v>0.16321067450000001</v>
      </c>
      <c r="Q377">
        <v>0.0029992958361448265</v>
      </c>
      <c r="R377">
        <v>419160</v>
      </c>
      <c r="S377">
        <v>0</v>
      </c>
      <c r="T377">
        <v>0</v>
      </c>
      <c r="V377">
        <v>4041.90</v>
      </c>
      <c r="W377">
        <v>7</v>
      </c>
      <c r="X377">
        <v>85</v>
      </c>
      <c r="Y377">
        <v>3</v>
      </c>
      <c r="Z377">
        <v>4</v>
      </c>
      <c r="AA377">
        <v>5</v>
      </c>
      <c r="AB377">
        <v>0</v>
      </c>
      <c r="AC377">
        <v>0</v>
      </c>
      <c r="AD377">
        <v>0</v>
      </c>
      <c r="AE377">
        <v>0</v>
      </c>
      <c r="AF377">
        <v>0.2994</v>
      </c>
      <c r="AG377">
        <v>0</v>
      </c>
      <c r="AH377">
        <v>0</v>
      </c>
      <c r="AI377">
        <v>2</v>
      </c>
      <c r="AJ377">
        <v>0</v>
      </c>
      <c r="AK377">
        <v>0</v>
      </c>
      <c r="AL377">
        <v>80</v>
      </c>
      <c r="AM377">
        <v>52.395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112.275</v>
      </c>
      <c r="AU377">
        <v>0</v>
      </c>
      <c r="AV377">
        <v>0</v>
      </c>
    </row>
    <row r="378" spans="1:48" ht="12.75">
      <c r="A378" s="2" t="str">
        <f>HYPERLINK("https://ibp.a2mac1.com/costing(costing:projects/details/8191/equipment/6944756)","Equipment")</f>
        <v>Equipment</v>
      </c>
      <c r="B378">
        <v>6944756</v>
      </c>
      <c r="C378">
        <v>6972217</v>
      </c>
      <c r="H378" t="s">
        <v>136</v>
      </c>
      <c r="I378">
        <v>13703.534519999999</v>
      </c>
      <c r="J378">
        <v>0</v>
      </c>
      <c r="K378">
        <v>0.58240000000000003</v>
      </c>
      <c r="L378">
        <v>0</v>
      </c>
      <c r="M378">
        <v>3.3698533140469302</v>
      </c>
      <c r="N378">
        <v>0</v>
      </c>
      <c r="O378">
        <v>0.056164221900782171</v>
      </c>
      <c r="P378">
        <v>0.003580616</v>
      </c>
      <c r="Q378">
        <v>0.0003333368997743491</v>
      </c>
      <c r="R378">
        <v>72800</v>
      </c>
      <c r="S378">
        <v>0</v>
      </c>
      <c r="T378">
        <v>0</v>
      </c>
      <c r="V378">
        <v>702</v>
      </c>
      <c r="W378">
        <v>7</v>
      </c>
      <c r="X378">
        <v>85</v>
      </c>
      <c r="Y378">
        <v>3</v>
      </c>
      <c r="Z378">
        <v>4</v>
      </c>
      <c r="AA378">
        <v>5</v>
      </c>
      <c r="AB378">
        <v>0</v>
      </c>
      <c r="AC378">
        <v>0</v>
      </c>
      <c r="AD378">
        <v>0</v>
      </c>
      <c r="AE378">
        <v>0</v>
      </c>
      <c r="AF378">
        <v>0.051999999999999998</v>
      </c>
      <c r="AG378">
        <v>0</v>
      </c>
      <c r="AH378">
        <v>0</v>
      </c>
      <c r="AI378">
        <v>2</v>
      </c>
      <c r="AJ378">
        <v>0</v>
      </c>
      <c r="AK378">
        <v>0</v>
      </c>
      <c r="AL378">
        <v>80</v>
      </c>
      <c r="AM378">
        <v>9.10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19.50</v>
      </c>
      <c r="AU378">
        <v>0</v>
      </c>
      <c r="AV378">
        <v>0</v>
      </c>
    </row>
    <row r="379" spans="1:48" ht="12.75">
      <c r="A379" s="2" t="str">
        <f>HYPERLINK("https://ibp.a2mac1.com/costing(costing:projects/details/8191/equipment/6944757)","Equipment")</f>
        <v>Equipment</v>
      </c>
      <c r="B379">
        <v>6944757</v>
      </c>
      <c r="C379">
        <v>6972218</v>
      </c>
      <c r="H379" t="s">
        <v>136</v>
      </c>
      <c r="I379">
        <v>78900.735293999998</v>
      </c>
      <c r="J379">
        <v>0</v>
      </c>
      <c r="K379">
        <v>3.3532799999999998</v>
      </c>
      <c r="L379">
        <v>0</v>
      </c>
      <c r="M379">
        <v>19.402578504339441</v>
      </c>
      <c r="N379">
        <v>0</v>
      </c>
      <c r="O379">
        <v>0.026948025700471445</v>
      </c>
      <c r="P379">
        <v>0.0017180070999999999</v>
      </c>
      <c r="Q379">
        <v>0.0029992958361448265</v>
      </c>
      <c r="R379">
        <v>419160</v>
      </c>
      <c r="S379">
        <v>0</v>
      </c>
      <c r="T379">
        <v>0</v>
      </c>
      <c r="V379">
        <v>4041.90</v>
      </c>
      <c r="W379">
        <v>7</v>
      </c>
      <c r="X379">
        <v>85</v>
      </c>
      <c r="Y379">
        <v>3</v>
      </c>
      <c r="Z379">
        <v>4</v>
      </c>
      <c r="AA379">
        <v>5</v>
      </c>
      <c r="AB379">
        <v>0</v>
      </c>
      <c r="AC379">
        <v>0</v>
      </c>
      <c r="AD379">
        <v>0</v>
      </c>
      <c r="AE379">
        <v>0</v>
      </c>
      <c r="AF379">
        <v>0.2994</v>
      </c>
      <c r="AG379">
        <v>0</v>
      </c>
      <c r="AH379">
        <v>0</v>
      </c>
      <c r="AI379">
        <v>2</v>
      </c>
      <c r="AJ379">
        <v>0</v>
      </c>
      <c r="AK379">
        <v>0</v>
      </c>
      <c r="AL379">
        <v>80</v>
      </c>
      <c r="AM379">
        <v>52.395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112.275</v>
      </c>
      <c r="AU379">
        <v>0</v>
      </c>
      <c r="AV379">
        <v>0</v>
      </c>
    </row>
    <row r="380" spans="1:48" ht="12.75">
      <c r="A380" s="2" t="str">
        <f>HYPERLINK("https://ibp.a2mac1.com/costing(costing:projects/details/8191/equipment/6944608)","Equipment")</f>
        <v>Equipment</v>
      </c>
      <c r="B380">
        <v>6944608</v>
      </c>
      <c r="C380">
        <v>6972149</v>
      </c>
      <c r="H380" t="s">
        <v>136</v>
      </c>
      <c r="I380">
        <v>78900.735293999998</v>
      </c>
      <c r="J380">
        <v>0</v>
      </c>
      <c r="K380">
        <v>3.3532799999999998</v>
      </c>
      <c r="L380">
        <v>0</v>
      </c>
      <c r="M380">
        <v>19.402578504339441</v>
      </c>
      <c r="N380">
        <v>0</v>
      </c>
      <c r="O380">
        <v>2.9642828270518589</v>
      </c>
      <c r="P380">
        <v>0.18898078099999999</v>
      </c>
      <c r="Q380">
        <v>0.0029992958361448265</v>
      </c>
      <c r="R380">
        <v>419160</v>
      </c>
      <c r="S380">
        <v>0</v>
      </c>
      <c r="T380">
        <v>0</v>
      </c>
      <c r="V380">
        <v>4041.90</v>
      </c>
      <c r="W380">
        <v>7</v>
      </c>
      <c r="X380">
        <v>85</v>
      </c>
      <c r="Y380">
        <v>3</v>
      </c>
      <c r="Z380">
        <v>4</v>
      </c>
      <c r="AA380">
        <v>5</v>
      </c>
      <c r="AB380">
        <v>0</v>
      </c>
      <c r="AC380">
        <v>0</v>
      </c>
      <c r="AD380">
        <v>0</v>
      </c>
      <c r="AE380">
        <v>0</v>
      </c>
      <c r="AF380">
        <v>0.2994</v>
      </c>
      <c r="AG380">
        <v>0</v>
      </c>
      <c r="AH380">
        <v>0</v>
      </c>
      <c r="AI380">
        <v>2</v>
      </c>
      <c r="AJ380">
        <v>0</v>
      </c>
      <c r="AK380">
        <v>0</v>
      </c>
      <c r="AL380">
        <v>80</v>
      </c>
      <c r="AM380">
        <v>52.395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112.275</v>
      </c>
      <c r="AU380">
        <v>0</v>
      </c>
      <c r="AV380">
        <v>0</v>
      </c>
    </row>
    <row r="381" spans="1:48" ht="12.75">
      <c r="A381" s="2" t="str">
        <f>HYPERLINK("https://ibp.a2mac1.com/costing(costing:projects/details/8191/equipment/6944609)","DC machine - General")</f>
        <v>DC machine - General</v>
      </c>
      <c r="B381">
        <v>6944609</v>
      </c>
      <c r="C381">
        <v>6972150</v>
      </c>
      <c r="E381" t="s">
        <v>659</v>
      </c>
      <c r="H381" t="s">
        <v>136</v>
      </c>
      <c r="I381">
        <v>116914.84457142858</v>
      </c>
      <c r="J381">
        <v>0</v>
      </c>
      <c r="K381">
        <v>3.60</v>
      </c>
      <c r="L381">
        <v>0</v>
      </c>
      <c r="M381">
        <v>27.497982091197134</v>
      </c>
      <c r="N381">
        <v>0</v>
      </c>
      <c r="O381">
        <v>2.8261814927063722</v>
      </c>
      <c r="P381">
        <v>0.42462433333333333</v>
      </c>
      <c r="Q381">
        <v>0.011732166376415484</v>
      </c>
      <c r="R381">
        <v>635568</v>
      </c>
      <c r="S381">
        <v>0</v>
      </c>
      <c r="T381">
        <v>0</v>
      </c>
      <c r="V381">
        <v>10800</v>
      </c>
      <c r="W381">
        <v>7</v>
      </c>
      <c r="X381">
        <v>85</v>
      </c>
      <c r="Y381">
        <v>3</v>
      </c>
      <c r="Z381">
        <v>4</v>
      </c>
      <c r="AA381">
        <v>5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3</v>
      </c>
      <c r="AJ381">
        <v>0</v>
      </c>
      <c r="AK381">
        <v>0</v>
      </c>
      <c r="AL381">
        <v>100</v>
      </c>
      <c r="AM381">
        <v>45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100</v>
      </c>
      <c r="AU381">
        <v>0</v>
      </c>
      <c r="AV381">
        <v>0</v>
      </c>
    </row>
    <row r="382" spans="1:48" ht="12.75">
      <c r="A382" s="2" t="str">
        <f>HYPERLINK("https://ibp.a2mac1.com/costing(costing:projects/details/8191/equipment/6944610)","No.01 - Fabric Cutting")</f>
        <v>No.01 - Fabric Cutting</v>
      </c>
      <c r="B382">
        <v>6944610</v>
      </c>
      <c r="C382">
        <v>6972151</v>
      </c>
      <c r="H382" t="s">
        <v>2693</v>
      </c>
      <c r="I382">
        <v>16787.268</v>
      </c>
      <c r="J382">
        <v>0</v>
      </c>
      <c r="K382">
        <v>0.80</v>
      </c>
      <c r="L382">
        <v>0</v>
      </c>
      <c r="M382">
        <v>4.3820102860816457</v>
      </c>
      <c r="N382">
        <v>0</v>
      </c>
      <c r="O382">
        <v>0.040655317654201939</v>
      </c>
      <c r="P382">
        <v>0.076661906666666668</v>
      </c>
      <c r="Q382">
        <v>0.00025413375429122467</v>
      </c>
      <c r="R382">
        <v>110000</v>
      </c>
      <c r="S382">
        <v>0</v>
      </c>
      <c r="T382">
        <v>800000</v>
      </c>
      <c r="V382">
        <v>900</v>
      </c>
      <c r="W382">
        <v>10</v>
      </c>
      <c r="X382">
        <v>85</v>
      </c>
      <c r="Y382">
        <v>3</v>
      </c>
      <c r="Z382">
        <v>4</v>
      </c>
      <c r="AA382">
        <v>5</v>
      </c>
      <c r="AB382">
        <v>0</v>
      </c>
      <c r="AC382">
        <v>0</v>
      </c>
      <c r="AD382">
        <v>0</v>
      </c>
      <c r="AE382">
        <v>0</v>
      </c>
      <c r="AF382">
        <v>2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100</v>
      </c>
      <c r="AM382">
        <v>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50</v>
      </c>
      <c r="AU382">
        <v>0</v>
      </c>
      <c r="AV382">
        <v>0</v>
      </c>
    </row>
    <row r="383" spans="1:48" ht="12.75">
      <c r="A383" s="2" t="str">
        <f>HYPERLINK("https://ibp.a2mac1.com/costing(costing:projects/details/8191/equipment/6944611)","No.02 - Fabric Sewing")</f>
        <v>No.02 - Fabric Sewing</v>
      </c>
      <c r="B383">
        <v>6944611</v>
      </c>
      <c r="C383">
        <v>6972152</v>
      </c>
      <c r="E383" t="s">
        <v>9</v>
      </c>
      <c r="F383" t="s">
        <v>9</v>
      </c>
      <c r="G383" t="s">
        <v>9</v>
      </c>
      <c r="H383" t="s">
        <v>79</v>
      </c>
      <c r="I383">
        <v>1969.9257600000001</v>
      </c>
      <c r="J383">
        <v>0</v>
      </c>
      <c r="K383">
        <v>0.16</v>
      </c>
      <c r="L383">
        <v>0</v>
      </c>
      <c r="M383">
        <v>0.55696653166184507</v>
      </c>
      <c r="N383">
        <v>0</v>
      </c>
      <c r="O383">
        <v>0.16948955697246329</v>
      </c>
      <c r="P383">
        <v>3.8221857006666666</v>
      </c>
      <c r="Q383">
        <v>0.00019675809797492768</v>
      </c>
      <c r="R383">
        <v>10000</v>
      </c>
      <c r="S383">
        <v>0</v>
      </c>
      <c r="T383">
        <v>800000</v>
      </c>
      <c r="U383" t="s">
        <v>9</v>
      </c>
      <c r="V383">
        <v>900</v>
      </c>
      <c r="W383">
        <v>10</v>
      </c>
      <c r="X383">
        <v>85</v>
      </c>
      <c r="Y383">
        <v>3</v>
      </c>
      <c r="Z383">
        <v>4</v>
      </c>
      <c r="AA383">
        <v>5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100</v>
      </c>
      <c r="AM383">
        <v>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16</v>
      </c>
      <c r="AU383">
        <v>0</v>
      </c>
      <c r="AV383">
        <v>0</v>
      </c>
    </row>
    <row r="384" spans="1:48" ht="12.75">
      <c r="A384" s="2" t="str">
        <f>HYPERLINK("https://ibp.a2mac1.com/costing(costing:projects/details/8191/equipment/6944612)","Equipment ")</f>
        <v xml:space="preserve">Equipment </v>
      </c>
      <c r="B384">
        <v>6944612</v>
      </c>
      <c r="C384">
        <v>6972153</v>
      </c>
      <c r="H384" t="s">
        <v>136</v>
      </c>
      <c r="I384">
        <v>115663.101939</v>
      </c>
      <c r="J384">
        <v>0</v>
      </c>
      <c r="K384">
        <v>4.91568</v>
      </c>
      <c r="L384">
        <v>0</v>
      </c>
      <c r="M384">
        <v>28.44285806798457</v>
      </c>
      <c r="N384">
        <v>0</v>
      </c>
      <c r="O384">
        <v>3.5553572584980713</v>
      </c>
      <c r="P384">
        <v>0.22666332149999999</v>
      </c>
      <c r="Q384">
        <v>0.0052895135425586465</v>
      </c>
      <c r="R384">
        <v>614460</v>
      </c>
      <c r="S384">
        <v>0</v>
      </c>
      <c r="T384">
        <v>0</v>
      </c>
      <c r="V384">
        <v>5925.15</v>
      </c>
      <c r="W384">
        <v>7</v>
      </c>
      <c r="X384">
        <v>85</v>
      </c>
      <c r="Y384">
        <v>3</v>
      </c>
      <c r="Z384">
        <v>4</v>
      </c>
      <c r="AA384">
        <v>5</v>
      </c>
      <c r="AB384">
        <v>0</v>
      </c>
      <c r="AC384">
        <v>0</v>
      </c>
      <c r="AD384">
        <v>0</v>
      </c>
      <c r="AE384">
        <v>0</v>
      </c>
      <c r="AF384">
        <v>0.43890000000000001</v>
      </c>
      <c r="AG384">
        <v>0</v>
      </c>
      <c r="AH384">
        <v>0</v>
      </c>
      <c r="AI384">
        <v>2</v>
      </c>
      <c r="AJ384">
        <v>0</v>
      </c>
      <c r="AK384">
        <v>0</v>
      </c>
      <c r="AL384">
        <v>80</v>
      </c>
      <c r="AM384">
        <v>76.8075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164.5875</v>
      </c>
      <c r="AU384">
        <v>0</v>
      </c>
      <c r="AV384">
        <v>0</v>
      </c>
    </row>
    <row r="385" spans="1:48" ht="12.75">
      <c r="A385" s="2" t="str">
        <f>HYPERLINK("https://ibp.a2mac1.com/costing(costing:projects/details/8191/equipment/6944613)","Equipment (Injection Molding)")</f>
        <v>Equipment (Injection Molding)</v>
      </c>
      <c r="B385">
        <v>6944613</v>
      </c>
      <c r="C385">
        <v>6972154</v>
      </c>
      <c r="H385" t="s">
        <v>136</v>
      </c>
      <c r="I385">
        <v>1686.5888640000001</v>
      </c>
      <c r="J385">
        <v>0</v>
      </c>
      <c r="K385">
        <v>0.071679999999999994</v>
      </c>
      <c r="L385">
        <v>0</v>
      </c>
      <c r="M385">
        <v>0.41475117711346832</v>
      </c>
      <c r="N385">
        <v>0</v>
      </c>
      <c r="O385">
        <v>0.023041732061859353</v>
      </c>
      <c r="P385">
        <v>0.0014689706666666667</v>
      </c>
      <c r="Q385">
        <v>9.1926832237608489E-06</v>
      </c>
      <c r="R385">
        <v>8960</v>
      </c>
      <c r="S385">
        <v>0</v>
      </c>
      <c r="T385">
        <v>0</v>
      </c>
      <c r="V385">
        <v>86.40</v>
      </c>
      <c r="W385">
        <v>7</v>
      </c>
      <c r="X385">
        <v>85</v>
      </c>
      <c r="Y385">
        <v>3</v>
      </c>
      <c r="Z385">
        <v>4</v>
      </c>
      <c r="AA385">
        <v>5</v>
      </c>
      <c r="AB385">
        <v>0</v>
      </c>
      <c r="AC385">
        <v>0</v>
      </c>
      <c r="AD385">
        <v>0</v>
      </c>
      <c r="AE385">
        <v>0</v>
      </c>
      <c r="AF385">
        <v>0.0064000000000000003</v>
      </c>
      <c r="AG385">
        <v>0</v>
      </c>
      <c r="AH385">
        <v>0</v>
      </c>
      <c r="AI385">
        <v>2</v>
      </c>
      <c r="AJ385">
        <v>0</v>
      </c>
      <c r="AK385">
        <v>0</v>
      </c>
      <c r="AL385">
        <v>80</v>
      </c>
      <c r="AM385">
        <v>1.12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2.40</v>
      </c>
      <c r="AU385">
        <v>0</v>
      </c>
      <c r="AV385">
        <v>0</v>
      </c>
    </row>
    <row r="386" spans="1:48" ht="12.75">
      <c r="A386" s="2" t="str">
        <f>HYPERLINK("https://ibp.a2mac1.com/costing(costing:projects/details/8191/equipment/6944442)","Equipment (Injection Molding)")</f>
        <v>Equipment (Injection Molding)</v>
      </c>
      <c r="B386">
        <v>6944442</v>
      </c>
      <c r="C386">
        <v>6971943</v>
      </c>
      <c r="H386" t="s">
        <v>136</v>
      </c>
      <c r="I386">
        <v>1291.2945990000001</v>
      </c>
      <c r="J386">
        <v>0</v>
      </c>
      <c r="K386">
        <v>0.054879999999999998</v>
      </c>
      <c r="L386">
        <v>0</v>
      </c>
      <c r="M386">
        <v>0.31754386997749917</v>
      </c>
      <c r="N386">
        <v>0</v>
      </c>
      <c r="O386">
        <v>0.0052923978329583203</v>
      </c>
      <c r="P386">
        <v>0.00033740419999999998</v>
      </c>
      <c r="Q386">
        <v>1.4022710658325097E-05</v>
      </c>
      <c r="R386">
        <v>6860</v>
      </c>
      <c r="S386">
        <v>0</v>
      </c>
      <c r="T386">
        <v>0</v>
      </c>
      <c r="V386">
        <v>66.15</v>
      </c>
      <c r="W386">
        <v>7</v>
      </c>
      <c r="X386">
        <v>85</v>
      </c>
      <c r="Y386">
        <v>3</v>
      </c>
      <c r="Z386">
        <v>4</v>
      </c>
      <c r="AA386">
        <v>5</v>
      </c>
      <c r="AB386">
        <v>0</v>
      </c>
      <c r="AC386">
        <v>0</v>
      </c>
      <c r="AD386">
        <v>0</v>
      </c>
      <c r="AE386">
        <v>0</v>
      </c>
      <c r="AF386">
        <v>0.0048999999999999998</v>
      </c>
      <c r="AG386">
        <v>0</v>
      </c>
      <c r="AH386">
        <v>0</v>
      </c>
      <c r="AI386">
        <v>2</v>
      </c>
      <c r="AJ386">
        <v>0</v>
      </c>
      <c r="AK386">
        <v>0</v>
      </c>
      <c r="AL386">
        <v>80</v>
      </c>
      <c r="AM386">
        <v>0.8575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1.8375</v>
      </c>
      <c r="AU386">
        <v>0</v>
      </c>
      <c r="AV386">
        <v>0</v>
      </c>
    </row>
    <row r="387" spans="1:48" ht="12.75">
      <c r="A387" s="2" t="str">
        <f>HYPERLINK("https://ibp.a2mac1.com/costing(costing:projects/details/8191/equipment/6944262)","DC Machine")</f>
        <v>DC Machine</v>
      </c>
      <c r="B387">
        <v>6944262</v>
      </c>
      <c r="C387">
        <v>6971834</v>
      </c>
      <c r="G387" t="s">
        <v>2871</v>
      </c>
      <c r="H387" t="s">
        <v>136</v>
      </c>
      <c r="I387">
        <v>15437.267994600001</v>
      </c>
      <c r="J387">
        <v>0</v>
      </c>
      <c r="K387">
        <v>0.51768000000000003</v>
      </c>
      <c r="L387">
        <v>0</v>
      </c>
      <c r="M387">
        <v>3.80235823731919</v>
      </c>
      <c r="N387">
        <v>0</v>
      </c>
      <c r="O387">
        <v>1.4575706576390228</v>
      </c>
      <c r="P387">
        <v>4.8147586666666671</v>
      </c>
      <c r="Q387">
        <v>0.00040906495593297975</v>
      </c>
      <c r="R387">
        <v>99999.999960000001</v>
      </c>
      <c r="S387">
        <v>0</v>
      </c>
      <c r="T387">
        <v>0</v>
      </c>
      <c r="V387">
        <v>900</v>
      </c>
      <c r="W387">
        <v>10</v>
      </c>
      <c r="X387">
        <v>85</v>
      </c>
      <c r="Y387">
        <v>3</v>
      </c>
      <c r="Z387">
        <v>4</v>
      </c>
      <c r="AA387">
        <v>5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20</v>
      </c>
      <c r="AN387">
        <v>0</v>
      </c>
      <c r="AO387">
        <v>1</v>
      </c>
      <c r="AP387">
        <v>1</v>
      </c>
      <c r="AQ387">
        <v>1</v>
      </c>
      <c r="AR387">
        <v>0</v>
      </c>
      <c r="AS387">
        <v>0</v>
      </c>
      <c r="AT387">
        <v>50</v>
      </c>
      <c r="AU387">
        <v>0</v>
      </c>
      <c r="AV387">
        <v>0</v>
      </c>
    </row>
    <row r="388" spans="1:48" ht="12.75">
      <c r="A388" s="2" t="str">
        <f>HYPERLINK("https://ibp.a2mac1.com/costing(costing:projects/details/8191/equipment/6946471)","DC machine - General")</f>
        <v>DC machine - General</v>
      </c>
      <c r="B388">
        <v>6946471</v>
      </c>
      <c r="C388">
        <v>6973913</v>
      </c>
      <c r="E388" t="s">
        <v>659</v>
      </c>
      <c r="H388" t="s">
        <v>136</v>
      </c>
      <c r="I388">
        <v>116914.84456431429</v>
      </c>
      <c r="J388">
        <v>0</v>
      </c>
      <c r="K388">
        <v>3.60</v>
      </c>
      <c r="L388">
        <v>0</v>
      </c>
      <c r="M388">
        <v>27.497982089732286</v>
      </c>
      <c r="N388">
        <v>0</v>
      </c>
      <c r="O388">
        <v>8.8604608955804025</v>
      </c>
      <c r="P388">
        <v>1.3312546666666667</v>
      </c>
      <c r="Q388">
        <v>0.011732166376151812</v>
      </c>
      <c r="R388">
        <v>635567.99996000004</v>
      </c>
      <c r="S388">
        <v>0</v>
      </c>
      <c r="T388">
        <v>0</v>
      </c>
      <c r="V388">
        <v>10800</v>
      </c>
      <c r="W388">
        <v>7</v>
      </c>
      <c r="X388">
        <v>85</v>
      </c>
      <c r="Y388">
        <v>3</v>
      </c>
      <c r="Z388">
        <v>4</v>
      </c>
      <c r="AA388">
        <v>5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3</v>
      </c>
      <c r="AJ388">
        <v>0</v>
      </c>
      <c r="AK388">
        <v>0</v>
      </c>
      <c r="AL388">
        <v>100</v>
      </c>
      <c r="AM388">
        <v>45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100</v>
      </c>
      <c r="AU388">
        <v>0</v>
      </c>
      <c r="AV388">
        <v>0</v>
      </c>
    </row>
    <row r="389" spans="1:48" ht="12.75">
      <c r="A389" s="2" t="str">
        <f>HYPERLINK("https://ibp.a2mac1.com/costing(costing:projects/details/8191/equipment/6946472)","DC machine - General")</f>
        <v>DC machine - General</v>
      </c>
      <c r="B389">
        <v>6946472</v>
      </c>
      <c r="C389">
        <v>6973914</v>
      </c>
      <c r="E389" t="s">
        <v>659</v>
      </c>
      <c r="H389" t="s">
        <v>136</v>
      </c>
      <c r="I389">
        <v>116914.84456431429</v>
      </c>
      <c r="J389">
        <v>0</v>
      </c>
      <c r="K389">
        <v>3.60</v>
      </c>
      <c r="L389">
        <v>0</v>
      </c>
      <c r="M389">
        <v>27.497982089732286</v>
      </c>
      <c r="N389">
        <v>0</v>
      </c>
      <c r="O389">
        <v>0.29025647761384082</v>
      </c>
      <c r="P389">
        <v>0.043610066666666669</v>
      </c>
      <c r="Q389">
        <v>0.011732166376151812</v>
      </c>
      <c r="R389">
        <v>635567.99996000004</v>
      </c>
      <c r="S389">
        <v>0</v>
      </c>
      <c r="T389">
        <v>0</v>
      </c>
      <c r="V389">
        <v>10800</v>
      </c>
      <c r="W389">
        <v>7</v>
      </c>
      <c r="X389">
        <v>85</v>
      </c>
      <c r="Y389">
        <v>3</v>
      </c>
      <c r="Z389">
        <v>4</v>
      </c>
      <c r="AA389">
        <v>5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3</v>
      </c>
      <c r="AJ389">
        <v>0</v>
      </c>
      <c r="AK389">
        <v>0</v>
      </c>
      <c r="AL389">
        <v>100</v>
      </c>
      <c r="AM389">
        <v>45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100</v>
      </c>
      <c r="AU389">
        <v>0</v>
      </c>
      <c r="AV389">
        <v>0</v>
      </c>
    </row>
    <row r="390" spans="1:48" ht="12.75">
      <c r="A390" s="2" t="str">
        <f>HYPERLINK("https://ibp.a2mac1.com/costing(costing:projects/details/8191/equipment/6946473)","Equipment (Injection Molding)")</f>
        <v>Equipment (Injection Molding)</v>
      </c>
      <c r="B390">
        <v>6946473</v>
      </c>
      <c r="C390">
        <v>6973915</v>
      </c>
      <c r="H390" t="s">
        <v>136</v>
      </c>
      <c r="I390">
        <v>14546.828952</v>
      </c>
      <c r="J390">
        <v>0</v>
      </c>
      <c r="K390">
        <v>0.61824000000000001</v>
      </c>
      <c r="L390">
        <v>0</v>
      </c>
      <c r="M390">
        <v>3.5772289026036646</v>
      </c>
      <c r="N390">
        <v>0</v>
      </c>
      <c r="O390">
        <v>0.059620481710061075</v>
      </c>
      <c r="P390">
        <v>0.0038009616</v>
      </c>
      <c r="Q390">
        <v>0.0003564255445703375</v>
      </c>
      <c r="R390">
        <v>77280</v>
      </c>
      <c r="S390">
        <v>0</v>
      </c>
      <c r="T390">
        <v>0</v>
      </c>
      <c r="V390">
        <v>745.20</v>
      </c>
      <c r="W390">
        <v>7</v>
      </c>
      <c r="X390">
        <v>85</v>
      </c>
      <c r="Y390">
        <v>3</v>
      </c>
      <c r="Z390">
        <v>4</v>
      </c>
      <c r="AA390">
        <v>5</v>
      </c>
      <c r="AB390">
        <v>0</v>
      </c>
      <c r="AC390">
        <v>0</v>
      </c>
      <c r="AD390">
        <v>0</v>
      </c>
      <c r="AE390">
        <v>0</v>
      </c>
      <c r="AF390">
        <v>0.055199999999999999</v>
      </c>
      <c r="AG390">
        <v>0</v>
      </c>
      <c r="AH390">
        <v>0</v>
      </c>
      <c r="AI390">
        <v>2</v>
      </c>
      <c r="AJ390">
        <v>0</v>
      </c>
      <c r="AK390">
        <v>0</v>
      </c>
      <c r="AL390">
        <v>80</v>
      </c>
      <c r="AM390">
        <v>9.66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20.70</v>
      </c>
      <c r="AU390">
        <v>0</v>
      </c>
      <c r="AV390">
        <v>0</v>
      </c>
    </row>
    <row r="391" spans="1:48" ht="12.75">
      <c r="A391" s="2" t="str">
        <f>HYPERLINK("https://ibp.a2mac1.com/costing(costing:projects/details/8191/equipment/6946474)","Equipment (Injection Molding)")</f>
        <v>Equipment (Injection Molding)</v>
      </c>
      <c r="B391">
        <v>6946474</v>
      </c>
      <c r="C391">
        <v>6973916</v>
      </c>
      <c r="H391" t="s">
        <v>136</v>
      </c>
      <c r="I391">
        <v>3847.5308460000001</v>
      </c>
      <c r="J391">
        <v>0</v>
      </c>
      <c r="K391">
        <v>0.16352</v>
      </c>
      <c r="L391">
        <v>0</v>
      </c>
      <c r="M391">
        <v>0.94615112279009961</v>
      </c>
      <c r="N391">
        <v>0</v>
      </c>
      <c r="O391">
        <v>0.015769185379834995</v>
      </c>
      <c r="P391">
        <v>0.0010053268</v>
      </c>
      <c r="Q391">
        <v>8.5628883238365476E-05</v>
      </c>
      <c r="R391">
        <v>20440</v>
      </c>
      <c r="S391">
        <v>0</v>
      </c>
      <c r="T391">
        <v>0</v>
      </c>
      <c r="V391">
        <v>197.10</v>
      </c>
      <c r="W391">
        <v>7</v>
      </c>
      <c r="X391">
        <v>85</v>
      </c>
      <c r="Y391">
        <v>3</v>
      </c>
      <c r="Z391">
        <v>4</v>
      </c>
      <c r="AA391">
        <v>5</v>
      </c>
      <c r="AB391">
        <v>0</v>
      </c>
      <c r="AC391">
        <v>0</v>
      </c>
      <c r="AD391">
        <v>0</v>
      </c>
      <c r="AE391">
        <v>0</v>
      </c>
      <c r="AF391">
        <v>0.0146</v>
      </c>
      <c r="AG391">
        <v>0</v>
      </c>
      <c r="AH391">
        <v>0</v>
      </c>
      <c r="AI391">
        <v>2</v>
      </c>
      <c r="AJ391">
        <v>0</v>
      </c>
      <c r="AK391">
        <v>0</v>
      </c>
      <c r="AL391">
        <v>80</v>
      </c>
      <c r="AM391">
        <v>2.555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5.475</v>
      </c>
      <c r="AU391">
        <v>0</v>
      </c>
      <c r="AV391">
        <v>0</v>
      </c>
    </row>
    <row r="392" spans="1:48" ht="12.75">
      <c r="A392" s="2" t="str">
        <f>HYPERLINK("https://ibp.a2mac1.com/costing(costing:projects/details/8191/equipment/6946475)","Equipment (Injection Molding)")</f>
        <v>Equipment (Injection Molding)</v>
      </c>
      <c r="B392">
        <v>6946475</v>
      </c>
      <c r="C392">
        <v>6973917</v>
      </c>
      <c r="H392" t="s">
        <v>136</v>
      </c>
      <c r="I392">
        <v>8749.1797320000005</v>
      </c>
      <c r="J392">
        <v>0</v>
      </c>
      <c r="K392">
        <v>0.37184</v>
      </c>
      <c r="L392">
        <v>0</v>
      </c>
      <c r="M392">
        <v>2.1515217312761168</v>
      </c>
      <c r="N392">
        <v>0</v>
      </c>
      <c r="O392">
        <v>0.035858695521268615</v>
      </c>
      <c r="P392">
        <v>0.0022860856</v>
      </c>
      <c r="Q392">
        <v>0.00020372185293263259</v>
      </c>
      <c r="R392">
        <v>46480</v>
      </c>
      <c r="S392">
        <v>0</v>
      </c>
      <c r="T392">
        <v>0</v>
      </c>
      <c r="V392">
        <v>448.20</v>
      </c>
      <c r="W392">
        <v>7</v>
      </c>
      <c r="X392">
        <v>85</v>
      </c>
      <c r="Y392">
        <v>3</v>
      </c>
      <c r="Z392">
        <v>4</v>
      </c>
      <c r="AA392">
        <v>5</v>
      </c>
      <c r="AB392">
        <v>0</v>
      </c>
      <c r="AC392">
        <v>0</v>
      </c>
      <c r="AD392">
        <v>0</v>
      </c>
      <c r="AE392">
        <v>0</v>
      </c>
      <c r="AF392">
        <v>0.0332</v>
      </c>
      <c r="AG392">
        <v>0</v>
      </c>
      <c r="AH392">
        <v>0</v>
      </c>
      <c r="AI392">
        <v>2</v>
      </c>
      <c r="AJ392">
        <v>0</v>
      </c>
      <c r="AK392">
        <v>0</v>
      </c>
      <c r="AL392">
        <v>80</v>
      </c>
      <c r="AM392">
        <v>5.81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12.45</v>
      </c>
      <c r="AU392">
        <v>0</v>
      </c>
      <c r="AV392">
        <v>0</v>
      </c>
    </row>
    <row r="393" spans="1:48" ht="12.75">
      <c r="A393" s="2" t="str">
        <f>HYPERLINK("https://ibp.a2mac1.com/costing(costing:projects/details/8191/equipment/6946557)","Equipment (Injection Molding)")</f>
        <v>Equipment (Injection Molding)</v>
      </c>
      <c r="B393">
        <v>6946557</v>
      </c>
      <c r="C393">
        <v>6973985</v>
      </c>
      <c r="H393" t="s">
        <v>136</v>
      </c>
      <c r="I393">
        <v>38896.955675999998</v>
      </c>
      <c r="J393">
        <v>0</v>
      </c>
      <c r="K393">
        <v>1.6531199999999999</v>
      </c>
      <c r="L393">
        <v>0</v>
      </c>
      <c r="M393">
        <v>9.5651990221793639</v>
      </c>
      <c r="N393">
        <v>0</v>
      </c>
      <c r="O393">
        <v>0.1594199837029894</v>
      </c>
      <c r="P393">
        <v>0.0101634408</v>
      </c>
      <c r="Q393">
        <v>0.0011519114003265766</v>
      </c>
      <c r="R393">
        <v>206640</v>
      </c>
      <c r="S393">
        <v>0</v>
      </c>
      <c r="T393">
        <v>0</v>
      </c>
      <c r="V393">
        <v>1992.60</v>
      </c>
      <c r="W393">
        <v>7</v>
      </c>
      <c r="X393">
        <v>85</v>
      </c>
      <c r="Y393">
        <v>3</v>
      </c>
      <c r="Z393">
        <v>4</v>
      </c>
      <c r="AA393">
        <v>5</v>
      </c>
      <c r="AB393">
        <v>0</v>
      </c>
      <c r="AC393">
        <v>0</v>
      </c>
      <c r="AD393">
        <v>0</v>
      </c>
      <c r="AE393">
        <v>0</v>
      </c>
      <c r="AF393">
        <v>0.14760000000000001</v>
      </c>
      <c r="AG393">
        <v>0</v>
      </c>
      <c r="AH393">
        <v>0</v>
      </c>
      <c r="AI393">
        <v>2</v>
      </c>
      <c r="AJ393">
        <v>0</v>
      </c>
      <c r="AK393">
        <v>0</v>
      </c>
      <c r="AL393">
        <v>80</v>
      </c>
      <c r="AM393">
        <v>25.83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55.35</v>
      </c>
      <c r="AU393">
        <v>0</v>
      </c>
      <c r="AV393">
        <v>0</v>
      </c>
    </row>
    <row r="394" spans="1:48" ht="12.75">
      <c r="A394" s="2" t="str">
        <f>HYPERLINK("https://ibp.a2mac1.com/costing(costing:projects/details/8191/equipment/6946558)","Equipment (Injection Molding)")</f>
        <v>Equipment (Injection Molding)</v>
      </c>
      <c r="B394">
        <v>6946558</v>
      </c>
      <c r="C394">
        <v>6973986</v>
      </c>
      <c r="H394" t="s">
        <v>136</v>
      </c>
      <c r="I394">
        <v>20080.948661999999</v>
      </c>
      <c r="J394">
        <v>0</v>
      </c>
      <c r="K394">
        <v>0.85343999999999998</v>
      </c>
      <c r="L394">
        <v>0</v>
      </c>
      <c r="M394">
        <v>4.9381312025072326</v>
      </c>
      <c r="N394">
        <v>0</v>
      </c>
      <c r="O394">
        <v>0.082302186708453878</v>
      </c>
      <c r="P394">
        <v>0.0052469795999999999</v>
      </c>
      <c r="Q394">
        <v>0.00051535488906698647</v>
      </c>
      <c r="R394">
        <v>106680</v>
      </c>
      <c r="S394">
        <v>0</v>
      </c>
      <c r="T394">
        <v>0</v>
      </c>
      <c r="V394">
        <v>1028.70</v>
      </c>
      <c r="W394">
        <v>7</v>
      </c>
      <c r="X394">
        <v>85</v>
      </c>
      <c r="Y394">
        <v>3</v>
      </c>
      <c r="Z394">
        <v>4</v>
      </c>
      <c r="AA394">
        <v>5</v>
      </c>
      <c r="AB394">
        <v>0</v>
      </c>
      <c r="AC394">
        <v>0</v>
      </c>
      <c r="AD394">
        <v>0</v>
      </c>
      <c r="AE394">
        <v>0</v>
      </c>
      <c r="AF394">
        <v>0.076200000000000004</v>
      </c>
      <c r="AG394">
        <v>0</v>
      </c>
      <c r="AH394">
        <v>0</v>
      </c>
      <c r="AI394">
        <v>2</v>
      </c>
      <c r="AJ394">
        <v>0</v>
      </c>
      <c r="AK394">
        <v>0</v>
      </c>
      <c r="AL394">
        <v>80</v>
      </c>
      <c r="AM394">
        <v>13.335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28.575</v>
      </c>
      <c r="AU394">
        <v>0</v>
      </c>
      <c r="AV394">
        <v>0</v>
      </c>
    </row>
    <row r="395" spans="1:48" ht="12.75">
      <c r="A395" s="2" t="str">
        <f>HYPERLINK("https://ibp.a2mac1.com/costing(costing:projects/details/8191/equipment/6946559)","Equipment (Injection Molding)")</f>
        <v>Equipment (Injection Molding)</v>
      </c>
      <c r="B395">
        <v>6946559</v>
      </c>
      <c r="C395">
        <v>6973987</v>
      </c>
      <c r="H395" t="s">
        <v>136</v>
      </c>
      <c r="I395">
        <v>12596.710578</v>
      </c>
      <c r="J395">
        <v>0</v>
      </c>
      <c r="K395">
        <v>0.53535999999999995</v>
      </c>
      <c r="L395">
        <v>0</v>
      </c>
      <c r="M395">
        <v>3.0976728540662166</v>
      </c>
      <c r="N395">
        <v>0</v>
      </c>
      <c r="O395">
        <v>0.051627880901103609</v>
      </c>
      <c r="P395">
        <v>0.0032914124000000002</v>
      </c>
      <c r="Q395">
        <v>0.00030348623394548218</v>
      </c>
      <c r="R395">
        <v>66920</v>
      </c>
      <c r="S395">
        <v>0</v>
      </c>
      <c r="T395">
        <v>0</v>
      </c>
      <c r="V395">
        <v>645.30</v>
      </c>
      <c r="W395">
        <v>7</v>
      </c>
      <c r="X395">
        <v>85</v>
      </c>
      <c r="Y395">
        <v>3</v>
      </c>
      <c r="Z395">
        <v>4</v>
      </c>
      <c r="AA395">
        <v>5</v>
      </c>
      <c r="AB395">
        <v>0</v>
      </c>
      <c r="AC395">
        <v>0</v>
      </c>
      <c r="AD395">
        <v>0</v>
      </c>
      <c r="AE395">
        <v>0</v>
      </c>
      <c r="AF395">
        <v>0.047800000000000002</v>
      </c>
      <c r="AG395">
        <v>0</v>
      </c>
      <c r="AH395">
        <v>0</v>
      </c>
      <c r="AI395">
        <v>2</v>
      </c>
      <c r="AJ395">
        <v>0</v>
      </c>
      <c r="AK395">
        <v>0</v>
      </c>
      <c r="AL395">
        <v>80</v>
      </c>
      <c r="AM395">
        <v>8.365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17.925</v>
      </c>
      <c r="AU395">
        <v>0</v>
      </c>
      <c r="AV395">
        <v>0</v>
      </c>
    </row>
    <row r="396" spans="1:48" ht="12.75">
      <c r="A396" s="2" t="str">
        <f>HYPERLINK("https://ibp.a2mac1.com/costing(costing:projects/details/8191/equipment/6946560)","DC machine - General")</f>
        <v>DC machine - General</v>
      </c>
      <c r="B396">
        <v>6946560</v>
      </c>
      <c r="C396">
        <v>6973988</v>
      </c>
      <c r="E396" t="s">
        <v>659</v>
      </c>
      <c r="H396" t="s">
        <v>136</v>
      </c>
      <c r="I396">
        <v>116914.84456431429</v>
      </c>
      <c r="J396">
        <v>0</v>
      </c>
      <c r="K396">
        <v>3.60</v>
      </c>
      <c r="L396">
        <v>0</v>
      </c>
      <c r="M396">
        <v>27.497982089732286</v>
      </c>
      <c r="N396">
        <v>0</v>
      </c>
      <c r="O396">
        <v>0.042010805970424329</v>
      </c>
      <c r="P396">
        <v>0.0063119833333333333</v>
      </c>
      <c r="Q396">
        <v>0.011732166376151812</v>
      </c>
      <c r="R396">
        <v>635567.99996000004</v>
      </c>
      <c r="S396">
        <v>0</v>
      </c>
      <c r="T396">
        <v>0</v>
      </c>
      <c r="V396">
        <v>10800</v>
      </c>
      <c r="W396">
        <v>7</v>
      </c>
      <c r="X396">
        <v>85</v>
      </c>
      <c r="Y396">
        <v>3</v>
      </c>
      <c r="Z396">
        <v>4</v>
      </c>
      <c r="AA396">
        <v>5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3</v>
      </c>
      <c r="AJ396">
        <v>0</v>
      </c>
      <c r="AK396">
        <v>0</v>
      </c>
      <c r="AL396">
        <v>100</v>
      </c>
      <c r="AM396">
        <v>45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100</v>
      </c>
      <c r="AU396">
        <v>0</v>
      </c>
      <c r="AV396">
        <v>0</v>
      </c>
    </row>
    <row r="397" spans="1:48" ht="12.75">
      <c r="A397" s="2" t="str">
        <f>HYPERLINK("https://ibp.a2mac1.com/costing(costing:projects/details/8191/equipment/6946561)","Equipment (Injection Molding)")</f>
        <v>Equipment (Injection Molding)</v>
      </c>
      <c r="B397">
        <v>6946561</v>
      </c>
      <c r="C397">
        <v>6973989</v>
      </c>
      <c r="H397" t="s">
        <v>136</v>
      </c>
      <c r="I397">
        <v>58661.668925999998</v>
      </c>
      <c r="J397">
        <v>0</v>
      </c>
      <c r="K397">
        <v>2.4931199999999998</v>
      </c>
      <c r="L397">
        <v>0</v>
      </c>
      <c r="M397">
        <v>14.425564378977821</v>
      </c>
      <c r="N397">
        <v>0</v>
      </c>
      <c r="O397">
        <v>0.24042607298296367</v>
      </c>
      <c r="P397">
        <v>0.015327790799999999</v>
      </c>
      <c r="Q397">
        <v>0.0019806636327211039</v>
      </c>
      <c r="R397">
        <v>311640</v>
      </c>
      <c r="S397">
        <v>0</v>
      </c>
      <c r="T397">
        <v>0</v>
      </c>
      <c r="V397">
        <v>3005.10</v>
      </c>
      <c r="W397">
        <v>7</v>
      </c>
      <c r="X397">
        <v>85</v>
      </c>
      <c r="Y397">
        <v>3</v>
      </c>
      <c r="Z397">
        <v>4</v>
      </c>
      <c r="AA397">
        <v>5</v>
      </c>
      <c r="AB397">
        <v>0</v>
      </c>
      <c r="AC397">
        <v>0</v>
      </c>
      <c r="AD397">
        <v>0</v>
      </c>
      <c r="AE397">
        <v>0</v>
      </c>
      <c r="AF397">
        <v>0.22259999999999999</v>
      </c>
      <c r="AG397">
        <v>0</v>
      </c>
      <c r="AH397">
        <v>0</v>
      </c>
      <c r="AI397">
        <v>2</v>
      </c>
      <c r="AJ397">
        <v>0</v>
      </c>
      <c r="AK397">
        <v>0</v>
      </c>
      <c r="AL397">
        <v>80</v>
      </c>
      <c r="AM397">
        <v>38.955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83.475</v>
      </c>
      <c r="AU397">
        <v>0</v>
      </c>
      <c r="AV397">
        <v>0</v>
      </c>
    </row>
    <row r="398" spans="1:48" ht="12.75">
      <c r="A398" s="2" t="str">
        <f>HYPERLINK("https://ibp.a2mac1.com/costing(costing:projects/details/8191/equipment/6946562)","Equipment (Injection Molding)")</f>
        <v>Equipment (Injection Molding)</v>
      </c>
      <c r="B398">
        <v>6946562</v>
      </c>
      <c r="C398">
        <v>6973990</v>
      </c>
      <c r="H398" t="s">
        <v>136</v>
      </c>
      <c r="I398">
        <v>30832.952669999999</v>
      </c>
      <c r="J398">
        <v>0</v>
      </c>
      <c r="K398">
        <v>1.3104</v>
      </c>
      <c r="L398">
        <v>0</v>
      </c>
      <c r="M398">
        <v>7.5821699566055933</v>
      </c>
      <c r="N398">
        <v>0</v>
      </c>
      <c r="O398">
        <v>0.12636949927675989</v>
      </c>
      <c r="P398">
        <v>0.0080563860000000004</v>
      </c>
      <c r="Q398">
        <v>0.00086089726010764225</v>
      </c>
      <c r="R398">
        <v>163800</v>
      </c>
      <c r="S398">
        <v>0</v>
      </c>
      <c r="T398">
        <v>0</v>
      </c>
      <c r="V398">
        <v>1579.50</v>
      </c>
      <c r="W398">
        <v>7</v>
      </c>
      <c r="X398">
        <v>85</v>
      </c>
      <c r="Y398">
        <v>3</v>
      </c>
      <c r="Z398">
        <v>4</v>
      </c>
      <c r="AA398">
        <v>5</v>
      </c>
      <c r="AB398">
        <v>0</v>
      </c>
      <c r="AC398">
        <v>0</v>
      </c>
      <c r="AD398">
        <v>0</v>
      </c>
      <c r="AE398">
        <v>0</v>
      </c>
      <c r="AF398">
        <v>0.11700000000000001</v>
      </c>
      <c r="AG398">
        <v>0</v>
      </c>
      <c r="AH398">
        <v>0</v>
      </c>
      <c r="AI398">
        <v>2</v>
      </c>
      <c r="AJ398">
        <v>0</v>
      </c>
      <c r="AK398">
        <v>0</v>
      </c>
      <c r="AL398">
        <v>80</v>
      </c>
      <c r="AM398">
        <v>20.475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43.875</v>
      </c>
      <c r="AU398">
        <v>0</v>
      </c>
      <c r="AV398">
        <v>0</v>
      </c>
    </row>
    <row r="399" spans="1:48" ht="12.75">
      <c r="A399" s="2" t="str">
        <f>HYPERLINK("https://ibp.a2mac1.com/costing(costing:projects/details/8191/equipment/6946476)","Equipment (Injection Molding)")</f>
        <v>Equipment (Injection Molding)</v>
      </c>
      <c r="B399">
        <v>6946476</v>
      </c>
      <c r="C399">
        <v>6973918</v>
      </c>
      <c r="H399" t="s">
        <v>136</v>
      </c>
      <c r="I399">
        <v>6166.5905339999999</v>
      </c>
      <c r="J399">
        <v>0</v>
      </c>
      <c r="K399">
        <v>0.26207999999999998</v>
      </c>
      <c r="L399">
        <v>0</v>
      </c>
      <c r="M399">
        <v>1.5164339913211187</v>
      </c>
      <c r="N399">
        <v>0</v>
      </c>
      <c r="O399">
        <v>0.025273899855351976</v>
      </c>
      <c r="P399">
        <v>0.0016112772</v>
      </c>
      <c r="Q399">
        <v>0.00014024335216430568</v>
      </c>
      <c r="R399">
        <v>32760</v>
      </c>
      <c r="S399">
        <v>0</v>
      </c>
      <c r="T399">
        <v>0</v>
      </c>
      <c r="V399">
        <v>315.90</v>
      </c>
      <c r="W399">
        <v>7</v>
      </c>
      <c r="X399">
        <v>85</v>
      </c>
      <c r="Y399">
        <v>3</v>
      </c>
      <c r="Z399">
        <v>4</v>
      </c>
      <c r="AA399">
        <v>5</v>
      </c>
      <c r="AB399">
        <v>0</v>
      </c>
      <c r="AC399">
        <v>0</v>
      </c>
      <c r="AD399">
        <v>0</v>
      </c>
      <c r="AE399">
        <v>0</v>
      </c>
      <c r="AF399">
        <v>0.023400000000000001</v>
      </c>
      <c r="AG399">
        <v>0</v>
      </c>
      <c r="AH399">
        <v>0</v>
      </c>
      <c r="AI399">
        <v>2</v>
      </c>
      <c r="AJ399">
        <v>0</v>
      </c>
      <c r="AK399">
        <v>0</v>
      </c>
      <c r="AL399">
        <v>80</v>
      </c>
      <c r="AM399">
        <v>4.095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8.775</v>
      </c>
      <c r="AU399">
        <v>0</v>
      </c>
      <c r="AV399">
        <v>0</v>
      </c>
    </row>
    <row r="400" spans="1:48" ht="12.75">
      <c r="A400" s="2" t="str">
        <f>HYPERLINK("https://ibp.a2mac1.com/costing(costing:projects/details/8191/equipment/6946477)","Equipment (Injection Molding)")</f>
        <v>Equipment (Injection Molding)</v>
      </c>
      <c r="B400">
        <v>6946477</v>
      </c>
      <c r="C400">
        <v>6973919</v>
      </c>
      <c r="H400" t="s">
        <v>136</v>
      </c>
      <c r="I400">
        <v>6219.2964359999996</v>
      </c>
      <c r="J400">
        <v>0</v>
      </c>
      <c r="K400">
        <v>0.26432</v>
      </c>
      <c r="L400">
        <v>0</v>
      </c>
      <c r="M400">
        <v>1.5293949656059145</v>
      </c>
      <c r="N400">
        <v>0</v>
      </c>
      <c r="O400">
        <v>0.025489916093431909</v>
      </c>
      <c r="P400">
        <v>0.0016250488000000001</v>
      </c>
      <c r="Q400">
        <v>0.0001415108360673674</v>
      </c>
      <c r="R400">
        <v>33040</v>
      </c>
      <c r="S400">
        <v>0</v>
      </c>
      <c r="T400">
        <v>0</v>
      </c>
      <c r="V400">
        <v>318.60</v>
      </c>
      <c r="W400">
        <v>7</v>
      </c>
      <c r="X400">
        <v>85</v>
      </c>
      <c r="Y400">
        <v>3</v>
      </c>
      <c r="Z400">
        <v>4</v>
      </c>
      <c r="AA400">
        <v>5</v>
      </c>
      <c r="AB400">
        <v>0</v>
      </c>
      <c r="AC400">
        <v>0</v>
      </c>
      <c r="AD400">
        <v>0</v>
      </c>
      <c r="AE400">
        <v>0</v>
      </c>
      <c r="AF400">
        <v>0.023599999999999999</v>
      </c>
      <c r="AG400">
        <v>0</v>
      </c>
      <c r="AH400">
        <v>0</v>
      </c>
      <c r="AI400">
        <v>2</v>
      </c>
      <c r="AJ400">
        <v>0</v>
      </c>
      <c r="AK400">
        <v>0</v>
      </c>
      <c r="AL400">
        <v>80</v>
      </c>
      <c r="AM400">
        <v>4.13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8.85</v>
      </c>
      <c r="AU400">
        <v>0</v>
      </c>
      <c r="AV400">
        <v>0</v>
      </c>
    </row>
    <row r="401" spans="1:48" ht="12.75">
      <c r="A401" s="2" t="str">
        <f>HYPERLINK("https://ibp.a2mac1.com/costing(costing:projects/details/8191/equipment/6946478)","Equipment (Injection Molding)")</f>
        <v>Equipment (Injection Molding)</v>
      </c>
      <c r="B401">
        <v>6946478</v>
      </c>
      <c r="C401">
        <v>6973920</v>
      </c>
      <c r="H401" t="s">
        <v>136</v>
      </c>
      <c r="I401">
        <v>17392.947660000002</v>
      </c>
      <c r="J401">
        <v>0</v>
      </c>
      <c r="K401">
        <v>0.73919999999999997</v>
      </c>
      <c r="L401">
        <v>0</v>
      </c>
      <c r="M401">
        <v>4.2771215139826424</v>
      </c>
      <c r="N401">
        <v>0</v>
      </c>
      <c r="O401">
        <v>0.071285358566377369</v>
      </c>
      <c r="P401">
        <v>0.0045446280000000002</v>
      </c>
      <c r="Q401">
        <v>0.00043655438248264226</v>
      </c>
      <c r="R401">
        <v>92400</v>
      </c>
      <c r="S401">
        <v>0</v>
      </c>
      <c r="T401">
        <v>0</v>
      </c>
      <c r="V401">
        <v>891</v>
      </c>
      <c r="W401">
        <v>7</v>
      </c>
      <c r="X401">
        <v>85</v>
      </c>
      <c r="Y401">
        <v>3</v>
      </c>
      <c r="Z401">
        <v>4</v>
      </c>
      <c r="AA401">
        <v>5</v>
      </c>
      <c r="AB401">
        <v>0</v>
      </c>
      <c r="AC401">
        <v>0</v>
      </c>
      <c r="AD401">
        <v>0</v>
      </c>
      <c r="AE401">
        <v>0</v>
      </c>
      <c r="AF401">
        <v>0.066000000000000003</v>
      </c>
      <c r="AG401">
        <v>0</v>
      </c>
      <c r="AH401">
        <v>0</v>
      </c>
      <c r="AI401">
        <v>2</v>
      </c>
      <c r="AJ401">
        <v>0</v>
      </c>
      <c r="AK401">
        <v>0</v>
      </c>
      <c r="AL401">
        <v>80</v>
      </c>
      <c r="AM401">
        <v>11.55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24.75</v>
      </c>
      <c r="AU401">
        <v>0</v>
      </c>
      <c r="AV401">
        <v>0</v>
      </c>
    </row>
    <row r="402" spans="1:48" ht="12.75">
      <c r="A402" s="2" t="str">
        <f>HYPERLINK("https://ibp.a2mac1.com/costing(costing:projects/details/8191/equipment/6946563)","Equipment (Injection Molding)")</f>
        <v>Equipment (Injection Molding)</v>
      </c>
      <c r="B402">
        <v>6946563</v>
      </c>
      <c r="C402">
        <v>6973991</v>
      </c>
      <c r="H402" t="s">
        <v>136</v>
      </c>
      <c r="I402">
        <v>579.76492199999996</v>
      </c>
      <c r="J402">
        <v>0</v>
      </c>
      <c r="K402">
        <v>0.024639999999999999</v>
      </c>
      <c r="L402">
        <v>0</v>
      </c>
      <c r="M402">
        <v>0.14257071713275474</v>
      </c>
      <c r="N402">
        <v>0</v>
      </c>
      <c r="O402">
        <v>0.00079205953962641518</v>
      </c>
      <c r="P402">
        <v>5.0495866666666665E-05</v>
      </c>
      <c r="Q402">
        <v>1.2505210104980714E-05</v>
      </c>
      <c r="R402">
        <v>3080</v>
      </c>
      <c r="S402">
        <v>0</v>
      </c>
      <c r="T402">
        <v>0</v>
      </c>
      <c r="V402">
        <v>29.70</v>
      </c>
      <c r="W402">
        <v>7</v>
      </c>
      <c r="X402">
        <v>85</v>
      </c>
      <c r="Y402">
        <v>3</v>
      </c>
      <c r="Z402">
        <v>4</v>
      </c>
      <c r="AA402">
        <v>5</v>
      </c>
      <c r="AB402">
        <v>0</v>
      </c>
      <c r="AC402">
        <v>0</v>
      </c>
      <c r="AD402">
        <v>0</v>
      </c>
      <c r="AE402">
        <v>0</v>
      </c>
      <c r="AF402">
        <v>0.0022000000000000001</v>
      </c>
      <c r="AG402">
        <v>0</v>
      </c>
      <c r="AH402">
        <v>0</v>
      </c>
      <c r="AI402">
        <v>2</v>
      </c>
      <c r="AJ402">
        <v>0</v>
      </c>
      <c r="AK402">
        <v>0</v>
      </c>
      <c r="AL402">
        <v>80</v>
      </c>
      <c r="AM402">
        <v>0.385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0.825</v>
      </c>
      <c r="AU402">
        <v>0</v>
      </c>
      <c r="AV402">
        <v>0</v>
      </c>
    </row>
    <row r="403" spans="1:48" ht="12.75">
      <c r="A403" s="2" t="str">
        <f>HYPERLINK("https://ibp.a2mac1.com/costing(costing:projects/details/8191/equipment/6946565)","Chroming line - Small Parts")</f>
        <v>Chroming line - Small Parts</v>
      </c>
      <c r="B403">
        <v>6946565</v>
      </c>
      <c r="C403">
        <v>6973993</v>
      </c>
      <c r="F403" t="s">
        <v>9</v>
      </c>
      <c r="G403" t="s">
        <v>9</v>
      </c>
      <c r="H403" t="s">
        <v>136</v>
      </c>
      <c r="I403">
        <v>1104334.5916800001</v>
      </c>
      <c r="J403">
        <v>0</v>
      </c>
      <c r="K403">
        <v>70.09872</v>
      </c>
      <c r="L403">
        <v>0</v>
      </c>
      <c r="M403">
        <v>313.1209944583735</v>
      </c>
      <c r="N403">
        <v>0</v>
      </c>
      <c r="O403">
        <v>0.20812605782451415</v>
      </c>
      <c r="P403">
        <v>0</v>
      </c>
      <c r="Q403">
        <v>0</v>
      </c>
      <c r="R403">
        <v>8155000</v>
      </c>
      <c r="S403">
        <v>0</v>
      </c>
      <c r="T403">
        <v>0</v>
      </c>
      <c r="U403" t="s">
        <v>9</v>
      </c>
      <c r="V403">
        <v>0</v>
      </c>
      <c r="W403">
        <v>10</v>
      </c>
      <c r="X403">
        <v>85</v>
      </c>
      <c r="Y403">
        <v>3</v>
      </c>
      <c r="Z403">
        <v>4</v>
      </c>
      <c r="AA403">
        <v>5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100</v>
      </c>
      <c r="AM403">
        <v>10</v>
      </c>
      <c r="AN403">
        <v>0</v>
      </c>
      <c r="AO403">
        <v>0</v>
      </c>
      <c r="AP403">
        <v>0</v>
      </c>
      <c r="AQ403">
        <v>4</v>
      </c>
      <c r="AR403">
        <v>0</v>
      </c>
      <c r="AS403">
        <v>100</v>
      </c>
      <c r="AT403">
        <v>88</v>
      </c>
      <c r="AU403">
        <v>0</v>
      </c>
      <c r="AV403">
        <v>0</v>
      </c>
    </row>
    <row r="404" spans="1:48" ht="12.75">
      <c r="A404" s="2" t="str">
        <f>HYPERLINK("https://ibp.a2mac1.com/costing(costing:projects/details/8191/equipment/6946564)","Chroming line - Load &amp; Unload parts to/from jig")</f>
        <v>Chroming line - Load &amp; Unload parts to/from jig</v>
      </c>
      <c r="B404">
        <v>6946564</v>
      </c>
      <c r="C404">
        <v>6973992</v>
      </c>
      <c r="H404" t="s">
        <v>136</v>
      </c>
      <c r="I404">
        <v>1504.98144</v>
      </c>
      <c r="J404">
        <v>0</v>
      </c>
      <c r="K404">
        <v>0</v>
      </c>
      <c r="L404">
        <v>0</v>
      </c>
      <c r="M404">
        <v>0.32224066859530698</v>
      </c>
      <c r="N404">
        <v>0</v>
      </c>
      <c r="O404">
        <v>5.2747728490303226E-05</v>
      </c>
      <c r="P404">
        <v>0.003381419642857143</v>
      </c>
      <c r="Q404">
        <v>0</v>
      </c>
      <c r="R404">
        <v>10000</v>
      </c>
      <c r="S404">
        <v>0</v>
      </c>
      <c r="T404">
        <v>0</v>
      </c>
      <c r="V404">
        <v>0</v>
      </c>
      <c r="W404">
        <v>10</v>
      </c>
      <c r="X404">
        <v>85</v>
      </c>
      <c r="Y404">
        <v>3</v>
      </c>
      <c r="Z404">
        <v>4</v>
      </c>
      <c r="AA404">
        <v>5</v>
      </c>
      <c r="AB404">
        <v>0</v>
      </c>
      <c r="AC404">
        <v>0</v>
      </c>
      <c r="AD404">
        <v>0</v>
      </c>
      <c r="AE404">
        <v>0</v>
      </c>
      <c r="AF404">
        <v>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100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4</v>
      </c>
      <c r="AU404">
        <v>0</v>
      </c>
      <c r="AV404">
        <v>0</v>
      </c>
    </row>
    <row r="405" spans="1:48" ht="12.75">
      <c r="A405" s="2" t="str">
        <f>HYPERLINK("https://ibp.a2mac1.com/costing(costing:projects/details/8191/equipment/6946566)","Equipment (Injection Molding)")</f>
        <v>Equipment (Injection Molding)</v>
      </c>
      <c r="B405">
        <v>6946566</v>
      </c>
      <c r="C405">
        <v>6973994</v>
      </c>
      <c r="H405" t="s">
        <v>136</v>
      </c>
      <c r="I405">
        <v>10699.298106</v>
      </c>
      <c r="J405">
        <v>0</v>
      </c>
      <c r="K405">
        <v>0.45472000000000001</v>
      </c>
      <c r="L405">
        <v>0</v>
      </c>
      <c r="M405">
        <v>2.6310777798135647</v>
      </c>
      <c r="N405">
        <v>0</v>
      </c>
      <c r="O405">
        <v>0.043851296330226081</v>
      </c>
      <c r="P405">
        <v>0.0027956347999999998</v>
      </c>
      <c r="Q405">
        <v>0.00025351048031859694</v>
      </c>
      <c r="R405">
        <v>56840</v>
      </c>
      <c r="S405">
        <v>0</v>
      </c>
      <c r="T405">
        <v>0</v>
      </c>
      <c r="V405">
        <v>548.10</v>
      </c>
      <c r="W405">
        <v>7</v>
      </c>
      <c r="X405">
        <v>85</v>
      </c>
      <c r="Y405">
        <v>3</v>
      </c>
      <c r="Z405">
        <v>4</v>
      </c>
      <c r="AA405">
        <v>5</v>
      </c>
      <c r="AB405">
        <v>0</v>
      </c>
      <c r="AC405">
        <v>0</v>
      </c>
      <c r="AD405">
        <v>0</v>
      </c>
      <c r="AE405">
        <v>0</v>
      </c>
      <c r="AF405">
        <v>0.040599999999999997</v>
      </c>
      <c r="AG405">
        <v>0</v>
      </c>
      <c r="AH405">
        <v>0</v>
      </c>
      <c r="AI405">
        <v>2</v>
      </c>
      <c r="AJ405">
        <v>0</v>
      </c>
      <c r="AK405">
        <v>0</v>
      </c>
      <c r="AL405">
        <v>80</v>
      </c>
      <c r="AM405">
        <v>7.105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15.225</v>
      </c>
      <c r="AU405">
        <v>0</v>
      </c>
      <c r="AV405">
        <v>0</v>
      </c>
    </row>
    <row r="406" spans="1:48" ht="12.75">
      <c r="A406" s="2" t="str">
        <f>HYPERLINK("https://ibp.a2mac1.com/costing(costing:projects/details/8191/equipment/6946567)","No.04 - 60000x6000x3500 - Automatic Painting Line - with 12x100kW on line ovens ")</f>
        <v xml:space="preserve">No.04 - 60000x6000x3500 - Automatic Painting Line - with 12x100kW on line ovens </v>
      </c>
      <c r="B406">
        <v>6946567</v>
      </c>
      <c r="C406">
        <v>6973995</v>
      </c>
      <c r="E406" t="s">
        <v>499</v>
      </c>
      <c r="G406" t="s">
        <v>3633</v>
      </c>
      <c r="H406" t="s">
        <v>136</v>
      </c>
      <c r="I406">
        <v>1438767.4831999999</v>
      </c>
      <c r="J406">
        <v>0</v>
      </c>
      <c r="K406">
        <v>279.76751999999999</v>
      </c>
      <c r="L406">
        <v>0</v>
      </c>
      <c r="M406">
        <v>580.11587795564128</v>
      </c>
      <c r="N406">
        <v>0</v>
      </c>
      <c r="O406">
        <v>3.0294940293239043</v>
      </c>
      <c r="P406">
        <v>0.15102854666666668</v>
      </c>
      <c r="Q406">
        <v>0</v>
      </c>
      <c r="R406">
        <v>8600000</v>
      </c>
      <c r="S406">
        <v>0</v>
      </c>
      <c r="T406">
        <v>0</v>
      </c>
      <c r="V406">
        <v>0</v>
      </c>
      <c r="W406">
        <v>8</v>
      </c>
      <c r="X406">
        <v>85</v>
      </c>
      <c r="Y406">
        <v>3</v>
      </c>
      <c r="Z406">
        <v>4</v>
      </c>
      <c r="AA406">
        <v>5</v>
      </c>
      <c r="AB406">
        <v>0</v>
      </c>
      <c r="AC406">
        <v>0</v>
      </c>
      <c r="AD406">
        <v>0</v>
      </c>
      <c r="AE406">
        <v>0</v>
      </c>
      <c r="AF406">
        <v>7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100</v>
      </c>
      <c r="AM406">
        <v>3400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4</v>
      </c>
      <c r="AT406">
        <v>1620</v>
      </c>
      <c r="AU406">
        <v>5</v>
      </c>
      <c r="AV406">
        <v>0</v>
      </c>
    </row>
    <row r="407" spans="1:48" ht="12.75">
      <c r="A407" s="2" t="str">
        <f>HYPERLINK("https://ibp.a2mac1.com/costing(costing:projects/details/8191/equipment/6946568)","Loading + Unloading + Retouching + Checking")</f>
        <v>Loading + Unloading + Retouching + Checking</v>
      </c>
      <c r="B407">
        <v>6946568</v>
      </c>
      <c r="C407">
        <v>6973995</v>
      </c>
      <c r="E407" t="s">
        <v>499</v>
      </c>
      <c r="H407" t="s">
        <v>136</v>
      </c>
      <c r="I407">
        <v>116.23608</v>
      </c>
      <c r="J407">
        <v>0</v>
      </c>
      <c r="K407">
        <v>0</v>
      </c>
      <c r="L407">
        <v>0</v>
      </c>
      <c r="M407">
        <v>0.018681465766634521</v>
      </c>
      <c r="N407">
        <v>0</v>
      </c>
      <c r="O407">
        <v>9.755876567020251E-05</v>
      </c>
      <c r="P407">
        <v>0.10787753333333333</v>
      </c>
      <c r="Q407">
        <v>0</v>
      </c>
      <c r="R407">
        <v>0</v>
      </c>
      <c r="S407">
        <v>0</v>
      </c>
      <c r="T407">
        <v>0</v>
      </c>
      <c r="V407">
        <v>0</v>
      </c>
      <c r="W407">
        <v>8</v>
      </c>
      <c r="X407">
        <v>85</v>
      </c>
      <c r="Y407">
        <v>3</v>
      </c>
      <c r="Z407">
        <v>4</v>
      </c>
      <c r="AA407">
        <v>5</v>
      </c>
      <c r="AB407">
        <v>0</v>
      </c>
      <c r="AC407">
        <v>0</v>
      </c>
      <c r="AD407">
        <v>0</v>
      </c>
      <c r="AE407">
        <v>0</v>
      </c>
      <c r="AF407">
        <v>5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100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3</v>
      </c>
      <c r="AU407">
        <v>0</v>
      </c>
      <c r="AV407">
        <v>0</v>
      </c>
    </row>
    <row r="408" spans="1:48" ht="12.75">
      <c r="A408" s="2" t="str">
        <f>HYPERLINK("https://ibp.a2mac1.com/costing(costing:projects/details/8191/equipment/6946569)","Masking (If Appl.)")</f>
        <v>Masking (If Appl.)</v>
      </c>
      <c r="B408">
        <v>6946569</v>
      </c>
      <c r="C408">
        <v>6973995</v>
      </c>
      <c r="E408" t="s">
        <v>499</v>
      </c>
      <c r="H408" t="s">
        <v>136</v>
      </c>
      <c r="I408">
        <v>116.23608</v>
      </c>
      <c r="J408">
        <v>0</v>
      </c>
      <c r="K408">
        <v>0</v>
      </c>
      <c r="L408">
        <v>0</v>
      </c>
      <c r="M408">
        <v>0.018681465766634521</v>
      </c>
      <c r="N408">
        <v>0</v>
      </c>
      <c r="O408">
        <v>9.755876567020251E-05</v>
      </c>
      <c r="P408">
        <v>0</v>
      </c>
      <c r="Q408">
        <v>0</v>
      </c>
      <c r="R408">
        <v>0</v>
      </c>
      <c r="S408">
        <v>0</v>
      </c>
      <c r="T408">
        <v>0</v>
      </c>
      <c r="V408">
        <v>0</v>
      </c>
      <c r="W408">
        <v>8</v>
      </c>
      <c r="X408">
        <v>85</v>
      </c>
      <c r="Y408">
        <v>3</v>
      </c>
      <c r="Z408">
        <v>4</v>
      </c>
      <c r="AA408">
        <v>5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100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3</v>
      </c>
      <c r="AU408">
        <v>0</v>
      </c>
      <c r="AV408">
        <v>0</v>
      </c>
    </row>
    <row r="409" spans="1:48" ht="12.75">
      <c r="A409" s="2" t="str">
        <f>HYPERLINK("https://ibp.a2mac1.com/costing(costing:projects/details/8191/equipment/6946570)","Dummy Machine (PCBA+Final Assembly Line)")</f>
        <v>Dummy Machine (PCBA+Final Assembly Line)</v>
      </c>
      <c r="B409">
        <v>6946570</v>
      </c>
      <c r="C409">
        <v>6973996</v>
      </c>
      <c r="F409" t="s">
        <v>559</v>
      </c>
      <c r="H409" t="s">
        <v>136</v>
      </c>
      <c r="I409">
        <v>79501.662769714283</v>
      </c>
      <c r="J409">
        <v>0</v>
      </c>
      <c r="K409">
        <v>0.28895999999999999</v>
      </c>
      <c r="L409">
        <v>0</v>
      </c>
      <c r="M409">
        <v>16.624578413647427</v>
      </c>
      <c r="N409">
        <v>0</v>
      </c>
      <c r="O409">
        <v>4.4794002947883342</v>
      </c>
      <c r="P409">
        <v>0.77924303333333333</v>
      </c>
      <c r="Q409">
        <v>6.889185508913073E-05</v>
      </c>
      <c r="R409">
        <v>442771.10</v>
      </c>
      <c r="S409">
        <v>0</v>
      </c>
      <c r="T409">
        <v>0</v>
      </c>
      <c r="V409">
        <v>216</v>
      </c>
      <c r="W409">
        <v>7</v>
      </c>
      <c r="X409">
        <v>85</v>
      </c>
      <c r="Y409">
        <v>3</v>
      </c>
      <c r="Z409">
        <v>4</v>
      </c>
      <c r="AA409">
        <v>5</v>
      </c>
      <c r="AB409">
        <v>0</v>
      </c>
      <c r="AC409">
        <v>0</v>
      </c>
      <c r="AD409">
        <v>0</v>
      </c>
      <c r="AE409">
        <v>0</v>
      </c>
      <c r="AF409">
        <v>0.70</v>
      </c>
      <c r="AG409">
        <v>0</v>
      </c>
      <c r="AH409">
        <v>0</v>
      </c>
      <c r="AI409">
        <v>0.20</v>
      </c>
      <c r="AJ409">
        <v>0</v>
      </c>
      <c r="AK409">
        <v>0</v>
      </c>
      <c r="AL409">
        <v>86</v>
      </c>
      <c r="AM409">
        <v>4.20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19.40</v>
      </c>
      <c r="AU409">
        <v>0</v>
      </c>
      <c r="AV409">
        <v>0</v>
      </c>
    </row>
    <row r="410" spans="1:48" ht="12.75">
      <c r="A410" s="2" t="str">
        <f>HYPERLINK("https://ibp.a2mac1.com/costing(costing:projects/details/8191/equipment/6946571)","Dummy Machine (PCBA+Final Assembly Line)")</f>
        <v>Dummy Machine (PCBA+Final Assembly Line)</v>
      </c>
      <c r="B410">
        <v>6946571</v>
      </c>
      <c r="C410">
        <v>6973997</v>
      </c>
      <c r="F410" t="s">
        <v>559</v>
      </c>
      <c r="H410" t="s">
        <v>136</v>
      </c>
      <c r="I410">
        <v>79501.662769714283</v>
      </c>
      <c r="J410">
        <v>0</v>
      </c>
      <c r="K410">
        <v>0.28895999999999999</v>
      </c>
      <c r="L410">
        <v>0</v>
      </c>
      <c r="M410">
        <v>16.624578413647427</v>
      </c>
      <c r="N410">
        <v>0</v>
      </c>
      <c r="O410">
        <v>4.7102972172001039</v>
      </c>
      <c r="P410">
        <v>0.81941019999999998</v>
      </c>
      <c r="Q410">
        <v>6.889185508913073E-05</v>
      </c>
      <c r="R410">
        <v>442771.10</v>
      </c>
      <c r="S410">
        <v>0</v>
      </c>
      <c r="T410">
        <v>0</v>
      </c>
      <c r="V410">
        <v>216</v>
      </c>
      <c r="W410">
        <v>7</v>
      </c>
      <c r="X410">
        <v>85</v>
      </c>
      <c r="Y410">
        <v>3</v>
      </c>
      <c r="Z410">
        <v>4</v>
      </c>
      <c r="AA410">
        <v>5</v>
      </c>
      <c r="AB410">
        <v>0</v>
      </c>
      <c r="AC410">
        <v>0</v>
      </c>
      <c r="AD410">
        <v>0</v>
      </c>
      <c r="AE410">
        <v>0</v>
      </c>
      <c r="AF410">
        <v>0.70</v>
      </c>
      <c r="AG410">
        <v>0</v>
      </c>
      <c r="AH410">
        <v>0</v>
      </c>
      <c r="AI410">
        <v>0.20</v>
      </c>
      <c r="AJ410">
        <v>0</v>
      </c>
      <c r="AK410">
        <v>0</v>
      </c>
      <c r="AL410">
        <v>86</v>
      </c>
      <c r="AM410">
        <v>4.20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19.40</v>
      </c>
      <c r="AU410">
        <v>0</v>
      </c>
      <c r="AV410">
        <v>0</v>
      </c>
    </row>
    <row r="411" spans="1:48" ht="12.75">
      <c r="A411" s="2" t="str">
        <f>HYPERLINK("https://ibp.a2mac1.com/costing(costing:projects/details/8191/equipment/6946572)","Dummy Machine (PCBA+Final Assembly Line)")</f>
        <v>Dummy Machine (PCBA+Final Assembly Line)</v>
      </c>
      <c r="B411">
        <v>6946572</v>
      </c>
      <c r="C411">
        <v>6973998</v>
      </c>
      <c r="F411" t="s">
        <v>559</v>
      </c>
      <c r="H411" t="s">
        <v>136</v>
      </c>
      <c r="I411">
        <v>79501.662769714283</v>
      </c>
      <c r="J411">
        <v>0</v>
      </c>
      <c r="K411">
        <v>0.28895999999999999</v>
      </c>
      <c r="L411">
        <v>0</v>
      </c>
      <c r="M411">
        <v>16.624578413647427</v>
      </c>
      <c r="N411">
        <v>0</v>
      </c>
      <c r="O411">
        <v>2.308969224117698</v>
      </c>
      <c r="P411">
        <v>0.40167166666666665</v>
      </c>
      <c r="Q411">
        <v>6.889185508913073E-05</v>
      </c>
      <c r="R411">
        <v>442771.10</v>
      </c>
      <c r="S411">
        <v>0</v>
      </c>
      <c r="T411">
        <v>0</v>
      </c>
      <c r="V411">
        <v>216</v>
      </c>
      <c r="W411">
        <v>7</v>
      </c>
      <c r="X411">
        <v>85</v>
      </c>
      <c r="Y411">
        <v>3</v>
      </c>
      <c r="Z411">
        <v>4</v>
      </c>
      <c r="AA411">
        <v>5</v>
      </c>
      <c r="AB411">
        <v>0</v>
      </c>
      <c r="AC411">
        <v>0</v>
      </c>
      <c r="AD411">
        <v>0</v>
      </c>
      <c r="AE411">
        <v>0</v>
      </c>
      <c r="AF411">
        <v>0.70</v>
      </c>
      <c r="AG411">
        <v>0</v>
      </c>
      <c r="AH411">
        <v>0</v>
      </c>
      <c r="AI411">
        <v>0.20</v>
      </c>
      <c r="AJ411">
        <v>0</v>
      </c>
      <c r="AK411">
        <v>0</v>
      </c>
      <c r="AL411">
        <v>86</v>
      </c>
      <c r="AM411">
        <v>4.20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19.40</v>
      </c>
      <c r="AU411">
        <v>0</v>
      </c>
      <c r="AV411">
        <v>0</v>
      </c>
    </row>
    <row r="412" spans="1:48" ht="12.75">
      <c r="A412" s="2" t="str">
        <f>HYPERLINK("https://ibp.a2mac1.com/costing(costing:projects/details/8191/equipment/6946573)","Equipment (Injection Molding)")</f>
        <v>Equipment (Injection Molding)</v>
      </c>
      <c r="B412">
        <v>6946573</v>
      </c>
      <c r="C412">
        <v>6973999</v>
      </c>
      <c r="H412" t="s">
        <v>136</v>
      </c>
      <c r="I412">
        <v>7168.0026719999996</v>
      </c>
      <c r="J412">
        <v>0</v>
      </c>
      <c r="K412">
        <v>0.30464000000000002</v>
      </c>
      <c r="L412">
        <v>0</v>
      </c>
      <c r="M412">
        <v>1.7626925027322404</v>
      </c>
      <c r="N412">
        <v>0</v>
      </c>
      <c r="O412">
        <v>0.029378208378870674</v>
      </c>
      <c r="P412">
        <v>0.0018729376000000001</v>
      </c>
      <c r="Q412">
        <v>0.0001645250157167213</v>
      </c>
      <c r="R412">
        <v>38080</v>
      </c>
      <c r="S412">
        <v>0</v>
      </c>
      <c r="T412">
        <v>0</v>
      </c>
      <c r="V412">
        <v>367.20</v>
      </c>
      <c r="W412">
        <v>7</v>
      </c>
      <c r="X412">
        <v>85</v>
      </c>
      <c r="Y412">
        <v>3</v>
      </c>
      <c r="Z412">
        <v>4</v>
      </c>
      <c r="AA412">
        <v>5</v>
      </c>
      <c r="AB412">
        <v>0</v>
      </c>
      <c r="AC412">
        <v>0</v>
      </c>
      <c r="AD412">
        <v>0</v>
      </c>
      <c r="AE412">
        <v>0</v>
      </c>
      <c r="AF412">
        <v>0.027199999999999998</v>
      </c>
      <c r="AG412">
        <v>0</v>
      </c>
      <c r="AH412">
        <v>0</v>
      </c>
      <c r="AI412">
        <v>2</v>
      </c>
      <c r="AJ412">
        <v>0</v>
      </c>
      <c r="AK412">
        <v>0</v>
      </c>
      <c r="AL412">
        <v>80</v>
      </c>
      <c r="AM412">
        <v>4.76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10.20</v>
      </c>
      <c r="AU412">
        <v>0</v>
      </c>
      <c r="AV412">
        <v>0</v>
      </c>
    </row>
    <row r="413" spans="1:48" ht="12.75">
      <c r="A413" s="2" t="str">
        <f>HYPERLINK("https://ibp.a2mac1.com/costing(costing:projects/details/8191/equipment/6946574)","Equipment (Injection Molding)")</f>
        <v>Equipment (Injection Molding)</v>
      </c>
      <c r="B413">
        <v>6946574</v>
      </c>
      <c r="C413">
        <v>6974000</v>
      </c>
      <c r="H413" t="s">
        <v>136</v>
      </c>
      <c r="I413">
        <v>1106.823942</v>
      </c>
      <c r="J413">
        <v>0</v>
      </c>
      <c r="K413">
        <v>0.047039999999999998</v>
      </c>
      <c r="L413">
        <v>0</v>
      </c>
      <c r="M413">
        <v>0.27218045998071361</v>
      </c>
      <c r="N413">
        <v>0</v>
      </c>
      <c r="O413">
        <v>0.0045363409996785602</v>
      </c>
      <c r="P413">
        <v>0.00028920360000000002</v>
      </c>
      <c r="Q413">
        <v>2.3996064134681773E-05</v>
      </c>
      <c r="R413">
        <v>5880</v>
      </c>
      <c r="S413">
        <v>0</v>
      </c>
      <c r="T413">
        <v>0</v>
      </c>
      <c r="V413">
        <v>56.70</v>
      </c>
      <c r="W413">
        <v>7</v>
      </c>
      <c r="X413">
        <v>85</v>
      </c>
      <c r="Y413">
        <v>3</v>
      </c>
      <c r="Z413">
        <v>4</v>
      </c>
      <c r="AA413">
        <v>5</v>
      </c>
      <c r="AB413">
        <v>0</v>
      </c>
      <c r="AC413">
        <v>0</v>
      </c>
      <c r="AD413">
        <v>0</v>
      </c>
      <c r="AE413">
        <v>0</v>
      </c>
      <c r="AF413">
        <v>0.0041999999999999997</v>
      </c>
      <c r="AG413">
        <v>0</v>
      </c>
      <c r="AH413">
        <v>0</v>
      </c>
      <c r="AI413">
        <v>2</v>
      </c>
      <c r="AJ413">
        <v>0</v>
      </c>
      <c r="AK413">
        <v>0</v>
      </c>
      <c r="AL413">
        <v>80</v>
      </c>
      <c r="AM413">
        <v>0.735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1.575</v>
      </c>
      <c r="AU413">
        <v>0</v>
      </c>
      <c r="AV413">
        <v>0</v>
      </c>
    </row>
    <row r="414" spans="1:48" ht="12.75">
      <c r="A414" s="2" t="str">
        <f>HYPERLINK("https://ibp.a2mac1.com/costing(costing:projects/details/8191/equipment/6946575)","Dummy Machine (PCBA+Final Assembly Line)")</f>
        <v>Dummy Machine (PCBA+Final Assembly Line)</v>
      </c>
      <c r="B414">
        <v>6946575</v>
      </c>
      <c r="C414">
        <v>6974001</v>
      </c>
      <c r="F414" t="s">
        <v>559</v>
      </c>
      <c r="H414" t="s">
        <v>136</v>
      </c>
      <c r="I414">
        <v>79501.662769714283</v>
      </c>
      <c r="J414">
        <v>0</v>
      </c>
      <c r="K414">
        <v>0.28895999999999999</v>
      </c>
      <c r="L414">
        <v>0</v>
      </c>
      <c r="M414">
        <v>16.624578413647427</v>
      </c>
      <c r="N414">
        <v>0</v>
      </c>
      <c r="O414">
        <v>0.36943507585883167</v>
      </c>
      <c r="P414">
        <v>0.064267466666666662</v>
      </c>
      <c r="Q414">
        <v>6.889185508913073E-05</v>
      </c>
      <c r="R414">
        <v>442771.10</v>
      </c>
      <c r="S414">
        <v>0</v>
      </c>
      <c r="T414">
        <v>0</v>
      </c>
      <c r="V414">
        <v>216</v>
      </c>
      <c r="W414">
        <v>7</v>
      </c>
      <c r="X414">
        <v>85</v>
      </c>
      <c r="Y414">
        <v>3</v>
      </c>
      <c r="Z414">
        <v>4</v>
      </c>
      <c r="AA414">
        <v>5</v>
      </c>
      <c r="AB414">
        <v>0</v>
      </c>
      <c r="AC414">
        <v>0</v>
      </c>
      <c r="AD414">
        <v>0</v>
      </c>
      <c r="AE414">
        <v>0</v>
      </c>
      <c r="AF414">
        <v>0.70</v>
      </c>
      <c r="AG414">
        <v>0</v>
      </c>
      <c r="AH414">
        <v>0</v>
      </c>
      <c r="AI414">
        <v>0.20</v>
      </c>
      <c r="AJ414">
        <v>0</v>
      </c>
      <c r="AK414">
        <v>0</v>
      </c>
      <c r="AL414">
        <v>86</v>
      </c>
      <c r="AM414">
        <v>4.20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19.40</v>
      </c>
      <c r="AU414">
        <v>0</v>
      </c>
      <c r="AV414">
        <v>0</v>
      </c>
    </row>
    <row r="415" spans="1:48" ht="12.75">
      <c r="A415" s="2" t="str">
        <f>HYPERLINK("https://ibp.a2mac1.com/costing(costing:projects/details/8191/equipment/6946576)","Dummy Machine (PCBA+Final Assembly Line)")</f>
        <v>Dummy Machine (PCBA+Final Assembly Line)</v>
      </c>
      <c r="B415">
        <v>6946576</v>
      </c>
      <c r="C415">
        <v>6974002</v>
      </c>
      <c r="F415" t="s">
        <v>559</v>
      </c>
      <c r="H415" t="s">
        <v>136</v>
      </c>
      <c r="I415">
        <v>79501.662769714283</v>
      </c>
      <c r="J415">
        <v>0</v>
      </c>
      <c r="K415">
        <v>0.28895999999999999</v>
      </c>
      <c r="L415">
        <v>0</v>
      </c>
      <c r="M415">
        <v>16.624578413647427</v>
      </c>
      <c r="N415">
        <v>0</v>
      </c>
      <c r="O415">
        <v>0.36943507585883167</v>
      </c>
      <c r="P415">
        <v>0.064267466666666662</v>
      </c>
      <c r="Q415">
        <v>6.889185508913073E-05</v>
      </c>
      <c r="R415">
        <v>442771.10</v>
      </c>
      <c r="S415">
        <v>0</v>
      </c>
      <c r="T415">
        <v>0</v>
      </c>
      <c r="V415">
        <v>216</v>
      </c>
      <c r="W415">
        <v>7</v>
      </c>
      <c r="X415">
        <v>85</v>
      </c>
      <c r="Y415">
        <v>3</v>
      </c>
      <c r="Z415">
        <v>4</v>
      </c>
      <c r="AA415">
        <v>5</v>
      </c>
      <c r="AB415">
        <v>0</v>
      </c>
      <c r="AC415">
        <v>0</v>
      </c>
      <c r="AD415">
        <v>0</v>
      </c>
      <c r="AE415">
        <v>0</v>
      </c>
      <c r="AF415">
        <v>0.70</v>
      </c>
      <c r="AG415">
        <v>0</v>
      </c>
      <c r="AH415">
        <v>0</v>
      </c>
      <c r="AI415">
        <v>0.20</v>
      </c>
      <c r="AJ415">
        <v>0</v>
      </c>
      <c r="AK415">
        <v>0</v>
      </c>
      <c r="AL415">
        <v>86</v>
      </c>
      <c r="AM415">
        <v>4.20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19.40</v>
      </c>
      <c r="AU415">
        <v>0</v>
      </c>
      <c r="AV415">
        <v>0</v>
      </c>
    </row>
    <row r="416" spans="1:48" ht="12.75">
      <c r="A416" s="2" t="str">
        <f>HYPERLINK("https://ibp.a2mac1.com/costing(costing:projects/details/8191/equipment/6946577)","Dummy Machine (PCBA+Final Assembly Line)")</f>
        <v>Dummy Machine (PCBA+Final Assembly Line)</v>
      </c>
      <c r="B416">
        <v>6946577</v>
      </c>
      <c r="C416">
        <v>6974003</v>
      </c>
      <c r="F416" t="s">
        <v>559</v>
      </c>
      <c r="H416" t="s">
        <v>136</v>
      </c>
      <c r="I416">
        <v>79501.662769714283</v>
      </c>
      <c r="J416">
        <v>0</v>
      </c>
      <c r="K416">
        <v>0.28895999999999999</v>
      </c>
      <c r="L416">
        <v>0</v>
      </c>
      <c r="M416">
        <v>16.624578413647427</v>
      </c>
      <c r="N416">
        <v>0</v>
      </c>
      <c r="O416">
        <v>0.36943507585883167</v>
      </c>
      <c r="P416">
        <v>0.064267466666666662</v>
      </c>
      <c r="Q416">
        <v>6.889185508913073E-05</v>
      </c>
      <c r="R416">
        <v>442771.10</v>
      </c>
      <c r="S416">
        <v>0</v>
      </c>
      <c r="T416">
        <v>0</v>
      </c>
      <c r="V416">
        <v>216</v>
      </c>
      <c r="W416">
        <v>7</v>
      </c>
      <c r="X416">
        <v>85</v>
      </c>
      <c r="Y416">
        <v>3</v>
      </c>
      <c r="Z416">
        <v>4</v>
      </c>
      <c r="AA416">
        <v>5</v>
      </c>
      <c r="AB416">
        <v>0</v>
      </c>
      <c r="AC416">
        <v>0</v>
      </c>
      <c r="AD416">
        <v>0</v>
      </c>
      <c r="AE416">
        <v>0</v>
      </c>
      <c r="AF416">
        <v>0.70</v>
      </c>
      <c r="AG416">
        <v>0</v>
      </c>
      <c r="AH416">
        <v>0</v>
      </c>
      <c r="AI416">
        <v>0.20</v>
      </c>
      <c r="AJ416">
        <v>0</v>
      </c>
      <c r="AK416">
        <v>0</v>
      </c>
      <c r="AL416">
        <v>86</v>
      </c>
      <c r="AM416">
        <v>4.20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19.40</v>
      </c>
      <c r="AU416">
        <v>0</v>
      </c>
      <c r="AV416">
        <v>0</v>
      </c>
    </row>
    <row r="417" spans="1:48" ht="12.75">
      <c r="A417" s="2" t="str">
        <f>HYPERLINK("https://ibp.a2mac1.com/costing(costing:projects/details/8191/equipment/6946677)","Equipment (Injection Molding)")</f>
        <v>Equipment (Injection Molding)</v>
      </c>
      <c r="B417">
        <v>6946677</v>
      </c>
      <c r="C417">
        <v>6974104</v>
      </c>
      <c r="H417" t="s">
        <v>136</v>
      </c>
      <c r="I417">
        <v>737.88262799999995</v>
      </c>
      <c r="J417">
        <v>0</v>
      </c>
      <c r="K417">
        <v>0.031359999999999999</v>
      </c>
      <c r="L417">
        <v>0</v>
      </c>
      <c r="M417">
        <v>0.1814536399871424</v>
      </c>
      <c r="N417">
        <v>0</v>
      </c>
      <c r="O417">
        <v>0.0030242273331190402</v>
      </c>
      <c r="P417">
        <v>0.0001928024</v>
      </c>
      <c r="Q417">
        <v>1.5940218193191901E-05</v>
      </c>
      <c r="R417">
        <v>3920</v>
      </c>
      <c r="S417">
        <v>0</v>
      </c>
      <c r="T417">
        <v>0</v>
      </c>
      <c r="V417">
        <v>37.80</v>
      </c>
      <c r="W417">
        <v>7</v>
      </c>
      <c r="X417">
        <v>85</v>
      </c>
      <c r="Y417">
        <v>3</v>
      </c>
      <c r="Z417">
        <v>4</v>
      </c>
      <c r="AA417">
        <v>5</v>
      </c>
      <c r="AB417">
        <v>0</v>
      </c>
      <c r="AC417">
        <v>0</v>
      </c>
      <c r="AD417">
        <v>0</v>
      </c>
      <c r="AE417">
        <v>0</v>
      </c>
      <c r="AF417">
        <v>0.0028</v>
      </c>
      <c r="AG417">
        <v>0</v>
      </c>
      <c r="AH417">
        <v>0</v>
      </c>
      <c r="AI417">
        <v>2</v>
      </c>
      <c r="AJ417">
        <v>0</v>
      </c>
      <c r="AK417">
        <v>0</v>
      </c>
      <c r="AL417">
        <v>80</v>
      </c>
      <c r="AM417">
        <v>0.49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1.05</v>
      </c>
      <c r="AU417">
        <v>0</v>
      </c>
      <c r="AV417">
        <v>0</v>
      </c>
    </row>
    <row r="418" spans="1:48" ht="12.75">
      <c r="A418" s="2" t="str">
        <f>HYPERLINK("https://ibp.a2mac1.com/costing(costing:projects/details/8191/equipment/6946678)","Equipment (Injection Molding)")</f>
        <v>Equipment (Injection Molding)</v>
      </c>
      <c r="B418">
        <v>6946678</v>
      </c>
      <c r="C418">
        <v>6974105</v>
      </c>
      <c r="H418" t="s">
        <v>136</v>
      </c>
      <c r="I418">
        <v>474.35311799999999</v>
      </c>
      <c r="J418">
        <v>0</v>
      </c>
      <c r="K418">
        <v>0.020160000000000001</v>
      </c>
      <c r="L418">
        <v>0</v>
      </c>
      <c r="M418">
        <v>0.11664876856316297</v>
      </c>
      <c r="N418">
        <v>0</v>
      </c>
      <c r="O418">
        <v>0.0019441461427193829</v>
      </c>
      <c r="P418">
        <v>0.00012394439999999999</v>
      </c>
      <c r="Q418">
        <v>1.0221037151268081E-05</v>
      </c>
      <c r="R418">
        <v>2520</v>
      </c>
      <c r="S418">
        <v>0</v>
      </c>
      <c r="T418">
        <v>0</v>
      </c>
      <c r="V418">
        <v>24.30</v>
      </c>
      <c r="W418">
        <v>7</v>
      </c>
      <c r="X418">
        <v>85</v>
      </c>
      <c r="Y418">
        <v>3</v>
      </c>
      <c r="Z418">
        <v>4</v>
      </c>
      <c r="AA418">
        <v>5</v>
      </c>
      <c r="AB418">
        <v>0</v>
      </c>
      <c r="AC418">
        <v>0</v>
      </c>
      <c r="AD418">
        <v>0</v>
      </c>
      <c r="AE418">
        <v>0</v>
      </c>
      <c r="AF418">
        <v>0.0018</v>
      </c>
      <c r="AG418">
        <v>0</v>
      </c>
      <c r="AH418">
        <v>0</v>
      </c>
      <c r="AI418">
        <v>2</v>
      </c>
      <c r="AJ418">
        <v>0</v>
      </c>
      <c r="AK418">
        <v>0</v>
      </c>
      <c r="AL418">
        <v>80</v>
      </c>
      <c r="AM418">
        <v>0.315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0.675</v>
      </c>
      <c r="AU418">
        <v>0</v>
      </c>
      <c r="AV418">
        <v>0</v>
      </c>
    </row>
    <row r="419" spans="1:48" ht="12.75">
      <c r="A419" s="2" t="str">
        <f>HYPERLINK("https://ibp.a2mac1.com/costing(costing:projects/details/8191/equipment/6946679)","Equipment (Injection Molding)")</f>
        <v>Equipment (Injection Molding)</v>
      </c>
      <c r="B419">
        <v>6946679</v>
      </c>
      <c r="C419">
        <v>6974106</v>
      </c>
      <c r="H419" t="s">
        <v>136</v>
      </c>
      <c r="I419">
        <v>210.82360800000001</v>
      </c>
      <c r="J419">
        <v>0</v>
      </c>
      <c r="K419">
        <v>0.0089599999999999992</v>
      </c>
      <c r="L419">
        <v>0</v>
      </c>
      <c r="M419">
        <v>0.05184389713918354</v>
      </c>
      <c r="N419">
        <v>0</v>
      </c>
      <c r="O419">
        <v>0.00086406495231972568</v>
      </c>
      <c r="P419">
        <v>5.5086400000000002E-05</v>
      </c>
      <c r="Q419">
        <v>4.5310183014850531E-06</v>
      </c>
      <c r="R419">
        <v>1120</v>
      </c>
      <c r="S419">
        <v>0</v>
      </c>
      <c r="T419">
        <v>0</v>
      </c>
      <c r="V419">
        <v>10.80</v>
      </c>
      <c r="W419">
        <v>7</v>
      </c>
      <c r="X419">
        <v>85</v>
      </c>
      <c r="Y419">
        <v>3</v>
      </c>
      <c r="Z419">
        <v>4</v>
      </c>
      <c r="AA419">
        <v>5</v>
      </c>
      <c r="AB419">
        <v>0</v>
      </c>
      <c r="AC419">
        <v>0</v>
      </c>
      <c r="AD419">
        <v>0</v>
      </c>
      <c r="AE419">
        <v>0</v>
      </c>
      <c r="AF419">
        <v>0.00080000000000000004</v>
      </c>
      <c r="AG419">
        <v>0</v>
      </c>
      <c r="AH419">
        <v>0</v>
      </c>
      <c r="AI419">
        <v>2</v>
      </c>
      <c r="AJ419">
        <v>0</v>
      </c>
      <c r="AK419">
        <v>0</v>
      </c>
      <c r="AL419">
        <v>80</v>
      </c>
      <c r="AM419">
        <v>0.14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0.30</v>
      </c>
      <c r="AU419">
        <v>0</v>
      </c>
      <c r="AV419">
        <v>0</v>
      </c>
    </row>
    <row r="420" spans="1:48" ht="12.75">
      <c r="A420" s="2" t="str">
        <f>HYPERLINK("https://ibp.a2mac1.com/costing(costing:projects/details/8191/equipment/6946680)","Equipment (Injection Molding)")</f>
        <v>Equipment (Injection Molding)</v>
      </c>
      <c r="B420">
        <v>6946680</v>
      </c>
      <c r="C420">
        <v>6974107</v>
      </c>
      <c r="H420" t="s">
        <v>136</v>
      </c>
      <c r="I420">
        <v>158.117706</v>
      </c>
      <c r="J420">
        <v>0</v>
      </c>
      <c r="K420">
        <v>0.0067200000000000003</v>
      </c>
      <c r="L420">
        <v>0</v>
      </c>
      <c r="M420">
        <v>0.038882922854387658</v>
      </c>
      <c r="N420">
        <v>0</v>
      </c>
      <c r="O420">
        <v>0.00064804871423979429</v>
      </c>
      <c r="P420">
        <v>4.13148E-05</v>
      </c>
      <c r="Q420">
        <v>3.3965139945853423E-06</v>
      </c>
      <c r="R420">
        <v>840</v>
      </c>
      <c r="S420">
        <v>0</v>
      </c>
      <c r="T420">
        <v>0</v>
      </c>
      <c r="V420">
        <v>8.10</v>
      </c>
      <c r="W420">
        <v>7</v>
      </c>
      <c r="X420">
        <v>85</v>
      </c>
      <c r="Y420">
        <v>3</v>
      </c>
      <c r="Z420">
        <v>4</v>
      </c>
      <c r="AA420">
        <v>5</v>
      </c>
      <c r="AB420">
        <v>0</v>
      </c>
      <c r="AC420">
        <v>0</v>
      </c>
      <c r="AD420">
        <v>0</v>
      </c>
      <c r="AE420">
        <v>0</v>
      </c>
      <c r="AF420">
        <v>0.00059999999999999995</v>
      </c>
      <c r="AG420">
        <v>0</v>
      </c>
      <c r="AH420">
        <v>0</v>
      </c>
      <c r="AI420">
        <v>2</v>
      </c>
      <c r="AJ420">
        <v>0</v>
      </c>
      <c r="AK420">
        <v>0</v>
      </c>
      <c r="AL420">
        <v>80</v>
      </c>
      <c r="AM420">
        <v>0.105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0.225</v>
      </c>
      <c r="AU420">
        <v>0</v>
      </c>
      <c r="AV420">
        <v>0</v>
      </c>
    </row>
    <row r="421" spans="1:48" ht="12.75">
      <c r="A421" s="2" t="str">
        <f>HYPERLINK("https://ibp.a2mac1.com/costing(costing:projects/details/8191/equipment/6946681)","Equipment (Injection Molding)")</f>
        <v>Equipment (Injection Molding)</v>
      </c>
      <c r="B421">
        <v>6946681</v>
      </c>
      <c r="C421">
        <v>6974108</v>
      </c>
      <c r="H421" t="s">
        <v>136</v>
      </c>
      <c r="I421">
        <v>579.76492199999996</v>
      </c>
      <c r="J421">
        <v>0</v>
      </c>
      <c r="K421">
        <v>0.024639999999999999</v>
      </c>
      <c r="L421">
        <v>0</v>
      </c>
      <c r="M421">
        <v>0.14257071713275474</v>
      </c>
      <c r="N421">
        <v>0</v>
      </c>
      <c r="O421">
        <v>0.0023761786188792457</v>
      </c>
      <c r="P421">
        <v>0.0001514876</v>
      </c>
      <c r="Q421">
        <v>1.2505210104980714E-05</v>
      </c>
      <c r="R421">
        <v>3080</v>
      </c>
      <c r="S421">
        <v>0</v>
      </c>
      <c r="T421">
        <v>0</v>
      </c>
      <c r="V421">
        <v>29.70</v>
      </c>
      <c r="W421">
        <v>7</v>
      </c>
      <c r="X421">
        <v>85</v>
      </c>
      <c r="Y421">
        <v>3</v>
      </c>
      <c r="Z421">
        <v>4</v>
      </c>
      <c r="AA421">
        <v>5</v>
      </c>
      <c r="AB421">
        <v>0</v>
      </c>
      <c r="AC421">
        <v>0</v>
      </c>
      <c r="AD421">
        <v>0</v>
      </c>
      <c r="AE421">
        <v>0</v>
      </c>
      <c r="AF421">
        <v>0.0022000000000000001</v>
      </c>
      <c r="AG421">
        <v>0</v>
      </c>
      <c r="AH421">
        <v>0</v>
      </c>
      <c r="AI421">
        <v>2</v>
      </c>
      <c r="AJ421">
        <v>0</v>
      </c>
      <c r="AK421">
        <v>0</v>
      </c>
      <c r="AL421">
        <v>80</v>
      </c>
      <c r="AM421">
        <v>0.385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0.825</v>
      </c>
      <c r="AU421">
        <v>0</v>
      </c>
      <c r="AV421">
        <v>0</v>
      </c>
    </row>
    <row r="422" spans="1:48" ht="12.75">
      <c r="A422" s="2" t="str">
        <f>HYPERLINK("https://ibp.a2mac1.com/costing(costing:projects/details/8191/equipment/6946682)","Equipment (Injection Molding)")</f>
        <v>Equipment (Injection Molding)</v>
      </c>
      <c r="B422">
        <v>6946682</v>
      </c>
      <c r="C422">
        <v>6974108</v>
      </c>
      <c r="H422" t="s">
        <v>136</v>
      </c>
      <c r="I422">
        <v>579.76492199999996</v>
      </c>
      <c r="J422">
        <v>0</v>
      </c>
      <c r="K422">
        <v>0.024639999999999999</v>
      </c>
      <c r="L422">
        <v>0</v>
      </c>
      <c r="M422">
        <v>0.14257071713275474</v>
      </c>
      <c r="N422">
        <v>0</v>
      </c>
      <c r="O422">
        <v>0.0023761786188792457</v>
      </c>
      <c r="P422">
        <v>0.0001514876</v>
      </c>
      <c r="Q422">
        <v>1.2505210104980714E-05</v>
      </c>
      <c r="R422">
        <v>3080</v>
      </c>
      <c r="S422">
        <v>0</v>
      </c>
      <c r="T422">
        <v>0</v>
      </c>
      <c r="V422">
        <v>29.70</v>
      </c>
      <c r="W422">
        <v>7</v>
      </c>
      <c r="X422">
        <v>85</v>
      </c>
      <c r="Y422">
        <v>3</v>
      </c>
      <c r="Z422">
        <v>4</v>
      </c>
      <c r="AA422">
        <v>5</v>
      </c>
      <c r="AB422">
        <v>0</v>
      </c>
      <c r="AC422">
        <v>0</v>
      </c>
      <c r="AD422">
        <v>0</v>
      </c>
      <c r="AE422">
        <v>0</v>
      </c>
      <c r="AF422">
        <v>0.0022000000000000001</v>
      </c>
      <c r="AG422">
        <v>0</v>
      </c>
      <c r="AH422">
        <v>0</v>
      </c>
      <c r="AI422">
        <v>2</v>
      </c>
      <c r="AJ422">
        <v>0</v>
      </c>
      <c r="AK422">
        <v>0</v>
      </c>
      <c r="AL422">
        <v>80</v>
      </c>
      <c r="AM422">
        <v>0.385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0.825</v>
      </c>
      <c r="AU422">
        <v>0</v>
      </c>
      <c r="AV422">
        <v>0</v>
      </c>
    </row>
    <row r="423" spans="1:48" ht="12.75">
      <c r="A423" s="2" t="str">
        <f>HYPERLINK("https://ibp.a2mac1.com/costing(costing:projects/details/8191/equipment/6946683)","Equipment (Injection Molding)")</f>
        <v>Equipment (Injection Molding)</v>
      </c>
      <c r="B423">
        <v>6946683</v>
      </c>
      <c r="C423">
        <v>6974109</v>
      </c>
      <c r="H423" t="s">
        <v>136</v>
      </c>
      <c r="I423">
        <v>843.29443200000003</v>
      </c>
      <c r="J423">
        <v>0</v>
      </c>
      <c r="K423">
        <v>0.035839999999999997</v>
      </c>
      <c r="L423">
        <v>0</v>
      </c>
      <c r="M423">
        <v>0.20737558855673416</v>
      </c>
      <c r="N423">
        <v>0</v>
      </c>
      <c r="O423">
        <v>0.0034562598092789027</v>
      </c>
      <c r="P423">
        <v>0.00022034560000000001</v>
      </c>
      <c r="Q423">
        <v>9.1180280118804245E-06</v>
      </c>
      <c r="R423">
        <v>4480</v>
      </c>
      <c r="S423">
        <v>0</v>
      </c>
      <c r="T423">
        <v>0</v>
      </c>
      <c r="V423">
        <v>43.20</v>
      </c>
      <c r="W423">
        <v>7</v>
      </c>
      <c r="X423">
        <v>85</v>
      </c>
      <c r="Y423">
        <v>3</v>
      </c>
      <c r="Z423">
        <v>4</v>
      </c>
      <c r="AA423">
        <v>5</v>
      </c>
      <c r="AB423">
        <v>0</v>
      </c>
      <c r="AC423">
        <v>0</v>
      </c>
      <c r="AD423">
        <v>0</v>
      </c>
      <c r="AE423">
        <v>0</v>
      </c>
      <c r="AF423">
        <v>0.0032000000000000002</v>
      </c>
      <c r="AG423">
        <v>0</v>
      </c>
      <c r="AH423">
        <v>0</v>
      </c>
      <c r="AI423">
        <v>2</v>
      </c>
      <c r="AJ423">
        <v>0</v>
      </c>
      <c r="AK423">
        <v>0</v>
      </c>
      <c r="AL423">
        <v>80</v>
      </c>
      <c r="AM423">
        <v>0.56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1.20</v>
      </c>
      <c r="AU423">
        <v>0</v>
      </c>
      <c r="AV423">
        <v>0</v>
      </c>
    </row>
    <row r="424" spans="1:48" ht="12.75">
      <c r="A424" s="2" t="str">
        <f>HYPERLINK("https://ibp.a2mac1.com/costing(costing:projects/details/8191/equipment/6946684)","Equipment (Injection Molding)")</f>
        <v>Equipment (Injection Molding)</v>
      </c>
      <c r="B424">
        <v>6946684</v>
      </c>
      <c r="C424">
        <v>6974110</v>
      </c>
      <c r="H424" t="s">
        <v>136</v>
      </c>
      <c r="I424">
        <v>316.235412</v>
      </c>
      <c r="J424">
        <v>0</v>
      </c>
      <c r="K424">
        <v>0.013440000000000001</v>
      </c>
      <c r="L424">
        <v>0</v>
      </c>
      <c r="M424">
        <v>0.077765845708775316</v>
      </c>
      <c r="N424">
        <v>0</v>
      </c>
      <c r="O424">
        <v>0.0012960974284795886</v>
      </c>
      <c r="P424">
        <v>8.2629599999999999E-05</v>
      </c>
      <c r="Q424">
        <v>6.8035263783413695E-06</v>
      </c>
      <c r="R424">
        <v>1680</v>
      </c>
      <c r="S424">
        <v>0</v>
      </c>
      <c r="T424">
        <v>0</v>
      </c>
      <c r="V424">
        <v>16.20</v>
      </c>
      <c r="W424">
        <v>7</v>
      </c>
      <c r="X424">
        <v>85</v>
      </c>
      <c r="Y424">
        <v>3</v>
      </c>
      <c r="Z424">
        <v>4</v>
      </c>
      <c r="AA424">
        <v>5</v>
      </c>
      <c r="AB424">
        <v>0</v>
      </c>
      <c r="AC424">
        <v>0</v>
      </c>
      <c r="AD424">
        <v>0</v>
      </c>
      <c r="AE424">
        <v>0</v>
      </c>
      <c r="AF424">
        <v>0.0011999999999999999</v>
      </c>
      <c r="AG424">
        <v>0</v>
      </c>
      <c r="AH424">
        <v>0</v>
      </c>
      <c r="AI424">
        <v>2</v>
      </c>
      <c r="AJ424">
        <v>0</v>
      </c>
      <c r="AK424">
        <v>0</v>
      </c>
      <c r="AL424">
        <v>80</v>
      </c>
      <c r="AM424">
        <v>0.21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0.45</v>
      </c>
      <c r="AU424">
        <v>0</v>
      </c>
      <c r="AV424">
        <v>0</v>
      </c>
    </row>
    <row r="425" spans="1:48" ht="12.75">
      <c r="A425" s="2" t="str">
        <f>HYPERLINK("https://ibp.a2mac1.com/costing(costing:projects/details/8191/equipment/6946685)","Equipment (Injection Molding)")</f>
        <v>Equipment (Injection Molding)</v>
      </c>
      <c r="B425">
        <v>6946685</v>
      </c>
      <c r="C425">
        <v>6974111</v>
      </c>
      <c r="H425" t="s">
        <v>136</v>
      </c>
      <c r="I425">
        <v>26.352951000000001</v>
      </c>
      <c r="J425">
        <v>0</v>
      </c>
      <c r="K425">
        <v>0.0011199999999999999</v>
      </c>
      <c r="L425">
        <v>0</v>
      </c>
      <c r="M425">
        <v>0.0064804871423979424</v>
      </c>
      <c r="N425">
        <v>0</v>
      </c>
      <c r="O425">
        <v>0.00010800811903996571</v>
      </c>
      <c r="P425">
        <v>6.8858000000000002E-06</v>
      </c>
      <c r="Q425">
        <v>2.8267830548035199E-07</v>
      </c>
      <c r="R425">
        <v>140</v>
      </c>
      <c r="S425">
        <v>0</v>
      </c>
      <c r="T425">
        <v>0</v>
      </c>
      <c r="V425">
        <v>1.35</v>
      </c>
      <c r="W425">
        <v>7</v>
      </c>
      <c r="X425">
        <v>85</v>
      </c>
      <c r="Y425">
        <v>3</v>
      </c>
      <c r="Z425">
        <v>4</v>
      </c>
      <c r="AA425">
        <v>5</v>
      </c>
      <c r="AB425">
        <v>0</v>
      </c>
      <c r="AC425">
        <v>0</v>
      </c>
      <c r="AD425">
        <v>0</v>
      </c>
      <c r="AE425">
        <v>0</v>
      </c>
      <c r="AF425">
        <v>0.0001</v>
      </c>
      <c r="AG425">
        <v>0</v>
      </c>
      <c r="AH425">
        <v>0</v>
      </c>
      <c r="AI425">
        <v>2</v>
      </c>
      <c r="AJ425">
        <v>0</v>
      </c>
      <c r="AK425">
        <v>0</v>
      </c>
      <c r="AL425">
        <v>80</v>
      </c>
      <c r="AM425">
        <v>0.0175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0.0375</v>
      </c>
      <c r="AU425">
        <v>0</v>
      </c>
      <c r="AV425">
        <v>0</v>
      </c>
    </row>
    <row r="426" spans="1:48" ht="12.75">
      <c r="A426" s="2" t="str">
        <f>HYPERLINK("https://ibp.a2mac1.com/costing(costing:projects/details/8191/equipment/6946686)","Equipment (Injection Molding)")</f>
        <v>Equipment (Injection Molding)</v>
      </c>
      <c r="B426">
        <v>6946686</v>
      </c>
      <c r="C426">
        <v>6974112</v>
      </c>
      <c r="H426" t="s">
        <v>136</v>
      </c>
      <c r="I426">
        <v>52.705902000000002</v>
      </c>
      <c r="J426">
        <v>0</v>
      </c>
      <c r="K426">
        <v>0.0022399999999999998</v>
      </c>
      <c r="L426">
        <v>0</v>
      </c>
      <c r="M426">
        <v>0.012960974284795885</v>
      </c>
      <c r="N426">
        <v>0</v>
      </c>
      <c r="O426">
        <v>0.00021601623807993142</v>
      </c>
      <c r="P426">
        <v>1.37716E-05</v>
      </c>
      <c r="Q426">
        <v>1.1310048438428157E-06</v>
      </c>
      <c r="R426">
        <v>280</v>
      </c>
      <c r="S426">
        <v>0</v>
      </c>
      <c r="T426">
        <v>0</v>
      </c>
      <c r="V426">
        <v>2.70</v>
      </c>
      <c r="W426">
        <v>7</v>
      </c>
      <c r="X426">
        <v>85</v>
      </c>
      <c r="Y426">
        <v>3</v>
      </c>
      <c r="Z426">
        <v>4</v>
      </c>
      <c r="AA426">
        <v>5</v>
      </c>
      <c r="AB426">
        <v>0</v>
      </c>
      <c r="AC426">
        <v>0</v>
      </c>
      <c r="AD426">
        <v>0</v>
      </c>
      <c r="AE426">
        <v>0</v>
      </c>
      <c r="AF426">
        <v>0.00020000000000000001</v>
      </c>
      <c r="AG426">
        <v>0</v>
      </c>
      <c r="AH426">
        <v>0</v>
      </c>
      <c r="AI426">
        <v>2</v>
      </c>
      <c r="AJ426">
        <v>0</v>
      </c>
      <c r="AK426">
        <v>0</v>
      </c>
      <c r="AL426">
        <v>80</v>
      </c>
      <c r="AM426">
        <v>0.035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0.075</v>
      </c>
      <c r="AU426">
        <v>0</v>
      </c>
      <c r="AV426">
        <v>0</v>
      </c>
    </row>
    <row r="427" spans="1:48" ht="12.75">
      <c r="A427" s="2" t="str">
        <f>HYPERLINK("https://ibp.a2mac1.com/costing(costing:projects/details/8191/equipment/6946687)","Equipment (Injection Molding)")</f>
        <v>Equipment (Injection Molding)</v>
      </c>
      <c r="B427">
        <v>6946687</v>
      </c>
      <c r="C427">
        <v>6974113</v>
      </c>
      <c r="H427" t="s">
        <v>136</v>
      </c>
      <c r="I427">
        <v>26.352951000000001</v>
      </c>
      <c r="J427">
        <v>0</v>
      </c>
      <c r="K427">
        <v>0.0011199999999999999</v>
      </c>
      <c r="L427">
        <v>0</v>
      </c>
      <c r="M427">
        <v>0.0064804871423979424</v>
      </c>
      <c r="N427">
        <v>0</v>
      </c>
      <c r="O427">
        <v>0.00010800811903996571</v>
      </c>
      <c r="P427">
        <v>6.8858000000000002E-06</v>
      </c>
      <c r="Q427">
        <v>2.8267830548035199E-07</v>
      </c>
      <c r="R427">
        <v>140</v>
      </c>
      <c r="S427">
        <v>0</v>
      </c>
      <c r="T427">
        <v>0</v>
      </c>
      <c r="V427">
        <v>1.35</v>
      </c>
      <c r="W427">
        <v>7</v>
      </c>
      <c r="X427">
        <v>85</v>
      </c>
      <c r="Y427">
        <v>3</v>
      </c>
      <c r="Z427">
        <v>4</v>
      </c>
      <c r="AA427">
        <v>5</v>
      </c>
      <c r="AB427">
        <v>0</v>
      </c>
      <c r="AC427">
        <v>0</v>
      </c>
      <c r="AD427">
        <v>0</v>
      </c>
      <c r="AE427">
        <v>0</v>
      </c>
      <c r="AF427">
        <v>0.0001</v>
      </c>
      <c r="AG427">
        <v>0</v>
      </c>
      <c r="AH427">
        <v>0</v>
      </c>
      <c r="AI427">
        <v>2</v>
      </c>
      <c r="AJ427">
        <v>0</v>
      </c>
      <c r="AK427">
        <v>0</v>
      </c>
      <c r="AL427">
        <v>80</v>
      </c>
      <c r="AM427">
        <v>0.0175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0.0375</v>
      </c>
      <c r="AU427">
        <v>0</v>
      </c>
      <c r="AV427">
        <v>0</v>
      </c>
    </row>
    <row r="428" spans="1:48" ht="12.75">
      <c r="A428" s="2" t="str">
        <f>HYPERLINK("https://ibp.a2mac1.com/costing(costing:projects/details/8191/equipment/6946578)","Equipment (Injection Molding)")</f>
        <v>Equipment (Injection Molding)</v>
      </c>
      <c r="B428">
        <v>6946578</v>
      </c>
      <c r="C428">
        <v>6974004</v>
      </c>
      <c r="H428" t="s">
        <v>136</v>
      </c>
      <c r="I428">
        <v>42691.780619999998</v>
      </c>
      <c r="J428">
        <v>0</v>
      </c>
      <c r="K428">
        <v>1.8144</v>
      </c>
      <c r="L428">
        <v>0</v>
      </c>
      <c r="M428">
        <v>10.498389170684668</v>
      </c>
      <c r="N428">
        <v>0</v>
      </c>
      <c r="O428">
        <v>0.17497315284474446</v>
      </c>
      <c r="P428">
        <v>0.011154996</v>
      </c>
      <c r="Q428">
        <v>0.0012983077812714562</v>
      </c>
      <c r="R428">
        <v>226800</v>
      </c>
      <c r="S428">
        <v>0</v>
      </c>
      <c r="T428">
        <v>0</v>
      </c>
      <c r="V428">
        <v>2187</v>
      </c>
      <c r="W428">
        <v>7</v>
      </c>
      <c r="X428">
        <v>85</v>
      </c>
      <c r="Y428">
        <v>3</v>
      </c>
      <c r="Z428">
        <v>4</v>
      </c>
      <c r="AA428">
        <v>5</v>
      </c>
      <c r="AB428">
        <v>0</v>
      </c>
      <c r="AC428">
        <v>0</v>
      </c>
      <c r="AD428">
        <v>0</v>
      </c>
      <c r="AE428">
        <v>0</v>
      </c>
      <c r="AF428">
        <v>0.16200000000000001</v>
      </c>
      <c r="AG428">
        <v>0</v>
      </c>
      <c r="AH428">
        <v>0</v>
      </c>
      <c r="AI428">
        <v>2</v>
      </c>
      <c r="AJ428">
        <v>0</v>
      </c>
      <c r="AK428">
        <v>0</v>
      </c>
      <c r="AL428">
        <v>80</v>
      </c>
      <c r="AM428">
        <v>28.35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60.75</v>
      </c>
      <c r="AU428">
        <v>0</v>
      </c>
      <c r="AV428">
        <v>0</v>
      </c>
    </row>
    <row r="429" spans="1:48" ht="12.75">
      <c r="A429" s="2" t="str">
        <f>HYPERLINK("https://ibp.a2mac1.com/costing(costing:projects/details/8191/equipment/6946579)","Equipment (Injection Molding)")</f>
        <v>Equipment (Injection Molding)</v>
      </c>
      <c r="B429">
        <v>6946579</v>
      </c>
      <c r="C429">
        <v>6974005</v>
      </c>
      <c r="H429" t="s">
        <v>136</v>
      </c>
      <c r="I429">
        <v>22083.772937999998</v>
      </c>
      <c r="J429">
        <v>0</v>
      </c>
      <c r="K429">
        <v>0.93855999999999995</v>
      </c>
      <c r="L429">
        <v>0</v>
      </c>
      <c r="M429">
        <v>5.4306482253294757</v>
      </c>
      <c r="N429">
        <v>0</v>
      </c>
      <c r="O429">
        <v>0.090510803755491268</v>
      </c>
      <c r="P429">
        <v>0.0057703004</v>
      </c>
      <c r="Q429">
        <v>0.0005760415226885873</v>
      </c>
      <c r="R429">
        <v>117320</v>
      </c>
      <c r="S429">
        <v>0</v>
      </c>
      <c r="T429">
        <v>0</v>
      </c>
      <c r="V429">
        <v>1131.30</v>
      </c>
      <c r="W429">
        <v>7</v>
      </c>
      <c r="X429">
        <v>85</v>
      </c>
      <c r="Y429">
        <v>3</v>
      </c>
      <c r="Z429">
        <v>4</v>
      </c>
      <c r="AA429">
        <v>5</v>
      </c>
      <c r="AB429">
        <v>0</v>
      </c>
      <c r="AC429">
        <v>0</v>
      </c>
      <c r="AD429">
        <v>0</v>
      </c>
      <c r="AE429">
        <v>0</v>
      </c>
      <c r="AF429">
        <v>0.083799999999999999</v>
      </c>
      <c r="AG429">
        <v>0</v>
      </c>
      <c r="AH429">
        <v>0</v>
      </c>
      <c r="AI429">
        <v>2</v>
      </c>
      <c r="AJ429">
        <v>0</v>
      </c>
      <c r="AK429">
        <v>0</v>
      </c>
      <c r="AL429">
        <v>80</v>
      </c>
      <c r="AM429">
        <v>14.665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31.425</v>
      </c>
      <c r="AU429">
        <v>0</v>
      </c>
      <c r="AV429">
        <v>0</v>
      </c>
    </row>
    <row r="430" spans="1:48" ht="12.75">
      <c r="A430" s="2" t="str">
        <f>HYPERLINK("https://ibp.a2mac1.com/costing(costing:projects/details/8191/equipment/6946580)","Equipment (Injection Molding)")</f>
        <v>Equipment (Injection Molding)</v>
      </c>
      <c r="B430">
        <v>6946580</v>
      </c>
      <c r="C430">
        <v>6974006</v>
      </c>
      <c r="H430" t="s">
        <v>136</v>
      </c>
      <c r="I430">
        <v>40688.956343999998</v>
      </c>
      <c r="J430">
        <v>0</v>
      </c>
      <c r="K430">
        <v>1.7292799999999999</v>
      </c>
      <c r="L430">
        <v>0</v>
      </c>
      <c r="M430">
        <v>10.005872147862423</v>
      </c>
      <c r="N430">
        <v>0</v>
      </c>
      <c r="O430">
        <v>0.16676453579770706</v>
      </c>
      <c r="P430">
        <v>0.010631675199999999</v>
      </c>
      <c r="Q430">
        <v>0.0012202894736167405</v>
      </c>
      <c r="R430">
        <v>216160</v>
      </c>
      <c r="S430">
        <v>0</v>
      </c>
      <c r="T430">
        <v>0</v>
      </c>
      <c r="V430">
        <v>2084.40</v>
      </c>
      <c r="W430">
        <v>7</v>
      </c>
      <c r="X430">
        <v>85</v>
      </c>
      <c r="Y430">
        <v>3</v>
      </c>
      <c r="Z430">
        <v>4</v>
      </c>
      <c r="AA430">
        <v>5</v>
      </c>
      <c r="AB430">
        <v>0</v>
      </c>
      <c r="AC430">
        <v>0</v>
      </c>
      <c r="AD430">
        <v>0</v>
      </c>
      <c r="AE430">
        <v>0</v>
      </c>
      <c r="AF430">
        <v>0.15440000000000001</v>
      </c>
      <c r="AG430">
        <v>0</v>
      </c>
      <c r="AH430">
        <v>0</v>
      </c>
      <c r="AI430">
        <v>2</v>
      </c>
      <c r="AJ430">
        <v>0</v>
      </c>
      <c r="AK430">
        <v>0</v>
      </c>
      <c r="AL430">
        <v>80</v>
      </c>
      <c r="AM430">
        <v>27.02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57.90</v>
      </c>
      <c r="AU430">
        <v>0</v>
      </c>
      <c r="AV430">
        <v>0</v>
      </c>
    </row>
    <row r="431" spans="1:48" ht="12.75">
      <c r="A431" s="2" t="str">
        <f>HYPERLINK("https://ibp.a2mac1.com/costing(costing:projects/details/8191/equipment/6946581)","Equipment (Injection Molding)")</f>
        <v>Equipment (Injection Molding)</v>
      </c>
      <c r="B431">
        <v>6946581</v>
      </c>
      <c r="C431">
        <v>6974007</v>
      </c>
      <c r="H431" t="s">
        <v>136</v>
      </c>
      <c r="I431">
        <v>23664.949998</v>
      </c>
      <c r="J431">
        <v>0</v>
      </c>
      <c r="K431">
        <v>1.00576</v>
      </c>
      <c r="L431">
        <v>0</v>
      </c>
      <c r="M431">
        <v>5.8194774538733522</v>
      </c>
      <c r="N431">
        <v>0</v>
      </c>
      <c r="O431">
        <v>0.096991290897889215</v>
      </c>
      <c r="P431">
        <v>0.0061834484000000004</v>
      </c>
      <c r="Q431">
        <v>0.00062514184035551105</v>
      </c>
      <c r="R431">
        <v>125720</v>
      </c>
      <c r="S431">
        <v>0</v>
      </c>
      <c r="T431">
        <v>0</v>
      </c>
      <c r="V431">
        <v>1212.30</v>
      </c>
      <c r="W431">
        <v>7</v>
      </c>
      <c r="X431">
        <v>85</v>
      </c>
      <c r="Y431">
        <v>3</v>
      </c>
      <c r="Z431">
        <v>4</v>
      </c>
      <c r="AA431">
        <v>5</v>
      </c>
      <c r="AB431">
        <v>0</v>
      </c>
      <c r="AC431">
        <v>0</v>
      </c>
      <c r="AD431">
        <v>0</v>
      </c>
      <c r="AE431">
        <v>0</v>
      </c>
      <c r="AF431">
        <v>0.089800000000000005</v>
      </c>
      <c r="AG431">
        <v>0</v>
      </c>
      <c r="AH431">
        <v>0</v>
      </c>
      <c r="AI431">
        <v>2</v>
      </c>
      <c r="AJ431">
        <v>0</v>
      </c>
      <c r="AK431">
        <v>0</v>
      </c>
      <c r="AL431">
        <v>80</v>
      </c>
      <c r="AM431">
        <v>15.715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33.675</v>
      </c>
      <c r="AU431">
        <v>0</v>
      </c>
      <c r="AV431">
        <v>0</v>
      </c>
    </row>
    <row r="432" spans="1:48" ht="12.75">
      <c r="A432" s="2" t="str">
        <f>HYPERLINK("https://ibp.a2mac1.com/costing(costing:projects/details/8191/equipment/6946582)","Equipment (Injection Molding)")</f>
        <v>Equipment (Injection Molding)</v>
      </c>
      <c r="B432">
        <v>6946582</v>
      </c>
      <c r="C432">
        <v>6974008</v>
      </c>
      <c r="H432" t="s">
        <v>136</v>
      </c>
      <c r="I432">
        <v>1001.412138</v>
      </c>
      <c r="J432">
        <v>0</v>
      </c>
      <c r="K432">
        <v>0.042560000000000001</v>
      </c>
      <c r="L432">
        <v>0</v>
      </c>
      <c r="M432">
        <v>0.24625851141112182</v>
      </c>
      <c r="N432">
        <v>0</v>
      </c>
      <c r="O432">
        <v>0.0041043085235186972</v>
      </c>
      <c r="P432">
        <v>0.00026166040000000001</v>
      </c>
      <c r="Q432">
        <v>2.1688561427256508E-05</v>
      </c>
      <c r="R432">
        <v>5320</v>
      </c>
      <c r="S432">
        <v>0</v>
      </c>
      <c r="T432">
        <v>0</v>
      </c>
      <c r="V432">
        <v>51.30</v>
      </c>
      <c r="W432">
        <v>7</v>
      </c>
      <c r="X432">
        <v>85</v>
      </c>
      <c r="Y432">
        <v>3</v>
      </c>
      <c r="Z432">
        <v>4</v>
      </c>
      <c r="AA432">
        <v>5</v>
      </c>
      <c r="AB432">
        <v>0</v>
      </c>
      <c r="AC432">
        <v>0</v>
      </c>
      <c r="AD432">
        <v>0</v>
      </c>
      <c r="AE432">
        <v>0</v>
      </c>
      <c r="AF432">
        <v>0.0038</v>
      </c>
      <c r="AG432">
        <v>0</v>
      </c>
      <c r="AH432">
        <v>0</v>
      </c>
      <c r="AI432">
        <v>2</v>
      </c>
      <c r="AJ432">
        <v>0</v>
      </c>
      <c r="AK432">
        <v>0</v>
      </c>
      <c r="AL432">
        <v>80</v>
      </c>
      <c r="AM432">
        <v>0.665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1.425</v>
      </c>
      <c r="AU432">
        <v>0</v>
      </c>
      <c r="AV432">
        <v>0</v>
      </c>
    </row>
    <row r="433" spans="1:48" ht="12.75">
      <c r="A433" s="2" t="str">
        <f>HYPERLINK("https://ibp.a2mac1.com/costing(costing:projects/details/8191/equipment/6946583)","Equipment (Injection Molding)")</f>
        <v>Equipment (Injection Molding)</v>
      </c>
      <c r="B433">
        <v>6946583</v>
      </c>
      <c r="C433">
        <v>6974009</v>
      </c>
      <c r="H433" t="s">
        <v>136</v>
      </c>
      <c r="I433">
        <v>20186.360465999998</v>
      </c>
      <c r="J433">
        <v>0</v>
      </c>
      <c r="K433">
        <v>0.85792000000000002</v>
      </c>
      <c r="L433">
        <v>0</v>
      </c>
      <c r="M433">
        <v>4.9640531510768238</v>
      </c>
      <c r="N433">
        <v>0</v>
      </c>
      <c r="O433">
        <v>0.082734219184613739</v>
      </c>
      <c r="P433">
        <v>0.0052745227999999996</v>
      </c>
      <c r="Q433">
        <v>0.00051850692885880905</v>
      </c>
      <c r="R433">
        <v>107240</v>
      </c>
      <c r="S433">
        <v>0</v>
      </c>
      <c r="T433">
        <v>0</v>
      </c>
      <c r="V433">
        <v>1034.10</v>
      </c>
      <c r="W433">
        <v>7</v>
      </c>
      <c r="X433">
        <v>85</v>
      </c>
      <c r="Y433">
        <v>3</v>
      </c>
      <c r="Z433">
        <v>4</v>
      </c>
      <c r="AA433">
        <v>5</v>
      </c>
      <c r="AB433">
        <v>0</v>
      </c>
      <c r="AC433">
        <v>0</v>
      </c>
      <c r="AD433">
        <v>0</v>
      </c>
      <c r="AE433">
        <v>0</v>
      </c>
      <c r="AF433">
        <v>0.076600000000000001</v>
      </c>
      <c r="AG433">
        <v>0</v>
      </c>
      <c r="AH433">
        <v>0</v>
      </c>
      <c r="AI433">
        <v>2</v>
      </c>
      <c r="AJ433">
        <v>0</v>
      </c>
      <c r="AK433">
        <v>0</v>
      </c>
      <c r="AL433">
        <v>80</v>
      </c>
      <c r="AM433">
        <v>13.405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28.725</v>
      </c>
      <c r="AU433">
        <v>0</v>
      </c>
      <c r="AV433">
        <v>0</v>
      </c>
    </row>
    <row r="434" spans="1:48" ht="12.75">
      <c r="A434" s="2" t="str">
        <f>HYPERLINK("https://ibp.a2mac1.com/costing(costing:projects/details/8191/equipment/6946584)","DC machine - General")</f>
        <v>DC machine - General</v>
      </c>
      <c r="B434">
        <v>6946584</v>
      </c>
      <c r="C434">
        <v>6974010</v>
      </c>
      <c r="E434" t="s">
        <v>659</v>
      </c>
      <c r="H434" t="s">
        <v>136</v>
      </c>
      <c r="I434">
        <v>116914.84457142858</v>
      </c>
      <c r="J434">
        <v>0</v>
      </c>
      <c r="K434">
        <v>3.60</v>
      </c>
      <c r="L434">
        <v>0</v>
      </c>
      <c r="M434">
        <v>27.497982091197134</v>
      </c>
      <c r="N434">
        <v>0</v>
      </c>
      <c r="O434">
        <v>0.54995964182394275</v>
      </c>
      <c r="P434">
        <v>0.082629599999999997</v>
      </c>
      <c r="Q434">
        <v>0.011732166376415484</v>
      </c>
      <c r="R434">
        <v>635568</v>
      </c>
      <c r="S434">
        <v>0</v>
      </c>
      <c r="T434">
        <v>0</v>
      </c>
      <c r="V434">
        <v>10800</v>
      </c>
      <c r="W434">
        <v>7</v>
      </c>
      <c r="X434">
        <v>85</v>
      </c>
      <c r="Y434">
        <v>3</v>
      </c>
      <c r="Z434">
        <v>4</v>
      </c>
      <c r="AA434">
        <v>5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3</v>
      </c>
      <c r="AJ434">
        <v>0</v>
      </c>
      <c r="AK434">
        <v>0</v>
      </c>
      <c r="AL434">
        <v>100</v>
      </c>
      <c r="AM434">
        <v>45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100</v>
      </c>
      <c r="AU434">
        <v>0</v>
      </c>
      <c r="AV434">
        <v>0</v>
      </c>
    </row>
    <row r="435" spans="1:48" ht="12.75">
      <c r="A435" s="2" t="str">
        <f>HYPERLINK("https://ibp.a2mac1.com/costing(costing:projects/details/8191/equipment/6946585)","Equipment (Injection Molding)")</f>
        <v>Equipment (Injection Molding)</v>
      </c>
      <c r="B435">
        <v>6946585</v>
      </c>
      <c r="C435">
        <v>6974011</v>
      </c>
      <c r="H435" t="s">
        <v>136</v>
      </c>
      <c r="I435">
        <v>1423.059354</v>
      </c>
      <c r="J435">
        <v>0</v>
      </c>
      <c r="K435">
        <v>0.060479999999999999</v>
      </c>
      <c r="L435">
        <v>0</v>
      </c>
      <c r="M435">
        <v>0.34994630568948892</v>
      </c>
      <c r="N435">
        <v>0</v>
      </c>
      <c r="O435">
        <v>0.0058324384281581484</v>
      </c>
      <c r="P435">
        <v>0.00037183319999999998</v>
      </c>
      <c r="Q435">
        <v>3.0946567961412728E-05</v>
      </c>
      <c r="R435">
        <v>7560</v>
      </c>
      <c r="S435">
        <v>0</v>
      </c>
      <c r="T435">
        <v>0</v>
      </c>
      <c r="V435">
        <v>72.90</v>
      </c>
      <c r="W435">
        <v>7</v>
      </c>
      <c r="X435">
        <v>85</v>
      </c>
      <c r="Y435">
        <v>3</v>
      </c>
      <c r="Z435">
        <v>4</v>
      </c>
      <c r="AA435">
        <v>5</v>
      </c>
      <c r="AB435">
        <v>0</v>
      </c>
      <c r="AC435">
        <v>0</v>
      </c>
      <c r="AD435">
        <v>0</v>
      </c>
      <c r="AE435">
        <v>0</v>
      </c>
      <c r="AF435">
        <v>0.0054000000000000003</v>
      </c>
      <c r="AG435">
        <v>0</v>
      </c>
      <c r="AH435">
        <v>0</v>
      </c>
      <c r="AI435">
        <v>2</v>
      </c>
      <c r="AJ435">
        <v>0</v>
      </c>
      <c r="AK435">
        <v>0</v>
      </c>
      <c r="AL435">
        <v>80</v>
      </c>
      <c r="AM435">
        <v>0.945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2.025</v>
      </c>
      <c r="AU435">
        <v>0</v>
      </c>
      <c r="AV435">
        <v>0</v>
      </c>
    </row>
    <row r="436" spans="1:48" ht="12.75">
      <c r="A436" s="2" t="str">
        <f>HYPERLINK("https://ibp.a2mac1.com/costing(costing:projects/details/8191/equipment/6946586)","DC machine - General")</f>
        <v>DC machine - General</v>
      </c>
      <c r="B436">
        <v>6946586</v>
      </c>
      <c r="C436">
        <v>6974012</v>
      </c>
      <c r="E436" t="s">
        <v>659</v>
      </c>
      <c r="H436" t="s">
        <v>136</v>
      </c>
      <c r="I436">
        <v>116914.84457142858</v>
      </c>
      <c r="J436">
        <v>0</v>
      </c>
      <c r="K436">
        <v>3.60</v>
      </c>
      <c r="L436">
        <v>0</v>
      </c>
      <c r="M436">
        <v>27.497982091197134</v>
      </c>
      <c r="N436">
        <v>0</v>
      </c>
      <c r="O436">
        <v>0.95479104483323385</v>
      </c>
      <c r="P436">
        <v>0.14345416666666666</v>
      </c>
      <c r="Q436">
        <v>0.011732166376415484</v>
      </c>
      <c r="R436">
        <v>635568</v>
      </c>
      <c r="S436">
        <v>0</v>
      </c>
      <c r="T436">
        <v>0</v>
      </c>
      <c r="V436">
        <v>10800</v>
      </c>
      <c r="W436">
        <v>7</v>
      </c>
      <c r="X436">
        <v>85</v>
      </c>
      <c r="Y436">
        <v>3</v>
      </c>
      <c r="Z436">
        <v>4</v>
      </c>
      <c r="AA436">
        <v>5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3</v>
      </c>
      <c r="AJ436">
        <v>0</v>
      </c>
      <c r="AK436">
        <v>0</v>
      </c>
      <c r="AL436">
        <v>100</v>
      </c>
      <c r="AM436">
        <v>45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100</v>
      </c>
      <c r="AU436">
        <v>0</v>
      </c>
      <c r="AV436">
        <v>0</v>
      </c>
    </row>
    <row r="437" spans="1:48" ht="12.75">
      <c r="A437" s="2" t="str">
        <f>HYPERLINK("https://ibp.a2mac1.com/costing(costing:projects/details/8191/equipment/6946587)","Equipment (Injection Molding)")</f>
        <v>Equipment (Injection Molding)</v>
      </c>
      <c r="B437">
        <v>6946587</v>
      </c>
      <c r="C437">
        <v>6974013</v>
      </c>
      <c r="H437" t="s">
        <v>136</v>
      </c>
      <c r="I437">
        <v>1370.3534520000001</v>
      </c>
      <c r="J437">
        <v>0</v>
      </c>
      <c r="K437">
        <v>0.05824</v>
      </c>
      <c r="L437">
        <v>0</v>
      </c>
      <c r="M437">
        <v>0.336985331404693</v>
      </c>
      <c r="N437">
        <v>0</v>
      </c>
      <c r="O437">
        <v>0.0056164221900782173</v>
      </c>
      <c r="P437">
        <v>0.0003580616</v>
      </c>
      <c r="Q437">
        <v>2.978523443774349E-05</v>
      </c>
      <c r="R437">
        <v>7280</v>
      </c>
      <c r="S437">
        <v>0</v>
      </c>
      <c r="T437">
        <v>0</v>
      </c>
      <c r="V437">
        <v>70.20</v>
      </c>
      <c r="W437">
        <v>7</v>
      </c>
      <c r="X437">
        <v>85</v>
      </c>
      <c r="Y437">
        <v>3</v>
      </c>
      <c r="Z437">
        <v>4</v>
      </c>
      <c r="AA437">
        <v>5</v>
      </c>
      <c r="AB437">
        <v>0</v>
      </c>
      <c r="AC437">
        <v>0</v>
      </c>
      <c r="AD437">
        <v>0</v>
      </c>
      <c r="AE437">
        <v>0</v>
      </c>
      <c r="AF437">
        <v>0.0051999999999999998</v>
      </c>
      <c r="AG437">
        <v>0</v>
      </c>
      <c r="AH437">
        <v>0</v>
      </c>
      <c r="AI437">
        <v>2</v>
      </c>
      <c r="AJ437">
        <v>0</v>
      </c>
      <c r="AK437">
        <v>0</v>
      </c>
      <c r="AL437">
        <v>80</v>
      </c>
      <c r="AM437">
        <v>0.91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1.95</v>
      </c>
      <c r="AU437">
        <v>0</v>
      </c>
      <c r="AV437">
        <v>0</v>
      </c>
    </row>
    <row r="438" spans="1:48" ht="12.75">
      <c r="A438" s="2" t="str">
        <f>HYPERLINK("https://ibp.a2mac1.com/costing(costing:projects/details/8191/equipment/6946588)","DC machine - General")</f>
        <v>DC machine - General</v>
      </c>
      <c r="B438">
        <v>6946588</v>
      </c>
      <c r="C438">
        <v>6974014</v>
      </c>
      <c r="E438" t="s">
        <v>659</v>
      </c>
      <c r="H438" t="s">
        <v>136</v>
      </c>
      <c r="I438">
        <v>116914.84457142858</v>
      </c>
      <c r="J438">
        <v>0</v>
      </c>
      <c r="K438">
        <v>3.60</v>
      </c>
      <c r="L438">
        <v>0</v>
      </c>
      <c r="M438">
        <v>27.497982091197134</v>
      </c>
      <c r="N438">
        <v>0</v>
      </c>
      <c r="O438">
        <v>0.35136310449863006</v>
      </c>
      <c r="P438">
        <v>0.05279113333333333</v>
      </c>
      <c r="Q438">
        <v>0.011732166376415484</v>
      </c>
      <c r="R438">
        <v>635568</v>
      </c>
      <c r="S438">
        <v>0</v>
      </c>
      <c r="T438">
        <v>0</v>
      </c>
      <c r="V438">
        <v>10800</v>
      </c>
      <c r="W438">
        <v>7</v>
      </c>
      <c r="X438">
        <v>85</v>
      </c>
      <c r="Y438">
        <v>3</v>
      </c>
      <c r="Z438">
        <v>4</v>
      </c>
      <c r="AA438">
        <v>5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3</v>
      </c>
      <c r="AJ438">
        <v>0</v>
      </c>
      <c r="AK438">
        <v>0</v>
      </c>
      <c r="AL438">
        <v>100</v>
      </c>
      <c r="AM438">
        <v>45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100</v>
      </c>
      <c r="AU438">
        <v>0</v>
      </c>
      <c r="AV438">
        <v>0</v>
      </c>
    </row>
    <row r="439" spans="1:48" ht="12.75">
      <c r="A439" s="2" t="str">
        <f>HYPERLINK("https://ibp.a2mac1.com/costing(costing:projects/details/8191/equipment/6946589)","Equipment (Injection Molding)")</f>
        <v>Equipment (Injection Molding)</v>
      </c>
      <c r="B439">
        <v>6946589</v>
      </c>
      <c r="C439">
        <v>6974015</v>
      </c>
      <c r="H439" t="s">
        <v>136</v>
      </c>
      <c r="I439">
        <v>1370.3534520000001</v>
      </c>
      <c r="J439">
        <v>0</v>
      </c>
      <c r="K439">
        <v>0.05824</v>
      </c>
      <c r="L439">
        <v>0</v>
      </c>
      <c r="M439">
        <v>0.336985331404693</v>
      </c>
      <c r="N439">
        <v>0</v>
      </c>
      <c r="O439">
        <v>0.0056164221900782173</v>
      </c>
      <c r="P439">
        <v>0.0003580616</v>
      </c>
      <c r="Q439">
        <v>2.978523443774349E-05</v>
      </c>
      <c r="R439">
        <v>7280</v>
      </c>
      <c r="S439">
        <v>0</v>
      </c>
      <c r="T439">
        <v>0</v>
      </c>
      <c r="V439">
        <v>70.20</v>
      </c>
      <c r="W439">
        <v>7</v>
      </c>
      <c r="X439">
        <v>85</v>
      </c>
      <c r="Y439">
        <v>3</v>
      </c>
      <c r="Z439">
        <v>4</v>
      </c>
      <c r="AA439">
        <v>5</v>
      </c>
      <c r="AB439">
        <v>0</v>
      </c>
      <c r="AC439">
        <v>0</v>
      </c>
      <c r="AD439">
        <v>0</v>
      </c>
      <c r="AE439">
        <v>0</v>
      </c>
      <c r="AF439">
        <v>0.0051999999999999998</v>
      </c>
      <c r="AG439">
        <v>0</v>
      </c>
      <c r="AH439">
        <v>0</v>
      </c>
      <c r="AI439">
        <v>2</v>
      </c>
      <c r="AJ439">
        <v>0</v>
      </c>
      <c r="AK439">
        <v>0</v>
      </c>
      <c r="AL439">
        <v>80</v>
      </c>
      <c r="AM439">
        <v>0.91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1.95</v>
      </c>
      <c r="AU439">
        <v>0</v>
      </c>
      <c r="AV439">
        <v>0</v>
      </c>
    </row>
    <row r="440" spans="1:48" ht="12.75">
      <c r="A440" s="2" t="str">
        <f>HYPERLINK("https://ibp.a2mac1.com/costing(costing:projects/details/8191/equipment/6946590)","No.04 - 60000x6000x3500 - Automatic Painting Line - with 12x100kW on line ovens ")</f>
        <v xml:space="preserve">No.04 - 60000x6000x3500 - Automatic Painting Line - with 12x100kW on line ovens </v>
      </c>
      <c r="B440">
        <v>6946590</v>
      </c>
      <c r="C440">
        <v>6974016</v>
      </c>
      <c r="E440" t="s">
        <v>499</v>
      </c>
      <c r="G440" t="s">
        <v>3633</v>
      </c>
      <c r="H440" t="s">
        <v>136</v>
      </c>
      <c r="I440">
        <v>1438767.4831999999</v>
      </c>
      <c r="J440">
        <v>0</v>
      </c>
      <c r="K440">
        <v>279.76751999999999</v>
      </c>
      <c r="L440">
        <v>0</v>
      </c>
      <c r="M440">
        <v>580.11587795564128</v>
      </c>
      <c r="N440">
        <v>0</v>
      </c>
      <c r="O440">
        <v>0.36096099072795457</v>
      </c>
      <c r="P440">
        <v>0.017994890666666666</v>
      </c>
      <c r="Q440">
        <v>0</v>
      </c>
      <c r="R440">
        <v>8600000</v>
      </c>
      <c r="S440">
        <v>0</v>
      </c>
      <c r="T440">
        <v>0</v>
      </c>
      <c r="V440">
        <v>0</v>
      </c>
      <c r="W440">
        <v>8</v>
      </c>
      <c r="X440">
        <v>85</v>
      </c>
      <c r="Y440">
        <v>3</v>
      </c>
      <c r="Z440">
        <v>4</v>
      </c>
      <c r="AA440">
        <v>5</v>
      </c>
      <c r="AB440">
        <v>0</v>
      </c>
      <c r="AC440">
        <v>0</v>
      </c>
      <c r="AD440">
        <v>0</v>
      </c>
      <c r="AE440">
        <v>0</v>
      </c>
      <c r="AF440">
        <v>7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100</v>
      </c>
      <c r="AM440">
        <v>3400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4</v>
      </c>
      <c r="AT440">
        <v>1620</v>
      </c>
      <c r="AU440">
        <v>5</v>
      </c>
      <c r="AV440">
        <v>0</v>
      </c>
    </row>
    <row r="441" spans="1:48" ht="12.75">
      <c r="A441" s="2" t="str">
        <f>HYPERLINK("https://ibp.a2mac1.com/costing(costing:projects/details/8191/equipment/6946591)","Loading + Unloading + Retouching + Checking")</f>
        <v>Loading + Unloading + Retouching + Checking</v>
      </c>
      <c r="B441">
        <v>6946591</v>
      </c>
      <c r="C441">
        <v>6974016</v>
      </c>
      <c r="E441" t="s">
        <v>499</v>
      </c>
      <c r="H441" t="s">
        <v>136</v>
      </c>
      <c r="I441">
        <v>116.23608</v>
      </c>
      <c r="J441">
        <v>0</v>
      </c>
      <c r="K441">
        <v>0</v>
      </c>
      <c r="L441">
        <v>0</v>
      </c>
      <c r="M441">
        <v>0.018681465766634521</v>
      </c>
      <c r="N441">
        <v>0</v>
      </c>
      <c r="O441">
        <v>1.1624023143683704E-05</v>
      </c>
      <c r="P441">
        <v>0.038560480000000001</v>
      </c>
      <c r="Q441">
        <v>0</v>
      </c>
      <c r="R441">
        <v>0</v>
      </c>
      <c r="S441">
        <v>0</v>
      </c>
      <c r="T441">
        <v>0</v>
      </c>
      <c r="V441">
        <v>0</v>
      </c>
      <c r="W441">
        <v>8</v>
      </c>
      <c r="X441">
        <v>85</v>
      </c>
      <c r="Y441">
        <v>3</v>
      </c>
      <c r="Z441">
        <v>4</v>
      </c>
      <c r="AA441">
        <v>5</v>
      </c>
      <c r="AB441">
        <v>0</v>
      </c>
      <c r="AC441">
        <v>0</v>
      </c>
      <c r="AD441">
        <v>0</v>
      </c>
      <c r="AE441">
        <v>0</v>
      </c>
      <c r="AF441">
        <v>15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100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3</v>
      </c>
      <c r="AU441">
        <v>0</v>
      </c>
      <c r="AV441">
        <v>0</v>
      </c>
    </row>
    <row r="442" spans="1:48" ht="12.75">
      <c r="A442" s="2" t="str">
        <f>HYPERLINK("https://ibp.a2mac1.com/costing(costing:projects/details/8191/equipment/6946592)","Masking (If Appl.)")</f>
        <v>Masking (If Appl.)</v>
      </c>
      <c r="B442">
        <v>6946592</v>
      </c>
      <c r="C442">
        <v>6974016</v>
      </c>
      <c r="E442" t="s">
        <v>499</v>
      </c>
      <c r="H442" t="s">
        <v>136</v>
      </c>
      <c r="I442">
        <v>116.23608</v>
      </c>
      <c r="J442">
        <v>0</v>
      </c>
      <c r="K442">
        <v>0</v>
      </c>
      <c r="L442">
        <v>0</v>
      </c>
      <c r="M442">
        <v>0.018681465766634521</v>
      </c>
      <c r="N442">
        <v>0</v>
      </c>
      <c r="O442">
        <v>1.1624023143683704E-05</v>
      </c>
      <c r="P442">
        <v>0</v>
      </c>
      <c r="Q442">
        <v>0</v>
      </c>
      <c r="R442">
        <v>0</v>
      </c>
      <c r="S442">
        <v>0</v>
      </c>
      <c r="T442">
        <v>0</v>
      </c>
      <c r="V442">
        <v>0</v>
      </c>
      <c r="W442">
        <v>8</v>
      </c>
      <c r="X442">
        <v>85</v>
      </c>
      <c r="Y442">
        <v>3</v>
      </c>
      <c r="Z442">
        <v>4</v>
      </c>
      <c r="AA442">
        <v>5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100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3</v>
      </c>
      <c r="AU442">
        <v>0</v>
      </c>
      <c r="AV442">
        <v>0</v>
      </c>
    </row>
    <row r="443" spans="1:48" ht="12.75">
      <c r="A443" s="2" t="str">
        <f>HYPERLINK("https://ibp.a2mac1.com/costing(costing:projects/details/8191/equipment/6946479)","Equipment (Injection Molding)")</f>
        <v>Equipment (Injection Molding)</v>
      </c>
      <c r="B443">
        <v>6946479</v>
      </c>
      <c r="C443">
        <v>6973921</v>
      </c>
      <c r="H443" t="s">
        <v>136</v>
      </c>
      <c r="I443">
        <v>4005.6485520000001</v>
      </c>
      <c r="J443">
        <v>0</v>
      </c>
      <c r="K443">
        <v>0.17024</v>
      </c>
      <c r="L443">
        <v>0</v>
      </c>
      <c r="M443">
        <v>0.98503404564448727</v>
      </c>
      <c r="N443">
        <v>0</v>
      </c>
      <c r="O443">
        <v>0.016417234094074789</v>
      </c>
      <c r="P443">
        <v>0.0010466416000000001</v>
      </c>
      <c r="Q443">
        <v>8.9280858036104149E-05</v>
      </c>
      <c r="R443">
        <v>21280</v>
      </c>
      <c r="S443">
        <v>0</v>
      </c>
      <c r="T443">
        <v>0</v>
      </c>
      <c r="V443">
        <v>205.20</v>
      </c>
      <c r="W443">
        <v>7</v>
      </c>
      <c r="X443">
        <v>85</v>
      </c>
      <c r="Y443">
        <v>3</v>
      </c>
      <c r="Z443">
        <v>4</v>
      </c>
      <c r="AA443">
        <v>5</v>
      </c>
      <c r="AB443">
        <v>0</v>
      </c>
      <c r="AC443">
        <v>0</v>
      </c>
      <c r="AD443">
        <v>0</v>
      </c>
      <c r="AE443">
        <v>0</v>
      </c>
      <c r="AF443">
        <v>0.0152</v>
      </c>
      <c r="AG443">
        <v>0</v>
      </c>
      <c r="AH443">
        <v>0</v>
      </c>
      <c r="AI443">
        <v>2</v>
      </c>
      <c r="AJ443">
        <v>0</v>
      </c>
      <c r="AK443">
        <v>0</v>
      </c>
      <c r="AL443">
        <v>80</v>
      </c>
      <c r="AM443">
        <v>2.66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5.70</v>
      </c>
      <c r="AU443">
        <v>0</v>
      </c>
      <c r="AV443">
        <v>0</v>
      </c>
    </row>
    <row r="444" spans="1:48" ht="12.75">
      <c r="A444" s="2" t="str">
        <f>HYPERLINK("https://ibp.a2mac1.com/costing(costing:projects/details/8191/equipment/6946480)","Equipment (Injection Molding)")</f>
        <v>Equipment (Injection Molding)</v>
      </c>
      <c r="B444">
        <v>6946480</v>
      </c>
      <c r="C444">
        <v>6973922</v>
      </c>
      <c r="H444" t="s">
        <v>136</v>
      </c>
      <c r="I444">
        <v>3373.1777280000001</v>
      </c>
      <c r="J444">
        <v>0</v>
      </c>
      <c r="K444">
        <v>0.14335999999999999</v>
      </c>
      <c r="L444">
        <v>0</v>
      </c>
      <c r="M444">
        <v>0.82950235422693663</v>
      </c>
      <c r="N444">
        <v>0</v>
      </c>
      <c r="O444">
        <v>0.013825039237115611</v>
      </c>
      <c r="P444">
        <v>0.00088138240000000003</v>
      </c>
      <c r="Q444">
        <v>7.4735949180173582E-05</v>
      </c>
      <c r="R444">
        <v>17920</v>
      </c>
      <c r="S444">
        <v>0</v>
      </c>
      <c r="T444">
        <v>0</v>
      </c>
      <c r="V444">
        <v>172.80</v>
      </c>
      <c r="W444">
        <v>7</v>
      </c>
      <c r="X444">
        <v>85</v>
      </c>
      <c r="Y444">
        <v>3</v>
      </c>
      <c r="Z444">
        <v>4</v>
      </c>
      <c r="AA444">
        <v>5</v>
      </c>
      <c r="AB444">
        <v>0</v>
      </c>
      <c r="AC444">
        <v>0</v>
      </c>
      <c r="AD444">
        <v>0</v>
      </c>
      <c r="AE444">
        <v>0</v>
      </c>
      <c r="AF444">
        <v>0.012800000000000001</v>
      </c>
      <c r="AG444">
        <v>0</v>
      </c>
      <c r="AH444">
        <v>0</v>
      </c>
      <c r="AI444">
        <v>2</v>
      </c>
      <c r="AJ444">
        <v>0</v>
      </c>
      <c r="AK444">
        <v>0</v>
      </c>
      <c r="AL444">
        <v>80</v>
      </c>
      <c r="AM444">
        <v>2.24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4.80</v>
      </c>
      <c r="AU444">
        <v>0</v>
      </c>
      <c r="AV444">
        <v>0</v>
      </c>
    </row>
    <row r="445" spans="1:48" ht="12.75">
      <c r="A445" s="2" t="str">
        <f>HYPERLINK("https://ibp.a2mac1.com/costing(costing:projects/details/8191/equipment/6946432)","Equipment (Injection Molding)")</f>
        <v>Equipment (Injection Molding)</v>
      </c>
      <c r="B445">
        <v>6946432</v>
      </c>
      <c r="C445">
        <v>6973875</v>
      </c>
      <c r="H445" t="s">
        <v>136</v>
      </c>
      <c r="I445">
        <v>221074.90593899999</v>
      </c>
      <c r="J445">
        <v>0</v>
      </c>
      <c r="K445">
        <v>9.3956800000000005</v>
      </c>
      <c r="L445">
        <v>0</v>
      </c>
      <c r="M445">
        <v>54.364806637576343</v>
      </c>
      <c r="N445">
        <v>0</v>
      </c>
      <c r="O445">
        <v>0.90608011062627236</v>
      </c>
      <c r="P445">
        <v>0.057764976199999998</v>
      </c>
      <c r="Q445">
        <v>0.015003046566059129</v>
      </c>
      <c r="R445">
        <v>1174460</v>
      </c>
      <c r="S445">
        <v>0</v>
      </c>
      <c r="T445">
        <v>0</v>
      </c>
      <c r="V445">
        <v>11325.15</v>
      </c>
      <c r="W445">
        <v>7</v>
      </c>
      <c r="X445">
        <v>85</v>
      </c>
      <c r="Y445">
        <v>3</v>
      </c>
      <c r="Z445">
        <v>4</v>
      </c>
      <c r="AA445">
        <v>5</v>
      </c>
      <c r="AB445">
        <v>0</v>
      </c>
      <c r="AC445">
        <v>0</v>
      </c>
      <c r="AD445">
        <v>0</v>
      </c>
      <c r="AE445">
        <v>0</v>
      </c>
      <c r="AF445">
        <v>0.83889999999999998</v>
      </c>
      <c r="AG445">
        <v>0</v>
      </c>
      <c r="AH445">
        <v>0</v>
      </c>
      <c r="AI445">
        <v>2</v>
      </c>
      <c r="AJ445">
        <v>0</v>
      </c>
      <c r="AK445">
        <v>0</v>
      </c>
      <c r="AL445">
        <v>80</v>
      </c>
      <c r="AM445">
        <v>146.8075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314.5875</v>
      </c>
      <c r="AU445">
        <v>0</v>
      </c>
      <c r="AV445">
        <v>0</v>
      </c>
    </row>
    <row r="446" spans="1:48" ht="12.75">
      <c r="A446" s="2" t="str">
        <f>HYPERLINK("https://ibp.a2mac1.com/costing(costing:projects/details/8191/equipment/6946433)","Equipment (Injection Molding)")</f>
        <v>Equipment (Injection Molding)</v>
      </c>
      <c r="B446">
        <v>6946433</v>
      </c>
      <c r="C446">
        <v>6973875</v>
      </c>
      <c r="H446" t="s">
        <v>136</v>
      </c>
      <c r="I446">
        <v>221074.90593899999</v>
      </c>
      <c r="J446">
        <v>0</v>
      </c>
      <c r="K446">
        <v>9.3956800000000005</v>
      </c>
      <c r="L446">
        <v>0</v>
      </c>
      <c r="M446">
        <v>54.364806637576343</v>
      </c>
      <c r="N446">
        <v>0</v>
      </c>
      <c r="O446">
        <v>0.90608011062627236</v>
      </c>
      <c r="P446">
        <v>0.057764976199999998</v>
      </c>
      <c r="Q446">
        <v>0.015003046566059129</v>
      </c>
      <c r="R446">
        <v>1174460</v>
      </c>
      <c r="S446">
        <v>0</v>
      </c>
      <c r="T446">
        <v>0</v>
      </c>
      <c r="V446">
        <v>11325.15</v>
      </c>
      <c r="W446">
        <v>7</v>
      </c>
      <c r="X446">
        <v>85</v>
      </c>
      <c r="Y446">
        <v>3</v>
      </c>
      <c r="Z446">
        <v>4</v>
      </c>
      <c r="AA446">
        <v>5</v>
      </c>
      <c r="AB446">
        <v>0</v>
      </c>
      <c r="AC446">
        <v>0</v>
      </c>
      <c r="AD446">
        <v>0</v>
      </c>
      <c r="AE446">
        <v>0</v>
      </c>
      <c r="AF446">
        <v>0.83889999999999998</v>
      </c>
      <c r="AG446">
        <v>0</v>
      </c>
      <c r="AH446">
        <v>0</v>
      </c>
      <c r="AI446">
        <v>2</v>
      </c>
      <c r="AJ446">
        <v>0</v>
      </c>
      <c r="AK446">
        <v>0</v>
      </c>
      <c r="AL446">
        <v>80</v>
      </c>
      <c r="AM446">
        <v>146.8075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314.5875</v>
      </c>
      <c r="AU446">
        <v>0</v>
      </c>
      <c r="AV446">
        <v>0</v>
      </c>
    </row>
    <row r="447" spans="1:48" ht="12.75">
      <c r="A447" s="2" t="str">
        <f>HYPERLINK("https://ibp.a2mac1.com/costing(costing:projects/details/8191/equipment/6946434)","Equipment (Injection Molding)")</f>
        <v>Equipment (Injection Molding)</v>
      </c>
      <c r="B447">
        <v>6946434</v>
      </c>
      <c r="C447">
        <v>6973876</v>
      </c>
      <c r="H447" t="s">
        <v>136</v>
      </c>
      <c r="I447">
        <v>333.80404540714284</v>
      </c>
      <c r="J447">
        <v>0</v>
      </c>
      <c r="K447">
        <v>0.014186880000000001</v>
      </c>
      <c r="L447">
        <v>0</v>
      </c>
      <c r="M447">
        <v>0.082086383681636593</v>
      </c>
      <c r="N447">
        <v>0</v>
      </c>
      <c r="O447">
        <v>0.0013681063946939431</v>
      </c>
      <c r="P447">
        <v>8.7449660000000001E-05</v>
      </c>
      <c r="Q447">
        <v>2.3942438064497556E-06</v>
      </c>
      <c r="R447">
        <v>1773.3333299999999</v>
      </c>
      <c r="S447">
        <v>0</v>
      </c>
      <c r="T447">
        <v>0</v>
      </c>
      <c r="V447">
        <v>17.10</v>
      </c>
      <c r="W447">
        <v>7</v>
      </c>
      <c r="X447">
        <v>85</v>
      </c>
      <c r="Y447">
        <v>3</v>
      </c>
      <c r="Z447">
        <v>4</v>
      </c>
      <c r="AA447">
        <v>5</v>
      </c>
      <c r="AB447">
        <v>0</v>
      </c>
      <c r="AC447">
        <v>0</v>
      </c>
      <c r="AD447">
        <v>0</v>
      </c>
      <c r="AE447">
        <v>0</v>
      </c>
      <c r="AF447">
        <v>0.0012700000000000001</v>
      </c>
      <c r="AG447">
        <v>0</v>
      </c>
      <c r="AH447">
        <v>0</v>
      </c>
      <c r="AI447">
        <v>2</v>
      </c>
      <c r="AJ447">
        <v>0</v>
      </c>
      <c r="AK447">
        <v>0</v>
      </c>
      <c r="AL447">
        <v>80</v>
      </c>
      <c r="AM447">
        <v>0.22167000000000001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0.475</v>
      </c>
      <c r="AU447">
        <v>0</v>
      </c>
      <c r="AV447">
        <v>0</v>
      </c>
    </row>
    <row r="448" spans="1:48" ht="12.75">
      <c r="A448" s="2" t="str">
        <f>HYPERLINK("https://ibp.a2mac1.com/costing(costing:projects/details/8191/equipment/6946435)","Equipment (Injection Molding)")</f>
        <v>Equipment (Injection Molding)</v>
      </c>
      <c r="B448">
        <v>6946435</v>
      </c>
      <c r="C448">
        <v>6973877</v>
      </c>
      <c r="H448" t="s">
        <v>136</v>
      </c>
      <c r="I448">
        <v>948.70623599999999</v>
      </c>
      <c r="J448">
        <v>0</v>
      </c>
      <c r="K448">
        <v>0.040320000000000002</v>
      </c>
      <c r="L448">
        <v>0</v>
      </c>
      <c r="M448">
        <v>0.23329753712632595</v>
      </c>
      <c r="N448">
        <v>0</v>
      </c>
      <c r="O448">
        <v>0.0038882922854387657</v>
      </c>
      <c r="P448">
        <v>0.00024788879999999998</v>
      </c>
      <c r="Q448">
        <v>2.0536559805072325E-05</v>
      </c>
      <c r="R448">
        <v>5040</v>
      </c>
      <c r="S448">
        <v>0</v>
      </c>
      <c r="T448">
        <v>0</v>
      </c>
      <c r="V448">
        <v>48.60</v>
      </c>
      <c r="W448">
        <v>7</v>
      </c>
      <c r="X448">
        <v>85</v>
      </c>
      <c r="Y448">
        <v>3</v>
      </c>
      <c r="Z448">
        <v>4</v>
      </c>
      <c r="AA448">
        <v>5</v>
      </c>
      <c r="AB448">
        <v>0</v>
      </c>
      <c r="AC448">
        <v>0</v>
      </c>
      <c r="AD448">
        <v>0</v>
      </c>
      <c r="AE448">
        <v>0</v>
      </c>
      <c r="AF448">
        <v>0.0035999999999999999</v>
      </c>
      <c r="AG448">
        <v>0</v>
      </c>
      <c r="AH448">
        <v>0</v>
      </c>
      <c r="AI448">
        <v>2</v>
      </c>
      <c r="AJ448">
        <v>0</v>
      </c>
      <c r="AK448">
        <v>0</v>
      </c>
      <c r="AL448">
        <v>80</v>
      </c>
      <c r="AM448">
        <v>0.63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1.35</v>
      </c>
      <c r="AU448">
        <v>0</v>
      </c>
      <c r="AV448">
        <v>0</v>
      </c>
    </row>
    <row r="449" spans="1:48" ht="12.75">
      <c r="A449" s="2" t="str">
        <f>HYPERLINK("https://ibp.a2mac1.com/costing(costing:projects/details/8191/equipment/6946481)","Handling/Visual inspection/packaging")</f>
        <v>Handling/Visual inspection/packaging</v>
      </c>
      <c r="B449">
        <v>6946481</v>
      </c>
      <c r="C449">
        <v>6973923</v>
      </c>
      <c r="H449" t="s">
        <v>136</v>
      </c>
      <c r="I449">
        <v>4437.4535986499995</v>
      </c>
      <c r="J449">
        <v>0</v>
      </c>
      <c r="K449">
        <v>0.08</v>
      </c>
      <c r="L449">
        <v>0</v>
      </c>
      <c r="M449">
        <v>1.0342676949774992</v>
      </c>
      <c r="N449">
        <v>0</v>
      </c>
      <c r="O449">
        <v>0.0014364829096909712</v>
      </c>
      <c r="P449">
        <v>0.0057381666666666666</v>
      </c>
      <c r="Q449">
        <v>1.5514015424662487E-05</v>
      </c>
      <c r="R449">
        <v>29999.99999</v>
      </c>
      <c r="S449">
        <v>2076.165</v>
      </c>
      <c r="T449">
        <v>0</v>
      </c>
      <c r="V449">
        <v>900</v>
      </c>
      <c r="W449">
        <v>10</v>
      </c>
      <c r="X449">
        <v>85</v>
      </c>
      <c r="Y449">
        <v>3</v>
      </c>
      <c r="Z449">
        <v>4</v>
      </c>
      <c r="AA449">
        <v>5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50</v>
      </c>
      <c r="AM449">
        <v>2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10</v>
      </c>
      <c r="AU449">
        <v>0</v>
      </c>
      <c r="AV449">
        <v>0</v>
      </c>
    </row>
    <row r="450" spans="1:48" ht="12.75">
      <c r="A450" s="2" t="str">
        <f>HYPERLINK("https://ibp.a2mac1.com/costing(costing:projects/details/8191/equipment/6946482)","No.01 - Waterjet Cutting ")</f>
        <v xml:space="preserve">No.01 - Waterjet Cutting </v>
      </c>
      <c r="B450">
        <v>6946482</v>
      </c>
      <c r="C450">
        <v>6973924</v>
      </c>
      <c r="E450" t="s">
        <v>499</v>
      </c>
      <c r="G450" t="s">
        <v>3866</v>
      </c>
      <c r="H450" t="s">
        <v>136</v>
      </c>
      <c r="I450">
        <v>708874.37878499995</v>
      </c>
      <c r="J450">
        <v>0</v>
      </c>
      <c r="K450">
        <v>5.52</v>
      </c>
      <c r="L450">
        <v>0</v>
      </c>
      <c r="M450">
        <v>143.55830686837029</v>
      </c>
      <c r="N450">
        <v>0</v>
      </c>
      <c r="O450">
        <v>2.3926384478061715</v>
      </c>
      <c r="P450">
        <v>0.034429000000000001</v>
      </c>
      <c r="Q450">
        <v>0.00093671128121022179</v>
      </c>
      <c r="R450">
        <v>2999999.3309999998</v>
      </c>
      <c r="S450">
        <v>922.74</v>
      </c>
      <c r="T450">
        <v>0</v>
      </c>
      <c r="V450">
        <v>360</v>
      </c>
      <c r="W450">
        <v>5</v>
      </c>
      <c r="X450">
        <v>85</v>
      </c>
      <c r="Y450">
        <v>3</v>
      </c>
      <c r="Z450">
        <v>4</v>
      </c>
      <c r="AA450">
        <v>5</v>
      </c>
      <c r="AB450">
        <v>0</v>
      </c>
      <c r="AC450">
        <v>0</v>
      </c>
      <c r="AD450">
        <v>0</v>
      </c>
      <c r="AE450">
        <v>0</v>
      </c>
      <c r="AF450">
        <v>0.50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92</v>
      </c>
      <c r="AM450">
        <v>75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100</v>
      </c>
      <c r="AU450">
        <v>0</v>
      </c>
      <c r="AV450">
        <v>0</v>
      </c>
    </row>
    <row r="451" spans="1:48" ht="12.75">
      <c r="A451" s="2" t="str">
        <f>HYPERLINK("https://ibp.a2mac1.com/costing(costing:projects/details/8191/equipment/6946483)","Foaming")</f>
        <v>Foaming</v>
      </c>
      <c r="B451">
        <v>6946483</v>
      </c>
      <c r="C451">
        <v>6973925</v>
      </c>
      <c r="E451" t="s">
        <v>603</v>
      </c>
      <c r="G451" t="s">
        <v>2871</v>
      </c>
      <c r="H451" t="s">
        <v>136</v>
      </c>
      <c r="I451">
        <v>40021.674361199999</v>
      </c>
      <c r="J451">
        <v>0</v>
      </c>
      <c r="K451">
        <v>1.9958800000000001</v>
      </c>
      <c r="L451">
        <v>0</v>
      </c>
      <c r="M451">
        <v>10.758599176663452</v>
      </c>
      <c r="N451">
        <v>0</v>
      </c>
      <c r="O451">
        <v>0.17930998627772421</v>
      </c>
      <c r="P451">
        <v>0.068858000000000003</v>
      </c>
      <c r="Q451">
        <v>0.0013991303505998072</v>
      </c>
      <c r="R451">
        <v>289999.28711999999</v>
      </c>
      <c r="S451">
        <v>49827.96</v>
      </c>
      <c r="T451">
        <v>0</v>
      </c>
      <c r="V451">
        <v>3600</v>
      </c>
      <c r="W451">
        <v>10</v>
      </c>
      <c r="X451">
        <v>85</v>
      </c>
      <c r="Y451">
        <v>3</v>
      </c>
      <c r="Z451">
        <v>4</v>
      </c>
      <c r="AA451">
        <v>5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100</v>
      </c>
      <c r="AM451">
        <v>16.30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</v>
      </c>
      <c r="AT451">
        <v>22.50</v>
      </c>
      <c r="AU451">
        <v>0</v>
      </c>
      <c r="AV451">
        <v>0</v>
      </c>
    </row>
    <row r="452" spans="1:48" ht="12.75">
      <c r="A452" s="2" t="str">
        <f>HYPERLINK("https://ibp.a2mac1.com/costing(costing:projects/details/8191/equipment/6946484)","Thermocompression for Interior ")</f>
        <v xml:space="preserve">Thermocompression for Interior </v>
      </c>
      <c r="B452">
        <v>6946484</v>
      </c>
      <c r="C452">
        <v>6973926</v>
      </c>
      <c r="F452" t="s">
        <v>3871</v>
      </c>
      <c r="H452" t="s">
        <v>136</v>
      </c>
      <c r="I452">
        <v>48792.380391899998</v>
      </c>
      <c r="J452">
        <v>0</v>
      </c>
      <c r="K452">
        <v>0.74399999999999999</v>
      </c>
      <c r="L452">
        <v>0</v>
      </c>
      <c r="M452">
        <v>11.455729409980714</v>
      </c>
      <c r="N452">
        <v>0</v>
      </c>
      <c r="O452">
        <v>0.21638599996630237</v>
      </c>
      <c r="P452">
        <v>0.23724897777777779</v>
      </c>
      <c r="Q452">
        <v>1.1455729409980713E-05</v>
      </c>
      <c r="R452">
        <v>357119.99994000001</v>
      </c>
      <c r="S452">
        <v>189346.24799999999</v>
      </c>
      <c r="T452">
        <v>0</v>
      </c>
      <c r="V452">
        <v>60</v>
      </c>
      <c r="W452">
        <v>10</v>
      </c>
      <c r="X452">
        <v>85</v>
      </c>
      <c r="Y452">
        <v>3</v>
      </c>
      <c r="Z452">
        <v>4</v>
      </c>
      <c r="AA452">
        <v>5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93</v>
      </c>
      <c r="AM452">
        <v>10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15</v>
      </c>
      <c r="AU452">
        <v>0</v>
      </c>
      <c r="AV452">
        <v>0</v>
      </c>
    </row>
    <row r="453" spans="1:48" ht="12.75">
      <c r="A453" s="2" t="str">
        <f>HYPERLINK("https://ibp.a2mac1.com/costing(costing:projects/details/8191/equipment/6946485)","Die cutting")</f>
        <v>Die cutting</v>
      </c>
      <c r="B453">
        <v>6946485</v>
      </c>
      <c r="C453">
        <v>6973927</v>
      </c>
      <c r="F453" t="s">
        <v>3876</v>
      </c>
      <c r="H453" t="s">
        <v>136</v>
      </c>
      <c r="I453">
        <v>8296.6265946000003</v>
      </c>
      <c r="J453">
        <v>0</v>
      </c>
      <c r="K453">
        <v>0.068000000000000005</v>
      </c>
      <c r="L453">
        <v>0</v>
      </c>
      <c r="M453">
        <v>1.7799808088396014</v>
      </c>
      <c r="N453">
        <v>0</v>
      </c>
      <c r="O453">
        <v>0.0074165867034983396</v>
      </c>
      <c r="P453">
        <v>0.069548833333333338</v>
      </c>
      <c r="Q453">
        <v>5.339942426518804E-05</v>
      </c>
      <c r="R453">
        <v>47106.359960000002</v>
      </c>
      <c r="S453">
        <v>6975.9143999999997</v>
      </c>
      <c r="T453">
        <v>0</v>
      </c>
      <c r="V453">
        <v>1800</v>
      </c>
      <c r="W453">
        <v>10</v>
      </c>
      <c r="X453">
        <v>85</v>
      </c>
      <c r="Y453">
        <v>3</v>
      </c>
      <c r="Z453">
        <v>4</v>
      </c>
      <c r="AA453">
        <v>5</v>
      </c>
      <c r="AB453">
        <v>0</v>
      </c>
      <c r="AC453">
        <v>0</v>
      </c>
      <c r="AD453">
        <v>1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85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50</v>
      </c>
      <c r="AU453">
        <v>0</v>
      </c>
      <c r="AV453">
        <v>0</v>
      </c>
    </row>
    <row r="454" spans="1:48" ht="12.75">
      <c r="A454" s="2" t="str">
        <f>HYPERLINK("https://ibp.a2mac1.com/costing(costing:projects/details/8191/equipment/6946486)","DC machine - General")</f>
        <v>DC machine - General</v>
      </c>
      <c r="B454">
        <v>6946486</v>
      </c>
      <c r="C454">
        <v>6973928</v>
      </c>
      <c r="E454" t="s">
        <v>659</v>
      </c>
      <c r="H454" t="s">
        <v>136</v>
      </c>
      <c r="I454">
        <v>116914.84457142858</v>
      </c>
      <c r="J454">
        <v>0</v>
      </c>
      <c r="K454">
        <v>3.60</v>
      </c>
      <c r="L454">
        <v>0</v>
      </c>
      <c r="M454">
        <v>27.497982091197134</v>
      </c>
      <c r="N454">
        <v>0</v>
      </c>
      <c r="O454">
        <v>0.045829970151995227</v>
      </c>
      <c r="P454">
        <v>0.0068858000000000001</v>
      </c>
      <c r="Q454">
        <v>0.011732166376415484</v>
      </c>
      <c r="R454">
        <v>635568</v>
      </c>
      <c r="S454">
        <v>0</v>
      </c>
      <c r="T454">
        <v>0</v>
      </c>
      <c r="V454">
        <v>10800</v>
      </c>
      <c r="W454">
        <v>7</v>
      </c>
      <c r="X454">
        <v>85</v>
      </c>
      <c r="Y454">
        <v>3</v>
      </c>
      <c r="Z454">
        <v>4</v>
      </c>
      <c r="AA454">
        <v>5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3</v>
      </c>
      <c r="AJ454">
        <v>0</v>
      </c>
      <c r="AK454">
        <v>0</v>
      </c>
      <c r="AL454">
        <v>100</v>
      </c>
      <c r="AM454">
        <v>45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100</v>
      </c>
      <c r="AU454">
        <v>0</v>
      </c>
      <c r="AV454">
        <v>0</v>
      </c>
    </row>
    <row r="455" spans="1:48" ht="12.75">
      <c r="A455" s="2" t="str">
        <f>HYPERLINK("https://ibp.a2mac1.com/costing(costing:projects/details/8191/equipment/6946487)","Die cutting")</f>
        <v>Die cutting</v>
      </c>
      <c r="B455">
        <v>6946487</v>
      </c>
      <c r="C455">
        <v>6973929</v>
      </c>
      <c r="F455" t="s">
        <v>3876</v>
      </c>
      <c r="H455" t="s">
        <v>136</v>
      </c>
      <c r="I455">
        <v>8296.6265946000003</v>
      </c>
      <c r="J455">
        <v>0</v>
      </c>
      <c r="K455">
        <v>0.068000000000000005</v>
      </c>
      <c r="L455">
        <v>0</v>
      </c>
      <c r="M455">
        <v>1.7799808088396014</v>
      </c>
      <c r="N455">
        <v>0</v>
      </c>
      <c r="O455">
        <v>0.0074165867034983396</v>
      </c>
      <c r="P455">
        <v>0.069548833333333338</v>
      </c>
      <c r="Q455">
        <v>5.339942426518804E-05</v>
      </c>
      <c r="R455">
        <v>47106.359960000002</v>
      </c>
      <c r="S455">
        <v>6975.9143999999997</v>
      </c>
      <c r="T455">
        <v>0</v>
      </c>
      <c r="V455">
        <v>1800</v>
      </c>
      <c r="W455">
        <v>10</v>
      </c>
      <c r="X455">
        <v>85</v>
      </c>
      <c r="Y455">
        <v>3</v>
      </c>
      <c r="Z455">
        <v>4</v>
      </c>
      <c r="AA455">
        <v>5</v>
      </c>
      <c r="AB455">
        <v>0</v>
      </c>
      <c r="AC455">
        <v>0</v>
      </c>
      <c r="AD455">
        <v>1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85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50</v>
      </c>
      <c r="AU455">
        <v>0</v>
      </c>
      <c r="AV455">
        <v>0</v>
      </c>
    </row>
    <row r="456" spans="1:48" ht="12.75">
      <c r="A456" s="2" t="str">
        <f>HYPERLINK("https://ibp.a2mac1.com/costing(costing:projects/details/8191/equipment/6946488)","Heat press cutting machine")</f>
        <v>Heat press cutting machine</v>
      </c>
      <c r="B456">
        <v>6946488</v>
      </c>
      <c r="C456">
        <v>6973930</v>
      </c>
      <c r="H456" t="s">
        <v>136</v>
      </c>
      <c r="I456">
        <v>35384.868000000002</v>
      </c>
      <c r="J456">
        <v>0</v>
      </c>
      <c r="K456">
        <v>1.60</v>
      </c>
      <c r="L456">
        <v>0</v>
      </c>
      <c r="M456">
        <v>9.2780565734490512</v>
      </c>
      <c r="N456">
        <v>0</v>
      </c>
      <c r="O456">
        <v>0.038658569056037713</v>
      </c>
      <c r="P456">
        <v>0.017214500000000001</v>
      </c>
      <c r="Q456">
        <v>0.0013102977944069432</v>
      </c>
      <c r="R456">
        <v>247760</v>
      </c>
      <c r="S456">
        <v>0</v>
      </c>
      <c r="T456">
        <v>0</v>
      </c>
      <c r="V456">
        <v>3600</v>
      </c>
      <c r="W456">
        <v>10</v>
      </c>
      <c r="X456">
        <v>85</v>
      </c>
      <c r="Y456">
        <v>3</v>
      </c>
      <c r="Z456">
        <v>4</v>
      </c>
      <c r="AA456">
        <v>5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100</v>
      </c>
      <c r="AM456">
        <v>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50</v>
      </c>
      <c r="AU456">
        <v>0</v>
      </c>
      <c r="AV456">
        <v>0</v>
      </c>
    </row>
    <row r="457" spans="1:48" ht="12.75">
      <c r="A457" s="2" t="str">
        <f>HYPERLINK("https://ibp.a2mac1.com/costing(costing:projects/details/8191/equipment/6946489)","Die cutting")</f>
        <v>Die cutting</v>
      </c>
      <c r="B457">
        <v>6946489</v>
      </c>
      <c r="C457">
        <v>6973931</v>
      </c>
      <c r="F457" t="s">
        <v>3876</v>
      </c>
      <c r="H457" t="s">
        <v>136</v>
      </c>
      <c r="I457">
        <v>8296.6265946000003</v>
      </c>
      <c r="J457">
        <v>0</v>
      </c>
      <c r="K457">
        <v>0.068000000000000005</v>
      </c>
      <c r="L457">
        <v>0</v>
      </c>
      <c r="M457">
        <v>1.7799808088396014</v>
      </c>
      <c r="N457">
        <v>0</v>
      </c>
      <c r="O457">
        <v>0.0074165867034983396</v>
      </c>
      <c r="P457">
        <v>0.069548833333333338</v>
      </c>
      <c r="Q457">
        <v>5.339942426518804E-05</v>
      </c>
      <c r="R457">
        <v>47106.359960000002</v>
      </c>
      <c r="S457">
        <v>6975.9143999999997</v>
      </c>
      <c r="T457">
        <v>0</v>
      </c>
      <c r="V457">
        <v>1800</v>
      </c>
      <c r="W457">
        <v>10</v>
      </c>
      <c r="X457">
        <v>85</v>
      </c>
      <c r="Y457">
        <v>3</v>
      </c>
      <c r="Z457">
        <v>4</v>
      </c>
      <c r="AA457">
        <v>5</v>
      </c>
      <c r="AB457">
        <v>0</v>
      </c>
      <c r="AC457">
        <v>0</v>
      </c>
      <c r="AD457">
        <v>1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85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50</v>
      </c>
      <c r="AU457">
        <v>0</v>
      </c>
      <c r="AV457">
        <v>0</v>
      </c>
    </row>
    <row r="458" spans="1:48" ht="12.75">
      <c r="A458" s="2" t="str">
        <f>HYPERLINK("https://ibp.a2mac1.com/costing(costing:projects/details/8191/equipment/6946490)","Die cutting")</f>
        <v>Die cutting</v>
      </c>
      <c r="B458">
        <v>6946490</v>
      </c>
      <c r="C458">
        <v>6973932</v>
      </c>
      <c r="F458" t="s">
        <v>3876</v>
      </c>
      <c r="H458" t="s">
        <v>136</v>
      </c>
      <c r="I458">
        <v>8296.6265946000003</v>
      </c>
      <c r="J458">
        <v>0</v>
      </c>
      <c r="K458">
        <v>0.068000000000000005</v>
      </c>
      <c r="L458">
        <v>0</v>
      </c>
      <c r="M458">
        <v>1.7799808088396014</v>
      </c>
      <c r="N458">
        <v>0</v>
      </c>
      <c r="O458">
        <v>0.0074165867034983396</v>
      </c>
      <c r="P458">
        <v>0.069548833333333338</v>
      </c>
      <c r="Q458">
        <v>5.339942426518804E-05</v>
      </c>
      <c r="R458">
        <v>47106.359960000002</v>
      </c>
      <c r="S458">
        <v>6975.9143999999997</v>
      </c>
      <c r="T458">
        <v>0</v>
      </c>
      <c r="V458">
        <v>1800</v>
      </c>
      <c r="W458">
        <v>10</v>
      </c>
      <c r="X458">
        <v>85</v>
      </c>
      <c r="Y458">
        <v>3</v>
      </c>
      <c r="Z458">
        <v>4</v>
      </c>
      <c r="AA458">
        <v>5</v>
      </c>
      <c r="AB458">
        <v>0</v>
      </c>
      <c r="AC458">
        <v>0</v>
      </c>
      <c r="AD458">
        <v>1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85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50</v>
      </c>
      <c r="AU458">
        <v>0</v>
      </c>
      <c r="AV458">
        <v>0</v>
      </c>
    </row>
    <row r="459" spans="1:48" ht="12.75">
      <c r="A459" s="2" t="str">
        <f>HYPERLINK("https://ibp.a2mac1.com/costing(costing:projects/details/8191/equipment/6946491)","Die cutting")</f>
        <v>Die cutting</v>
      </c>
      <c r="B459">
        <v>6946491</v>
      </c>
      <c r="C459">
        <v>6973933</v>
      </c>
      <c r="F459" t="s">
        <v>3876</v>
      </c>
      <c r="H459" t="s">
        <v>136</v>
      </c>
      <c r="I459">
        <v>8296.6265946000003</v>
      </c>
      <c r="J459">
        <v>0</v>
      </c>
      <c r="K459">
        <v>0.068000000000000005</v>
      </c>
      <c r="L459">
        <v>0</v>
      </c>
      <c r="M459">
        <v>1.7799808088396014</v>
      </c>
      <c r="N459">
        <v>0</v>
      </c>
      <c r="O459">
        <v>0.0074165867034983396</v>
      </c>
      <c r="P459">
        <v>0.069548833333333338</v>
      </c>
      <c r="Q459">
        <v>5.339942426518804E-05</v>
      </c>
      <c r="R459">
        <v>47106.359960000002</v>
      </c>
      <c r="S459">
        <v>6975.9143999999997</v>
      </c>
      <c r="T459">
        <v>0</v>
      </c>
      <c r="V459">
        <v>1800</v>
      </c>
      <c r="W459">
        <v>10</v>
      </c>
      <c r="X459">
        <v>85</v>
      </c>
      <c r="Y459">
        <v>3</v>
      </c>
      <c r="Z459">
        <v>4</v>
      </c>
      <c r="AA459">
        <v>5</v>
      </c>
      <c r="AB459">
        <v>0</v>
      </c>
      <c r="AC459">
        <v>0</v>
      </c>
      <c r="AD459">
        <v>1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85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50</v>
      </c>
      <c r="AU459">
        <v>0</v>
      </c>
      <c r="AV459">
        <v>0</v>
      </c>
    </row>
    <row r="460" spans="1:48" ht="12.75">
      <c r="A460" s="2" t="str">
        <f>HYPERLINK("https://ibp.a2mac1.com/costing(costing:projects/details/8191/equipment/6946492)","Die cutting")</f>
        <v>Die cutting</v>
      </c>
      <c r="B460">
        <v>6946492</v>
      </c>
      <c r="C460">
        <v>6973934</v>
      </c>
      <c r="F460" t="s">
        <v>3876</v>
      </c>
      <c r="H460" t="s">
        <v>136</v>
      </c>
      <c r="I460">
        <v>8296.6265946000003</v>
      </c>
      <c r="J460">
        <v>0</v>
      </c>
      <c r="K460">
        <v>0.068000000000000005</v>
      </c>
      <c r="L460">
        <v>0</v>
      </c>
      <c r="M460">
        <v>1.7799808088396014</v>
      </c>
      <c r="N460">
        <v>0</v>
      </c>
      <c r="O460">
        <v>0.0074165867034983396</v>
      </c>
      <c r="P460">
        <v>0.069548833333333338</v>
      </c>
      <c r="Q460">
        <v>2.669971213259402E-05</v>
      </c>
      <c r="R460">
        <v>47106.359960000002</v>
      </c>
      <c r="S460">
        <v>6975.9143999999997</v>
      </c>
      <c r="T460">
        <v>0</v>
      </c>
      <c r="V460">
        <v>1800</v>
      </c>
      <c r="W460">
        <v>10</v>
      </c>
      <c r="X460">
        <v>85</v>
      </c>
      <c r="Y460">
        <v>3</v>
      </c>
      <c r="Z460">
        <v>4</v>
      </c>
      <c r="AA460">
        <v>5</v>
      </c>
      <c r="AB460">
        <v>0</v>
      </c>
      <c r="AC460">
        <v>0</v>
      </c>
      <c r="AD460">
        <v>1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85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50</v>
      </c>
      <c r="AU460">
        <v>0</v>
      </c>
      <c r="AV460">
        <v>0</v>
      </c>
    </row>
    <row r="461" spans="1:48" ht="12.75">
      <c r="A461" s="2" t="str">
        <f>HYPERLINK("https://ibp.a2mac1.com/costing(costing:projects/details/8191/equipment/6946493)","Die cutting")</f>
        <v>Die cutting</v>
      </c>
      <c r="B461">
        <v>6946493</v>
      </c>
      <c r="C461">
        <v>6973935</v>
      </c>
      <c r="F461" t="s">
        <v>3876</v>
      </c>
      <c r="H461" t="s">
        <v>136</v>
      </c>
      <c r="I461">
        <v>8296.6265946000003</v>
      </c>
      <c r="J461">
        <v>0</v>
      </c>
      <c r="K461">
        <v>0.068000000000000005</v>
      </c>
      <c r="L461">
        <v>0</v>
      </c>
      <c r="M461">
        <v>1.7799808088396014</v>
      </c>
      <c r="N461">
        <v>0</v>
      </c>
      <c r="O461">
        <v>0.0074165867034983396</v>
      </c>
      <c r="P461">
        <v>0.069548833333333338</v>
      </c>
      <c r="Q461">
        <v>2.669971213259402E-05</v>
      </c>
      <c r="R461">
        <v>47106.359960000002</v>
      </c>
      <c r="S461">
        <v>6975.9143999999997</v>
      </c>
      <c r="T461">
        <v>0</v>
      </c>
      <c r="V461">
        <v>1800</v>
      </c>
      <c r="W461">
        <v>10</v>
      </c>
      <c r="X461">
        <v>85</v>
      </c>
      <c r="Y461">
        <v>3</v>
      </c>
      <c r="Z461">
        <v>4</v>
      </c>
      <c r="AA461">
        <v>5</v>
      </c>
      <c r="AB461">
        <v>0</v>
      </c>
      <c r="AC461">
        <v>0</v>
      </c>
      <c r="AD461">
        <v>1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85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50</v>
      </c>
      <c r="AU461">
        <v>0</v>
      </c>
      <c r="AV461">
        <v>0</v>
      </c>
    </row>
    <row r="462" spans="1:48" ht="12.75">
      <c r="A462" s="2" t="str">
        <f>HYPERLINK("https://ibp.a2mac1.com/costing(costing:projects/details/8191/equipment/6946494)","Die cutting")</f>
        <v>Die cutting</v>
      </c>
      <c r="B462">
        <v>6946494</v>
      </c>
      <c r="C462">
        <v>6973936</v>
      </c>
      <c r="F462" t="s">
        <v>3876</v>
      </c>
      <c r="H462" t="s">
        <v>136</v>
      </c>
      <c r="I462">
        <v>8296.6265946000003</v>
      </c>
      <c r="J462">
        <v>0</v>
      </c>
      <c r="K462">
        <v>0.068000000000000005</v>
      </c>
      <c r="L462">
        <v>0</v>
      </c>
      <c r="M462">
        <v>1.7799808088396014</v>
      </c>
      <c r="N462">
        <v>0</v>
      </c>
      <c r="O462">
        <v>0.0074165867034983396</v>
      </c>
      <c r="P462">
        <v>0.069548833333333338</v>
      </c>
      <c r="Q462">
        <v>5.339942426518804E-05</v>
      </c>
      <c r="R462">
        <v>47106.359960000002</v>
      </c>
      <c r="S462">
        <v>6975.9143999999997</v>
      </c>
      <c r="T462">
        <v>0</v>
      </c>
      <c r="V462">
        <v>1800</v>
      </c>
      <c r="W462">
        <v>10</v>
      </c>
      <c r="X462">
        <v>85</v>
      </c>
      <c r="Y462">
        <v>3</v>
      </c>
      <c r="Z462">
        <v>4</v>
      </c>
      <c r="AA462">
        <v>5</v>
      </c>
      <c r="AB462">
        <v>0</v>
      </c>
      <c r="AC462">
        <v>0</v>
      </c>
      <c r="AD462">
        <v>1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85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50</v>
      </c>
      <c r="AU462">
        <v>0</v>
      </c>
      <c r="AV462">
        <v>0</v>
      </c>
    </row>
    <row r="463" spans="1:48" ht="12.75">
      <c r="A463" s="2" t="str">
        <f>HYPERLINK("https://ibp.a2mac1.com/costing(costing:projects/details/8191/equipment/6946495)","Die cutting")</f>
        <v>Die cutting</v>
      </c>
      <c r="B463">
        <v>6946495</v>
      </c>
      <c r="C463">
        <v>6973937</v>
      </c>
      <c r="F463" t="s">
        <v>3876</v>
      </c>
      <c r="H463" t="s">
        <v>136</v>
      </c>
      <c r="I463">
        <v>8296.6265946000003</v>
      </c>
      <c r="J463">
        <v>0</v>
      </c>
      <c r="K463">
        <v>0.068000000000000005</v>
      </c>
      <c r="L463">
        <v>0</v>
      </c>
      <c r="M463">
        <v>1.7799808088396014</v>
      </c>
      <c r="N463">
        <v>0</v>
      </c>
      <c r="O463">
        <v>0.0074165867034983396</v>
      </c>
      <c r="P463">
        <v>0.069548833333333338</v>
      </c>
      <c r="Q463">
        <v>5.339942426518804E-05</v>
      </c>
      <c r="R463">
        <v>47106.359960000002</v>
      </c>
      <c r="S463">
        <v>6975.9143999999997</v>
      </c>
      <c r="T463">
        <v>0</v>
      </c>
      <c r="V463">
        <v>1800</v>
      </c>
      <c r="W463">
        <v>10</v>
      </c>
      <c r="X463">
        <v>85</v>
      </c>
      <c r="Y463">
        <v>3</v>
      </c>
      <c r="Z463">
        <v>4</v>
      </c>
      <c r="AA463">
        <v>5</v>
      </c>
      <c r="AB463">
        <v>0</v>
      </c>
      <c r="AC463">
        <v>0</v>
      </c>
      <c r="AD463">
        <v>1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85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50</v>
      </c>
      <c r="AU463">
        <v>0</v>
      </c>
      <c r="AV463">
        <v>0</v>
      </c>
    </row>
    <row r="464" spans="1:48" ht="12.75">
      <c r="A464" s="2" t="str">
        <f>HYPERLINK("https://ibp.a2mac1.com/costing(costing:projects/details/8191/equipment/6946496)","Die cutting")</f>
        <v>Die cutting</v>
      </c>
      <c r="B464">
        <v>6946496</v>
      </c>
      <c r="C464">
        <v>6973938</v>
      </c>
      <c r="F464" t="s">
        <v>3876</v>
      </c>
      <c r="H464" t="s">
        <v>136</v>
      </c>
      <c r="I464">
        <v>8296.6265946000003</v>
      </c>
      <c r="J464">
        <v>0</v>
      </c>
      <c r="K464">
        <v>0.068000000000000005</v>
      </c>
      <c r="L464">
        <v>0</v>
      </c>
      <c r="M464">
        <v>1.7799808088396014</v>
      </c>
      <c r="N464">
        <v>0</v>
      </c>
      <c r="O464">
        <v>0.0074165867034983396</v>
      </c>
      <c r="P464">
        <v>0.069548833333333338</v>
      </c>
      <c r="Q464">
        <v>2.669971213259402E-05</v>
      </c>
      <c r="R464">
        <v>47106.359960000002</v>
      </c>
      <c r="S464">
        <v>6975.9143999999997</v>
      </c>
      <c r="T464">
        <v>0</v>
      </c>
      <c r="V464">
        <v>1800</v>
      </c>
      <c r="W464">
        <v>10</v>
      </c>
      <c r="X464">
        <v>85</v>
      </c>
      <c r="Y464">
        <v>3</v>
      </c>
      <c r="Z464">
        <v>4</v>
      </c>
      <c r="AA464">
        <v>5</v>
      </c>
      <c r="AB464">
        <v>0</v>
      </c>
      <c r="AC464">
        <v>0</v>
      </c>
      <c r="AD464">
        <v>1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85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50</v>
      </c>
      <c r="AU464">
        <v>0</v>
      </c>
      <c r="AV464">
        <v>0</v>
      </c>
    </row>
    <row r="465" spans="1:48" ht="12.75">
      <c r="A465" s="2" t="str">
        <f>HYPERLINK("https://ibp.a2mac1.com/costing(costing:projects/details/8191/equipment/6946497)","Die cutting")</f>
        <v>Die cutting</v>
      </c>
      <c r="B465">
        <v>6946497</v>
      </c>
      <c r="C465">
        <v>6973939</v>
      </c>
      <c r="F465" t="s">
        <v>3876</v>
      </c>
      <c r="H465" t="s">
        <v>136</v>
      </c>
      <c r="I465">
        <v>8296.6265946000003</v>
      </c>
      <c r="J465">
        <v>0</v>
      </c>
      <c r="K465">
        <v>0.068000000000000005</v>
      </c>
      <c r="L465">
        <v>0</v>
      </c>
      <c r="M465">
        <v>1.7799808088396014</v>
      </c>
      <c r="N465">
        <v>0</v>
      </c>
      <c r="O465">
        <v>0.0074165867034983396</v>
      </c>
      <c r="P465">
        <v>0.069548833333333338</v>
      </c>
      <c r="Q465">
        <v>2.669971213259402E-05</v>
      </c>
      <c r="R465">
        <v>47106.359960000002</v>
      </c>
      <c r="S465">
        <v>6975.9143999999997</v>
      </c>
      <c r="T465">
        <v>0</v>
      </c>
      <c r="V465">
        <v>1800</v>
      </c>
      <c r="W465">
        <v>10</v>
      </c>
      <c r="X465">
        <v>85</v>
      </c>
      <c r="Y465">
        <v>3</v>
      </c>
      <c r="Z465">
        <v>4</v>
      </c>
      <c r="AA465">
        <v>5</v>
      </c>
      <c r="AB465">
        <v>0</v>
      </c>
      <c r="AC465">
        <v>0</v>
      </c>
      <c r="AD465">
        <v>1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85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50</v>
      </c>
      <c r="AU465">
        <v>0</v>
      </c>
      <c r="AV465">
        <v>0</v>
      </c>
    </row>
    <row r="466" spans="1:48" ht="12.75">
      <c r="A466" s="2" t="str">
        <f>HYPERLINK("https://ibp.a2mac1.com/costing(costing:projects/details/8191/equipment/6946498)","Die cutting")</f>
        <v>Die cutting</v>
      </c>
      <c r="B466">
        <v>6946498</v>
      </c>
      <c r="C466">
        <v>6973940</v>
      </c>
      <c r="F466" t="s">
        <v>3876</v>
      </c>
      <c r="H466" t="s">
        <v>136</v>
      </c>
      <c r="I466">
        <v>8296.6265946000003</v>
      </c>
      <c r="J466">
        <v>0</v>
      </c>
      <c r="K466">
        <v>0.068000000000000005</v>
      </c>
      <c r="L466">
        <v>0</v>
      </c>
      <c r="M466">
        <v>1.7799808088396014</v>
      </c>
      <c r="N466">
        <v>0</v>
      </c>
      <c r="O466">
        <v>0.0074165867034983396</v>
      </c>
      <c r="P466">
        <v>0.069548833333333338</v>
      </c>
      <c r="Q466">
        <v>2.669971213259402E-05</v>
      </c>
      <c r="R466">
        <v>47106.359960000002</v>
      </c>
      <c r="S466">
        <v>6975.9143999999997</v>
      </c>
      <c r="T466">
        <v>0</v>
      </c>
      <c r="V466">
        <v>1800</v>
      </c>
      <c r="W466">
        <v>10</v>
      </c>
      <c r="X466">
        <v>85</v>
      </c>
      <c r="Y466">
        <v>3</v>
      </c>
      <c r="Z466">
        <v>4</v>
      </c>
      <c r="AA466">
        <v>5</v>
      </c>
      <c r="AB466">
        <v>0</v>
      </c>
      <c r="AC466">
        <v>0</v>
      </c>
      <c r="AD466">
        <v>1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85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50</v>
      </c>
      <c r="AU466">
        <v>0</v>
      </c>
      <c r="AV466">
        <v>0</v>
      </c>
    </row>
    <row r="467" spans="1:48" ht="12.75">
      <c r="A467" s="2" t="str">
        <f>HYPERLINK("https://ibp.a2mac1.com/costing(costing:projects/details/8191/equipment/6946499)","Die cutting")</f>
        <v>Die cutting</v>
      </c>
      <c r="B467">
        <v>6946499</v>
      </c>
      <c r="C467">
        <v>6973941</v>
      </c>
      <c r="F467" t="s">
        <v>3876</v>
      </c>
      <c r="H467" t="s">
        <v>136</v>
      </c>
      <c r="I467">
        <v>8296.6265946000003</v>
      </c>
      <c r="J467">
        <v>0</v>
      </c>
      <c r="K467">
        <v>0.068000000000000005</v>
      </c>
      <c r="L467">
        <v>0</v>
      </c>
      <c r="M467">
        <v>1.7799808088396014</v>
      </c>
      <c r="N467">
        <v>0</v>
      </c>
      <c r="O467">
        <v>0.0074165867034983396</v>
      </c>
      <c r="P467">
        <v>0.069548833333333338</v>
      </c>
      <c r="Q467">
        <v>5.339942426518804E-05</v>
      </c>
      <c r="R467">
        <v>47106.359960000002</v>
      </c>
      <c r="S467">
        <v>6975.9143999999997</v>
      </c>
      <c r="T467">
        <v>0</v>
      </c>
      <c r="V467">
        <v>1800</v>
      </c>
      <c r="W467">
        <v>10</v>
      </c>
      <c r="X467">
        <v>85</v>
      </c>
      <c r="Y467">
        <v>3</v>
      </c>
      <c r="Z467">
        <v>4</v>
      </c>
      <c r="AA467">
        <v>5</v>
      </c>
      <c r="AB467">
        <v>0</v>
      </c>
      <c r="AC467">
        <v>0</v>
      </c>
      <c r="AD467">
        <v>1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85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50</v>
      </c>
      <c r="AU467">
        <v>0</v>
      </c>
      <c r="AV467">
        <v>0</v>
      </c>
    </row>
    <row r="468" spans="1:48" ht="12.75">
      <c r="A468" s="2" t="str">
        <f>HYPERLINK("https://ibp.a2mac1.com/costing(costing:projects/details/8191/equipment/6946500)","Die cutting")</f>
        <v>Die cutting</v>
      </c>
      <c r="B468">
        <v>6946500</v>
      </c>
      <c r="C468">
        <v>6973942</v>
      </c>
      <c r="F468" t="s">
        <v>3876</v>
      </c>
      <c r="H468" t="s">
        <v>136</v>
      </c>
      <c r="I468">
        <v>8296.6265946000003</v>
      </c>
      <c r="J468">
        <v>0</v>
      </c>
      <c r="K468">
        <v>0.068000000000000005</v>
      </c>
      <c r="L468">
        <v>0</v>
      </c>
      <c r="M468">
        <v>1.7799808088396014</v>
      </c>
      <c r="N468">
        <v>0</v>
      </c>
      <c r="O468">
        <v>0.0074165867034983396</v>
      </c>
      <c r="P468">
        <v>0.069548833333333338</v>
      </c>
      <c r="Q468">
        <v>5.339942426518804E-05</v>
      </c>
      <c r="R468">
        <v>47106.359960000002</v>
      </c>
      <c r="S468">
        <v>6975.9143999999997</v>
      </c>
      <c r="T468">
        <v>0</v>
      </c>
      <c r="V468">
        <v>1800</v>
      </c>
      <c r="W468">
        <v>10</v>
      </c>
      <c r="X468">
        <v>85</v>
      </c>
      <c r="Y468">
        <v>3</v>
      </c>
      <c r="Z468">
        <v>4</v>
      </c>
      <c r="AA468">
        <v>5</v>
      </c>
      <c r="AB468">
        <v>0</v>
      </c>
      <c r="AC468">
        <v>0</v>
      </c>
      <c r="AD468">
        <v>1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85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50</v>
      </c>
      <c r="AU468">
        <v>0</v>
      </c>
      <c r="AV468">
        <v>0</v>
      </c>
    </row>
    <row r="469" spans="1:48" ht="12.75">
      <c r="A469" s="2" t="str">
        <f>HYPERLINK("https://ibp.a2mac1.com/costing(costing:projects/details/8191/equipment/6946501)","Die cutting")</f>
        <v>Die cutting</v>
      </c>
      <c r="B469">
        <v>6946501</v>
      </c>
      <c r="C469">
        <v>6973943</v>
      </c>
      <c r="F469" t="s">
        <v>3876</v>
      </c>
      <c r="H469" t="s">
        <v>136</v>
      </c>
      <c r="I469">
        <v>8296.6265946000003</v>
      </c>
      <c r="J469">
        <v>0</v>
      </c>
      <c r="K469">
        <v>0.068000000000000005</v>
      </c>
      <c r="L469">
        <v>0</v>
      </c>
      <c r="M469">
        <v>1.7799808088396014</v>
      </c>
      <c r="N469">
        <v>0</v>
      </c>
      <c r="O469">
        <v>0.0074165867034983396</v>
      </c>
      <c r="P469">
        <v>0.069548833333333338</v>
      </c>
      <c r="Q469">
        <v>2.669971213259402E-05</v>
      </c>
      <c r="R469">
        <v>47106.359960000002</v>
      </c>
      <c r="S469">
        <v>6975.9143999999997</v>
      </c>
      <c r="T469">
        <v>0</v>
      </c>
      <c r="V469">
        <v>1800</v>
      </c>
      <c r="W469">
        <v>10</v>
      </c>
      <c r="X469">
        <v>85</v>
      </c>
      <c r="Y469">
        <v>3</v>
      </c>
      <c r="Z469">
        <v>4</v>
      </c>
      <c r="AA469">
        <v>5</v>
      </c>
      <c r="AB469">
        <v>0</v>
      </c>
      <c r="AC469">
        <v>0</v>
      </c>
      <c r="AD469">
        <v>1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85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50</v>
      </c>
      <c r="AU469">
        <v>0</v>
      </c>
      <c r="AV469">
        <v>0</v>
      </c>
    </row>
    <row r="470" spans="1:48" ht="12.75">
      <c r="A470" s="2" t="str">
        <f>HYPERLINK("https://ibp.a2mac1.com/costing(costing:projects/details/8191/equipment/6946502)","Die cutting")</f>
        <v>Die cutting</v>
      </c>
      <c r="B470">
        <v>6946502</v>
      </c>
      <c r="C470">
        <v>6973944</v>
      </c>
      <c r="F470" t="s">
        <v>3876</v>
      </c>
      <c r="H470" t="s">
        <v>136</v>
      </c>
      <c r="I470">
        <v>8296.6265946000003</v>
      </c>
      <c r="J470">
        <v>0</v>
      </c>
      <c r="K470">
        <v>0.068000000000000005</v>
      </c>
      <c r="L470">
        <v>0</v>
      </c>
      <c r="M470">
        <v>1.7799808088396014</v>
      </c>
      <c r="N470">
        <v>0</v>
      </c>
      <c r="O470">
        <v>0.0074165867034983396</v>
      </c>
      <c r="P470">
        <v>0.069548833333333338</v>
      </c>
      <c r="Q470">
        <v>5.339942426518804E-05</v>
      </c>
      <c r="R470">
        <v>47106.359960000002</v>
      </c>
      <c r="S470">
        <v>6975.9143999999997</v>
      </c>
      <c r="T470">
        <v>0</v>
      </c>
      <c r="V470">
        <v>1800</v>
      </c>
      <c r="W470">
        <v>10</v>
      </c>
      <c r="X470">
        <v>85</v>
      </c>
      <c r="Y470">
        <v>3</v>
      </c>
      <c r="Z470">
        <v>4</v>
      </c>
      <c r="AA470">
        <v>5</v>
      </c>
      <c r="AB470">
        <v>0</v>
      </c>
      <c r="AC470">
        <v>0</v>
      </c>
      <c r="AD470">
        <v>1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85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50</v>
      </c>
      <c r="AU470">
        <v>0</v>
      </c>
      <c r="AV470">
        <v>0</v>
      </c>
    </row>
    <row r="471" spans="1:48" ht="12.75">
      <c r="A471" s="2" t="str">
        <f>HYPERLINK("https://ibp.a2mac1.com/costing(costing:projects/details/8191/equipment/6946503)","Die cutting")</f>
        <v>Die cutting</v>
      </c>
      <c r="B471">
        <v>6946503</v>
      </c>
      <c r="C471">
        <v>6973945</v>
      </c>
      <c r="F471" t="s">
        <v>3876</v>
      </c>
      <c r="H471" t="s">
        <v>136</v>
      </c>
      <c r="I471">
        <v>8296.6265946000003</v>
      </c>
      <c r="J471">
        <v>0</v>
      </c>
      <c r="K471">
        <v>0.068000000000000005</v>
      </c>
      <c r="L471">
        <v>0</v>
      </c>
      <c r="M471">
        <v>1.7799808088396014</v>
      </c>
      <c r="N471">
        <v>0</v>
      </c>
      <c r="O471">
        <v>0.0074165867034983396</v>
      </c>
      <c r="P471">
        <v>0.069548833333333338</v>
      </c>
      <c r="Q471">
        <v>5.339942426518804E-05</v>
      </c>
      <c r="R471">
        <v>47106.359960000002</v>
      </c>
      <c r="S471">
        <v>6975.9143999999997</v>
      </c>
      <c r="T471">
        <v>0</v>
      </c>
      <c r="V471">
        <v>1800</v>
      </c>
      <c r="W471">
        <v>10</v>
      </c>
      <c r="X471">
        <v>85</v>
      </c>
      <c r="Y471">
        <v>3</v>
      </c>
      <c r="Z471">
        <v>4</v>
      </c>
      <c r="AA471">
        <v>5</v>
      </c>
      <c r="AB471">
        <v>0</v>
      </c>
      <c r="AC471">
        <v>0</v>
      </c>
      <c r="AD471">
        <v>1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85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50</v>
      </c>
      <c r="AU471">
        <v>0</v>
      </c>
      <c r="AV471">
        <v>0</v>
      </c>
    </row>
    <row r="472" spans="1:48" ht="12.75">
      <c r="A472" s="2" t="str">
        <f>HYPERLINK("https://ibp.a2mac1.com/costing(costing:projects/details/8191/equipment/6946593)","Heat press cutting machine")</f>
        <v>Heat press cutting machine</v>
      </c>
      <c r="B472">
        <v>6946593</v>
      </c>
      <c r="C472">
        <v>6974017</v>
      </c>
      <c r="H472" t="s">
        <v>136</v>
      </c>
      <c r="I472">
        <v>35384.868000000002</v>
      </c>
      <c r="J472">
        <v>0</v>
      </c>
      <c r="K472">
        <v>1.60</v>
      </c>
      <c r="L472">
        <v>0</v>
      </c>
      <c r="M472">
        <v>9.2780565734490512</v>
      </c>
      <c r="N472">
        <v>0</v>
      </c>
      <c r="O472">
        <v>0.038658569056037713</v>
      </c>
      <c r="P472">
        <v>0.017214500000000001</v>
      </c>
      <c r="Q472">
        <v>0.0013102977944069432</v>
      </c>
      <c r="R472">
        <v>247760</v>
      </c>
      <c r="S472">
        <v>0</v>
      </c>
      <c r="T472">
        <v>0</v>
      </c>
      <c r="V472">
        <v>3600</v>
      </c>
      <c r="W472">
        <v>10</v>
      </c>
      <c r="X472">
        <v>85</v>
      </c>
      <c r="Y472">
        <v>3</v>
      </c>
      <c r="Z472">
        <v>4</v>
      </c>
      <c r="AA472">
        <v>5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100</v>
      </c>
      <c r="AM472">
        <v>20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50</v>
      </c>
      <c r="AU472">
        <v>0</v>
      </c>
      <c r="AV472">
        <v>0</v>
      </c>
    </row>
    <row r="473" spans="1:48" ht="12.75">
      <c r="A473" s="2" t="str">
        <f>HYPERLINK("https://ibp.a2mac1.com/costing(costing:projects/details/8191/equipment/6946504)","Heat press cutting machine")</f>
        <v>Heat press cutting machine</v>
      </c>
      <c r="B473">
        <v>6946504</v>
      </c>
      <c r="C473">
        <v>6973946</v>
      </c>
      <c r="H473" t="s">
        <v>136</v>
      </c>
      <c r="I473">
        <v>35384.868000000002</v>
      </c>
      <c r="J473">
        <v>0</v>
      </c>
      <c r="K473">
        <v>1.60</v>
      </c>
      <c r="L473">
        <v>0</v>
      </c>
      <c r="M473">
        <v>9.2780565734490512</v>
      </c>
      <c r="N473">
        <v>0</v>
      </c>
      <c r="O473">
        <v>0.038658569056037713</v>
      </c>
      <c r="P473">
        <v>0.017214500000000001</v>
      </c>
      <c r="Q473">
        <v>0.0013102977944069432</v>
      </c>
      <c r="R473">
        <v>247760</v>
      </c>
      <c r="S473">
        <v>0</v>
      </c>
      <c r="T473">
        <v>0</v>
      </c>
      <c r="V473">
        <v>3600</v>
      </c>
      <c r="W473">
        <v>10</v>
      </c>
      <c r="X473">
        <v>85</v>
      </c>
      <c r="Y473">
        <v>3</v>
      </c>
      <c r="Z473">
        <v>4</v>
      </c>
      <c r="AA473">
        <v>5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100</v>
      </c>
      <c r="AM473">
        <v>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50</v>
      </c>
      <c r="AU473">
        <v>0</v>
      </c>
      <c r="AV473">
        <v>0</v>
      </c>
    </row>
    <row r="474" spans="1:48" ht="12.75">
      <c r="A474" s="2" t="str">
        <f>HYPERLINK("https://ibp.a2mac1.com/costing(costing:projects/details/8191/equipment/6946436)","Handling/Visual inspection/packaging")</f>
        <v>Handling/Visual inspection/packaging</v>
      </c>
      <c r="B474">
        <v>6946436</v>
      </c>
      <c r="C474">
        <v>6973878</v>
      </c>
      <c r="H474" t="s">
        <v>136</v>
      </c>
      <c r="I474">
        <v>4437.4535986499995</v>
      </c>
      <c r="J474">
        <v>0</v>
      </c>
      <c r="K474">
        <v>0.08</v>
      </c>
      <c r="L474">
        <v>0</v>
      </c>
      <c r="M474">
        <v>1.0342676949774992</v>
      </c>
      <c r="N474">
        <v>0</v>
      </c>
      <c r="O474">
        <v>0.0014364829096909712</v>
      </c>
      <c r="P474">
        <v>0.0057381666666666666</v>
      </c>
      <c r="Q474">
        <v>1.5514015424662487E-05</v>
      </c>
      <c r="R474">
        <v>29999.99999</v>
      </c>
      <c r="S474">
        <v>2076.165</v>
      </c>
      <c r="T474">
        <v>0</v>
      </c>
      <c r="V474">
        <v>900</v>
      </c>
      <c r="W474">
        <v>10</v>
      </c>
      <c r="X474">
        <v>85</v>
      </c>
      <c r="Y474">
        <v>3</v>
      </c>
      <c r="Z474">
        <v>4</v>
      </c>
      <c r="AA474">
        <v>5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50</v>
      </c>
      <c r="AM474">
        <v>2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10</v>
      </c>
      <c r="AU474">
        <v>0</v>
      </c>
      <c r="AV474">
        <v>0</v>
      </c>
    </row>
    <row r="475" spans="1:48" ht="12.75">
      <c r="A475" s="2" t="str">
        <f>HYPERLINK("https://ibp.a2mac1.com/costing(costing:projects/details/8191/equipment/6946437)","No.01 - Waterjet Cutting ")</f>
        <v xml:space="preserve">No.01 - Waterjet Cutting </v>
      </c>
      <c r="B475">
        <v>6946437</v>
      </c>
      <c r="C475">
        <v>6973879</v>
      </c>
      <c r="E475" t="s">
        <v>499</v>
      </c>
      <c r="G475" t="s">
        <v>3866</v>
      </c>
      <c r="H475" t="s">
        <v>136</v>
      </c>
      <c r="I475">
        <v>708874.37878499995</v>
      </c>
      <c r="J475">
        <v>0</v>
      </c>
      <c r="K475">
        <v>5.52</v>
      </c>
      <c r="L475">
        <v>0</v>
      </c>
      <c r="M475">
        <v>143.55830686837029</v>
      </c>
      <c r="N475">
        <v>0</v>
      </c>
      <c r="O475">
        <v>3.1901845970748957</v>
      </c>
      <c r="P475">
        <v>0.045905333333333333</v>
      </c>
      <c r="Q475">
        <v>0.00093671128121022179</v>
      </c>
      <c r="R475">
        <v>2999999.3309999998</v>
      </c>
      <c r="S475">
        <v>922.74</v>
      </c>
      <c r="T475">
        <v>0</v>
      </c>
      <c r="V475">
        <v>360</v>
      </c>
      <c r="W475">
        <v>5</v>
      </c>
      <c r="X475">
        <v>85</v>
      </c>
      <c r="Y475">
        <v>3</v>
      </c>
      <c r="Z475">
        <v>4</v>
      </c>
      <c r="AA475">
        <v>5</v>
      </c>
      <c r="AB475">
        <v>0</v>
      </c>
      <c r="AC475">
        <v>0</v>
      </c>
      <c r="AD475">
        <v>0</v>
      </c>
      <c r="AE475">
        <v>0</v>
      </c>
      <c r="AF475">
        <v>0.50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92</v>
      </c>
      <c r="AM475">
        <v>75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100</v>
      </c>
      <c r="AU475">
        <v>0</v>
      </c>
      <c r="AV475">
        <v>0</v>
      </c>
    </row>
    <row r="476" spans="1:48" ht="12.75">
      <c r="A476" s="2" t="str">
        <f>HYPERLINK("https://ibp.a2mac1.com/costing(costing:projects/details/8191/equipment/6946438)","Thermocompression for Interior ")</f>
        <v xml:space="preserve">Thermocompression for Interior </v>
      </c>
      <c r="B476">
        <v>6946438</v>
      </c>
      <c r="C476">
        <v>6973880</v>
      </c>
      <c r="F476" t="s">
        <v>3871</v>
      </c>
      <c r="H476" t="s">
        <v>136</v>
      </c>
      <c r="I476">
        <v>48792.380391899998</v>
      </c>
      <c r="J476">
        <v>0</v>
      </c>
      <c r="K476">
        <v>0.74399999999999999</v>
      </c>
      <c r="L476">
        <v>0</v>
      </c>
      <c r="M476">
        <v>11.455729409980714</v>
      </c>
      <c r="N476">
        <v>0</v>
      </c>
      <c r="O476">
        <v>0.21638599996630237</v>
      </c>
      <c r="P476">
        <v>0.23724897777777779</v>
      </c>
      <c r="Q476">
        <v>1.1455729409980713E-05</v>
      </c>
      <c r="R476">
        <v>357119.99994000001</v>
      </c>
      <c r="S476">
        <v>189346.24799999999</v>
      </c>
      <c r="T476">
        <v>0</v>
      </c>
      <c r="V476">
        <v>60</v>
      </c>
      <c r="W476">
        <v>10</v>
      </c>
      <c r="X476">
        <v>85</v>
      </c>
      <c r="Y476">
        <v>3</v>
      </c>
      <c r="Z476">
        <v>4</v>
      </c>
      <c r="AA476">
        <v>5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93</v>
      </c>
      <c r="AM476">
        <v>10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15</v>
      </c>
      <c r="AU476">
        <v>0</v>
      </c>
      <c r="AV476">
        <v>0</v>
      </c>
    </row>
    <row r="477" spans="1:48" ht="12.75">
      <c r="A477" s="2" t="str">
        <f>HYPERLINK("https://ibp.a2mac1.com/costing(costing:projects/details/8191/equipment/6946439)","Die cutting")</f>
        <v>Die cutting</v>
      </c>
      <c r="B477">
        <v>6946439</v>
      </c>
      <c r="C477">
        <v>6973881</v>
      </c>
      <c r="F477" t="s">
        <v>3876</v>
      </c>
      <c r="H477" t="s">
        <v>136</v>
      </c>
      <c r="I477">
        <v>8296.6265946000003</v>
      </c>
      <c r="J477">
        <v>0</v>
      </c>
      <c r="K477">
        <v>0.068000000000000005</v>
      </c>
      <c r="L477">
        <v>0</v>
      </c>
      <c r="M477">
        <v>1.7799808088396014</v>
      </c>
      <c r="N477">
        <v>0</v>
      </c>
      <c r="O477">
        <v>0.0074165867034983396</v>
      </c>
      <c r="P477">
        <v>0.069548833333333338</v>
      </c>
      <c r="Q477">
        <v>5.339942426518804E-05</v>
      </c>
      <c r="R477">
        <v>47106.359960000002</v>
      </c>
      <c r="S477">
        <v>6975.9143999999997</v>
      </c>
      <c r="T477">
        <v>0</v>
      </c>
      <c r="V477">
        <v>1800</v>
      </c>
      <c r="W477">
        <v>10</v>
      </c>
      <c r="X477">
        <v>85</v>
      </c>
      <c r="Y477">
        <v>3</v>
      </c>
      <c r="Z477">
        <v>4</v>
      </c>
      <c r="AA477">
        <v>5</v>
      </c>
      <c r="AB477">
        <v>0</v>
      </c>
      <c r="AC477">
        <v>0</v>
      </c>
      <c r="AD477">
        <v>1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85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50</v>
      </c>
      <c r="AU477">
        <v>0</v>
      </c>
      <c r="AV477">
        <v>0</v>
      </c>
    </row>
    <row r="478" spans="1:48" ht="12.75">
      <c r="A478" s="2" t="str">
        <f>HYPERLINK("https://ibp.a2mac1.com/costing(costing:projects/details/8191/equipment/6946440)","Handling/Visual inspection/packaging")</f>
        <v>Handling/Visual inspection/packaging</v>
      </c>
      <c r="B478">
        <v>6946440</v>
      </c>
      <c r="C478">
        <v>6973882</v>
      </c>
      <c r="H478" t="s">
        <v>136</v>
      </c>
      <c r="I478">
        <v>4437.4535986499995</v>
      </c>
      <c r="J478">
        <v>0</v>
      </c>
      <c r="K478">
        <v>0.08</v>
      </c>
      <c r="L478">
        <v>0</v>
      </c>
      <c r="M478">
        <v>1.0342676949774992</v>
      </c>
      <c r="N478">
        <v>0</v>
      </c>
      <c r="O478">
        <v>0.0014364829096909712</v>
      </c>
      <c r="P478">
        <v>0.0057381666666666666</v>
      </c>
      <c r="Q478">
        <v>1.5514015424662487E-05</v>
      </c>
      <c r="R478">
        <v>29999.99999</v>
      </c>
      <c r="S478">
        <v>2076.165</v>
      </c>
      <c r="T478">
        <v>0</v>
      </c>
      <c r="V478">
        <v>900</v>
      </c>
      <c r="W478">
        <v>10</v>
      </c>
      <c r="X478">
        <v>85</v>
      </c>
      <c r="Y478">
        <v>3</v>
      </c>
      <c r="Z478">
        <v>4</v>
      </c>
      <c r="AA478">
        <v>5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50</v>
      </c>
      <c r="AM478">
        <v>2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10</v>
      </c>
      <c r="AU478">
        <v>0</v>
      </c>
      <c r="AV478">
        <v>0</v>
      </c>
    </row>
    <row r="479" spans="1:48" ht="12.75">
      <c r="A479" s="2" t="str">
        <f>HYPERLINK("https://ibp.a2mac1.com/costing(costing:projects/details/8191/equipment/6946441)","No.01 - Waterjet Cutting ")</f>
        <v xml:space="preserve">No.01 - Waterjet Cutting </v>
      </c>
      <c r="B479">
        <v>6946441</v>
      </c>
      <c r="C479">
        <v>6973883</v>
      </c>
      <c r="E479" t="s">
        <v>499</v>
      </c>
      <c r="G479" t="s">
        <v>3866</v>
      </c>
      <c r="H479" t="s">
        <v>136</v>
      </c>
      <c r="I479">
        <v>708874.37878499995</v>
      </c>
      <c r="J479">
        <v>0</v>
      </c>
      <c r="K479">
        <v>5.52</v>
      </c>
      <c r="L479">
        <v>0</v>
      </c>
      <c r="M479">
        <v>143.55830686837029</v>
      </c>
      <c r="N479">
        <v>0</v>
      </c>
      <c r="O479">
        <v>2.3926384478061715</v>
      </c>
      <c r="P479">
        <v>0.034429000000000001</v>
      </c>
      <c r="Q479">
        <v>0.00093671128121022179</v>
      </c>
      <c r="R479">
        <v>2999999.3309999998</v>
      </c>
      <c r="S479">
        <v>922.74</v>
      </c>
      <c r="T479">
        <v>0</v>
      </c>
      <c r="V479">
        <v>360</v>
      </c>
      <c r="W479">
        <v>5</v>
      </c>
      <c r="X479">
        <v>85</v>
      </c>
      <c r="Y479">
        <v>3</v>
      </c>
      <c r="Z479">
        <v>4</v>
      </c>
      <c r="AA479">
        <v>5</v>
      </c>
      <c r="AB479">
        <v>0</v>
      </c>
      <c r="AC479">
        <v>0</v>
      </c>
      <c r="AD479">
        <v>0</v>
      </c>
      <c r="AE479">
        <v>0</v>
      </c>
      <c r="AF479">
        <v>0.50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92</v>
      </c>
      <c r="AM479">
        <v>75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100</v>
      </c>
      <c r="AU479">
        <v>0</v>
      </c>
      <c r="AV479">
        <v>0</v>
      </c>
    </row>
    <row r="480" spans="1:48" ht="12.75">
      <c r="A480" s="2" t="str">
        <f>HYPERLINK("https://ibp.a2mac1.com/costing(costing:projects/details/8191/equipment/6946442)","Foaming")</f>
        <v>Foaming</v>
      </c>
      <c r="B480">
        <v>6946442</v>
      </c>
      <c r="C480">
        <v>6973884</v>
      </c>
      <c r="E480" t="s">
        <v>603</v>
      </c>
      <c r="G480" t="s">
        <v>2871</v>
      </c>
      <c r="H480" t="s">
        <v>136</v>
      </c>
      <c r="I480">
        <v>40021.674361199999</v>
      </c>
      <c r="J480">
        <v>0</v>
      </c>
      <c r="K480">
        <v>1.9958800000000001</v>
      </c>
      <c r="L480">
        <v>0</v>
      </c>
      <c r="M480">
        <v>10.758599176663452</v>
      </c>
      <c r="N480">
        <v>0</v>
      </c>
      <c r="O480">
        <v>0.35861997255544842</v>
      </c>
      <c r="P480">
        <v>0.13771600000000001</v>
      </c>
      <c r="Q480">
        <v>0.0013991303505998072</v>
      </c>
      <c r="R480">
        <v>289999.28711999999</v>
      </c>
      <c r="S480">
        <v>49827.96</v>
      </c>
      <c r="T480">
        <v>0</v>
      </c>
      <c r="V480">
        <v>3600</v>
      </c>
      <c r="W480">
        <v>10</v>
      </c>
      <c r="X480">
        <v>85</v>
      </c>
      <c r="Y480">
        <v>3</v>
      </c>
      <c r="Z480">
        <v>4</v>
      </c>
      <c r="AA480">
        <v>5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100</v>
      </c>
      <c r="AM480">
        <v>16.30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22.50</v>
      </c>
      <c r="AU480">
        <v>0</v>
      </c>
      <c r="AV480">
        <v>0</v>
      </c>
    </row>
    <row r="481" spans="1:48" ht="12.75">
      <c r="A481" s="2" t="str">
        <f>HYPERLINK("https://ibp.a2mac1.com/costing(costing:projects/details/8191/equipment/6946443)","Thermocompression for Interior ")</f>
        <v xml:space="preserve">Thermocompression for Interior </v>
      </c>
      <c r="B481">
        <v>6946443</v>
      </c>
      <c r="C481">
        <v>6973885</v>
      </c>
      <c r="F481" t="s">
        <v>3871</v>
      </c>
      <c r="H481" t="s">
        <v>136</v>
      </c>
      <c r="I481">
        <v>48792.380391899998</v>
      </c>
      <c r="J481">
        <v>0</v>
      </c>
      <c r="K481">
        <v>0.74399999999999999</v>
      </c>
      <c r="L481">
        <v>0</v>
      </c>
      <c r="M481">
        <v>11.455729409980714</v>
      </c>
      <c r="N481">
        <v>0</v>
      </c>
      <c r="O481">
        <v>0.21638599996630237</v>
      </c>
      <c r="P481">
        <v>0.23724897777777779</v>
      </c>
      <c r="Q481">
        <v>1.1455729409980713E-05</v>
      </c>
      <c r="R481">
        <v>357119.99994000001</v>
      </c>
      <c r="S481">
        <v>189346.24799999999</v>
      </c>
      <c r="T481">
        <v>0</v>
      </c>
      <c r="V481">
        <v>60</v>
      </c>
      <c r="W481">
        <v>10</v>
      </c>
      <c r="X481">
        <v>85</v>
      </c>
      <c r="Y481">
        <v>3</v>
      </c>
      <c r="Z481">
        <v>4</v>
      </c>
      <c r="AA481">
        <v>5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93</v>
      </c>
      <c r="AM481">
        <v>10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15</v>
      </c>
      <c r="AU481">
        <v>0</v>
      </c>
      <c r="AV481">
        <v>0</v>
      </c>
    </row>
    <row r="482" spans="1:48" ht="12.75">
      <c r="A482" s="2" t="str">
        <f>HYPERLINK("https://ibp.a2mac1.com/costing(costing:projects/details/8191/equipment/6946444)","Die cutting")</f>
        <v>Die cutting</v>
      </c>
      <c r="B482">
        <v>6946444</v>
      </c>
      <c r="C482">
        <v>6973886</v>
      </c>
      <c r="F482" t="s">
        <v>3876</v>
      </c>
      <c r="H482" t="s">
        <v>136</v>
      </c>
      <c r="I482">
        <v>8296.6265946000003</v>
      </c>
      <c r="J482">
        <v>0</v>
      </c>
      <c r="K482">
        <v>0.068000000000000005</v>
      </c>
      <c r="L482">
        <v>0</v>
      </c>
      <c r="M482">
        <v>1.7799808088396014</v>
      </c>
      <c r="N482">
        <v>0</v>
      </c>
      <c r="O482">
        <v>0.0074165867034983396</v>
      </c>
      <c r="P482">
        <v>0.069548833333333338</v>
      </c>
      <c r="Q482">
        <v>5.339942426518804E-05</v>
      </c>
      <c r="R482">
        <v>47106.359960000002</v>
      </c>
      <c r="S482">
        <v>6975.9143999999997</v>
      </c>
      <c r="T482">
        <v>0</v>
      </c>
      <c r="V482">
        <v>1800</v>
      </c>
      <c r="W482">
        <v>10</v>
      </c>
      <c r="X482">
        <v>85</v>
      </c>
      <c r="Y482">
        <v>3</v>
      </c>
      <c r="Z482">
        <v>4</v>
      </c>
      <c r="AA482">
        <v>5</v>
      </c>
      <c r="AB482">
        <v>0</v>
      </c>
      <c r="AC482">
        <v>0</v>
      </c>
      <c r="AD482">
        <v>1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85</v>
      </c>
      <c r="AM482">
        <v>1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50</v>
      </c>
      <c r="AU482">
        <v>0</v>
      </c>
      <c r="AV482">
        <v>0</v>
      </c>
    </row>
    <row r="483" spans="1:48" ht="12.75">
      <c r="A483" s="2" t="str">
        <f>HYPERLINK("https://ibp.a2mac1.com/costing(costing:projects/details/8191/equipment/6946445)","Die cutting")</f>
        <v>Die cutting</v>
      </c>
      <c r="B483">
        <v>6946445</v>
      </c>
      <c r="C483">
        <v>6973887</v>
      </c>
      <c r="F483" t="s">
        <v>3876</v>
      </c>
      <c r="H483" t="s">
        <v>136</v>
      </c>
      <c r="I483">
        <v>8296.6265946000003</v>
      </c>
      <c r="J483">
        <v>0</v>
      </c>
      <c r="K483">
        <v>0.068000000000000005</v>
      </c>
      <c r="L483">
        <v>0</v>
      </c>
      <c r="M483">
        <v>1.7799808088396014</v>
      </c>
      <c r="N483">
        <v>0</v>
      </c>
      <c r="O483">
        <v>0.0074165867034983396</v>
      </c>
      <c r="P483">
        <v>0.069548833333333338</v>
      </c>
      <c r="Q483">
        <v>5.339942426518804E-05</v>
      </c>
      <c r="R483">
        <v>47106.359960000002</v>
      </c>
      <c r="S483">
        <v>6975.9143999999997</v>
      </c>
      <c r="T483">
        <v>0</v>
      </c>
      <c r="V483">
        <v>1800</v>
      </c>
      <c r="W483">
        <v>10</v>
      </c>
      <c r="X483">
        <v>85</v>
      </c>
      <c r="Y483">
        <v>3</v>
      </c>
      <c r="Z483">
        <v>4</v>
      </c>
      <c r="AA483">
        <v>5</v>
      </c>
      <c r="AB483">
        <v>0</v>
      </c>
      <c r="AC483">
        <v>0</v>
      </c>
      <c r="AD483">
        <v>1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85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50</v>
      </c>
      <c r="AU483">
        <v>0</v>
      </c>
      <c r="AV483">
        <v>0</v>
      </c>
    </row>
    <row r="484" spans="1:48" ht="12.75">
      <c r="A484" s="2" t="str">
        <f>HYPERLINK("https://ibp.a2mac1.com/costing(costing:projects/details/8191/equipment/6946446)","Die cutting")</f>
        <v>Die cutting</v>
      </c>
      <c r="B484">
        <v>6946446</v>
      </c>
      <c r="C484">
        <v>6973888</v>
      </c>
      <c r="F484" t="s">
        <v>3876</v>
      </c>
      <c r="H484" t="s">
        <v>136</v>
      </c>
      <c r="I484">
        <v>8296.6265946000003</v>
      </c>
      <c r="J484">
        <v>0</v>
      </c>
      <c r="K484">
        <v>0.068000000000000005</v>
      </c>
      <c r="L484">
        <v>0</v>
      </c>
      <c r="M484">
        <v>1.7799808088396014</v>
      </c>
      <c r="N484">
        <v>0</v>
      </c>
      <c r="O484">
        <v>0.0074165867034983396</v>
      </c>
      <c r="P484">
        <v>0.069548833333333338</v>
      </c>
      <c r="Q484">
        <v>5.339942426518804E-05</v>
      </c>
      <c r="R484">
        <v>47106.359960000002</v>
      </c>
      <c r="S484">
        <v>6975.9143999999997</v>
      </c>
      <c r="T484">
        <v>0</v>
      </c>
      <c r="V484">
        <v>1800</v>
      </c>
      <c r="W484">
        <v>10</v>
      </c>
      <c r="X484">
        <v>85</v>
      </c>
      <c r="Y484">
        <v>3</v>
      </c>
      <c r="Z484">
        <v>4</v>
      </c>
      <c r="AA484">
        <v>5</v>
      </c>
      <c r="AB484">
        <v>0</v>
      </c>
      <c r="AC484">
        <v>0</v>
      </c>
      <c r="AD484">
        <v>1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85</v>
      </c>
      <c r="AM484">
        <v>1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50</v>
      </c>
      <c r="AU484">
        <v>0</v>
      </c>
      <c r="AV484">
        <v>0</v>
      </c>
    </row>
    <row r="485" spans="1:48" ht="12.75">
      <c r="A485" s="2" t="str">
        <f>HYPERLINK("https://ibp.a2mac1.com/costing(costing:projects/details/8191/equipment/6946447)","Die cutting")</f>
        <v>Die cutting</v>
      </c>
      <c r="B485">
        <v>6946447</v>
      </c>
      <c r="C485">
        <v>6973889</v>
      </c>
      <c r="F485" t="s">
        <v>3876</v>
      </c>
      <c r="H485" t="s">
        <v>136</v>
      </c>
      <c r="I485">
        <v>8296.6265946000003</v>
      </c>
      <c r="J485">
        <v>0</v>
      </c>
      <c r="K485">
        <v>0.068000000000000005</v>
      </c>
      <c r="L485">
        <v>0</v>
      </c>
      <c r="M485">
        <v>1.7799808088396014</v>
      </c>
      <c r="N485">
        <v>0</v>
      </c>
      <c r="O485">
        <v>0.0074165867034983396</v>
      </c>
      <c r="P485">
        <v>0.069548833333333338</v>
      </c>
      <c r="Q485">
        <v>5.339942426518804E-05</v>
      </c>
      <c r="R485">
        <v>47106.359960000002</v>
      </c>
      <c r="S485">
        <v>6975.9143999999997</v>
      </c>
      <c r="T485">
        <v>0</v>
      </c>
      <c r="V485">
        <v>1800</v>
      </c>
      <c r="W485">
        <v>10</v>
      </c>
      <c r="X485">
        <v>85</v>
      </c>
      <c r="Y485">
        <v>3</v>
      </c>
      <c r="Z485">
        <v>4</v>
      </c>
      <c r="AA485">
        <v>5</v>
      </c>
      <c r="AB485">
        <v>0</v>
      </c>
      <c r="AC485">
        <v>0</v>
      </c>
      <c r="AD485">
        <v>1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85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50</v>
      </c>
      <c r="AU485">
        <v>0</v>
      </c>
      <c r="AV485">
        <v>0</v>
      </c>
    </row>
    <row r="486" spans="1:48" ht="12.75">
      <c r="A486" s="2" t="str">
        <f>HYPERLINK("https://ibp.a2mac1.com/costing(costing:projects/details/8191/equipment/6946448)","Die cutting")</f>
        <v>Die cutting</v>
      </c>
      <c r="B486">
        <v>6946448</v>
      </c>
      <c r="C486">
        <v>6973890</v>
      </c>
      <c r="F486" t="s">
        <v>3876</v>
      </c>
      <c r="H486" t="s">
        <v>136</v>
      </c>
      <c r="I486">
        <v>8296.6265946000003</v>
      </c>
      <c r="J486">
        <v>0</v>
      </c>
      <c r="K486">
        <v>0.068000000000000005</v>
      </c>
      <c r="L486">
        <v>0</v>
      </c>
      <c r="M486">
        <v>1.7799808088396014</v>
      </c>
      <c r="N486">
        <v>0</v>
      </c>
      <c r="O486">
        <v>0.0074165867034983396</v>
      </c>
      <c r="P486">
        <v>0.069548833333333338</v>
      </c>
      <c r="Q486">
        <v>5.339942426518804E-05</v>
      </c>
      <c r="R486">
        <v>47106.359960000002</v>
      </c>
      <c r="S486">
        <v>6975.9143999999997</v>
      </c>
      <c r="T486">
        <v>0</v>
      </c>
      <c r="V486">
        <v>1800</v>
      </c>
      <c r="W486">
        <v>10</v>
      </c>
      <c r="X486">
        <v>85</v>
      </c>
      <c r="Y486">
        <v>3</v>
      </c>
      <c r="Z486">
        <v>4</v>
      </c>
      <c r="AA486">
        <v>5</v>
      </c>
      <c r="AB486">
        <v>0</v>
      </c>
      <c r="AC486">
        <v>0</v>
      </c>
      <c r="AD486">
        <v>1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85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50</v>
      </c>
      <c r="AU486">
        <v>0</v>
      </c>
      <c r="AV486">
        <v>0</v>
      </c>
    </row>
    <row r="487" spans="1:48" ht="12.75">
      <c r="A487" s="2" t="str">
        <f>HYPERLINK("https://ibp.a2mac1.com/costing(costing:projects/details/8191/equipment/6946449)","Die cutting")</f>
        <v>Die cutting</v>
      </c>
      <c r="B487">
        <v>6946449</v>
      </c>
      <c r="C487">
        <v>6973891</v>
      </c>
      <c r="F487" t="s">
        <v>3876</v>
      </c>
      <c r="H487" t="s">
        <v>136</v>
      </c>
      <c r="I487">
        <v>8296.6265946000003</v>
      </c>
      <c r="J487">
        <v>0</v>
      </c>
      <c r="K487">
        <v>0.068000000000000005</v>
      </c>
      <c r="L487">
        <v>0</v>
      </c>
      <c r="M487">
        <v>1.7799808088396014</v>
      </c>
      <c r="N487">
        <v>0</v>
      </c>
      <c r="O487">
        <v>0.0074165867034983396</v>
      </c>
      <c r="P487">
        <v>0.069548833333333338</v>
      </c>
      <c r="Q487">
        <v>5.339942426518804E-05</v>
      </c>
      <c r="R487">
        <v>47106.359960000002</v>
      </c>
      <c r="S487">
        <v>6975.9143999999997</v>
      </c>
      <c r="T487">
        <v>0</v>
      </c>
      <c r="V487">
        <v>1800</v>
      </c>
      <c r="W487">
        <v>10</v>
      </c>
      <c r="X487">
        <v>85</v>
      </c>
      <c r="Y487">
        <v>3</v>
      </c>
      <c r="Z487">
        <v>4</v>
      </c>
      <c r="AA487">
        <v>5</v>
      </c>
      <c r="AB487">
        <v>0</v>
      </c>
      <c r="AC487">
        <v>0</v>
      </c>
      <c r="AD487">
        <v>1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85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50</v>
      </c>
      <c r="AU487">
        <v>0</v>
      </c>
      <c r="AV487">
        <v>0</v>
      </c>
    </row>
    <row r="488" spans="1:48" ht="12.75">
      <c r="A488" s="2" t="str">
        <f>HYPERLINK("https://ibp.a2mac1.com/costing(costing:projects/details/8191/equipment/6946450)","Heat press cutting machine")</f>
        <v>Heat press cutting machine</v>
      </c>
      <c r="B488">
        <v>6946450</v>
      </c>
      <c r="C488">
        <v>6973892</v>
      </c>
      <c r="H488" t="s">
        <v>136</v>
      </c>
      <c r="I488">
        <v>35384.868000000002</v>
      </c>
      <c r="J488">
        <v>0</v>
      </c>
      <c r="K488">
        <v>1.60</v>
      </c>
      <c r="L488">
        <v>0</v>
      </c>
      <c r="M488">
        <v>9.2780565734490512</v>
      </c>
      <c r="N488">
        <v>0</v>
      </c>
      <c r="O488">
        <v>0.038658569056037713</v>
      </c>
      <c r="P488">
        <v>0.017214500000000001</v>
      </c>
      <c r="Q488">
        <v>0.0006551488972034716</v>
      </c>
      <c r="R488">
        <v>247760</v>
      </c>
      <c r="S488">
        <v>0</v>
      </c>
      <c r="T488">
        <v>0</v>
      </c>
      <c r="V488">
        <v>3600</v>
      </c>
      <c r="W488">
        <v>10</v>
      </c>
      <c r="X488">
        <v>85</v>
      </c>
      <c r="Y488">
        <v>3</v>
      </c>
      <c r="Z488">
        <v>4</v>
      </c>
      <c r="AA488">
        <v>5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100</v>
      </c>
      <c r="AM488">
        <v>20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50</v>
      </c>
      <c r="AU488">
        <v>0</v>
      </c>
      <c r="AV488">
        <v>0</v>
      </c>
    </row>
    <row r="489" spans="1:48" ht="12.75">
      <c r="A489" s="2" t="str">
        <f>HYPERLINK("https://ibp.a2mac1.com/costing(costing:projects/details/8191/equipment/6946451)","Heat press cutting machine")</f>
        <v>Heat press cutting machine</v>
      </c>
      <c r="B489">
        <v>6946451</v>
      </c>
      <c r="C489">
        <v>6973893</v>
      </c>
      <c r="H489" t="s">
        <v>136</v>
      </c>
      <c r="I489">
        <v>35384.868000000002</v>
      </c>
      <c r="J489">
        <v>0</v>
      </c>
      <c r="K489">
        <v>1.60</v>
      </c>
      <c r="L489">
        <v>0</v>
      </c>
      <c r="M489">
        <v>9.2780565734490512</v>
      </c>
      <c r="N489">
        <v>0</v>
      </c>
      <c r="O489">
        <v>0.038658569056037713</v>
      </c>
      <c r="P489">
        <v>0.017214500000000001</v>
      </c>
      <c r="Q489">
        <v>0.0006551488972034716</v>
      </c>
      <c r="R489">
        <v>247760</v>
      </c>
      <c r="S489">
        <v>0</v>
      </c>
      <c r="T489">
        <v>0</v>
      </c>
      <c r="V489">
        <v>3600</v>
      </c>
      <c r="W489">
        <v>10</v>
      </c>
      <c r="X489">
        <v>85</v>
      </c>
      <c r="Y489">
        <v>3</v>
      </c>
      <c r="Z489">
        <v>4</v>
      </c>
      <c r="AA489">
        <v>5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100</v>
      </c>
      <c r="AM489">
        <v>20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50</v>
      </c>
      <c r="AU489">
        <v>0</v>
      </c>
      <c r="AV489">
        <v>0</v>
      </c>
    </row>
    <row r="490" spans="1:48" ht="12.75">
      <c r="A490" s="2" t="str">
        <f>HYPERLINK("https://ibp.a2mac1.com/costing(costing:projects/details/8191/equipment/6946452)","Heat press cutting machine")</f>
        <v>Heat press cutting machine</v>
      </c>
      <c r="B490">
        <v>6946452</v>
      </c>
      <c r="C490">
        <v>6973894</v>
      </c>
      <c r="H490" t="s">
        <v>136</v>
      </c>
      <c r="I490">
        <v>35384.868000000002</v>
      </c>
      <c r="J490">
        <v>0</v>
      </c>
      <c r="K490">
        <v>1.60</v>
      </c>
      <c r="L490">
        <v>0</v>
      </c>
      <c r="M490">
        <v>9.2780565734490512</v>
      </c>
      <c r="N490">
        <v>0</v>
      </c>
      <c r="O490">
        <v>0.038658569056037713</v>
      </c>
      <c r="P490">
        <v>0.017214500000000001</v>
      </c>
      <c r="Q490">
        <v>0.0006551488972034716</v>
      </c>
      <c r="R490">
        <v>247760</v>
      </c>
      <c r="S490">
        <v>0</v>
      </c>
      <c r="T490">
        <v>0</v>
      </c>
      <c r="V490">
        <v>3600</v>
      </c>
      <c r="W490">
        <v>10</v>
      </c>
      <c r="X490">
        <v>85</v>
      </c>
      <c r="Y490">
        <v>3</v>
      </c>
      <c r="Z490">
        <v>4</v>
      </c>
      <c r="AA490">
        <v>5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100</v>
      </c>
      <c r="AM490">
        <v>20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50</v>
      </c>
      <c r="AU490">
        <v>0</v>
      </c>
      <c r="AV490">
        <v>0</v>
      </c>
    </row>
    <row r="491" spans="1:48" ht="12.75">
      <c r="A491" s="2" t="str">
        <f>HYPERLINK("https://ibp.a2mac1.com/costing(costing:projects/details/8191/equipment/6946453)","Die cutting")</f>
        <v>Die cutting</v>
      </c>
      <c r="B491">
        <v>6946453</v>
      </c>
      <c r="C491">
        <v>6973895</v>
      </c>
      <c r="F491" t="s">
        <v>3876</v>
      </c>
      <c r="H491" t="s">
        <v>136</v>
      </c>
      <c r="I491">
        <v>8296.6265946000003</v>
      </c>
      <c r="J491">
        <v>0</v>
      </c>
      <c r="K491">
        <v>0.068000000000000005</v>
      </c>
      <c r="L491">
        <v>0</v>
      </c>
      <c r="M491">
        <v>1.7799808088396014</v>
      </c>
      <c r="N491">
        <v>0</v>
      </c>
      <c r="O491">
        <v>0.0074165867034983396</v>
      </c>
      <c r="P491">
        <v>0.069548833333333338</v>
      </c>
      <c r="Q491">
        <v>5.339942426518804E-05</v>
      </c>
      <c r="R491">
        <v>47106.359960000002</v>
      </c>
      <c r="S491">
        <v>6975.9143999999997</v>
      </c>
      <c r="T491">
        <v>0</v>
      </c>
      <c r="V491">
        <v>1800</v>
      </c>
      <c r="W491">
        <v>10</v>
      </c>
      <c r="X491">
        <v>85</v>
      </c>
      <c r="Y491">
        <v>3</v>
      </c>
      <c r="Z491">
        <v>4</v>
      </c>
      <c r="AA491">
        <v>5</v>
      </c>
      <c r="AB491">
        <v>0</v>
      </c>
      <c r="AC491">
        <v>0</v>
      </c>
      <c r="AD491">
        <v>1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85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50</v>
      </c>
      <c r="AU491">
        <v>0</v>
      </c>
      <c r="AV491">
        <v>0</v>
      </c>
    </row>
    <row r="492" spans="1:48" ht="12.75">
      <c r="A492" s="2" t="str">
        <f>HYPERLINK("https://ibp.a2mac1.com/costing(costing:projects/details/8191/equipment/6946454)","Handling/Visual inspection/packaging")</f>
        <v>Handling/Visual inspection/packaging</v>
      </c>
      <c r="B492">
        <v>6946454</v>
      </c>
      <c r="C492">
        <v>6973896</v>
      </c>
      <c r="H492" t="s">
        <v>136</v>
      </c>
      <c r="I492">
        <v>4437.4535986499995</v>
      </c>
      <c r="J492">
        <v>0</v>
      </c>
      <c r="K492">
        <v>0.08</v>
      </c>
      <c r="L492">
        <v>0</v>
      </c>
      <c r="M492">
        <v>1.0342676949774992</v>
      </c>
      <c r="N492">
        <v>0</v>
      </c>
      <c r="O492">
        <v>0.0014364829096909712</v>
      </c>
      <c r="P492">
        <v>0.0057381666666666666</v>
      </c>
      <c r="Q492">
        <v>1.5514015424662487E-05</v>
      </c>
      <c r="R492">
        <v>29999.99999</v>
      </c>
      <c r="S492">
        <v>2076.165</v>
      </c>
      <c r="T492">
        <v>0</v>
      </c>
      <c r="V492">
        <v>900</v>
      </c>
      <c r="W492">
        <v>10</v>
      </c>
      <c r="X492">
        <v>85</v>
      </c>
      <c r="Y492">
        <v>3</v>
      </c>
      <c r="Z492">
        <v>4</v>
      </c>
      <c r="AA492">
        <v>5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50</v>
      </c>
      <c r="AM492">
        <v>2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10</v>
      </c>
      <c r="AU492">
        <v>0</v>
      </c>
      <c r="AV492">
        <v>0</v>
      </c>
    </row>
    <row r="493" spans="1:48" ht="12.75">
      <c r="A493" s="2" t="str">
        <f>HYPERLINK("https://ibp.a2mac1.com/costing(costing:projects/details/8191/equipment/6946455)","No.01 - Waterjet Cutting ")</f>
        <v xml:space="preserve">No.01 - Waterjet Cutting </v>
      </c>
      <c r="B493">
        <v>6946455</v>
      </c>
      <c r="C493">
        <v>6973897</v>
      </c>
      <c r="E493" t="s">
        <v>499</v>
      </c>
      <c r="G493" t="s">
        <v>3866</v>
      </c>
      <c r="H493" t="s">
        <v>136</v>
      </c>
      <c r="I493">
        <v>708874.37878499995</v>
      </c>
      <c r="J493">
        <v>0</v>
      </c>
      <c r="K493">
        <v>5.52</v>
      </c>
      <c r="L493">
        <v>0</v>
      </c>
      <c r="M493">
        <v>143.55830686837029</v>
      </c>
      <c r="N493">
        <v>0</v>
      </c>
      <c r="O493">
        <v>0.59815961195154288</v>
      </c>
      <c r="P493">
        <v>0.0086072500000000003</v>
      </c>
      <c r="Q493">
        <v>0.00093671128121022179</v>
      </c>
      <c r="R493">
        <v>2999999.3309999998</v>
      </c>
      <c r="S493">
        <v>922.74</v>
      </c>
      <c r="T493">
        <v>0</v>
      </c>
      <c r="V493">
        <v>360</v>
      </c>
      <c r="W493">
        <v>5</v>
      </c>
      <c r="X493">
        <v>85</v>
      </c>
      <c r="Y493">
        <v>3</v>
      </c>
      <c r="Z493">
        <v>4</v>
      </c>
      <c r="AA493">
        <v>5</v>
      </c>
      <c r="AB493">
        <v>0</v>
      </c>
      <c r="AC493">
        <v>0</v>
      </c>
      <c r="AD493">
        <v>0</v>
      </c>
      <c r="AE493">
        <v>0</v>
      </c>
      <c r="AF493">
        <v>0.50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92</v>
      </c>
      <c r="AM493">
        <v>75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100</v>
      </c>
      <c r="AU493">
        <v>0</v>
      </c>
      <c r="AV493">
        <v>0</v>
      </c>
    </row>
    <row r="494" spans="1:48" ht="12.75">
      <c r="A494" s="2" t="str">
        <f>HYPERLINK("https://ibp.a2mac1.com/costing(costing:projects/details/8191/equipment/6946456)","Thermocompression for Interior ")</f>
        <v xml:space="preserve">Thermocompression for Interior </v>
      </c>
      <c r="B494">
        <v>6946456</v>
      </c>
      <c r="C494">
        <v>6973898</v>
      </c>
      <c r="F494" t="s">
        <v>3871</v>
      </c>
      <c r="H494" t="s">
        <v>136</v>
      </c>
      <c r="I494">
        <v>48792.380391899998</v>
      </c>
      <c r="J494">
        <v>0</v>
      </c>
      <c r="K494">
        <v>0.74399999999999999</v>
      </c>
      <c r="L494">
        <v>0</v>
      </c>
      <c r="M494">
        <v>11.455729409980714</v>
      </c>
      <c r="N494">
        <v>0</v>
      </c>
      <c r="O494">
        <v>0.12728588233311905</v>
      </c>
      <c r="P494">
        <v>0.13955822222222222</v>
      </c>
      <c r="Q494">
        <v>1.1455729409980713E-05</v>
      </c>
      <c r="R494">
        <v>357119.99994000001</v>
      </c>
      <c r="S494">
        <v>189346.24799999999</v>
      </c>
      <c r="T494">
        <v>0</v>
      </c>
      <c r="V494">
        <v>60</v>
      </c>
      <c r="W494">
        <v>10</v>
      </c>
      <c r="X494">
        <v>85</v>
      </c>
      <c r="Y494">
        <v>3</v>
      </c>
      <c r="Z494">
        <v>4</v>
      </c>
      <c r="AA494">
        <v>5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93</v>
      </c>
      <c r="AM494">
        <v>10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15</v>
      </c>
      <c r="AU494">
        <v>0</v>
      </c>
      <c r="AV494">
        <v>0</v>
      </c>
    </row>
    <row r="495" spans="1:48" ht="12.75">
      <c r="A495" s="2" t="str">
        <f>HYPERLINK("https://ibp.a2mac1.com/costing(costing:projects/details/8191/equipment/6946457)","Die cutting")</f>
        <v>Die cutting</v>
      </c>
      <c r="B495">
        <v>6946457</v>
      </c>
      <c r="C495">
        <v>6973899</v>
      </c>
      <c r="F495" t="s">
        <v>3876</v>
      </c>
      <c r="H495" t="s">
        <v>136</v>
      </c>
      <c r="I495">
        <v>8296.6265946000003</v>
      </c>
      <c r="J495">
        <v>0</v>
      </c>
      <c r="K495">
        <v>0.068000000000000005</v>
      </c>
      <c r="L495">
        <v>0</v>
      </c>
      <c r="M495">
        <v>1.7799808088396014</v>
      </c>
      <c r="N495">
        <v>0</v>
      </c>
      <c r="O495">
        <v>0.0074165867034983396</v>
      </c>
      <c r="P495">
        <v>0.069548833333333338</v>
      </c>
      <c r="Q495">
        <v>5.339942426518804E-05</v>
      </c>
      <c r="R495">
        <v>47106.359960000002</v>
      </c>
      <c r="S495">
        <v>6975.9143999999997</v>
      </c>
      <c r="T495">
        <v>0</v>
      </c>
      <c r="V495">
        <v>1800</v>
      </c>
      <c r="W495">
        <v>10</v>
      </c>
      <c r="X495">
        <v>85</v>
      </c>
      <c r="Y495">
        <v>3</v>
      </c>
      <c r="Z495">
        <v>4</v>
      </c>
      <c r="AA495">
        <v>5</v>
      </c>
      <c r="AB495">
        <v>0</v>
      </c>
      <c r="AC495">
        <v>0</v>
      </c>
      <c r="AD495">
        <v>1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85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50</v>
      </c>
      <c r="AU495">
        <v>0</v>
      </c>
      <c r="AV495">
        <v>0</v>
      </c>
    </row>
    <row r="496" spans="1:48" ht="12.75">
      <c r="A496" s="2" t="str">
        <f>HYPERLINK("https://ibp.a2mac1.com/costing(costing:projects/details/8191/equipment/6946458)","Handling/Visual inspection/packaging")</f>
        <v>Handling/Visual inspection/packaging</v>
      </c>
      <c r="B496">
        <v>6946458</v>
      </c>
      <c r="C496">
        <v>6973900</v>
      </c>
      <c r="H496" t="s">
        <v>136</v>
      </c>
      <c r="I496">
        <v>4437.4535986499995</v>
      </c>
      <c r="J496">
        <v>0</v>
      </c>
      <c r="K496">
        <v>0.08</v>
      </c>
      <c r="L496">
        <v>0</v>
      </c>
      <c r="M496">
        <v>1.0342676949774992</v>
      </c>
      <c r="N496">
        <v>0</v>
      </c>
      <c r="O496">
        <v>0.0014364829096909712</v>
      </c>
      <c r="P496">
        <v>0.0057381666666666666</v>
      </c>
      <c r="Q496">
        <v>1.5514015424662487E-05</v>
      </c>
      <c r="R496">
        <v>29999.99999</v>
      </c>
      <c r="S496">
        <v>2076.165</v>
      </c>
      <c r="T496">
        <v>0</v>
      </c>
      <c r="V496">
        <v>900</v>
      </c>
      <c r="W496">
        <v>10</v>
      </c>
      <c r="X496">
        <v>85</v>
      </c>
      <c r="Y496">
        <v>3</v>
      </c>
      <c r="Z496">
        <v>4</v>
      </c>
      <c r="AA496">
        <v>5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50</v>
      </c>
      <c r="AM496">
        <v>2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10</v>
      </c>
      <c r="AU496">
        <v>0</v>
      </c>
      <c r="AV496">
        <v>0</v>
      </c>
    </row>
    <row r="497" spans="1:48" ht="12.75">
      <c r="A497" s="2" t="str">
        <f>HYPERLINK("https://ibp.a2mac1.com/costing(costing:projects/details/8191/equipment/6946459)","No.01 - Waterjet Cutting ")</f>
        <v xml:space="preserve">No.01 - Waterjet Cutting </v>
      </c>
      <c r="B497">
        <v>6946459</v>
      </c>
      <c r="C497">
        <v>6973901</v>
      </c>
      <c r="E497" t="s">
        <v>499</v>
      </c>
      <c r="G497" t="s">
        <v>3866</v>
      </c>
      <c r="H497" t="s">
        <v>136</v>
      </c>
      <c r="I497">
        <v>708874.37878499995</v>
      </c>
      <c r="J497">
        <v>0</v>
      </c>
      <c r="K497">
        <v>5.52</v>
      </c>
      <c r="L497">
        <v>0</v>
      </c>
      <c r="M497">
        <v>143.55830686837029</v>
      </c>
      <c r="N497">
        <v>0</v>
      </c>
      <c r="O497">
        <v>1.1963192239030858</v>
      </c>
      <c r="P497">
        <v>0.017214500000000001</v>
      </c>
      <c r="Q497">
        <v>0.00093671128121022179</v>
      </c>
      <c r="R497">
        <v>2999999.3309999998</v>
      </c>
      <c r="S497">
        <v>922.74</v>
      </c>
      <c r="T497">
        <v>0</v>
      </c>
      <c r="V497">
        <v>360</v>
      </c>
      <c r="W497">
        <v>5</v>
      </c>
      <c r="X497">
        <v>85</v>
      </c>
      <c r="Y497">
        <v>3</v>
      </c>
      <c r="Z497">
        <v>4</v>
      </c>
      <c r="AA497">
        <v>5</v>
      </c>
      <c r="AB497">
        <v>0</v>
      </c>
      <c r="AC497">
        <v>0</v>
      </c>
      <c r="AD497">
        <v>0</v>
      </c>
      <c r="AE497">
        <v>0</v>
      </c>
      <c r="AF497">
        <v>0.50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92</v>
      </c>
      <c r="AM497">
        <v>75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100</v>
      </c>
      <c r="AU497">
        <v>0</v>
      </c>
      <c r="AV497">
        <v>0</v>
      </c>
    </row>
    <row r="498" spans="1:48" ht="12.75">
      <c r="A498" s="2" t="str">
        <f>HYPERLINK("https://ibp.a2mac1.com/costing(costing:projects/details/8191/equipment/6946460)","Thermocompression for Interior ")</f>
        <v xml:space="preserve">Thermocompression for Interior </v>
      </c>
      <c r="B498">
        <v>6946460</v>
      </c>
      <c r="C498">
        <v>6973902</v>
      </c>
      <c r="F498" t="s">
        <v>3871</v>
      </c>
      <c r="H498" t="s">
        <v>136</v>
      </c>
      <c r="I498">
        <v>48792.380391899998</v>
      </c>
      <c r="J498">
        <v>0</v>
      </c>
      <c r="K498">
        <v>0.74399999999999999</v>
      </c>
      <c r="L498">
        <v>0</v>
      </c>
      <c r="M498">
        <v>11.455729409980714</v>
      </c>
      <c r="N498">
        <v>0</v>
      </c>
      <c r="O498">
        <v>0.21638599996630237</v>
      </c>
      <c r="P498">
        <v>0.23724897777777779</v>
      </c>
      <c r="Q498">
        <v>1.1455729409980713E-05</v>
      </c>
      <c r="R498">
        <v>357119.99994000001</v>
      </c>
      <c r="S498">
        <v>189346.24799999999</v>
      </c>
      <c r="T498">
        <v>0</v>
      </c>
      <c r="V498">
        <v>60</v>
      </c>
      <c r="W498">
        <v>10</v>
      </c>
      <c r="X498">
        <v>85</v>
      </c>
      <c r="Y498">
        <v>3</v>
      </c>
      <c r="Z498">
        <v>4</v>
      </c>
      <c r="AA498">
        <v>5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93</v>
      </c>
      <c r="AM498">
        <v>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15</v>
      </c>
      <c r="AU498">
        <v>0</v>
      </c>
      <c r="AV498">
        <v>0</v>
      </c>
    </row>
    <row r="499" spans="1:48" ht="12.75">
      <c r="A499" s="2" t="str">
        <f>HYPERLINK("https://ibp.a2mac1.com/costing(costing:projects/details/8191/equipment/6946461)","Die cutting")</f>
        <v>Die cutting</v>
      </c>
      <c r="B499">
        <v>6946461</v>
      </c>
      <c r="C499">
        <v>6973903</v>
      </c>
      <c r="F499" t="s">
        <v>3876</v>
      </c>
      <c r="H499" t="s">
        <v>136</v>
      </c>
      <c r="I499">
        <v>8296.6265946000003</v>
      </c>
      <c r="J499">
        <v>0</v>
      </c>
      <c r="K499">
        <v>0.068000000000000005</v>
      </c>
      <c r="L499">
        <v>0</v>
      </c>
      <c r="M499">
        <v>1.7799808088396014</v>
      </c>
      <c r="N499">
        <v>0</v>
      </c>
      <c r="O499">
        <v>0.0074165867034983396</v>
      </c>
      <c r="P499">
        <v>0.069548833333333338</v>
      </c>
      <c r="Q499">
        <v>5.339942426518804E-05</v>
      </c>
      <c r="R499">
        <v>47106.359960000002</v>
      </c>
      <c r="S499">
        <v>6975.9143999999997</v>
      </c>
      <c r="T499">
        <v>0</v>
      </c>
      <c r="V499">
        <v>1800</v>
      </c>
      <c r="W499">
        <v>10</v>
      </c>
      <c r="X499">
        <v>85</v>
      </c>
      <c r="Y499">
        <v>3</v>
      </c>
      <c r="Z499">
        <v>4</v>
      </c>
      <c r="AA499">
        <v>5</v>
      </c>
      <c r="AB499">
        <v>0</v>
      </c>
      <c r="AC499">
        <v>0</v>
      </c>
      <c r="AD499">
        <v>1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85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50</v>
      </c>
      <c r="AU499">
        <v>0</v>
      </c>
      <c r="AV499">
        <v>0</v>
      </c>
    </row>
    <row r="500" spans="1:48" ht="12.75">
      <c r="A500" s="2" t="str">
        <f>HYPERLINK("https://ibp.a2mac1.com/costing(costing:projects/details/8191/equipment/6946462)","Handling/Visual inspection/packaging")</f>
        <v>Handling/Visual inspection/packaging</v>
      </c>
      <c r="B500">
        <v>6946462</v>
      </c>
      <c r="C500">
        <v>6973904</v>
      </c>
      <c r="H500" t="s">
        <v>136</v>
      </c>
      <c r="I500">
        <v>4437.4535986499995</v>
      </c>
      <c r="J500">
        <v>0</v>
      </c>
      <c r="K500">
        <v>0.08</v>
      </c>
      <c r="L500">
        <v>0</v>
      </c>
      <c r="M500">
        <v>1.0342676949774992</v>
      </c>
      <c r="N500">
        <v>0</v>
      </c>
      <c r="O500">
        <v>0.0014364829096909712</v>
      </c>
      <c r="P500">
        <v>0.0057381666666666666</v>
      </c>
      <c r="Q500">
        <v>1.5514015424662487E-05</v>
      </c>
      <c r="R500">
        <v>29999.99999</v>
      </c>
      <c r="S500">
        <v>2076.165</v>
      </c>
      <c r="T500">
        <v>0</v>
      </c>
      <c r="V500">
        <v>900</v>
      </c>
      <c r="W500">
        <v>10</v>
      </c>
      <c r="X500">
        <v>85</v>
      </c>
      <c r="Y500">
        <v>3</v>
      </c>
      <c r="Z500">
        <v>4</v>
      </c>
      <c r="AA500">
        <v>5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50</v>
      </c>
      <c r="AM500">
        <v>2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10</v>
      </c>
      <c r="AU500">
        <v>0</v>
      </c>
      <c r="AV500">
        <v>0</v>
      </c>
    </row>
    <row r="501" spans="1:48" ht="12.75">
      <c r="A501" s="2" t="str">
        <f>HYPERLINK("https://ibp.a2mac1.com/costing(costing:projects/details/8191/equipment/6946463)","No.01 - Waterjet Cutting ")</f>
        <v xml:space="preserve">No.01 - Waterjet Cutting </v>
      </c>
      <c r="B501">
        <v>6946463</v>
      </c>
      <c r="C501">
        <v>6973905</v>
      </c>
      <c r="E501" t="s">
        <v>499</v>
      </c>
      <c r="G501" t="s">
        <v>3866</v>
      </c>
      <c r="H501" t="s">
        <v>136</v>
      </c>
      <c r="I501">
        <v>708874.37878499995</v>
      </c>
      <c r="J501">
        <v>0</v>
      </c>
      <c r="K501">
        <v>5.52</v>
      </c>
      <c r="L501">
        <v>0</v>
      </c>
      <c r="M501">
        <v>143.55830686837029</v>
      </c>
      <c r="N501">
        <v>0</v>
      </c>
      <c r="O501">
        <v>1.5950922985374478</v>
      </c>
      <c r="P501">
        <v>0.022952666666666666</v>
      </c>
      <c r="Q501">
        <v>0.00093671128121022179</v>
      </c>
      <c r="R501">
        <v>2999999.3309999998</v>
      </c>
      <c r="S501">
        <v>922.74</v>
      </c>
      <c r="T501">
        <v>0</v>
      </c>
      <c r="V501">
        <v>360</v>
      </c>
      <c r="W501">
        <v>5</v>
      </c>
      <c r="X501">
        <v>85</v>
      </c>
      <c r="Y501">
        <v>3</v>
      </c>
      <c r="Z501">
        <v>4</v>
      </c>
      <c r="AA501">
        <v>5</v>
      </c>
      <c r="AB501">
        <v>0</v>
      </c>
      <c r="AC501">
        <v>0</v>
      </c>
      <c r="AD501">
        <v>0</v>
      </c>
      <c r="AE501">
        <v>0</v>
      </c>
      <c r="AF501">
        <v>0.50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92</v>
      </c>
      <c r="AM501">
        <v>75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100</v>
      </c>
      <c r="AU501">
        <v>0</v>
      </c>
      <c r="AV501">
        <v>0</v>
      </c>
    </row>
    <row r="502" spans="1:48" ht="12.75">
      <c r="A502" s="2" t="str">
        <f>HYPERLINK("https://ibp.a2mac1.com/costing(costing:projects/details/8191/equipment/6946464)","Thermocompression for Interior ")</f>
        <v xml:space="preserve">Thermocompression for Interior </v>
      </c>
      <c r="B502">
        <v>6946464</v>
      </c>
      <c r="C502">
        <v>6973906</v>
      </c>
      <c r="F502" t="s">
        <v>3871</v>
      </c>
      <c r="H502" t="s">
        <v>136</v>
      </c>
      <c r="I502">
        <v>48792.380391899998</v>
      </c>
      <c r="J502">
        <v>0</v>
      </c>
      <c r="K502">
        <v>0.74399999999999999</v>
      </c>
      <c r="L502">
        <v>0</v>
      </c>
      <c r="M502">
        <v>11.455729409980714</v>
      </c>
      <c r="N502">
        <v>0</v>
      </c>
      <c r="O502">
        <v>0.21638599996630237</v>
      </c>
      <c r="P502">
        <v>0.23724897777777779</v>
      </c>
      <c r="Q502">
        <v>1.1455729409980713E-05</v>
      </c>
      <c r="R502">
        <v>357119.99994000001</v>
      </c>
      <c r="S502">
        <v>189346.24799999999</v>
      </c>
      <c r="T502">
        <v>0</v>
      </c>
      <c r="V502">
        <v>60</v>
      </c>
      <c r="W502">
        <v>10</v>
      </c>
      <c r="X502">
        <v>85</v>
      </c>
      <c r="Y502">
        <v>3</v>
      </c>
      <c r="Z502">
        <v>4</v>
      </c>
      <c r="AA502">
        <v>5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93</v>
      </c>
      <c r="AM502">
        <v>10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15</v>
      </c>
      <c r="AU502">
        <v>0</v>
      </c>
      <c r="AV502">
        <v>0</v>
      </c>
    </row>
    <row r="503" spans="1:48" ht="12.75">
      <c r="A503" s="2" t="str">
        <f>HYPERLINK("https://ibp.a2mac1.com/costing(costing:projects/details/8191/equipment/6946465)","Die cutting")</f>
        <v>Die cutting</v>
      </c>
      <c r="B503">
        <v>6946465</v>
      </c>
      <c r="C503">
        <v>6973907</v>
      </c>
      <c r="F503" t="s">
        <v>3876</v>
      </c>
      <c r="H503" t="s">
        <v>136</v>
      </c>
      <c r="I503">
        <v>8296.6265946000003</v>
      </c>
      <c r="J503">
        <v>0</v>
      </c>
      <c r="K503">
        <v>0.068000000000000005</v>
      </c>
      <c r="L503">
        <v>0</v>
      </c>
      <c r="M503">
        <v>1.7799808088396014</v>
      </c>
      <c r="N503">
        <v>0</v>
      </c>
      <c r="O503">
        <v>0.0074165867034983396</v>
      </c>
      <c r="P503">
        <v>0.069548833333333338</v>
      </c>
      <c r="Q503">
        <v>5.339942426518804E-05</v>
      </c>
      <c r="R503">
        <v>47106.359960000002</v>
      </c>
      <c r="S503">
        <v>6975.9143999999997</v>
      </c>
      <c r="T503">
        <v>0</v>
      </c>
      <c r="V503">
        <v>1800</v>
      </c>
      <c r="W503">
        <v>10</v>
      </c>
      <c r="X503">
        <v>85</v>
      </c>
      <c r="Y503">
        <v>3</v>
      </c>
      <c r="Z503">
        <v>4</v>
      </c>
      <c r="AA503">
        <v>5</v>
      </c>
      <c r="AB503">
        <v>0</v>
      </c>
      <c r="AC503">
        <v>0</v>
      </c>
      <c r="AD503">
        <v>1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85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50</v>
      </c>
      <c r="AU503">
        <v>0</v>
      </c>
      <c r="AV503">
        <v>0</v>
      </c>
    </row>
    <row r="504" spans="1:48" ht="12.75">
      <c r="A504" s="2" t="str">
        <f>HYPERLINK("https://ibp.a2mac1.com/costing(costing:projects/details/8191/equipment/6946505)","Equipment (Injection Molding)")</f>
        <v>Equipment (Injection Molding)</v>
      </c>
      <c r="B504">
        <v>6946505</v>
      </c>
      <c r="C504">
        <v>6973947</v>
      </c>
      <c r="H504" t="s">
        <v>136</v>
      </c>
      <c r="I504">
        <v>92867.799324000007</v>
      </c>
      <c r="J504">
        <v>0</v>
      </c>
      <c r="K504">
        <v>3.9468800000000002</v>
      </c>
      <c r="L504">
        <v>0</v>
      </c>
      <c r="M504">
        <v>22.83723668981035</v>
      </c>
      <c r="N504">
        <v>0</v>
      </c>
      <c r="O504">
        <v>0.38062061149683918</v>
      </c>
      <c r="P504">
        <v>0.024265559200000002</v>
      </c>
      <c r="Q504">
        <v>0.0038025673563350628</v>
      </c>
      <c r="R504">
        <v>493360</v>
      </c>
      <c r="S504">
        <v>0</v>
      </c>
      <c r="T504">
        <v>0</v>
      </c>
      <c r="V504">
        <v>4757.40</v>
      </c>
      <c r="W504">
        <v>7</v>
      </c>
      <c r="X504">
        <v>85</v>
      </c>
      <c r="Y504">
        <v>3</v>
      </c>
      <c r="Z504">
        <v>4</v>
      </c>
      <c r="AA504">
        <v>5</v>
      </c>
      <c r="AB504">
        <v>0</v>
      </c>
      <c r="AC504">
        <v>0</v>
      </c>
      <c r="AD504">
        <v>0</v>
      </c>
      <c r="AE504">
        <v>0</v>
      </c>
      <c r="AF504">
        <v>0.35239999999999999</v>
      </c>
      <c r="AG504">
        <v>0</v>
      </c>
      <c r="AH504">
        <v>0</v>
      </c>
      <c r="AI504">
        <v>2</v>
      </c>
      <c r="AJ504">
        <v>0</v>
      </c>
      <c r="AK504">
        <v>0</v>
      </c>
      <c r="AL504">
        <v>80</v>
      </c>
      <c r="AM504">
        <v>61.67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132.15</v>
      </c>
      <c r="AU504">
        <v>0</v>
      </c>
      <c r="AV504">
        <v>0</v>
      </c>
    </row>
    <row r="505" spans="1:48" ht="12.75">
      <c r="A505" s="2" t="str">
        <f>HYPERLINK("https://ibp.a2mac1.com/costing(costing:projects/details/8191/equipment/6946506)","Equipment (Injection Molding)")</f>
        <v>Equipment (Injection Molding)</v>
      </c>
      <c r="B505">
        <v>6946506</v>
      </c>
      <c r="C505">
        <v>6973948</v>
      </c>
      <c r="H505" t="s">
        <v>136</v>
      </c>
      <c r="I505">
        <v>31781.658906000001</v>
      </c>
      <c r="J505">
        <v>0</v>
      </c>
      <c r="K505">
        <v>1.3507199999999999</v>
      </c>
      <c r="L505">
        <v>0</v>
      </c>
      <c r="M505">
        <v>7.8154674937319193</v>
      </c>
      <c r="N505">
        <v>0</v>
      </c>
      <c r="O505">
        <v>0.13025779156219866</v>
      </c>
      <c r="P505">
        <v>0.0083042748000000007</v>
      </c>
      <c r="Q505">
        <v>0.00089371693524241565</v>
      </c>
      <c r="R505">
        <v>168840</v>
      </c>
      <c r="S505">
        <v>0</v>
      </c>
      <c r="T505">
        <v>0</v>
      </c>
      <c r="V505">
        <v>1628.10</v>
      </c>
      <c r="W505">
        <v>7</v>
      </c>
      <c r="X505">
        <v>85</v>
      </c>
      <c r="Y505">
        <v>3</v>
      </c>
      <c r="Z505">
        <v>4</v>
      </c>
      <c r="AA505">
        <v>5</v>
      </c>
      <c r="AB505">
        <v>0</v>
      </c>
      <c r="AC505">
        <v>0</v>
      </c>
      <c r="AD505">
        <v>0</v>
      </c>
      <c r="AE505">
        <v>0</v>
      </c>
      <c r="AF505">
        <v>0.1206</v>
      </c>
      <c r="AG505">
        <v>0</v>
      </c>
      <c r="AH505">
        <v>0</v>
      </c>
      <c r="AI505">
        <v>2</v>
      </c>
      <c r="AJ505">
        <v>0</v>
      </c>
      <c r="AK505">
        <v>0</v>
      </c>
      <c r="AL505">
        <v>80</v>
      </c>
      <c r="AM505">
        <v>21.105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45.225</v>
      </c>
      <c r="AU505">
        <v>0</v>
      </c>
      <c r="AV505">
        <v>0</v>
      </c>
    </row>
    <row r="506" spans="1:48" ht="12.75">
      <c r="A506" s="2" t="str">
        <f>HYPERLINK("https://ibp.a2mac1.com/costing(costing:projects/details/8191/equipment/6946507)","Equipment (Injection Molding)")</f>
        <v>Equipment (Injection Molding)</v>
      </c>
      <c r="B506">
        <v>6946507</v>
      </c>
      <c r="C506">
        <v>6973949</v>
      </c>
      <c r="H506" t="s">
        <v>136</v>
      </c>
      <c r="I506">
        <v>11648.004342</v>
      </c>
      <c r="J506">
        <v>0</v>
      </c>
      <c r="K506">
        <v>0.49503999999999998</v>
      </c>
      <c r="L506">
        <v>0</v>
      </c>
      <c r="M506">
        <v>2.8643753169398907</v>
      </c>
      <c r="N506">
        <v>0</v>
      </c>
      <c r="O506">
        <v>0.047739588615664845</v>
      </c>
      <c r="P506">
        <v>0.0030435236</v>
      </c>
      <c r="Q506">
        <v>0.00027830938612696723</v>
      </c>
      <c r="R506">
        <v>61880</v>
      </c>
      <c r="S506">
        <v>0</v>
      </c>
      <c r="T506">
        <v>0</v>
      </c>
      <c r="V506">
        <v>596.70</v>
      </c>
      <c r="W506">
        <v>7</v>
      </c>
      <c r="X506">
        <v>85</v>
      </c>
      <c r="Y506">
        <v>3</v>
      </c>
      <c r="Z506">
        <v>4</v>
      </c>
      <c r="AA506">
        <v>5</v>
      </c>
      <c r="AB506">
        <v>0</v>
      </c>
      <c r="AC506">
        <v>0</v>
      </c>
      <c r="AD506">
        <v>0</v>
      </c>
      <c r="AE506">
        <v>0</v>
      </c>
      <c r="AF506">
        <v>0.044200000000000003</v>
      </c>
      <c r="AG506">
        <v>0</v>
      </c>
      <c r="AH506">
        <v>0</v>
      </c>
      <c r="AI506">
        <v>2</v>
      </c>
      <c r="AJ506">
        <v>0</v>
      </c>
      <c r="AK506">
        <v>0</v>
      </c>
      <c r="AL506">
        <v>80</v>
      </c>
      <c r="AM506">
        <v>7.735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16.575</v>
      </c>
      <c r="AU506">
        <v>0</v>
      </c>
      <c r="AV506">
        <v>0</v>
      </c>
    </row>
    <row r="507" spans="1:48" ht="12.75">
      <c r="A507" s="2" t="str">
        <f>HYPERLINK("https://ibp.a2mac1.com/costing(costing:projects/details/8191/equipment/6946594)","Equipment (Injection Molding)")</f>
        <v>Equipment (Injection Molding)</v>
      </c>
      <c r="B507">
        <v>6946594</v>
      </c>
      <c r="C507">
        <v>6974018</v>
      </c>
      <c r="H507" t="s">
        <v>136</v>
      </c>
      <c r="I507">
        <v>21082.360799999999</v>
      </c>
      <c r="J507">
        <v>0</v>
      </c>
      <c r="K507">
        <v>0.89600000000000002</v>
      </c>
      <c r="L507">
        <v>0</v>
      </c>
      <c r="M507">
        <v>5.1843897139183541</v>
      </c>
      <c r="N507">
        <v>0</v>
      </c>
      <c r="O507">
        <v>0.086406495231972566</v>
      </c>
      <c r="P507">
        <v>0.0055086400000000004</v>
      </c>
      <c r="Q507">
        <v>0.00054548765485053035</v>
      </c>
      <c r="R507">
        <v>112000</v>
      </c>
      <c r="S507">
        <v>0</v>
      </c>
      <c r="T507">
        <v>0</v>
      </c>
      <c r="V507">
        <v>1080</v>
      </c>
      <c r="W507">
        <v>7</v>
      </c>
      <c r="X507">
        <v>85</v>
      </c>
      <c r="Y507">
        <v>3</v>
      </c>
      <c r="Z507">
        <v>4</v>
      </c>
      <c r="AA507">
        <v>5</v>
      </c>
      <c r="AB507">
        <v>0</v>
      </c>
      <c r="AC507">
        <v>0</v>
      </c>
      <c r="AD507">
        <v>0</v>
      </c>
      <c r="AE507">
        <v>0</v>
      </c>
      <c r="AF507">
        <v>0.08</v>
      </c>
      <c r="AG507">
        <v>0</v>
      </c>
      <c r="AH507">
        <v>0</v>
      </c>
      <c r="AI507">
        <v>2</v>
      </c>
      <c r="AJ507">
        <v>0</v>
      </c>
      <c r="AK507">
        <v>0</v>
      </c>
      <c r="AL507">
        <v>80</v>
      </c>
      <c r="AM507">
        <v>14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30</v>
      </c>
      <c r="AU507">
        <v>0</v>
      </c>
      <c r="AV507">
        <v>0</v>
      </c>
    </row>
    <row r="508" spans="1:48" ht="12.75">
      <c r="A508" s="2" t="str">
        <f>HYPERLINK("https://ibp.a2mac1.com/costing(costing:projects/details/8191/equipment/6946601)","Equipment (Injection Molding)")</f>
        <v>Equipment (Injection Molding)</v>
      </c>
      <c r="B508">
        <v>6946601</v>
      </c>
      <c r="C508">
        <v>6974019</v>
      </c>
      <c r="H508" t="s">
        <v>136</v>
      </c>
      <c r="I508">
        <v>21187.772604000002</v>
      </c>
      <c r="J508">
        <v>0</v>
      </c>
      <c r="K508">
        <v>0.90047999999999995</v>
      </c>
      <c r="L508">
        <v>0</v>
      </c>
      <c r="M508">
        <v>5.2103116624879462</v>
      </c>
      <c r="N508">
        <v>0</v>
      </c>
      <c r="O508">
        <v>0.086838527708132426</v>
      </c>
      <c r="P508">
        <v>0.0055361832000000001</v>
      </c>
      <c r="Q508">
        <v>0.00054868402117440698</v>
      </c>
      <c r="R508">
        <v>112560</v>
      </c>
      <c r="S508">
        <v>0</v>
      </c>
      <c r="T508">
        <v>0</v>
      </c>
      <c r="V508">
        <v>1085.40</v>
      </c>
      <c r="W508">
        <v>7</v>
      </c>
      <c r="X508">
        <v>85</v>
      </c>
      <c r="Y508">
        <v>3</v>
      </c>
      <c r="Z508">
        <v>4</v>
      </c>
      <c r="AA508">
        <v>5</v>
      </c>
      <c r="AB508">
        <v>0</v>
      </c>
      <c r="AC508">
        <v>0</v>
      </c>
      <c r="AD508">
        <v>0</v>
      </c>
      <c r="AE508">
        <v>0</v>
      </c>
      <c r="AF508">
        <v>0.080399999999999999</v>
      </c>
      <c r="AG508">
        <v>0</v>
      </c>
      <c r="AH508">
        <v>0</v>
      </c>
      <c r="AI508">
        <v>2</v>
      </c>
      <c r="AJ508">
        <v>0</v>
      </c>
      <c r="AK508">
        <v>0</v>
      </c>
      <c r="AL508">
        <v>80</v>
      </c>
      <c r="AM508">
        <v>14.07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30.15</v>
      </c>
      <c r="AU508">
        <v>0</v>
      </c>
      <c r="AV508">
        <v>0</v>
      </c>
    </row>
    <row r="509" spans="1:48" ht="12.75">
      <c r="A509" s="2" t="str">
        <f>HYPERLINK("https://ibp.a2mac1.com/costing(costing:projects/details/8191/equipment/6946510)","No.01 - Progressive Press - 250T ")</f>
        <v xml:space="preserve">No.01 - Progressive Press - 250T </v>
      </c>
      <c r="B509">
        <v>6946510</v>
      </c>
      <c r="C509">
        <v>6973953</v>
      </c>
      <c r="E509" t="s">
        <v>499</v>
      </c>
      <c r="H509" t="s">
        <v>136</v>
      </c>
      <c r="I509">
        <v>295789.00731428573</v>
      </c>
      <c r="J509">
        <v>0</v>
      </c>
      <c r="K509">
        <v>5.82</v>
      </c>
      <c r="L509">
        <v>0</v>
      </c>
      <c r="M509">
        <v>66.618618983331032</v>
      </c>
      <c r="N509">
        <v>0</v>
      </c>
      <c r="O509">
        <v>0.0158239575774545</v>
      </c>
      <c r="P509">
        <v>0.00098135273966666668</v>
      </c>
      <c r="Q509">
        <v>0.0023753657694999312</v>
      </c>
      <c r="R509">
        <v>1650000</v>
      </c>
      <c r="S509">
        <v>0</v>
      </c>
      <c r="T509">
        <v>0</v>
      </c>
      <c r="V509">
        <v>1800</v>
      </c>
      <c r="W509">
        <v>7</v>
      </c>
      <c r="X509">
        <v>85</v>
      </c>
      <c r="Y509">
        <v>3</v>
      </c>
      <c r="Z509">
        <v>4</v>
      </c>
      <c r="AA509">
        <v>5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87</v>
      </c>
      <c r="AM509">
        <v>75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60</v>
      </c>
      <c r="AU509">
        <v>0.60</v>
      </c>
      <c r="AV509">
        <v>0</v>
      </c>
    </row>
    <row r="510" spans="1:48" ht="12.75">
      <c r="A510" s="2" t="str">
        <f>HYPERLINK("https://ibp.a2mac1.com/costing(costing:projects/details/8191/equipment/6946509)","No.05 - Cleaning - Batch - 2000x2000x1200 - 500kg/batch - 3000kg/h ")</f>
        <v xml:space="preserve">No.05 - Cleaning - Batch - 2000x2000x1200 - 500kg/batch - 3000kg/h </v>
      </c>
      <c r="B510">
        <v>6946509</v>
      </c>
      <c r="C510">
        <v>6973952</v>
      </c>
      <c r="E510" t="s">
        <v>499</v>
      </c>
      <c r="H510" t="s">
        <v>136</v>
      </c>
      <c r="I510">
        <v>36749.814400000003</v>
      </c>
      <c r="J510">
        <v>0</v>
      </c>
      <c r="K510">
        <v>7.60</v>
      </c>
      <c r="L510">
        <v>0</v>
      </c>
      <c r="M510">
        <v>15.274351398264224</v>
      </c>
      <c r="N510">
        <v>0</v>
      </c>
      <c r="O510">
        <v>0.042428753884067291</v>
      </c>
      <c r="P510">
        <v>0.024368966666666665</v>
      </c>
      <c r="Q510">
        <v>0</v>
      </c>
      <c r="R510">
        <v>220000</v>
      </c>
      <c r="S510">
        <v>0</v>
      </c>
      <c r="T510">
        <v>0</v>
      </c>
      <c r="V510">
        <v>0</v>
      </c>
      <c r="W510">
        <v>8</v>
      </c>
      <c r="X510">
        <v>85</v>
      </c>
      <c r="Y510">
        <v>3</v>
      </c>
      <c r="Z510">
        <v>4</v>
      </c>
      <c r="AA510">
        <v>5</v>
      </c>
      <c r="AB510">
        <v>0</v>
      </c>
      <c r="AC510">
        <v>1</v>
      </c>
      <c r="AD510">
        <v>0</v>
      </c>
      <c r="AE510">
        <v>0</v>
      </c>
      <c r="AF510">
        <v>0.10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100</v>
      </c>
      <c r="AM510">
        <v>60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40</v>
      </c>
      <c r="AU510">
        <v>2.80</v>
      </c>
      <c r="AV510">
        <v>0</v>
      </c>
    </row>
    <row r="511" spans="1:48" ht="12.75">
      <c r="A511" s="2" t="str">
        <f>HYPERLINK("https://ibp.a2mac1.com/costing(costing:projects/details/8191/equipment/6946508)","Packaging ")</f>
        <v xml:space="preserve">Packaging </v>
      </c>
      <c r="B511">
        <v>6946508</v>
      </c>
      <c r="C511">
        <v>6973951</v>
      </c>
      <c r="E511" t="s">
        <v>499</v>
      </c>
      <c r="H511" t="s">
        <v>136</v>
      </c>
      <c r="I511">
        <v>4437.4535999999998</v>
      </c>
      <c r="J511">
        <v>0</v>
      </c>
      <c r="K511">
        <v>0.10768</v>
      </c>
      <c r="L511">
        <v>0</v>
      </c>
      <c r="M511">
        <v>1.0619476952748312</v>
      </c>
      <c r="N511">
        <v>0</v>
      </c>
      <c r="O511">
        <v>0.0023598837672774028</v>
      </c>
      <c r="P511">
        <v>0.027758133333333334</v>
      </c>
      <c r="Q511">
        <v>0.00020433281542912247</v>
      </c>
      <c r="R511">
        <v>30000</v>
      </c>
      <c r="S511">
        <v>0</v>
      </c>
      <c r="T511">
        <v>0</v>
      </c>
      <c r="V511">
        <v>900</v>
      </c>
      <c r="W511">
        <v>10</v>
      </c>
      <c r="X511">
        <v>85</v>
      </c>
      <c r="Y511">
        <v>3</v>
      </c>
      <c r="Z511">
        <v>4</v>
      </c>
      <c r="AA511">
        <v>5</v>
      </c>
      <c r="AB511">
        <v>0</v>
      </c>
      <c r="AC511">
        <v>1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50</v>
      </c>
      <c r="AM511">
        <v>2</v>
      </c>
      <c r="AN511">
        <v>0</v>
      </c>
      <c r="AO511">
        <v>0</v>
      </c>
      <c r="AP511">
        <v>0</v>
      </c>
      <c r="AQ511">
        <v>1</v>
      </c>
      <c r="AR511">
        <v>0</v>
      </c>
      <c r="AS511">
        <v>0</v>
      </c>
      <c r="AT511">
        <v>10</v>
      </c>
      <c r="AU511">
        <v>0</v>
      </c>
      <c r="AV511">
        <v>0</v>
      </c>
    </row>
    <row r="512" spans="1:48" ht="12.75">
      <c r="A512" s="2" t="str">
        <f>HYPERLINK("https://ibp.a2mac1.com/costing(costing:projects/details/8191/equipment/6946511)","No.01 - Progressive Press - 250T ")</f>
        <v xml:space="preserve">No.01 - Progressive Press - 250T </v>
      </c>
      <c r="B512">
        <v>6946511</v>
      </c>
      <c r="C512">
        <v>6973954</v>
      </c>
      <c r="E512" t="s">
        <v>499</v>
      </c>
      <c r="H512" t="s">
        <v>136</v>
      </c>
      <c r="I512">
        <v>295789.00731428573</v>
      </c>
      <c r="J512">
        <v>0</v>
      </c>
      <c r="K512">
        <v>5.82</v>
      </c>
      <c r="L512">
        <v>0</v>
      </c>
      <c r="M512">
        <v>66.618618983331032</v>
      </c>
      <c r="N512">
        <v>0</v>
      </c>
      <c r="O512">
        <v>0.0158239575774545</v>
      </c>
      <c r="P512">
        <v>0.00098135273966666668</v>
      </c>
      <c r="Q512">
        <v>0.0023753657694999312</v>
      </c>
      <c r="R512">
        <v>1650000</v>
      </c>
      <c r="S512">
        <v>0</v>
      </c>
      <c r="T512">
        <v>0</v>
      </c>
      <c r="V512">
        <v>1800</v>
      </c>
      <c r="W512">
        <v>7</v>
      </c>
      <c r="X512">
        <v>85</v>
      </c>
      <c r="Y512">
        <v>3</v>
      </c>
      <c r="Z512">
        <v>4</v>
      </c>
      <c r="AA512">
        <v>5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87</v>
      </c>
      <c r="AM512">
        <v>75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60</v>
      </c>
      <c r="AU512">
        <v>0.60</v>
      </c>
      <c r="AV512">
        <v>0</v>
      </c>
    </row>
    <row r="513" spans="1:48" ht="12.75">
      <c r="A513" s="2" t="str">
        <f>HYPERLINK("https://ibp.a2mac1.com/costing(costing:projects/details/8191/equipment/6946512)","No.05 - Cleaning - Batch - 2000x2000x1200 - 500kg/batch - 3000kg/h ")</f>
        <v xml:space="preserve">No.05 - Cleaning - Batch - 2000x2000x1200 - 500kg/batch - 3000kg/h </v>
      </c>
      <c r="B513">
        <v>6946512</v>
      </c>
      <c r="C513">
        <v>6973955</v>
      </c>
      <c r="E513" t="s">
        <v>499</v>
      </c>
      <c r="H513" t="s">
        <v>136</v>
      </c>
      <c r="I513">
        <v>36749.814400000003</v>
      </c>
      <c r="J513">
        <v>0</v>
      </c>
      <c r="K513">
        <v>7.60</v>
      </c>
      <c r="L513">
        <v>0</v>
      </c>
      <c r="M513">
        <v>15.274351398264224</v>
      </c>
      <c r="N513">
        <v>0</v>
      </c>
      <c r="O513">
        <v>0.042428753884067291</v>
      </c>
      <c r="P513">
        <v>0.024368966666666665</v>
      </c>
      <c r="Q513">
        <v>0</v>
      </c>
      <c r="R513">
        <v>220000</v>
      </c>
      <c r="S513">
        <v>0</v>
      </c>
      <c r="T513">
        <v>0</v>
      </c>
      <c r="V513">
        <v>0</v>
      </c>
      <c r="W513">
        <v>8</v>
      </c>
      <c r="X513">
        <v>85</v>
      </c>
      <c r="Y513">
        <v>3</v>
      </c>
      <c r="Z513">
        <v>4</v>
      </c>
      <c r="AA513">
        <v>5</v>
      </c>
      <c r="AB513">
        <v>0</v>
      </c>
      <c r="AC513">
        <v>1</v>
      </c>
      <c r="AD513">
        <v>0</v>
      </c>
      <c r="AE513">
        <v>0</v>
      </c>
      <c r="AF513">
        <v>0.10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100</v>
      </c>
      <c r="AM513">
        <v>60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40</v>
      </c>
      <c r="AU513">
        <v>2.80</v>
      </c>
      <c r="AV513">
        <v>0</v>
      </c>
    </row>
    <row r="514" spans="1:48" ht="12.75">
      <c r="A514" s="2" t="str">
        <f>HYPERLINK("https://ibp.a2mac1.com/costing(costing:projects/details/8191/equipment/6946513)","Packaging ")</f>
        <v xml:space="preserve">Packaging </v>
      </c>
      <c r="B514">
        <v>6946513</v>
      </c>
      <c r="C514">
        <v>6973956</v>
      </c>
      <c r="E514" t="s">
        <v>499</v>
      </c>
      <c r="H514" t="s">
        <v>136</v>
      </c>
      <c r="I514">
        <v>4437.4535999999998</v>
      </c>
      <c r="J514">
        <v>0</v>
      </c>
      <c r="K514">
        <v>0.10768</v>
      </c>
      <c r="L514">
        <v>0</v>
      </c>
      <c r="M514">
        <v>1.0619476952748312</v>
      </c>
      <c r="N514">
        <v>0</v>
      </c>
      <c r="O514">
        <v>0.0023598837672774028</v>
      </c>
      <c r="P514">
        <v>0.027758133333333334</v>
      </c>
      <c r="Q514">
        <v>0.00020433281542912247</v>
      </c>
      <c r="R514">
        <v>30000</v>
      </c>
      <c r="S514">
        <v>0</v>
      </c>
      <c r="T514">
        <v>0</v>
      </c>
      <c r="V514">
        <v>900</v>
      </c>
      <c r="W514">
        <v>10</v>
      </c>
      <c r="X514">
        <v>85</v>
      </c>
      <c r="Y514">
        <v>3</v>
      </c>
      <c r="Z514">
        <v>4</v>
      </c>
      <c r="AA514">
        <v>5</v>
      </c>
      <c r="AB514">
        <v>0</v>
      </c>
      <c r="AC514">
        <v>1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50</v>
      </c>
      <c r="AM514">
        <v>2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0</v>
      </c>
      <c r="AT514">
        <v>10</v>
      </c>
      <c r="AU514">
        <v>0</v>
      </c>
      <c r="AV514">
        <v>0</v>
      </c>
    </row>
    <row r="515" spans="1:48" ht="12.75">
      <c r="A515" s="2" t="str">
        <f>HYPERLINK("https://ibp.a2mac1.com/costing(costing:projects/details/8191/equipment/6946602)","Dummy Machine (PCBA+Final Assembly Line)")</f>
        <v>Dummy Machine (PCBA+Final Assembly Line)</v>
      </c>
      <c r="B515">
        <v>6946602</v>
      </c>
      <c r="C515">
        <v>6974020</v>
      </c>
      <c r="F515" t="s">
        <v>559</v>
      </c>
      <c r="H515" t="s">
        <v>136</v>
      </c>
      <c r="I515">
        <v>79501.662769714283</v>
      </c>
      <c r="J515">
        <v>0</v>
      </c>
      <c r="K515">
        <v>0.28895999999999999</v>
      </c>
      <c r="L515">
        <v>0</v>
      </c>
      <c r="M515">
        <v>16.624578413647427</v>
      </c>
      <c r="N515">
        <v>0</v>
      </c>
      <c r="O515">
        <v>0.33249156827294851</v>
      </c>
      <c r="P515">
        <v>0.057840719999999998</v>
      </c>
      <c r="Q515">
        <v>0.00011481975848188456</v>
      </c>
      <c r="R515">
        <v>442771.10</v>
      </c>
      <c r="S515">
        <v>0</v>
      </c>
      <c r="T515">
        <v>0</v>
      </c>
      <c r="V515">
        <v>216</v>
      </c>
      <c r="W515">
        <v>7</v>
      </c>
      <c r="X515">
        <v>85</v>
      </c>
      <c r="Y515">
        <v>3</v>
      </c>
      <c r="Z515">
        <v>4</v>
      </c>
      <c r="AA515">
        <v>5</v>
      </c>
      <c r="AB515">
        <v>0</v>
      </c>
      <c r="AC515">
        <v>0</v>
      </c>
      <c r="AD515">
        <v>0</v>
      </c>
      <c r="AE515">
        <v>0</v>
      </c>
      <c r="AF515">
        <v>0.70</v>
      </c>
      <c r="AG515">
        <v>0</v>
      </c>
      <c r="AH515">
        <v>0</v>
      </c>
      <c r="AI515">
        <v>0.20</v>
      </c>
      <c r="AJ515">
        <v>0</v>
      </c>
      <c r="AK515">
        <v>0</v>
      </c>
      <c r="AL515">
        <v>86</v>
      </c>
      <c r="AM515">
        <v>4.20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19.40</v>
      </c>
      <c r="AU515">
        <v>0</v>
      </c>
      <c r="AV515">
        <v>0</v>
      </c>
    </row>
    <row r="516" spans="1:48" ht="12.75">
      <c r="A516" s="2" t="str">
        <f>HYPERLINK("https://ibp.a2mac1.com/costing(costing:projects/details/8191/equipment/6946514)","No.06 - Injection Press - 200T - 45kW - 510x510 - Max Volume 624cm3 ")</f>
        <v xml:space="preserve">No.06 - Injection Press - 200T - 45kW - 510x510 - Max Volume 624cm3 </v>
      </c>
      <c r="B516">
        <v>6946514</v>
      </c>
      <c r="C516">
        <v>6973957</v>
      </c>
      <c r="E516" t="s">
        <v>499</v>
      </c>
      <c r="H516" t="s">
        <v>136</v>
      </c>
      <c r="I516">
        <v>34247.230880000003</v>
      </c>
      <c r="J516">
        <v>0</v>
      </c>
      <c r="K516">
        <v>2.6539999999999999</v>
      </c>
      <c r="L516">
        <v>0</v>
      </c>
      <c r="M516">
        <v>9.7654160848601741</v>
      </c>
      <c r="N516">
        <v>0</v>
      </c>
      <c r="O516">
        <v>0.048636709062957674</v>
      </c>
      <c r="P516">
        <v>0.0051442147731666664</v>
      </c>
      <c r="Q516">
        <v>0.0041863075301832205</v>
      </c>
      <c r="R516">
        <v>200000</v>
      </c>
      <c r="S516">
        <v>0</v>
      </c>
      <c r="T516">
        <v>0</v>
      </c>
      <c r="V516">
        <v>7200</v>
      </c>
      <c r="W516">
        <v>8</v>
      </c>
      <c r="X516">
        <v>85</v>
      </c>
      <c r="Y516">
        <v>3</v>
      </c>
      <c r="Z516">
        <v>4</v>
      </c>
      <c r="AA516">
        <v>5</v>
      </c>
      <c r="AB516">
        <v>0</v>
      </c>
      <c r="AC516">
        <v>0</v>
      </c>
      <c r="AD516">
        <v>0</v>
      </c>
      <c r="AE516">
        <v>0</v>
      </c>
      <c r="AF516">
        <v>0.25</v>
      </c>
      <c r="AG516">
        <v>0</v>
      </c>
      <c r="AH516">
        <v>0</v>
      </c>
      <c r="AI516">
        <v>2</v>
      </c>
      <c r="AJ516">
        <v>0</v>
      </c>
      <c r="AK516">
        <v>0</v>
      </c>
      <c r="AL516">
        <v>93</v>
      </c>
      <c r="AM516">
        <v>35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58</v>
      </c>
      <c r="AU516">
        <v>0.05</v>
      </c>
      <c r="AV516">
        <v>0</v>
      </c>
    </row>
    <row r="517" spans="1:48" ht="12.75">
      <c r="A517" s="2" t="str">
        <f>HYPERLINK("https://ibp.a2mac1.com/costing(costing:projects/details/8191/equipment/6946515)","Equipment (Injection Molding)")</f>
        <v>Equipment (Injection Molding)</v>
      </c>
      <c r="B517">
        <v>6946515</v>
      </c>
      <c r="C517">
        <v>6973958</v>
      </c>
      <c r="H517" t="s">
        <v>136</v>
      </c>
      <c r="I517">
        <v>6904.4731620000002</v>
      </c>
      <c r="J517">
        <v>0</v>
      </c>
      <c r="K517">
        <v>0.29343999999999998</v>
      </c>
      <c r="L517">
        <v>0</v>
      </c>
      <c r="M517">
        <v>1.6978876313082609</v>
      </c>
      <c r="N517">
        <v>0</v>
      </c>
      <c r="O517">
        <v>0.028298127188471016</v>
      </c>
      <c r="P517">
        <v>0.0018040796000000001</v>
      </c>
      <c r="Q517">
        <v>0.0001580942771865622</v>
      </c>
      <c r="R517">
        <v>36680</v>
      </c>
      <c r="S517">
        <v>0</v>
      </c>
      <c r="T517">
        <v>0</v>
      </c>
      <c r="V517">
        <v>353.70</v>
      </c>
      <c r="W517">
        <v>7</v>
      </c>
      <c r="X517">
        <v>85</v>
      </c>
      <c r="Y517">
        <v>3</v>
      </c>
      <c r="Z517">
        <v>4</v>
      </c>
      <c r="AA517">
        <v>5</v>
      </c>
      <c r="AB517">
        <v>0</v>
      </c>
      <c r="AC517">
        <v>0</v>
      </c>
      <c r="AD517">
        <v>0</v>
      </c>
      <c r="AE517">
        <v>0</v>
      </c>
      <c r="AF517">
        <v>0.026200000000000001</v>
      </c>
      <c r="AG517">
        <v>0</v>
      </c>
      <c r="AH517">
        <v>0</v>
      </c>
      <c r="AI517">
        <v>2</v>
      </c>
      <c r="AJ517">
        <v>0</v>
      </c>
      <c r="AK517">
        <v>0</v>
      </c>
      <c r="AL517">
        <v>80</v>
      </c>
      <c r="AM517">
        <v>4.585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9.825</v>
      </c>
      <c r="AU517">
        <v>0</v>
      </c>
      <c r="AV517">
        <v>0</v>
      </c>
    </row>
    <row r="518" spans="1:48" ht="12.75">
      <c r="A518" s="2" t="str">
        <f>HYPERLINK("https://ibp.a2mac1.com/costing(costing:projects/details/8191/equipment/6946516)","Equipment (Injection Molding)")</f>
        <v>Equipment (Injection Molding)</v>
      </c>
      <c r="B518">
        <v>6946516</v>
      </c>
      <c r="C518">
        <v>6973959</v>
      </c>
      <c r="H518" t="s">
        <v>136</v>
      </c>
      <c r="I518">
        <v>685.17672600000003</v>
      </c>
      <c r="J518">
        <v>0</v>
      </c>
      <c r="K518">
        <v>0.02912</v>
      </c>
      <c r="L518">
        <v>0</v>
      </c>
      <c r="M518">
        <v>0.1684926657023465</v>
      </c>
      <c r="N518">
        <v>0</v>
      </c>
      <c r="O518">
        <v>0.0028082110950391087</v>
      </c>
      <c r="P518">
        <v>0.0001790308</v>
      </c>
      <c r="Q518">
        <v>1.4794049009435873E-05</v>
      </c>
      <c r="R518">
        <v>3640</v>
      </c>
      <c r="S518">
        <v>0</v>
      </c>
      <c r="T518">
        <v>0</v>
      </c>
      <c r="V518">
        <v>35.10</v>
      </c>
      <c r="W518">
        <v>7</v>
      </c>
      <c r="X518">
        <v>85</v>
      </c>
      <c r="Y518">
        <v>3</v>
      </c>
      <c r="Z518">
        <v>4</v>
      </c>
      <c r="AA518">
        <v>5</v>
      </c>
      <c r="AB518">
        <v>0</v>
      </c>
      <c r="AC518">
        <v>0</v>
      </c>
      <c r="AD518">
        <v>0</v>
      </c>
      <c r="AE518">
        <v>0</v>
      </c>
      <c r="AF518">
        <v>0.0025999999999999999</v>
      </c>
      <c r="AG518">
        <v>0</v>
      </c>
      <c r="AH518">
        <v>0</v>
      </c>
      <c r="AI518">
        <v>2</v>
      </c>
      <c r="AJ518">
        <v>0</v>
      </c>
      <c r="AK518">
        <v>0</v>
      </c>
      <c r="AL518">
        <v>80</v>
      </c>
      <c r="AM518">
        <v>0.455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0.975</v>
      </c>
      <c r="AU518">
        <v>0</v>
      </c>
      <c r="AV518">
        <v>0</v>
      </c>
    </row>
    <row r="519" spans="1:48" ht="12.75">
      <c r="A519" s="2" t="str">
        <f>HYPERLINK("https://ibp.a2mac1.com/costing(costing:projects/details/8191/equipment/6946517)","Equipment (Injection Molding)")</f>
        <v>Equipment (Injection Molding)</v>
      </c>
      <c r="B519">
        <v>6946517</v>
      </c>
      <c r="C519">
        <v>6973960</v>
      </c>
      <c r="H519" t="s">
        <v>136</v>
      </c>
      <c r="I519">
        <v>7194.3556230000004</v>
      </c>
      <c r="J519">
        <v>0</v>
      </c>
      <c r="K519">
        <v>0.30575999999999998</v>
      </c>
      <c r="L519">
        <v>0</v>
      </c>
      <c r="M519">
        <v>1.7691729898746384</v>
      </c>
      <c r="N519">
        <v>0</v>
      </c>
      <c r="O519">
        <v>0.029486216497910639</v>
      </c>
      <c r="P519">
        <v>0.0018798234</v>
      </c>
      <c r="Q519">
        <v>0.00016516969349030495</v>
      </c>
      <c r="R519">
        <v>38220</v>
      </c>
      <c r="S519">
        <v>0</v>
      </c>
      <c r="T519">
        <v>0</v>
      </c>
      <c r="V519">
        <v>368.55</v>
      </c>
      <c r="W519">
        <v>7</v>
      </c>
      <c r="X519">
        <v>85</v>
      </c>
      <c r="Y519">
        <v>3</v>
      </c>
      <c r="Z519">
        <v>4</v>
      </c>
      <c r="AA519">
        <v>5</v>
      </c>
      <c r="AB519">
        <v>0</v>
      </c>
      <c r="AC519">
        <v>0</v>
      </c>
      <c r="AD519">
        <v>0</v>
      </c>
      <c r="AE519">
        <v>0</v>
      </c>
      <c r="AF519">
        <v>0.027300000000000001</v>
      </c>
      <c r="AG519">
        <v>0</v>
      </c>
      <c r="AH519">
        <v>0</v>
      </c>
      <c r="AI519">
        <v>2</v>
      </c>
      <c r="AJ519">
        <v>0</v>
      </c>
      <c r="AK519">
        <v>0</v>
      </c>
      <c r="AL519">
        <v>80</v>
      </c>
      <c r="AM519">
        <v>4.7775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10.2375</v>
      </c>
      <c r="AU519">
        <v>0</v>
      </c>
      <c r="AV519">
        <v>0</v>
      </c>
    </row>
    <row r="520" spans="1:48" ht="12.75">
      <c r="A520" s="2" t="str">
        <f>HYPERLINK("https://ibp.a2mac1.com/costing(costing:projects/details/8191/equipment/6946518)","Equipment (Injection Molding)")</f>
        <v>Equipment (Injection Molding)</v>
      </c>
      <c r="B520">
        <v>6946518</v>
      </c>
      <c r="C520">
        <v>6973960</v>
      </c>
      <c r="H520" t="s">
        <v>136</v>
      </c>
      <c r="I520">
        <v>7194.3556230000004</v>
      </c>
      <c r="J520">
        <v>0</v>
      </c>
      <c r="K520">
        <v>0.30575999999999998</v>
      </c>
      <c r="L520">
        <v>0</v>
      </c>
      <c r="M520">
        <v>1.7691729898746384</v>
      </c>
      <c r="N520">
        <v>0</v>
      </c>
      <c r="O520">
        <v>0.029486216497910639</v>
      </c>
      <c r="P520">
        <v>0.0018798234</v>
      </c>
      <c r="Q520">
        <v>0.00016516969349030495</v>
      </c>
      <c r="R520">
        <v>38220</v>
      </c>
      <c r="S520">
        <v>0</v>
      </c>
      <c r="T520">
        <v>0</v>
      </c>
      <c r="V520">
        <v>368.55</v>
      </c>
      <c r="W520">
        <v>7</v>
      </c>
      <c r="X520">
        <v>85</v>
      </c>
      <c r="Y520">
        <v>3</v>
      </c>
      <c r="Z520">
        <v>4</v>
      </c>
      <c r="AA520">
        <v>5</v>
      </c>
      <c r="AB520">
        <v>0</v>
      </c>
      <c r="AC520">
        <v>0</v>
      </c>
      <c r="AD520">
        <v>0</v>
      </c>
      <c r="AE520">
        <v>0</v>
      </c>
      <c r="AF520">
        <v>0.027300000000000001</v>
      </c>
      <c r="AG520">
        <v>0</v>
      </c>
      <c r="AH520">
        <v>0</v>
      </c>
      <c r="AI520">
        <v>2</v>
      </c>
      <c r="AJ520">
        <v>0</v>
      </c>
      <c r="AK520">
        <v>0</v>
      </c>
      <c r="AL520">
        <v>80</v>
      </c>
      <c r="AM520">
        <v>4.7775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10.2375</v>
      </c>
      <c r="AU520">
        <v>0</v>
      </c>
      <c r="AV520">
        <v>0</v>
      </c>
    </row>
    <row r="521" spans="1:48" ht="12.75">
      <c r="A521" s="2" t="str">
        <f>HYPERLINK("https://ibp.a2mac1.com/costing(costing:projects/details/8191/equipment/6946519)","Equipment (Injection Molding)")</f>
        <v>Equipment (Injection Molding)</v>
      </c>
      <c r="B521">
        <v>6946519</v>
      </c>
      <c r="C521">
        <v>6973961</v>
      </c>
      <c r="H521" t="s">
        <v>136</v>
      </c>
      <c r="I521">
        <v>8749.1797320000005</v>
      </c>
      <c r="J521">
        <v>0</v>
      </c>
      <c r="K521">
        <v>0.37184</v>
      </c>
      <c r="L521">
        <v>0</v>
      </c>
      <c r="M521">
        <v>2.1515217312761168</v>
      </c>
      <c r="N521">
        <v>0</v>
      </c>
      <c r="O521">
        <v>0.035858695521268615</v>
      </c>
      <c r="P521">
        <v>0.0022860856</v>
      </c>
      <c r="Q521">
        <v>0.00020372185293263259</v>
      </c>
      <c r="R521">
        <v>46480</v>
      </c>
      <c r="S521">
        <v>0</v>
      </c>
      <c r="T521">
        <v>0</v>
      </c>
      <c r="V521">
        <v>448.20</v>
      </c>
      <c r="W521">
        <v>7</v>
      </c>
      <c r="X521">
        <v>85</v>
      </c>
      <c r="Y521">
        <v>3</v>
      </c>
      <c r="Z521">
        <v>4</v>
      </c>
      <c r="AA521">
        <v>5</v>
      </c>
      <c r="AB521">
        <v>0</v>
      </c>
      <c r="AC521">
        <v>0</v>
      </c>
      <c r="AD521">
        <v>0</v>
      </c>
      <c r="AE521">
        <v>0</v>
      </c>
      <c r="AF521">
        <v>0.0332</v>
      </c>
      <c r="AG521">
        <v>0</v>
      </c>
      <c r="AH521">
        <v>0</v>
      </c>
      <c r="AI521">
        <v>2</v>
      </c>
      <c r="AJ521">
        <v>0</v>
      </c>
      <c r="AK521">
        <v>0</v>
      </c>
      <c r="AL521">
        <v>80</v>
      </c>
      <c r="AM521">
        <v>5.81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12.45</v>
      </c>
      <c r="AU521">
        <v>0</v>
      </c>
      <c r="AV521">
        <v>0</v>
      </c>
    </row>
    <row r="522" spans="1:48" ht="12.75">
      <c r="A522" s="2" t="str">
        <f>HYPERLINK("https://ibp.a2mac1.com/costing(costing:projects/details/8191/equipment/6946520)","Equipment (Injection Molding)")</f>
        <v>Equipment (Injection Molding)</v>
      </c>
      <c r="B522">
        <v>6946520</v>
      </c>
      <c r="C522">
        <v>6973962</v>
      </c>
      <c r="H522" t="s">
        <v>136</v>
      </c>
      <c r="I522">
        <v>8222.1207119999999</v>
      </c>
      <c r="J522">
        <v>0</v>
      </c>
      <c r="K522">
        <v>0.34943999999999997</v>
      </c>
      <c r="L522">
        <v>0</v>
      </c>
      <c r="M522">
        <v>2.0219119884281582</v>
      </c>
      <c r="N522">
        <v>0</v>
      </c>
      <c r="O522">
        <v>0.033698533140469306</v>
      </c>
      <c r="P522">
        <v>0.0021483696</v>
      </c>
      <c r="Q522">
        <v>0.00019053959175876567</v>
      </c>
      <c r="R522">
        <v>43680</v>
      </c>
      <c r="S522">
        <v>0</v>
      </c>
      <c r="T522">
        <v>0</v>
      </c>
      <c r="V522">
        <v>421.20</v>
      </c>
      <c r="W522">
        <v>7</v>
      </c>
      <c r="X522">
        <v>85</v>
      </c>
      <c r="Y522">
        <v>3</v>
      </c>
      <c r="Z522">
        <v>4</v>
      </c>
      <c r="AA522">
        <v>5</v>
      </c>
      <c r="AB522">
        <v>0</v>
      </c>
      <c r="AC522">
        <v>0</v>
      </c>
      <c r="AD522">
        <v>0</v>
      </c>
      <c r="AE522">
        <v>0</v>
      </c>
      <c r="AF522">
        <v>0.031199999999999999</v>
      </c>
      <c r="AG522">
        <v>0</v>
      </c>
      <c r="AH522">
        <v>0</v>
      </c>
      <c r="AI522">
        <v>2</v>
      </c>
      <c r="AJ522">
        <v>0</v>
      </c>
      <c r="AK522">
        <v>0</v>
      </c>
      <c r="AL522">
        <v>80</v>
      </c>
      <c r="AM522">
        <v>5.46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11.70</v>
      </c>
      <c r="AU522">
        <v>0</v>
      </c>
      <c r="AV522">
        <v>0</v>
      </c>
    </row>
    <row r="523" spans="1:48" ht="12.75">
      <c r="A523" s="2" t="str">
        <f>HYPERLINK("https://ibp.a2mac1.com/costing(costing:projects/details/8191/equipment/6946521)","Equipment (Injection Molding)")</f>
        <v>Equipment (Injection Molding)</v>
      </c>
      <c r="B523">
        <v>6946521</v>
      </c>
      <c r="C523">
        <v>6973963</v>
      </c>
      <c r="H523" t="s">
        <v>136</v>
      </c>
      <c r="I523">
        <v>4374.5898660000003</v>
      </c>
      <c r="J523">
        <v>0</v>
      </c>
      <c r="K523">
        <v>0.18592</v>
      </c>
      <c r="L523">
        <v>0</v>
      </c>
      <c r="M523">
        <v>1.0757608656380584</v>
      </c>
      <c r="N523">
        <v>0</v>
      </c>
      <c r="O523">
        <v>0.017929347760634307</v>
      </c>
      <c r="P523">
        <v>0.0011430428</v>
      </c>
      <c r="Q523">
        <v>9.7842959633158151E-05</v>
      </c>
      <c r="R523">
        <v>23240</v>
      </c>
      <c r="S523">
        <v>0</v>
      </c>
      <c r="T523">
        <v>0</v>
      </c>
      <c r="V523">
        <v>224.10</v>
      </c>
      <c r="W523">
        <v>7</v>
      </c>
      <c r="X523">
        <v>85</v>
      </c>
      <c r="Y523">
        <v>3</v>
      </c>
      <c r="Z523">
        <v>4</v>
      </c>
      <c r="AA523">
        <v>5</v>
      </c>
      <c r="AB523">
        <v>0</v>
      </c>
      <c r="AC523">
        <v>0</v>
      </c>
      <c r="AD523">
        <v>0</v>
      </c>
      <c r="AE523">
        <v>0</v>
      </c>
      <c r="AF523">
        <v>0.0166</v>
      </c>
      <c r="AG523">
        <v>0</v>
      </c>
      <c r="AH523">
        <v>0</v>
      </c>
      <c r="AI523">
        <v>2</v>
      </c>
      <c r="AJ523">
        <v>0</v>
      </c>
      <c r="AK523">
        <v>0</v>
      </c>
      <c r="AL523">
        <v>80</v>
      </c>
      <c r="AM523">
        <v>2.905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6.225</v>
      </c>
      <c r="AU523">
        <v>0</v>
      </c>
      <c r="AV523">
        <v>0</v>
      </c>
    </row>
    <row r="524" spans="1:48" ht="12.75">
      <c r="A524" s="2" t="str">
        <f>HYPERLINK("https://ibp.a2mac1.com/costing(costing:projects/details/8191/equipment/6946522)","Equipment (Injection Molding)")</f>
        <v>Equipment (Injection Molding)</v>
      </c>
      <c r="B524">
        <v>6946522</v>
      </c>
      <c r="C524">
        <v>6973964</v>
      </c>
      <c r="H524" t="s">
        <v>136</v>
      </c>
      <c r="I524">
        <v>52.705902000000002</v>
      </c>
      <c r="J524">
        <v>0</v>
      </c>
      <c r="K524">
        <v>0.0022399999999999998</v>
      </c>
      <c r="L524">
        <v>0</v>
      </c>
      <c r="M524">
        <v>0.012960974284795885</v>
      </c>
      <c r="N524">
        <v>0</v>
      </c>
      <c r="O524">
        <v>0.00021601623807993142</v>
      </c>
      <c r="P524">
        <v>1.37716E-05</v>
      </c>
      <c r="Q524">
        <v>1.1310048438428157E-06</v>
      </c>
      <c r="R524">
        <v>280</v>
      </c>
      <c r="S524">
        <v>0</v>
      </c>
      <c r="T524">
        <v>0</v>
      </c>
      <c r="V524">
        <v>2.70</v>
      </c>
      <c r="W524">
        <v>7</v>
      </c>
      <c r="X524">
        <v>85</v>
      </c>
      <c r="Y524">
        <v>3</v>
      </c>
      <c r="Z524">
        <v>4</v>
      </c>
      <c r="AA524">
        <v>5</v>
      </c>
      <c r="AB524">
        <v>0</v>
      </c>
      <c r="AC524">
        <v>0</v>
      </c>
      <c r="AD524">
        <v>0</v>
      </c>
      <c r="AE524">
        <v>0</v>
      </c>
      <c r="AF524">
        <v>0.00020000000000000001</v>
      </c>
      <c r="AG524">
        <v>0</v>
      </c>
      <c r="AH524">
        <v>0</v>
      </c>
      <c r="AI524">
        <v>2</v>
      </c>
      <c r="AJ524">
        <v>0</v>
      </c>
      <c r="AK524">
        <v>0</v>
      </c>
      <c r="AL524">
        <v>80</v>
      </c>
      <c r="AM524">
        <v>0.035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0.075</v>
      </c>
      <c r="AU524">
        <v>0</v>
      </c>
      <c r="AV524">
        <v>0</v>
      </c>
    </row>
    <row r="525" spans="1:48" ht="12.75">
      <c r="A525" s="2" t="str">
        <f>HYPERLINK("https://ibp.a2mac1.com/costing(costing:projects/details/8191/equipment/6946523)","Equipment (Injection Molding)")</f>
        <v>Equipment (Injection Molding)</v>
      </c>
      <c r="B525">
        <v>6946523</v>
      </c>
      <c r="C525">
        <v>6973965</v>
      </c>
      <c r="H525" t="s">
        <v>136</v>
      </c>
      <c r="I525">
        <v>4638.1193759999996</v>
      </c>
      <c r="J525">
        <v>0</v>
      </c>
      <c r="K525">
        <v>0.19711999999999999</v>
      </c>
      <c r="L525">
        <v>0</v>
      </c>
      <c r="M525">
        <v>1.1405657370620379</v>
      </c>
      <c r="N525">
        <v>0</v>
      </c>
      <c r="O525">
        <v>0.019009428951033965</v>
      </c>
      <c r="P525">
        <v>0.0012119008</v>
      </c>
      <c r="Q525">
        <v>5.1996870559382837E-05</v>
      </c>
      <c r="R525">
        <v>24640</v>
      </c>
      <c r="S525">
        <v>0</v>
      </c>
      <c r="T525">
        <v>0</v>
      </c>
      <c r="V525">
        <v>237.60</v>
      </c>
      <c r="W525">
        <v>7</v>
      </c>
      <c r="X525">
        <v>85</v>
      </c>
      <c r="Y525">
        <v>3</v>
      </c>
      <c r="Z525">
        <v>4</v>
      </c>
      <c r="AA525">
        <v>5</v>
      </c>
      <c r="AB525">
        <v>0</v>
      </c>
      <c r="AC525">
        <v>0</v>
      </c>
      <c r="AD525">
        <v>0</v>
      </c>
      <c r="AE525">
        <v>0</v>
      </c>
      <c r="AF525">
        <v>0.017600000000000001</v>
      </c>
      <c r="AG525">
        <v>0</v>
      </c>
      <c r="AH525">
        <v>0</v>
      </c>
      <c r="AI525">
        <v>2</v>
      </c>
      <c r="AJ525">
        <v>0</v>
      </c>
      <c r="AK525">
        <v>0</v>
      </c>
      <c r="AL525">
        <v>80</v>
      </c>
      <c r="AM525">
        <v>3.08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6.60</v>
      </c>
      <c r="AU525">
        <v>0</v>
      </c>
      <c r="AV525">
        <v>0</v>
      </c>
    </row>
    <row r="526" spans="1:48" ht="12.75">
      <c r="A526" s="2" t="str">
        <f>HYPERLINK("https://ibp.a2mac1.com/costing(costing:projects/details/8191/equipment/6946524)","Equipment (Injection Molding)")</f>
        <v>Equipment (Injection Molding)</v>
      </c>
      <c r="B526">
        <v>6946524</v>
      </c>
      <c r="C526">
        <v>6973966</v>
      </c>
      <c r="H526" t="s">
        <v>136</v>
      </c>
      <c r="I526">
        <v>395.294265</v>
      </c>
      <c r="J526">
        <v>0</v>
      </c>
      <c r="K526">
        <v>0.016799999999999999</v>
      </c>
      <c r="L526">
        <v>0</v>
      </c>
      <c r="M526">
        <v>0.097207307135969145</v>
      </c>
      <c r="N526">
        <v>0</v>
      </c>
      <c r="O526">
        <v>0.0016201217855994856</v>
      </c>
      <c r="P526">
        <v>0.000103287</v>
      </c>
      <c r="Q526">
        <v>4.2554847330791948E-06</v>
      </c>
      <c r="R526">
        <v>2100</v>
      </c>
      <c r="S526">
        <v>0</v>
      </c>
      <c r="T526">
        <v>0</v>
      </c>
      <c r="V526">
        <v>20.25</v>
      </c>
      <c r="W526">
        <v>7</v>
      </c>
      <c r="X526">
        <v>85</v>
      </c>
      <c r="Y526">
        <v>3</v>
      </c>
      <c r="Z526">
        <v>4</v>
      </c>
      <c r="AA526">
        <v>5</v>
      </c>
      <c r="AB526">
        <v>0</v>
      </c>
      <c r="AC526">
        <v>0</v>
      </c>
      <c r="AD526">
        <v>0</v>
      </c>
      <c r="AE526">
        <v>0</v>
      </c>
      <c r="AF526">
        <v>0.0015</v>
      </c>
      <c r="AG526">
        <v>0</v>
      </c>
      <c r="AH526">
        <v>0</v>
      </c>
      <c r="AI526">
        <v>2</v>
      </c>
      <c r="AJ526">
        <v>0</v>
      </c>
      <c r="AK526">
        <v>0</v>
      </c>
      <c r="AL526">
        <v>80</v>
      </c>
      <c r="AM526">
        <v>0.2625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0.5625</v>
      </c>
      <c r="AU526">
        <v>0</v>
      </c>
      <c r="AV526">
        <v>0</v>
      </c>
    </row>
    <row r="527" spans="1:48" ht="12.75">
      <c r="A527" s="2" t="str">
        <f>HYPERLINK("https://ibp.a2mac1.com/costing(costing:projects/details/8191/equipment/6946525)","Equipment (Stamping)")</f>
        <v>Equipment (Stamping)</v>
      </c>
      <c r="B527">
        <v>6946525</v>
      </c>
      <c r="C527">
        <v>6973967</v>
      </c>
      <c r="H527" t="s">
        <v>136</v>
      </c>
      <c r="I527">
        <v>71.618946857142859</v>
      </c>
      <c r="J527">
        <v>0</v>
      </c>
      <c r="K527">
        <v>0.0032000000000000002</v>
      </c>
      <c r="L527">
        <v>0</v>
      </c>
      <c r="M527">
        <v>0.017683919456307113</v>
      </c>
      <c r="N527">
        <v>0</v>
      </c>
      <c r="O527">
        <v>0.00029473199093845191</v>
      </c>
      <c r="P527">
        <v>3.4428999999999999E-05</v>
      </c>
      <c r="Q527">
        <v>7.5414491758368923E-05</v>
      </c>
      <c r="R527">
        <v>370</v>
      </c>
      <c r="S527">
        <v>0</v>
      </c>
      <c r="T527">
        <v>0</v>
      </c>
      <c r="V527">
        <v>180</v>
      </c>
      <c r="W527">
        <v>7</v>
      </c>
      <c r="X527">
        <v>85</v>
      </c>
      <c r="Y527">
        <v>3</v>
      </c>
      <c r="Z527">
        <v>4</v>
      </c>
      <c r="AA527">
        <v>5</v>
      </c>
      <c r="AB527">
        <v>0</v>
      </c>
      <c r="AC527">
        <v>0</v>
      </c>
      <c r="AD527">
        <v>0</v>
      </c>
      <c r="AE527">
        <v>0</v>
      </c>
      <c r="AF527">
        <v>0.00050000000000000001</v>
      </c>
      <c r="AG527">
        <v>0</v>
      </c>
      <c r="AH527">
        <v>0</v>
      </c>
      <c r="AI527">
        <v>2</v>
      </c>
      <c r="AJ527">
        <v>0</v>
      </c>
      <c r="AK527">
        <v>0</v>
      </c>
      <c r="AL527">
        <v>80</v>
      </c>
      <c r="AM527">
        <v>0.05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0.15</v>
      </c>
      <c r="AU527">
        <v>0</v>
      </c>
      <c r="AV527">
        <v>0</v>
      </c>
    </row>
    <row r="528" spans="1:48" ht="12.75">
      <c r="A528" s="2" t="str">
        <f>HYPERLINK("https://ibp.a2mac1.com/costing(costing:projects/details/8191/equipment/6946526)","DC machine - General")</f>
        <v>DC machine - General</v>
      </c>
      <c r="B528">
        <v>6946526</v>
      </c>
      <c r="C528">
        <v>6973968</v>
      </c>
      <c r="E528" t="s">
        <v>659</v>
      </c>
      <c r="H528" t="s">
        <v>136</v>
      </c>
      <c r="I528">
        <v>116914.84457142858</v>
      </c>
      <c r="J528">
        <v>0</v>
      </c>
      <c r="K528">
        <v>3.60</v>
      </c>
      <c r="L528">
        <v>0</v>
      </c>
      <c r="M528">
        <v>27.497982091197134</v>
      </c>
      <c r="N528">
        <v>0</v>
      </c>
      <c r="O528">
        <v>0.32080979106396657</v>
      </c>
      <c r="P528">
        <v>0.048200600000000003</v>
      </c>
      <c r="Q528">
        <v>0.011732166376415484</v>
      </c>
      <c r="R528">
        <v>635568</v>
      </c>
      <c r="S528">
        <v>0</v>
      </c>
      <c r="T528">
        <v>0</v>
      </c>
      <c r="V528">
        <v>10800</v>
      </c>
      <c r="W528">
        <v>7</v>
      </c>
      <c r="X528">
        <v>85</v>
      </c>
      <c r="Y528">
        <v>3</v>
      </c>
      <c r="Z528">
        <v>4</v>
      </c>
      <c r="AA528">
        <v>5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3</v>
      </c>
      <c r="AJ528">
        <v>0</v>
      </c>
      <c r="AK528">
        <v>0</v>
      </c>
      <c r="AL528">
        <v>100</v>
      </c>
      <c r="AM528">
        <v>45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100</v>
      </c>
      <c r="AU528">
        <v>0</v>
      </c>
      <c r="AV528">
        <v>0</v>
      </c>
    </row>
    <row r="529" spans="1:48" ht="12.75">
      <c r="A529" s="2" t="str">
        <f>HYPERLINK("https://ibp.a2mac1.com/costing(costing:projects/details/8191/equipment/6946527)","Equipment (Injection Molding)")</f>
        <v>Equipment (Injection Molding)</v>
      </c>
      <c r="B529">
        <v>6946527</v>
      </c>
      <c r="C529">
        <v>6973969</v>
      </c>
      <c r="H529" t="s">
        <v>136</v>
      </c>
      <c r="I529">
        <v>2951.5305119999998</v>
      </c>
      <c r="J529">
        <v>0</v>
      </c>
      <c r="K529">
        <v>0.12544</v>
      </c>
      <c r="L529">
        <v>0</v>
      </c>
      <c r="M529">
        <v>0.72581455994856958</v>
      </c>
      <c r="N529">
        <v>0</v>
      </c>
      <c r="O529">
        <v>0.012096909332476161</v>
      </c>
      <c r="P529">
        <v>0.00077120960000000001</v>
      </c>
      <c r="Q529">
        <v>6.5132662291070401E-05</v>
      </c>
      <c r="R529">
        <v>15680</v>
      </c>
      <c r="S529">
        <v>0</v>
      </c>
      <c r="T529">
        <v>0</v>
      </c>
      <c r="V529">
        <v>151.20</v>
      </c>
      <c r="W529">
        <v>7</v>
      </c>
      <c r="X529">
        <v>85</v>
      </c>
      <c r="Y529">
        <v>3</v>
      </c>
      <c r="Z529">
        <v>4</v>
      </c>
      <c r="AA529">
        <v>5</v>
      </c>
      <c r="AB529">
        <v>0</v>
      </c>
      <c r="AC529">
        <v>0</v>
      </c>
      <c r="AD529">
        <v>0</v>
      </c>
      <c r="AE529">
        <v>0</v>
      </c>
      <c r="AF529">
        <v>0.0112</v>
      </c>
      <c r="AG529">
        <v>0</v>
      </c>
      <c r="AH529">
        <v>0</v>
      </c>
      <c r="AI529">
        <v>2</v>
      </c>
      <c r="AJ529">
        <v>0</v>
      </c>
      <c r="AK529">
        <v>0</v>
      </c>
      <c r="AL529">
        <v>80</v>
      </c>
      <c r="AM529">
        <v>1.96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4.20</v>
      </c>
      <c r="AU529">
        <v>0</v>
      </c>
      <c r="AV529">
        <v>0</v>
      </c>
    </row>
    <row r="530" spans="1:48" ht="12.75">
      <c r="A530" s="2" t="str">
        <f>HYPERLINK("https://ibp.a2mac1.com/costing(costing:projects/details/8191/equipment/6946528)","Equipment (Injection Molding)")</f>
        <v>Equipment (Injection Molding)</v>
      </c>
      <c r="B530">
        <v>6946528</v>
      </c>
      <c r="C530">
        <v>6973970</v>
      </c>
      <c r="H530" t="s">
        <v>136</v>
      </c>
      <c r="I530">
        <v>2371.76559</v>
      </c>
      <c r="J530">
        <v>0</v>
      </c>
      <c r="K530">
        <v>0.1008</v>
      </c>
      <c r="L530">
        <v>0</v>
      </c>
      <c r="M530">
        <v>0.58324384281581487</v>
      </c>
      <c r="N530">
        <v>0</v>
      </c>
      <c r="O530">
        <v>0.0097207307135969145</v>
      </c>
      <c r="P530">
        <v>0.00061972199999999996</v>
      </c>
      <c r="Q530">
        <v>5.2050040781702022E-05</v>
      </c>
      <c r="R530">
        <v>12600</v>
      </c>
      <c r="S530">
        <v>0</v>
      </c>
      <c r="T530">
        <v>0</v>
      </c>
      <c r="V530">
        <v>121.50</v>
      </c>
      <c r="W530">
        <v>7</v>
      </c>
      <c r="X530">
        <v>85</v>
      </c>
      <c r="Y530">
        <v>3</v>
      </c>
      <c r="Z530">
        <v>4</v>
      </c>
      <c r="AA530">
        <v>5</v>
      </c>
      <c r="AB530">
        <v>0</v>
      </c>
      <c r="AC530">
        <v>0</v>
      </c>
      <c r="AD530">
        <v>0</v>
      </c>
      <c r="AE530">
        <v>0</v>
      </c>
      <c r="AF530">
        <v>0.0089999999999999993</v>
      </c>
      <c r="AG530">
        <v>0</v>
      </c>
      <c r="AH530">
        <v>0</v>
      </c>
      <c r="AI530">
        <v>2</v>
      </c>
      <c r="AJ530">
        <v>0</v>
      </c>
      <c r="AK530">
        <v>0</v>
      </c>
      <c r="AL530">
        <v>80</v>
      </c>
      <c r="AM530">
        <v>1.575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3.375</v>
      </c>
      <c r="AU530">
        <v>0</v>
      </c>
      <c r="AV530">
        <v>0</v>
      </c>
    </row>
    <row r="531" spans="1:48" ht="12.75">
      <c r="A531" s="2" t="str">
        <f>HYPERLINK("https://ibp.a2mac1.com/costing(costing:projects/details/8191/equipment/6946529)","No.01 - 25000x3000x3000 - Automatic Painting Line - with 12x10kW on line ovens ")</f>
        <v xml:space="preserve">No.01 - 25000x3000x3000 - Automatic Painting Line - with 12x10kW on line ovens </v>
      </c>
      <c r="B531">
        <v>6946529</v>
      </c>
      <c r="C531">
        <v>6973971</v>
      </c>
      <c r="E531" t="s">
        <v>499</v>
      </c>
      <c r="G531" t="s">
        <v>3633</v>
      </c>
      <c r="H531" t="s">
        <v>136</v>
      </c>
      <c r="I531">
        <v>426153.11800000002</v>
      </c>
      <c r="J531">
        <v>0</v>
      </c>
      <c r="K531">
        <v>170.88376</v>
      </c>
      <c r="L531">
        <v>0</v>
      </c>
      <c r="M531">
        <v>259.46510329797491</v>
      </c>
      <c r="N531">
        <v>0</v>
      </c>
      <c r="O531">
        <v>0.18811219989103181</v>
      </c>
      <c r="P531">
        <v>0.011981291999999999</v>
      </c>
      <c r="Q531">
        <v>0</v>
      </c>
      <c r="R531">
        <v>2500000</v>
      </c>
      <c r="S531">
        <v>0</v>
      </c>
      <c r="T531">
        <v>0</v>
      </c>
      <c r="V531">
        <v>0</v>
      </c>
      <c r="W531">
        <v>8</v>
      </c>
      <c r="X531">
        <v>85</v>
      </c>
      <c r="Y531">
        <v>3</v>
      </c>
      <c r="Z531">
        <v>4</v>
      </c>
      <c r="AA531">
        <v>5</v>
      </c>
      <c r="AB531">
        <v>0</v>
      </c>
      <c r="AC531">
        <v>0</v>
      </c>
      <c r="AD531">
        <v>0</v>
      </c>
      <c r="AE531">
        <v>0</v>
      </c>
      <c r="AF531">
        <v>4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100</v>
      </c>
      <c r="AM531">
        <v>2100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</v>
      </c>
      <c r="AT531">
        <v>675</v>
      </c>
      <c r="AU531">
        <v>1.50</v>
      </c>
      <c r="AV531">
        <v>0</v>
      </c>
    </row>
    <row r="532" spans="1:48" ht="12.75">
      <c r="A532" s="2" t="str">
        <f>HYPERLINK("https://ibp.a2mac1.com/costing(costing:projects/details/8191/equipment/6946530)","Loading + Unloading + Retouching + Checking")</f>
        <v>Loading + Unloading + Retouching + Checking</v>
      </c>
      <c r="B532">
        <v>6946530</v>
      </c>
      <c r="C532">
        <v>6973971</v>
      </c>
      <c r="E532" t="s">
        <v>499</v>
      </c>
      <c r="H532" t="s">
        <v>136</v>
      </c>
      <c r="I532">
        <v>116.23608</v>
      </c>
      <c r="J532">
        <v>0</v>
      </c>
      <c r="K532">
        <v>0</v>
      </c>
      <c r="L532">
        <v>0</v>
      </c>
      <c r="M532">
        <v>0.018681465766634521</v>
      </c>
      <c r="N532">
        <v>0</v>
      </c>
      <c r="O532">
        <v>1.3544062680810028E-05</v>
      </c>
      <c r="P532">
        <v>0.041934522000000002</v>
      </c>
      <c r="Q532">
        <v>0</v>
      </c>
      <c r="R532">
        <v>0</v>
      </c>
      <c r="S532">
        <v>0</v>
      </c>
      <c r="T532">
        <v>0</v>
      </c>
      <c r="V532">
        <v>0</v>
      </c>
      <c r="W532">
        <v>8</v>
      </c>
      <c r="X532">
        <v>85</v>
      </c>
      <c r="Y532">
        <v>3</v>
      </c>
      <c r="Z532">
        <v>4</v>
      </c>
      <c r="AA532">
        <v>5</v>
      </c>
      <c r="AB532">
        <v>0</v>
      </c>
      <c r="AC532">
        <v>0</v>
      </c>
      <c r="AD532">
        <v>0</v>
      </c>
      <c r="AE532">
        <v>0</v>
      </c>
      <c r="AF532">
        <v>14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100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3</v>
      </c>
      <c r="AU532">
        <v>0</v>
      </c>
      <c r="AV532">
        <v>0</v>
      </c>
    </row>
    <row r="533" spans="1:48" ht="12.75">
      <c r="A533" s="2" t="str">
        <f>HYPERLINK("https://ibp.a2mac1.com/costing(costing:projects/details/8191/equipment/6946531)","Masking (If Appl.)")</f>
        <v>Masking (If Appl.)</v>
      </c>
      <c r="B533">
        <v>6946531</v>
      </c>
      <c r="C533">
        <v>6973971</v>
      </c>
      <c r="E533" t="s">
        <v>499</v>
      </c>
      <c r="H533" t="s">
        <v>136</v>
      </c>
      <c r="I533">
        <v>116.23608</v>
      </c>
      <c r="J533">
        <v>0</v>
      </c>
      <c r="K533">
        <v>0</v>
      </c>
      <c r="L533">
        <v>0</v>
      </c>
      <c r="M533">
        <v>0.018681465766634521</v>
      </c>
      <c r="N533">
        <v>0</v>
      </c>
      <c r="O533">
        <v>1.3544062680810028E-05</v>
      </c>
      <c r="P533">
        <v>0</v>
      </c>
      <c r="Q533">
        <v>0</v>
      </c>
      <c r="R533">
        <v>0</v>
      </c>
      <c r="S533">
        <v>0</v>
      </c>
      <c r="T533">
        <v>0</v>
      </c>
      <c r="V533">
        <v>0</v>
      </c>
      <c r="W533">
        <v>8</v>
      </c>
      <c r="X533">
        <v>85</v>
      </c>
      <c r="Y533">
        <v>3</v>
      </c>
      <c r="Z533">
        <v>4</v>
      </c>
      <c r="AA533">
        <v>5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100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3</v>
      </c>
      <c r="AU533">
        <v>0</v>
      </c>
      <c r="AV533">
        <v>0</v>
      </c>
    </row>
    <row r="534" spans="1:48" ht="12.75">
      <c r="A534" s="2" t="str">
        <f>HYPERLINK("https://ibp.a2mac1.com/costing(costing:projects/details/8191/equipment/6946603)","Equipment (Injection Molding)")</f>
        <v>Equipment (Injection Molding)</v>
      </c>
      <c r="B534">
        <v>6946603</v>
      </c>
      <c r="C534">
        <v>6974021</v>
      </c>
      <c r="H534" t="s">
        <v>136</v>
      </c>
      <c r="I534">
        <v>3531.2954340000001</v>
      </c>
      <c r="J534">
        <v>0</v>
      </c>
      <c r="K534">
        <v>0.15007999999999999</v>
      </c>
      <c r="L534">
        <v>0</v>
      </c>
      <c r="M534">
        <v>0.86838527708132429</v>
      </c>
      <c r="N534">
        <v>0</v>
      </c>
      <c r="O534">
        <v>0.014473087951355405</v>
      </c>
      <c r="P534">
        <v>0.00092269719999999995</v>
      </c>
      <c r="Q534">
        <v>7.8356428810400199E-05</v>
      </c>
      <c r="R534">
        <v>18760</v>
      </c>
      <c r="S534">
        <v>0</v>
      </c>
      <c r="T534">
        <v>0</v>
      </c>
      <c r="V534">
        <v>180.90</v>
      </c>
      <c r="W534">
        <v>7</v>
      </c>
      <c r="X534">
        <v>85</v>
      </c>
      <c r="Y534">
        <v>3</v>
      </c>
      <c r="Z534">
        <v>4</v>
      </c>
      <c r="AA534">
        <v>5</v>
      </c>
      <c r="AB534">
        <v>0</v>
      </c>
      <c r="AC534">
        <v>0</v>
      </c>
      <c r="AD534">
        <v>0</v>
      </c>
      <c r="AE534">
        <v>0</v>
      </c>
      <c r="AF534">
        <v>0.0134</v>
      </c>
      <c r="AG534">
        <v>0</v>
      </c>
      <c r="AH534">
        <v>0</v>
      </c>
      <c r="AI534">
        <v>2</v>
      </c>
      <c r="AJ534">
        <v>0</v>
      </c>
      <c r="AK534">
        <v>0</v>
      </c>
      <c r="AL534">
        <v>80</v>
      </c>
      <c r="AM534">
        <v>2.345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5.025</v>
      </c>
      <c r="AU534">
        <v>0</v>
      </c>
      <c r="AV534">
        <v>0</v>
      </c>
    </row>
    <row r="535" spans="1:48" ht="12.75">
      <c r="A535" s="2" t="str">
        <f>HYPERLINK("https://ibp.a2mac1.com/costing(costing:projects/details/8191/equipment/6946604)","Equipment (Injection Molding)")</f>
        <v>Equipment (Injection Molding)</v>
      </c>
      <c r="B535">
        <v>6946604</v>
      </c>
      <c r="C535">
        <v>6974022</v>
      </c>
      <c r="H535" t="s">
        <v>136</v>
      </c>
      <c r="I535">
        <v>4032.001503</v>
      </c>
      <c r="J535">
        <v>0</v>
      </c>
      <c r="K535">
        <v>0.17136000000000001</v>
      </c>
      <c r="L535">
        <v>0</v>
      </c>
      <c r="M535">
        <v>0.99151453278688528</v>
      </c>
      <c r="N535">
        <v>0</v>
      </c>
      <c r="O535">
        <v>0.016525242213114754</v>
      </c>
      <c r="P535">
        <v>0.0010535274</v>
      </c>
      <c r="Q535">
        <v>8.9890541179118847E-05</v>
      </c>
      <c r="R535">
        <v>21420</v>
      </c>
      <c r="S535">
        <v>0</v>
      </c>
      <c r="T535">
        <v>0</v>
      </c>
      <c r="V535">
        <v>206.55</v>
      </c>
      <c r="W535">
        <v>7</v>
      </c>
      <c r="X535">
        <v>85</v>
      </c>
      <c r="Y535">
        <v>3</v>
      </c>
      <c r="Z535">
        <v>4</v>
      </c>
      <c r="AA535">
        <v>5</v>
      </c>
      <c r="AB535">
        <v>0</v>
      </c>
      <c r="AC535">
        <v>0</v>
      </c>
      <c r="AD535">
        <v>0</v>
      </c>
      <c r="AE535">
        <v>0</v>
      </c>
      <c r="AF535">
        <v>0.015299999999999999</v>
      </c>
      <c r="AG535">
        <v>0</v>
      </c>
      <c r="AH535">
        <v>0</v>
      </c>
      <c r="AI535">
        <v>2</v>
      </c>
      <c r="AJ535">
        <v>0</v>
      </c>
      <c r="AK535">
        <v>0</v>
      </c>
      <c r="AL535">
        <v>80</v>
      </c>
      <c r="AM535">
        <v>2.6775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5.7375</v>
      </c>
      <c r="AU535">
        <v>0</v>
      </c>
      <c r="AV535">
        <v>0</v>
      </c>
    </row>
    <row r="536" spans="1:48" ht="12.75">
      <c r="A536" s="2" t="str">
        <f>HYPERLINK("https://ibp.a2mac1.com/costing(costing:projects/details/8191/equipment/6946605)","Equipment (Injection Molding)")</f>
        <v>Equipment (Injection Molding)</v>
      </c>
      <c r="B536">
        <v>6946605</v>
      </c>
      <c r="C536">
        <v>6974023</v>
      </c>
      <c r="H536" t="s">
        <v>136</v>
      </c>
      <c r="I536">
        <v>16286.123718000001</v>
      </c>
      <c r="J536">
        <v>0</v>
      </c>
      <c r="K536">
        <v>0.69216</v>
      </c>
      <c r="L536">
        <v>0</v>
      </c>
      <c r="M536">
        <v>4.0049410540019288</v>
      </c>
      <c r="N536">
        <v>0</v>
      </c>
      <c r="O536">
        <v>0.066749017566698807</v>
      </c>
      <c r="P536">
        <v>0.0042554244</v>
      </c>
      <c r="Q536">
        <v>0.00040498897975589681</v>
      </c>
      <c r="R536">
        <v>86520</v>
      </c>
      <c r="S536">
        <v>0</v>
      </c>
      <c r="T536">
        <v>0</v>
      </c>
      <c r="V536">
        <v>834.30</v>
      </c>
      <c r="W536">
        <v>7</v>
      </c>
      <c r="X536">
        <v>85</v>
      </c>
      <c r="Y536">
        <v>3</v>
      </c>
      <c r="Z536">
        <v>4</v>
      </c>
      <c r="AA536">
        <v>5</v>
      </c>
      <c r="AB536">
        <v>0</v>
      </c>
      <c r="AC536">
        <v>0</v>
      </c>
      <c r="AD536">
        <v>0</v>
      </c>
      <c r="AE536">
        <v>0</v>
      </c>
      <c r="AF536">
        <v>0.061800000000000001</v>
      </c>
      <c r="AG536">
        <v>0</v>
      </c>
      <c r="AH536">
        <v>0</v>
      </c>
      <c r="AI536">
        <v>2</v>
      </c>
      <c r="AJ536">
        <v>0</v>
      </c>
      <c r="AK536">
        <v>0</v>
      </c>
      <c r="AL536">
        <v>80</v>
      </c>
      <c r="AM536">
        <v>10.815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23.175</v>
      </c>
      <c r="AU536">
        <v>0</v>
      </c>
      <c r="AV536">
        <v>0</v>
      </c>
    </row>
    <row r="537" spans="1:48" ht="12.75">
      <c r="A537" s="2" t="str">
        <f>HYPERLINK("https://ibp.a2mac1.com/costing(costing:projects/details/8191/equipment/6946606)","Equipment (Injection Molding)")</f>
        <v>Equipment (Injection Molding)</v>
      </c>
      <c r="B537">
        <v>6946606</v>
      </c>
      <c r="C537">
        <v>6974024</v>
      </c>
      <c r="H537" t="s">
        <v>136</v>
      </c>
      <c r="I537">
        <v>158.117706</v>
      </c>
      <c r="J537">
        <v>0</v>
      </c>
      <c r="K537">
        <v>0.0067200000000000003</v>
      </c>
      <c r="L537">
        <v>0</v>
      </c>
      <c r="M537">
        <v>0.038882922854387658</v>
      </c>
      <c r="N537">
        <v>0</v>
      </c>
      <c r="O537">
        <v>0.00064804871423979429</v>
      </c>
      <c r="P537">
        <v>4.13148E-05</v>
      </c>
      <c r="Q537">
        <v>8.4912849864633557E-07</v>
      </c>
      <c r="R537">
        <v>840</v>
      </c>
      <c r="S537">
        <v>0</v>
      </c>
      <c r="T537">
        <v>0</v>
      </c>
      <c r="V537">
        <v>8.10</v>
      </c>
      <c r="W537">
        <v>7</v>
      </c>
      <c r="X537">
        <v>85</v>
      </c>
      <c r="Y537">
        <v>3</v>
      </c>
      <c r="Z537">
        <v>4</v>
      </c>
      <c r="AA537">
        <v>5</v>
      </c>
      <c r="AB537">
        <v>0</v>
      </c>
      <c r="AC537">
        <v>0</v>
      </c>
      <c r="AD537">
        <v>0</v>
      </c>
      <c r="AE537">
        <v>0</v>
      </c>
      <c r="AF537">
        <v>0.00059999999999999995</v>
      </c>
      <c r="AG537">
        <v>0</v>
      </c>
      <c r="AH537">
        <v>0</v>
      </c>
      <c r="AI537">
        <v>2</v>
      </c>
      <c r="AJ537">
        <v>0</v>
      </c>
      <c r="AK537">
        <v>0</v>
      </c>
      <c r="AL537">
        <v>80</v>
      </c>
      <c r="AM537">
        <v>0.105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0.225</v>
      </c>
      <c r="AU537">
        <v>0</v>
      </c>
      <c r="AV537">
        <v>0</v>
      </c>
    </row>
    <row r="538" spans="1:48" ht="12.75">
      <c r="A538" s="2" t="str">
        <f>HYPERLINK("https://ibp.a2mac1.com/costing(costing:projects/details/8191/equipment/6946607)","Equipment (Injection Molding)")</f>
        <v>Equipment (Injection Molding)</v>
      </c>
      <c r="B538">
        <v>6946607</v>
      </c>
      <c r="C538">
        <v>6974025</v>
      </c>
      <c r="H538" t="s">
        <v>136</v>
      </c>
      <c r="I538">
        <v>3900.2367479999998</v>
      </c>
      <c r="J538">
        <v>0</v>
      </c>
      <c r="K538">
        <v>0.16575999999999999</v>
      </c>
      <c r="L538">
        <v>0</v>
      </c>
      <c r="M538">
        <v>0.95911209707489553</v>
      </c>
      <c r="N538">
        <v>0</v>
      </c>
      <c r="O538">
        <v>0.015985201617914925</v>
      </c>
      <c r="P538">
        <v>0.0010190984000000001</v>
      </c>
      <c r="Q538">
        <v>8.6845041683259396E-05</v>
      </c>
      <c r="R538">
        <v>20720</v>
      </c>
      <c r="S538">
        <v>0</v>
      </c>
      <c r="T538">
        <v>0</v>
      </c>
      <c r="V538">
        <v>199.80</v>
      </c>
      <c r="W538">
        <v>7</v>
      </c>
      <c r="X538">
        <v>85</v>
      </c>
      <c r="Y538">
        <v>3</v>
      </c>
      <c r="Z538">
        <v>4</v>
      </c>
      <c r="AA538">
        <v>5</v>
      </c>
      <c r="AB538">
        <v>0</v>
      </c>
      <c r="AC538">
        <v>0</v>
      </c>
      <c r="AD538">
        <v>0</v>
      </c>
      <c r="AE538">
        <v>0</v>
      </c>
      <c r="AF538">
        <v>0.014800000000000001</v>
      </c>
      <c r="AG538">
        <v>0</v>
      </c>
      <c r="AH538">
        <v>0</v>
      </c>
      <c r="AI538">
        <v>2</v>
      </c>
      <c r="AJ538">
        <v>0</v>
      </c>
      <c r="AK538">
        <v>0</v>
      </c>
      <c r="AL538">
        <v>80</v>
      </c>
      <c r="AM538">
        <v>2.59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5.55</v>
      </c>
      <c r="AU538">
        <v>0</v>
      </c>
      <c r="AV538">
        <v>0</v>
      </c>
    </row>
    <row r="539" spans="1:48" ht="12.75">
      <c r="A539" s="2" t="str">
        <f>HYPERLINK("https://ibp.a2mac1.com/costing(costing:projects/details/8191/equipment/6946608)","Equipment (Injection Molding)")</f>
        <v>Equipment (Injection Molding)</v>
      </c>
      <c r="B539">
        <v>6946608</v>
      </c>
      <c r="C539">
        <v>6974026</v>
      </c>
      <c r="H539" t="s">
        <v>136</v>
      </c>
      <c r="I539">
        <v>210.82360800000001</v>
      </c>
      <c r="J539">
        <v>0</v>
      </c>
      <c r="K539">
        <v>0.0089599999999999992</v>
      </c>
      <c r="L539">
        <v>0</v>
      </c>
      <c r="M539">
        <v>0.05184389713918354</v>
      </c>
      <c r="N539">
        <v>0</v>
      </c>
      <c r="O539">
        <v>0.00086406495231972568</v>
      </c>
      <c r="P539">
        <v>5.5086400000000002E-05</v>
      </c>
      <c r="Q539">
        <v>2.2655091507425266E-06</v>
      </c>
      <c r="R539">
        <v>1120</v>
      </c>
      <c r="S539">
        <v>0</v>
      </c>
      <c r="T539">
        <v>0</v>
      </c>
      <c r="V539">
        <v>10.80</v>
      </c>
      <c r="W539">
        <v>7</v>
      </c>
      <c r="X539">
        <v>85</v>
      </c>
      <c r="Y539">
        <v>3</v>
      </c>
      <c r="Z539">
        <v>4</v>
      </c>
      <c r="AA539">
        <v>5</v>
      </c>
      <c r="AB539">
        <v>0</v>
      </c>
      <c r="AC539">
        <v>0</v>
      </c>
      <c r="AD539">
        <v>0</v>
      </c>
      <c r="AE539">
        <v>0</v>
      </c>
      <c r="AF539">
        <v>0.00080000000000000004</v>
      </c>
      <c r="AG539">
        <v>0</v>
      </c>
      <c r="AH539">
        <v>0</v>
      </c>
      <c r="AI539">
        <v>2</v>
      </c>
      <c r="AJ539">
        <v>0</v>
      </c>
      <c r="AK539">
        <v>0</v>
      </c>
      <c r="AL539">
        <v>80</v>
      </c>
      <c r="AM539">
        <v>0.14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0.30</v>
      </c>
      <c r="AU539">
        <v>0</v>
      </c>
      <c r="AV539">
        <v>0</v>
      </c>
    </row>
    <row r="540" spans="1:48" ht="12.75">
      <c r="A540" s="2" t="str">
        <f>HYPERLINK("https://ibp.a2mac1.com/costing(costing:projects/details/8191/equipment/6946532)","Equipment (Injection Molding)")</f>
        <v>Equipment (Injection Molding)</v>
      </c>
      <c r="B540">
        <v>6946532</v>
      </c>
      <c r="C540">
        <v>6973972</v>
      </c>
      <c r="H540" t="s">
        <v>136</v>
      </c>
      <c r="I540">
        <v>6482.8259459999999</v>
      </c>
      <c r="J540">
        <v>0</v>
      </c>
      <c r="K540">
        <v>0.27551999999999999</v>
      </c>
      <c r="L540">
        <v>0</v>
      </c>
      <c r="M540">
        <v>1.594199837029894</v>
      </c>
      <c r="N540">
        <v>0</v>
      </c>
      <c r="O540">
        <v>0.026569997283831564</v>
      </c>
      <c r="P540">
        <v>0.0016939068000000001</v>
      </c>
      <c r="Q540">
        <v>0.00014786575289796046</v>
      </c>
      <c r="R540">
        <v>34440</v>
      </c>
      <c r="S540">
        <v>0</v>
      </c>
      <c r="T540">
        <v>0</v>
      </c>
      <c r="V540">
        <v>332.10</v>
      </c>
      <c r="W540">
        <v>7</v>
      </c>
      <c r="X540">
        <v>85</v>
      </c>
      <c r="Y540">
        <v>3</v>
      </c>
      <c r="Z540">
        <v>4</v>
      </c>
      <c r="AA540">
        <v>5</v>
      </c>
      <c r="AB540">
        <v>0</v>
      </c>
      <c r="AC540">
        <v>0</v>
      </c>
      <c r="AD540">
        <v>0</v>
      </c>
      <c r="AE540">
        <v>0</v>
      </c>
      <c r="AF540">
        <v>0.0246</v>
      </c>
      <c r="AG540">
        <v>0</v>
      </c>
      <c r="AH540">
        <v>0</v>
      </c>
      <c r="AI540">
        <v>2</v>
      </c>
      <c r="AJ540">
        <v>0</v>
      </c>
      <c r="AK540">
        <v>0</v>
      </c>
      <c r="AL540">
        <v>80</v>
      </c>
      <c r="AM540">
        <v>4.305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9.225</v>
      </c>
      <c r="AU540">
        <v>0</v>
      </c>
      <c r="AV540">
        <v>0</v>
      </c>
    </row>
    <row r="541" spans="1:48" ht="12.75">
      <c r="A541" s="2" t="str">
        <f>HYPERLINK("https://ibp.a2mac1.com/costing(costing:projects/details/8191/equipment/6946466)","Equipment (Injection Molding)")</f>
        <v>Equipment (Injection Molding)</v>
      </c>
      <c r="B541">
        <v>6946466</v>
      </c>
      <c r="C541">
        <v>6973908</v>
      </c>
      <c r="H541" t="s">
        <v>136</v>
      </c>
      <c r="I541">
        <v>8643.7679279999993</v>
      </c>
      <c r="J541">
        <v>0</v>
      </c>
      <c r="K541">
        <v>0.36736000000000002</v>
      </c>
      <c r="L541">
        <v>0</v>
      </c>
      <c r="M541">
        <v>2.1255997827065252</v>
      </c>
      <c r="N541">
        <v>0</v>
      </c>
      <c r="O541">
        <v>0.035426663045108754</v>
      </c>
      <c r="P541">
        <v>0.0022585423999999998</v>
      </c>
      <c r="Q541">
        <v>0.00020107606879637415</v>
      </c>
      <c r="R541">
        <v>45920</v>
      </c>
      <c r="S541">
        <v>0</v>
      </c>
      <c r="T541">
        <v>0</v>
      </c>
      <c r="V541">
        <v>442.80</v>
      </c>
      <c r="W541">
        <v>7</v>
      </c>
      <c r="X541">
        <v>85</v>
      </c>
      <c r="Y541">
        <v>3</v>
      </c>
      <c r="Z541">
        <v>4</v>
      </c>
      <c r="AA541">
        <v>5</v>
      </c>
      <c r="AB541">
        <v>0</v>
      </c>
      <c r="AC541">
        <v>0</v>
      </c>
      <c r="AD541">
        <v>0</v>
      </c>
      <c r="AE541">
        <v>0</v>
      </c>
      <c r="AF541">
        <v>0.032800000000000003</v>
      </c>
      <c r="AG541">
        <v>0</v>
      </c>
      <c r="AH541">
        <v>0</v>
      </c>
      <c r="AI541">
        <v>2</v>
      </c>
      <c r="AJ541">
        <v>0</v>
      </c>
      <c r="AK541">
        <v>0</v>
      </c>
      <c r="AL541">
        <v>80</v>
      </c>
      <c r="AM541">
        <v>5.74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12.30</v>
      </c>
      <c r="AU541">
        <v>0</v>
      </c>
      <c r="AV541">
        <v>0</v>
      </c>
    </row>
    <row r="542" spans="1:48" ht="12.75">
      <c r="A542" s="2" t="str">
        <f>HYPERLINK("https://ibp.a2mac1.com/costing(costing:projects/details/8191/equipment/6946467)","Equipment (Injection Molding)")</f>
        <v>Equipment (Injection Molding)</v>
      </c>
      <c r="B542">
        <v>6946467</v>
      </c>
      <c r="C542">
        <v>6973909</v>
      </c>
      <c r="H542" t="s">
        <v>136</v>
      </c>
      <c r="I542">
        <v>1581.17706</v>
      </c>
      <c r="J542">
        <v>0</v>
      </c>
      <c r="K542">
        <v>0.067199999999999996</v>
      </c>
      <c r="L542">
        <v>0</v>
      </c>
      <c r="M542">
        <v>0.38882922854387658</v>
      </c>
      <c r="N542">
        <v>0</v>
      </c>
      <c r="O542">
        <v>0.0064804871423979424</v>
      </c>
      <c r="P542">
        <v>0.00041314800000000001</v>
      </c>
      <c r="Q542">
        <v>3.4437567458534232E-05</v>
      </c>
      <c r="R542">
        <v>8400</v>
      </c>
      <c r="S542">
        <v>0</v>
      </c>
      <c r="T542">
        <v>0</v>
      </c>
      <c r="V542">
        <v>81</v>
      </c>
      <c r="W542">
        <v>7</v>
      </c>
      <c r="X542">
        <v>85</v>
      </c>
      <c r="Y542">
        <v>3</v>
      </c>
      <c r="Z542">
        <v>4</v>
      </c>
      <c r="AA542">
        <v>5</v>
      </c>
      <c r="AB542">
        <v>0</v>
      </c>
      <c r="AC542">
        <v>0</v>
      </c>
      <c r="AD542">
        <v>0</v>
      </c>
      <c r="AE542">
        <v>0</v>
      </c>
      <c r="AF542">
        <v>0.0060000000000000001</v>
      </c>
      <c r="AG542">
        <v>0</v>
      </c>
      <c r="AH542">
        <v>0</v>
      </c>
      <c r="AI542">
        <v>2</v>
      </c>
      <c r="AJ542">
        <v>0</v>
      </c>
      <c r="AK542">
        <v>0</v>
      </c>
      <c r="AL542">
        <v>80</v>
      </c>
      <c r="AM542">
        <v>1.05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2.25</v>
      </c>
      <c r="AU542">
        <v>0</v>
      </c>
      <c r="AV542">
        <v>0</v>
      </c>
    </row>
    <row r="543" spans="1:48" ht="12.75">
      <c r="A543" s="2" t="str">
        <f>HYPERLINK("https://ibp.a2mac1.com/costing(costing:projects/details/8191/equipment/6946468)","Equipment (Injection Molding)")</f>
        <v>Equipment (Injection Molding)</v>
      </c>
      <c r="B543">
        <v>6946468</v>
      </c>
      <c r="C543">
        <v>6973910</v>
      </c>
      <c r="H543" t="s">
        <v>136</v>
      </c>
      <c r="I543">
        <v>1475.7652559999999</v>
      </c>
      <c r="J543">
        <v>0</v>
      </c>
      <c r="K543">
        <v>0.062719999999999998</v>
      </c>
      <c r="L543">
        <v>0</v>
      </c>
      <c r="M543">
        <v>0.36290727997428479</v>
      </c>
      <c r="N543">
        <v>0</v>
      </c>
      <c r="O543">
        <v>0.0060484546662380803</v>
      </c>
      <c r="P543">
        <v>0.0003856048</v>
      </c>
      <c r="Q543">
        <v>3.2109067972767599E-05</v>
      </c>
      <c r="R543">
        <v>7840</v>
      </c>
      <c r="S543">
        <v>0</v>
      </c>
      <c r="T543">
        <v>0</v>
      </c>
      <c r="V543">
        <v>75.60</v>
      </c>
      <c r="W543">
        <v>7</v>
      </c>
      <c r="X543">
        <v>85</v>
      </c>
      <c r="Y543">
        <v>3</v>
      </c>
      <c r="Z543">
        <v>4</v>
      </c>
      <c r="AA543">
        <v>5</v>
      </c>
      <c r="AB543">
        <v>0</v>
      </c>
      <c r="AC543">
        <v>0</v>
      </c>
      <c r="AD543">
        <v>0</v>
      </c>
      <c r="AE543">
        <v>0</v>
      </c>
      <c r="AF543">
        <v>0.0055999999999999999</v>
      </c>
      <c r="AG543">
        <v>0</v>
      </c>
      <c r="AH543">
        <v>0</v>
      </c>
      <c r="AI543">
        <v>2</v>
      </c>
      <c r="AJ543">
        <v>0</v>
      </c>
      <c r="AK543">
        <v>0</v>
      </c>
      <c r="AL543">
        <v>80</v>
      </c>
      <c r="AM543">
        <v>0.98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2.10</v>
      </c>
      <c r="AU543">
        <v>0</v>
      </c>
      <c r="AV543">
        <v>0</v>
      </c>
    </row>
    <row r="544" spans="1:48" ht="12.75">
      <c r="A544" s="2" t="str">
        <f>HYPERLINK("https://ibp.a2mac1.com/costing(costing:projects/details/8191/equipment/6946469)","Equipment (Injection Molding)")</f>
        <v>Equipment (Injection Molding)</v>
      </c>
      <c r="B544">
        <v>6946469</v>
      </c>
      <c r="C544">
        <v>6973911</v>
      </c>
      <c r="H544" t="s">
        <v>136</v>
      </c>
      <c r="I544">
        <v>1001.412138</v>
      </c>
      <c r="J544">
        <v>0</v>
      </c>
      <c r="K544">
        <v>0.042560000000000001</v>
      </c>
      <c r="L544">
        <v>0</v>
      </c>
      <c r="M544">
        <v>0.24625851141112182</v>
      </c>
      <c r="N544">
        <v>0</v>
      </c>
      <c r="O544">
        <v>0.0041043085235186972</v>
      </c>
      <c r="P544">
        <v>0.00026166040000000001</v>
      </c>
      <c r="Q544">
        <v>2.1688561427256508E-05</v>
      </c>
      <c r="R544">
        <v>5320</v>
      </c>
      <c r="S544">
        <v>0</v>
      </c>
      <c r="T544">
        <v>0</v>
      </c>
      <c r="V544">
        <v>51.30</v>
      </c>
      <c r="W544">
        <v>7</v>
      </c>
      <c r="X544">
        <v>85</v>
      </c>
      <c r="Y544">
        <v>3</v>
      </c>
      <c r="Z544">
        <v>4</v>
      </c>
      <c r="AA544">
        <v>5</v>
      </c>
      <c r="AB544">
        <v>0</v>
      </c>
      <c r="AC544">
        <v>0</v>
      </c>
      <c r="AD544">
        <v>0</v>
      </c>
      <c r="AE544">
        <v>0</v>
      </c>
      <c r="AF544">
        <v>0.0038</v>
      </c>
      <c r="AG544">
        <v>0</v>
      </c>
      <c r="AH544">
        <v>0</v>
      </c>
      <c r="AI544">
        <v>2</v>
      </c>
      <c r="AJ544">
        <v>0</v>
      </c>
      <c r="AK544">
        <v>0</v>
      </c>
      <c r="AL544">
        <v>80</v>
      </c>
      <c r="AM544">
        <v>0.665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1.425</v>
      </c>
      <c r="AU544">
        <v>0</v>
      </c>
      <c r="AV544">
        <v>0</v>
      </c>
    </row>
    <row r="545" spans="1:48" ht="12.75">
      <c r="A545" s="2" t="str">
        <f>HYPERLINK("https://ibp.a2mac1.com/costing(costing:projects/details/8191/equipment/6946609)","DC machine - General")</f>
        <v>DC machine - General</v>
      </c>
      <c r="B545">
        <v>6946609</v>
      </c>
      <c r="C545">
        <v>6974027</v>
      </c>
      <c r="E545" t="s">
        <v>659</v>
      </c>
      <c r="H545" t="s">
        <v>136</v>
      </c>
      <c r="I545">
        <v>116914.84457142858</v>
      </c>
      <c r="J545">
        <v>0</v>
      </c>
      <c r="K545">
        <v>3.60</v>
      </c>
      <c r="L545">
        <v>0</v>
      </c>
      <c r="M545">
        <v>27.497982091197134</v>
      </c>
      <c r="N545">
        <v>0</v>
      </c>
      <c r="O545">
        <v>2.4442650747730785</v>
      </c>
      <c r="P545">
        <v>0.36724266666666666</v>
      </c>
      <c r="Q545">
        <v>0.011732166376415484</v>
      </c>
      <c r="R545">
        <v>635568</v>
      </c>
      <c r="S545">
        <v>0</v>
      </c>
      <c r="T545">
        <v>0</v>
      </c>
      <c r="V545">
        <v>10800</v>
      </c>
      <c r="W545">
        <v>7</v>
      </c>
      <c r="X545">
        <v>85</v>
      </c>
      <c r="Y545">
        <v>3</v>
      </c>
      <c r="Z545">
        <v>4</v>
      </c>
      <c r="AA545">
        <v>5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3</v>
      </c>
      <c r="AJ545">
        <v>0</v>
      </c>
      <c r="AK545">
        <v>0</v>
      </c>
      <c r="AL545">
        <v>100</v>
      </c>
      <c r="AM545">
        <v>45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100</v>
      </c>
      <c r="AU545">
        <v>0</v>
      </c>
      <c r="AV545">
        <v>0</v>
      </c>
    </row>
    <row r="546" spans="1:48" ht="12.75">
      <c r="A546" s="2" t="str">
        <f>HYPERLINK("https://ibp.a2mac1.com/costing(costing:projects/details/8191/equipment/6946610)","DC machine - General")</f>
        <v>DC machine - General</v>
      </c>
      <c r="B546">
        <v>6946610</v>
      </c>
      <c r="C546">
        <v>6974028</v>
      </c>
      <c r="E546" t="s">
        <v>659</v>
      </c>
      <c r="H546" t="s">
        <v>136</v>
      </c>
      <c r="I546">
        <v>116914.84457142858</v>
      </c>
      <c r="J546">
        <v>0</v>
      </c>
      <c r="K546">
        <v>3.60</v>
      </c>
      <c r="L546">
        <v>0</v>
      </c>
      <c r="M546">
        <v>27.497982091197134</v>
      </c>
      <c r="N546">
        <v>0</v>
      </c>
      <c r="O546">
        <v>2.4442650747730785</v>
      </c>
      <c r="P546">
        <v>0.36724266666666666</v>
      </c>
      <c r="Q546">
        <v>0.011732166376415484</v>
      </c>
      <c r="R546">
        <v>635568</v>
      </c>
      <c r="S546">
        <v>0</v>
      </c>
      <c r="T546">
        <v>0</v>
      </c>
      <c r="V546">
        <v>10800</v>
      </c>
      <c r="W546">
        <v>7</v>
      </c>
      <c r="X546">
        <v>85</v>
      </c>
      <c r="Y546">
        <v>3</v>
      </c>
      <c r="Z546">
        <v>4</v>
      </c>
      <c r="AA546">
        <v>5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3</v>
      </c>
      <c r="AJ546">
        <v>0</v>
      </c>
      <c r="AK546">
        <v>0</v>
      </c>
      <c r="AL546">
        <v>100</v>
      </c>
      <c r="AM546">
        <v>45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100</v>
      </c>
      <c r="AU546">
        <v>0</v>
      </c>
      <c r="AV546">
        <v>0</v>
      </c>
    </row>
    <row r="547" spans="1:48" ht="12.75">
      <c r="A547" s="2" t="str">
        <f>HYPERLINK("https://ibp.a2mac1.com/costing(costing:projects/details/8191/equipment/6946611)","Dummy Machine (PCBA+Final Assembly Line)")</f>
        <v>Dummy Machine (PCBA+Final Assembly Line)</v>
      </c>
      <c r="B547">
        <v>6946611</v>
      </c>
      <c r="C547">
        <v>6974029</v>
      </c>
      <c r="F547" t="s">
        <v>559</v>
      </c>
      <c r="H547" t="s">
        <v>136</v>
      </c>
      <c r="I547">
        <v>79501.662769714283</v>
      </c>
      <c r="J547">
        <v>0</v>
      </c>
      <c r="K547">
        <v>0.28895999999999999</v>
      </c>
      <c r="L547">
        <v>0</v>
      </c>
      <c r="M547">
        <v>16.624578413647427</v>
      </c>
      <c r="N547">
        <v>0</v>
      </c>
      <c r="O547">
        <v>1.4084712267117958</v>
      </c>
      <c r="P547">
        <v>0.24501971666666666</v>
      </c>
      <c r="Q547">
        <v>6.889185508913073E-05</v>
      </c>
      <c r="R547">
        <v>442771.10</v>
      </c>
      <c r="S547">
        <v>0</v>
      </c>
      <c r="T547">
        <v>0</v>
      </c>
      <c r="V547">
        <v>216</v>
      </c>
      <c r="W547">
        <v>7</v>
      </c>
      <c r="X547">
        <v>85</v>
      </c>
      <c r="Y547">
        <v>3</v>
      </c>
      <c r="Z547">
        <v>4</v>
      </c>
      <c r="AA547">
        <v>5</v>
      </c>
      <c r="AB547">
        <v>0</v>
      </c>
      <c r="AC547">
        <v>0</v>
      </c>
      <c r="AD547">
        <v>0</v>
      </c>
      <c r="AE547">
        <v>0</v>
      </c>
      <c r="AF547">
        <v>0.70</v>
      </c>
      <c r="AG547">
        <v>0</v>
      </c>
      <c r="AH547">
        <v>0</v>
      </c>
      <c r="AI547">
        <v>0.20</v>
      </c>
      <c r="AJ547">
        <v>0</v>
      </c>
      <c r="AK547">
        <v>0</v>
      </c>
      <c r="AL547">
        <v>86</v>
      </c>
      <c r="AM547">
        <v>4.20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19.40</v>
      </c>
      <c r="AU547">
        <v>0</v>
      </c>
      <c r="AV547">
        <v>0</v>
      </c>
    </row>
    <row r="548" spans="1:48" ht="12.75">
      <c r="A548" s="2" t="str">
        <f>HYPERLINK("https://ibp.a2mac1.com/costing(costing:projects/details/8191/equipment/6946612)","Equipment (Injection Molding)")</f>
        <v>Equipment (Injection Molding)</v>
      </c>
      <c r="B548">
        <v>6946612</v>
      </c>
      <c r="C548">
        <v>6974030</v>
      </c>
      <c r="H548" t="s">
        <v>136</v>
      </c>
      <c r="I548">
        <v>237.176559</v>
      </c>
      <c r="J548">
        <v>0</v>
      </c>
      <c r="K548">
        <v>0.01008</v>
      </c>
      <c r="L548">
        <v>0</v>
      </c>
      <c r="M548">
        <v>0.058324384281581487</v>
      </c>
      <c r="N548">
        <v>0</v>
      </c>
      <c r="O548">
        <v>0.0058324384281581484</v>
      </c>
      <c r="P548">
        <v>0.00037183319999999998</v>
      </c>
      <c r="Q548">
        <v>2.5493539439085102E-06</v>
      </c>
      <c r="R548">
        <v>1260</v>
      </c>
      <c r="S548">
        <v>0</v>
      </c>
      <c r="T548">
        <v>0</v>
      </c>
      <c r="V548">
        <v>12.15</v>
      </c>
      <c r="W548">
        <v>7</v>
      </c>
      <c r="X548">
        <v>85</v>
      </c>
      <c r="Y548">
        <v>3</v>
      </c>
      <c r="Z548">
        <v>4</v>
      </c>
      <c r="AA548">
        <v>5</v>
      </c>
      <c r="AB548">
        <v>0</v>
      </c>
      <c r="AC548">
        <v>0</v>
      </c>
      <c r="AD548">
        <v>0</v>
      </c>
      <c r="AE548">
        <v>0</v>
      </c>
      <c r="AF548">
        <v>0.00089999999999999998</v>
      </c>
      <c r="AG548">
        <v>0</v>
      </c>
      <c r="AH548">
        <v>0</v>
      </c>
      <c r="AI548">
        <v>2</v>
      </c>
      <c r="AJ548">
        <v>0</v>
      </c>
      <c r="AK548">
        <v>0</v>
      </c>
      <c r="AL548">
        <v>80</v>
      </c>
      <c r="AM548">
        <v>0.1575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0.3375</v>
      </c>
      <c r="AU548">
        <v>0</v>
      </c>
      <c r="AV548">
        <v>0</v>
      </c>
    </row>
    <row r="549" spans="1:48" ht="12.75">
      <c r="A549" s="2" t="str">
        <f>HYPERLINK("https://ibp.a2mac1.com/costing(costing:projects/details/8191/equipment/6946613)","No.01 - Injection Press - 40T - 18kW - 270x270 - Max Volume 128cm3 ")</f>
        <v xml:space="preserve">No.01 - Injection Press - 40T - 18kW - 270x270 - Max Volume 128cm3 </v>
      </c>
      <c r="B549">
        <v>6946613</v>
      </c>
      <c r="C549">
        <v>6974031</v>
      </c>
      <c r="E549" t="s">
        <v>499</v>
      </c>
      <c r="H549" t="s">
        <v>136</v>
      </c>
      <c r="I549">
        <v>13574.9072</v>
      </c>
      <c r="J549">
        <v>0</v>
      </c>
      <c r="K549">
        <v>1.6020000000000001</v>
      </c>
      <c r="L549">
        <v>0</v>
      </c>
      <c r="M549">
        <v>4.4266395371263263</v>
      </c>
      <c r="N549">
        <v>0</v>
      </c>
      <c r="O549">
        <v>0.016902631223679417</v>
      </c>
      <c r="P549">
        <v>0.0039438993316666671</v>
      </c>
      <c r="Q549">
        <v>0.0017728271722275795</v>
      </c>
      <c r="R549">
        <v>80000</v>
      </c>
      <c r="S549">
        <v>0</v>
      </c>
      <c r="T549">
        <v>0</v>
      </c>
      <c r="V549">
        <v>7200</v>
      </c>
      <c r="W549">
        <v>8</v>
      </c>
      <c r="X549">
        <v>85</v>
      </c>
      <c r="Y549">
        <v>3</v>
      </c>
      <c r="Z549">
        <v>4</v>
      </c>
      <c r="AA549">
        <v>5</v>
      </c>
      <c r="AB549">
        <v>0</v>
      </c>
      <c r="AC549">
        <v>0</v>
      </c>
      <c r="AD549">
        <v>0</v>
      </c>
      <c r="AE549">
        <v>0</v>
      </c>
      <c r="AF549">
        <v>0.25</v>
      </c>
      <c r="AG549">
        <v>0</v>
      </c>
      <c r="AH549">
        <v>0</v>
      </c>
      <c r="AI549">
        <v>2</v>
      </c>
      <c r="AJ549">
        <v>0</v>
      </c>
      <c r="AK549">
        <v>0</v>
      </c>
      <c r="AL549">
        <v>97</v>
      </c>
      <c r="AM549">
        <v>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20</v>
      </c>
      <c r="AU549">
        <v>0.05</v>
      </c>
      <c r="AV549">
        <v>0</v>
      </c>
    </row>
    <row r="550" spans="1:48" ht="12.75">
      <c r="A550" s="2" t="str">
        <f>HYPERLINK("https://ibp.a2mac1.com/costing(costing:projects/details/8191/equipment/6946614)","No.01 - Injection Press - 40T - 18kW - 270x270 - Max Volume 128cm3 ")</f>
        <v xml:space="preserve">No.01 - Injection Press - 40T - 18kW - 270x270 - Max Volume 128cm3 </v>
      </c>
      <c r="B550">
        <v>6946614</v>
      </c>
      <c r="C550">
        <v>6974032</v>
      </c>
      <c r="E550" t="s">
        <v>499</v>
      </c>
      <c r="H550" t="s">
        <v>136</v>
      </c>
      <c r="I550">
        <v>13574.9072</v>
      </c>
      <c r="J550">
        <v>0</v>
      </c>
      <c r="K550">
        <v>1.6020000000000001</v>
      </c>
      <c r="L550">
        <v>0</v>
      </c>
      <c r="M550">
        <v>4.4266395371263263</v>
      </c>
      <c r="N550">
        <v>0</v>
      </c>
      <c r="O550">
        <v>0.016908164523100826</v>
      </c>
      <c r="P550">
        <v>0.003945190419166667</v>
      </c>
      <c r="Q550">
        <v>0.0017728271722275795</v>
      </c>
      <c r="R550">
        <v>80000</v>
      </c>
      <c r="S550">
        <v>0</v>
      </c>
      <c r="T550">
        <v>0</v>
      </c>
      <c r="V550">
        <v>7200</v>
      </c>
      <c r="W550">
        <v>8</v>
      </c>
      <c r="X550">
        <v>85</v>
      </c>
      <c r="Y550">
        <v>3</v>
      </c>
      <c r="Z550">
        <v>4</v>
      </c>
      <c r="AA550">
        <v>5</v>
      </c>
      <c r="AB550">
        <v>0</v>
      </c>
      <c r="AC550">
        <v>0</v>
      </c>
      <c r="AD550">
        <v>0</v>
      </c>
      <c r="AE550">
        <v>0</v>
      </c>
      <c r="AF550">
        <v>0.25</v>
      </c>
      <c r="AG550">
        <v>0</v>
      </c>
      <c r="AH550">
        <v>0</v>
      </c>
      <c r="AI550">
        <v>2</v>
      </c>
      <c r="AJ550">
        <v>0</v>
      </c>
      <c r="AK550">
        <v>0</v>
      </c>
      <c r="AL550">
        <v>97</v>
      </c>
      <c r="AM550">
        <v>20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20</v>
      </c>
      <c r="AU550">
        <v>0.05</v>
      </c>
      <c r="AV550">
        <v>0</v>
      </c>
    </row>
    <row r="551" spans="1:48" ht="12.75">
      <c r="A551" s="2" t="str">
        <f>HYPERLINK("https://ibp.a2mac1.com/costing(costing:projects/details/8191/equipment/6946615)","DC machine - General")</f>
        <v>DC machine - General</v>
      </c>
      <c r="B551">
        <v>6946615</v>
      </c>
      <c r="C551">
        <v>6974035</v>
      </c>
      <c r="H551" t="s">
        <v>136</v>
      </c>
      <c r="I551">
        <v>116914.84457142858</v>
      </c>
      <c r="J551">
        <v>0</v>
      </c>
      <c r="K551">
        <v>3.60</v>
      </c>
      <c r="L551">
        <v>0</v>
      </c>
      <c r="M551">
        <v>27.497982091197134</v>
      </c>
      <c r="N551">
        <v>0</v>
      </c>
      <c r="O551">
        <v>0.19095820896664678</v>
      </c>
      <c r="P551">
        <v>0.028690833333333332</v>
      </c>
      <c r="Q551">
        <v>0.0058660831882077422</v>
      </c>
      <c r="R551">
        <v>635568</v>
      </c>
      <c r="S551">
        <v>0</v>
      </c>
      <c r="T551">
        <v>0</v>
      </c>
      <c r="V551">
        <v>10800</v>
      </c>
      <c r="W551">
        <v>7</v>
      </c>
      <c r="X551">
        <v>85</v>
      </c>
      <c r="Y551">
        <v>3</v>
      </c>
      <c r="Z551">
        <v>4</v>
      </c>
      <c r="AA551">
        <v>5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3</v>
      </c>
      <c r="AJ551">
        <v>0</v>
      </c>
      <c r="AK551">
        <v>0</v>
      </c>
      <c r="AL551">
        <v>100</v>
      </c>
      <c r="AM551">
        <v>45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100</v>
      </c>
      <c r="AU551">
        <v>0</v>
      </c>
      <c r="AV551">
        <v>0</v>
      </c>
    </row>
    <row r="552" spans="1:48" ht="12.75">
      <c r="A552" s="2" t="str">
        <f>HYPERLINK("https://ibp.a2mac1.com/costing(costing:projects/details/8191/equipment/6946616)","DC machine - General")</f>
        <v>DC machine - General</v>
      </c>
      <c r="B552">
        <v>6946616</v>
      </c>
      <c r="C552">
        <v>6974036</v>
      </c>
      <c r="H552" t="s">
        <v>136</v>
      </c>
      <c r="I552">
        <v>116914.84457142858</v>
      </c>
      <c r="J552">
        <v>0</v>
      </c>
      <c r="K552">
        <v>3.60</v>
      </c>
      <c r="L552">
        <v>0</v>
      </c>
      <c r="M552">
        <v>27.497982091197134</v>
      </c>
      <c r="N552">
        <v>0</v>
      </c>
      <c r="O552">
        <v>0.18331988060798091</v>
      </c>
      <c r="P552">
        <v>0.0275432</v>
      </c>
      <c r="Q552">
        <v>0.0058660831882077422</v>
      </c>
      <c r="R552">
        <v>635568</v>
      </c>
      <c r="S552">
        <v>0</v>
      </c>
      <c r="T552">
        <v>0</v>
      </c>
      <c r="V552">
        <v>10800</v>
      </c>
      <c r="W552">
        <v>7</v>
      </c>
      <c r="X552">
        <v>85</v>
      </c>
      <c r="Y552">
        <v>3</v>
      </c>
      <c r="Z552">
        <v>4</v>
      </c>
      <c r="AA552">
        <v>5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3</v>
      </c>
      <c r="AJ552">
        <v>0</v>
      </c>
      <c r="AK552">
        <v>0</v>
      </c>
      <c r="AL552">
        <v>100</v>
      </c>
      <c r="AM552">
        <v>45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100</v>
      </c>
      <c r="AU552">
        <v>0</v>
      </c>
      <c r="AV552">
        <v>0</v>
      </c>
    </row>
    <row r="553" spans="1:48" ht="12.75">
      <c r="A553" s="2" t="str">
        <f>HYPERLINK("https://ibp.a2mac1.com/costing(costing:projects/details/8191/equipment/6946533)","No.01 - Injection Press - 40T - 18kW - 270x270 - Max Volume 128cm3 ")</f>
        <v xml:space="preserve">No.01 - Injection Press - 40T - 18kW - 270x270 - Max Volume 128cm3 </v>
      </c>
      <c r="B553">
        <v>6946533</v>
      </c>
      <c r="C553">
        <v>6973973</v>
      </c>
      <c r="E553" t="s">
        <v>499</v>
      </c>
      <c r="H553" t="s">
        <v>136</v>
      </c>
      <c r="I553">
        <v>13574.9072</v>
      </c>
      <c r="J553">
        <v>0</v>
      </c>
      <c r="K553">
        <v>1.6020000000000001</v>
      </c>
      <c r="L553">
        <v>0</v>
      </c>
      <c r="M553">
        <v>4.4266395371263263</v>
      </c>
      <c r="N553">
        <v>0</v>
      </c>
      <c r="O553">
        <v>0.013448592022074896</v>
      </c>
      <c r="P553">
        <v>0.0031379666506249999</v>
      </c>
      <c r="Q553">
        <v>0.0017728271722275795</v>
      </c>
      <c r="R553">
        <v>80000</v>
      </c>
      <c r="S553">
        <v>0</v>
      </c>
      <c r="T553">
        <v>0</v>
      </c>
      <c r="V553">
        <v>7200</v>
      </c>
      <c r="W553">
        <v>8</v>
      </c>
      <c r="X553">
        <v>85</v>
      </c>
      <c r="Y553">
        <v>3</v>
      </c>
      <c r="Z553">
        <v>4</v>
      </c>
      <c r="AA553">
        <v>5</v>
      </c>
      <c r="AB553">
        <v>0</v>
      </c>
      <c r="AC553">
        <v>0</v>
      </c>
      <c r="AD553">
        <v>0</v>
      </c>
      <c r="AE553">
        <v>0</v>
      </c>
      <c r="AF553">
        <v>0.25</v>
      </c>
      <c r="AG553">
        <v>0</v>
      </c>
      <c r="AH553">
        <v>0</v>
      </c>
      <c r="AI553">
        <v>2</v>
      </c>
      <c r="AJ553">
        <v>0</v>
      </c>
      <c r="AK553">
        <v>0</v>
      </c>
      <c r="AL553">
        <v>97</v>
      </c>
      <c r="AM553">
        <v>20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20</v>
      </c>
      <c r="AU553">
        <v>0.05</v>
      </c>
      <c r="AV553">
        <v>0</v>
      </c>
    </row>
    <row r="554" spans="1:48" ht="12.75">
      <c r="A554" s="2" t="str">
        <f>HYPERLINK("https://ibp.a2mac1.com/costing(costing:projects/details/8191/equipment/6946688)","Equipment (Injection Molding)")</f>
        <v>Equipment (Injection Molding)</v>
      </c>
      <c r="B554">
        <v>6946688</v>
      </c>
      <c r="C554">
        <v>6974114</v>
      </c>
      <c r="H554" t="s">
        <v>136</v>
      </c>
      <c r="I554">
        <v>20976.948995999999</v>
      </c>
      <c r="J554">
        <v>0</v>
      </c>
      <c r="K554">
        <v>0.89151999999999998</v>
      </c>
      <c r="L554">
        <v>0</v>
      </c>
      <c r="M554">
        <v>5.1584677653487621</v>
      </c>
      <c r="N554">
        <v>0</v>
      </c>
      <c r="O554">
        <v>0.085974462755812706</v>
      </c>
      <c r="P554">
        <v>0.0054810967999999998</v>
      </c>
      <c r="Q554">
        <v>0.00054229595447739636</v>
      </c>
      <c r="R554">
        <v>111440</v>
      </c>
      <c r="S554">
        <v>0</v>
      </c>
      <c r="T554">
        <v>0</v>
      </c>
      <c r="V554">
        <v>1074.60</v>
      </c>
      <c r="W554">
        <v>7</v>
      </c>
      <c r="X554">
        <v>85</v>
      </c>
      <c r="Y554">
        <v>3</v>
      </c>
      <c r="Z554">
        <v>4</v>
      </c>
      <c r="AA554">
        <v>5</v>
      </c>
      <c r="AB554">
        <v>0</v>
      </c>
      <c r="AC554">
        <v>0</v>
      </c>
      <c r="AD554">
        <v>0</v>
      </c>
      <c r="AE554">
        <v>0</v>
      </c>
      <c r="AF554">
        <v>0.079600000000000004</v>
      </c>
      <c r="AG554">
        <v>0</v>
      </c>
      <c r="AH554">
        <v>0</v>
      </c>
      <c r="AI554">
        <v>2</v>
      </c>
      <c r="AJ554">
        <v>0</v>
      </c>
      <c r="AK554">
        <v>0</v>
      </c>
      <c r="AL554">
        <v>80</v>
      </c>
      <c r="AM554">
        <v>13.93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29.85</v>
      </c>
      <c r="AU554">
        <v>0</v>
      </c>
      <c r="AV554">
        <v>0</v>
      </c>
    </row>
    <row r="555" spans="1:48" ht="12.75">
      <c r="A555" s="2" t="str">
        <f>HYPERLINK("https://ibp.a2mac1.com/costing(costing:projects/details/8191/equipment/6946617)","Equipment (Injection Molding)")</f>
        <v>Equipment (Injection Molding)</v>
      </c>
      <c r="B555">
        <v>6946617</v>
      </c>
      <c r="C555">
        <v>6974037</v>
      </c>
      <c r="H555" t="s">
        <v>136</v>
      </c>
      <c r="I555">
        <v>17445.653562</v>
      </c>
      <c r="J555">
        <v>0</v>
      </c>
      <c r="K555">
        <v>0.74143999999999999</v>
      </c>
      <c r="L555">
        <v>0</v>
      </c>
      <c r="M555">
        <v>4.290082488267438</v>
      </c>
      <c r="N555">
        <v>0</v>
      </c>
      <c r="O555">
        <v>0.071501374804457299</v>
      </c>
      <c r="P555">
        <v>0.0045583995999999996</v>
      </c>
      <c r="Q555">
        <v>0.00043807032826274347</v>
      </c>
      <c r="R555">
        <v>92680</v>
      </c>
      <c r="S555">
        <v>0</v>
      </c>
      <c r="T555">
        <v>0</v>
      </c>
      <c r="V555">
        <v>893.70</v>
      </c>
      <c r="W555">
        <v>7</v>
      </c>
      <c r="X555">
        <v>85</v>
      </c>
      <c r="Y555">
        <v>3</v>
      </c>
      <c r="Z555">
        <v>4</v>
      </c>
      <c r="AA555">
        <v>5</v>
      </c>
      <c r="AB555">
        <v>0</v>
      </c>
      <c r="AC555">
        <v>0</v>
      </c>
      <c r="AD555">
        <v>0</v>
      </c>
      <c r="AE555">
        <v>0</v>
      </c>
      <c r="AF555">
        <v>0.066199999999999995</v>
      </c>
      <c r="AG555">
        <v>0</v>
      </c>
      <c r="AH555">
        <v>0</v>
      </c>
      <c r="AI555">
        <v>2</v>
      </c>
      <c r="AJ555">
        <v>0</v>
      </c>
      <c r="AK555">
        <v>0</v>
      </c>
      <c r="AL555">
        <v>80</v>
      </c>
      <c r="AM555">
        <v>11.585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24.825</v>
      </c>
      <c r="AU555">
        <v>0</v>
      </c>
      <c r="AV555">
        <v>0</v>
      </c>
    </row>
    <row r="556" spans="1:48" ht="12.75">
      <c r="A556" s="2" t="str">
        <f>HYPERLINK("https://ibp.a2mac1.com/costing(costing:projects/details/8191/equipment/6946618)","Equipment (Injection Molding)")</f>
        <v>Equipment (Injection Molding)</v>
      </c>
      <c r="B556">
        <v>6946618</v>
      </c>
      <c r="C556">
        <v>6974038</v>
      </c>
      <c r="H556" t="s">
        <v>136</v>
      </c>
      <c r="I556">
        <v>2740.7069040000001</v>
      </c>
      <c r="J556">
        <v>0</v>
      </c>
      <c r="K556">
        <v>0.11648</v>
      </c>
      <c r="L556">
        <v>0</v>
      </c>
      <c r="M556">
        <v>0.673970662809386</v>
      </c>
      <c r="N556">
        <v>0</v>
      </c>
      <c r="O556">
        <v>0.011232844380156435</v>
      </c>
      <c r="P556">
        <v>0.0007161232</v>
      </c>
      <c r="Q556">
        <v>6.0359014550973961E-05</v>
      </c>
      <c r="R556">
        <v>14560</v>
      </c>
      <c r="S556">
        <v>0</v>
      </c>
      <c r="T556">
        <v>0</v>
      </c>
      <c r="V556">
        <v>140.40</v>
      </c>
      <c r="W556">
        <v>7</v>
      </c>
      <c r="X556">
        <v>85</v>
      </c>
      <c r="Y556">
        <v>3</v>
      </c>
      <c r="Z556">
        <v>4</v>
      </c>
      <c r="AA556">
        <v>5</v>
      </c>
      <c r="AB556">
        <v>0</v>
      </c>
      <c r="AC556">
        <v>0</v>
      </c>
      <c r="AD556">
        <v>0</v>
      </c>
      <c r="AE556">
        <v>0</v>
      </c>
      <c r="AF556">
        <v>0.0104</v>
      </c>
      <c r="AG556">
        <v>0</v>
      </c>
      <c r="AH556">
        <v>0</v>
      </c>
      <c r="AI556">
        <v>2</v>
      </c>
      <c r="AJ556">
        <v>0</v>
      </c>
      <c r="AK556">
        <v>0</v>
      </c>
      <c r="AL556">
        <v>80</v>
      </c>
      <c r="AM556">
        <v>1.82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3.90</v>
      </c>
      <c r="AU556">
        <v>0</v>
      </c>
      <c r="AV556">
        <v>0</v>
      </c>
    </row>
    <row r="557" spans="1:48" ht="12.75">
      <c r="A557" s="2" t="str">
        <f>HYPERLINK("https://ibp.a2mac1.com/costing(costing:projects/details/8191/equipment/6946619)","Equipment (Injection Molding)")</f>
        <v>Equipment (Injection Molding)</v>
      </c>
      <c r="B557">
        <v>6946619</v>
      </c>
      <c r="C557">
        <v>6974039</v>
      </c>
      <c r="H557" t="s">
        <v>136</v>
      </c>
      <c r="I557">
        <v>15021.182070000001</v>
      </c>
      <c r="J557">
        <v>0</v>
      </c>
      <c r="K557">
        <v>0.63839999999999997</v>
      </c>
      <c r="L557">
        <v>0</v>
      </c>
      <c r="M557">
        <v>3.6938776711668275</v>
      </c>
      <c r="N557">
        <v>0</v>
      </c>
      <c r="O557">
        <v>0.061564627852780454</v>
      </c>
      <c r="P557">
        <v>0.0039249059999999997</v>
      </c>
      <c r="Q557">
        <v>0.00036954413713271455</v>
      </c>
      <c r="R557">
        <v>79800</v>
      </c>
      <c r="S557">
        <v>0</v>
      </c>
      <c r="T557">
        <v>0</v>
      </c>
      <c r="V557">
        <v>769.50</v>
      </c>
      <c r="W557">
        <v>7</v>
      </c>
      <c r="X557">
        <v>85</v>
      </c>
      <c r="Y557">
        <v>3</v>
      </c>
      <c r="Z557">
        <v>4</v>
      </c>
      <c r="AA557">
        <v>5</v>
      </c>
      <c r="AB557">
        <v>0</v>
      </c>
      <c r="AC557">
        <v>0</v>
      </c>
      <c r="AD557">
        <v>0</v>
      </c>
      <c r="AE557">
        <v>0</v>
      </c>
      <c r="AF557">
        <v>0.057000000000000002</v>
      </c>
      <c r="AG557">
        <v>0</v>
      </c>
      <c r="AH557">
        <v>0</v>
      </c>
      <c r="AI557">
        <v>2</v>
      </c>
      <c r="AJ557">
        <v>0</v>
      </c>
      <c r="AK557">
        <v>0</v>
      </c>
      <c r="AL557">
        <v>80</v>
      </c>
      <c r="AM557">
        <v>9.975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21.375</v>
      </c>
      <c r="AU557">
        <v>0</v>
      </c>
      <c r="AV557">
        <v>0</v>
      </c>
    </row>
    <row r="558" spans="1:48" ht="12.75">
      <c r="A558" s="2" t="str">
        <f>HYPERLINK("https://ibp.a2mac1.com/costing(costing:projects/details/8191/equipment/6946620)","Equipment (Injection Molding)")</f>
        <v>Equipment (Injection Molding)</v>
      </c>
      <c r="B558">
        <v>6946620</v>
      </c>
      <c r="C558">
        <v>6974040</v>
      </c>
      <c r="H558" t="s">
        <v>136</v>
      </c>
      <c r="I558">
        <v>15548.24109</v>
      </c>
      <c r="J558">
        <v>0</v>
      </c>
      <c r="K558">
        <v>0.66080000000000005</v>
      </c>
      <c r="L558">
        <v>0</v>
      </c>
      <c r="M558">
        <v>3.8234874140147861</v>
      </c>
      <c r="N558">
        <v>0</v>
      </c>
      <c r="O558">
        <v>0.06372479023357977</v>
      </c>
      <c r="P558">
        <v>0.0040626220000000001</v>
      </c>
      <c r="Q558">
        <v>0.00038423116742104628</v>
      </c>
      <c r="R558">
        <v>82600</v>
      </c>
      <c r="S558">
        <v>0</v>
      </c>
      <c r="T558">
        <v>0</v>
      </c>
      <c r="V558">
        <v>796.50</v>
      </c>
      <c r="W558">
        <v>7</v>
      </c>
      <c r="X558">
        <v>85</v>
      </c>
      <c r="Y558">
        <v>3</v>
      </c>
      <c r="Z558">
        <v>4</v>
      </c>
      <c r="AA558">
        <v>5</v>
      </c>
      <c r="AB558">
        <v>0</v>
      </c>
      <c r="AC558">
        <v>0</v>
      </c>
      <c r="AD558">
        <v>0</v>
      </c>
      <c r="AE558">
        <v>0</v>
      </c>
      <c r="AF558">
        <v>0.058999999999999997</v>
      </c>
      <c r="AG558">
        <v>0</v>
      </c>
      <c r="AH558">
        <v>0</v>
      </c>
      <c r="AI558">
        <v>2</v>
      </c>
      <c r="AJ558">
        <v>0</v>
      </c>
      <c r="AK558">
        <v>0</v>
      </c>
      <c r="AL558">
        <v>80</v>
      </c>
      <c r="AM558">
        <v>10.325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22.125</v>
      </c>
      <c r="AU558">
        <v>0</v>
      </c>
      <c r="AV558">
        <v>0</v>
      </c>
    </row>
    <row r="559" spans="1:48" ht="12.75">
      <c r="A559" s="2" t="str">
        <f>HYPERLINK("https://ibp.a2mac1.com/costing(costing:projects/details/8191/equipment/6946621)","Equipment (Injection Molding)")</f>
        <v>Equipment (Injection Molding)</v>
      </c>
      <c r="B559">
        <v>6946621</v>
      </c>
      <c r="C559">
        <v>6974041</v>
      </c>
      <c r="H559" t="s">
        <v>136</v>
      </c>
      <c r="I559">
        <v>24033.891312</v>
      </c>
      <c r="J559">
        <v>0</v>
      </c>
      <c r="K559">
        <v>1.0214399999999999</v>
      </c>
      <c r="L559">
        <v>0</v>
      </c>
      <c r="M559">
        <v>5.910204273866924</v>
      </c>
      <c r="N559">
        <v>0</v>
      </c>
      <c r="O559">
        <v>0.098503404564448727</v>
      </c>
      <c r="P559">
        <v>0.0062798495999999999</v>
      </c>
      <c r="Q559">
        <v>0.00063674964129974924</v>
      </c>
      <c r="R559">
        <v>127680</v>
      </c>
      <c r="S559">
        <v>0</v>
      </c>
      <c r="T559">
        <v>0</v>
      </c>
      <c r="V559">
        <v>1231.20</v>
      </c>
      <c r="W559">
        <v>7</v>
      </c>
      <c r="X559">
        <v>85</v>
      </c>
      <c r="Y559">
        <v>3</v>
      </c>
      <c r="Z559">
        <v>4</v>
      </c>
      <c r="AA559">
        <v>5</v>
      </c>
      <c r="AB559">
        <v>0</v>
      </c>
      <c r="AC559">
        <v>0</v>
      </c>
      <c r="AD559">
        <v>0</v>
      </c>
      <c r="AE559">
        <v>0</v>
      </c>
      <c r="AF559">
        <v>0.091200000000000003</v>
      </c>
      <c r="AG559">
        <v>0</v>
      </c>
      <c r="AH559">
        <v>0</v>
      </c>
      <c r="AI559">
        <v>2</v>
      </c>
      <c r="AJ559">
        <v>0</v>
      </c>
      <c r="AK559">
        <v>0</v>
      </c>
      <c r="AL559">
        <v>80</v>
      </c>
      <c r="AM559">
        <v>15.96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34.20</v>
      </c>
      <c r="AU559">
        <v>0</v>
      </c>
      <c r="AV559">
        <v>0</v>
      </c>
    </row>
    <row r="560" spans="1:48" ht="12.75">
      <c r="A560" s="2" t="str">
        <f>HYPERLINK("https://ibp.a2mac1.com/costing(costing:projects/details/8191/equipment/6946622)","Equipment (Injection Molding)")</f>
        <v>Equipment (Injection Molding)</v>
      </c>
      <c r="B560">
        <v>6946622</v>
      </c>
      <c r="C560">
        <v>6974042</v>
      </c>
      <c r="H560" t="s">
        <v>136</v>
      </c>
      <c r="I560">
        <v>2108.2360800000001</v>
      </c>
      <c r="J560">
        <v>0</v>
      </c>
      <c r="K560">
        <v>0.089599999999999999</v>
      </c>
      <c r="L560">
        <v>0</v>
      </c>
      <c r="M560">
        <v>0.51843897139183537</v>
      </c>
      <c r="N560">
        <v>0</v>
      </c>
      <c r="O560">
        <v>0.0086406495231972566</v>
      </c>
      <c r="P560">
        <v>0.00055086399999999998</v>
      </c>
      <c r="Q560">
        <v>4.6150054148505304E-05</v>
      </c>
      <c r="R560">
        <v>11200</v>
      </c>
      <c r="S560">
        <v>0</v>
      </c>
      <c r="T560">
        <v>0</v>
      </c>
      <c r="V560">
        <v>108</v>
      </c>
      <c r="W560">
        <v>7</v>
      </c>
      <c r="X560">
        <v>85</v>
      </c>
      <c r="Y560">
        <v>3</v>
      </c>
      <c r="Z560">
        <v>4</v>
      </c>
      <c r="AA560">
        <v>5</v>
      </c>
      <c r="AB560">
        <v>0</v>
      </c>
      <c r="AC560">
        <v>0</v>
      </c>
      <c r="AD560">
        <v>0</v>
      </c>
      <c r="AE560">
        <v>0</v>
      </c>
      <c r="AF560">
        <v>0.0080000000000000002</v>
      </c>
      <c r="AG560">
        <v>0</v>
      </c>
      <c r="AH560">
        <v>0</v>
      </c>
      <c r="AI560">
        <v>2</v>
      </c>
      <c r="AJ560">
        <v>0</v>
      </c>
      <c r="AK560">
        <v>0</v>
      </c>
      <c r="AL560">
        <v>80</v>
      </c>
      <c r="AM560">
        <v>1.40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3</v>
      </c>
      <c r="AU560">
        <v>0</v>
      </c>
      <c r="AV560">
        <v>0</v>
      </c>
    </row>
    <row r="561" spans="1:48" ht="12.75">
      <c r="A561" s="2" t="str">
        <f>HYPERLINK("https://ibp.a2mac1.com/costing(costing:projects/details/8191/equipment/6946623)","Equipment (Injection Molding)")</f>
        <v>Equipment (Injection Molding)</v>
      </c>
      <c r="B561">
        <v>6946623</v>
      </c>
      <c r="C561">
        <v>6974043</v>
      </c>
      <c r="H561" t="s">
        <v>136</v>
      </c>
      <c r="I561">
        <v>42902.604227999997</v>
      </c>
      <c r="J561">
        <v>0</v>
      </c>
      <c r="K561">
        <v>1.8233600000000001</v>
      </c>
      <c r="L561">
        <v>0</v>
      </c>
      <c r="M561">
        <v>10.55023306782385</v>
      </c>
      <c r="N561">
        <v>0</v>
      </c>
      <c r="O561">
        <v>0.17583721779706418</v>
      </c>
      <c r="P561">
        <v>0.0112100824</v>
      </c>
      <c r="Q561">
        <v>0.0013066182196743877</v>
      </c>
      <c r="R561">
        <v>227920</v>
      </c>
      <c r="S561">
        <v>0</v>
      </c>
      <c r="T561">
        <v>0</v>
      </c>
      <c r="V561">
        <v>2197.80</v>
      </c>
      <c r="W561">
        <v>7</v>
      </c>
      <c r="X561">
        <v>85</v>
      </c>
      <c r="Y561">
        <v>3</v>
      </c>
      <c r="Z561">
        <v>4</v>
      </c>
      <c r="AA561">
        <v>5</v>
      </c>
      <c r="AB561">
        <v>0</v>
      </c>
      <c r="AC561">
        <v>0</v>
      </c>
      <c r="AD561">
        <v>0</v>
      </c>
      <c r="AE561">
        <v>0</v>
      </c>
      <c r="AF561">
        <v>0.1628</v>
      </c>
      <c r="AG561">
        <v>0</v>
      </c>
      <c r="AH561">
        <v>0</v>
      </c>
      <c r="AI561">
        <v>2</v>
      </c>
      <c r="AJ561">
        <v>0</v>
      </c>
      <c r="AK561">
        <v>0</v>
      </c>
      <c r="AL561">
        <v>80</v>
      </c>
      <c r="AM561">
        <v>28.49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61.05</v>
      </c>
      <c r="AU561">
        <v>0</v>
      </c>
      <c r="AV561">
        <v>0</v>
      </c>
    </row>
    <row r="562" spans="1:48" ht="12.75">
      <c r="A562" s="2" t="str">
        <f>HYPERLINK("https://ibp.a2mac1.com/costing(costing:projects/details/8191/equipment/6946624)","Equipment (Injection Molding)")</f>
        <v>Equipment (Injection Molding)</v>
      </c>
      <c r="B562">
        <v>6946624</v>
      </c>
      <c r="C562">
        <v>6974044</v>
      </c>
      <c r="H562" t="s">
        <v>136</v>
      </c>
      <c r="I562">
        <v>14520.476001000001</v>
      </c>
      <c r="J562">
        <v>0</v>
      </c>
      <c r="K562">
        <v>0.61712</v>
      </c>
      <c r="L562">
        <v>0</v>
      </c>
      <c r="M562">
        <v>3.5707484154612663</v>
      </c>
      <c r="N562">
        <v>0</v>
      </c>
      <c r="O562">
        <v>0.05951247359102111</v>
      </c>
      <c r="P562">
        <v>0.0037940757999999999</v>
      </c>
      <c r="Q562">
        <v>0.00035569950428068103</v>
      </c>
      <c r="R562">
        <v>77140</v>
      </c>
      <c r="S562">
        <v>0</v>
      </c>
      <c r="T562">
        <v>0</v>
      </c>
      <c r="V562">
        <v>743.85</v>
      </c>
      <c r="W562">
        <v>7</v>
      </c>
      <c r="X562">
        <v>85</v>
      </c>
      <c r="Y562">
        <v>3</v>
      </c>
      <c r="Z562">
        <v>4</v>
      </c>
      <c r="AA562">
        <v>5</v>
      </c>
      <c r="AB562">
        <v>0</v>
      </c>
      <c r="AC562">
        <v>0</v>
      </c>
      <c r="AD562">
        <v>0</v>
      </c>
      <c r="AE562">
        <v>0</v>
      </c>
      <c r="AF562">
        <v>0.055100000000000003</v>
      </c>
      <c r="AG562">
        <v>0</v>
      </c>
      <c r="AH562">
        <v>0</v>
      </c>
      <c r="AI562">
        <v>2</v>
      </c>
      <c r="AJ562">
        <v>0</v>
      </c>
      <c r="AK562">
        <v>0</v>
      </c>
      <c r="AL562">
        <v>80</v>
      </c>
      <c r="AM562">
        <v>9.6425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20.6625</v>
      </c>
      <c r="AU562">
        <v>0</v>
      </c>
      <c r="AV562">
        <v>0</v>
      </c>
    </row>
    <row r="563" spans="1:48" ht="12.75">
      <c r="A563" s="2" t="str">
        <f>HYPERLINK("https://ibp.a2mac1.com/costing(costing:projects/details/8191/equipment/6946689)","Equipment (Injection Molding)")</f>
        <v>Equipment (Injection Molding)</v>
      </c>
      <c r="B563">
        <v>6946689</v>
      </c>
      <c r="C563">
        <v>6974115</v>
      </c>
      <c r="H563" t="s">
        <v>136</v>
      </c>
      <c r="I563">
        <v>20818.831289999998</v>
      </c>
      <c r="J563">
        <v>0</v>
      </c>
      <c r="K563">
        <v>0.88480000000000003</v>
      </c>
      <c r="L563">
        <v>0</v>
      </c>
      <c r="M563">
        <v>5.1195848424943744</v>
      </c>
      <c r="N563">
        <v>0</v>
      </c>
      <c r="O563">
        <v>0.085326414041572915</v>
      </c>
      <c r="P563">
        <v>0.0054397819999999998</v>
      </c>
      <c r="Q563">
        <v>0.00053751715257533751</v>
      </c>
      <c r="R563">
        <v>110600</v>
      </c>
      <c r="S563">
        <v>0</v>
      </c>
      <c r="T563">
        <v>0</v>
      </c>
      <c r="V563">
        <v>1066.50</v>
      </c>
      <c r="W563">
        <v>7</v>
      </c>
      <c r="X563">
        <v>85</v>
      </c>
      <c r="Y563">
        <v>3</v>
      </c>
      <c r="Z563">
        <v>4</v>
      </c>
      <c r="AA563">
        <v>5</v>
      </c>
      <c r="AB563">
        <v>0</v>
      </c>
      <c r="AC563">
        <v>0</v>
      </c>
      <c r="AD563">
        <v>0</v>
      </c>
      <c r="AE563">
        <v>0</v>
      </c>
      <c r="AF563">
        <v>0.079000000000000001</v>
      </c>
      <c r="AG563">
        <v>0</v>
      </c>
      <c r="AH563">
        <v>0</v>
      </c>
      <c r="AI563">
        <v>2</v>
      </c>
      <c r="AJ563">
        <v>0</v>
      </c>
      <c r="AK563">
        <v>0</v>
      </c>
      <c r="AL563">
        <v>80</v>
      </c>
      <c r="AM563">
        <v>13.825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29.625</v>
      </c>
      <c r="AU563">
        <v>0</v>
      </c>
      <c r="AV563">
        <v>0</v>
      </c>
    </row>
    <row r="564" spans="1:48" ht="12.75">
      <c r="A564" s="2" t="str">
        <f>HYPERLINK("https://ibp.a2mac1.com/costing(costing:projects/details/8191/equipment/6946625)","Equipment (Injection Molding)")</f>
        <v>Equipment (Injection Molding)</v>
      </c>
      <c r="B564">
        <v>6946625</v>
      </c>
      <c r="C564">
        <v>6974045</v>
      </c>
      <c r="H564" t="s">
        <v>136</v>
      </c>
      <c r="I564">
        <v>17445.653562</v>
      </c>
      <c r="J564">
        <v>0</v>
      </c>
      <c r="K564">
        <v>0.74143999999999999</v>
      </c>
      <c r="L564">
        <v>0</v>
      </c>
      <c r="M564">
        <v>4.290082488267438</v>
      </c>
      <c r="N564">
        <v>0</v>
      </c>
      <c r="O564">
        <v>0.071501374804457299</v>
      </c>
      <c r="P564">
        <v>0.0045583995999999996</v>
      </c>
      <c r="Q564">
        <v>0.00043807032826274347</v>
      </c>
      <c r="R564">
        <v>92680</v>
      </c>
      <c r="S564">
        <v>0</v>
      </c>
      <c r="T564">
        <v>0</v>
      </c>
      <c r="V564">
        <v>893.70</v>
      </c>
      <c r="W564">
        <v>7</v>
      </c>
      <c r="X564">
        <v>85</v>
      </c>
      <c r="Y564">
        <v>3</v>
      </c>
      <c r="Z564">
        <v>4</v>
      </c>
      <c r="AA564">
        <v>5</v>
      </c>
      <c r="AB564">
        <v>0</v>
      </c>
      <c r="AC564">
        <v>0</v>
      </c>
      <c r="AD564">
        <v>0</v>
      </c>
      <c r="AE564">
        <v>0</v>
      </c>
      <c r="AF564">
        <v>0.066199999999999995</v>
      </c>
      <c r="AG564">
        <v>0</v>
      </c>
      <c r="AH564">
        <v>0</v>
      </c>
      <c r="AI564">
        <v>2</v>
      </c>
      <c r="AJ564">
        <v>0</v>
      </c>
      <c r="AK564">
        <v>0</v>
      </c>
      <c r="AL564">
        <v>80</v>
      </c>
      <c r="AM564">
        <v>11.585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24.825</v>
      </c>
      <c r="AU564">
        <v>0</v>
      </c>
      <c r="AV564">
        <v>0</v>
      </c>
    </row>
    <row r="565" spans="1:48" ht="12.75">
      <c r="A565" s="2" t="str">
        <f>HYPERLINK("https://ibp.a2mac1.com/costing(costing:projects/details/8191/equipment/6946626)","Equipment (Injection Molding)")</f>
        <v>Equipment (Injection Molding)</v>
      </c>
      <c r="B565">
        <v>6946626</v>
      </c>
      <c r="C565">
        <v>6974046</v>
      </c>
      <c r="H565" t="s">
        <v>136</v>
      </c>
      <c r="I565">
        <v>2740.7069040000001</v>
      </c>
      <c r="J565">
        <v>0</v>
      </c>
      <c r="K565">
        <v>0.11648</v>
      </c>
      <c r="L565">
        <v>0</v>
      </c>
      <c r="M565">
        <v>0.673970662809386</v>
      </c>
      <c r="N565">
        <v>0</v>
      </c>
      <c r="O565">
        <v>0.011232844380156435</v>
      </c>
      <c r="P565">
        <v>0.0007161232</v>
      </c>
      <c r="Q565">
        <v>6.0359014550973961E-05</v>
      </c>
      <c r="R565">
        <v>14560</v>
      </c>
      <c r="S565">
        <v>0</v>
      </c>
      <c r="T565">
        <v>0</v>
      </c>
      <c r="V565">
        <v>140.40</v>
      </c>
      <c r="W565">
        <v>7</v>
      </c>
      <c r="X565">
        <v>85</v>
      </c>
      <c r="Y565">
        <v>3</v>
      </c>
      <c r="Z565">
        <v>4</v>
      </c>
      <c r="AA565">
        <v>5</v>
      </c>
      <c r="AB565">
        <v>0</v>
      </c>
      <c r="AC565">
        <v>0</v>
      </c>
      <c r="AD565">
        <v>0</v>
      </c>
      <c r="AE565">
        <v>0</v>
      </c>
      <c r="AF565">
        <v>0.0104</v>
      </c>
      <c r="AG565">
        <v>0</v>
      </c>
      <c r="AH565">
        <v>0</v>
      </c>
      <c r="AI565">
        <v>2</v>
      </c>
      <c r="AJ565">
        <v>0</v>
      </c>
      <c r="AK565">
        <v>0</v>
      </c>
      <c r="AL565">
        <v>80</v>
      </c>
      <c r="AM565">
        <v>1.82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3.90</v>
      </c>
      <c r="AU565">
        <v>0</v>
      </c>
      <c r="AV565">
        <v>0</v>
      </c>
    </row>
    <row r="566" spans="1:48" ht="12.75">
      <c r="A566" s="2" t="str">
        <f>HYPERLINK("https://ibp.a2mac1.com/costing(costing:projects/details/8191/equipment/6946627)","Equipment (Injection Molding)")</f>
        <v>Equipment (Injection Molding)</v>
      </c>
      <c r="B566">
        <v>6946627</v>
      </c>
      <c r="C566">
        <v>6974047</v>
      </c>
      <c r="H566" t="s">
        <v>136</v>
      </c>
      <c r="I566">
        <v>15021.182070000001</v>
      </c>
      <c r="J566">
        <v>0</v>
      </c>
      <c r="K566">
        <v>0.63839999999999997</v>
      </c>
      <c r="L566">
        <v>0</v>
      </c>
      <c r="M566">
        <v>3.6938776711668275</v>
      </c>
      <c r="N566">
        <v>0</v>
      </c>
      <c r="O566">
        <v>0.061564627852780454</v>
      </c>
      <c r="P566">
        <v>0.0039249059999999997</v>
      </c>
      <c r="Q566">
        <v>0.00036954413713271455</v>
      </c>
      <c r="R566">
        <v>79800</v>
      </c>
      <c r="S566">
        <v>0</v>
      </c>
      <c r="T566">
        <v>0</v>
      </c>
      <c r="V566">
        <v>769.50</v>
      </c>
      <c r="W566">
        <v>7</v>
      </c>
      <c r="X566">
        <v>85</v>
      </c>
      <c r="Y566">
        <v>3</v>
      </c>
      <c r="Z566">
        <v>4</v>
      </c>
      <c r="AA566">
        <v>5</v>
      </c>
      <c r="AB566">
        <v>0</v>
      </c>
      <c r="AC566">
        <v>0</v>
      </c>
      <c r="AD566">
        <v>0</v>
      </c>
      <c r="AE566">
        <v>0</v>
      </c>
      <c r="AF566">
        <v>0.057000000000000002</v>
      </c>
      <c r="AG566">
        <v>0</v>
      </c>
      <c r="AH566">
        <v>0</v>
      </c>
      <c r="AI566">
        <v>2</v>
      </c>
      <c r="AJ566">
        <v>0</v>
      </c>
      <c r="AK566">
        <v>0</v>
      </c>
      <c r="AL566">
        <v>80</v>
      </c>
      <c r="AM566">
        <v>9.975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21.375</v>
      </c>
      <c r="AU566">
        <v>0</v>
      </c>
      <c r="AV566">
        <v>0</v>
      </c>
    </row>
    <row r="567" spans="1:48" ht="12.75">
      <c r="A567" s="2" t="str">
        <f>HYPERLINK("https://ibp.a2mac1.com/costing(costing:projects/details/8191/equipment/6946628)","Equipment (Injection Molding)")</f>
        <v>Equipment (Injection Molding)</v>
      </c>
      <c r="B567">
        <v>6946628</v>
      </c>
      <c r="C567">
        <v>6974048</v>
      </c>
      <c r="H567" t="s">
        <v>136</v>
      </c>
      <c r="I567">
        <v>15548.24109</v>
      </c>
      <c r="J567">
        <v>0</v>
      </c>
      <c r="K567">
        <v>0.66080000000000005</v>
      </c>
      <c r="L567">
        <v>0</v>
      </c>
      <c r="M567">
        <v>3.8234874140147861</v>
      </c>
      <c r="N567">
        <v>0</v>
      </c>
      <c r="O567">
        <v>0.06372479023357977</v>
      </c>
      <c r="P567">
        <v>0.0040626220000000001</v>
      </c>
      <c r="Q567">
        <v>0.00038423116742104628</v>
      </c>
      <c r="R567">
        <v>82600</v>
      </c>
      <c r="S567">
        <v>0</v>
      </c>
      <c r="T567">
        <v>0</v>
      </c>
      <c r="V567">
        <v>796.50</v>
      </c>
      <c r="W567">
        <v>7</v>
      </c>
      <c r="X567">
        <v>85</v>
      </c>
      <c r="Y567">
        <v>3</v>
      </c>
      <c r="Z567">
        <v>4</v>
      </c>
      <c r="AA567">
        <v>5</v>
      </c>
      <c r="AB567">
        <v>0</v>
      </c>
      <c r="AC567">
        <v>0</v>
      </c>
      <c r="AD567">
        <v>0</v>
      </c>
      <c r="AE567">
        <v>0</v>
      </c>
      <c r="AF567">
        <v>0.058999999999999997</v>
      </c>
      <c r="AG567">
        <v>0</v>
      </c>
      <c r="AH567">
        <v>0</v>
      </c>
      <c r="AI567">
        <v>2</v>
      </c>
      <c r="AJ567">
        <v>0</v>
      </c>
      <c r="AK567">
        <v>0</v>
      </c>
      <c r="AL567">
        <v>80</v>
      </c>
      <c r="AM567">
        <v>10.325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22.125</v>
      </c>
      <c r="AU567">
        <v>0</v>
      </c>
      <c r="AV567">
        <v>0</v>
      </c>
    </row>
    <row r="568" spans="1:48" ht="12.75">
      <c r="A568" s="2" t="str">
        <f>HYPERLINK("https://ibp.a2mac1.com/costing(costing:projects/details/8191/equipment/6946629)","Equipment (Injection Molding)")</f>
        <v>Equipment (Injection Molding)</v>
      </c>
      <c r="B568">
        <v>6946629</v>
      </c>
      <c r="C568">
        <v>6974049</v>
      </c>
      <c r="H568" t="s">
        <v>136</v>
      </c>
      <c r="I568">
        <v>24244.714919999999</v>
      </c>
      <c r="J568">
        <v>0</v>
      </c>
      <c r="K568">
        <v>1.0304</v>
      </c>
      <c r="L568">
        <v>0</v>
      </c>
      <c r="M568">
        <v>5.9620481710061073</v>
      </c>
      <c r="N568">
        <v>0</v>
      </c>
      <c r="O568">
        <v>0.099367469516768461</v>
      </c>
      <c r="P568">
        <v>0.0063349360000000002</v>
      </c>
      <c r="Q568">
        <v>0.00064340833313982642</v>
      </c>
      <c r="R568">
        <v>128800</v>
      </c>
      <c r="S568">
        <v>0</v>
      </c>
      <c r="T568">
        <v>0</v>
      </c>
      <c r="V568">
        <v>1242</v>
      </c>
      <c r="W568">
        <v>7</v>
      </c>
      <c r="X568">
        <v>85</v>
      </c>
      <c r="Y568">
        <v>3</v>
      </c>
      <c r="Z568">
        <v>4</v>
      </c>
      <c r="AA568">
        <v>5</v>
      </c>
      <c r="AB568">
        <v>0</v>
      </c>
      <c r="AC568">
        <v>0</v>
      </c>
      <c r="AD568">
        <v>0</v>
      </c>
      <c r="AE568">
        <v>0</v>
      </c>
      <c r="AF568">
        <v>0.091999999999999998</v>
      </c>
      <c r="AG568">
        <v>0</v>
      </c>
      <c r="AH568">
        <v>0</v>
      </c>
      <c r="AI568">
        <v>2</v>
      </c>
      <c r="AJ568">
        <v>0</v>
      </c>
      <c r="AK568">
        <v>0</v>
      </c>
      <c r="AL568">
        <v>80</v>
      </c>
      <c r="AM568">
        <v>16.10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34.50</v>
      </c>
      <c r="AU568">
        <v>0</v>
      </c>
      <c r="AV568">
        <v>0</v>
      </c>
    </row>
    <row r="569" spans="1:48" ht="12.75">
      <c r="A569" s="2" t="str">
        <f>HYPERLINK("https://ibp.a2mac1.com/costing(costing:projects/details/8191/equipment/6946630)","Equipment (Injection Molding)")</f>
        <v>Equipment (Injection Molding)</v>
      </c>
      <c r="B569">
        <v>6946630</v>
      </c>
      <c r="C569">
        <v>6974050</v>
      </c>
      <c r="H569" t="s">
        <v>136</v>
      </c>
      <c r="I569">
        <v>2108.2360800000001</v>
      </c>
      <c r="J569">
        <v>0</v>
      </c>
      <c r="K569">
        <v>0.089599999999999999</v>
      </c>
      <c r="L569">
        <v>0</v>
      </c>
      <c r="M569">
        <v>0.51843897139183537</v>
      </c>
      <c r="N569">
        <v>0</v>
      </c>
      <c r="O569">
        <v>0.0086406495231972566</v>
      </c>
      <c r="P569">
        <v>0.00055086399999999998</v>
      </c>
      <c r="Q569">
        <v>4.6150054148505304E-05</v>
      </c>
      <c r="R569">
        <v>11200</v>
      </c>
      <c r="S569">
        <v>0</v>
      </c>
      <c r="T569">
        <v>0</v>
      </c>
      <c r="V569">
        <v>108</v>
      </c>
      <c r="W569">
        <v>7</v>
      </c>
      <c r="X569">
        <v>85</v>
      </c>
      <c r="Y569">
        <v>3</v>
      </c>
      <c r="Z569">
        <v>4</v>
      </c>
      <c r="AA569">
        <v>5</v>
      </c>
      <c r="AB569">
        <v>0</v>
      </c>
      <c r="AC569">
        <v>0</v>
      </c>
      <c r="AD569">
        <v>0</v>
      </c>
      <c r="AE569">
        <v>0</v>
      </c>
      <c r="AF569">
        <v>0.0080000000000000002</v>
      </c>
      <c r="AG569">
        <v>0</v>
      </c>
      <c r="AH569">
        <v>0</v>
      </c>
      <c r="AI569">
        <v>2</v>
      </c>
      <c r="AJ569">
        <v>0</v>
      </c>
      <c r="AK569">
        <v>0</v>
      </c>
      <c r="AL569">
        <v>80</v>
      </c>
      <c r="AM569">
        <v>1.40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3</v>
      </c>
      <c r="AU569">
        <v>0</v>
      </c>
      <c r="AV569">
        <v>0</v>
      </c>
    </row>
    <row r="570" spans="1:48" ht="12.75">
      <c r="A570" s="2" t="str">
        <f>HYPERLINK("https://ibp.a2mac1.com/costing(costing:projects/details/8191/equipment/6946631)","Equipment (Injection Molding)")</f>
        <v>Equipment (Injection Molding)</v>
      </c>
      <c r="B570">
        <v>6946631</v>
      </c>
      <c r="C570">
        <v>6974051</v>
      </c>
      <c r="H570" t="s">
        <v>136</v>
      </c>
      <c r="I570">
        <v>41953.897991999998</v>
      </c>
      <c r="J570">
        <v>0</v>
      </c>
      <c r="K570">
        <v>1.78304</v>
      </c>
      <c r="L570">
        <v>0</v>
      </c>
      <c r="M570">
        <v>10.316935530697524</v>
      </c>
      <c r="N570">
        <v>0</v>
      </c>
      <c r="O570">
        <v>0.17194892551162541</v>
      </c>
      <c r="P570">
        <v>0.0109621936</v>
      </c>
      <c r="Q570">
        <v>0.0012693682243095853</v>
      </c>
      <c r="R570">
        <v>222880</v>
      </c>
      <c r="S570">
        <v>0</v>
      </c>
      <c r="T570">
        <v>0</v>
      </c>
      <c r="V570">
        <v>2149.20</v>
      </c>
      <c r="W570">
        <v>7</v>
      </c>
      <c r="X570">
        <v>85</v>
      </c>
      <c r="Y570">
        <v>3</v>
      </c>
      <c r="Z570">
        <v>4</v>
      </c>
      <c r="AA570">
        <v>5</v>
      </c>
      <c r="AB570">
        <v>0</v>
      </c>
      <c r="AC570">
        <v>0</v>
      </c>
      <c r="AD570">
        <v>0</v>
      </c>
      <c r="AE570">
        <v>0</v>
      </c>
      <c r="AF570">
        <v>0.15920000000000001</v>
      </c>
      <c r="AG570">
        <v>0</v>
      </c>
      <c r="AH570">
        <v>0</v>
      </c>
      <c r="AI570">
        <v>2</v>
      </c>
      <c r="AJ570">
        <v>0</v>
      </c>
      <c r="AK570">
        <v>0</v>
      </c>
      <c r="AL570">
        <v>80</v>
      </c>
      <c r="AM570">
        <v>27.86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59.70</v>
      </c>
      <c r="AU570">
        <v>0</v>
      </c>
      <c r="AV570">
        <v>0</v>
      </c>
    </row>
    <row r="571" spans="1:48" ht="12.75">
      <c r="A571" s="2" t="str">
        <f>HYPERLINK("https://ibp.a2mac1.com/costing(costing:projects/details/8191/equipment/6946632)","Equipment (Injection Molding)")</f>
        <v>Equipment (Injection Molding)</v>
      </c>
      <c r="B571">
        <v>6946632</v>
      </c>
      <c r="C571">
        <v>6974052</v>
      </c>
      <c r="H571" t="s">
        <v>136</v>
      </c>
      <c r="I571">
        <v>29515.305120000001</v>
      </c>
      <c r="J571">
        <v>0</v>
      </c>
      <c r="K571">
        <v>1.2544</v>
      </c>
      <c r="L571">
        <v>0</v>
      </c>
      <c r="M571">
        <v>7.2581455994856956</v>
      </c>
      <c r="N571">
        <v>0</v>
      </c>
      <c r="O571">
        <v>0.12096909332476159</v>
      </c>
      <c r="P571">
        <v>0.0077120959999999999</v>
      </c>
      <c r="Q571">
        <v>0.00081594136510703959</v>
      </c>
      <c r="R571">
        <v>156800</v>
      </c>
      <c r="S571">
        <v>0</v>
      </c>
      <c r="T571">
        <v>0</v>
      </c>
      <c r="V571">
        <v>1512</v>
      </c>
      <c r="W571">
        <v>7</v>
      </c>
      <c r="X571">
        <v>85</v>
      </c>
      <c r="Y571">
        <v>3</v>
      </c>
      <c r="Z571">
        <v>4</v>
      </c>
      <c r="AA571">
        <v>5</v>
      </c>
      <c r="AB571">
        <v>0</v>
      </c>
      <c r="AC571">
        <v>0</v>
      </c>
      <c r="AD571">
        <v>0</v>
      </c>
      <c r="AE571">
        <v>0</v>
      </c>
      <c r="AF571">
        <v>0.112</v>
      </c>
      <c r="AG571">
        <v>0</v>
      </c>
      <c r="AH571">
        <v>0</v>
      </c>
      <c r="AI571">
        <v>2</v>
      </c>
      <c r="AJ571">
        <v>0</v>
      </c>
      <c r="AK571">
        <v>0</v>
      </c>
      <c r="AL571">
        <v>80</v>
      </c>
      <c r="AM571">
        <v>19.60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42</v>
      </c>
      <c r="AU571">
        <v>0</v>
      </c>
      <c r="AV571">
        <v>0</v>
      </c>
    </row>
    <row r="572" spans="1:48" ht="12.75">
      <c r="A572" s="2" t="str">
        <f>HYPERLINK("https://ibp.a2mac1.com/costing(costing:projects/details/8191/equipment/6946690)","DC machine - General")</f>
        <v>DC machine - General</v>
      </c>
      <c r="B572">
        <v>6946690</v>
      </c>
      <c r="C572">
        <v>6974116</v>
      </c>
      <c r="E572" t="s">
        <v>659</v>
      </c>
      <c r="H572" t="s">
        <v>136</v>
      </c>
      <c r="I572">
        <v>116914.84456431429</v>
      </c>
      <c r="J572">
        <v>0</v>
      </c>
      <c r="K572">
        <v>3.60</v>
      </c>
      <c r="L572">
        <v>0</v>
      </c>
      <c r="M572">
        <v>27.497982089732286</v>
      </c>
      <c r="N572">
        <v>0</v>
      </c>
      <c r="O572">
        <v>0.45829970149553811</v>
      </c>
      <c r="P572">
        <v>0.068858000000000003</v>
      </c>
      <c r="Q572">
        <v>0.011732166376151812</v>
      </c>
      <c r="R572">
        <v>635567.99996000004</v>
      </c>
      <c r="S572">
        <v>0</v>
      </c>
      <c r="T572">
        <v>0</v>
      </c>
      <c r="V572">
        <v>10800</v>
      </c>
      <c r="W572">
        <v>7</v>
      </c>
      <c r="X572">
        <v>85</v>
      </c>
      <c r="Y572">
        <v>3</v>
      </c>
      <c r="Z572">
        <v>4</v>
      </c>
      <c r="AA572">
        <v>5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3</v>
      </c>
      <c r="AJ572">
        <v>0</v>
      </c>
      <c r="AK572">
        <v>0</v>
      </c>
      <c r="AL572">
        <v>100</v>
      </c>
      <c r="AM572">
        <v>45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100</v>
      </c>
      <c r="AU572">
        <v>0</v>
      </c>
      <c r="AV572">
        <v>0</v>
      </c>
    </row>
    <row r="573" spans="1:48" ht="12.75">
      <c r="A573" s="2" t="str">
        <f>HYPERLINK("https://ibp.a2mac1.com/costing(costing:projects/details/8191/equipment/6946691)","Equipment (Injection Molding)")</f>
        <v>Equipment (Injection Molding)</v>
      </c>
      <c r="B573">
        <v>6946691</v>
      </c>
      <c r="C573">
        <v>6974117</v>
      </c>
      <c r="H573" t="s">
        <v>136</v>
      </c>
      <c r="I573">
        <v>33415.541868</v>
      </c>
      <c r="J573">
        <v>0</v>
      </c>
      <c r="K573">
        <v>1.4201600000000001</v>
      </c>
      <c r="L573">
        <v>0</v>
      </c>
      <c r="M573">
        <v>8.2172576965605906</v>
      </c>
      <c r="N573">
        <v>0</v>
      </c>
      <c r="O573">
        <v>0.13695429494267652</v>
      </c>
      <c r="P573">
        <v>0.0087311943999999996</v>
      </c>
      <c r="Q573">
        <v>0.00095112565648287364</v>
      </c>
      <c r="R573">
        <v>177520</v>
      </c>
      <c r="S573">
        <v>0</v>
      </c>
      <c r="T573">
        <v>0</v>
      </c>
      <c r="V573">
        <v>1711.80</v>
      </c>
      <c r="W573">
        <v>7</v>
      </c>
      <c r="X573">
        <v>85</v>
      </c>
      <c r="Y573">
        <v>3</v>
      </c>
      <c r="Z573">
        <v>4</v>
      </c>
      <c r="AA573">
        <v>5</v>
      </c>
      <c r="AB573">
        <v>0</v>
      </c>
      <c r="AC573">
        <v>0</v>
      </c>
      <c r="AD573">
        <v>0</v>
      </c>
      <c r="AE573">
        <v>0</v>
      </c>
      <c r="AF573">
        <v>0.1268</v>
      </c>
      <c r="AG573">
        <v>0</v>
      </c>
      <c r="AH573">
        <v>0</v>
      </c>
      <c r="AI573">
        <v>2</v>
      </c>
      <c r="AJ573">
        <v>0</v>
      </c>
      <c r="AK573">
        <v>0</v>
      </c>
      <c r="AL573">
        <v>80</v>
      </c>
      <c r="AM573">
        <v>22.19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47.55</v>
      </c>
      <c r="AU573">
        <v>0</v>
      </c>
      <c r="AV573">
        <v>0</v>
      </c>
    </row>
    <row r="574" spans="1:48" ht="12.75">
      <c r="A574" s="2" t="str">
        <f>HYPERLINK("https://ibp.a2mac1.com/costing(costing:projects/details/8191/equipment/6946692)","DC machine - General")</f>
        <v>DC machine - General</v>
      </c>
      <c r="B574">
        <v>6946692</v>
      </c>
      <c r="C574">
        <v>6974118</v>
      </c>
      <c r="E574" t="s">
        <v>659</v>
      </c>
      <c r="H574" t="s">
        <v>136</v>
      </c>
      <c r="I574">
        <v>116914.84456431429</v>
      </c>
      <c r="J574">
        <v>0</v>
      </c>
      <c r="K574">
        <v>3.60</v>
      </c>
      <c r="L574">
        <v>0</v>
      </c>
      <c r="M574">
        <v>27.497982089732286</v>
      </c>
      <c r="N574">
        <v>0</v>
      </c>
      <c r="O574">
        <v>0.45829970149553811</v>
      </c>
      <c r="P574">
        <v>0.068858000000000003</v>
      </c>
      <c r="Q574">
        <v>0.011732166376151812</v>
      </c>
      <c r="R574">
        <v>635567.99996000004</v>
      </c>
      <c r="S574">
        <v>0</v>
      </c>
      <c r="T574">
        <v>0</v>
      </c>
      <c r="V574">
        <v>10800</v>
      </c>
      <c r="W574">
        <v>7</v>
      </c>
      <c r="X574">
        <v>85</v>
      </c>
      <c r="Y574">
        <v>3</v>
      </c>
      <c r="Z574">
        <v>4</v>
      </c>
      <c r="AA574">
        <v>5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3</v>
      </c>
      <c r="AJ574">
        <v>0</v>
      </c>
      <c r="AK574">
        <v>0</v>
      </c>
      <c r="AL574">
        <v>100</v>
      </c>
      <c r="AM574">
        <v>45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100</v>
      </c>
      <c r="AU574">
        <v>0</v>
      </c>
      <c r="AV574">
        <v>0</v>
      </c>
    </row>
    <row r="575" spans="1:48" ht="12.75">
      <c r="A575" s="2" t="str">
        <f>HYPERLINK("https://ibp.a2mac1.com/costing(costing:projects/details/8191/equipment/6946693)","Equipment (Injection Molding)")</f>
        <v>Equipment (Injection Molding)</v>
      </c>
      <c r="B575">
        <v>6946693</v>
      </c>
      <c r="C575">
        <v>6974119</v>
      </c>
      <c r="H575" t="s">
        <v>136</v>
      </c>
      <c r="I575">
        <v>32941.188750000001</v>
      </c>
      <c r="J575">
        <v>0</v>
      </c>
      <c r="K575">
        <v>1.40</v>
      </c>
      <c r="L575">
        <v>0</v>
      </c>
      <c r="M575">
        <v>8.1006089279974276</v>
      </c>
      <c r="N575">
        <v>0</v>
      </c>
      <c r="O575">
        <v>0.13501014879995715</v>
      </c>
      <c r="P575">
        <v>0.0086072500000000003</v>
      </c>
      <c r="Q575">
        <v>0.00093434312609992772</v>
      </c>
      <c r="R575">
        <v>175000</v>
      </c>
      <c r="S575">
        <v>0</v>
      </c>
      <c r="T575">
        <v>0</v>
      </c>
      <c r="V575">
        <v>1687.50</v>
      </c>
      <c r="W575">
        <v>7</v>
      </c>
      <c r="X575">
        <v>85</v>
      </c>
      <c r="Y575">
        <v>3</v>
      </c>
      <c r="Z575">
        <v>4</v>
      </c>
      <c r="AA575">
        <v>5</v>
      </c>
      <c r="AB575">
        <v>0</v>
      </c>
      <c r="AC575">
        <v>0</v>
      </c>
      <c r="AD575">
        <v>0</v>
      </c>
      <c r="AE575">
        <v>0</v>
      </c>
      <c r="AF575">
        <v>0.125</v>
      </c>
      <c r="AG575">
        <v>0</v>
      </c>
      <c r="AH575">
        <v>0</v>
      </c>
      <c r="AI575">
        <v>2</v>
      </c>
      <c r="AJ575">
        <v>0</v>
      </c>
      <c r="AK575">
        <v>0</v>
      </c>
      <c r="AL575">
        <v>80</v>
      </c>
      <c r="AM575">
        <v>21.875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46.875</v>
      </c>
      <c r="AU575">
        <v>0</v>
      </c>
      <c r="AV575">
        <v>0</v>
      </c>
    </row>
    <row r="576" spans="1:48" ht="12.75">
      <c r="A576" s="2" t="str">
        <f>HYPERLINK("https://ibp.a2mac1.com/costing(costing:projects/details/8191/equipment/6946694)","Equipment (Injection Molding)")</f>
        <v>Equipment (Injection Molding)</v>
      </c>
      <c r="B576">
        <v>6946694</v>
      </c>
      <c r="C576">
        <v>6974120</v>
      </c>
      <c r="H576" t="s">
        <v>136</v>
      </c>
      <c r="I576">
        <v>158.117706</v>
      </c>
      <c r="J576">
        <v>0</v>
      </c>
      <c r="K576">
        <v>0.0067200000000000003</v>
      </c>
      <c r="L576">
        <v>0</v>
      </c>
      <c r="M576">
        <v>0.038882922854387658</v>
      </c>
      <c r="N576">
        <v>0</v>
      </c>
      <c r="O576">
        <v>0.00064804871423979429</v>
      </c>
      <c r="P576">
        <v>4.13148E-05</v>
      </c>
      <c r="Q576">
        <v>3.3965139945853423E-06</v>
      </c>
      <c r="R576">
        <v>840</v>
      </c>
      <c r="S576">
        <v>0</v>
      </c>
      <c r="T576">
        <v>0</v>
      </c>
      <c r="V576">
        <v>8.10</v>
      </c>
      <c r="W576">
        <v>7</v>
      </c>
      <c r="X576">
        <v>85</v>
      </c>
      <c r="Y576">
        <v>3</v>
      </c>
      <c r="Z576">
        <v>4</v>
      </c>
      <c r="AA576">
        <v>5</v>
      </c>
      <c r="AB576">
        <v>0</v>
      </c>
      <c r="AC576">
        <v>0</v>
      </c>
      <c r="AD576">
        <v>0</v>
      </c>
      <c r="AE576">
        <v>0</v>
      </c>
      <c r="AF576">
        <v>0.00059999999999999995</v>
      </c>
      <c r="AG576">
        <v>0</v>
      </c>
      <c r="AH576">
        <v>0</v>
      </c>
      <c r="AI576">
        <v>2</v>
      </c>
      <c r="AJ576">
        <v>0</v>
      </c>
      <c r="AK576">
        <v>0</v>
      </c>
      <c r="AL576">
        <v>80</v>
      </c>
      <c r="AM576">
        <v>0.105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0.225</v>
      </c>
      <c r="AU576">
        <v>0</v>
      </c>
      <c r="AV576">
        <v>0</v>
      </c>
    </row>
    <row r="577" spans="1:48" ht="12.75">
      <c r="A577" s="2" t="str">
        <f>HYPERLINK("https://ibp.a2mac1.com/costing(costing:projects/details/8191/equipment/6946695)","Equipment (Injection Molding)")</f>
        <v>Equipment (Injection Molding)</v>
      </c>
      <c r="B577">
        <v>6946695</v>
      </c>
      <c r="C577">
        <v>6974120</v>
      </c>
      <c r="H577" t="s">
        <v>136</v>
      </c>
      <c r="I577">
        <v>158.117706</v>
      </c>
      <c r="J577">
        <v>0</v>
      </c>
      <c r="K577">
        <v>0.0067200000000000003</v>
      </c>
      <c r="L577">
        <v>0</v>
      </c>
      <c r="M577">
        <v>0.038882922854387658</v>
      </c>
      <c r="N577">
        <v>0</v>
      </c>
      <c r="O577">
        <v>0.00064804871423979429</v>
      </c>
      <c r="P577">
        <v>4.13148E-05</v>
      </c>
      <c r="Q577">
        <v>3.3965139945853423E-06</v>
      </c>
      <c r="R577">
        <v>840</v>
      </c>
      <c r="S577">
        <v>0</v>
      </c>
      <c r="T577">
        <v>0</v>
      </c>
      <c r="V577">
        <v>8.10</v>
      </c>
      <c r="W577">
        <v>7</v>
      </c>
      <c r="X577">
        <v>85</v>
      </c>
      <c r="Y577">
        <v>3</v>
      </c>
      <c r="Z577">
        <v>4</v>
      </c>
      <c r="AA577">
        <v>5</v>
      </c>
      <c r="AB577">
        <v>0</v>
      </c>
      <c r="AC577">
        <v>0</v>
      </c>
      <c r="AD577">
        <v>0</v>
      </c>
      <c r="AE577">
        <v>0</v>
      </c>
      <c r="AF577">
        <v>0.00059999999999999995</v>
      </c>
      <c r="AG577">
        <v>0</v>
      </c>
      <c r="AH577">
        <v>0</v>
      </c>
      <c r="AI577">
        <v>2</v>
      </c>
      <c r="AJ577">
        <v>0</v>
      </c>
      <c r="AK577">
        <v>0</v>
      </c>
      <c r="AL577">
        <v>80</v>
      </c>
      <c r="AM577">
        <v>0.105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0.225</v>
      </c>
      <c r="AU577">
        <v>0</v>
      </c>
      <c r="AV577">
        <v>0</v>
      </c>
    </row>
    <row r="578" spans="1:48" ht="12.75">
      <c r="A578" s="2" t="str">
        <f>HYPERLINK("https://ibp.a2mac1.com/costing(costing:projects/details/8191/equipment/6946633)","Equipment (Injection Molding)")</f>
        <v>Equipment (Injection Molding)</v>
      </c>
      <c r="B578">
        <v>6946633</v>
      </c>
      <c r="C578">
        <v>6974053</v>
      </c>
      <c r="H578" t="s">
        <v>136</v>
      </c>
      <c r="I578">
        <v>46381.193760000002</v>
      </c>
      <c r="J578">
        <v>0</v>
      </c>
      <c r="K578">
        <v>1.9712000000000001</v>
      </c>
      <c r="L578">
        <v>0</v>
      </c>
      <c r="M578">
        <v>11.405657370620379</v>
      </c>
      <c r="N578">
        <v>0</v>
      </c>
      <c r="O578">
        <v>0.19009428951033966</v>
      </c>
      <c r="P578">
        <v>0.012119008000000001</v>
      </c>
      <c r="Q578">
        <v>0.0014464350398765669</v>
      </c>
      <c r="R578">
        <v>246400</v>
      </c>
      <c r="S578">
        <v>0</v>
      </c>
      <c r="T578">
        <v>0</v>
      </c>
      <c r="V578">
        <v>2376</v>
      </c>
      <c r="W578">
        <v>7</v>
      </c>
      <c r="X578">
        <v>85</v>
      </c>
      <c r="Y578">
        <v>3</v>
      </c>
      <c r="Z578">
        <v>4</v>
      </c>
      <c r="AA578">
        <v>5</v>
      </c>
      <c r="AB578">
        <v>0</v>
      </c>
      <c r="AC578">
        <v>0</v>
      </c>
      <c r="AD578">
        <v>0</v>
      </c>
      <c r="AE578">
        <v>0</v>
      </c>
      <c r="AF578">
        <v>0.17599999999999999</v>
      </c>
      <c r="AG578">
        <v>0</v>
      </c>
      <c r="AH578">
        <v>0</v>
      </c>
      <c r="AI578">
        <v>2</v>
      </c>
      <c r="AJ578">
        <v>0</v>
      </c>
      <c r="AK578">
        <v>0</v>
      </c>
      <c r="AL578">
        <v>80</v>
      </c>
      <c r="AM578">
        <v>30.80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66</v>
      </c>
      <c r="AU578">
        <v>0</v>
      </c>
      <c r="AV578">
        <v>0</v>
      </c>
    </row>
    <row r="579" spans="1:48" ht="12.75">
      <c r="A579" s="2" t="str">
        <f>HYPERLINK("https://ibp.a2mac1.com/costing(costing:projects/details/8191/equipment/6946534)","Dummy Machine (PCBA+Final Assembly Line)")</f>
        <v>Dummy Machine (PCBA+Final Assembly Line)</v>
      </c>
      <c r="B579">
        <v>6946534</v>
      </c>
      <c r="C579">
        <v>6973974</v>
      </c>
      <c r="F579" t="s">
        <v>559</v>
      </c>
      <c r="H579" t="s">
        <v>136</v>
      </c>
      <c r="I579">
        <v>79501.662769714283</v>
      </c>
      <c r="J579">
        <v>0</v>
      </c>
      <c r="K579">
        <v>0.28895999999999999</v>
      </c>
      <c r="L579">
        <v>0</v>
      </c>
      <c r="M579">
        <v>16.624578413647427</v>
      </c>
      <c r="N579">
        <v>0</v>
      </c>
      <c r="O579">
        <v>0.94667738188825623</v>
      </c>
      <c r="P579">
        <v>0.16468538333333332</v>
      </c>
      <c r="Q579">
        <v>6.889185508913073E-05</v>
      </c>
      <c r="R579">
        <v>442771.10</v>
      </c>
      <c r="S579">
        <v>0</v>
      </c>
      <c r="T579">
        <v>0</v>
      </c>
      <c r="V579">
        <v>216</v>
      </c>
      <c r="W579">
        <v>7</v>
      </c>
      <c r="X579">
        <v>85</v>
      </c>
      <c r="Y579">
        <v>3</v>
      </c>
      <c r="Z579">
        <v>4</v>
      </c>
      <c r="AA579">
        <v>5</v>
      </c>
      <c r="AB579">
        <v>0</v>
      </c>
      <c r="AC579">
        <v>0</v>
      </c>
      <c r="AD579">
        <v>0</v>
      </c>
      <c r="AE579">
        <v>0</v>
      </c>
      <c r="AF579">
        <v>0.70</v>
      </c>
      <c r="AG579">
        <v>0</v>
      </c>
      <c r="AH579">
        <v>0</v>
      </c>
      <c r="AI579">
        <v>0.20</v>
      </c>
      <c r="AJ579">
        <v>0</v>
      </c>
      <c r="AK579">
        <v>0</v>
      </c>
      <c r="AL579">
        <v>86</v>
      </c>
      <c r="AM579">
        <v>4.20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19.40</v>
      </c>
      <c r="AU579">
        <v>0</v>
      </c>
      <c r="AV579">
        <v>0</v>
      </c>
    </row>
    <row r="580" spans="1:48" ht="12.75">
      <c r="A580" s="2" t="str">
        <f>HYPERLINK("https://ibp.a2mac1.com/costing(costing:projects/details/8191/equipment/6946535)","Equipment (Injection Molding)")</f>
        <v>Equipment (Injection Molding)</v>
      </c>
      <c r="B580">
        <v>6946535</v>
      </c>
      <c r="C580">
        <v>6973975</v>
      </c>
      <c r="H580" t="s">
        <v>136</v>
      </c>
      <c r="I580">
        <v>3794.824944</v>
      </c>
      <c r="J580">
        <v>0</v>
      </c>
      <c r="K580">
        <v>0.16128000000000001</v>
      </c>
      <c r="L580">
        <v>0</v>
      </c>
      <c r="M580">
        <v>0.9331901485053038</v>
      </c>
      <c r="N580">
        <v>0</v>
      </c>
      <c r="O580">
        <v>0.015553169141755063</v>
      </c>
      <c r="P580">
        <v>0.00099155519999999994</v>
      </c>
      <c r="Q580">
        <v>8.4413891281157188E-05</v>
      </c>
      <c r="R580">
        <v>20160</v>
      </c>
      <c r="S580">
        <v>0</v>
      </c>
      <c r="T580">
        <v>0</v>
      </c>
      <c r="V580">
        <v>194.40</v>
      </c>
      <c r="W580">
        <v>7</v>
      </c>
      <c r="X580">
        <v>85</v>
      </c>
      <c r="Y580">
        <v>3</v>
      </c>
      <c r="Z580">
        <v>4</v>
      </c>
      <c r="AA580">
        <v>5</v>
      </c>
      <c r="AB580">
        <v>0</v>
      </c>
      <c r="AC580">
        <v>0</v>
      </c>
      <c r="AD580">
        <v>0</v>
      </c>
      <c r="AE580">
        <v>0</v>
      </c>
      <c r="AF580">
        <v>0.0144</v>
      </c>
      <c r="AG580">
        <v>0</v>
      </c>
      <c r="AH580">
        <v>0</v>
      </c>
      <c r="AI580">
        <v>2</v>
      </c>
      <c r="AJ580">
        <v>0</v>
      </c>
      <c r="AK580">
        <v>0</v>
      </c>
      <c r="AL580">
        <v>80</v>
      </c>
      <c r="AM580">
        <v>2.52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5.40</v>
      </c>
      <c r="AU580">
        <v>0</v>
      </c>
      <c r="AV580">
        <v>0</v>
      </c>
    </row>
    <row r="581" spans="1:48" ht="12.75">
      <c r="A581" s="2" t="str">
        <f>HYPERLINK("https://ibp.a2mac1.com/costing(costing:projects/details/8191/equipment/6946536)","DC machine - General")</f>
        <v>DC machine - General</v>
      </c>
      <c r="B581">
        <v>6946536</v>
      </c>
      <c r="C581">
        <v>6973976</v>
      </c>
      <c r="E581" t="s">
        <v>659</v>
      </c>
      <c r="H581" t="s">
        <v>136</v>
      </c>
      <c r="I581">
        <v>116914.84456431429</v>
      </c>
      <c r="J581">
        <v>0</v>
      </c>
      <c r="K581">
        <v>3.60</v>
      </c>
      <c r="L581">
        <v>0</v>
      </c>
      <c r="M581">
        <v>27.497982089732286</v>
      </c>
      <c r="N581">
        <v>0</v>
      </c>
      <c r="O581">
        <v>0.0076383283582589683</v>
      </c>
      <c r="P581">
        <v>0.0011476333333333333</v>
      </c>
      <c r="Q581">
        <v>0.011732166376151812</v>
      </c>
      <c r="R581">
        <v>635567.99996000004</v>
      </c>
      <c r="S581">
        <v>0</v>
      </c>
      <c r="T581">
        <v>0</v>
      </c>
      <c r="V581">
        <v>10800</v>
      </c>
      <c r="W581">
        <v>7</v>
      </c>
      <c r="X581">
        <v>85</v>
      </c>
      <c r="Y581">
        <v>3</v>
      </c>
      <c r="Z581">
        <v>4</v>
      </c>
      <c r="AA581">
        <v>5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3</v>
      </c>
      <c r="AJ581">
        <v>0</v>
      </c>
      <c r="AK581">
        <v>0</v>
      </c>
      <c r="AL581">
        <v>100</v>
      </c>
      <c r="AM581">
        <v>45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100</v>
      </c>
      <c r="AU581">
        <v>0</v>
      </c>
      <c r="AV581">
        <v>0</v>
      </c>
    </row>
    <row r="582" spans="1:48" ht="12.75">
      <c r="A582" s="2" t="str">
        <f>HYPERLINK("https://ibp.a2mac1.com/costing(costing:projects/details/8191/equipment/6946537)","Equipment (Injection Molding)")</f>
        <v>Equipment (Injection Molding)</v>
      </c>
      <c r="B582">
        <v>6946537</v>
      </c>
      <c r="C582">
        <v>6973977</v>
      </c>
      <c r="H582" t="s">
        <v>136</v>
      </c>
      <c r="I582">
        <v>3900.2367479999998</v>
      </c>
      <c r="J582">
        <v>0</v>
      </c>
      <c r="K582">
        <v>0.16575999999999999</v>
      </c>
      <c r="L582">
        <v>0</v>
      </c>
      <c r="M582">
        <v>0.95911209707489553</v>
      </c>
      <c r="N582">
        <v>0</v>
      </c>
      <c r="O582">
        <v>0.015985201617914925</v>
      </c>
      <c r="P582">
        <v>0.0010190984000000001</v>
      </c>
      <c r="Q582">
        <v>8.6845041683259396E-05</v>
      </c>
      <c r="R582">
        <v>20720</v>
      </c>
      <c r="S582">
        <v>0</v>
      </c>
      <c r="T582">
        <v>0</v>
      </c>
      <c r="V582">
        <v>199.80</v>
      </c>
      <c r="W582">
        <v>7</v>
      </c>
      <c r="X582">
        <v>85</v>
      </c>
      <c r="Y582">
        <v>3</v>
      </c>
      <c r="Z582">
        <v>4</v>
      </c>
      <c r="AA582">
        <v>5</v>
      </c>
      <c r="AB582">
        <v>0</v>
      </c>
      <c r="AC582">
        <v>0</v>
      </c>
      <c r="AD582">
        <v>0</v>
      </c>
      <c r="AE582">
        <v>0</v>
      </c>
      <c r="AF582">
        <v>0.014800000000000001</v>
      </c>
      <c r="AG582">
        <v>0</v>
      </c>
      <c r="AH582">
        <v>0</v>
      </c>
      <c r="AI582">
        <v>2</v>
      </c>
      <c r="AJ582">
        <v>0</v>
      </c>
      <c r="AK582">
        <v>0</v>
      </c>
      <c r="AL582">
        <v>80</v>
      </c>
      <c r="AM582">
        <v>2.59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5.55</v>
      </c>
      <c r="AU582">
        <v>0</v>
      </c>
      <c r="AV582">
        <v>0</v>
      </c>
    </row>
    <row r="583" spans="1:48" ht="12.75">
      <c r="A583" s="2" t="str">
        <f>HYPERLINK("https://ibp.a2mac1.com/costing(costing:projects/details/8191/equipment/6946538)","DC machine - General")</f>
        <v>DC machine - General</v>
      </c>
      <c r="B583">
        <v>6946538</v>
      </c>
      <c r="C583">
        <v>6973978</v>
      </c>
      <c r="H583" t="s">
        <v>136</v>
      </c>
      <c r="I583">
        <v>116914.84457142858</v>
      </c>
      <c r="J583">
        <v>0</v>
      </c>
      <c r="K583">
        <v>3.60</v>
      </c>
      <c r="L583">
        <v>0</v>
      </c>
      <c r="M583">
        <v>27.497982091197134</v>
      </c>
      <c r="N583">
        <v>0</v>
      </c>
      <c r="O583">
        <v>2.8351107749409361</v>
      </c>
      <c r="P583">
        <v>0.42596592817633333</v>
      </c>
      <c r="Q583">
        <v>0.011732166376415484</v>
      </c>
      <c r="R583">
        <v>635568</v>
      </c>
      <c r="S583">
        <v>0</v>
      </c>
      <c r="T583">
        <v>0</v>
      </c>
      <c r="V583">
        <v>10800</v>
      </c>
      <c r="W583">
        <v>7</v>
      </c>
      <c r="X583">
        <v>85</v>
      </c>
      <c r="Y583">
        <v>3</v>
      </c>
      <c r="Z583">
        <v>4</v>
      </c>
      <c r="AA583">
        <v>5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3</v>
      </c>
      <c r="AJ583">
        <v>0</v>
      </c>
      <c r="AK583">
        <v>0</v>
      </c>
      <c r="AL583">
        <v>100</v>
      </c>
      <c r="AM583">
        <v>45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100</v>
      </c>
      <c r="AU583">
        <v>0</v>
      </c>
      <c r="AV583">
        <v>0</v>
      </c>
    </row>
    <row r="584" spans="1:48" ht="12.75">
      <c r="A584" s="2" t="str">
        <f>HYPERLINK("https://ibp.a2mac1.com/costing(costing:projects/details/8191/equipment/6946696)","DC machine - General")</f>
        <v>DC machine - General</v>
      </c>
      <c r="B584">
        <v>6946696</v>
      </c>
      <c r="C584">
        <v>6974121</v>
      </c>
      <c r="H584" t="s">
        <v>136</v>
      </c>
      <c r="I584">
        <v>116914.84457142858</v>
      </c>
      <c r="J584">
        <v>0</v>
      </c>
      <c r="K584">
        <v>3.60</v>
      </c>
      <c r="L584">
        <v>0</v>
      </c>
      <c r="M584">
        <v>27.497982091197134</v>
      </c>
      <c r="N584">
        <v>0</v>
      </c>
      <c r="O584">
        <v>0.90113904452554683</v>
      </c>
      <c r="P584">
        <v>0.13539313275166667</v>
      </c>
      <c r="Q584">
        <v>0.011732166376415484</v>
      </c>
      <c r="R584">
        <v>635568</v>
      </c>
      <c r="S584">
        <v>0</v>
      </c>
      <c r="T584">
        <v>0</v>
      </c>
      <c r="V584">
        <v>10800</v>
      </c>
      <c r="W584">
        <v>7</v>
      </c>
      <c r="X584">
        <v>85</v>
      </c>
      <c r="Y584">
        <v>3</v>
      </c>
      <c r="Z584">
        <v>4</v>
      </c>
      <c r="AA584">
        <v>5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3</v>
      </c>
      <c r="AJ584">
        <v>0</v>
      </c>
      <c r="AK584">
        <v>0</v>
      </c>
      <c r="AL584">
        <v>100</v>
      </c>
      <c r="AM584">
        <v>45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100</v>
      </c>
      <c r="AU584">
        <v>0</v>
      </c>
      <c r="AV584">
        <v>0</v>
      </c>
    </row>
    <row r="585" spans="1:48" ht="12.75">
      <c r="A585" s="2" t="str">
        <f>HYPERLINK("https://ibp.a2mac1.com/costing(costing:projects/details/8191/equipment/6946697)","DC machine - General")</f>
        <v>DC machine - General</v>
      </c>
      <c r="B585">
        <v>6946697</v>
      </c>
      <c r="C585">
        <v>6974122</v>
      </c>
      <c r="H585" t="s">
        <v>136</v>
      </c>
      <c r="I585">
        <v>116914.84457142858</v>
      </c>
      <c r="J585">
        <v>0</v>
      </c>
      <c r="K585">
        <v>3.60</v>
      </c>
      <c r="L585">
        <v>0</v>
      </c>
      <c r="M585">
        <v>27.497982091197134</v>
      </c>
      <c r="N585">
        <v>0</v>
      </c>
      <c r="O585">
        <v>0.90198682259007512</v>
      </c>
      <c r="P585">
        <v>0.13552050857533332</v>
      </c>
      <c r="Q585">
        <v>0.011732166376415484</v>
      </c>
      <c r="R585">
        <v>635568</v>
      </c>
      <c r="S585">
        <v>0</v>
      </c>
      <c r="T585">
        <v>0</v>
      </c>
      <c r="V585">
        <v>10800</v>
      </c>
      <c r="W585">
        <v>7</v>
      </c>
      <c r="X585">
        <v>85</v>
      </c>
      <c r="Y585">
        <v>3</v>
      </c>
      <c r="Z585">
        <v>4</v>
      </c>
      <c r="AA585">
        <v>5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3</v>
      </c>
      <c r="AJ585">
        <v>0</v>
      </c>
      <c r="AK585">
        <v>0</v>
      </c>
      <c r="AL585">
        <v>100</v>
      </c>
      <c r="AM585">
        <v>45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100</v>
      </c>
      <c r="AU585">
        <v>0</v>
      </c>
      <c r="AV585">
        <v>0</v>
      </c>
    </row>
    <row r="586" spans="1:48" ht="12.75">
      <c r="A586" s="2" t="str">
        <f>HYPERLINK("https://ibp.a2mac1.com/costing(costing:projects/details/8191/equipment/6946698)","DC machine - General")</f>
        <v>DC machine - General</v>
      </c>
      <c r="B586">
        <v>6946698</v>
      </c>
      <c r="C586">
        <v>6974123</v>
      </c>
      <c r="H586" t="s">
        <v>136</v>
      </c>
      <c r="I586">
        <v>116914.84457142858</v>
      </c>
      <c r="J586">
        <v>0</v>
      </c>
      <c r="K586">
        <v>3.60</v>
      </c>
      <c r="L586">
        <v>0</v>
      </c>
      <c r="M586">
        <v>27.497982091197134</v>
      </c>
      <c r="N586">
        <v>0</v>
      </c>
      <c r="O586">
        <v>1.1092855546478486</v>
      </c>
      <c r="P586">
        <v>0.16666645094599999</v>
      </c>
      <c r="Q586">
        <v>0.011732166376415484</v>
      </c>
      <c r="R586">
        <v>635568</v>
      </c>
      <c r="S586">
        <v>0</v>
      </c>
      <c r="T586">
        <v>0</v>
      </c>
      <c r="V586">
        <v>10800</v>
      </c>
      <c r="W586">
        <v>7</v>
      </c>
      <c r="X586">
        <v>85</v>
      </c>
      <c r="Y586">
        <v>3</v>
      </c>
      <c r="Z586">
        <v>4</v>
      </c>
      <c r="AA586">
        <v>5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3</v>
      </c>
      <c r="AJ586">
        <v>0</v>
      </c>
      <c r="AK586">
        <v>0</v>
      </c>
      <c r="AL586">
        <v>100</v>
      </c>
      <c r="AM586">
        <v>45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100</v>
      </c>
      <c r="AU586">
        <v>0</v>
      </c>
      <c r="AV586">
        <v>0</v>
      </c>
    </row>
    <row r="587" spans="1:48" ht="12.75">
      <c r="A587" s="2" t="str">
        <f>HYPERLINK("https://ibp.a2mac1.com/costing(costing:projects/details/8191/equipment/6946699)","DC machine - General")</f>
        <v>DC machine - General</v>
      </c>
      <c r="B587">
        <v>6946699</v>
      </c>
      <c r="C587">
        <v>6974124</v>
      </c>
      <c r="H587" t="s">
        <v>136</v>
      </c>
      <c r="I587">
        <v>116914.84457142858</v>
      </c>
      <c r="J587">
        <v>0</v>
      </c>
      <c r="K587">
        <v>3.60</v>
      </c>
      <c r="L587">
        <v>0</v>
      </c>
      <c r="M587">
        <v>27.497982091197134</v>
      </c>
      <c r="N587">
        <v>0</v>
      </c>
      <c r="O587">
        <v>0.93775367704594603</v>
      </c>
      <c r="P587">
        <v>0.14089435904033334</v>
      </c>
      <c r="Q587">
        <v>0.011732166376415484</v>
      </c>
      <c r="R587">
        <v>635568</v>
      </c>
      <c r="S587">
        <v>0</v>
      </c>
      <c r="T587">
        <v>0</v>
      </c>
      <c r="V587">
        <v>10800</v>
      </c>
      <c r="W587">
        <v>7</v>
      </c>
      <c r="X587">
        <v>85</v>
      </c>
      <c r="Y587">
        <v>3</v>
      </c>
      <c r="Z587">
        <v>4</v>
      </c>
      <c r="AA587">
        <v>5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3</v>
      </c>
      <c r="AJ587">
        <v>0</v>
      </c>
      <c r="AK587">
        <v>0</v>
      </c>
      <c r="AL587">
        <v>100</v>
      </c>
      <c r="AM587">
        <v>45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100</v>
      </c>
      <c r="AU587">
        <v>0</v>
      </c>
      <c r="AV587">
        <v>0</v>
      </c>
    </row>
    <row r="588" spans="1:48" ht="12.75">
      <c r="A588" s="2" t="str">
        <f>HYPERLINK("https://ibp.a2mac1.com/costing(costing:projects/details/8191/equipment/6946634)","Equipment (Injection Molding)")</f>
        <v>Equipment (Injection Molding)</v>
      </c>
      <c r="B588">
        <v>6946634</v>
      </c>
      <c r="C588">
        <v>6974054</v>
      </c>
      <c r="H588" t="s">
        <v>136</v>
      </c>
      <c r="I588">
        <v>263.52951000000002</v>
      </c>
      <c r="J588">
        <v>0</v>
      </c>
      <c r="K588">
        <v>0.0112</v>
      </c>
      <c r="L588">
        <v>0</v>
      </c>
      <c r="M588">
        <v>0.064804871423979421</v>
      </c>
      <c r="N588">
        <v>0</v>
      </c>
      <c r="O588">
        <v>0.0010800811903996571</v>
      </c>
      <c r="P588">
        <v>6.8857999999999997E-05</v>
      </c>
      <c r="Q588">
        <v>1.4166722740175989E-06</v>
      </c>
      <c r="R588">
        <v>1400</v>
      </c>
      <c r="S588">
        <v>0</v>
      </c>
      <c r="T588">
        <v>0</v>
      </c>
      <c r="V588">
        <v>13.50</v>
      </c>
      <c r="W588">
        <v>7</v>
      </c>
      <c r="X588">
        <v>85</v>
      </c>
      <c r="Y588">
        <v>3</v>
      </c>
      <c r="Z588">
        <v>4</v>
      </c>
      <c r="AA588">
        <v>5</v>
      </c>
      <c r="AB588">
        <v>0</v>
      </c>
      <c r="AC588">
        <v>0</v>
      </c>
      <c r="AD588">
        <v>0</v>
      </c>
      <c r="AE588">
        <v>0</v>
      </c>
      <c r="AF588">
        <v>0.001</v>
      </c>
      <c r="AG588">
        <v>0</v>
      </c>
      <c r="AH588">
        <v>0</v>
      </c>
      <c r="AI588">
        <v>2</v>
      </c>
      <c r="AJ588">
        <v>0</v>
      </c>
      <c r="AK588">
        <v>0</v>
      </c>
      <c r="AL588">
        <v>80</v>
      </c>
      <c r="AM588">
        <v>0.175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0.375</v>
      </c>
      <c r="AU588">
        <v>0</v>
      </c>
      <c r="AV588">
        <v>0</v>
      </c>
    </row>
    <row r="589" spans="1:48" ht="12.75">
      <c r="A589" s="2" t="str">
        <f>HYPERLINK("https://ibp.a2mac1.com/costing(costing:projects/details/8191/equipment/6946635)","No.01 - Injection Press - 40T - 18kW - 270x270 - Max Volume 128cm3 ")</f>
        <v xml:space="preserve">No.01 - Injection Press - 40T - 18kW - 270x270 - Max Volume 128cm3 </v>
      </c>
      <c r="B589">
        <v>6946635</v>
      </c>
      <c r="C589">
        <v>6974055</v>
      </c>
      <c r="E589" t="s">
        <v>499</v>
      </c>
      <c r="H589" t="s">
        <v>136</v>
      </c>
      <c r="I589">
        <v>13574.9072</v>
      </c>
      <c r="J589">
        <v>0</v>
      </c>
      <c r="K589">
        <v>1.6020000000000001</v>
      </c>
      <c r="L589">
        <v>0</v>
      </c>
      <c r="M589">
        <v>4.4266395371263263</v>
      </c>
      <c r="N589">
        <v>0</v>
      </c>
      <c r="O589">
        <v>0.0066264242404936785</v>
      </c>
      <c r="P589">
        <v>0.0015461468565208334</v>
      </c>
      <c r="Q589">
        <v>0.0017728271722275795</v>
      </c>
      <c r="R589">
        <v>80000</v>
      </c>
      <c r="S589">
        <v>0</v>
      </c>
      <c r="T589">
        <v>0</v>
      </c>
      <c r="V589">
        <v>7200</v>
      </c>
      <c r="W589">
        <v>8</v>
      </c>
      <c r="X589">
        <v>85</v>
      </c>
      <c r="Y589">
        <v>3</v>
      </c>
      <c r="Z589">
        <v>4</v>
      </c>
      <c r="AA589">
        <v>5</v>
      </c>
      <c r="AB589">
        <v>0</v>
      </c>
      <c r="AC589">
        <v>0</v>
      </c>
      <c r="AD589">
        <v>0</v>
      </c>
      <c r="AE589">
        <v>0</v>
      </c>
      <c r="AF589">
        <v>0.25</v>
      </c>
      <c r="AG589">
        <v>0</v>
      </c>
      <c r="AH589">
        <v>0</v>
      </c>
      <c r="AI589">
        <v>2</v>
      </c>
      <c r="AJ589">
        <v>0</v>
      </c>
      <c r="AK589">
        <v>0</v>
      </c>
      <c r="AL589">
        <v>97</v>
      </c>
      <c r="AM589">
        <v>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20</v>
      </c>
      <c r="AU589">
        <v>0.05</v>
      </c>
      <c r="AV589">
        <v>0</v>
      </c>
    </row>
    <row r="590" spans="1:48" ht="12.75">
      <c r="A590" s="2" t="str">
        <f>HYPERLINK("https://ibp.a2mac1.com/costing(costing:projects/details/8191/equipment/6946636)","No.01 - Hot Forming Furnace Module ")</f>
        <v xml:space="preserve">No.01 - Hot Forming Furnace Module </v>
      </c>
      <c r="B590">
        <v>6946636</v>
      </c>
      <c r="C590">
        <v>6974056</v>
      </c>
      <c r="H590" t="s">
        <v>136</v>
      </c>
      <c r="I590">
        <v>43099.628799999999</v>
      </c>
      <c r="J590">
        <v>0</v>
      </c>
      <c r="K590">
        <v>8.984</v>
      </c>
      <c r="L590">
        <v>0</v>
      </c>
      <c r="M590">
        <v>17.919973770491804</v>
      </c>
      <c r="N590">
        <v>0</v>
      </c>
      <c r="O590">
        <v>1.7116374946721311</v>
      </c>
      <c r="P590">
        <v>0</v>
      </c>
      <c r="Q590">
        <v>0.00018288128262295081</v>
      </c>
      <c r="R590">
        <v>250000</v>
      </c>
      <c r="S590">
        <v>0</v>
      </c>
      <c r="T590">
        <v>0</v>
      </c>
      <c r="V590">
        <v>360</v>
      </c>
      <c r="W590">
        <v>8</v>
      </c>
      <c r="X590">
        <v>85</v>
      </c>
      <c r="Y590">
        <v>3</v>
      </c>
      <c r="Z590">
        <v>4</v>
      </c>
      <c r="AA590">
        <v>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97</v>
      </c>
      <c r="AM590">
        <v>90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80</v>
      </c>
      <c r="AU590">
        <v>2</v>
      </c>
      <c r="AV590">
        <v>0</v>
      </c>
    </row>
    <row r="591" spans="1:48" ht="12.75">
      <c r="A591" s="2" t="str">
        <f>HYPERLINK("https://ibp.a2mac1.com/costing(costing:projects/details/8191/equipment/6946637)","No.01 - Waterjet Cutting ")</f>
        <v xml:space="preserve">No.01 - Waterjet Cutting </v>
      </c>
      <c r="B591">
        <v>6946637</v>
      </c>
      <c r="C591">
        <v>6974057</v>
      </c>
      <c r="H591" t="s">
        <v>136</v>
      </c>
      <c r="I591">
        <v>708874.53599999996</v>
      </c>
      <c r="J591">
        <v>0</v>
      </c>
      <c r="K591">
        <v>5.52</v>
      </c>
      <c r="L591">
        <v>0</v>
      </c>
      <c r="M591">
        <v>143.55833751205401</v>
      </c>
      <c r="N591">
        <v>0</v>
      </c>
      <c r="O591">
        <v>4.8621665663204432</v>
      </c>
      <c r="P591">
        <v>0</v>
      </c>
      <c r="Q591">
        <v>0.00093671146507232398</v>
      </c>
      <c r="R591">
        <v>3000000</v>
      </c>
      <c r="S591">
        <v>0</v>
      </c>
      <c r="T591">
        <v>0</v>
      </c>
      <c r="V591">
        <v>360</v>
      </c>
      <c r="W591">
        <v>5</v>
      </c>
      <c r="X591">
        <v>85</v>
      </c>
      <c r="Y591">
        <v>3</v>
      </c>
      <c r="Z591">
        <v>4</v>
      </c>
      <c r="AA591">
        <v>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92</v>
      </c>
      <c r="AM591">
        <v>75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100</v>
      </c>
      <c r="AU591">
        <v>0</v>
      </c>
      <c r="AV591">
        <v>0</v>
      </c>
    </row>
    <row r="592" spans="1:48" ht="12.75">
      <c r="A592" s="2" t="str">
        <f>HYPERLINK("https://ibp.a2mac1.com/costing(costing:projects/details/8191/equipment/6946638)","Gluing equipment")</f>
        <v>Gluing equipment</v>
      </c>
      <c r="B592">
        <v>6946638</v>
      </c>
      <c r="C592">
        <v>6974058</v>
      </c>
      <c r="H592" t="s">
        <v>136</v>
      </c>
      <c r="I592">
        <v>16517.268</v>
      </c>
      <c r="J592">
        <v>0</v>
      </c>
      <c r="K592">
        <v>0.0016000000000000001</v>
      </c>
      <c r="L592">
        <v>0</v>
      </c>
      <c r="M592">
        <v>3.3284469945355193</v>
      </c>
      <c r="N592">
        <v>0</v>
      </c>
      <c r="O592">
        <v>0.083211174863387985</v>
      </c>
      <c r="P592">
        <v>0.025821750000000001</v>
      </c>
      <c r="Q592">
        <v>7.9443434972677592E-05</v>
      </c>
      <c r="R592">
        <v>108000</v>
      </c>
      <c r="S592">
        <v>0</v>
      </c>
      <c r="T592">
        <v>0</v>
      </c>
      <c r="V592">
        <v>300</v>
      </c>
      <c r="W592">
        <v>10</v>
      </c>
      <c r="X592">
        <v>90</v>
      </c>
      <c r="Y592">
        <v>3</v>
      </c>
      <c r="Z592">
        <v>4</v>
      </c>
      <c r="AA592">
        <v>5</v>
      </c>
      <c r="AB592">
        <v>0</v>
      </c>
      <c r="AC592">
        <v>0</v>
      </c>
      <c r="AD592">
        <v>0</v>
      </c>
      <c r="AE592">
        <v>0</v>
      </c>
      <c r="AF592">
        <v>0.25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100</v>
      </c>
      <c r="AM592">
        <v>0.02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50</v>
      </c>
      <c r="AU592">
        <v>0</v>
      </c>
      <c r="AV592">
        <v>0</v>
      </c>
    </row>
    <row r="593" spans="1:48" ht="12.75">
      <c r="A593" s="2" t="str">
        <f>HYPERLINK("https://ibp.a2mac1.com/costing(costing:projects/details/8191/equipment/6946662)","Assembly Station with additional equipment ")</f>
        <v xml:space="preserve">Assembly Station with additional equipment </v>
      </c>
      <c r="B593">
        <v>6946662</v>
      </c>
      <c r="C593">
        <v>6974059</v>
      </c>
      <c r="H593" t="s">
        <v>136</v>
      </c>
      <c r="I593">
        <v>11833.789371428571</v>
      </c>
      <c r="J593">
        <v>0</v>
      </c>
      <c r="K593">
        <v>0.24</v>
      </c>
      <c r="L593">
        <v>0</v>
      </c>
      <c r="M593">
        <v>2.6240870092299216</v>
      </c>
      <c r="N593">
        <v>0</v>
      </c>
      <c r="O593">
        <v>0.043734783487165356</v>
      </c>
      <c r="P593">
        <v>0.068858000000000003</v>
      </c>
      <c r="Q593">
        <v>0.00045552981027689764</v>
      </c>
      <c r="R593">
        <v>60000</v>
      </c>
      <c r="S593">
        <v>0</v>
      </c>
      <c r="T593">
        <v>0</v>
      </c>
      <c r="V593">
        <v>1800</v>
      </c>
      <c r="W593">
        <v>7</v>
      </c>
      <c r="X593">
        <v>85</v>
      </c>
      <c r="Y593">
        <v>3</v>
      </c>
      <c r="Z593">
        <v>4</v>
      </c>
      <c r="AA593">
        <v>5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100</v>
      </c>
      <c r="AM593">
        <v>3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30</v>
      </c>
      <c r="AU593">
        <v>0</v>
      </c>
      <c r="AV593">
        <v>0</v>
      </c>
    </row>
    <row r="594" spans="1:48" ht="12.75">
      <c r="A594" s="2" t="str">
        <f>HYPERLINK("https://ibp.a2mac1.com/costing(costing:projects/details/8191/equipment/6946663)","Packaging")</f>
        <v>Packaging</v>
      </c>
      <c r="B594">
        <v>6946663</v>
      </c>
      <c r="C594">
        <v>6974060</v>
      </c>
      <c r="H594" t="s">
        <v>136</v>
      </c>
      <c r="I594">
        <v>4437.4535999999998</v>
      </c>
      <c r="J594">
        <v>0</v>
      </c>
      <c r="K594">
        <v>0.08</v>
      </c>
      <c r="L594">
        <v>0</v>
      </c>
      <c r="M594">
        <v>1.0342676952748313</v>
      </c>
      <c r="N594">
        <v>0</v>
      </c>
      <c r="O594">
        <v>0.0028729658202078646</v>
      </c>
      <c r="P594">
        <v>0.011476333333333333</v>
      </c>
      <c r="Q594">
        <v>1.5514015429122468E-05</v>
      </c>
      <c r="R594">
        <v>30000</v>
      </c>
      <c r="S594">
        <v>0</v>
      </c>
      <c r="T594">
        <v>0</v>
      </c>
      <c r="V594">
        <v>900</v>
      </c>
      <c r="W594">
        <v>10</v>
      </c>
      <c r="X594">
        <v>85</v>
      </c>
      <c r="Y594">
        <v>3</v>
      </c>
      <c r="Z594">
        <v>4</v>
      </c>
      <c r="AA594">
        <v>5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50</v>
      </c>
      <c r="AM594">
        <v>2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10</v>
      </c>
      <c r="AU594">
        <v>0</v>
      </c>
      <c r="AV594">
        <v>0</v>
      </c>
    </row>
    <row r="595" spans="1:48" ht="12.75">
      <c r="A595" s="2" t="str">
        <f>HYPERLINK("https://ibp.a2mac1.com/costing(costing:projects/details/8191/equipment/6946700)","DC machine - General")</f>
        <v>DC machine - General</v>
      </c>
      <c r="B595">
        <v>6946700</v>
      </c>
      <c r="C595">
        <v>6974125</v>
      </c>
      <c r="E595" t="s">
        <v>659</v>
      </c>
      <c r="H595" t="s">
        <v>136</v>
      </c>
      <c r="I595">
        <v>116914.84457142858</v>
      </c>
      <c r="J595">
        <v>0</v>
      </c>
      <c r="K595">
        <v>3.60</v>
      </c>
      <c r="L595">
        <v>0</v>
      </c>
      <c r="M595">
        <v>27.497982091197134</v>
      </c>
      <c r="N595">
        <v>0</v>
      </c>
      <c r="O595">
        <v>2.1081786269917804</v>
      </c>
      <c r="P595">
        <v>0.3167468</v>
      </c>
      <c r="Q595">
        <v>0.011732166376415484</v>
      </c>
      <c r="R595">
        <v>635568</v>
      </c>
      <c r="S595">
        <v>0</v>
      </c>
      <c r="T595">
        <v>0</v>
      </c>
      <c r="V595">
        <v>10800</v>
      </c>
      <c r="W595">
        <v>7</v>
      </c>
      <c r="X595">
        <v>85</v>
      </c>
      <c r="Y595">
        <v>3</v>
      </c>
      <c r="Z595">
        <v>4</v>
      </c>
      <c r="AA595">
        <v>5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3</v>
      </c>
      <c r="AJ595">
        <v>0</v>
      </c>
      <c r="AK595">
        <v>0</v>
      </c>
      <c r="AL595">
        <v>100</v>
      </c>
      <c r="AM595">
        <v>45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100</v>
      </c>
      <c r="AU595">
        <v>0</v>
      </c>
      <c r="AV595">
        <v>0</v>
      </c>
    </row>
    <row r="596" spans="1:48" ht="12.75">
      <c r="A596" s="2" t="str">
        <f>HYPERLINK("https://ibp.a2mac1.com/costing(costing:projects/details/8191/equipment/6946701)","No.12 - Injection Press - 800T - 160kW - 1120x1120 - Max Volume 5374cm3 ")</f>
        <v xml:space="preserve">No.12 - Injection Press - 800T - 160kW - 1120x1120 - Max Volume 5374cm3 </v>
      </c>
      <c r="B596">
        <v>6946701</v>
      </c>
      <c r="C596">
        <v>6974126</v>
      </c>
      <c r="E596" t="s">
        <v>499</v>
      </c>
      <c r="H596" t="s">
        <v>136</v>
      </c>
      <c r="I596">
        <v>84939.331839999999</v>
      </c>
      <c r="J596">
        <v>0</v>
      </c>
      <c r="K596">
        <v>5.4992000000000001</v>
      </c>
      <c r="L596">
        <v>0</v>
      </c>
      <c r="M596">
        <v>23.136508235294119</v>
      </c>
      <c r="N596">
        <v>0</v>
      </c>
      <c r="O596">
        <v>0.22731471524596078</v>
      </c>
      <c r="P596">
        <v>0.020295763522166665</v>
      </c>
      <c r="Q596">
        <v>0.014596134776470588</v>
      </c>
      <c r="R596">
        <v>496000</v>
      </c>
      <c r="S596">
        <v>0</v>
      </c>
      <c r="T596">
        <v>0</v>
      </c>
      <c r="V596">
        <v>14400</v>
      </c>
      <c r="W596">
        <v>8</v>
      </c>
      <c r="X596">
        <v>85</v>
      </c>
      <c r="Y596">
        <v>3</v>
      </c>
      <c r="Z596">
        <v>4</v>
      </c>
      <c r="AA596">
        <v>5</v>
      </c>
      <c r="AB596">
        <v>0</v>
      </c>
      <c r="AC596">
        <v>0</v>
      </c>
      <c r="AD596">
        <v>0</v>
      </c>
      <c r="AE596">
        <v>0</v>
      </c>
      <c r="AF596">
        <v>0.50</v>
      </c>
      <c r="AG596">
        <v>0</v>
      </c>
      <c r="AH596">
        <v>0</v>
      </c>
      <c r="AI596">
        <v>3</v>
      </c>
      <c r="AJ596">
        <v>0</v>
      </c>
      <c r="AK596">
        <v>0</v>
      </c>
      <c r="AL596">
        <v>92</v>
      </c>
      <c r="AM596">
        <v>72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144</v>
      </c>
      <c r="AU596">
        <v>0.20</v>
      </c>
      <c r="AV596">
        <v>0</v>
      </c>
    </row>
    <row r="597" spans="1:48" ht="12.75">
      <c r="A597" s="2" t="str">
        <f>HYPERLINK("https://ibp.a2mac1.com/costing(costing:projects/details/8191/equipment/6946702)","No.12 - Injection Press - 800T - 160kW - 1120x1120 - Max Volume 5374cm3 ")</f>
        <v xml:space="preserve">No.12 - Injection Press - 800T - 160kW - 1120x1120 - Max Volume 5374cm3 </v>
      </c>
      <c r="B597">
        <v>6946702</v>
      </c>
      <c r="C597">
        <v>6974127</v>
      </c>
      <c r="E597" t="s">
        <v>499</v>
      </c>
      <c r="H597" t="s">
        <v>136</v>
      </c>
      <c r="I597">
        <v>84939.331839999999</v>
      </c>
      <c r="J597">
        <v>0</v>
      </c>
      <c r="K597">
        <v>5.4992000000000001</v>
      </c>
      <c r="L597">
        <v>0</v>
      </c>
      <c r="M597">
        <v>23.136508235294119</v>
      </c>
      <c r="N597">
        <v>0</v>
      </c>
      <c r="O597">
        <v>0.22731053782086275</v>
      </c>
      <c r="P597">
        <v>0.020295390541333332</v>
      </c>
      <c r="Q597">
        <v>0.014596134776470588</v>
      </c>
      <c r="R597">
        <v>496000</v>
      </c>
      <c r="S597">
        <v>0</v>
      </c>
      <c r="T597">
        <v>0</v>
      </c>
      <c r="V597">
        <v>14400</v>
      </c>
      <c r="W597">
        <v>8</v>
      </c>
      <c r="X597">
        <v>85</v>
      </c>
      <c r="Y597">
        <v>3</v>
      </c>
      <c r="Z597">
        <v>4</v>
      </c>
      <c r="AA597">
        <v>5</v>
      </c>
      <c r="AB597">
        <v>0</v>
      </c>
      <c r="AC597">
        <v>0</v>
      </c>
      <c r="AD597">
        <v>0</v>
      </c>
      <c r="AE597">
        <v>0</v>
      </c>
      <c r="AF597">
        <v>0.50</v>
      </c>
      <c r="AG597">
        <v>0</v>
      </c>
      <c r="AH597">
        <v>0</v>
      </c>
      <c r="AI597">
        <v>3</v>
      </c>
      <c r="AJ597">
        <v>0</v>
      </c>
      <c r="AK597">
        <v>0</v>
      </c>
      <c r="AL597">
        <v>92</v>
      </c>
      <c r="AM597">
        <v>72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144</v>
      </c>
      <c r="AU597">
        <v>0.20</v>
      </c>
      <c r="AV597">
        <v>0</v>
      </c>
    </row>
    <row r="598" spans="1:48" ht="12.75">
      <c r="A598" s="2" t="str">
        <f>HYPERLINK("https://ibp.a2mac1.com/costing(costing:projects/details/8191/equipment/6946703)","Packaging")</f>
        <v>Packaging</v>
      </c>
      <c r="B598">
        <v>6946703</v>
      </c>
      <c r="C598">
        <v>6974128</v>
      </c>
      <c r="H598" t="s">
        <v>136</v>
      </c>
      <c r="I598">
        <v>4437.4535999999998</v>
      </c>
      <c r="J598">
        <v>0</v>
      </c>
      <c r="K598">
        <v>0.08</v>
      </c>
      <c r="L598">
        <v>0</v>
      </c>
      <c r="M598">
        <v>1.0342676952748313</v>
      </c>
      <c r="N598">
        <v>0</v>
      </c>
      <c r="O598">
        <v>0.0028729658202078646</v>
      </c>
      <c r="P598">
        <v>0.011476333333333333</v>
      </c>
      <c r="Q598">
        <v>1.5514015429122468E-05</v>
      </c>
      <c r="R598">
        <v>30000</v>
      </c>
      <c r="S598">
        <v>0</v>
      </c>
      <c r="T598">
        <v>0</v>
      </c>
      <c r="V598">
        <v>900</v>
      </c>
      <c r="W598">
        <v>10</v>
      </c>
      <c r="X598">
        <v>85</v>
      </c>
      <c r="Y598">
        <v>3</v>
      </c>
      <c r="Z598">
        <v>4</v>
      </c>
      <c r="AA598">
        <v>5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50</v>
      </c>
      <c r="AM598">
        <v>2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10</v>
      </c>
      <c r="AU598">
        <v>0</v>
      </c>
      <c r="AV598">
        <v>0</v>
      </c>
    </row>
    <row r="599" spans="1:48" ht="12.75">
      <c r="A599" s="2" t="str">
        <f>HYPERLINK("https://ibp.a2mac1.com/costing(costing:projects/details/8191/equipment/6946704)","No.03 - Injection Press - 80T - 30kW - 370x370 - Max Volume 260cm3 ")</f>
        <v xml:space="preserve">No.03 - Injection Press - 80T - 30kW - 370x370 - Max Volume 260cm3 </v>
      </c>
      <c r="B599">
        <v>6946704</v>
      </c>
      <c r="C599">
        <v>6974129</v>
      </c>
      <c r="E599" t="s">
        <v>499</v>
      </c>
      <c r="H599" t="s">
        <v>136</v>
      </c>
      <c r="I599">
        <v>19639.85152</v>
      </c>
      <c r="J599">
        <v>0</v>
      </c>
      <c r="K599">
        <v>2.1332</v>
      </c>
      <c r="L599">
        <v>0</v>
      </c>
      <c r="M599">
        <v>6.2138575891996144</v>
      </c>
      <c r="N599">
        <v>0</v>
      </c>
      <c r="O599">
        <v>0.033688515223423338</v>
      </c>
      <c r="P599">
        <v>0.0055997190504166669</v>
      </c>
      <c r="Q599">
        <v>0.0037601205107039536</v>
      </c>
      <c r="R599">
        <v>115000</v>
      </c>
      <c r="S599">
        <v>0</v>
      </c>
      <c r="T599">
        <v>0</v>
      </c>
      <c r="V599">
        <v>7200</v>
      </c>
      <c r="W599">
        <v>8</v>
      </c>
      <c r="X599">
        <v>85</v>
      </c>
      <c r="Y599">
        <v>3</v>
      </c>
      <c r="Z599">
        <v>4</v>
      </c>
      <c r="AA599">
        <v>5</v>
      </c>
      <c r="AB599">
        <v>0</v>
      </c>
      <c r="AC599">
        <v>0</v>
      </c>
      <c r="AD599">
        <v>0</v>
      </c>
      <c r="AE599">
        <v>0</v>
      </c>
      <c r="AF599">
        <v>0.25</v>
      </c>
      <c r="AG599">
        <v>0</v>
      </c>
      <c r="AH599">
        <v>0</v>
      </c>
      <c r="AI599">
        <v>2</v>
      </c>
      <c r="AJ599">
        <v>0</v>
      </c>
      <c r="AK599">
        <v>0</v>
      </c>
      <c r="AL599">
        <v>93</v>
      </c>
      <c r="AM599">
        <v>28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32</v>
      </c>
      <c r="AU599">
        <v>0.05</v>
      </c>
      <c r="AV599">
        <v>0</v>
      </c>
    </row>
    <row r="600" spans="1:48" ht="12.75">
      <c r="A600" s="2" t="str">
        <f>HYPERLINK("https://ibp.a2mac1.com/costing(costing:projects/details/8191/equipment/6946705)","Packaging")</f>
        <v>Packaging</v>
      </c>
      <c r="B600">
        <v>6946705</v>
      </c>
      <c r="C600">
        <v>6974130</v>
      </c>
      <c r="H600" t="s">
        <v>136</v>
      </c>
      <c r="I600">
        <v>4437.4535999999998</v>
      </c>
      <c r="J600">
        <v>0</v>
      </c>
      <c r="K600">
        <v>0.08</v>
      </c>
      <c r="L600">
        <v>0</v>
      </c>
      <c r="M600">
        <v>1.0342676952748313</v>
      </c>
      <c r="N600">
        <v>0</v>
      </c>
      <c r="O600">
        <v>0.0028729658202078646</v>
      </c>
      <c r="P600">
        <v>0.011476333333333333</v>
      </c>
      <c r="Q600">
        <v>1.5514015429122468E-05</v>
      </c>
      <c r="R600">
        <v>30000</v>
      </c>
      <c r="S600">
        <v>0</v>
      </c>
      <c r="T600">
        <v>0</v>
      </c>
      <c r="V600">
        <v>900</v>
      </c>
      <c r="W600">
        <v>10</v>
      </c>
      <c r="X600">
        <v>85</v>
      </c>
      <c r="Y600">
        <v>3</v>
      </c>
      <c r="Z600">
        <v>4</v>
      </c>
      <c r="AA600">
        <v>5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50</v>
      </c>
      <c r="AM600">
        <v>2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10</v>
      </c>
      <c r="AU600">
        <v>0</v>
      </c>
      <c r="AV600">
        <v>0</v>
      </c>
    </row>
    <row r="601" spans="1:48" ht="12.75">
      <c r="A601" s="2" t="str">
        <f>HYPERLINK("https://ibp.a2mac1.com/costing(costing:projects/details/8191/equipment/6946706)","No.02 - Injection Press - 60T - 25kW - 320x320 - Max Volume 164cm3 ")</f>
        <v xml:space="preserve">No.02 - Injection Press - 60T - 25kW - 320x320 - Max Volume 164cm3 </v>
      </c>
      <c r="B601">
        <v>6946706</v>
      </c>
      <c r="C601">
        <v>6974131</v>
      </c>
      <c r="E601" t="s">
        <v>499</v>
      </c>
      <c r="H601" t="s">
        <v>136</v>
      </c>
      <c r="I601">
        <v>16929.888640000001</v>
      </c>
      <c r="J601">
        <v>0</v>
      </c>
      <c r="K601">
        <v>1.9124000000000001</v>
      </c>
      <c r="L601">
        <v>0</v>
      </c>
      <c r="M601">
        <v>5.4369722661523623</v>
      </c>
      <c r="N601">
        <v>0</v>
      </c>
      <c r="O601">
        <v>0.025773740487184185</v>
      </c>
      <c r="P601">
        <v>0.0048962771987500001</v>
      </c>
      <c r="Q601">
        <v>0.0036668942719382835</v>
      </c>
      <c r="R601">
        <v>100000</v>
      </c>
      <c r="S601">
        <v>0</v>
      </c>
      <c r="T601">
        <v>0</v>
      </c>
      <c r="V601">
        <v>7200</v>
      </c>
      <c r="W601">
        <v>8</v>
      </c>
      <c r="X601">
        <v>85</v>
      </c>
      <c r="Y601">
        <v>3</v>
      </c>
      <c r="Z601">
        <v>4</v>
      </c>
      <c r="AA601">
        <v>5</v>
      </c>
      <c r="AB601">
        <v>0</v>
      </c>
      <c r="AC601">
        <v>0</v>
      </c>
      <c r="AD601">
        <v>0</v>
      </c>
      <c r="AE601">
        <v>0</v>
      </c>
      <c r="AF601">
        <v>0.25</v>
      </c>
      <c r="AG601">
        <v>0</v>
      </c>
      <c r="AH601">
        <v>0</v>
      </c>
      <c r="AI601">
        <v>2</v>
      </c>
      <c r="AJ601">
        <v>0</v>
      </c>
      <c r="AK601">
        <v>0</v>
      </c>
      <c r="AL601">
        <v>97</v>
      </c>
      <c r="AM601">
        <v>24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24</v>
      </c>
      <c r="AU601">
        <v>0.05</v>
      </c>
      <c r="AV601">
        <v>0</v>
      </c>
    </row>
    <row r="602" spans="1:48" ht="12.75">
      <c r="A602" s="2" t="str">
        <f>HYPERLINK("https://ibp.a2mac1.com/costing(costing:projects/details/8191/equipment/6946664)","DC machine - General")</f>
        <v>DC machine - General</v>
      </c>
      <c r="B602">
        <v>6946664</v>
      </c>
      <c r="C602">
        <v>6974061</v>
      </c>
      <c r="E602" t="s">
        <v>659</v>
      </c>
      <c r="H602" t="s">
        <v>136</v>
      </c>
      <c r="I602">
        <v>116914.84457142858</v>
      </c>
      <c r="J602">
        <v>0</v>
      </c>
      <c r="K602">
        <v>3.60</v>
      </c>
      <c r="L602">
        <v>0</v>
      </c>
      <c r="M602">
        <v>27.497982091197134</v>
      </c>
      <c r="N602">
        <v>0</v>
      </c>
      <c r="O602">
        <v>2.1081786269917804</v>
      </c>
      <c r="P602">
        <v>0.3167468</v>
      </c>
      <c r="Q602">
        <v>0.011732166376415484</v>
      </c>
      <c r="R602">
        <v>635568</v>
      </c>
      <c r="S602">
        <v>0</v>
      </c>
      <c r="T602">
        <v>0</v>
      </c>
      <c r="V602">
        <v>10800</v>
      </c>
      <c r="W602">
        <v>7</v>
      </c>
      <c r="X602">
        <v>85</v>
      </c>
      <c r="Y602">
        <v>3</v>
      </c>
      <c r="Z602">
        <v>4</v>
      </c>
      <c r="AA602">
        <v>5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3</v>
      </c>
      <c r="AJ602">
        <v>0</v>
      </c>
      <c r="AK602">
        <v>0</v>
      </c>
      <c r="AL602">
        <v>100</v>
      </c>
      <c r="AM602">
        <v>45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100</v>
      </c>
      <c r="AU602">
        <v>0</v>
      </c>
      <c r="AV602">
        <v>0</v>
      </c>
    </row>
    <row r="603" spans="1:48" ht="12.75">
      <c r="A603" s="2" t="str">
        <f>HYPERLINK("https://ibp.a2mac1.com/costing(costing:projects/details/8191/equipment/6946539)","No.01 - Injection Press - 40T - 18kW - 270x270 - Max Volume 128cm3 ")</f>
        <v xml:space="preserve">No.01 - Injection Press - 40T - 18kW - 270x270 - Max Volume 128cm3 </v>
      </c>
      <c r="B603">
        <v>6946539</v>
      </c>
      <c r="C603">
        <v>6973979</v>
      </c>
      <c r="E603" t="s">
        <v>499</v>
      </c>
      <c r="H603" t="s">
        <v>136</v>
      </c>
      <c r="I603">
        <v>13574.9072</v>
      </c>
      <c r="J603">
        <v>0</v>
      </c>
      <c r="K603">
        <v>1.6020000000000001</v>
      </c>
      <c r="L603">
        <v>0</v>
      </c>
      <c r="M603">
        <v>4.4266395371263263</v>
      </c>
      <c r="N603">
        <v>0</v>
      </c>
      <c r="O603">
        <v>0.024207287344531234</v>
      </c>
      <c r="P603">
        <v>0.0056482983694166669</v>
      </c>
      <c r="Q603">
        <v>0.0035456543444551589</v>
      </c>
      <c r="R603">
        <v>80000</v>
      </c>
      <c r="S603">
        <v>0</v>
      </c>
      <c r="T603">
        <v>0</v>
      </c>
      <c r="V603">
        <v>7200</v>
      </c>
      <c r="W603">
        <v>8</v>
      </c>
      <c r="X603">
        <v>85</v>
      </c>
      <c r="Y603">
        <v>3</v>
      </c>
      <c r="Z603">
        <v>4</v>
      </c>
      <c r="AA603">
        <v>5</v>
      </c>
      <c r="AB603">
        <v>0</v>
      </c>
      <c r="AC603">
        <v>0</v>
      </c>
      <c r="AD603">
        <v>0</v>
      </c>
      <c r="AE603">
        <v>0</v>
      </c>
      <c r="AF603">
        <v>0.25</v>
      </c>
      <c r="AG603">
        <v>0</v>
      </c>
      <c r="AH603">
        <v>0</v>
      </c>
      <c r="AI603">
        <v>2</v>
      </c>
      <c r="AJ603">
        <v>0</v>
      </c>
      <c r="AK603">
        <v>0</v>
      </c>
      <c r="AL603">
        <v>97</v>
      </c>
      <c r="AM603">
        <v>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20</v>
      </c>
      <c r="AU603">
        <v>0.05</v>
      </c>
      <c r="AV603">
        <v>0</v>
      </c>
    </row>
    <row r="604" spans="1:48" ht="12.75">
      <c r="A604" s="2" t="str">
        <f>HYPERLINK("https://ibp.a2mac1.com/costing(costing:projects/details/8191/equipment/6946540)","EPP-EPS Press No. 03 - 1400x1000")</f>
        <v>EPP-EPS Press No. 03 - 1400x1000</v>
      </c>
      <c r="B604">
        <v>6946540</v>
      </c>
      <c r="C604">
        <v>6973980</v>
      </c>
      <c r="E604" t="s">
        <v>9</v>
      </c>
      <c r="F604" t="s">
        <v>9</v>
      </c>
      <c r="G604" t="s">
        <v>9</v>
      </c>
      <c r="H604" t="s">
        <v>136</v>
      </c>
      <c r="I604">
        <v>40482.453600000001</v>
      </c>
      <c r="J604">
        <v>0</v>
      </c>
      <c r="K604">
        <v>1.48</v>
      </c>
      <c r="L604">
        <v>0</v>
      </c>
      <c r="M604">
        <v>10.373033365477339</v>
      </c>
      <c r="N604">
        <v>0</v>
      </c>
      <c r="O604">
        <v>0.19881647283831566</v>
      </c>
      <c r="P604">
        <v>0.079186699999999999</v>
      </c>
      <c r="Q604">
        <v>0.0013759964019286403</v>
      </c>
      <c r="R604">
        <v>297000</v>
      </c>
      <c r="S604">
        <v>0</v>
      </c>
      <c r="T604">
        <v>800000</v>
      </c>
      <c r="U604" t="s">
        <v>9</v>
      </c>
      <c r="V604">
        <v>3600</v>
      </c>
      <c r="W604">
        <v>10</v>
      </c>
      <c r="X604">
        <v>85</v>
      </c>
      <c r="Y604">
        <v>3</v>
      </c>
      <c r="Z604">
        <v>4</v>
      </c>
      <c r="AA604">
        <v>5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100</v>
      </c>
      <c r="AM604">
        <v>18.50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10</v>
      </c>
      <c r="AU604">
        <v>0</v>
      </c>
      <c r="AV604">
        <v>0</v>
      </c>
    </row>
    <row r="605" spans="1:48" ht="12.75">
      <c r="A605" s="2" t="str">
        <f>HYPERLINK("https://ibp.a2mac1.com/costing(costing:projects/details/8191/equipment/6946541)","EPP-EPS Foaming - Steam Facility")</f>
        <v>EPP-EPS Foaming - Steam Facility</v>
      </c>
      <c r="B605">
        <v>6946541</v>
      </c>
      <c r="C605">
        <v>6973981</v>
      </c>
      <c r="E605" t="s">
        <v>603</v>
      </c>
      <c r="F605" t="s">
        <v>9</v>
      </c>
      <c r="G605" t="s">
        <v>9</v>
      </c>
      <c r="H605" t="s">
        <v>136</v>
      </c>
      <c r="I605">
        <v>40021.770600000003</v>
      </c>
      <c r="J605">
        <v>0</v>
      </c>
      <c r="K605">
        <v>1.9958800000000001</v>
      </c>
      <c r="L605">
        <v>0</v>
      </c>
      <c r="M605">
        <v>10.75862037287046</v>
      </c>
      <c r="N605">
        <v>0</v>
      </c>
      <c r="O605">
        <v>0.017183907540001427</v>
      </c>
      <c r="P605">
        <v>0.0065988916666666663</v>
      </c>
      <c r="Q605">
        <v>0.0013991316223722276</v>
      </c>
      <c r="R605">
        <v>290000</v>
      </c>
      <c r="S605">
        <v>0</v>
      </c>
      <c r="T605">
        <v>800000</v>
      </c>
      <c r="U605" t="s">
        <v>9</v>
      </c>
      <c r="V605">
        <v>3600</v>
      </c>
      <c r="W605">
        <v>10</v>
      </c>
      <c r="X605">
        <v>85</v>
      </c>
      <c r="Y605">
        <v>3</v>
      </c>
      <c r="Z605">
        <v>4</v>
      </c>
      <c r="AA605">
        <v>5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100</v>
      </c>
      <c r="AM605">
        <v>16.30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22.50</v>
      </c>
      <c r="AU605">
        <v>0</v>
      </c>
      <c r="AV605">
        <v>0</v>
      </c>
    </row>
    <row r="606" spans="1:48" ht="12.75">
      <c r="A606" s="2" t="str">
        <f>HYPERLINK("https://ibp.a2mac1.com/costing(costing:projects/details/8191/equipment/6946542)","EPP-EPS Press No. 03 - 1400x1000")</f>
        <v>EPP-EPS Press No. 03 - 1400x1000</v>
      </c>
      <c r="B606">
        <v>6946542</v>
      </c>
      <c r="C606">
        <v>6973982</v>
      </c>
      <c r="E606" t="s">
        <v>9</v>
      </c>
      <c r="F606" t="s">
        <v>9</v>
      </c>
      <c r="G606" t="s">
        <v>9</v>
      </c>
      <c r="H606" t="s">
        <v>136</v>
      </c>
      <c r="I606">
        <v>40482.453600000001</v>
      </c>
      <c r="J606">
        <v>0</v>
      </c>
      <c r="K606">
        <v>1.48</v>
      </c>
      <c r="L606">
        <v>0</v>
      </c>
      <c r="M606">
        <v>10.373033365477339</v>
      </c>
      <c r="N606">
        <v>0</v>
      </c>
      <c r="O606">
        <v>0.19881647283831566</v>
      </c>
      <c r="P606">
        <v>0.079186699999999999</v>
      </c>
      <c r="Q606">
        <v>0.0013759964019286403</v>
      </c>
      <c r="R606">
        <v>297000</v>
      </c>
      <c r="S606">
        <v>0</v>
      </c>
      <c r="T606">
        <v>800000</v>
      </c>
      <c r="U606" t="s">
        <v>9</v>
      </c>
      <c r="V606">
        <v>3600</v>
      </c>
      <c r="W606">
        <v>10</v>
      </c>
      <c r="X606">
        <v>85</v>
      </c>
      <c r="Y606">
        <v>3</v>
      </c>
      <c r="Z606">
        <v>4</v>
      </c>
      <c r="AA606">
        <v>5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100</v>
      </c>
      <c r="AM606">
        <v>18.50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10</v>
      </c>
      <c r="AU606">
        <v>0</v>
      </c>
      <c r="AV606">
        <v>0</v>
      </c>
    </row>
    <row r="607" spans="1:48" ht="12.75">
      <c r="A607" s="2" t="str">
        <f>HYPERLINK("https://ibp.a2mac1.com/costing(costing:projects/details/8191/equipment/6946543)","EPP-EPS Foaming - Steam Facility")</f>
        <v>EPP-EPS Foaming - Steam Facility</v>
      </c>
      <c r="B607">
        <v>6946543</v>
      </c>
      <c r="C607">
        <v>6973983</v>
      </c>
      <c r="E607" t="s">
        <v>603</v>
      </c>
      <c r="F607" t="s">
        <v>9</v>
      </c>
      <c r="G607" t="s">
        <v>9</v>
      </c>
      <c r="H607" t="s">
        <v>136</v>
      </c>
      <c r="I607">
        <v>40021.770600000003</v>
      </c>
      <c r="J607">
        <v>0</v>
      </c>
      <c r="K607">
        <v>1.9958800000000001</v>
      </c>
      <c r="L607">
        <v>0</v>
      </c>
      <c r="M607">
        <v>10.75862037287046</v>
      </c>
      <c r="N607">
        <v>0</v>
      </c>
      <c r="O607">
        <v>0.017183907540001427</v>
      </c>
      <c r="P607">
        <v>0.0065988916666666663</v>
      </c>
      <c r="Q607">
        <v>0.0013991316223722276</v>
      </c>
      <c r="R607">
        <v>290000</v>
      </c>
      <c r="S607">
        <v>0</v>
      </c>
      <c r="T607">
        <v>800000</v>
      </c>
      <c r="U607" t="s">
        <v>9</v>
      </c>
      <c r="V607">
        <v>3600</v>
      </c>
      <c r="W607">
        <v>10</v>
      </c>
      <c r="X607">
        <v>85</v>
      </c>
      <c r="Y607">
        <v>3</v>
      </c>
      <c r="Z607">
        <v>4</v>
      </c>
      <c r="AA607">
        <v>5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100</v>
      </c>
      <c r="AM607">
        <v>16.30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</v>
      </c>
      <c r="AT607">
        <v>22.50</v>
      </c>
      <c r="AU607">
        <v>0</v>
      </c>
      <c r="AV607">
        <v>0</v>
      </c>
    </row>
    <row r="608" spans="1:48" ht="12.75">
      <c r="A608" s="2" t="str">
        <f>HYPERLINK("https://ibp.a2mac1.com/costing(costing:projects/details/8191/equipment/6946544)","DC machine - General")</f>
        <v>DC machine - General</v>
      </c>
      <c r="B608">
        <v>6946544</v>
      </c>
      <c r="C608">
        <v>6973984</v>
      </c>
      <c r="H608" t="s">
        <v>136</v>
      </c>
      <c r="I608">
        <v>116914.84457142858</v>
      </c>
      <c r="J608">
        <v>0</v>
      </c>
      <c r="K608">
        <v>3.60</v>
      </c>
      <c r="L608">
        <v>0</v>
      </c>
      <c r="M608">
        <v>27.497982091197134</v>
      </c>
      <c r="N608">
        <v>0</v>
      </c>
      <c r="O608">
        <v>8.0328569552351432</v>
      </c>
      <c r="P608">
        <v>1.206909937731</v>
      </c>
      <c r="Q608">
        <v>0.011732166376415484</v>
      </c>
      <c r="R608">
        <v>635568</v>
      </c>
      <c r="S608">
        <v>0</v>
      </c>
      <c r="T608">
        <v>0</v>
      </c>
      <c r="V608">
        <v>10800</v>
      </c>
      <c r="W608">
        <v>7</v>
      </c>
      <c r="X608">
        <v>85</v>
      </c>
      <c r="Y608">
        <v>3</v>
      </c>
      <c r="Z608">
        <v>4</v>
      </c>
      <c r="AA608">
        <v>5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3</v>
      </c>
      <c r="AJ608">
        <v>0</v>
      </c>
      <c r="AK608">
        <v>0</v>
      </c>
      <c r="AL608">
        <v>100</v>
      </c>
      <c r="AM608">
        <v>45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100</v>
      </c>
      <c r="AU608">
        <v>0</v>
      </c>
      <c r="AV608">
        <v>0</v>
      </c>
    </row>
    <row r="609" spans="1:48" ht="12.75">
      <c r="A609" s="2" t="str">
        <f>HYPERLINK("https://ibp.a2mac1.com/costing(costing:projects/details/8191/equipment/6948392)","Equipment (Stamping)")</f>
        <v>Equipment (Stamping)</v>
      </c>
      <c r="B609">
        <v>6948392</v>
      </c>
      <c r="C609">
        <v>6975797</v>
      </c>
      <c r="H609" t="s">
        <v>136</v>
      </c>
      <c r="I609">
        <v>373962.1752</v>
      </c>
      <c r="J609">
        <v>0</v>
      </c>
      <c r="K609">
        <v>3.3919999999999999</v>
      </c>
      <c r="L609">
        <v>0</v>
      </c>
      <c r="M609">
        <v>85.594213950498229</v>
      </c>
      <c r="N609">
        <v>0</v>
      </c>
      <c r="O609">
        <v>1.5406958511089681</v>
      </c>
      <c r="P609">
        <v>0.074366639999999998</v>
      </c>
      <c r="Q609">
        <v>0.0099643224555448408</v>
      </c>
      <c r="R609">
        <v>2750000</v>
      </c>
      <c r="S609">
        <v>0</v>
      </c>
      <c r="T609">
        <v>0</v>
      </c>
      <c r="V609">
        <v>5400</v>
      </c>
      <c r="W609">
        <v>10</v>
      </c>
      <c r="X609">
        <v>85</v>
      </c>
      <c r="Y609">
        <v>3</v>
      </c>
      <c r="Z609">
        <v>4</v>
      </c>
      <c r="AA609">
        <v>5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2</v>
      </c>
      <c r="AJ609">
        <v>0</v>
      </c>
      <c r="AK609">
        <v>0</v>
      </c>
      <c r="AL609">
        <v>80</v>
      </c>
      <c r="AM609">
        <v>53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70</v>
      </c>
      <c r="AU609">
        <v>0</v>
      </c>
      <c r="AV609">
        <v>0</v>
      </c>
    </row>
    <row r="610" spans="1:48" ht="12.75">
      <c r="A610" s="2" t="str">
        <f>HYPERLINK("https://ibp.a2mac1.com/costing(costing:projects/details/8191/equipment/6948393)","Equipment (Stamping)")</f>
        <v>Equipment (Stamping)</v>
      </c>
      <c r="B610">
        <v>6948393</v>
      </c>
      <c r="C610">
        <v>6975798</v>
      </c>
      <c r="H610" t="s">
        <v>136</v>
      </c>
      <c r="I610">
        <v>373962.1752</v>
      </c>
      <c r="J610">
        <v>0</v>
      </c>
      <c r="K610">
        <v>3.3919999999999999</v>
      </c>
      <c r="L610">
        <v>0</v>
      </c>
      <c r="M610">
        <v>85.594213950498229</v>
      </c>
      <c r="N610">
        <v>0</v>
      </c>
      <c r="O610">
        <v>0.17118842790099648</v>
      </c>
      <c r="P610">
        <v>0.0082629599999999997</v>
      </c>
      <c r="Q610">
        <v>0.0099643224555448408</v>
      </c>
      <c r="R610">
        <v>2750000</v>
      </c>
      <c r="S610">
        <v>0</v>
      </c>
      <c r="T610">
        <v>0</v>
      </c>
      <c r="V610">
        <v>5400</v>
      </c>
      <c r="W610">
        <v>10</v>
      </c>
      <c r="X610">
        <v>85</v>
      </c>
      <c r="Y610">
        <v>3</v>
      </c>
      <c r="Z610">
        <v>4</v>
      </c>
      <c r="AA610">
        <v>5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2</v>
      </c>
      <c r="AJ610">
        <v>0</v>
      </c>
      <c r="AK610">
        <v>0</v>
      </c>
      <c r="AL610">
        <v>80</v>
      </c>
      <c r="AM610">
        <v>53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70</v>
      </c>
      <c r="AU610">
        <v>0</v>
      </c>
      <c r="AV610">
        <v>0</v>
      </c>
    </row>
    <row r="611" spans="1:48" ht="12.75">
      <c r="A611" s="2" t="str">
        <f>HYPERLINK("https://ibp.a2mac1.com/costing(costing:projects/details/8191/equipment/6948394)","Equipment (Stamping)")</f>
        <v>Equipment (Stamping)</v>
      </c>
      <c r="B611">
        <v>6948394</v>
      </c>
      <c r="C611">
        <v>6975799</v>
      </c>
      <c r="H611" t="s">
        <v>136</v>
      </c>
      <c r="I611">
        <v>373962.1752</v>
      </c>
      <c r="J611">
        <v>0</v>
      </c>
      <c r="K611">
        <v>3.3919999999999999</v>
      </c>
      <c r="L611">
        <v>0</v>
      </c>
      <c r="M611">
        <v>85.594213950498229</v>
      </c>
      <c r="N611">
        <v>0</v>
      </c>
      <c r="O611">
        <v>0.17118842790099648</v>
      </c>
      <c r="P611">
        <v>0.0082629599999999997</v>
      </c>
      <c r="Q611">
        <v>0.0099643224555448408</v>
      </c>
      <c r="R611">
        <v>2750000</v>
      </c>
      <c r="S611">
        <v>0</v>
      </c>
      <c r="T611">
        <v>0</v>
      </c>
      <c r="V611">
        <v>5400</v>
      </c>
      <c r="W611">
        <v>10</v>
      </c>
      <c r="X611">
        <v>85</v>
      </c>
      <c r="Y611">
        <v>3</v>
      </c>
      <c r="Z611">
        <v>4</v>
      </c>
      <c r="AA611">
        <v>5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2</v>
      </c>
      <c r="AJ611">
        <v>0</v>
      </c>
      <c r="AK611">
        <v>0</v>
      </c>
      <c r="AL611">
        <v>80</v>
      </c>
      <c r="AM611">
        <v>53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70</v>
      </c>
      <c r="AU611">
        <v>0</v>
      </c>
      <c r="AV611">
        <v>0</v>
      </c>
    </row>
    <row r="612" spans="1:48" ht="12.75">
      <c r="A612" s="2" t="str">
        <f>HYPERLINK("https://ibp.a2mac1.com/costing(costing:projects/details/8191/equipment/6948497)","Equipment (Stamping)")</f>
        <v>Equipment (Stamping)</v>
      </c>
      <c r="B612">
        <v>6948497</v>
      </c>
      <c r="C612">
        <v>6975878</v>
      </c>
      <c r="H612" t="s">
        <v>136</v>
      </c>
      <c r="I612">
        <v>373962.1752</v>
      </c>
      <c r="J612">
        <v>0</v>
      </c>
      <c r="K612">
        <v>3.3919999999999999</v>
      </c>
      <c r="L612">
        <v>0</v>
      </c>
      <c r="M612">
        <v>85.594213950498229</v>
      </c>
      <c r="N612">
        <v>0</v>
      </c>
      <c r="O612">
        <v>0.085594213950498238</v>
      </c>
      <c r="P612">
        <v>0.0041314799999999999</v>
      </c>
      <c r="Q612">
        <v>0.0099643224555448408</v>
      </c>
      <c r="R612">
        <v>2750000</v>
      </c>
      <c r="S612">
        <v>0</v>
      </c>
      <c r="T612">
        <v>0</v>
      </c>
      <c r="V612">
        <v>5400</v>
      </c>
      <c r="W612">
        <v>10</v>
      </c>
      <c r="X612">
        <v>85</v>
      </c>
      <c r="Y612">
        <v>3</v>
      </c>
      <c r="Z612">
        <v>4</v>
      </c>
      <c r="AA612">
        <v>5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2</v>
      </c>
      <c r="AJ612">
        <v>0</v>
      </c>
      <c r="AK612">
        <v>0</v>
      </c>
      <c r="AL612">
        <v>80</v>
      </c>
      <c r="AM612">
        <v>53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70</v>
      </c>
      <c r="AU612">
        <v>0</v>
      </c>
      <c r="AV612">
        <v>0</v>
      </c>
    </row>
    <row r="613" spans="1:48" ht="12.75">
      <c r="A613" s="2" t="str">
        <f>HYPERLINK("https://ibp.a2mac1.com/costing(costing:projects/details/8191/equipment/6948498)","Equipment (Stamping)")</f>
        <v>Equipment (Stamping)</v>
      </c>
      <c r="B613">
        <v>6948498</v>
      </c>
      <c r="C613">
        <v>6975879</v>
      </c>
      <c r="H613" t="s">
        <v>136</v>
      </c>
      <c r="I613">
        <v>373962.1752</v>
      </c>
      <c r="J613">
        <v>0</v>
      </c>
      <c r="K613">
        <v>3.3919999999999999</v>
      </c>
      <c r="L613">
        <v>0</v>
      </c>
      <c r="M613">
        <v>85.594213950498229</v>
      </c>
      <c r="N613">
        <v>0</v>
      </c>
      <c r="O613">
        <v>0.085594213950498238</v>
      </c>
      <c r="P613">
        <v>0.0041314799999999999</v>
      </c>
      <c r="Q613">
        <v>0.0099643224555448408</v>
      </c>
      <c r="R613">
        <v>2750000</v>
      </c>
      <c r="S613">
        <v>0</v>
      </c>
      <c r="T613">
        <v>0</v>
      </c>
      <c r="V613">
        <v>5400</v>
      </c>
      <c r="W613">
        <v>10</v>
      </c>
      <c r="X613">
        <v>85</v>
      </c>
      <c r="Y613">
        <v>3</v>
      </c>
      <c r="Z613">
        <v>4</v>
      </c>
      <c r="AA613">
        <v>5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2</v>
      </c>
      <c r="AJ613">
        <v>0</v>
      </c>
      <c r="AK613">
        <v>0</v>
      </c>
      <c r="AL613">
        <v>80</v>
      </c>
      <c r="AM613">
        <v>53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70</v>
      </c>
      <c r="AU613">
        <v>0</v>
      </c>
      <c r="AV613">
        <v>0</v>
      </c>
    </row>
    <row r="614" spans="1:48" ht="12.75">
      <c r="A614" s="2" t="str">
        <f>HYPERLINK("https://ibp.a2mac1.com/costing(costing:projects/details/8191/equipment/6948499)","Equipment (Stamping)")</f>
        <v>Equipment (Stamping)</v>
      </c>
      <c r="B614">
        <v>6948499</v>
      </c>
      <c r="C614">
        <v>6975880</v>
      </c>
      <c r="H614" t="s">
        <v>136</v>
      </c>
      <c r="I614">
        <v>373962.1752</v>
      </c>
      <c r="J614">
        <v>0</v>
      </c>
      <c r="K614">
        <v>3.3919999999999999</v>
      </c>
      <c r="L614">
        <v>0</v>
      </c>
      <c r="M614">
        <v>85.594213950498229</v>
      </c>
      <c r="N614">
        <v>0</v>
      </c>
      <c r="O614">
        <v>0.042797106975249119</v>
      </c>
      <c r="P614">
        <v>0.0020657399999999999</v>
      </c>
      <c r="Q614">
        <v>0.0099643224555448408</v>
      </c>
      <c r="R614">
        <v>2750000</v>
      </c>
      <c r="S614">
        <v>0</v>
      </c>
      <c r="T614">
        <v>0</v>
      </c>
      <c r="V614">
        <v>5400</v>
      </c>
      <c r="W614">
        <v>10</v>
      </c>
      <c r="X614">
        <v>85</v>
      </c>
      <c r="Y614">
        <v>3</v>
      </c>
      <c r="Z614">
        <v>4</v>
      </c>
      <c r="AA614">
        <v>5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2</v>
      </c>
      <c r="AJ614">
        <v>0</v>
      </c>
      <c r="AK614">
        <v>0</v>
      </c>
      <c r="AL614">
        <v>80</v>
      </c>
      <c r="AM614">
        <v>53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70</v>
      </c>
      <c r="AU614">
        <v>0</v>
      </c>
      <c r="AV614">
        <v>0</v>
      </c>
    </row>
    <row r="615" spans="1:48" ht="12.75">
      <c r="A615" s="2" t="str">
        <f>HYPERLINK("https://ibp.a2mac1.com/costing(costing:projects/details/8191/equipment/6948500)","Equipment (Stamping)")</f>
        <v>Equipment (Stamping)</v>
      </c>
      <c r="B615">
        <v>6948500</v>
      </c>
      <c r="C615">
        <v>6975881</v>
      </c>
      <c r="H615" t="s">
        <v>136</v>
      </c>
      <c r="I615">
        <v>373962.1752</v>
      </c>
      <c r="J615">
        <v>0</v>
      </c>
      <c r="K615">
        <v>3.3919999999999999</v>
      </c>
      <c r="L615">
        <v>0</v>
      </c>
      <c r="M615">
        <v>85.594213950498229</v>
      </c>
      <c r="N615">
        <v>0</v>
      </c>
      <c r="O615">
        <v>0.77034792555448406</v>
      </c>
      <c r="P615">
        <v>0.037183319999999999</v>
      </c>
      <c r="Q615">
        <v>0.0099643224555448408</v>
      </c>
      <c r="R615">
        <v>2750000</v>
      </c>
      <c r="S615">
        <v>0</v>
      </c>
      <c r="T615">
        <v>0</v>
      </c>
      <c r="V615">
        <v>5400</v>
      </c>
      <c r="W615">
        <v>10</v>
      </c>
      <c r="X615">
        <v>85</v>
      </c>
      <c r="Y615">
        <v>3</v>
      </c>
      <c r="Z615">
        <v>4</v>
      </c>
      <c r="AA615">
        <v>5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2</v>
      </c>
      <c r="AJ615">
        <v>0</v>
      </c>
      <c r="AK615">
        <v>0</v>
      </c>
      <c r="AL615">
        <v>80</v>
      </c>
      <c r="AM615">
        <v>53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70</v>
      </c>
      <c r="AU615">
        <v>0</v>
      </c>
      <c r="AV615">
        <v>0</v>
      </c>
    </row>
    <row r="616" spans="1:48" ht="12.75">
      <c r="A616" s="2" t="str">
        <f>HYPERLINK("https://ibp.a2mac1.com/costing(costing:projects/details/8191/equipment/6948395)","Equipment (Stamping)")</f>
        <v>Equipment (Stamping)</v>
      </c>
      <c r="B616">
        <v>6948395</v>
      </c>
      <c r="C616">
        <v>6975800</v>
      </c>
      <c r="H616" t="s">
        <v>136</v>
      </c>
      <c r="I616">
        <v>373962.1752</v>
      </c>
      <c r="J616">
        <v>0</v>
      </c>
      <c r="K616">
        <v>3.3919999999999999</v>
      </c>
      <c r="L616">
        <v>0</v>
      </c>
      <c r="M616">
        <v>85.594213950498229</v>
      </c>
      <c r="N616">
        <v>0</v>
      </c>
      <c r="O616">
        <v>0.042797106975249119</v>
      </c>
      <c r="P616">
        <v>0.0020657399999999999</v>
      </c>
      <c r="Q616">
        <v>0.0099643224555448408</v>
      </c>
      <c r="R616">
        <v>2750000</v>
      </c>
      <c r="S616">
        <v>0</v>
      </c>
      <c r="T616">
        <v>0</v>
      </c>
      <c r="V616">
        <v>5400</v>
      </c>
      <c r="W616">
        <v>10</v>
      </c>
      <c r="X616">
        <v>85</v>
      </c>
      <c r="Y616">
        <v>3</v>
      </c>
      <c r="Z616">
        <v>4</v>
      </c>
      <c r="AA616">
        <v>5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2</v>
      </c>
      <c r="AJ616">
        <v>0</v>
      </c>
      <c r="AK616">
        <v>0</v>
      </c>
      <c r="AL616">
        <v>80</v>
      </c>
      <c r="AM616">
        <v>53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70</v>
      </c>
      <c r="AU616">
        <v>0</v>
      </c>
      <c r="AV616">
        <v>0</v>
      </c>
    </row>
    <row r="617" spans="1:48" ht="12.75">
      <c r="A617" s="2" t="str">
        <f>HYPERLINK("https://ibp.a2mac1.com/costing(costing:projects/details/8191/equipment/6948731)","Equipment (Stamping)")</f>
        <v>Equipment (Stamping)</v>
      </c>
      <c r="B617">
        <v>6948731</v>
      </c>
      <c r="C617">
        <v>6976137</v>
      </c>
      <c r="H617" t="s">
        <v>136</v>
      </c>
      <c r="I617">
        <v>373962.1752</v>
      </c>
      <c r="J617">
        <v>0</v>
      </c>
      <c r="K617">
        <v>3.3919999999999999</v>
      </c>
      <c r="L617">
        <v>0</v>
      </c>
      <c r="M617">
        <v>85.594213950498229</v>
      </c>
      <c r="N617">
        <v>0</v>
      </c>
      <c r="O617">
        <v>0.042797106975249119</v>
      </c>
      <c r="P617">
        <v>0.0020657399999999999</v>
      </c>
      <c r="Q617">
        <v>0.0099643224555448408</v>
      </c>
      <c r="R617">
        <v>2750000</v>
      </c>
      <c r="S617">
        <v>0</v>
      </c>
      <c r="T617">
        <v>0</v>
      </c>
      <c r="V617">
        <v>5400</v>
      </c>
      <c r="W617">
        <v>10</v>
      </c>
      <c r="X617">
        <v>85</v>
      </c>
      <c r="Y617">
        <v>3</v>
      </c>
      <c r="Z617">
        <v>4</v>
      </c>
      <c r="AA617">
        <v>5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2</v>
      </c>
      <c r="AJ617">
        <v>0</v>
      </c>
      <c r="AK617">
        <v>0</v>
      </c>
      <c r="AL617">
        <v>80</v>
      </c>
      <c r="AM617">
        <v>53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70</v>
      </c>
      <c r="AU617">
        <v>0</v>
      </c>
      <c r="AV617">
        <v>0</v>
      </c>
    </row>
    <row r="618" spans="1:48" ht="12.75">
      <c r="A618" s="2" t="str">
        <f>HYPERLINK("https://ibp.a2mac1.com/costing(costing:projects/details/8191/equipment/6948396)","Equipment (Stamping)")</f>
        <v>Equipment (Stamping)</v>
      </c>
      <c r="B618">
        <v>6948396</v>
      </c>
      <c r="C618">
        <v>6975801</v>
      </c>
      <c r="H618" t="s">
        <v>136</v>
      </c>
      <c r="I618">
        <v>373962.1752</v>
      </c>
      <c r="J618">
        <v>0</v>
      </c>
      <c r="K618">
        <v>3.3919999999999999</v>
      </c>
      <c r="L618">
        <v>0</v>
      </c>
      <c r="M618">
        <v>85.594213950498229</v>
      </c>
      <c r="N618">
        <v>0</v>
      </c>
      <c r="O618">
        <v>0.77034792555448406</v>
      </c>
      <c r="P618">
        <v>0.037183319999999999</v>
      </c>
      <c r="Q618">
        <v>0.0099643224555448408</v>
      </c>
      <c r="R618">
        <v>2750000</v>
      </c>
      <c r="S618">
        <v>0</v>
      </c>
      <c r="T618">
        <v>0</v>
      </c>
      <c r="V618">
        <v>5400</v>
      </c>
      <c r="W618">
        <v>10</v>
      </c>
      <c r="X618">
        <v>85</v>
      </c>
      <c r="Y618">
        <v>3</v>
      </c>
      <c r="Z618">
        <v>4</v>
      </c>
      <c r="AA618">
        <v>5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2</v>
      </c>
      <c r="AJ618">
        <v>0</v>
      </c>
      <c r="AK618">
        <v>0</v>
      </c>
      <c r="AL618">
        <v>80</v>
      </c>
      <c r="AM618">
        <v>53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70</v>
      </c>
      <c r="AU618">
        <v>0</v>
      </c>
      <c r="AV618">
        <v>0</v>
      </c>
    </row>
    <row r="619" spans="1:48" ht="12.75">
      <c r="A619" s="2" t="str">
        <f>HYPERLINK("https://ibp.a2mac1.com/costing(costing:projects/details/8191/equipment/6948501)","Equipment (Stamping)")</f>
        <v>Equipment (Stamping)</v>
      </c>
      <c r="B619">
        <v>6948501</v>
      </c>
      <c r="C619">
        <v>6975882</v>
      </c>
      <c r="H619" t="s">
        <v>136</v>
      </c>
      <c r="I619">
        <v>373962.1752</v>
      </c>
      <c r="J619">
        <v>0</v>
      </c>
      <c r="K619">
        <v>3.3919999999999999</v>
      </c>
      <c r="L619">
        <v>0</v>
      </c>
      <c r="M619">
        <v>85.594213950498229</v>
      </c>
      <c r="N619">
        <v>0</v>
      </c>
      <c r="O619">
        <v>0.085594213950498238</v>
      </c>
      <c r="P619">
        <v>0.0041314799999999999</v>
      </c>
      <c r="Q619">
        <v>0.0099643224555448408</v>
      </c>
      <c r="R619">
        <v>2750000</v>
      </c>
      <c r="S619">
        <v>0</v>
      </c>
      <c r="T619">
        <v>0</v>
      </c>
      <c r="V619">
        <v>5400</v>
      </c>
      <c r="W619">
        <v>10</v>
      </c>
      <c r="X619">
        <v>85</v>
      </c>
      <c r="Y619">
        <v>3</v>
      </c>
      <c r="Z619">
        <v>4</v>
      </c>
      <c r="AA619">
        <v>5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2</v>
      </c>
      <c r="AJ619">
        <v>0</v>
      </c>
      <c r="AK619">
        <v>0</v>
      </c>
      <c r="AL619">
        <v>80</v>
      </c>
      <c r="AM619">
        <v>53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70</v>
      </c>
      <c r="AU619">
        <v>0</v>
      </c>
      <c r="AV619">
        <v>0</v>
      </c>
    </row>
    <row r="620" spans="1:48" ht="12.75">
      <c r="A620" s="2" t="str">
        <f>HYPERLINK("https://ibp.a2mac1.com/costing(costing:projects/details/8191/equipment/6948502)","Equipment (Stamping)")</f>
        <v>Equipment (Stamping)</v>
      </c>
      <c r="B620">
        <v>6948502</v>
      </c>
      <c r="C620">
        <v>6975883</v>
      </c>
      <c r="H620" t="s">
        <v>136</v>
      </c>
      <c r="I620">
        <v>373962.1752</v>
      </c>
      <c r="J620">
        <v>0</v>
      </c>
      <c r="K620">
        <v>3.3919999999999999</v>
      </c>
      <c r="L620">
        <v>0</v>
      </c>
      <c r="M620">
        <v>85.594213950498229</v>
      </c>
      <c r="N620">
        <v>0</v>
      </c>
      <c r="O620">
        <v>0.042797106975249119</v>
      </c>
      <c r="P620">
        <v>0.0020657399999999999</v>
      </c>
      <c r="Q620">
        <v>0.0099643224555448408</v>
      </c>
      <c r="R620">
        <v>2750000</v>
      </c>
      <c r="S620">
        <v>0</v>
      </c>
      <c r="T620">
        <v>0</v>
      </c>
      <c r="V620">
        <v>5400</v>
      </c>
      <c r="W620">
        <v>10</v>
      </c>
      <c r="X620">
        <v>85</v>
      </c>
      <c r="Y620">
        <v>3</v>
      </c>
      <c r="Z620">
        <v>4</v>
      </c>
      <c r="AA620">
        <v>5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2</v>
      </c>
      <c r="AJ620">
        <v>0</v>
      </c>
      <c r="AK620">
        <v>0</v>
      </c>
      <c r="AL620">
        <v>80</v>
      </c>
      <c r="AM620">
        <v>53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70</v>
      </c>
      <c r="AU620">
        <v>0</v>
      </c>
      <c r="AV620">
        <v>0</v>
      </c>
    </row>
    <row r="621" spans="1:48" ht="12.75">
      <c r="A621" s="2" t="str">
        <f>HYPERLINK("https://ibp.a2mac1.com/costing(costing:projects/details/8191/equipment/6948503)","Equipment (Stamping)")</f>
        <v>Equipment (Stamping)</v>
      </c>
      <c r="B621">
        <v>6948503</v>
      </c>
      <c r="C621">
        <v>6975884</v>
      </c>
      <c r="H621" t="s">
        <v>136</v>
      </c>
      <c r="I621">
        <v>373962.1752</v>
      </c>
      <c r="J621">
        <v>0</v>
      </c>
      <c r="K621">
        <v>3.3919999999999999</v>
      </c>
      <c r="L621">
        <v>0</v>
      </c>
      <c r="M621">
        <v>85.594213950498229</v>
      </c>
      <c r="N621">
        <v>0</v>
      </c>
      <c r="O621">
        <v>0.042797106975249119</v>
      </c>
      <c r="P621">
        <v>0.0020657399999999999</v>
      </c>
      <c r="Q621">
        <v>0.0099643224555448408</v>
      </c>
      <c r="R621">
        <v>2750000</v>
      </c>
      <c r="S621">
        <v>0</v>
      </c>
      <c r="T621">
        <v>0</v>
      </c>
      <c r="V621">
        <v>5400</v>
      </c>
      <c r="W621">
        <v>10</v>
      </c>
      <c r="X621">
        <v>85</v>
      </c>
      <c r="Y621">
        <v>3</v>
      </c>
      <c r="Z621">
        <v>4</v>
      </c>
      <c r="AA621">
        <v>5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2</v>
      </c>
      <c r="AJ621">
        <v>0</v>
      </c>
      <c r="AK621">
        <v>0</v>
      </c>
      <c r="AL621">
        <v>80</v>
      </c>
      <c r="AM621">
        <v>53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70</v>
      </c>
      <c r="AU621">
        <v>0</v>
      </c>
      <c r="AV621">
        <v>0</v>
      </c>
    </row>
    <row r="622" spans="1:48" ht="12.75">
      <c r="A622" s="2" t="str">
        <f>HYPERLINK("https://ibp.a2mac1.com/costing(costing:projects/details/8191/equipment/6948504)","Equipment (Stamping)")</f>
        <v>Equipment (Stamping)</v>
      </c>
      <c r="B622">
        <v>6948504</v>
      </c>
      <c r="C622">
        <v>6975885</v>
      </c>
      <c r="H622" t="s">
        <v>136</v>
      </c>
      <c r="I622">
        <v>373962.1752</v>
      </c>
      <c r="J622">
        <v>0</v>
      </c>
      <c r="K622">
        <v>3.3919999999999999</v>
      </c>
      <c r="L622">
        <v>0</v>
      </c>
      <c r="M622">
        <v>85.594213950498229</v>
      </c>
      <c r="N622">
        <v>0</v>
      </c>
      <c r="O622">
        <v>0.12839132092574734</v>
      </c>
      <c r="P622">
        <v>0.0061972199999999998</v>
      </c>
      <c r="Q622">
        <v>0.0099643224555448408</v>
      </c>
      <c r="R622">
        <v>2750000</v>
      </c>
      <c r="S622">
        <v>0</v>
      </c>
      <c r="T622">
        <v>0</v>
      </c>
      <c r="V622">
        <v>5400</v>
      </c>
      <c r="W622">
        <v>10</v>
      </c>
      <c r="X622">
        <v>85</v>
      </c>
      <c r="Y622">
        <v>3</v>
      </c>
      <c r="Z622">
        <v>4</v>
      </c>
      <c r="AA622">
        <v>5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2</v>
      </c>
      <c r="AJ622">
        <v>0</v>
      </c>
      <c r="AK622">
        <v>0</v>
      </c>
      <c r="AL622">
        <v>80</v>
      </c>
      <c r="AM622">
        <v>53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70</v>
      </c>
      <c r="AU622">
        <v>0</v>
      </c>
      <c r="AV622">
        <v>0</v>
      </c>
    </row>
    <row r="623" spans="1:48" ht="12.75">
      <c r="A623" s="2" t="str">
        <f>HYPERLINK("https://ibp.a2mac1.com/costing(costing:projects/details/8191/equipment/6948397)","Equipment (Stamping)")</f>
        <v>Equipment (Stamping)</v>
      </c>
      <c r="B623">
        <v>6948397</v>
      </c>
      <c r="C623">
        <v>6975802</v>
      </c>
      <c r="H623" t="s">
        <v>136</v>
      </c>
      <c r="I623">
        <v>373962.1752</v>
      </c>
      <c r="J623">
        <v>0</v>
      </c>
      <c r="K623">
        <v>3.3919999999999999</v>
      </c>
      <c r="L623">
        <v>0</v>
      </c>
      <c r="M623">
        <v>85.594213950498229</v>
      </c>
      <c r="N623">
        <v>0</v>
      </c>
      <c r="O623">
        <v>0.77034792555448406</v>
      </c>
      <c r="P623">
        <v>0.037183319999999999</v>
      </c>
      <c r="Q623">
        <v>0.0099643224555448408</v>
      </c>
      <c r="R623">
        <v>2750000</v>
      </c>
      <c r="S623">
        <v>0</v>
      </c>
      <c r="T623">
        <v>0</v>
      </c>
      <c r="V623">
        <v>5400</v>
      </c>
      <c r="W623">
        <v>10</v>
      </c>
      <c r="X623">
        <v>85</v>
      </c>
      <c r="Y623">
        <v>3</v>
      </c>
      <c r="Z623">
        <v>4</v>
      </c>
      <c r="AA623">
        <v>5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2</v>
      </c>
      <c r="AJ623">
        <v>0</v>
      </c>
      <c r="AK623">
        <v>0</v>
      </c>
      <c r="AL623">
        <v>80</v>
      </c>
      <c r="AM623">
        <v>53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70</v>
      </c>
      <c r="AU623">
        <v>0</v>
      </c>
      <c r="AV623">
        <v>0</v>
      </c>
    </row>
    <row r="624" spans="1:48" ht="12.75">
      <c r="A624" s="2" t="str">
        <f>HYPERLINK("https://ibp.a2mac1.com/costing(costing:projects/details/8191/equipment/6947833)","Assembly line")</f>
        <v>Assembly line</v>
      </c>
      <c r="B624">
        <v>6947833</v>
      </c>
      <c r="C624">
        <v>6975277</v>
      </c>
      <c r="H624" t="s">
        <v>136</v>
      </c>
      <c r="I624">
        <v>63074.721599999997</v>
      </c>
      <c r="J624">
        <v>0</v>
      </c>
      <c r="K624">
        <v>5.2000019999999996</v>
      </c>
      <c r="L624">
        <v>0</v>
      </c>
      <c r="M624">
        <v>18.953573456123433</v>
      </c>
      <c r="N624">
        <v>0</v>
      </c>
      <c r="O624">
        <v>0.78973222733847637</v>
      </c>
      <c r="P624">
        <v>0.17214499999999999</v>
      </c>
      <c r="Q624">
        <v>0.0015756906728061717</v>
      </c>
      <c r="R624">
        <v>450000</v>
      </c>
      <c r="S624">
        <v>0</v>
      </c>
      <c r="T624">
        <v>0</v>
      </c>
      <c r="V624">
        <v>1800</v>
      </c>
      <c r="W624">
        <v>10</v>
      </c>
      <c r="X624">
        <v>85</v>
      </c>
      <c r="Y624">
        <v>3</v>
      </c>
      <c r="Z624">
        <v>4</v>
      </c>
      <c r="AA624">
        <v>5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86.666700000000006</v>
      </c>
      <c r="AM624">
        <v>75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60</v>
      </c>
      <c r="AU624">
        <v>0</v>
      </c>
      <c r="AV624">
        <v>0</v>
      </c>
    </row>
    <row r="625" spans="1:48" ht="12.75">
      <c r="A625" s="2" t="str">
        <f>HYPERLINK("https://ibp.a2mac1.com/costing(costing:projects/details/8191/equipment/6948218)","Equipment (Injection Molding)")</f>
        <v>Equipment (Injection Molding)</v>
      </c>
      <c r="B625">
        <v>6948218</v>
      </c>
      <c r="C625">
        <v>6975601</v>
      </c>
      <c r="H625" t="s">
        <v>136</v>
      </c>
      <c r="I625">
        <v>12438.592871999999</v>
      </c>
      <c r="J625">
        <v>0</v>
      </c>
      <c r="K625">
        <v>0.52864</v>
      </c>
      <c r="L625">
        <v>0</v>
      </c>
      <c r="M625">
        <v>3.058789931211829</v>
      </c>
      <c r="N625">
        <v>0</v>
      </c>
      <c r="O625">
        <v>0.050979832186863819</v>
      </c>
      <c r="P625">
        <v>0.0032500976000000002</v>
      </c>
      <c r="Q625">
        <v>0.00029926384666946964</v>
      </c>
      <c r="R625">
        <v>66080</v>
      </c>
      <c r="S625">
        <v>0</v>
      </c>
      <c r="T625">
        <v>0</v>
      </c>
      <c r="V625">
        <v>637.20</v>
      </c>
      <c r="W625">
        <v>7</v>
      </c>
      <c r="X625">
        <v>85</v>
      </c>
      <c r="Y625">
        <v>3</v>
      </c>
      <c r="Z625">
        <v>4</v>
      </c>
      <c r="AA625">
        <v>5</v>
      </c>
      <c r="AB625">
        <v>0</v>
      </c>
      <c r="AC625">
        <v>0</v>
      </c>
      <c r="AD625">
        <v>0</v>
      </c>
      <c r="AE625">
        <v>0</v>
      </c>
      <c r="AF625">
        <v>0.047199999999999999</v>
      </c>
      <c r="AG625">
        <v>0</v>
      </c>
      <c r="AH625">
        <v>0</v>
      </c>
      <c r="AI625">
        <v>2</v>
      </c>
      <c r="AJ625">
        <v>0</v>
      </c>
      <c r="AK625">
        <v>0</v>
      </c>
      <c r="AL625">
        <v>80</v>
      </c>
      <c r="AM625">
        <v>8.26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17.70</v>
      </c>
      <c r="AU625">
        <v>0</v>
      </c>
      <c r="AV625">
        <v>0</v>
      </c>
    </row>
    <row r="626" spans="1:48" ht="12.75">
      <c r="A626" s="2" t="str">
        <f>HYPERLINK("https://ibp.a2mac1.com/costing(costing:projects/details/8191/equipment/6948219)","Equipment (Injection Molding)")</f>
        <v>Equipment (Injection Molding)</v>
      </c>
      <c r="B626">
        <v>6948219</v>
      </c>
      <c r="C626">
        <v>6975602</v>
      </c>
      <c r="H626" t="s">
        <v>136</v>
      </c>
      <c r="I626">
        <v>896.00033399999995</v>
      </c>
      <c r="J626">
        <v>0</v>
      </c>
      <c r="K626">
        <v>0.038080000000000003</v>
      </c>
      <c r="L626">
        <v>0</v>
      </c>
      <c r="M626">
        <v>0.22033656284153005</v>
      </c>
      <c r="N626">
        <v>0</v>
      </c>
      <c r="O626">
        <v>0.0036722760473588342</v>
      </c>
      <c r="P626">
        <v>0.00023411720000000001</v>
      </c>
      <c r="Q626">
        <v>1.938572467057377E-05</v>
      </c>
      <c r="R626">
        <v>4760</v>
      </c>
      <c r="S626">
        <v>0</v>
      </c>
      <c r="T626">
        <v>0</v>
      </c>
      <c r="V626">
        <v>45.90</v>
      </c>
      <c r="W626">
        <v>7</v>
      </c>
      <c r="X626">
        <v>85</v>
      </c>
      <c r="Y626">
        <v>3</v>
      </c>
      <c r="Z626">
        <v>4</v>
      </c>
      <c r="AA626">
        <v>5</v>
      </c>
      <c r="AB626">
        <v>0</v>
      </c>
      <c r="AC626">
        <v>0</v>
      </c>
      <c r="AD626">
        <v>0</v>
      </c>
      <c r="AE626">
        <v>0</v>
      </c>
      <c r="AF626">
        <v>0.0033999999999999998</v>
      </c>
      <c r="AG626">
        <v>0</v>
      </c>
      <c r="AH626">
        <v>0</v>
      </c>
      <c r="AI626">
        <v>2</v>
      </c>
      <c r="AJ626">
        <v>0</v>
      </c>
      <c r="AK626">
        <v>0</v>
      </c>
      <c r="AL626">
        <v>80</v>
      </c>
      <c r="AM626">
        <v>0.595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1.275</v>
      </c>
      <c r="AU626">
        <v>0</v>
      </c>
      <c r="AV626">
        <v>0</v>
      </c>
    </row>
    <row r="627" spans="1:48" ht="12.75">
      <c r="A627" s="2" t="str">
        <f>HYPERLINK("https://ibp.a2mac1.com/costing(costing:projects/details/8191/equipment/6947943)","Equipment (Injection Molding)")</f>
        <v>Equipment (Injection Molding)</v>
      </c>
      <c r="B627">
        <v>6947943</v>
      </c>
      <c r="C627">
        <v>6975366</v>
      </c>
      <c r="H627" t="s">
        <v>136</v>
      </c>
      <c r="I627">
        <v>70678.614581999995</v>
      </c>
      <c r="J627">
        <v>0</v>
      </c>
      <c r="K627">
        <v>3.0038399999999998</v>
      </c>
      <c r="L627">
        <v>0</v>
      </c>
      <c r="M627">
        <v>17.380666515911283</v>
      </c>
      <c r="N627">
        <v>0</v>
      </c>
      <c r="O627">
        <v>0.28967777526518806</v>
      </c>
      <c r="P627">
        <v>0.0184677156</v>
      </c>
      <c r="Q627">
        <v>0.0025647316865026666</v>
      </c>
      <c r="R627">
        <v>375480</v>
      </c>
      <c r="S627">
        <v>0</v>
      </c>
      <c r="T627">
        <v>0</v>
      </c>
      <c r="V627">
        <v>3620.70</v>
      </c>
      <c r="W627">
        <v>7</v>
      </c>
      <c r="X627">
        <v>85</v>
      </c>
      <c r="Y627">
        <v>3</v>
      </c>
      <c r="Z627">
        <v>4</v>
      </c>
      <c r="AA627">
        <v>5</v>
      </c>
      <c r="AB627">
        <v>0</v>
      </c>
      <c r="AC627">
        <v>0</v>
      </c>
      <c r="AD627">
        <v>0</v>
      </c>
      <c r="AE627">
        <v>0</v>
      </c>
      <c r="AF627">
        <v>0.26819999999999999</v>
      </c>
      <c r="AG627">
        <v>0</v>
      </c>
      <c r="AH627">
        <v>0</v>
      </c>
      <c r="AI627">
        <v>2</v>
      </c>
      <c r="AJ627">
        <v>0</v>
      </c>
      <c r="AK627">
        <v>0</v>
      </c>
      <c r="AL627">
        <v>80</v>
      </c>
      <c r="AM627">
        <v>46.935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100.575</v>
      </c>
      <c r="AU627">
        <v>0</v>
      </c>
      <c r="AV627">
        <v>0</v>
      </c>
    </row>
    <row r="628" spans="1:48" ht="12.75">
      <c r="A628" s="2" t="str">
        <f>HYPERLINK("https://ibp.a2mac1.com/costing(costing:projects/details/8191/equipment/6947944)","DC machine - General")</f>
        <v>DC machine - General</v>
      </c>
      <c r="B628">
        <v>6947944</v>
      </c>
      <c r="C628">
        <v>6975367</v>
      </c>
      <c r="E628" t="s">
        <v>659</v>
      </c>
      <c r="H628" t="s">
        <v>136</v>
      </c>
      <c r="I628">
        <v>116914.84457142858</v>
      </c>
      <c r="J628">
        <v>0</v>
      </c>
      <c r="K628">
        <v>3.60</v>
      </c>
      <c r="L628">
        <v>0</v>
      </c>
      <c r="M628">
        <v>27.497982091197134</v>
      </c>
      <c r="N628">
        <v>0</v>
      </c>
      <c r="O628">
        <v>1.4130907463531861</v>
      </c>
      <c r="P628">
        <v>0.21231216666666666</v>
      </c>
      <c r="Q628">
        <v>0.011732166376415484</v>
      </c>
      <c r="R628">
        <v>635568</v>
      </c>
      <c r="S628">
        <v>0</v>
      </c>
      <c r="T628">
        <v>0</v>
      </c>
      <c r="V628">
        <v>10800</v>
      </c>
      <c r="W628">
        <v>7</v>
      </c>
      <c r="X628">
        <v>85</v>
      </c>
      <c r="Y628">
        <v>3</v>
      </c>
      <c r="Z628">
        <v>4</v>
      </c>
      <c r="AA628">
        <v>5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3</v>
      </c>
      <c r="AJ628">
        <v>0</v>
      </c>
      <c r="AK628">
        <v>0</v>
      </c>
      <c r="AL628">
        <v>100</v>
      </c>
      <c r="AM628">
        <v>45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100</v>
      </c>
      <c r="AU628">
        <v>0</v>
      </c>
      <c r="AV628">
        <v>0</v>
      </c>
    </row>
    <row r="629" spans="1:48" ht="12.75">
      <c r="A629" s="2" t="str">
        <f>HYPERLINK("https://ibp.a2mac1.com/costing(costing:projects/details/8191/equipment/6947945)","DC machine - General")</f>
        <v>DC machine - General</v>
      </c>
      <c r="B629">
        <v>6947945</v>
      </c>
      <c r="C629">
        <v>6975368</v>
      </c>
      <c r="E629" t="s">
        <v>659</v>
      </c>
      <c r="H629" t="s">
        <v>136</v>
      </c>
      <c r="I629">
        <v>116914.84457142858</v>
      </c>
      <c r="J629">
        <v>0</v>
      </c>
      <c r="K629">
        <v>3.60</v>
      </c>
      <c r="L629">
        <v>0</v>
      </c>
      <c r="M629">
        <v>27.497982091197134</v>
      </c>
      <c r="N629">
        <v>0</v>
      </c>
      <c r="O629">
        <v>1.298515820973198</v>
      </c>
      <c r="P629">
        <v>0.19509766666666667</v>
      </c>
      <c r="Q629">
        <v>0.011732166376415484</v>
      </c>
      <c r="R629">
        <v>635568</v>
      </c>
      <c r="S629">
        <v>0</v>
      </c>
      <c r="T629">
        <v>0</v>
      </c>
      <c r="V629">
        <v>10800</v>
      </c>
      <c r="W629">
        <v>7</v>
      </c>
      <c r="X629">
        <v>85</v>
      </c>
      <c r="Y629">
        <v>3</v>
      </c>
      <c r="Z629">
        <v>4</v>
      </c>
      <c r="AA629">
        <v>5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3</v>
      </c>
      <c r="AJ629">
        <v>0</v>
      </c>
      <c r="AK629">
        <v>0</v>
      </c>
      <c r="AL629">
        <v>100</v>
      </c>
      <c r="AM629">
        <v>45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100</v>
      </c>
      <c r="AU629">
        <v>0</v>
      </c>
      <c r="AV629">
        <v>0</v>
      </c>
    </row>
    <row r="630" spans="1:48" ht="12.75">
      <c r="A630" s="2" t="str">
        <f>HYPERLINK("https://ibp.a2mac1.com/costing(costing:projects/details/8191/equipment/6947946)","Equipment (Injection Molding)")</f>
        <v>Equipment (Injection Molding)</v>
      </c>
      <c r="B630">
        <v>6947946</v>
      </c>
      <c r="C630">
        <v>6975369</v>
      </c>
      <c r="H630" t="s">
        <v>136</v>
      </c>
      <c r="I630">
        <v>29831.540531999999</v>
      </c>
      <c r="J630">
        <v>0</v>
      </c>
      <c r="K630">
        <v>1.2678400000000001</v>
      </c>
      <c r="L630">
        <v>0</v>
      </c>
      <c r="M630">
        <v>7.3359114451944709</v>
      </c>
      <c r="N630">
        <v>0</v>
      </c>
      <c r="O630">
        <v>0.12226519075324119</v>
      </c>
      <c r="P630">
        <v>0.0077947255999999999</v>
      </c>
      <c r="Q630">
        <v>0.00082666429010910315</v>
      </c>
      <c r="R630">
        <v>158480</v>
      </c>
      <c r="S630">
        <v>0</v>
      </c>
      <c r="T630">
        <v>0</v>
      </c>
      <c r="V630">
        <v>1528.20</v>
      </c>
      <c r="W630">
        <v>7</v>
      </c>
      <c r="X630">
        <v>85</v>
      </c>
      <c r="Y630">
        <v>3</v>
      </c>
      <c r="Z630">
        <v>4</v>
      </c>
      <c r="AA630">
        <v>5</v>
      </c>
      <c r="AB630">
        <v>0</v>
      </c>
      <c r="AC630">
        <v>0</v>
      </c>
      <c r="AD630">
        <v>0</v>
      </c>
      <c r="AE630">
        <v>0</v>
      </c>
      <c r="AF630">
        <v>0.1132</v>
      </c>
      <c r="AG630">
        <v>0</v>
      </c>
      <c r="AH630">
        <v>0</v>
      </c>
      <c r="AI630">
        <v>2</v>
      </c>
      <c r="AJ630">
        <v>0</v>
      </c>
      <c r="AK630">
        <v>0</v>
      </c>
      <c r="AL630">
        <v>80</v>
      </c>
      <c r="AM630">
        <v>19.81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42.45</v>
      </c>
      <c r="AU630">
        <v>0</v>
      </c>
      <c r="AV630">
        <v>0</v>
      </c>
    </row>
    <row r="631" spans="1:48" ht="12.75">
      <c r="A631" s="2" t="str">
        <f>HYPERLINK("https://ibp.a2mac1.com/costing(costing:projects/details/8191/equipment/6947947)","Equipment (Injection Molding)")</f>
        <v>Equipment (Injection Molding)</v>
      </c>
      <c r="B631">
        <v>6947947</v>
      </c>
      <c r="C631">
        <v>6975370</v>
      </c>
      <c r="H631" t="s">
        <v>136</v>
      </c>
      <c r="I631">
        <v>52.705902000000002</v>
      </c>
      <c r="J631">
        <v>0</v>
      </c>
      <c r="K631">
        <v>0.0022399999999999998</v>
      </c>
      <c r="L631">
        <v>0</v>
      </c>
      <c r="M631">
        <v>0.012960974284795885</v>
      </c>
      <c r="N631">
        <v>0</v>
      </c>
      <c r="O631">
        <v>0.00021601623807993142</v>
      </c>
      <c r="P631">
        <v>1.37716E-05</v>
      </c>
      <c r="Q631">
        <v>1.1310048438428157E-06</v>
      </c>
      <c r="R631">
        <v>280</v>
      </c>
      <c r="S631">
        <v>0</v>
      </c>
      <c r="T631">
        <v>0</v>
      </c>
      <c r="V631">
        <v>2.70</v>
      </c>
      <c r="W631">
        <v>7</v>
      </c>
      <c r="X631">
        <v>85</v>
      </c>
      <c r="Y631">
        <v>3</v>
      </c>
      <c r="Z631">
        <v>4</v>
      </c>
      <c r="AA631">
        <v>5</v>
      </c>
      <c r="AB631">
        <v>0</v>
      </c>
      <c r="AC631">
        <v>0</v>
      </c>
      <c r="AD631">
        <v>0</v>
      </c>
      <c r="AE631">
        <v>0</v>
      </c>
      <c r="AF631">
        <v>0.00020000000000000001</v>
      </c>
      <c r="AG631">
        <v>0</v>
      </c>
      <c r="AH631">
        <v>0</v>
      </c>
      <c r="AI631">
        <v>2</v>
      </c>
      <c r="AJ631">
        <v>0</v>
      </c>
      <c r="AK631">
        <v>0</v>
      </c>
      <c r="AL631">
        <v>80</v>
      </c>
      <c r="AM631">
        <v>0.035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0.075</v>
      </c>
      <c r="AU631">
        <v>0</v>
      </c>
      <c r="AV631">
        <v>0</v>
      </c>
    </row>
    <row r="632" spans="1:48" ht="12.75">
      <c r="A632" s="2" t="str">
        <f>HYPERLINK("https://ibp.a2mac1.com/costing(costing:projects/details/8191/equipment/6948220)","Equipment (Injection Molding)")</f>
        <v>Equipment (Injection Molding)</v>
      </c>
      <c r="B632">
        <v>6948220</v>
      </c>
      <c r="C632">
        <v>6975603</v>
      </c>
      <c r="H632" t="s">
        <v>136</v>
      </c>
      <c r="I632">
        <v>1581.17706</v>
      </c>
      <c r="J632">
        <v>0</v>
      </c>
      <c r="K632">
        <v>0.067199999999999996</v>
      </c>
      <c r="L632">
        <v>0</v>
      </c>
      <c r="M632">
        <v>0.38882922854387658</v>
      </c>
      <c r="N632">
        <v>0</v>
      </c>
      <c r="O632">
        <v>0.0064804871423979424</v>
      </c>
      <c r="P632">
        <v>0.00041314800000000001</v>
      </c>
      <c r="Q632">
        <v>3.4437567458534232E-05</v>
      </c>
      <c r="R632">
        <v>8400</v>
      </c>
      <c r="S632">
        <v>0</v>
      </c>
      <c r="T632">
        <v>0</v>
      </c>
      <c r="V632">
        <v>81</v>
      </c>
      <c r="W632">
        <v>7</v>
      </c>
      <c r="X632">
        <v>85</v>
      </c>
      <c r="Y632">
        <v>3</v>
      </c>
      <c r="Z632">
        <v>4</v>
      </c>
      <c r="AA632">
        <v>5</v>
      </c>
      <c r="AB632">
        <v>0</v>
      </c>
      <c r="AC632">
        <v>0</v>
      </c>
      <c r="AD632">
        <v>0</v>
      </c>
      <c r="AE632">
        <v>0</v>
      </c>
      <c r="AF632">
        <v>0.0060000000000000001</v>
      </c>
      <c r="AG632">
        <v>0</v>
      </c>
      <c r="AH632">
        <v>0</v>
      </c>
      <c r="AI632">
        <v>2</v>
      </c>
      <c r="AJ632">
        <v>0</v>
      </c>
      <c r="AK632">
        <v>0</v>
      </c>
      <c r="AL632">
        <v>80</v>
      </c>
      <c r="AM632">
        <v>1.05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2.25</v>
      </c>
      <c r="AU632">
        <v>0</v>
      </c>
      <c r="AV632">
        <v>0</v>
      </c>
    </row>
    <row r="633" spans="1:48" ht="12.75">
      <c r="A633" s="2" t="str">
        <f>HYPERLINK("https://ibp.a2mac1.com/costing(costing:projects/details/8191/equipment/6948222)","No.04 - Injection Press - 100T - 33kW - 400x400 - Max Volume 260cm3 ")</f>
        <v xml:space="preserve">No.04 - Injection Press - 100T - 33kW - 400x400 - Max Volume 260cm3 </v>
      </c>
      <c r="B633">
        <v>6948222</v>
      </c>
      <c r="C633">
        <v>6975605</v>
      </c>
      <c r="E633" t="s">
        <v>499</v>
      </c>
      <c r="H633" t="s">
        <v>136</v>
      </c>
      <c r="I633">
        <v>22101.844096000001</v>
      </c>
      <c r="J633">
        <v>0</v>
      </c>
      <c r="K633">
        <v>2.282</v>
      </c>
      <c r="L633">
        <v>0</v>
      </c>
      <c r="M633">
        <v>6.8788891186113794</v>
      </c>
      <c r="N633">
        <v>0</v>
      </c>
      <c r="O633">
        <v>0.051211686197883383</v>
      </c>
      <c r="P633">
        <v>0.007689470408833333</v>
      </c>
      <c r="Q633">
        <v>0.0038399242942333653</v>
      </c>
      <c r="R633">
        <v>130000</v>
      </c>
      <c r="S633">
        <v>0</v>
      </c>
      <c r="T633">
        <v>0</v>
      </c>
      <c r="V633">
        <v>7200</v>
      </c>
      <c r="W633">
        <v>8</v>
      </c>
      <c r="X633">
        <v>85</v>
      </c>
      <c r="Y633">
        <v>3</v>
      </c>
      <c r="Z633">
        <v>4</v>
      </c>
      <c r="AA633">
        <v>5</v>
      </c>
      <c r="AB633">
        <v>0</v>
      </c>
      <c r="AC633">
        <v>0</v>
      </c>
      <c r="AD633">
        <v>0</v>
      </c>
      <c r="AE633">
        <v>0</v>
      </c>
      <c r="AF633">
        <v>0.25</v>
      </c>
      <c r="AG633">
        <v>0</v>
      </c>
      <c r="AH633">
        <v>0</v>
      </c>
      <c r="AI633">
        <v>2</v>
      </c>
      <c r="AJ633">
        <v>0</v>
      </c>
      <c r="AK633">
        <v>0</v>
      </c>
      <c r="AL633">
        <v>93</v>
      </c>
      <c r="AM633">
        <v>30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33.60</v>
      </c>
      <c r="AU633">
        <v>0.05</v>
      </c>
      <c r="AV633">
        <v>0</v>
      </c>
    </row>
    <row r="634" spans="1:48" ht="12.75">
      <c r="A634" s="2" t="str">
        <f>HYPERLINK("https://ibp.a2mac1.com/costing(costing:projects/details/8191/equipment/6948221)","Packaging")</f>
        <v>Packaging</v>
      </c>
      <c r="B634">
        <v>6948221</v>
      </c>
      <c r="C634">
        <v>6975604</v>
      </c>
      <c r="H634" t="s">
        <v>136</v>
      </c>
      <c r="I634">
        <v>4437.4535986499995</v>
      </c>
      <c r="J634">
        <v>0</v>
      </c>
      <c r="K634">
        <v>0.08</v>
      </c>
      <c r="L634">
        <v>0</v>
      </c>
      <c r="M634">
        <v>1.0342676949774992</v>
      </c>
      <c r="N634">
        <v>0</v>
      </c>
      <c r="O634">
        <v>0.0086188974581458272</v>
      </c>
      <c r="P634">
        <v>0.034429000000000001</v>
      </c>
      <c r="Q634">
        <v>1.5514015424662487E-05</v>
      </c>
      <c r="R634">
        <v>29999.99999</v>
      </c>
      <c r="S634">
        <v>0</v>
      </c>
      <c r="T634">
        <v>0</v>
      </c>
      <c r="V634">
        <v>900</v>
      </c>
      <c r="W634">
        <v>10</v>
      </c>
      <c r="X634">
        <v>85</v>
      </c>
      <c r="Y634">
        <v>3</v>
      </c>
      <c r="Z634">
        <v>4</v>
      </c>
      <c r="AA634">
        <v>5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50</v>
      </c>
      <c r="AM634">
        <v>2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10</v>
      </c>
      <c r="AU634">
        <v>0</v>
      </c>
      <c r="AV634">
        <v>0</v>
      </c>
    </row>
    <row r="635" spans="1:48" ht="12.75">
      <c r="A635" s="2" t="str">
        <f>HYPERLINK("https://ibp.a2mac1.com/costing(costing:projects/details/8191/equipment/6948223)","No.03 - Injection Press - 80T - 30kW - 370x370 - Max Volume 260cm3 ")</f>
        <v xml:space="preserve">No.03 - Injection Press - 80T - 30kW - 370x370 - Max Volume 260cm3 </v>
      </c>
      <c r="B635">
        <v>6948223</v>
      </c>
      <c r="C635">
        <v>6975606</v>
      </c>
      <c r="E635" t="s">
        <v>499</v>
      </c>
      <c r="H635" t="s">
        <v>136</v>
      </c>
      <c r="I635">
        <v>19639.85152</v>
      </c>
      <c r="J635">
        <v>0</v>
      </c>
      <c r="K635">
        <v>2.1332</v>
      </c>
      <c r="L635">
        <v>0</v>
      </c>
      <c r="M635">
        <v>6.2138575891996144</v>
      </c>
      <c r="N635">
        <v>0</v>
      </c>
      <c r="O635">
        <v>0.030572714421043395</v>
      </c>
      <c r="P635">
        <v>0.0050818093415833333</v>
      </c>
      <c r="Q635">
        <v>0.0037601205107039536</v>
      </c>
      <c r="R635">
        <v>115000</v>
      </c>
      <c r="S635">
        <v>0</v>
      </c>
      <c r="T635">
        <v>0</v>
      </c>
      <c r="V635">
        <v>7200</v>
      </c>
      <c r="W635">
        <v>8</v>
      </c>
      <c r="X635">
        <v>85</v>
      </c>
      <c r="Y635">
        <v>3</v>
      </c>
      <c r="Z635">
        <v>4</v>
      </c>
      <c r="AA635">
        <v>5</v>
      </c>
      <c r="AB635">
        <v>0</v>
      </c>
      <c r="AC635">
        <v>0</v>
      </c>
      <c r="AD635">
        <v>0</v>
      </c>
      <c r="AE635">
        <v>0</v>
      </c>
      <c r="AF635">
        <v>0.25</v>
      </c>
      <c r="AG635">
        <v>0</v>
      </c>
      <c r="AH635">
        <v>0</v>
      </c>
      <c r="AI635">
        <v>2</v>
      </c>
      <c r="AJ635">
        <v>0</v>
      </c>
      <c r="AK635">
        <v>0</v>
      </c>
      <c r="AL635">
        <v>93</v>
      </c>
      <c r="AM635">
        <v>28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32</v>
      </c>
      <c r="AU635">
        <v>0.05</v>
      </c>
      <c r="AV635">
        <v>0</v>
      </c>
    </row>
    <row r="636" spans="1:48" ht="12.75">
      <c r="A636" s="2" t="str">
        <f>HYPERLINK("https://ibp.a2mac1.com/costing(costing:projects/details/8191/equipment/6948224)","Packaging")</f>
        <v>Packaging</v>
      </c>
      <c r="B636">
        <v>6948224</v>
      </c>
      <c r="C636">
        <v>6975607</v>
      </c>
      <c r="H636" t="s">
        <v>136</v>
      </c>
      <c r="I636">
        <v>4437.4535986499995</v>
      </c>
      <c r="J636">
        <v>0</v>
      </c>
      <c r="K636">
        <v>0.08</v>
      </c>
      <c r="L636">
        <v>0</v>
      </c>
      <c r="M636">
        <v>1.0342676949774992</v>
      </c>
      <c r="N636">
        <v>0</v>
      </c>
      <c r="O636">
        <v>0.0086188974581458272</v>
      </c>
      <c r="P636">
        <v>0.034429000000000001</v>
      </c>
      <c r="Q636">
        <v>1.5514015424662487E-05</v>
      </c>
      <c r="R636">
        <v>29999.99999</v>
      </c>
      <c r="S636">
        <v>0</v>
      </c>
      <c r="T636">
        <v>0</v>
      </c>
      <c r="V636">
        <v>900</v>
      </c>
      <c r="W636">
        <v>10</v>
      </c>
      <c r="X636">
        <v>85</v>
      </c>
      <c r="Y636">
        <v>3</v>
      </c>
      <c r="Z636">
        <v>4</v>
      </c>
      <c r="AA636">
        <v>5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50</v>
      </c>
      <c r="AM636">
        <v>2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10</v>
      </c>
      <c r="AU636">
        <v>0</v>
      </c>
      <c r="AV636">
        <v>0</v>
      </c>
    </row>
    <row r="637" spans="1:48" ht="12.75">
      <c r="A637" s="2" t="str">
        <f>HYPERLINK("https://ibp.a2mac1.com/costing(costing:projects/details/8191/equipment/6948225)","No.06 - Injection Press - 200T - 45kW - 510x510 - Max Volume 624cm3 ")</f>
        <v xml:space="preserve">No.06 - Injection Press - 200T - 45kW - 510x510 - Max Volume 624cm3 </v>
      </c>
      <c r="B637">
        <v>6948225</v>
      </c>
      <c r="C637">
        <v>6975608</v>
      </c>
      <c r="E637" t="s">
        <v>499</v>
      </c>
      <c r="H637" t="s">
        <v>136</v>
      </c>
      <c r="I637">
        <v>34247.230880000003</v>
      </c>
      <c r="J637">
        <v>0</v>
      </c>
      <c r="K637">
        <v>2.6539999999999999</v>
      </c>
      <c r="L637">
        <v>0</v>
      </c>
      <c r="M637">
        <v>9.7654160848601741</v>
      </c>
      <c r="N637">
        <v>0</v>
      </c>
      <c r="O637">
        <v>0.052289462949499627</v>
      </c>
      <c r="P637">
        <v>0.0055305597966666667</v>
      </c>
      <c r="Q637">
        <v>0.0041863075301832205</v>
      </c>
      <c r="R637">
        <v>200000</v>
      </c>
      <c r="S637">
        <v>0</v>
      </c>
      <c r="T637">
        <v>0</v>
      </c>
      <c r="V637">
        <v>7200</v>
      </c>
      <c r="W637">
        <v>8</v>
      </c>
      <c r="X637">
        <v>85</v>
      </c>
      <c r="Y637">
        <v>3</v>
      </c>
      <c r="Z637">
        <v>4</v>
      </c>
      <c r="AA637">
        <v>5</v>
      </c>
      <c r="AB637">
        <v>0</v>
      </c>
      <c r="AC637">
        <v>0</v>
      </c>
      <c r="AD637">
        <v>0</v>
      </c>
      <c r="AE637">
        <v>0</v>
      </c>
      <c r="AF637">
        <v>0.25</v>
      </c>
      <c r="AG637">
        <v>0</v>
      </c>
      <c r="AH637">
        <v>0</v>
      </c>
      <c r="AI637">
        <v>2</v>
      </c>
      <c r="AJ637">
        <v>0</v>
      </c>
      <c r="AK637">
        <v>0</v>
      </c>
      <c r="AL637">
        <v>93</v>
      </c>
      <c r="AM637">
        <v>35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58</v>
      </c>
      <c r="AU637">
        <v>0.05</v>
      </c>
      <c r="AV637">
        <v>0</v>
      </c>
    </row>
    <row r="638" spans="1:48" ht="12.75">
      <c r="A638" s="2" t="str">
        <f>HYPERLINK("https://ibp.a2mac1.com/costing(costing:projects/details/8191/equipment/6948226)","Packaging")</f>
        <v>Packaging</v>
      </c>
      <c r="B638">
        <v>6948226</v>
      </c>
      <c r="C638">
        <v>6975609</v>
      </c>
      <c r="H638" t="s">
        <v>136</v>
      </c>
      <c r="I638">
        <v>4437.4535986499995</v>
      </c>
      <c r="J638">
        <v>0</v>
      </c>
      <c r="K638">
        <v>0.08</v>
      </c>
      <c r="L638">
        <v>0</v>
      </c>
      <c r="M638">
        <v>1.0342676949774992</v>
      </c>
      <c r="N638">
        <v>0</v>
      </c>
      <c r="O638">
        <v>0.0086188974581458272</v>
      </c>
      <c r="P638">
        <v>0.034429000000000001</v>
      </c>
      <c r="Q638">
        <v>1.5514015424662487E-05</v>
      </c>
      <c r="R638">
        <v>29999.99999</v>
      </c>
      <c r="S638">
        <v>0</v>
      </c>
      <c r="T638">
        <v>0</v>
      </c>
      <c r="V638">
        <v>900</v>
      </c>
      <c r="W638">
        <v>10</v>
      </c>
      <c r="X638">
        <v>85</v>
      </c>
      <c r="Y638">
        <v>3</v>
      </c>
      <c r="Z638">
        <v>4</v>
      </c>
      <c r="AA638">
        <v>5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50</v>
      </c>
      <c r="AM638">
        <v>2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10</v>
      </c>
      <c r="AU638">
        <v>0</v>
      </c>
      <c r="AV638">
        <v>0</v>
      </c>
    </row>
    <row r="639" spans="1:48" ht="12.75">
      <c r="A639" s="2" t="str">
        <f>HYPERLINK("https://ibp.a2mac1.com/costing(costing:projects/details/8191/equipment/6948228)","No.02 - Injection Press - 60T - 25kW - 320x320 - Max Volume 164cm3 ")</f>
        <v xml:space="preserve">No.02 - Injection Press - 60T - 25kW - 320x320 - Max Volume 164cm3 </v>
      </c>
      <c r="B639">
        <v>6948228</v>
      </c>
      <c r="C639">
        <v>6975611</v>
      </c>
      <c r="E639" t="s">
        <v>499</v>
      </c>
      <c r="H639" t="s">
        <v>136</v>
      </c>
      <c r="I639">
        <v>16929.888640000001</v>
      </c>
      <c r="J639">
        <v>0</v>
      </c>
      <c r="K639">
        <v>1.9124000000000001</v>
      </c>
      <c r="L639">
        <v>0</v>
      </c>
      <c r="M639">
        <v>5.4369722661523623</v>
      </c>
      <c r="N639">
        <v>0</v>
      </c>
      <c r="O639">
        <v>0.043228520736936032</v>
      </c>
      <c r="P639">
        <v>0.0082121887013333339</v>
      </c>
      <c r="Q639">
        <v>0.0036668942719382835</v>
      </c>
      <c r="R639">
        <v>100000</v>
      </c>
      <c r="S639">
        <v>0</v>
      </c>
      <c r="T639">
        <v>0</v>
      </c>
      <c r="V639">
        <v>7200</v>
      </c>
      <c r="W639">
        <v>8</v>
      </c>
      <c r="X639">
        <v>85</v>
      </c>
      <c r="Y639">
        <v>3</v>
      </c>
      <c r="Z639">
        <v>4</v>
      </c>
      <c r="AA639">
        <v>5</v>
      </c>
      <c r="AB639">
        <v>0</v>
      </c>
      <c r="AC639">
        <v>0</v>
      </c>
      <c r="AD639">
        <v>0</v>
      </c>
      <c r="AE639">
        <v>0</v>
      </c>
      <c r="AF639">
        <v>0.25</v>
      </c>
      <c r="AG639">
        <v>0</v>
      </c>
      <c r="AH639">
        <v>0</v>
      </c>
      <c r="AI639">
        <v>2</v>
      </c>
      <c r="AJ639">
        <v>0</v>
      </c>
      <c r="AK639">
        <v>0</v>
      </c>
      <c r="AL639">
        <v>97</v>
      </c>
      <c r="AM639">
        <v>24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24</v>
      </c>
      <c r="AU639">
        <v>0.05</v>
      </c>
      <c r="AV639">
        <v>0</v>
      </c>
    </row>
    <row r="640" spans="1:48" ht="12.75">
      <c r="A640" s="2" t="str">
        <f>HYPERLINK("https://ibp.a2mac1.com/costing(costing:projects/details/8191/equipment/6948227)","Packaging")</f>
        <v>Packaging</v>
      </c>
      <c r="B640">
        <v>6948227</v>
      </c>
      <c r="C640">
        <v>6975610</v>
      </c>
      <c r="H640" t="s">
        <v>136</v>
      </c>
      <c r="I640">
        <v>4437.4535986499995</v>
      </c>
      <c r="J640">
        <v>0</v>
      </c>
      <c r="K640">
        <v>0.08</v>
      </c>
      <c r="L640">
        <v>0</v>
      </c>
      <c r="M640">
        <v>1.0342676949774992</v>
      </c>
      <c r="N640">
        <v>0</v>
      </c>
      <c r="O640">
        <v>0.0086188974581458272</v>
      </c>
      <c r="P640">
        <v>0.034429000000000001</v>
      </c>
      <c r="Q640">
        <v>1.5514015424662487E-05</v>
      </c>
      <c r="R640">
        <v>29999.99999</v>
      </c>
      <c r="S640">
        <v>0</v>
      </c>
      <c r="T640">
        <v>0</v>
      </c>
      <c r="V640">
        <v>900</v>
      </c>
      <c r="W640">
        <v>10</v>
      </c>
      <c r="X640">
        <v>85</v>
      </c>
      <c r="Y640">
        <v>3</v>
      </c>
      <c r="Z640">
        <v>4</v>
      </c>
      <c r="AA640">
        <v>5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50</v>
      </c>
      <c r="AM640">
        <v>2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10</v>
      </c>
      <c r="AU640">
        <v>0</v>
      </c>
      <c r="AV640">
        <v>0</v>
      </c>
    </row>
    <row r="641" spans="1:48" ht="12.75">
      <c r="A641" s="2" t="str">
        <f>HYPERLINK("https://ibp.a2mac1.com/costing(costing:projects/details/8191/equipment/6948229)","Equipment (Injection Molding)")</f>
        <v>Equipment (Injection Molding)</v>
      </c>
      <c r="B641">
        <v>6948229</v>
      </c>
      <c r="C641">
        <v>6975612</v>
      </c>
      <c r="H641" t="s">
        <v>136</v>
      </c>
      <c r="I641">
        <v>1054.1180400000001</v>
      </c>
      <c r="J641">
        <v>0</v>
      </c>
      <c r="K641">
        <v>0.0448</v>
      </c>
      <c r="L641">
        <v>0</v>
      </c>
      <c r="M641">
        <v>0.25921948569591768</v>
      </c>
      <c r="N641">
        <v>0</v>
      </c>
      <c r="O641">
        <v>0.0043203247615986283</v>
      </c>
      <c r="P641">
        <v>0.00027543199999999999</v>
      </c>
      <c r="Q641">
        <v>2.2841729537126327E-05</v>
      </c>
      <c r="R641">
        <v>5600</v>
      </c>
      <c r="S641">
        <v>0</v>
      </c>
      <c r="T641">
        <v>0</v>
      </c>
      <c r="V641">
        <v>54</v>
      </c>
      <c r="W641">
        <v>7</v>
      </c>
      <c r="X641">
        <v>85</v>
      </c>
      <c r="Y641">
        <v>3</v>
      </c>
      <c r="Z641">
        <v>4</v>
      </c>
      <c r="AA641">
        <v>5</v>
      </c>
      <c r="AB641">
        <v>0</v>
      </c>
      <c r="AC641">
        <v>0</v>
      </c>
      <c r="AD641">
        <v>0</v>
      </c>
      <c r="AE641">
        <v>0</v>
      </c>
      <c r="AF641">
        <v>0.0040000000000000001</v>
      </c>
      <c r="AG641">
        <v>0</v>
      </c>
      <c r="AH641">
        <v>0</v>
      </c>
      <c r="AI641">
        <v>2</v>
      </c>
      <c r="AJ641">
        <v>0</v>
      </c>
      <c r="AK641">
        <v>0</v>
      </c>
      <c r="AL641">
        <v>80</v>
      </c>
      <c r="AM641">
        <v>0.70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1.50</v>
      </c>
      <c r="AU641">
        <v>0</v>
      </c>
      <c r="AV641">
        <v>0</v>
      </c>
    </row>
    <row r="642" spans="1:48" ht="12.75">
      <c r="A642" s="2" t="str">
        <f>HYPERLINK("https://ibp.a2mac1.com/costing(costing:projects/details/8191/equipment/6948230)","Equipment (Injection Molding)")</f>
        <v>Equipment (Injection Molding)</v>
      </c>
      <c r="B642">
        <v>6948230</v>
      </c>
      <c r="C642">
        <v>6975613</v>
      </c>
      <c r="H642" t="s">
        <v>136</v>
      </c>
      <c r="I642">
        <v>131.76475500000001</v>
      </c>
      <c r="J642">
        <v>0</v>
      </c>
      <c r="K642">
        <v>0.0055999999999999999</v>
      </c>
      <c r="L642">
        <v>0</v>
      </c>
      <c r="M642">
        <v>0.032402435711989711</v>
      </c>
      <c r="N642">
        <v>0</v>
      </c>
      <c r="O642">
        <v>0.00054004059519982854</v>
      </c>
      <c r="P642">
        <v>3.4428999999999999E-05</v>
      </c>
      <c r="Q642">
        <v>2.8296992740175987E-06</v>
      </c>
      <c r="R642">
        <v>700</v>
      </c>
      <c r="S642">
        <v>0</v>
      </c>
      <c r="T642">
        <v>0</v>
      </c>
      <c r="V642">
        <v>6.75</v>
      </c>
      <c r="W642">
        <v>7</v>
      </c>
      <c r="X642">
        <v>85</v>
      </c>
      <c r="Y642">
        <v>3</v>
      </c>
      <c r="Z642">
        <v>4</v>
      </c>
      <c r="AA642">
        <v>5</v>
      </c>
      <c r="AB642">
        <v>0</v>
      </c>
      <c r="AC642">
        <v>0</v>
      </c>
      <c r="AD642">
        <v>0</v>
      </c>
      <c r="AE642">
        <v>0</v>
      </c>
      <c r="AF642">
        <v>0.00050000000000000001</v>
      </c>
      <c r="AG642">
        <v>0</v>
      </c>
      <c r="AH642">
        <v>0</v>
      </c>
      <c r="AI642">
        <v>2</v>
      </c>
      <c r="AJ642">
        <v>0</v>
      </c>
      <c r="AK642">
        <v>0</v>
      </c>
      <c r="AL642">
        <v>80</v>
      </c>
      <c r="AM642">
        <v>0.0875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0.1875</v>
      </c>
      <c r="AU642">
        <v>0</v>
      </c>
      <c r="AV642">
        <v>0</v>
      </c>
    </row>
    <row r="643" spans="1:48" ht="12.75">
      <c r="A643" s="2" t="str">
        <f>HYPERLINK("https://ibp.a2mac1.com/costing(costing:projects/details/8191/equipment/6948231)","Equipment (Injection Molding)")</f>
        <v>Equipment (Injection Molding)</v>
      </c>
      <c r="B643">
        <v>6948231</v>
      </c>
      <c r="C643">
        <v>6975613</v>
      </c>
      <c r="H643" t="s">
        <v>136</v>
      </c>
      <c r="I643">
        <v>131.76475500000001</v>
      </c>
      <c r="J643">
        <v>0</v>
      </c>
      <c r="K643">
        <v>0.0055999999999999999</v>
      </c>
      <c r="L643">
        <v>0</v>
      </c>
      <c r="M643">
        <v>0.032402435711989711</v>
      </c>
      <c r="N643">
        <v>0</v>
      </c>
      <c r="O643">
        <v>0.00054004059519982854</v>
      </c>
      <c r="P643">
        <v>3.4428999999999999E-05</v>
      </c>
      <c r="Q643">
        <v>2.8296992740175987E-06</v>
      </c>
      <c r="R643">
        <v>700</v>
      </c>
      <c r="S643">
        <v>0</v>
      </c>
      <c r="T643">
        <v>0</v>
      </c>
      <c r="V643">
        <v>6.75</v>
      </c>
      <c r="W643">
        <v>7</v>
      </c>
      <c r="X643">
        <v>85</v>
      </c>
      <c r="Y643">
        <v>3</v>
      </c>
      <c r="Z643">
        <v>4</v>
      </c>
      <c r="AA643">
        <v>5</v>
      </c>
      <c r="AB643">
        <v>0</v>
      </c>
      <c r="AC643">
        <v>0</v>
      </c>
      <c r="AD643">
        <v>0</v>
      </c>
      <c r="AE643">
        <v>0</v>
      </c>
      <c r="AF643">
        <v>0.00050000000000000001</v>
      </c>
      <c r="AG643">
        <v>0</v>
      </c>
      <c r="AH643">
        <v>0</v>
      </c>
      <c r="AI643">
        <v>2</v>
      </c>
      <c r="AJ643">
        <v>0</v>
      </c>
      <c r="AK643">
        <v>0</v>
      </c>
      <c r="AL643">
        <v>80</v>
      </c>
      <c r="AM643">
        <v>0.0875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0.1875</v>
      </c>
      <c r="AU643">
        <v>0</v>
      </c>
      <c r="AV643">
        <v>0</v>
      </c>
    </row>
    <row r="644" spans="1:48" ht="12.75">
      <c r="A644" s="2" t="str">
        <f>HYPERLINK("https://ibp.a2mac1.com/costing(costing:projects/details/8191/equipment/6947957)","Assembly line")</f>
        <v>Assembly line</v>
      </c>
      <c r="B644">
        <v>6947957</v>
      </c>
      <c r="C644">
        <v>6975380</v>
      </c>
      <c r="H644" t="s">
        <v>136</v>
      </c>
      <c r="I644">
        <v>63074.721599999997</v>
      </c>
      <c r="J644">
        <v>0</v>
      </c>
      <c r="K644">
        <v>5.2000019999999996</v>
      </c>
      <c r="L644">
        <v>0</v>
      </c>
      <c r="M644">
        <v>18.953573456123433</v>
      </c>
      <c r="N644">
        <v>0</v>
      </c>
      <c r="O644">
        <v>0.31589289093539052</v>
      </c>
      <c r="P644">
        <v>0.068858000000000003</v>
      </c>
      <c r="Q644">
        <v>0.0015756906728061717</v>
      </c>
      <c r="R644">
        <v>450000</v>
      </c>
      <c r="S644">
        <v>0</v>
      </c>
      <c r="T644">
        <v>0</v>
      </c>
      <c r="V644">
        <v>1800</v>
      </c>
      <c r="W644">
        <v>10</v>
      </c>
      <c r="X644">
        <v>85</v>
      </c>
      <c r="Y644">
        <v>3</v>
      </c>
      <c r="Z644">
        <v>4</v>
      </c>
      <c r="AA644">
        <v>5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86.666700000000006</v>
      </c>
      <c r="AM644">
        <v>75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60</v>
      </c>
      <c r="AU644">
        <v>0</v>
      </c>
      <c r="AV644">
        <v>0</v>
      </c>
    </row>
    <row r="645" spans="1:48" ht="12.75">
      <c r="A645" s="2" t="str">
        <f>HYPERLINK("https://ibp.a2mac1.com/costing(costing:projects/details/8191/equipment/6947948)","Dummy Machine (PCBA+Final Assembly Line)")</f>
        <v>Dummy Machine (PCBA+Final Assembly Line)</v>
      </c>
      <c r="B645">
        <v>6947948</v>
      </c>
      <c r="C645">
        <v>6975371</v>
      </c>
      <c r="F645" t="s">
        <v>559</v>
      </c>
      <c r="H645" t="s">
        <v>136</v>
      </c>
      <c r="I645">
        <v>79501.662769714283</v>
      </c>
      <c r="J645">
        <v>0</v>
      </c>
      <c r="K645">
        <v>0.28895999999999999</v>
      </c>
      <c r="L645">
        <v>0</v>
      </c>
      <c r="M645">
        <v>16.624578413647427</v>
      </c>
      <c r="N645">
        <v>0</v>
      </c>
      <c r="O645">
        <v>0.43870415258236262</v>
      </c>
      <c r="P645">
        <v>0.076317616666666671</v>
      </c>
      <c r="Q645">
        <v>6.889185508913073E-05</v>
      </c>
      <c r="R645">
        <v>442771.10</v>
      </c>
      <c r="S645">
        <v>0</v>
      </c>
      <c r="T645">
        <v>0</v>
      </c>
      <c r="V645">
        <v>216</v>
      </c>
      <c r="W645">
        <v>7</v>
      </c>
      <c r="X645">
        <v>85</v>
      </c>
      <c r="Y645">
        <v>3</v>
      </c>
      <c r="Z645">
        <v>4</v>
      </c>
      <c r="AA645">
        <v>5</v>
      </c>
      <c r="AB645">
        <v>0</v>
      </c>
      <c r="AC645">
        <v>0</v>
      </c>
      <c r="AD645">
        <v>0</v>
      </c>
      <c r="AE645">
        <v>0</v>
      </c>
      <c r="AF645">
        <v>0.70</v>
      </c>
      <c r="AG645">
        <v>0</v>
      </c>
      <c r="AH645">
        <v>0</v>
      </c>
      <c r="AI645">
        <v>0.20</v>
      </c>
      <c r="AJ645">
        <v>0</v>
      </c>
      <c r="AK645">
        <v>0</v>
      </c>
      <c r="AL645">
        <v>86</v>
      </c>
      <c r="AM645">
        <v>4.20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19.40</v>
      </c>
      <c r="AU645">
        <v>0</v>
      </c>
      <c r="AV645">
        <v>0</v>
      </c>
    </row>
    <row r="646" spans="1:48" ht="12.75">
      <c r="A646" s="2" t="str">
        <f>HYPERLINK("https://ibp.a2mac1.com/costing(costing:projects/details/8191/equipment/6947950)","Equipment (Stamping)")</f>
        <v>Equipment (Stamping)</v>
      </c>
      <c r="B646">
        <v>6947950</v>
      </c>
      <c r="C646">
        <v>6975373</v>
      </c>
      <c r="H646" t="s">
        <v>136</v>
      </c>
      <c r="I646">
        <v>716.18946857142862</v>
      </c>
      <c r="J646">
        <v>0</v>
      </c>
      <c r="K646">
        <v>0.032000000000000001</v>
      </c>
      <c r="L646">
        <v>0</v>
      </c>
      <c r="M646">
        <v>0.17683919456307112</v>
      </c>
      <c r="N646">
        <v>0</v>
      </c>
      <c r="O646">
        <v>0.00049121998489741979</v>
      </c>
      <c r="P646">
        <v>5.7381666666666666E-05</v>
      </c>
      <c r="Q646">
        <v>0.0007589195758368921</v>
      </c>
      <c r="R646">
        <v>3700</v>
      </c>
      <c r="S646">
        <v>0</v>
      </c>
      <c r="T646">
        <v>0</v>
      </c>
      <c r="V646">
        <v>1800</v>
      </c>
      <c r="W646">
        <v>7</v>
      </c>
      <c r="X646">
        <v>85</v>
      </c>
      <c r="Y646">
        <v>3</v>
      </c>
      <c r="Z646">
        <v>4</v>
      </c>
      <c r="AA646">
        <v>5</v>
      </c>
      <c r="AB646">
        <v>0</v>
      </c>
      <c r="AC646">
        <v>0</v>
      </c>
      <c r="AD646">
        <v>0</v>
      </c>
      <c r="AE646">
        <v>0</v>
      </c>
      <c r="AF646">
        <v>0.005</v>
      </c>
      <c r="AG646">
        <v>0</v>
      </c>
      <c r="AH646">
        <v>0</v>
      </c>
      <c r="AI646">
        <v>2</v>
      </c>
      <c r="AJ646">
        <v>0</v>
      </c>
      <c r="AK646">
        <v>0</v>
      </c>
      <c r="AL646">
        <v>80</v>
      </c>
      <c r="AM646">
        <v>0.50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1.50</v>
      </c>
      <c r="AU646">
        <v>0</v>
      </c>
      <c r="AV646">
        <v>0</v>
      </c>
    </row>
    <row r="647" spans="1:48" ht="12.75">
      <c r="A647" s="2" t="str">
        <f>HYPERLINK("https://ibp.a2mac1.com/costing(costing:projects/details/8191/equipment/6947951)","No.01 - Generic CN Wire Bending ")</f>
        <v xml:space="preserve">No.01 - Generic CN Wire Bending </v>
      </c>
      <c r="B647">
        <v>6947951</v>
      </c>
      <c r="C647">
        <v>6975374</v>
      </c>
      <c r="E647" t="s">
        <v>499</v>
      </c>
      <c r="G647" t="s">
        <v>4772</v>
      </c>
      <c r="H647" t="s">
        <v>136</v>
      </c>
      <c r="I647">
        <v>39737.935922999997</v>
      </c>
      <c r="J647">
        <v>0</v>
      </c>
      <c r="K647">
        <v>0.40079999999999999</v>
      </c>
      <c r="L647">
        <v>0</v>
      </c>
      <c r="M647">
        <v>8.547922760045001</v>
      </c>
      <c r="N647">
        <v>0</v>
      </c>
      <c r="O647">
        <v>0.011872114944506946</v>
      </c>
      <c r="P647">
        <v>0.0057381666666666666</v>
      </c>
      <c r="Q647">
        <v>0.00070127896560270007</v>
      </c>
      <c r="R647">
        <v>219069.2378</v>
      </c>
      <c r="S647">
        <v>0</v>
      </c>
      <c r="T647">
        <v>0</v>
      </c>
      <c r="V647">
        <v>3600</v>
      </c>
      <c r="W647">
        <v>7</v>
      </c>
      <c r="X647">
        <v>85</v>
      </c>
      <c r="Y647">
        <v>3</v>
      </c>
      <c r="Z647">
        <v>4</v>
      </c>
      <c r="AA647">
        <v>5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0.25</v>
      </c>
      <c r="AJ647">
        <v>0</v>
      </c>
      <c r="AK647">
        <v>0</v>
      </c>
      <c r="AL647">
        <v>94</v>
      </c>
      <c r="AM647">
        <v>4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20</v>
      </c>
      <c r="AU647">
        <v>0.10</v>
      </c>
      <c r="AV647">
        <v>0</v>
      </c>
    </row>
    <row r="648" spans="1:48" ht="12.75">
      <c r="A648" s="2" t="str">
        <f>HYPERLINK("https://ibp.a2mac1.com/costing(costing:projects/details/8191/equipment/6947949)","No.04 - Press Fit Assembly ")</f>
        <v xml:space="preserve">No.04 - Press Fit Assembly </v>
      </c>
      <c r="B648">
        <v>6947949</v>
      </c>
      <c r="C648">
        <v>6975372</v>
      </c>
      <c r="E648" t="s">
        <v>499</v>
      </c>
      <c r="H648" t="s">
        <v>136</v>
      </c>
      <c r="I648">
        <v>13962.360798399999</v>
      </c>
      <c r="J648">
        <v>0</v>
      </c>
      <c r="K648">
        <v>0.39200000000000002</v>
      </c>
      <c r="L648">
        <v>0</v>
      </c>
      <c r="M648">
        <v>3.2789110893442621</v>
      </c>
      <c r="N648">
        <v>0</v>
      </c>
      <c r="O648">
        <v>0.013662129538934427</v>
      </c>
      <c r="P648">
        <v>0.017214500000000001</v>
      </c>
      <c r="Q648">
        <v>4.7517453268032787E-05</v>
      </c>
      <c r="R648">
        <v>79999.999989999997</v>
      </c>
      <c r="S648">
        <v>0</v>
      </c>
      <c r="T648">
        <v>0</v>
      </c>
      <c r="V648">
        <v>180</v>
      </c>
      <c r="W648">
        <v>8</v>
      </c>
      <c r="X648">
        <v>85</v>
      </c>
      <c r="Y648">
        <v>3</v>
      </c>
      <c r="Z648">
        <v>4</v>
      </c>
      <c r="AA648">
        <v>5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98</v>
      </c>
      <c r="AM648">
        <v>5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30</v>
      </c>
      <c r="AU648">
        <v>0</v>
      </c>
      <c r="AV648">
        <v>0</v>
      </c>
    </row>
    <row r="649" spans="1:48" ht="12.75">
      <c r="A649" s="2" t="str">
        <f>HYPERLINK("https://ibp.a2mac1.com/costing(costing:projects/details/8191/equipment/6947952)","Equipment (Casting)")</f>
        <v>Equipment (Casting)</v>
      </c>
      <c r="B649">
        <v>6947952</v>
      </c>
      <c r="C649">
        <v>6975375</v>
      </c>
      <c r="H649" t="s">
        <v>136</v>
      </c>
      <c r="I649">
        <v>1515.2688115714286</v>
      </c>
      <c r="J649">
        <v>0</v>
      </c>
      <c r="K649">
        <v>0.0528</v>
      </c>
      <c r="L649">
        <v>0</v>
      </c>
      <c r="M649">
        <v>0.3626310529687285</v>
      </c>
      <c r="N649">
        <v>0</v>
      </c>
      <c r="O649">
        <v>0.0090657763242182124</v>
      </c>
      <c r="P649">
        <v>0.0017042355000000001</v>
      </c>
      <c r="Q649">
        <v>0.00063070699856097607</v>
      </c>
      <c r="R649">
        <v>8250</v>
      </c>
      <c r="S649">
        <v>0</v>
      </c>
      <c r="T649">
        <v>0</v>
      </c>
      <c r="V649">
        <v>1485</v>
      </c>
      <c r="W649">
        <v>7</v>
      </c>
      <c r="X649">
        <v>85</v>
      </c>
      <c r="Y649">
        <v>3</v>
      </c>
      <c r="Z649">
        <v>4</v>
      </c>
      <c r="AA649">
        <v>5</v>
      </c>
      <c r="AB649">
        <v>0</v>
      </c>
      <c r="AC649">
        <v>0</v>
      </c>
      <c r="AD649">
        <v>0</v>
      </c>
      <c r="AE649">
        <v>0</v>
      </c>
      <c r="AF649">
        <v>0.016500000000000001</v>
      </c>
      <c r="AG649">
        <v>0</v>
      </c>
      <c r="AH649">
        <v>0</v>
      </c>
      <c r="AI649">
        <v>2</v>
      </c>
      <c r="AJ649">
        <v>0</v>
      </c>
      <c r="AK649">
        <v>0</v>
      </c>
      <c r="AL649">
        <v>80</v>
      </c>
      <c r="AM649">
        <v>0.825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1.2375</v>
      </c>
      <c r="AU649">
        <v>0</v>
      </c>
      <c r="AV649">
        <v>0</v>
      </c>
    </row>
    <row r="650" spans="1:48" ht="12.75">
      <c r="A650" s="2" t="str">
        <f>HYPERLINK("https://ibp.a2mac1.com/costing(costing:projects/details/8191/equipment/6947953)","Equipment (Stamping)")</f>
        <v>Equipment (Stamping)</v>
      </c>
      <c r="B650">
        <v>6947953</v>
      </c>
      <c r="C650">
        <v>6975376</v>
      </c>
      <c r="H650" t="s">
        <v>136</v>
      </c>
      <c r="I650">
        <v>716.18946857142862</v>
      </c>
      <c r="J650">
        <v>0</v>
      </c>
      <c r="K650">
        <v>0.032000000000000001</v>
      </c>
      <c r="L650">
        <v>0</v>
      </c>
      <c r="M650">
        <v>0.17683919456307112</v>
      </c>
      <c r="N650">
        <v>0</v>
      </c>
      <c r="O650">
        <v>0.0014736599546922595</v>
      </c>
      <c r="P650">
        <v>0.00017214500000000001</v>
      </c>
      <c r="Q650">
        <v>0.0007589195758368921</v>
      </c>
      <c r="R650">
        <v>3700</v>
      </c>
      <c r="S650">
        <v>0</v>
      </c>
      <c r="T650">
        <v>0</v>
      </c>
      <c r="V650">
        <v>1800</v>
      </c>
      <c r="W650">
        <v>7</v>
      </c>
      <c r="X650">
        <v>85</v>
      </c>
      <c r="Y650">
        <v>3</v>
      </c>
      <c r="Z650">
        <v>4</v>
      </c>
      <c r="AA650">
        <v>5</v>
      </c>
      <c r="AB650">
        <v>0</v>
      </c>
      <c r="AC650">
        <v>0</v>
      </c>
      <c r="AD650">
        <v>0</v>
      </c>
      <c r="AE650">
        <v>0</v>
      </c>
      <c r="AF650">
        <v>0.005</v>
      </c>
      <c r="AG650">
        <v>0</v>
      </c>
      <c r="AH650">
        <v>0</v>
      </c>
      <c r="AI650">
        <v>2</v>
      </c>
      <c r="AJ650">
        <v>0</v>
      </c>
      <c r="AK650">
        <v>0</v>
      </c>
      <c r="AL650">
        <v>80</v>
      </c>
      <c r="AM650">
        <v>0.50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1.50</v>
      </c>
      <c r="AU650">
        <v>0</v>
      </c>
      <c r="AV650">
        <v>0</v>
      </c>
    </row>
    <row r="651" spans="1:48" ht="12.75">
      <c r="A651" s="2" t="str">
        <f>HYPERLINK("https://ibp.a2mac1.com/costing(costing:projects/details/8191/equipment/6947955)","No.01 - Injection Press - 40T - 18kW - 270x270 - Max Volume 128cm3 ")</f>
        <v xml:space="preserve">No.01 - Injection Press - 40T - 18kW - 270x270 - Max Volume 128cm3 </v>
      </c>
      <c r="B651">
        <v>6947955</v>
      </c>
      <c r="C651">
        <v>6975378</v>
      </c>
      <c r="E651" t="s">
        <v>499</v>
      </c>
      <c r="H651" t="s">
        <v>136</v>
      </c>
      <c r="I651">
        <v>13574.9072</v>
      </c>
      <c r="J651">
        <v>0</v>
      </c>
      <c r="K651">
        <v>1.6020000000000001</v>
      </c>
      <c r="L651">
        <v>0</v>
      </c>
      <c r="M651">
        <v>4.4266395371263263</v>
      </c>
      <c r="N651">
        <v>0</v>
      </c>
      <c r="O651">
        <v>0.036191503970951465</v>
      </c>
      <c r="P651">
        <v>0.0084445815822499996</v>
      </c>
      <c r="Q651">
        <v>0.0035456543444551589</v>
      </c>
      <c r="R651">
        <v>80000</v>
      </c>
      <c r="S651">
        <v>0</v>
      </c>
      <c r="T651">
        <v>0</v>
      </c>
      <c r="V651">
        <v>7200</v>
      </c>
      <c r="W651">
        <v>8</v>
      </c>
      <c r="X651">
        <v>85</v>
      </c>
      <c r="Y651">
        <v>3</v>
      </c>
      <c r="Z651">
        <v>4</v>
      </c>
      <c r="AA651">
        <v>5</v>
      </c>
      <c r="AB651">
        <v>0</v>
      </c>
      <c r="AC651">
        <v>0</v>
      </c>
      <c r="AD651">
        <v>0</v>
      </c>
      <c r="AE651">
        <v>0</v>
      </c>
      <c r="AF651">
        <v>0.25</v>
      </c>
      <c r="AG651">
        <v>0</v>
      </c>
      <c r="AH651">
        <v>0</v>
      </c>
      <c r="AI651">
        <v>2</v>
      </c>
      <c r="AJ651">
        <v>0</v>
      </c>
      <c r="AK651">
        <v>0</v>
      </c>
      <c r="AL651">
        <v>97</v>
      </c>
      <c r="AM651">
        <v>20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20</v>
      </c>
      <c r="AU651">
        <v>0.05</v>
      </c>
      <c r="AV651">
        <v>0</v>
      </c>
    </row>
    <row r="652" spans="1:48" ht="12.75">
      <c r="A652" s="2" t="str">
        <f>HYPERLINK("https://ibp.a2mac1.com/costing(costing:projects/details/8191/equipment/6947954)","Packaging")</f>
        <v>Packaging</v>
      </c>
      <c r="B652">
        <v>6947954</v>
      </c>
      <c r="C652">
        <v>6975377</v>
      </c>
      <c r="H652" t="s">
        <v>136</v>
      </c>
      <c r="I652">
        <v>4437.4535986499995</v>
      </c>
      <c r="J652">
        <v>0</v>
      </c>
      <c r="K652">
        <v>0.08</v>
      </c>
      <c r="L652">
        <v>0</v>
      </c>
      <c r="M652">
        <v>1.0342676949774992</v>
      </c>
      <c r="N652">
        <v>0</v>
      </c>
      <c r="O652">
        <v>0.0086188974581458272</v>
      </c>
      <c r="P652">
        <v>0.034429000000000001</v>
      </c>
      <c r="Q652">
        <v>1.5514015424662487E-05</v>
      </c>
      <c r="R652">
        <v>29999.99999</v>
      </c>
      <c r="S652">
        <v>0</v>
      </c>
      <c r="T652">
        <v>0</v>
      </c>
      <c r="V652">
        <v>900</v>
      </c>
      <c r="W652">
        <v>10</v>
      </c>
      <c r="X652">
        <v>85</v>
      </c>
      <c r="Y652">
        <v>3</v>
      </c>
      <c r="Z652">
        <v>4</v>
      </c>
      <c r="AA652">
        <v>5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50</v>
      </c>
      <c r="AM652">
        <v>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10</v>
      </c>
      <c r="AU652">
        <v>0</v>
      </c>
      <c r="AV652">
        <v>0</v>
      </c>
    </row>
    <row r="653" spans="1:48" ht="12.75">
      <c r="A653" s="2" t="str">
        <f>HYPERLINK("https://ibp.a2mac1.com/costing(costing:projects/details/8191/equipment/6947956)","Equipment (Stamping)")</f>
        <v>Equipment (Stamping)</v>
      </c>
      <c r="B653">
        <v>6947956</v>
      </c>
      <c r="C653">
        <v>6975379</v>
      </c>
      <c r="H653" t="s">
        <v>136</v>
      </c>
      <c r="I653">
        <v>716.18946857142862</v>
      </c>
      <c r="J653">
        <v>0</v>
      </c>
      <c r="K653">
        <v>0.032000000000000001</v>
      </c>
      <c r="L653">
        <v>0</v>
      </c>
      <c r="M653">
        <v>0.17683919456307112</v>
      </c>
      <c r="N653">
        <v>0</v>
      </c>
      <c r="O653">
        <v>0.00049121998489741979</v>
      </c>
      <c r="P653">
        <v>5.7381666666666666E-05</v>
      </c>
      <c r="Q653">
        <v>0.0007589195758368921</v>
      </c>
      <c r="R653">
        <v>3700</v>
      </c>
      <c r="S653">
        <v>0</v>
      </c>
      <c r="T653">
        <v>0</v>
      </c>
      <c r="V653">
        <v>1800</v>
      </c>
      <c r="W653">
        <v>7</v>
      </c>
      <c r="X653">
        <v>85</v>
      </c>
      <c r="Y653">
        <v>3</v>
      </c>
      <c r="Z653">
        <v>4</v>
      </c>
      <c r="AA653">
        <v>5</v>
      </c>
      <c r="AB653">
        <v>0</v>
      </c>
      <c r="AC653">
        <v>0</v>
      </c>
      <c r="AD653">
        <v>0</v>
      </c>
      <c r="AE653">
        <v>0</v>
      </c>
      <c r="AF653">
        <v>0.005</v>
      </c>
      <c r="AG653">
        <v>0</v>
      </c>
      <c r="AH653">
        <v>0</v>
      </c>
      <c r="AI653">
        <v>2</v>
      </c>
      <c r="AJ653">
        <v>0</v>
      </c>
      <c r="AK653">
        <v>0</v>
      </c>
      <c r="AL653">
        <v>80</v>
      </c>
      <c r="AM653">
        <v>0.50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1.50</v>
      </c>
      <c r="AU653">
        <v>0</v>
      </c>
      <c r="AV653">
        <v>0</v>
      </c>
    </row>
    <row r="654" spans="1:48" ht="12.75">
      <c r="A654" s="2" t="str">
        <f>HYPERLINK("https://ibp.a2mac1.com/costing(costing:projects/details/8191/equipment/6947961)","DC machine - General")</f>
        <v>DC machine - General</v>
      </c>
      <c r="B654">
        <v>6947961</v>
      </c>
      <c r="C654">
        <v>6975382</v>
      </c>
      <c r="E654" t="s">
        <v>659</v>
      </c>
      <c r="H654" t="s">
        <v>136</v>
      </c>
      <c r="I654">
        <v>116914.84457142858</v>
      </c>
      <c r="J654">
        <v>0</v>
      </c>
      <c r="K654">
        <v>3.60</v>
      </c>
      <c r="L654">
        <v>0</v>
      </c>
      <c r="M654">
        <v>27.497982091197134</v>
      </c>
      <c r="N654">
        <v>0</v>
      </c>
      <c r="O654">
        <v>3.4372477613996417</v>
      </c>
      <c r="P654">
        <v>0.51643499999999998</v>
      </c>
      <c r="Q654">
        <v>0.019553610627359139</v>
      </c>
      <c r="R654">
        <v>635568</v>
      </c>
      <c r="S654">
        <v>0</v>
      </c>
      <c r="T654">
        <v>0</v>
      </c>
      <c r="V654">
        <v>10800</v>
      </c>
      <c r="W654">
        <v>7</v>
      </c>
      <c r="X654">
        <v>85</v>
      </c>
      <c r="Y654">
        <v>3</v>
      </c>
      <c r="Z654">
        <v>4</v>
      </c>
      <c r="AA654">
        <v>5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3</v>
      </c>
      <c r="AJ654">
        <v>0</v>
      </c>
      <c r="AK654">
        <v>0</v>
      </c>
      <c r="AL654">
        <v>100</v>
      </c>
      <c r="AM654">
        <v>45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100</v>
      </c>
      <c r="AU654">
        <v>0</v>
      </c>
      <c r="AV654">
        <v>0</v>
      </c>
    </row>
    <row r="655" spans="1:48" ht="12.75">
      <c r="A655" s="2" t="str">
        <f>HYPERLINK("https://ibp.a2mac1.com/costing(costing:projects/details/8191/equipment/6947958)","Equipment (Injection Molding)")</f>
        <v>Equipment (Injection Molding)</v>
      </c>
      <c r="B655">
        <v>6947958</v>
      </c>
      <c r="C655">
        <v>6975381</v>
      </c>
      <c r="H655" t="s">
        <v>136</v>
      </c>
      <c r="I655">
        <v>4704.0017534999997</v>
      </c>
      <c r="J655">
        <v>0</v>
      </c>
      <c r="K655">
        <v>0.19991999999999999</v>
      </c>
      <c r="L655">
        <v>0</v>
      </c>
      <c r="M655">
        <v>1.1567669549180328</v>
      </c>
      <c r="N655">
        <v>0</v>
      </c>
      <c r="O655">
        <v>0.019279449248633881</v>
      </c>
      <c r="P655">
        <v>0.0012291152999999999</v>
      </c>
      <c r="Q655">
        <v>0.00010553599308268955</v>
      </c>
      <c r="R655">
        <v>24990</v>
      </c>
      <c r="S655">
        <v>0</v>
      </c>
      <c r="T655">
        <v>0</v>
      </c>
      <c r="V655">
        <v>240.975</v>
      </c>
      <c r="W655">
        <v>7</v>
      </c>
      <c r="X655">
        <v>85</v>
      </c>
      <c r="Y655">
        <v>3</v>
      </c>
      <c r="Z655">
        <v>4</v>
      </c>
      <c r="AA655">
        <v>5</v>
      </c>
      <c r="AB655">
        <v>0</v>
      </c>
      <c r="AC655">
        <v>0</v>
      </c>
      <c r="AD655">
        <v>0</v>
      </c>
      <c r="AE655">
        <v>0</v>
      </c>
      <c r="AF655">
        <v>0.017850000000000001</v>
      </c>
      <c r="AG655">
        <v>0</v>
      </c>
      <c r="AH655">
        <v>0</v>
      </c>
      <c r="AI655">
        <v>2</v>
      </c>
      <c r="AJ655">
        <v>0</v>
      </c>
      <c r="AK655">
        <v>0</v>
      </c>
      <c r="AL655">
        <v>80</v>
      </c>
      <c r="AM655">
        <v>3.12375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6.69375</v>
      </c>
      <c r="AU655">
        <v>0</v>
      </c>
      <c r="AV655">
        <v>0</v>
      </c>
    </row>
    <row r="656" spans="1:48" ht="12.75">
      <c r="A656" s="2" t="str">
        <f>HYPERLINK("https://ibp.a2mac1.com/costing(costing:projects/details/8191/equipment/6947959)","Equipment (Injection Molding)")</f>
        <v>Equipment (Injection Molding)</v>
      </c>
      <c r="B656">
        <v>6947959</v>
      </c>
      <c r="C656">
        <v>6975381</v>
      </c>
      <c r="H656" t="s">
        <v>136</v>
      </c>
      <c r="I656">
        <v>4704.0017534999997</v>
      </c>
      <c r="J656">
        <v>0</v>
      </c>
      <c r="K656">
        <v>0.19991999999999999</v>
      </c>
      <c r="L656">
        <v>0</v>
      </c>
      <c r="M656">
        <v>1.1567669549180328</v>
      </c>
      <c r="N656">
        <v>0</v>
      </c>
      <c r="O656">
        <v>0.019279449248633881</v>
      </c>
      <c r="P656">
        <v>0.0012291152999999999</v>
      </c>
      <c r="Q656">
        <v>0.00010553599308268955</v>
      </c>
      <c r="R656">
        <v>24990</v>
      </c>
      <c r="S656">
        <v>0</v>
      </c>
      <c r="T656">
        <v>0</v>
      </c>
      <c r="V656">
        <v>240.975</v>
      </c>
      <c r="W656">
        <v>7</v>
      </c>
      <c r="X656">
        <v>85</v>
      </c>
      <c r="Y656">
        <v>3</v>
      </c>
      <c r="Z656">
        <v>4</v>
      </c>
      <c r="AA656">
        <v>5</v>
      </c>
      <c r="AB656">
        <v>0</v>
      </c>
      <c r="AC656">
        <v>0</v>
      </c>
      <c r="AD656">
        <v>0</v>
      </c>
      <c r="AE656">
        <v>0</v>
      </c>
      <c r="AF656">
        <v>0.017850000000000001</v>
      </c>
      <c r="AG656">
        <v>0</v>
      </c>
      <c r="AH656">
        <v>0</v>
      </c>
      <c r="AI656">
        <v>2</v>
      </c>
      <c r="AJ656">
        <v>0</v>
      </c>
      <c r="AK656">
        <v>0</v>
      </c>
      <c r="AL656">
        <v>80</v>
      </c>
      <c r="AM656">
        <v>3.12375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6.69375</v>
      </c>
      <c r="AU656">
        <v>0</v>
      </c>
      <c r="AV656">
        <v>0</v>
      </c>
    </row>
    <row r="657" spans="1:48" ht="12.75">
      <c r="A657" s="2" t="str">
        <f>HYPERLINK("https://ibp.a2mac1.com/costing(costing:projects/details/8191/equipment/6947960)","Equipment (Standard Process)")</f>
        <v>Equipment (Standard Process)</v>
      </c>
      <c r="B657">
        <v>6947960</v>
      </c>
      <c r="C657">
        <v>6975381</v>
      </c>
      <c r="H657" t="s">
        <v>136</v>
      </c>
      <c r="I657">
        <v>8196.2267534999992</v>
      </c>
      <c r="J657">
        <v>0</v>
      </c>
      <c r="K657">
        <v>0.19991999999999999</v>
      </c>
      <c r="L657">
        <v>0</v>
      </c>
      <c r="M657">
        <v>1.8758243319672132</v>
      </c>
      <c r="N657">
        <v>0</v>
      </c>
      <c r="O657">
        <v>0.031263738866120216</v>
      </c>
      <c r="P657">
        <v>0.00184401724</v>
      </c>
      <c r="Q657">
        <v>0.00010842390727326331</v>
      </c>
      <c r="R657">
        <v>44625</v>
      </c>
      <c r="S657">
        <v>0</v>
      </c>
      <c r="T657">
        <v>0</v>
      </c>
      <c r="V657">
        <v>240.975</v>
      </c>
      <c r="W657">
        <v>7</v>
      </c>
      <c r="X657">
        <v>85</v>
      </c>
      <c r="Y657">
        <v>3</v>
      </c>
      <c r="Z657">
        <v>4</v>
      </c>
      <c r="AA657">
        <v>5</v>
      </c>
      <c r="AB657">
        <v>0</v>
      </c>
      <c r="AC657">
        <v>0</v>
      </c>
      <c r="AD657">
        <v>0</v>
      </c>
      <c r="AE657">
        <v>0</v>
      </c>
      <c r="AF657">
        <v>0.026780000000000002</v>
      </c>
      <c r="AG657">
        <v>0</v>
      </c>
      <c r="AH657">
        <v>0</v>
      </c>
      <c r="AI657">
        <v>2</v>
      </c>
      <c r="AJ657">
        <v>0</v>
      </c>
      <c r="AK657">
        <v>0</v>
      </c>
      <c r="AL657">
        <v>80</v>
      </c>
      <c r="AM657">
        <v>3.12375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6.69375</v>
      </c>
      <c r="AU657">
        <v>0</v>
      </c>
      <c r="AV657">
        <v>0</v>
      </c>
    </row>
    <row r="658" spans="1:48" ht="12.75">
      <c r="A658" s="2" t="str">
        <f>HYPERLINK("https://ibp.a2mac1.com/costing(costing:projects/details/8191/equipment/6947834)","Assembly line")</f>
        <v>Assembly line</v>
      </c>
      <c r="B658">
        <v>6947834</v>
      </c>
      <c r="C658">
        <v>6975278</v>
      </c>
      <c r="H658" t="s">
        <v>136</v>
      </c>
      <c r="I658">
        <v>63074.721599999997</v>
      </c>
      <c r="J658">
        <v>0</v>
      </c>
      <c r="K658">
        <v>5.2000019999999996</v>
      </c>
      <c r="L658">
        <v>0</v>
      </c>
      <c r="M658">
        <v>18.953573456123433</v>
      </c>
      <c r="N658">
        <v>0</v>
      </c>
      <c r="O658">
        <v>0.31589289093539052</v>
      </c>
      <c r="P658">
        <v>0.068858000000000003</v>
      </c>
      <c r="Q658">
        <v>0.0015756906728061717</v>
      </c>
      <c r="R658">
        <v>450000</v>
      </c>
      <c r="S658">
        <v>0</v>
      </c>
      <c r="T658">
        <v>0</v>
      </c>
      <c r="V658">
        <v>1800</v>
      </c>
      <c r="W658">
        <v>10</v>
      </c>
      <c r="X658">
        <v>85</v>
      </c>
      <c r="Y658">
        <v>3</v>
      </c>
      <c r="Z658">
        <v>4</v>
      </c>
      <c r="AA658">
        <v>5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86.666700000000006</v>
      </c>
      <c r="AM658">
        <v>75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60</v>
      </c>
      <c r="AU658">
        <v>0</v>
      </c>
      <c r="AV658">
        <v>0</v>
      </c>
    </row>
    <row r="659" spans="1:48" ht="12.75">
      <c r="A659" s="2" t="str">
        <f>HYPERLINK("https://ibp.a2mac1.com/costing(costing:projects/details/8191/equipment/6948233)","Rubber Extrusion machine")</f>
        <v>Rubber Extrusion machine</v>
      </c>
      <c r="B659">
        <v>6948233</v>
      </c>
      <c r="C659">
        <v>6975615</v>
      </c>
      <c r="E659" t="s">
        <v>603</v>
      </c>
      <c r="H659" t="s">
        <v>136</v>
      </c>
      <c r="I659">
        <v>127372.68</v>
      </c>
      <c r="J659">
        <v>0</v>
      </c>
      <c r="K659">
        <v>8.80</v>
      </c>
      <c r="L659">
        <v>0</v>
      </c>
      <c r="M659">
        <v>35.700141433622626</v>
      </c>
      <c r="N659">
        <v>0</v>
      </c>
      <c r="O659">
        <v>0.14875058930676097</v>
      </c>
      <c r="P659">
        <v>0.034429000000000001</v>
      </c>
      <c r="Q659">
        <v>0.0014478114430086788</v>
      </c>
      <c r="R659">
        <v>800000</v>
      </c>
      <c r="S659">
        <v>0</v>
      </c>
      <c r="T659">
        <v>0</v>
      </c>
      <c r="V659">
        <v>1800</v>
      </c>
      <c r="W659">
        <v>10</v>
      </c>
      <c r="X659">
        <v>85</v>
      </c>
      <c r="Y659">
        <v>3</v>
      </c>
      <c r="Z659">
        <v>4</v>
      </c>
      <c r="AA659">
        <v>5</v>
      </c>
      <c r="AB659">
        <v>0</v>
      </c>
      <c r="AC659">
        <v>0</v>
      </c>
      <c r="AD659">
        <v>0</v>
      </c>
      <c r="AE659">
        <v>0</v>
      </c>
      <c r="AF659">
        <v>2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100</v>
      </c>
      <c r="AM659">
        <v>110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500</v>
      </c>
      <c r="AU659">
        <v>0</v>
      </c>
      <c r="AV659">
        <v>0</v>
      </c>
    </row>
    <row r="660" spans="1:48" ht="12.75">
      <c r="A660" s="2" t="str">
        <f>HYPERLINK("https://ibp.a2mac1.com/costing(costing:projects/details/8191/equipment/6948232)","Seal welding/joining station, manual")</f>
        <v>Seal welding/joining station, manual</v>
      </c>
      <c r="B660">
        <v>6948232</v>
      </c>
      <c r="C660">
        <v>6975614</v>
      </c>
      <c r="E660" t="s">
        <v>659</v>
      </c>
      <c r="H660" t="s">
        <v>136</v>
      </c>
      <c r="I660">
        <v>4149.9071999999996</v>
      </c>
      <c r="J660">
        <v>0</v>
      </c>
      <c r="K660">
        <v>0.24</v>
      </c>
      <c r="L660">
        <v>0</v>
      </c>
      <c r="M660">
        <v>1.0275132111861138</v>
      </c>
      <c r="N660">
        <v>0</v>
      </c>
      <c r="O660">
        <v>0.0085626100932176142</v>
      </c>
      <c r="P660">
        <v>0.069664000000000004</v>
      </c>
      <c r="Q660">
        <v>9.3871932111861135E-05</v>
      </c>
      <c r="R660">
        <v>25000</v>
      </c>
      <c r="S660">
        <v>0</v>
      </c>
      <c r="T660">
        <v>0</v>
      </c>
      <c r="V660">
        <v>600</v>
      </c>
      <c r="W660">
        <v>10</v>
      </c>
      <c r="X660">
        <v>85</v>
      </c>
      <c r="Y660">
        <v>3</v>
      </c>
      <c r="Z660">
        <v>3</v>
      </c>
      <c r="AA660">
        <v>3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100</v>
      </c>
      <c r="AM660">
        <v>3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20</v>
      </c>
      <c r="AU660">
        <v>0</v>
      </c>
      <c r="AV660">
        <v>0</v>
      </c>
    </row>
    <row r="661" spans="1:48" ht="12.75">
      <c r="A661" s="2" t="str">
        <f>HYPERLINK("https://ibp.a2mac1.com/costing(costing:projects/details/8191/equipment/6948234)","Rubber Extrusion machine")</f>
        <v>Rubber Extrusion machine</v>
      </c>
      <c r="B661">
        <v>6948234</v>
      </c>
      <c r="C661">
        <v>6975616</v>
      </c>
      <c r="E661" t="s">
        <v>603</v>
      </c>
      <c r="H661" t="s">
        <v>136</v>
      </c>
      <c r="I661">
        <v>127372.68</v>
      </c>
      <c r="J661">
        <v>0</v>
      </c>
      <c r="K661">
        <v>8.80</v>
      </c>
      <c r="L661">
        <v>0</v>
      </c>
      <c r="M661">
        <v>35.700141433622626</v>
      </c>
      <c r="N661">
        <v>0</v>
      </c>
      <c r="O661">
        <v>0.14875058930676097</v>
      </c>
      <c r="P661">
        <v>0.034429000000000001</v>
      </c>
      <c r="Q661">
        <v>0.0014478114430086788</v>
      </c>
      <c r="R661">
        <v>800000</v>
      </c>
      <c r="S661">
        <v>0</v>
      </c>
      <c r="T661">
        <v>0</v>
      </c>
      <c r="V661">
        <v>1800</v>
      </c>
      <c r="W661">
        <v>10</v>
      </c>
      <c r="X661">
        <v>85</v>
      </c>
      <c r="Y661">
        <v>3</v>
      </c>
      <c r="Z661">
        <v>4</v>
      </c>
      <c r="AA661">
        <v>5</v>
      </c>
      <c r="AB661">
        <v>0</v>
      </c>
      <c r="AC661">
        <v>0</v>
      </c>
      <c r="AD661">
        <v>0</v>
      </c>
      <c r="AE661">
        <v>0</v>
      </c>
      <c r="AF661">
        <v>2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100</v>
      </c>
      <c r="AM661">
        <v>110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500</v>
      </c>
      <c r="AU661">
        <v>0</v>
      </c>
      <c r="AV661">
        <v>0</v>
      </c>
    </row>
    <row r="662" spans="1:48" ht="12.75">
      <c r="A662" s="2" t="str">
        <f>HYPERLINK("https://ibp.a2mac1.com/costing(costing:projects/details/8191/equipment/6948235)","Seal welding/joining station, manual")</f>
        <v>Seal welding/joining station, manual</v>
      </c>
      <c r="B662">
        <v>6948235</v>
      </c>
      <c r="C662">
        <v>6975617</v>
      </c>
      <c r="E662" t="s">
        <v>659</v>
      </c>
      <c r="H662" t="s">
        <v>136</v>
      </c>
      <c r="I662">
        <v>4149.9071999999996</v>
      </c>
      <c r="J662">
        <v>0</v>
      </c>
      <c r="K662">
        <v>0.24</v>
      </c>
      <c r="L662">
        <v>0</v>
      </c>
      <c r="M662">
        <v>1.0275132111861138</v>
      </c>
      <c r="N662">
        <v>0</v>
      </c>
      <c r="O662">
        <v>0.0085626100932176142</v>
      </c>
      <c r="P662">
        <v>0.069664000000000004</v>
      </c>
      <c r="Q662">
        <v>9.3871932111861135E-05</v>
      </c>
      <c r="R662">
        <v>25000</v>
      </c>
      <c r="S662">
        <v>0</v>
      </c>
      <c r="T662">
        <v>0</v>
      </c>
      <c r="V662">
        <v>600</v>
      </c>
      <c r="W662">
        <v>10</v>
      </c>
      <c r="X662">
        <v>85</v>
      </c>
      <c r="Y662">
        <v>3</v>
      </c>
      <c r="Z662">
        <v>3</v>
      </c>
      <c r="AA662">
        <v>3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100</v>
      </c>
      <c r="AM662">
        <v>3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20</v>
      </c>
      <c r="AU662">
        <v>0</v>
      </c>
      <c r="AV662">
        <v>0</v>
      </c>
    </row>
    <row r="663" spans="1:48" ht="12.75">
      <c r="A663" s="2" t="str">
        <f>HYPERLINK("https://ibp.a2mac1.com/costing(costing:projects/details/8191/equipment/6947962)","Rubber Extrusion machine")</f>
        <v>Rubber Extrusion machine</v>
      </c>
      <c r="B663">
        <v>6947962</v>
      </c>
      <c r="C663">
        <v>6975383</v>
      </c>
      <c r="E663" t="s">
        <v>603</v>
      </c>
      <c r="H663" t="s">
        <v>136</v>
      </c>
      <c r="I663">
        <v>127372.68</v>
      </c>
      <c r="J663">
        <v>0</v>
      </c>
      <c r="K663">
        <v>8.80</v>
      </c>
      <c r="L663">
        <v>0</v>
      </c>
      <c r="M663">
        <v>35.700141433622626</v>
      </c>
      <c r="N663">
        <v>0</v>
      </c>
      <c r="O663">
        <v>0.099167059537840635</v>
      </c>
      <c r="P663">
        <v>0.022952666666666666</v>
      </c>
      <c r="Q663">
        <v>0.0014478114430086788</v>
      </c>
      <c r="R663">
        <v>800000</v>
      </c>
      <c r="S663">
        <v>0</v>
      </c>
      <c r="T663">
        <v>0</v>
      </c>
      <c r="V663">
        <v>1800</v>
      </c>
      <c r="W663">
        <v>10</v>
      </c>
      <c r="X663">
        <v>85</v>
      </c>
      <c r="Y663">
        <v>3</v>
      </c>
      <c r="Z663">
        <v>4</v>
      </c>
      <c r="AA663">
        <v>5</v>
      </c>
      <c r="AB663">
        <v>0</v>
      </c>
      <c r="AC663">
        <v>0</v>
      </c>
      <c r="AD663">
        <v>0</v>
      </c>
      <c r="AE663">
        <v>0</v>
      </c>
      <c r="AF663">
        <v>2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100</v>
      </c>
      <c r="AM663">
        <v>110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500</v>
      </c>
      <c r="AU663">
        <v>0</v>
      </c>
      <c r="AV663">
        <v>0</v>
      </c>
    </row>
    <row r="664" spans="1:48" ht="12.75">
      <c r="A664" s="2" t="str">
        <f>HYPERLINK("https://ibp.a2mac1.com/costing(costing:projects/details/8191/equipment/6947963)","Rubber Extrusion machine")</f>
        <v>Rubber Extrusion machine</v>
      </c>
      <c r="B664">
        <v>6947963</v>
      </c>
      <c r="C664">
        <v>6975384</v>
      </c>
      <c r="E664" t="s">
        <v>603</v>
      </c>
      <c r="H664" t="s">
        <v>136</v>
      </c>
      <c r="I664">
        <v>127372.68</v>
      </c>
      <c r="J664">
        <v>0</v>
      </c>
      <c r="K664">
        <v>8.80</v>
      </c>
      <c r="L664">
        <v>0</v>
      </c>
      <c r="M664">
        <v>35.700141433622626</v>
      </c>
      <c r="N664">
        <v>0</v>
      </c>
      <c r="O664">
        <v>0.14875058930676097</v>
      </c>
      <c r="P664">
        <v>0.034429000000000001</v>
      </c>
      <c r="Q664">
        <v>0.0014478114430086788</v>
      </c>
      <c r="R664">
        <v>800000</v>
      </c>
      <c r="S664">
        <v>0</v>
      </c>
      <c r="T664">
        <v>0</v>
      </c>
      <c r="V664">
        <v>1800</v>
      </c>
      <c r="W664">
        <v>10</v>
      </c>
      <c r="X664">
        <v>85</v>
      </c>
      <c r="Y664">
        <v>3</v>
      </c>
      <c r="Z664">
        <v>4</v>
      </c>
      <c r="AA664">
        <v>5</v>
      </c>
      <c r="AB664">
        <v>0</v>
      </c>
      <c r="AC664">
        <v>0</v>
      </c>
      <c r="AD664">
        <v>0</v>
      </c>
      <c r="AE664">
        <v>0</v>
      </c>
      <c r="AF664">
        <v>2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100</v>
      </c>
      <c r="AM664">
        <v>110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500</v>
      </c>
      <c r="AU664">
        <v>0</v>
      </c>
      <c r="AV664">
        <v>0</v>
      </c>
    </row>
    <row r="665" spans="1:48" ht="12.75">
      <c r="A665" s="2" t="str">
        <f>HYPERLINK("https://ibp.a2mac1.com/costing(costing:projects/details/8191/equipment/6947964)","Rubber Extrusion machine")</f>
        <v>Rubber Extrusion machine</v>
      </c>
      <c r="B665">
        <v>6947964</v>
      </c>
      <c r="C665">
        <v>6975385</v>
      </c>
      <c r="E665" t="s">
        <v>603</v>
      </c>
      <c r="H665" t="s">
        <v>136</v>
      </c>
      <c r="I665">
        <v>127372.68</v>
      </c>
      <c r="J665">
        <v>0</v>
      </c>
      <c r="K665">
        <v>8.80</v>
      </c>
      <c r="L665">
        <v>0</v>
      </c>
      <c r="M665">
        <v>35.700141433622626</v>
      </c>
      <c r="N665">
        <v>0</v>
      </c>
      <c r="O665">
        <v>0.14875058930676097</v>
      </c>
      <c r="P665">
        <v>0.034429000000000001</v>
      </c>
      <c r="Q665">
        <v>0.0014478114430086788</v>
      </c>
      <c r="R665">
        <v>800000</v>
      </c>
      <c r="S665">
        <v>0</v>
      </c>
      <c r="T665">
        <v>0</v>
      </c>
      <c r="V665">
        <v>1800</v>
      </c>
      <c r="W665">
        <v>10</v>
      </c>
      <c r="X665">
        <v>85</v>
      </c>
      <c r="Y665">
        <v>3</v>
      </c>
      <c r="Z665">
        <v>4</v>
      </c>
      <c r="AA665">
        <v>5</v>
      </c>
      <c r="AB665">
        <v>0</v>
      </c>
      <c r="AC665">
        <v>0</v>
      </c>
      <c r="AD665">
        <v>0</v>
      </c>
      <c r="AE665">
        <v>0</v>
      </c>
      <c r="AF665">
        <v>2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100</v>
      </c>
      <c r="AM665">
        <v>110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500</v>
      </c>
      <c r="AU665">
        <v>0</v>
      </c>
      <c r="AV665">
        <v>0</v>
      </c>
    </row>
    <row r="666" spans="1:48" ht="12.75">
      <c r="A666" s="2" t="str">
        <f>HYPERLINK("https://ibp.a2mac1.com/costing(costing:projects/details/8191/equipment/6948398)","Equipment (Casting)")</f>
        <v>Equipment (Casting)</v>
      </c>
      <c r="B666">
        <v>6948398</v>
      </c>
      <c r="C666">
        <v>6975803</v>
      </c>
      <c r="H666" t="s">
        <v>136</v>
      </c>
      <c r="I666">
        <v>6134.5428250285713</v>
      </c>
      <c r="J666">
        <v>0</v>
      </c>
      <c r="K666">
        <v>0.21376000000000001</v>
      </c>
      <c r="L666">
        <v>0</v>
      </c>
      <c r="M666">
        <v>1.4681063235340037</v>
      </c>
      <c r="N666">
        <v>0</v>
      </c>
      <c r="O666">
        <v>0.014681063235340037</v>
      </c>
      <c r="P666">
        <v>0.0027598286399999998</v>
      </c>
      <c r="Q666">
        <v>0.0026641763496181073</v>
      </c>
      <c r="R666">
        <v>33400</v>
      </c>
      <c r="S666">
        <v>0</v>
      </c>
      <c r="T666">
        <v>0</v>
      </c>
      <c r="V666">
        <v>6012</v>
      </c>
      <c r="W666">
        <v>7</v>
      </c>
      <c r="X666">
        <v>85</v>
      </c>
      <c r="Y666">
        <v>3</v>
      </c>
      <c r="Z666">
        <v>4</v>
      </c>
      <c r="AA666">
        <v>5</v>
      </c>
      <c r="AB666">
        <v>0</v>
      </c>
      <c r="AC666">
        <v>0</v>
      </c>
      <c r="AD666">
        <v>0</v>
      </c>
      <c r="AE666">
        <v>0</v>
      </c>
      <c r="AF666">
        <v>0.066799999999999998</v>
      </c>
      <c r="AG666">
        <v>0</v>
      </c>
      <c r="AH666">
        <v>0</v>
      </c>
      <c r="AI666">
        <v>2</v>
      </c>
      <c r="AJ666">
        <v>0</v>
      </c>
      <c r="AK666">
        <v>0</v>
      </c>
      <c r="AL666">
        <v>80</v>
      </c>
      <c r="AM666">
        <v>3.34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5.01</v>
      </c>
      <c r="AU666">
        <v>0</v>
      </c>
      <c r="AV666">
        <v>0</v>
      </c>
    </row>
    <row r="667" spans="1:48" ht="12.75">
      <c r="A667" s="2" t="str">
        <f>HYPERLINK("https://ibp.a2mac1.com/costing(costing:projects/details/8191/equipment/6948399)","Equipment (Casting)")</f>
        <v>Equipment (Casting)</v>
      </c>
      <c r="B667">
        <v>6948399</v>
      </c>
      <c r="C667">
        <v>6975804</v>
      </c>
      <c r="H667" t="s">
        <v>136</v>
      </c>
      <c r="I667">
        <v>373962.1752</v>
      </c>
      <c r="J667">
        <v>0</v>
      </c>
      <c r="K667">
        <v>3.3919999999999999</v>
      </c>
      <c r="L667">
        <v>0</v>
      </c>
      <c r="M667">
        <v>85.594213950498229</v>
      </c>
      <c r="N667">
        <v>0</v>
      </c>
      <c r="O667">
        <v>0.85594213950498232</v>
      </c>
      <c r="P667">
        <v>0.041314799999999999</v>
      </c>
      <c r="Q667">
        <v>0.0099643224555448408</v>
      </c>
      <c r="R667">
        <v>2750000</v>
      </c>
      <c r="S667">
        <v>0</v>
      </c>
      <c r="T667">
        <v>0</v>
      </c>
      <c r="V667">
        <v>5400</v>
      </c>
      <c r="W667">
        <v>10</v>
      </c>
      <c r="X667">
        <v>85</v>
      </c>
      <c r="Y667">
        <v>3</v>
      </c>
      <c r="Z667">
        <v>4</v>
      </c>
      <c r="AA667">
        <v>5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2</v>
      </c>
      <c r="AJ667">
        <v>0</v>
      </c>
      <c r="AK667">
        <v>0</v>
      </c>
      <c r="AL667">
        <v>80</v>
      </c>
      <c r="AM667">
        <v>53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70</v>
      </c>
      <c r="AU667">
        <v>0</v>
      </c>
      <c r="AV667">
        <v>0</v>
      </c>
    </row>
    <row r="668" spans="1:48" ht="12.75">
      <c r="A668" s="2" t="str">
        <f>HYPERLINK("https://ibp.a2mac1.com/costing(costing:projects/details/8191/equipment/6948400)","Equipment (Casting)")</f>
        <v>Equipment (Casting)</v>
      </c>
      <c r="B668">
        <v>6948400</v>
      </c>
      <c r="C668">
        <v>6975805</v>
      </c>
      <c r="H668" t="s">
        <v>136</v>
      </c>
      <c r="I668">
        <v>373962.1752</v>
      </c>
      <c r="J668">
        <v>0</v>
      </c>
      <c r="K668">
        <v>3.3919999999999999</v>
      </c>
      <c r="L668">
        <v>0</v>
      </c>
      <c r="M668">
        <v>85.594213950498229</v>
      </c>
      <c r="N668">
        <v>0</v>
      </c>
      <c r="O668">
        <v>0.85594213950498232</v>
      </c>
      <c r="P668">
        <v>0.041314799999999999</v>
      </c>
      <c r="Q668">
        <v>0.0099643224555448408</v>
      </c>
      <c r="R668">
        <v>2750000</v>
      </c>
      <c r="S668">
        <v>0</v>
      </c>
      <c r="T668">
        <v>0</v>
      </c>
      <c r="V668">
        <v>5400</v>
      </c>
      <c r="W668">
        <v>10</v>
      </c>
      <c r="X668">
        <v>85</v>
      </c>
      <c r="Y668">
        <v>3</v>
      </c>
      <c r="Z668">
        <v>4</v>
      </c>
      <c r="AA668">
        <v>5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2</v>
      </c>
      <c r="AJ668">
        <v>0</v>
      </c>
      <c r="AK668">
        <v>0</v>
      </c>
      <c r="AL668">
        <v>80</v>
      </c>
      <c r="AM668">
        <v>53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70</v>
      </c>
      <c r="AU668">
        <v>0</v>
      </c>
      <c r="AV668">
        <v>0</v>
      </c>
    </row>
    <row r="669" spans="1:48" ht="12.75">
      <c r="A669" s="2" t="str">
        <f>HYPERLINK("https://ibp.a2mac1.com/costing(costing:projects/details/8191/equipment/6948401)","Equipment (Casting)")</f>
        <v>Equipment (Casting)</v>
      </c>
      <c r="B669">
        <v>6948401</v>
      </c>
      <c r="C669">
        <v>6975806</v>
      </c>
      <c r="H669" t="s">
        <v>136</v>
      </c>
      <c r="I669">
        <v>373962.1752</v>
      </c>
      <c r="J669">
        <v>0</v>
      </c>
      <c r="K669">
        <v>3.3919999999999999</v>
      </c>
      <c r="L669">
        <v>0</v>
      </c>
      <c r="M669">
        <v>85.594213950498229</v>
      </c>
      <c r="N669">
        <v>0</v>
      </c>
      <c r="O669">
        <v>0.85594213950498232</v>
      </c>
      <c r="P669">
        <v>0.041314799999999999</v>
      </c>
      <c r="Q669">
        <v>0.0099643224555448408</v>
      </c>
      <c r="R669">
        <v>2750000</v>
      </c>
      <c r="S669">
        <v>0</v>
      </c>
      <c r="T669">
        <v>0</v>
      </c>
      <c r="V669">
        <v>5400</v>
      </c>
      <c r="W669">
        <v>10</v>
      </c>
      <c r="X669">
        <v>85</v>
      </c>
      <c r="Y669">
        <v>3</v>
      </c>
      <c r="Z669">
        <v>4</v>
      </c>
      <c r="AA669">
        <v>5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2</v>
      </c>
      <c r="AJ669">
        <v>0</v>
      </c>
      <c r="AK669">
        <v>0</v>
      </c>
      <c r="AL669">
        <v>80</v>
      </c>
      <c r="AM669">
        <v>53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70</v>
      </c>
      <c r="AU669">
        <v>0</v>
      </c>
      <c r="AV669">
        <v>0</v>
      </c>
    </row>
    <row r="670" spans="1:48" ht="12.75">
      <c r="A670" s="2" t="str">
        <f>HYPERLINK("https://ibp.a2mac1.com/costing(costing:projects/details/8191/equipment/6947965)","Dummy Machine (PCBA+Final Assembly Line)")</f>
        <v>Dummy Machine (PCBA+Final Assembly Line)</v>
      </c>
      <c r="B670">
        <v>6947965</v>
      </c>
      <c r="C670">
        <v>6975386</v>
      </c>
      <c r="F670" t="s">
        <v>559</v>
      </c>
      <c r="H670" t="s">
        <v>136</v>
      </c>
      <c r="I670">
        <v>79501.662769714283</v>
      </c>
      <c r="J670">
        <v>0</v>
      </c>
      <c r="K670">
        <v>0.28895999999999999</v>
      </c>
      <c r="L670">
        <v>0</v>
      </c>
      <c r="M670">
        <v>16.624578413647427</v>
      </c>
      <c r="N670">
        <v>0</v>
      </c>
      <c r="O670">
        <v>0.73887015171766335</v>
      </c>
      <c r="P670">
        <v>0.12853493333333332</v>
      </c>
      <c r="Q670">
        <v>0.00011481975848188456</v>
      </c>
      <c r="R670">
        <v>442771.10</v>
      </c>
      <c r="S670">
        <v>0</v>
      </c>
      <c r="T670">
        <v>0</v>
      </c>
      <c r="V670">
        <v>216</v>
      </c>
      <c r="W670">
        <v>7</v>
      </c>
      <c r="X670">
        <v>85</v>
      </c>
      <c r="Y670">
        <v>3</v>
      </c>
      <c r="Z670">
        <v>4</v>
      </c>
      <c r="AA670">
        <v>5</v>
      </c>
      <c r="AB670">
        <v>0</v>
      </c>
      <c r="AC670">
        <v>0</v>
      </c>
      <c r="AD670">
        <v>0</v>
      </c>
      <c r="AE670">
        <v>0</v>
      </c>
      <c r="AF670">
        <v>0.70</v>
      </c>
      <c r="AG670">
        <v>0</v>
      </c>
      <c r="AH670">
        <v>0</v>
      </c>
      <c r="AI670">
        <v>0.20</v>
      </c>
      <c r="AJ670">
        <v>0</v>
      </c>
      <c r="AK670">
        <v>0</v>
      </c>
      <c r="AL670">
        <v>86</v>
      </c>
      <c r="AM670">
        <v>4.20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19.40</v>
      </c>
      <c r="AU670">
        <v>0</v>
      </c>
      <c r="AV670">
        <v>0</v>
      </c>
    </row>
    <row r="671" spans="1:48" ht="12.75">
      <c r="A671" s="2" t="str">
        <f>HYPERLINK("https://ibp.a2mac1.com/costing(costing:projects/details/8191/equipment/6947966)","No.13 - Injection Press - 1000T - 191kW - 1230x1230 - Max Volume 7815cm3 ")</f>
        <v xml:space="preserve">No.13 - Injection Press - 1000T - 191kW - 1230x1230 - Max Volume 7815cm3 </v>
      </c>
      <c r="B671">
        <v>6947966</v>
      </c>
      <c r="C671">
        <v>6975387</v>
      </c>
      <c r="E671" t="s">
        <v>499</v>
      </c>
      <c r="H671" t="s">
        <v>136</v>
      </c>
      <c r="I671">
        <v>102974.1648</v>
      </c>
      <c r="J671">
        <v>0</v>
      </c>
      <c r="K671">
        <v>6.4560000000000004</v>
      </c>
      <c r="L671">
        <v>0</v>
      </c>
      <c r="M671">
        <v>27.827611186113788</v>
      </c>
      <c r="N671">
        <v>0</v>
      </c>
      <c r="O671">
        <v>0.22969907429085826</v>
      </c>
      <c r="P671">
        <v>0.017051358183499999</v>
      </c>
      <c r="Q671">
        <v>0.01572199948466731</v>
      </c>
      <c r="R671">
        <v>600000</v>
      </c>
      <c r="S671">
        <v>0</v>
      </c>
      <c r="T671">
        <v>0</v>
      </c>
      <c r="V671">
        <v>14400</v>
      </c>
      <c r="W671">
        <v>8</v>
      </c>
      <c r="X671">
        <v>85</v>
      </c>
      <c r="Y671">
        <v>3</v>
      </c>
      <c r="Z671">
        <v>4</v>
      </c>
      <c r="AA671">
        <v>5</v>
      </c>
      <c r="AB671">
        <v>0</v>
      </c>
      <c r="AC671">
        <v>0</v>
      </c>
      <c r="AD671">
        <v>0</v>
      </c>
      <c r="AE671">
        <v>0</v>
      </c>
      <c r="AF671">
        <v>0.50</v>
      </c>
      <c r="AG671">
        <v>0</v>
      </c>
      <c r="AH671">
        <v>0</v>
      </c>
      <c r="AI671">
        <v>3</v>
      </c>
      <c r="AJ671">
        <v>0</v>
      </c>
      <c r="AK671">
        <v>0</v>
      </c>
      <c r="AL671">
        <v>92</v>
      </c>
      <c r="AM671">
        <v>85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180</v>
      </c>
      <c r="AU671">
        <v>0.20</v>
      </c>
      <c r="AV671">
        <v>0</v>
      </c>
    </row>
    <row r="672" spans="1:48" ht="12.75">
      <c r="A672" s="2" t="str">
        <f>HYPERLINK("https://ibp.a2mac1.com/costing(costing:projects/details/8191/equipment/6947967)","Packaging")</f>
        <v>Packaging</v>
      </c>
      <c r="B672">
        <v>6947967</v>
      </c>
      <c r="C672">
        <v>6975388</v>
      </c>
      <c r="H672" t="s">
        <v>136</v>
      </c>
      <c r="I672">
        <v>4437.4535986499995</v>
      </c>
      <c r="J672">
        <v>0</v>
      </c>
      <c r="K672">
        <v>0.08</v>
      </c>
      <c r="L672">
        <v>0</v>
      </c>
      <c r="M672">
        <v>1.0342676949774992</v>
      </c>
      <c r="N672">
        <v>0</v>
      </c>
      <c r="O672">
        <v>0.0086188974581458272</v>
      </c>
      <c r="P672">
        <v>0.034429000000000001</v>
      </c>
      <c r="Q672">
        <v>1.5514015424662487E-05</v>
      </c>
      <c r="R672">
        <v>29999.99999</v>
      </c>
      <c r="S672">
        <v>0</v>
      </c>
      <c r="T672">
        <v>0</v>
      </c>
      <c r="V672">
        <v>900</v>
      </c>
      <c r="W672">
        <v>10</v>
      </c>
      <c r="X672">
        <v>85</v>
      </c>
      <c r="Y672">
        <v>3</v>
      </c>
      <c r="Z672">
        <v>4</v>
      </c>
      <c r="AA672">
        <v>5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50</v>
      </c>
      <c r="AM672">
        <v>2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10</v>
      </c>
      <c r="AU672">
        <v>0</v>
      </c>
      <c r="AV672">
        <v>0</v>
      </c>
    </row>
    <row r="673" spans="1:48" ht="12.75">
      <c r="A673" s="2" t="str">
        <f>HYPERLINK("https://ibp.a2mac1.com/costing(costing:projects/details/8191/equipment/6947968)","No.07 - Injection Press - 250T - 63kW - 570x570 - Max Volume 958cm3 ")</f>
        <v xml:space="preserve">No.07 - Injection Press - 250T - 63kW - 570x570 - Max Volume 958cm3 </v>
      </c>
      <c r="B673">
        <v>6947968</v>
      </c>
      <c r="C673">
        <v>6975389</v>
      </c>
      <c r="E673" t="s">
        <v>499</v>
      </c>
      <c r="H673" t="s">
        <v>136</v>
      </c>
      <c r="I673">
        <v>38615.311800000003</v>
      </c>
      <c r="J673">
        <v>0</v>
      </c>
      <c r="K673">
        <v>2.81</v>
      </c>
      <c r="L673">
        <v>0</v>
      </c>
      <c r="M673">
        <v>10.82435419479267</v>
      </c>
      <c r="N673">
        <v>0</v>
      </c>
      <c r="O673">
        <v>0.18246370318192623</v>
      </c>
      <c r="P673">
        <v>0.01741085719425</v>
      </c>
      <c r="Q673">
        <v>0.0053917251292189003</v>
      </c>
      <c r="R673">
        <v>225000</v>
      </c>
      <c r="S673">
        <v>0</v>
      </c>
      <c r="T673">
        <v>0</v>
      </c>
      <c r="V673">
        <v>9000</v>
      </c>
      <c r="W673">
        <v>8</v>
      </c>
      <c r="X673">
        <v>85</v>
      </c>
      <c r="Y673">
        <v>3</v>
      </c>
      <c r="Z673">
        <v>4</v>
      </c>
      <c r="AA673">
        <v>5</v>
      </c>
      <c r="AB673">
        <v>0</v>
      </c>
      <c r="AC673">
        <v>0</v>
      </c>
      <c r="AD673">
        <v>0</v>
      </c>
      <c r="AE673">
        <v>0</v>
      </c>
      <c r="AF673">
        <v>0.25</v>
      </c>
      <c r="AG673">
        <v>0</v>
      </c>
      <c r="AH673">
        <v>0</v>
      </c>
      <c r="AI673">
        <v>2</v>
      </c>
      <c r="AJ673">
        <v>0</v>
      </c>
      <c r="AK673">
        <v>0</v>
      </c>
      <c r="AL673">
        <v>92</v>
      </c>
      <c r="AM673">
        <v>37.50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67.50</v>
      </c>
      <c r="AU673">
        <v>0.05</v>
      </c>
      <c r="AV673">
        <v>0</v>
      </c>
    </row>
    <row r="674" spans="1:48" ht="12.75">
      <c r="A674" s="2" t="str">
        <f>HYPERLINK("https://ibp.a2mac1.com/costing(costing:projects/details/8191/equipment/6947969)","Packaging")</f>
        <v>Packaging</v>
      </c>
      <c r="B674">
        <v>6947969</v>
      </c>
      <c r="C674">
        <v>6975390</v>
      </c>
      <c r="H674" t="s">
        <v>136</v>
      </c>
      <c r="I674">
        <v>4437.4535986499995</v>
      </c>
      <c r="J674">
        <v>0</v>
      </c>
      <c r="K674">
        <v>0.08</v>
      </c>
      <c r="L674">
        <v>0</v>
      </c>
      <c r="M674">
        <v>1.0342676949774992</v>
      </c>
      <c r="N674">
        <v>0</v>
      </c>
      <c r="O674">
        <v>0.017237794916291654</v>
      </c>
      <c r="P674">
        <v>0.068858000000000003</v>
      </c>
      <c r="Q674">
        <v>1.5514015424662487E-05</v>
      </c>
      <c r="R674">
        <v>29999.99999</v>
      </c>
      <c r="S674">
        <v>0</v>
      </c>
      <c r="T674">
        <v>0</v>
      </c>
      <c r="V674">
        <v>900</v>
      </c>
      <c r="W674">
        <v>10</v>
      </c>
      <c r="X674">
        <v>85</v>
      </c>
      <c r="Y674">
        <v>3</v>
      </c>
      <c r="Z674">
        <v>4</v>
      </c>
      <c r="AA674">
        <v>5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50</v>
      </c>
      <c r="AM674">
        <v>2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10</v>
      </c>
      <c r="AU674">
        <v>0</v>
      </c>
      <c r="AV674">
        <v>0</v>
      </c>
    </row>
    <row r="675" spans="1:48" ht="12.75">
      <c r="A675" s="2" t="str">
        <f>HYPERLINK("https://ibp.a2mac1.com/costing(costing:projects/details/8191/equipment/6947970)","Equipment (Injection Molding)")</f>
        <v>Equipment (Injection Molding)</v>
      </c>
      <c r="B675">
        <v>6947970</v>
      </c>
      <c r="C675">
        <v>6975391</v>
      </c>
      <c r="H675" t="s">
        <v>136</v>
      </c>
      <c r="I675">
        <v>685.17672600000003</v>
      </c>
      <c r="J675">
        <v>0</v>
      </c>
      <c r="K675">
        <v>0.02912</v>
      </c>
      <c r="L675">
        <v>0</v>
      </c>
      <c r="M675">
        <v>0.1684926657023465</v>
      </c>
      <c r="N675">
        <v>0</v>
      </c>
      <c r="O675">
        <v>0.0028082110950391087</v>
      </c>
      <c r="P675">
        <v>0.0001790308</v>
      </c>
      <c r="Q675">
        <v>1.4794049009435873E-05</v>
      </c>
      <c r="R675">
        <v>3640</v>
      </c>
      <c r="S675">
        <v>0</v>
      </c>
      <c r="T675">
        <v>0</v>
      </c>
      <c r="V675">
        <v>35.10</v>
      </c>
      <c r="W675">
        <v>7</v>
      </c>
      <c r="X675">
        <v>85</v>
      </c>
      <c r="Y675">
        <v>3</v>
      </c>
      <c r="Z675">
        <v>4</v>
      </c>
      <c r="AA675">
        <v>5</v>
      </c>
      <c r="AB675">
        <v>0</v>
      </c>
      <c r="AC675">
        <v>0</v>
      </c>
      <c r="AD675">
        <v>0</v>
      </c>
      <c r="AE675">
        <v>0</v>
      </c>
      <c r="AF675">
        <v>0.0025999999999999999</v>
      </c>
      <c r="AG675">
        <v>0</v>
      </c>
      <c r="AH675">
        <v>0</v>
      </c>
      <c r="AI675">
        <v>2</v>
      </c>
      <c r="AJ675">
        <v>0</v>
      </c>
      <c r="AK675">
        <v>0</v>
      </c>
      <c r="AL675">
        <v>80</v>
      </c>
      <c r="AM675">
        <v>0.455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0.975</v>
      </c>
      <c r="AU675">
        <v>0</v>
      </c>
      <c r="AV675">
        <v>0</v>
      </c>
    </row>
    <row r="676" spans="1:48" ht="12.75">
      <c r="A676" s="2" t="str">
        <f>HYPERLINK("https://ibp.a2mac1.com/costing(costing:projects/details/8191/equipment/6947971)","Equipment (Injection Molding)")</f>
        <v>Equipment (Injection Molding)</v>
      </c>
      <c r="B676">
        <v>6947971</v>
      </c>
      <c r="C676">
        <v>6975391</v>
      </c>
      <c r="H676" t="s">
        <v>136</v>
      </c>
      <c r="I676">
        <v>685.17672600000003</v>
      </c>
      <c r="J676">
        <v>0</v>
      </c>
      <c r="K676">
        <v>0.02912</v>
      </c>
      <c r="L676">
        <v>0</v>
      </c>
      <c r="M676">
        <v>0.1684926657023465</v>
      </c>
      <c r="N676">
        <v>0</v>
      </c>
      <c r="O676">
        <v>0.0028082110950391087</v>
      </c>
      <c r="P676">
        <v>0.0001790308</v>
      </c>
      <c r="Q676">
        <v>1.4794049009435873E-05</v>
      </c>
      <c r="R676">
        <v>3640</v>
      </c>
      <c r="S676">
        <v>0</v>
      </c>
      <c r="T676">
        <v>0</v>
      </c>
      <c r="V676">
        <v>35.10</v>
      </c>
      <c r="W676">
        <v>7</v>
      </c>
      <c r="X676">
        <v>85</v>
      </c>
      <c r="Y676">
        <v>3</v>
      </c>
      <c r="Z676">
        <v>4</v>
      </c>
      <c r="AA676">
        <v>5</v>
      </c>
      <c r="AB676">
        <v>0</v>
      </c>
      <c r="AC676">
        <v>0</v>
      </c>
      <c r="AD676">
        <v>0</v>
      </c>
      <c r="AE676">
        <v>0</v>
      </c>
      <c r="AF676">
        <v>0.0025999999999999999</v>
      </c>
      <c r="AG676">
        <v>0</v>
      </c>
      <c r="AH676">
        <v>0</v>
      </c>
      <c r="AI676">
        <v>2</v>
      </c>
      <c r="AJ676">
        <v>0</v>
      </c>
      <c r="AK676">
        <v>0</v>
      </c>
      <c r="AL676">
        <v>80</v>
      </c>
      <c r="AM676">
        <v>0.455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0.975</v>
      </c>
      <c r="AU676">
        <v>0</v>
      </c>
      <c r="AV676">
        <v>0</v>
      </c>
    </row>
    <row r="677" spans="1:48" ht="12.75">
      <c r="A677" s="2" t="str">
        <f>HYPERLINK("https://ibp.a2mac1.com/costing(costing:projects/details/8191/equipment/6947972)","Equipment (Injection Molding)")</f>
        <v>Equipment (Injection Molding)</v>
      </c>
      <c r="B677">
        <v>6947972</v>
      </c>
      <c r="C677">
        <v>6975392</v>
      </c>
      <c r="H677" t="s">
        <v>136</v>
      </c>
      <c r="I677">
        <v>632.47082399999999</v>
      </c>
      <c r="J677">
        <v>0</v>
      </c>
      <c r="K677">
        <v>0.026880000000000001</v>
      </c>
      <c r="L677">
        <v>0</v>
      </c>
      <c r="M677">
        <v>0.15553169141755063</v>
      </c>
      <c r="N677">
        <v>0</v>
      </c>
      <c r="O677">
        <v>0.0025921948569591772</v>
      </c>
      <c r="P677">
        <v>0.0001652592</v>
      </c>
      <c r="Q677">
        <v>1.3649046313365477E-05</v>
      </c>
      <c r="R677">
        <v>3360</v>
      </c>
      <c r="S677">
        <v>0</v>
      </c>
      <c r="T677">
        <v>0</v>
      </c>
      <c r="V677">
        <v>32.40</v>
      </c>
      <c r="W677">
        <v>7</v>
      </c>
      <c r="X677">
        <v>85</v>
      </c>
      <c r="Y677">
        <v>3</v>
      </c>
      <c r="Z677">
        <v>4</v>
      </c>
      <c r="AA677">
        <v>5</v>
      </c>
      <c r="AB677">
        <v>0</v>
      </c>
      <c r="AC677">
        <v>0</v>
      </c>
      <c r="AD677">
        <v>0</v>
      </c>
      <c r="AE677">
        <v>0</v>
      </c>
      <c r="AF677">
        <v>0.0023999999999999998</v>
      </c>
      <c r="AG677">
        <v>0</v>
      </c>
      <c r="AH677">
        <v>0</v>
      </c>
      <c r="AI677">
        <v>2</v>
      </c>
      <c r="AJ677">
        <v>0</v>
      </c>
      <c r="AK677">
        <v>0</v>
      </c>
      <c r="AL677">
        <v>80</v>
      </c>
      <c r="AM677">
        <v>0.42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0.90</v>
      </c>
      <c r="AU677">
        <v>0</v>
      </c>
      <c r="AV677">
        <v>0</v>
      </c>
    </row>
    <row r="678" spans="1:48" ht="12.75">
      <c r="A678" s="2" t="str">
        <f>HYPERLINK("https://ibp.a2mac1.com/costing(costing:projects/details/8191/equipment/6948243)","No.01 - T,TF 10/11")</f>
        <v>No.01 - T,TF 10/11</v>
      </c>
      <c r="B678">
        <v>6948243</v>
      </c>
      <c r="C678">
        <v>6975625</v>
      </c>
      <c r="E678" t="s">
        <v>499</v>
      </c>
      <c r="H678" t="s">
        <v>136</v>
      </c>
      <c r="I678">
        <v>7587.4535999999998</v>
      </c>
      <c r="J678">
        <v>0</v>
      </c>
      <c r="K678">
        <v>1.2276800000000001</v>
      </c>
      <c r="L678">
        <v>0</v>
      </c>
      <c r="M678">
        <v>2.8087557955641271</v>
      </c>
      <c r="N678">
        <v>0</v>
      </c>
      <c r="O678">
        <v>0.02472590638381978</v>
      </c>
      <c r="P678">
        <v>0</v>
      </c>
      <c r="Q678">
        <v>0.0004610698738669238</v>
      </c>
      <c r="R678">
        <v>45000</v>
      </c>
      <c r="S678">
        <v>0</v>
      </c>
      <c r="T678">
        <v>0</v>
      </c>
      <c r="V678">
        <v>1800</v>
      </c>
      <c r="W678">
        <v>8</v>
      </c>
      <c r="X678">
        <v>85</v>
      </c>
      <c r="Y678">
        <v>3</v>
      </c>
      <c r="Z678">
        <v>4</v>
      </c>
      <c r="AA678">
        <v>5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100</v>
      </c>
      <c r="AM678">
        <v>15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10</v>
      </c>
      <c r="AU678">
        <v>0</v>
      </c>
      <c r="AV678">
        <v>0</v>
      </c>
    </row>
    <row r="679" spans="1:48" ht="12.75">
      <c r="A679" s="2" t="str">
        <f>HYPERLINK("https://ibp.a2mac1.com/costing(costing:projects/details/8191/equipment/6948242)","No.01 - Buhler ladel Model 4,5L ")</f>
        <v xml:space="preserve">No.01 - Buhler ladel Model 4,5L </v>
      </c>
      <c r="B679">
        <v>6948242</v>
      </c>
      <c r="C679">
        <v>6975624</v>
      </c>
      <c r="E679" t="s">
        <v>499</v>
      </c>
      <c r="H679" t="s">
        <v>136</v>
      </c>
      <c r="I679">
        <v>4348.7082399999999</v>
      </c>
      <c r="J679">
        <v>0</v>
      </c>
      <c r="K679">
        <v>0.98399999999999999</v>
      </c>
      <c r="L679">
        <v>0</v>
      </c>
      <c r="M679">
        <v>1.8838245323047251</v>
      </c>
      <c r="N679">
        <v>0</v>
      </c>
      <c r="O679">
        <v>0.016583595164404264</v>
      </c>
      <c r="P679">
        <v>0</v>
      </c>
      <c r="Q679">
        <v>2.8257367984570879E-05</v>
      </c>
      <c r="R679">
        <v>25000</v>
      </c>
      <c r="S679">
        <v>0</v>
      </c>
      <c r="T679">
        <v>0</v>
      </c>
      <c r="V679">
        <v>900</v>
      </c>
      <c r="W679">
        <v>8</v>
      </c>
      <c r="X679">
        <v>85</v>
      </c>
      <c r="Y679">
        <v>3</v>
      </c>
      <c r="Z679">
        <v>4</v>
      </c>
      <c r="AA679">
        <v>5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98</v>
      </c>
      <c r="AM679">
        <v>10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9</v>
      </c>
      <c r="AU679">
        <v>0.20</v>
      </c>
      <c r="AV679">
        <v>0</v>
      </c>
    </row>
    <row r="680" spans="1:48" ht="12.75">
      <c r="A680" s="2" t="str">
        <f>HYPERLINK("https://ibp.a2mac1.com/costing(costing:projects/details/8191/equipment/6948241)","No.02 - Idra - OL 560 S ")</f>
        <v xml:space="preserve">No.02 - Idra - OL 560 S </v>
      </c>
      <c r="B680">
        <v>6948241</v>
      </c>
      <c r="C680">
        <v>6975623</v>
      </c>
      <c r="E680" t="s">
        <v>499</v>
      </c>
      <c r="H680" t="s">
        <v>136</v>
      </c>
      <c r="I680">
        <v>64037.267999999996</v>
      </c>
      <c r="J680">
        <v>0</v>
      </c>
      <c r="K680">
        <v>4.3021988000000002</v>
      </c>
      <c r="L680">
        <v>0</v>
      </c>
      <c r="M680">
        <v>18.290830751141112</v>
      </c>
      <c r="N680">
        <v>0</v>
      </c>
      <c r="O680">
        <v>0.16101697753477107</v>
      </c>
      <c r="P680">
        <v>0.01200211638065</v>
      </c>
      <c r="Q680">
        <v>0.0052093572901369331</v>
      </c>
      <c r="R680">
        <v>460000</v>
      </c>
      <c r="S680">
        <v>0</v>
      </c>
      <c r="T680">
        <v>0</v>
      </c>
      <c r="V680">
        <v>7200</v>
      </c>
      <c r="W680">
        <v>10</v>
      </c>
      <c r="X680">
        <v>85</v>
      </c>
      <c r="Y680">
        <v>3</v>
      </c>
      <c r="Z680">
        <v>4</v>
      </c>
      <c r="AA680">
        <v>5</v>
      </c>
      <c r="AB680">
        <v>0</v>
      </c>
      <c r="AC680">
        <v>0</v>
      </c>
      <c r="AD680">
        <v>0</v>
      </c>
      <c r="AE680">
        <v>0</v>
      </c>
      <c r="AF680">
        <v>0.33</v>
      </c>
      <c r="AG680">
        <v>0</v>
      </c>
      <c r="AH680">
        <v>0</v>
      </c>
      <c r="AI680">
        <v>2</v>
      </c>
      <c r="AJ680">
        <v>0</v>
      </c>
      <c r="AK680">
        <v>0</v>
      </c>
      <c r="AL680">
        <v>93</v>
      </c>
      <c r="AM680">
        <v>55.50</v>
      </c>
      <c r="AN680">
        <v>0</v>
      </c>
      <c r="AO680">
        <v>0</v>
      </c>
      <c r="AP680">
        <v>0</v>
      </c>
      <c r="AQ680">
        <v>6</v>
      </c>
      <c r="AR680">
        <v>0</v>
      </c>
      <c r="AS680">
        <v>0.01</v>
      </c>
      <c r="AT680">
        <v>50</v>
      </c>
      <c r="AU680">
        <v>0</v>
      </c>
      <c r="AV680">
        <v>0</v>
      </c>
    </row>
    <row r="681" spans="1:48" ht="12.75">
      <c r="A681" s="2" t="str">
        <f>HYPERLINK("https://ibp.a2mac1.com/costing(costing:projects/details/8191/equipment/6948236)","Machining Center, small ")</f>
        <v xml:space="preserve">Machining Center, small </v>
      </c>
      <c r="B681">
        <v>6948236</v>
      </c>
      <c r="C681">
        <v>6975618</v>
      </c>
      <c r="E681" t="s">
        <v>499</v>
      </c>
      <c r="F681" t="s">
        <v>4941</v>
      </c>
      <c r="H681" t="s">
        <v>136</v>
      </c>
      <c r="I681">
        <v>32676.767998650001</v>
      </c>
      <c r="J681">
        <v>0</v>
      </c>
      <c r="K681">
        <v>2.9383759999999999</v>
      </c>
      <c r="L681">
        <v>0</v>
      </c>
      <c r="M681">
        <v>10.019984485720025</v>
      </c>
      <c r="N681">
        <v>0</v>
      </c>
      <c r="O681">
        <v>0.16699974142866711</v>
      </c>
      <c r="P681">
        <v>0.20933733333333332</v>
      </c>
      <c r="Q681">
        <v>0.0027096269382864031</v>
      </c>
      <c r="R681">
        <v>227699.99999000001</v>
      </c>
      <c r="S681">
        <v>19930.32</v>
      </c>
      <c r="T681">
        <v>0</v>
      </c>
      <c r="V681">
        <v>7200</v>
      </c>
      <c r="W681">
        <v>10</v>
      </c>
      <c r="X681">
        <v>85</v>
      </c>
      <c r="Y681">
        <v>3</v>
      </c>
      <c r="Z681">
        <v>4</v>
      </c>
      <c r="AA681">
        <v>5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100</v>
      </c>
      <c r="AM681">
        <v>35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0.20</v>
      </c>
      <c r="AT681">
        <v>50</v>
      </c>
      <c r="AU681">
        <v>0</v>
      </c>
      <c r="AV681">
        <v>0</v>
      </c>
    </row>
    <row r="682" spans="1:48" ht="12.75">
      <c r="A682" s="2" t="str">
        <f>HYPERLINK("https://ibp.a2mac1.com/costing(costing:projects/details/8191/equipment/6948239)","No.01 - Bodytrimming - 500x400x400 - 15kg/Mould ")</f>
        <v xml:space="preserve">No.01 - Bodytrimming - 500x400x400 - 15kg/Mould </v>
      </c>
      <c r="B682">
        <v>6948239</v>
      </c>
      <c r="C682">
        <v>6975621</v>
      </c>
      <c r="E682" t="s">
        <v>499</v>
      </c>
      <c r="H682" t="s">
        <v>136</v>
      </c>
      <c r="I682">
        <v>432.47215999999997</v>
      </c>
      <c r="J682">
        <v>0</v>
      </c>
      <c r="K682">
        <v>0.51136000000000004</v>
      </c>
      <c r="L682">
        <v>0</v>
      </c>
      <c r="M682">
        <v>0.59091193828351007</v>
      </c>
      <c r="N682">
        <v>0</v>
      </c>
      <c r="O682">
        <v>0.0073863992285438766</v>
      </c>
      <c r="P682">
        <v>0.051643500000000002</v>
      </c>
      <c r="Q682">
        <v>0</v>
      </c>
      <c r="R682">
        <v>1250</v>
      </c>
      <c r="S682">
        <v>17937.288</v>
      </c>
      <c r="T682">
        <v>0</v>
      </c>
      <c r="V682">
        <v>0</v>
      </c>
      <c r="W682">
        <v>8</v>
      </c>
      <c r="X682">
        <v>85</v>
      </c>
      <c r="Y682">
        <v>3</v>
      </c>
      <c r="Z682">
        <v>4</v>
      </c>
      <c r="AA682">
        <v>5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95</v>
      </c>
      <c r="AM682">
        <v>6</v>
      </c>
      <c r="AN682">
        <v>0</v>
      </c>
      <c r="AO682">
        <v>0</v>
      </c>
      <c r="AP682">
        <v>0</v>
      </c>
      <c r="AQ682">
        <v>2</v>
      </c>
      <c r="AR682">
        <v>0</v>
      </c>
      <c r="AS682">
        <v>0</v>
      </c>
      <c r="AT682">
        <v>6</v>
      </c>
      <c r="AU682">
        <v>0</v>
      </c>
      <c r="AV682">
        <v>0</v>
      </c>
    </row>
    <row r="683" spans="1:48" ht="12.75">
      <c r="A683" s="2" t="str">
        <f>HYPERLINK("https://ibp.a2mac1.com/costing(costing:projects/details/8191/equipment/6948240)","Manual deburring ")</f>
        <v xml:space="preserve">Manual deburring </v>
      </c>
      <c r="B683">
        <v>6948240</v>
      </c>
      <c r="C683">
        <v>6975622</v>
      </c>
      <c r="E683" t="s">
        <v>499</v>
      </c>
      <c r="F683" t="s">
        <v>4944</v>
      </c>
      <c r="H683" t="s">
        <v>136</v>
      </c>
      <c r="I683">
        <v>2345.49575865</v>
      </c>
      <c r="J683">
        <v>0</v>
      </c>
      <c r="K683">
        <v>0.34767999999999999</v>
      </c>
      <c r="L683">
        <v>0</v>
      </c>
      <c r="M683">
        <v>0.82736430699935715</v>
      </c>
      <c r="N683">
        <v>0</v>
      </c>
      <c r="O683">
        <v>0.028727927326366566</v>
      </c>
      <c r="P683">
        <v>0.14345416666666666</v>
      </c>
      <c r="Q683">
        <v>0.00080325625841996145</v>
      </c>
      <c r="R683">
        <v>12781.99999</v>
      </c>
      <c r="S683">
        <v>3986.0639999999999</v>
      </c>
      <c r="T683">
        <v>0</v>
      </c>
      <c r="V683">
        <v>3600</v>
      </c>
      <c r="W683">
        <v>10</v>
      </c>
      <c r="X683">
        <v>85</v>
      </c>
      <c r="Y683">
        <v>3</v>
      </c>
      <c r="Z683">
        <v>4</v>
      </c>
      <c r="AA683">
        <v>5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100</v>
      </c>
      <c r="AM683">
        <v>4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16</v>
      </c>
      <c r="AU683">
        <v>0</v>
      </c>
      <c r="AV683">
        <v>0</v>
      </c>
    </row>
    <row r="684" spans="1:48" ht="12.75">
      <c r="A684" s="2" t="str">
        <f>HYPERLINK("https://ibp.a2mac1.com/costing(costing:projects/details/8191/equipment/6948237)","Automated Optical Inspection ")</f>
        <v xml:space="preserve">Automated Optical Inspection </v>
      </c>
      <c r="B684">
        <v>6948237</v>
      </c>
      <c r="C684">
        <v>6975619</v>
      </c>
      <c r="E684" t="s">
        <v>499</v>
      </c>
      <c r="H684" t="s">
        <v>136</v>
      </c>
      <c r="I684">
        <v>31717.853999999999</v>
      </c>
      <c r="J684">
        <v>0</v>
      </c>
      <c r="K684">
        <v>0.24</v>
      </c>
      <c r="L684">
        <v>0</v>
      </c>
      <c r="M684">
        <v>7.168070395371263</v>
      </c>
      <c r="N684">
        <v>0</v>
      </c>
      <c r="O684">
        <v>0.029866959980713596</v>
      </c>
      <c r="P684">
        <v>0.0043036250000000002</v>
      </c>
      <c r="Q684">
        <v>0.00029592465593056896</v>
      </c>
      <c r="R684">
        <v>227772</v>
      </c>
      <c r="S684">
        <v>2491.29</v>
      </c>
      <c r="T684">
        <v>0</v>
      </c>
      <c r="V684">
        <v>900</v>
      </c>
      <c r="W684">
        <v>10</v>
      </c>
      <c r="X684">
        <v>85</v>
      </c>
      <c r="Y684">
        <v>3</v>
      </c>
      <c r="Z684">
        <v>4</v>
      </c>
      <c r="AA684">
        <v>5</v>
      </c>
      <c r="AB684">
        <v>0</v>
      </c>
      <c r="AC684">
        <v>0</v>
      </c>
      <c r="AD684">
        <v>0</v>
      </c>
      <c r="AE684">
        <v>0</v>
      </c>
      <c r="AF684">
        <v>0.25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100</v>
      </c>
      <c r="AM684">
        <v>3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25</v>
      </c>
      <c r="AU684">
        <v>0</v>
      </c>
      <c r="AV684">
        <v>0</v>
      </c>
    </row>
    <row r="685" spans="1:48" ht="12.75">
      <c r="A685" s="2" t="str">
        <f>HYPERLINK("https://ibp.a2mac1.com/costing(costing:projects/details/8191/equipment/6948238)","Packaging ")</f>
        <v xml:space="preserve">Packaging </v>
      </c>
      <c r="B685">
        <v>6948238</v>
      </c>
      <c r="C685">
        <v>6975620</v>
      </c>
      <c r="E685" t="s">
        <v>499</v>
      </c>
      <c r="H685" t="s">
        <v>136</v>
      </c>
      <c r="I685">
        <v>4437.4535986499995</v>
      </c>
      <c r="J685">
        <v>0</v>
      </c>
      <c r="K685">
        <v>0.10768</v>
      </c>
      <c r="L685">
        <v>0</v>
      </c>
      <c r="M685">
        <v>1.0619476949774993</v>
      </c>
      <c r="N685">
        <v>0</v>
      </c>
      <c r="O685">
        <v>0.0014749273541354154</v>
      </c>
      <c r="P685">
        <v>0.0057381666666666666</v>
      </c>
      <c r="Q685">
        <v>0.00020433281542466249</v>
      </c>
      <c r="R685">
        <v>29999.99999</v>
      </c>
      <c r="S685">
        <v>0</v>
      </c>
      <c r="T685">
        <v>800000</v>
      </c>
      <c r="V685">
        <v>900</v>
      </c>
      <c r="W685">
        <v>10</v>
      </c>
      <c r="X685">
        <v>85</v>
      </c>
      <c r="Y685">
        <v>3</v>
      </c>
      <c r="Z685">
        <v>4</v>
      </c>
      <c r="AA685">
        <v>5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50</v>
      </c>
      <c r="AM685">
        <v>2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10</v>
      </c>
      <c r="AU685">
        <v>0</v>
      </c>
      <c r="AV685">
        <v>0</v>
      </c>
    </row>
    <row r="686" spans="1:48" ht="12.75">
      <c r="A686" s="2" t="str">
        <f>HYPERLINK("https://ibp.a2mac1.com/costing(costing:projects/details/8191/equipment/6948244)","No.02 - Injection Press - 60T - 25kW - 320x320 - Max Volume 164cm3 ")</f>
        <v xml:space="preserve">No.02 - Injection Press - 60T - 25kW - 320x320 - Max Volume 164cm3 </v>
      </c>
      <c r="B686">
        <v>6948244</v>
      </c>
      <c r="C686">
        <v>6975626</v>
      </c>
      <c r="E686" t="s">
        <v>499</v>
      </c>
      <c r="H686" t="s">
        <v>136</v>
      </c>
      <c r="I686">
        <v>16929.888640000001</v>
      </c>
      <c r="J686">
        <v>0</v>
      </c>
      <c r="K686">
        <v>1.9124000000000001</v>
      </c>
      <c r="L686">
        <v>0</v>
      </c>
      <c r="M686">
        <v>5.4369722661523623</v>
      </c>
      <c r="N686">
        <v>0</v>
      </c>
      <c r="O686">
        <v>0.040128253431870778</v>
      </c>
      <c r="P686">
        <v>0.0076232261437500001</v>
      </c>
      <c r="Q686">
        <v>0.0036668942719382835</v>
      </c>
      <c r="R686">
        <v>100000</v>
      </c>
      <c r="S686">
        <v>0</v>
      </c>
      <c r="T686">
        <v>0</v>
      </c>
      <c r="V686">
        <v>7200</v>
      </c>
      <c r="W686">
        <v>8</v>
      </c>
      <c r="X686">
        <v>85</v>
      </c>
      <c r="Y686">
        <v>3</v>
      </c>
      <c r="Z686">
        <v>4</v>
      </c>
      <c r="AA686">
        <v>5</v>
      </c>
      <c r="AB686">
        <v>0</v>
      </c>
      <c r="AC686">
        <v>0</v>
      </c>
      <c r="AD686">
        <v>0</v>
      </c>
      <c r="AE686">
        <v>0</v>
      </c>
      <c r="AF686">
        <v>0.25</v>
      </c>
      <c r="AG686">
        <v>0</v>
      </c>
      <c r="AH686">
        <v>0</v>
      </c>
      <c r="AI686">
        <v>2</v>
      </c>
      <c r="AJ686">
        <v>0</v>
      </c>
      <c r="AK686">
        <v>0</v>
      </c>
      <c r="AL686">
        <v>97</v>
      </c>
      <c r="AM686">
        <v>24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24</v>
      </c>
      <c r="AU686">
        <v>0.05</v>
      </c>
      <c r="AV686">
        <v>0</v>
      </c>
    </row>
    <row r="687" spans="1:48" ht="12.75">
      <c r="A687" s="2" t="str">
        <f>HYPERLINK("https://ibp.a2mac1.com/costing(costing:projects/details/8191/equipment/6948245)","Packaging")</f>
        <v>Packaging</v>
      </c>
      <c r="B687">
        <v>6948245</v>
      </c>
      <c r="C687">
        <v>6975627</v>
      </c>
      <c r="H687" t="s">
        <v>136</v>
      </c>
      <c r="I687">
        <v>4437.4535986499995</v>
      </c>
      <c r="J687">
        <v>0</v>
      </c>
      <c r="K687">
        <v>0.08</v>
      </c>
      <c r="L687">
        <v>0</v>
      </c>
      <c r="M687">
        <v>1.0342676949774992</v>
      </c>
      <c r="N687">
        <v>0</v>
      </c>
      <c r="O687">
        <v>0.0086188974581458272</v>
      </c>
      <c r="P687">
        <v>0.034429000000000001</v>
      </c>
      <c r="Q687">
        <v>1.5514015424662487E-05</v>
      </c>
      <c r="R687">
        <v>29999.99999</v>
      </c>
      <c r="S687">
        <v>0</v>
      </c>
      <c r="T687">
        <v>0</v>
      </c>
      <c r="V687">
        <v>900</v>
      </c>
      <c r="W687">
        <v>10</v>
      </c>
      <c r="X687">
        <v>85</v>
      </c>
      <c r="Y687">
        <v>3</v>
      </c>
      <c r="Z687">
        <v>4</v>
      </c>
      <c r="AA687">
        <v>5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50</v>
      </c>
      <c r="AM687">
        <v>2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10</v>
      </c>
      <c r="AU687">
        <v>0</v>
      </c>
      <c r="AV687">
        <v>0</v>
      </c>
    </row>
    <row r="688" spans="1:48" ht="12.75">
      <c r="A688" s="2" t="str">
        <f>HYPERLINK("https://ibp.a2mac1.com/costing(costing:projects/details/8191/equipment/6948246)","No.05 - Injection Press - 125T - 34kW - 500x500 - Max Volume 260cm3 ")</f>
        <v xml:space="preserve">No.05 - Injection Press - 125T - 34kW - 500x500 - Max Volume 260cm3 </v>
      </c>
      <c r="B688">
        <v>6948246</v>
      </c>
      <c r="C688">
        <v>6975628</v>
      </c>
      <c r="E688" t="s">
        <v>499</v>
      </c>
      <c r="H688" t="s">
        <v>136</v>
      </c>
      <c r="I688">
        <v>25501.382699999998</v>
      </c>
      <c r="J688">
        <v>0</v>
      </c>
      <c r="K688">
        <v>2.375</v>
      </c>
      <c r="L688">
        <v>0</v>
      </c>
      <c r="M688">
        <v>7.6789830761812921</v>
      </c>
      <c r="N688">
        <v>0</v>
      </c>
      <c r="O688">
        <v>0.053975998652649203</v>
      </c>
      <c r="P688">
        <v>0.0072601006116666663</v>
      </c>
      <c r="Q688">
        <v>0.0039359355691417552</v>
      </c>
      <c r="R688">
        <v>150000</v>
      </c>
      <c r="S688">
        <v>0</v>
      </c>
      <c r="T688">
        <v>0</v>
      </c>
      <c r="V688">
        <v>7200</v>
      </c>
      <c r="W688">
        <v>8</v>
      </c>
      <c r="X688">
        <v>85</v>
      </c>
      <c r="Y688">
        <v>3</v>
      </c>
      <c r="Z688">
        <v>4</v>
      </c>
      <c r="AA688">
        <v>5</v>
      </c>
      <c r="AB688">
        <v>0</v>
      </c>
      <c r="AC688">
        <v>0</v>
      </c>
      <c r="AD688">
        <v>0</v>
      </c>
      <c r="AE688">
        <v>0</v>
      </c>
      <c r="AF688">
        <v>0.25</v>
      </c>
      <c r="AG688">
        <v>0</v>
      </c>
      <c r="AH688">
        <v>0</v>
      </c>
      <c r="AI688">
        <v>2</v>
      </c>
      <c r="AJ688">
        <v>0</v>
      </c>
      <c r="AK688">
        <v>0</v>
      </c>
      <c r="AL688">
        <v>93</v>
      </c>
      <c r="AM688">
        <v>31.25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38.75</v>
      </c>
      <c r="AU688">
        <v>0.05</v>
      </c>
      <c r="AV688">
        <v>0</v>
      </c>
    </row>
    <row r="689" spans="1:48" ht="12.75">
      <c r="A689" s="2" t="str">
        <f>HYPERLINK("https://ibp.a2mac1.com/costing(costing:projects/details/8191/equipment/6948247)","Packaging")</f>
        <v>Packaging</v>
      </c>
      <c r="B689">
        <v>6948247</v>
      </c>
      <c r="C689">
        <v>6975629</v>
      </c>
      <c r="H689" t="s">
        <v>136</v>
      </c>
      <c r="I689">
        <v>4437.4535986499995</v>
      </c>
      <c r="J689">
        <v>0</v>
      </c>
      <c r="K689">
        <v>0.08</v>
      </c>
      <c r="L689">
        <v>0</v>
      </c>
      <c r="M689">
        <v>1.0342676949774992</v>
      </c>
      <c r="N689">
        <v>0</v>
      </c>
      <c r="O689">
        <v>0.0086188974581458272</v>
      </c>
      <c r="P689">
        <v>0.034429000000000001</v>
      </c>
      <c r="Q689">
        <v>1.5514015424662487E-05</v>
      </c>
      <c r="R689">
        <v>29999.99999</v>
      </c>
      <c r="S689">
        <v>0</v>
      </c>
      <c r="T689">
        <v>0</v>
      </c>
      <c r="V689">
        <v>900</v>
      </c>
      <c r="W689">
        <v>10</v>
      </c>
      <c r="X689">
        <v>85</v>
      </c>
      <c r="Y689">
        <v>3</v>
      </c>
      <c r="Z689">
        <v>4</v>
      </c>
      <c r="AA689">
        <v>5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50</v>
      </c>
      <c r="AM689">
        <v>2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10</v>
      </c>
      <c r="AU689">
        <v>0</v>
      </c>
      <c r="AV689">
        <v>0</v>
      </c>
    </row>
    <row r="690" spans="1:48" ht="12.75">
      <c r="A690" s="2" t="str">
        <f>HYPERLINK("https://ibp.a2mac1.com/costing(costing:projects/details/8191/equipment/6948249)","No.04 - Injection Press - 100T - 33kW - 400x400 - Max Volume 260cm3 ")</f>
        <v xml:space="preserve">No.04 - Injection Press - 100T - 33kW - 400x400 - Max Volume 260cm3 </v>
      </c>
      <c r="B690">
        <v>6948249</v>
      </c>
      <c r="C690">
        <v>6975631</v>
      </c>
      <c r="E690" t="s">
        <v>499</v>
      </c>
      <c r="H690" t="s">
        <v>136</v>
      </c>
      <c r="I690">
        <v>22101.844096000001</v>
      </c>
      <c r="J690">
        <v>0</v>
      </c>
      <c r="K690">
        <v>2.282</v>
      </c>
      <c r="L690">
        <v>0</v>
      </c>
      <c r="M690">
        <v>6.8788891186113794</v>
      </c>
      <c r="N690">
        <v>0</v>
      </c>
      <c r="O690">
        <v>0.018780838611759436</v>
      </c>
      <c r="P690">
        <v>0.0028199560194166668</v>
      </c>
      <c r="Q690">
        <v>0.0038399242942333653</v>
      </c>
      <c r="R690">
        <v>130000</v>
      </c>
      <c r="S690">
        <v>0</v>
      </c>
      <c r="T690">
        <v>0</v>
      </c>
      <c r="V690">
        <v>7200</v>
      </c>
      <c r="W690">
        <v>8</v>
      </c>
      <c r="X690">
        <v>85</v>
      </c>
      <c r="Y690">
        <v>3</v>
      </c>
      <c r="Z690">
        <v>4</v>
      </c>
      <c r="AA690">
        <v>5</v>
      </c>
      <c r="AB690">
        <v>0</v>
      </c>
      <c r="AC690">
        <v>0</v>
      </c>
      <c r="AD690">
        <v>0</v>
      </c>
      <c r="AE690">
        <v>0</v>
      </c>
      <c r="AF690">
        <v>0.25</v>
      </c>
      <c r="AG690">
        <v>0</v>
      </c>
      <c r="AH690">
        <v>0</v>
      </c>
      <c r="AI690">
        <v>2</v>
      </c>
      <c r="AJ690">
        <v>0</v>
      </c>
      <c r="AK690">
        <v>0</v>
      </c>
      <c r="AL690">
        <v>93</v>
      </c>
      <c r="AM690">
        <v>30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33.60</v>
      </c>
      <c r="AU690">
        <v>0.05</v>
      </c>
      <c r="AV690">
        <v>0</v>
      </c>
    </row>
    <row r="691" spans="1:48" ht="12.75">
      <c r="A691" s="2" t="str">
        <f>HYPERLINK("https://ibp.a2mac1.com/costing(costing:projects/details/8191/equipment/6948248)","Packaging")</f>
        <v>Packaging</v>
      </c>
      <c r="B691">
        <v>6948248</v>
      </c>
      <c r="C691">
        <v>6975630</v>
      </c>
      <c r="H691" t="s">
        <v>136</v>
      </c>
      <c r="I691">
        <v>4437.4535986499995</v>
      </c>
      <c r="J691">
        <v>0</v>
      </c>
      <c r="K691">
        <v>0.08</v>
      </c>
      <c r="L691">
        <v>0</v>
      </c>
      <c r="M691">
        <v>1.0342676949774992</v>
      </c>
      <c r="N691">
        <v>0</v>
      </c>
      <c r="O691">
        <v>0.0043094487290729136</v>
      </c>
      <c r="P691">
        <v>0.017214500000000001</v>
      </c>
      <c r="Q691">
        <v>1.5514015424662487E-05</v>
      </c>
      <c r="R691">
        <v>29999.99999</v>
      </c>
      <c r="S691">
        <v>0</v>
      </c>
      <c r="T691">
        <v>0</v>
      </c>
      <c r="V691">
        <v>900</v>
      </c>
      <c r="W691">
        <v>10</v>
      </c>
      <c r="X691">
        <v>85</v>
      </c>
      <c r="Y691">
        <v>3</v>
      </c>
      <c r="Z691">
        <v>4</v>
      </c>
      <c r="AA691">
        <v>5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50</v>
      </c>
      <c r="AM691">
        <v>2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10</v>
      </c>
      <c r="AU691">
        <v>0</v>
      </c>
      <c r="AV691">
        <v>0</v>
      </c>
    </row>
    <row r="692" spans="1:48" ht="12.75">
      <c r="A692" s="2" t="str">
        <f>HYPERLINK("https://ibp.a2mac1.com/costing(costing:projects/details/8191/equipment/6948250)","No.04 - Injection Press - 100T - 33kW - 400x400 - Max Volume 260cm3 ")</f>
        <v xml:space="preserve">No.04 - Injection Press - 100T - 33kW - 400x400 - Max Volume 260cm3 </v>
      </c>
      <c r="B692">
        <v>6948250</v>
      </c>
      <c r="C692">
        <v>6975632</v>
      </c>
      <c r="E692" t="s">
        <v>499</v>
      </c>
      <c r="H692" t="s">
        <v>136</v>
      </c>
      <c r="I692">
        <v>22101.844096000001</v>
      </c>
      <c r="J692">
        <v>0</v>
      </c>
      <c r="K692">
        <v>2.282</v>
      </c>
      <c r="L692">
        <v>0</v>
      </c>
      <c r="M692">
        <v>6.8788891186113794</v>
      </c>
      <c r="N692">
        <v>0</v>
      </c>
      <c r="O692">
        <v>0.047994888349716748</v>
      </c>
      <c r="P692">
        <v>0.007206465967833333</v>
      </c>
      <c r="Q692">
        <v>0.0038399242942333653</v>
      </c>
      <c r="R692">
        <v>130000</v>
      </c>
      <c r="S692">
        <v>0</v>
      </c>
      <c r="T692">
        <v>0</v>
      </c>
      <c r="V692">
        <v>7200</v>
      </c>
      <c r="W692">
        <v>8</v>
      </c>
      <c r="X692">
        <v>85</v>
      </c>
      <c r="Y692">
        <v>3</v>
      </c>
      <c r="Z692">
        <v>4</v>
      </c>
      <c r="AA692">
        <v>5</v>
      </c>
      <c r="AB692">
        <v>0</v>
      </c>
      <c r="AC692">
        <v>0</v>
      </c>
      <c r="AD692">
        <v>0</v>
      </c>
      <c r="AE692">
        <v>0</v>
      </c>
      <c r="AF692">
        <v>0.25</v>
      </c>
      <c r="AG692">
        <v>0</v>
      </c>
      <c r="AH692">
        <v>0</v>
      </c>
      <c r="AI692">
        <v>2</v>
      </c>
      <c r="AJ692">
        <v>0</v>
      </c>
      <c r="AK692">
        <v>0</v>
      </c>
      <c r="AL692">
        <v>93</v>
      </c>
      <c r="AM692">
        <v>30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33.60</v>
      </c>
      <c r="AU692">
        <v>0.05</v>
      </c>
      <c r="AV692">
        <v>0</v>
      </c>
    </row>
    <row r="693" spans="1:48" ht="12.75">
      <c r="A693" s="2" t="str">
        <f>HYPERLINK("https://ibp.a2mac1.com/costing(costing:projects/details/8191/equipment/6948251)","Packaging")</f>
        <v>Packaging</v>
      </c>
      <c r="B693">
        <v>6948251</v>
      </c>
      <c r="C693">
        <v>6975633</v>
      </c>
      <c r="H693" t="s">
        <v>136</v>
      </c>
      <c r="I693">
        <v>4437.4535986499995</v>
      </c>
      <c r="J693">
        <v>0</v>
      </c>
      <c r="K693">
        <v>0.08</v>
      </c>
      <c r="L693">
        <v>0</v>
      </c>
      <c r="M693">
        <v>1.0342676949774992</v>
      </c>
      <c r="N693">
        <v>0</v>
      </c>
      <c r="O693">
        <v>0.0086188974581458272</v>
      </c>
      <c r="P693">
        <v>0.034429000000000001</v>
      </c>
      <c r="Q693">
        <v>1.5514015424662487E-05</v>
      </c>
      <c r="R693">
        <v>29999.99999</v>
      </c>
      <c r="S693">
        <v>0</v>
      </c>
      <c r="T693">
        <v>0</v>
      </c>
      <c r="V693">
        <v>900</v>
      </c>
      <c r="W693">
        <v>10</v>
      </c>
      <c r="X693">
        <v>85</v>
      </c>
      <c r="Y693">
        <v>3</v>
      </c>
      <c r="Z693">
        <v>4</v>
      </c>
      <c r="AA693">
        <v>5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50</v>
      </c>
      <c r="AM693">
        <v>2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10</v>
      </c>
      <c r="AU693">
        <v>0</v>
      </c>
      <c r="AV693">
        <v>0</v>
      </c>
    </row>
    <row r="694" spans="1:48" ht="12.75">
      <c r="A694" s="2" t="str">
        <f>HYPERLINK("https://ibp.a2mac1.com/costing(costing:projects/details/8191/equipment/6948252)","Equipment (Injection Molding)")</f>
        <v>Equipment (Injection Molding)</v>
      </c>
      <c r="B694">
        <v>6948252</v>
      </c>
      <c r="C694">
        <v>6975634</v>
      </c>
      <c r="H694" t="s">
        <v>136</v>
      </c>
      <c r="I694">
        <v>896.00033399999995</v>
      </c>
      <c r="J694">
        <v>0</v>
      </c>
      <c r="K694">
        <v>0.038080000000000003</v>
      </c>
      <c r="L694">
        <v>0</v>
      </c>
      <c r="M694">
        <v>0.22033656284153005</v>
      </c>
      <c r="N694">
        <v>0</v>
      </c>
      <c r="O694">
        <v>0.0036722760473588342</v>
      </c>
      <c r="P694">
        <v>0.00023411720000000001</v>
      </c>
      <c r="Q694">
        <v>1.938572467057377E-05</v>
      </c>
      <c r="R694">
        <v>4760</v>
      </c>
      <c r="S694">
        <v>0</v>
      </c>
      <c r="T694">
        <v>0</v>
      </c>
      <c r="V694">
        <v>45.90</v>
      </c>
      <c r="W694">
        <v>7</v>
      </c>
      <c r="X694">
        <v>85</v>
      </c>
      <c r="Y694">
        <v>3</v>
      </c>
      <c r="Z694">
        <v>4</v>
      </c>
      <c r="AA694">
        <v>5</v>
      </c>
      <c r="AB694">
        <v>0</v>
      </c>
      <c r="AC694">
        <v>0</v>
      </c>
      <c r="AD694">
        <v>0</v>
      </c>
      <c r="AE694">
        <v>0</v>
      </c>
      <c r="AF694">
        <v>0.0033999999999999998</v>
      </c>
      <c r="AG694">
        <v>0</v>
      </c>
      <c r="AH694">
        <v>0</v>
      </c>
      <c r="AI694">
        <v>2</v>
      </c>
      <c r="AJ694">
        <v>0</v>
      </c>
      <c r="AK694">
        <v>0</v>
      </c>
      <c r="AL694">
        <v>80</v>
      </c>
      <c r="AM694">
        <v>0.595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1.275</v>
      </c>
      <c r="AU694">
        <v>0</v>
      </c>
      <c r="AV694">
        <v>0</v>
      </c>
    </row>
    <row r="695" spans="1:48" ht="12.75">
      <c r="A695" s="2" t="str">
        <f>HYPERLINK("https://ibp.a2mac1.com/costing(costing:projects/details/8191/equipment/6948253)","Equipment (Injection Molding)")</f>
        <v>Equipment (Injection Molding)</v>
      </c>
      <c r="B695">
        <v>6948253</v>
      </c>
      <c r="C695">
        <v>6975634</v>
      </c>
      <c r="H695" t="s">
        <v>136</v>
      </c>
      <c r="I695">
        <v>896.00033399999995</v>
      </c>
      <c r="J695">
        <v>0</v>
      </c>
      <c r="K695">
        <v>0.038080000000000003</v>
      </c>
      <c r="L695">
        <v>0</v>
      </c>
      <c r="M695">
        <v>0.22033656284153005</v>
      </c>
      <c r="N695">
        <v>0</v>
      </c>
      <c r="O695">
        <v>0.0036722760473588342</v>
      </c>
      <c r="P695">
        <v>0.00023411720000000001</v>
      </c>
      <c r="Q695">
        <v>1.938572467057377E-05</v>
      </c>
      <c r="R695">
        <v>4760</v>
      </c>
      <c r="S695">
        <v>0</v>
      </c>
      <c r="T695">
        <v>0</v>
      </c>
      <c r="V695">
        <v>45.90</v>
      </c>
      <c r="W695">
        <v>7</v>
      </c>
      <c r="X695">
        <v>85</v>
      </c>
      <c r="Y695">
        <v>3</v>
      </c>
      <c r="Z695">
        <v>4</v>
      </c>
      <c r="AA695">
        <v>5</v>
      </c>
      <c r="AB695">
        <v>0</v>
      </c>
      <c r="AC695">
        <v>0</v>
      </c>
      <c r="AD695">
        <v>0</v>
      </c>
      <c r="AE695">
        <v>0</v>
      </c>
      <c r="AF695">
        <v>0.0033999999999999998</v>
      </c>
      <c r="AG695">
        <v>0</v>
      </c>
      <c r="AH695">
        <v>0</v>
      </c>
      <c r="AI695">
        <v>2</v>
      </c>
      <c r="AJ695">
        <v>0</v>
      </c>
      <c r="AK695">
        <v>0</v>
      </c>
      <c r="AL695">
        <v>80</v>
      </c>
      <c r="AM695">
        <v>0.595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1.275</v>
      </c>
      <c r="AU695">
        <v>0</v>
      </c>
      <c r="AV695">
        <v>0</v>
      </c>
    </row>
    <row r="696" spans="1:48" ht="12.75">
      <c r="A696" s="2" t="str">
        <f>HYPERLINK("https://ibp.a2mac1.com/costing(costing:projects/details/8191/equipment/6948254)","Equipment (Injection Molding)")</f>
        <v>Equipment (Injection Molding)</v>
      </c>
      <c r="B696">
        <v>6948254</v>
      </c>
      <c r="C696">
        <v>6975635</v>
      </c>
      <c r="H696" t="s">
        <v>136</v>
      </c>
      <c r="I696">
        <v>395.294265</v>
      </c>
      <c r="J696">
        <v>0</v>
      </c>
      <c r="K696">
        <v>0.016799999999999999</v>
      </c>
      <c r="L696">
        <v>0</v>
      </c>
      <c r="M696">
        <v>0.097207307135969145</v>
      </c>
      <c r="N696">
        <v>0</v>
      </c>
      <c r="O696">
        <v>0.0016201217855994856</v>
      </c>
      <c r="P696">
        <v>0.000103287</v>
      </c>
      <c r="Q696">
        <v>8.5109694661583896E-06</v>
      </c>
      <c r="R696">
        <v>2100</v>
      </c>
      <c r="S696">
        <v>0</v>
      </c>
      <c r="T696">
        <v>0</v>
      </c>
      <c r="V696">
        <v>20.25</v>
      </c>
      <c r="W696">
        <v>7</v>
      </c>
      <c r="X696">
        <v>85</v>
      </c>
      <c r="Y696">
        <v>3</v>
      </c>
      <c r="Z696">
        <v>4</v>
      </c>
      <c r="AA696">
        <v>5</v>
      </c>
      <c r="AB696">
        <v>0</v>
      </c>
      <c r="AC696">
        <v>0</v>
      </c>
      <c r="AD696">
        <v>0</v>
      </c>
      <c r="AE696">
        <v>0</v>
      </c>
      <c r="AF696">
        <v>0.0015</v>
      </c>
      <c r="AG696">
        <v>0</v>
      </c>
      <c r="AH696">
        <v>0</v>
      </c>
      <c r="AI696">
        <v>2</v>
      </c>
      <c r="AJ696">
        <v>0</v>
      </c>
      <c r="AK696">
        <v>0</v>
      </c>
      <c r="AL696">
        <v>80</v>
      </c>
      <c r="AM696">
        <v>0.2625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0.5625</v>
      </c>
      <c r="AU696">
        <v>0</v>
      </c>
      <c r="AV696">
        <v>0</v>
      </c>
    </row>
    <row r="697" spans="1:48" ht="12.75">
      <c r="A697" s="2" t="str">
        <f>HYPERLINK("https://ibp.a2mac1.com/costing(costing:projects/details/8191/equipment/6948255)","Equipment (Injection Molding)")</f>
        <v>Equipment (Injection Molding)</v>
      </c>
      <c r="B697">
        <v>6948255</v>
      </c>
      <c r="C697">
        <v>6975635</v>
      </c>
      <c r="H697" t="s">
        <v>136</v>
      </c>
      <c r="I697">
        <v>395.294265</v>
      </c>
      <c r="J697">
        <v>0</v>
      </c>
      <c r="K697">
        <v>0.016799999999999999</v>
      </c>
      <c r="L697">
        <v>0</v>
      </c>
      <c r="M697">
        <v>0.097207307135969145</v>
      </c>
      <c r="N697">
        <v>0</v>
      </c>
      <c r="O697">
        <v>0.0016201217855994856</v>
      </c>
      <c r="P697">
        <v>0.000103287</v>
      </c>
      <c r="Q697">
        <v>8.5109694661583896E-06</v>
      </c>
      <c r="R697">
        <v>2100</v>
      </c>
      <c r="S697">
        <v>0</v>
      </c>
      <c r="T697">
        <v>0</v>
      </c>
      <c r="V697">
        <v>20.25</v>
      </c>
      <c r="W697">
        <v>7</v>
      </c>
      <c r="X697">
        <v>85</v>
      </c>
      <c r="Y697">
        <v>3</v>
      </c>
      <c r="Z697">
        <v>4</v>
      </c>
      <c r="AA697">
        <v>5</v>
      </c>
      <c r="AB697">
        <v>0</v>
      </c>
      <c r="AC697">
        <v>0</v>
      </c>
      <c r="AD697">
        <v>0</v>
      </c>
      <c r="AE697">
        <v>0</v>
      </c>
      <c r="AF697">
        <v>0.0015</v>
      </c>
      <c r="AG697">
        <v>0</v>
      </c>
      <c r="AH697">
        <v>0</v>
      </c>
      <c r="AI697">
        <v>2</v>
      </c>
      <c r="AJ697">
        <v>0</v>
      </c>
      <c r="AK697">
        <v>0</v>
      </c>
      <c r="AL697">
        <v>80</v>
      </c>
      <c r="AM697">
        <v>0.2625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0.5625</v>
      </c>
      <c r="AU697">
        <v>0</v>
      </c>
      <c r="AV697">
        <v>0</v>
      </c>
    </row>
    <row r="698" spans="1:48" ht="12.75">
      <c r="A698" s="2" t="str">
        <f>HYPERLINK("https://ibp.a2mac1.com/costing(costing:projects/details/8191/equipment/6948256)","No.01 - T,TF 10/11")</f>
        <v>No.01 - T,TF 10/11</v>
      </c>
      <c r="B698">
        <v>6948256</v>
      </c>
      <c r="C698">
        <v>6975636</v>
      </c>
      <c r="E698" t="s">
        <v>499</v>
      </c>
      <c r="H698" t="s">
        <v>136</v>
      </c>
      <c r="I698">
        <v>7587.4535999999998</v>
      </c>
      <c r="J698">
        <v>0</v>
      </c>
      <c r="K698">
        <v>1.2276800000000001</v>
      </c>
      <c r="L698">
        <v>0</v>
      </c>
      <c r="M698">
        <v>2.8087557955641271</v>
      </c>
      <c r="N698">
        <v>0</v>
      </c>
      <c r="O698">
        <v>0.014015995701742848</v>
      </c>
      <c r="P698">
        <v>0</v>
      </c>
      <c r="Q698">
        <v>0.0004610698738669238</v>
      </c>
      <c r="R698">
        <v>45000</v>
      </c>
      <c r="S698">
        <v>0</v>
      </c>
      <c r="T698">
        <v>0</v>
      </c>
      <c r="V698">
        <v>1800</v>
      </c>
      <c r="W698">
        <v>8</v>
      </c>
      <c r="X698">
        <v>85</v>
      </c>
      <c r="Y698">
        <v>3</v>
      </c>
      <c r="Z698">
        <v>4</v>
      </c>
      <c r="AA698">
        <v>5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100</v>
      </c>
      <c r="AM698">
        <v>15</v>
      </c>
      <c r="AN698">
        <v>0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10</v>
      </c>
      <c r="AU698">
        <v>0</v>
      </c>
      <c r="AV698">
        <v>0</v>
      </c>
    </row>
    <row r="699" spans="1:48" ht="12.75">
      <c r="A699" s="2" t="str">
        <f>HYPERLINK("https://ibp.a2mac1.com/costing(costing:projects/details/8191/equipment/6948257)","No.01 - Buhler ladel Model 4,5L ")</f>
        <v xml:space="preserve">No.01 - Buhler ladel Model 4,5L </v>
      </c>
      <c r="B699">
        <v>6948257</v>
      </c>
      <c r="C699">
        <v>6975637</v>
      </c>
      <c r="E699" t="s">
        <v>499</v>
      </c>
      <c r="H699" t="s">
        <v>136</v>
      </c>
      <c r="I699">
        <v>4348.7082399999999</v>
      </c>
      <c r="J699">
        <v>0</v>
      </c>
      <c r="K699">
        <v>0.98399999999999999</v>
      </c>
      <c r="L699">
        <v>0</v>
      </c>
      <c r="M699">
        <v>1.8838245323047251</v>
      </c>
      <c r="N699">
        <v>0</v>
      </c>
      <c r="O699">
        <v>0.0094004884971915781</v>
      </c>
      <c r="P699">
        <v>0</v>
      </c>
      <c r="Q699">
        <v>2.8257367984570879E-05</v>
      </c>
      <c r="R699">
        <v>25000</v>
      </c>
      <c r="S699">
        <v>0</v>
      </c>
      <c r="T699">
        <v>0</v>
      </c>
      <c r="V699">
        <v>900</v>
      </c>
      <c r="W699">
        <v>8</v>
      </c>
      <c r="X699">
        <v>85</v>
      </c>
      <c r="Y699">
        <v>3</v>
      </c>
      <c r="Z699">
        <v>4</v>
      </c>
      <c r="AA699">
        <v>5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98</v>
      </c>
      <c r="AM699">
        <v>10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9</v>
      </c>
      <c r="AU699">
        <v>0.20</v>
      </c>
      <c r="AV699">
        <v>0</v>
      </c>
    </row>
    <row r="700" spans="1:48" ht="12.75">
      <c r="A700" s="2" t="str">
        <f>HYPERLINK("https://ibp.a2mac1.com/costing(costing:projects/details/8191/equipment/6948258)","No.01 - Idra - OL 420 S ")</f>
        <v xml:space="preserve">No.01 - Idra - OL 420 S </v>
      </c>
      <c r="B700">
        <v>6948258</v>
      </c>
      <c r="C700">
        <v>6975638</v>
      </c>
      <c r="E700" t="s">
        <v>499</v>
      </c>
      <c r="H700" t="s">
        <v>136</v>
      </c>
      <c r="I700">
        <v>55937.267999999996</v>
      </c>
      <c r="J700">
        <v>0</v>
      </c>
      <c r="K700">
        <v>3.5209988000000001</v>
      </c>
      <c r="L700">
        <v>0</v>
      </c>
      <c r="M700">
        <v>15.725638465702346</v>
      </c>
      <c r="N700">
        <v>0</v>
      </c>
      <c r="O700">
        <v>0.0784726395546885</v>
      </c>
      <c r="P700">
        <v>0.0068034558164100003</v>
      </c>
      <c r="Q700">
        <v>0.0049015342158842817</v>
      </c>
      <c r="R700">
        <v>400000</v>
      </c>
      <c r="S700">
        <v>0</v>
      </c>
      <c r="T700">
        <v>0</v>
      </c>
      <c r="V700">
        <v>7200</v>
      </c>
      <c r="W700">
        <v>10</v>
      </c>
      <c r="X700">
        <v>85</v>
      </c>
      <c r="Y700">
        <v>3</v>
      </c>
      <c r="Z700">
        <v>4</v>
      </c>
      <c r="AA700">
        <v>5</v>
      </c>
      <c r="AB700">
        <v>0</v>
      </c>
      <c r="AC700">
        <v>0</v>
      </c>
      <c r="AD700">
        <v>0</v>
      </c>
      <c r="AE700">
        <v>0</v>
      </c>
      <c r="AF700">
        <v>0.33</v>
      </c>
      <c r="AG700">
        <v>0</v>
      </c>
      <c r="AH700">
        <v>0</v>
      </c>
      <c r="AI700">
        <v>2</v>
      </c>
      <c r="AJ700">
        <v>0</v>
      </c>
      <c r="AK700">
        <v>0</v>
      </c>
      <c r="AL700">
        <v>93</v>
      </c>
      <c r="AM700">
        <v>45</v>
      </c>
      <c r="AN700">
        <v>0</v>
      </c>
      <c r="AO700">
        <v>0</v>
      </c>
      <c r="AP700">
        <v>0</v>
      </c>
      <c r="AQ700">
        <v>6</v>
      </c>
      <c r="AR700">
        <v>0</v>
      </c>
      <c r="AS700">
        <v>0.01</v>
      </c>
      <c r="AT700">
        <v>50</v>
      </c>
      <c r="AU700">
        <v>0</v>
      </c>
      <c r="AV700">
        <v>0</v>
      </c>
    </row>
    <row r="701" spans="1:48" ht="12.75">
      <c r="A701" s="2" t="str">
        <f>HYPERLINK("https://ibp.a2mac1.com/costing(costing:projects/details/8191/equipment/6948259)","No.05 - Injection Press - 125T - 34kW - 500x500 - Max Volume 260cm3 ")</f>
        <v xml:space="preserve">No.05 - Injection Press - 125T - 34kW - 500x500 - Max Volume 260cm3 </v>
      </c>
      <c r="B701">
        <v>6948259</v>
      </c>
      <c r="C701">
        <v>6975657</v>
      </c>
      <c r="E701" t="s">
        <v>499</v>
      </c>
      <c r="H701" t="s">
        <v>136</v>
      </c>
      <c r="I701">
        <v>25501.382699999998</v>
      </c>
      <c r="J701">
        <v>0</v>
      </c>
      <c r="K701">
        <v>2.375</v>
      </c>
      <c r="L701">
        <v>0</v>
      </c>
      <c r="M701">
        <v>7.6789830761812921</v>
      </c>
      <c r="N701">
        <v>0</v>
      </c>
      <c r="O701">
        <v>0.079149091659426893</v>
      </c>
      <c r="P701">
        <v>0.010646034962083334</v>
      </c>
      <c r="Q701">
        <v>0.0039359355691417552</v>
      </c>
      <c r="R701">
        <v>150000</v>
      </c>
      <c r="S701">
        <v>0</v>
      </c>
      <c r="T701">
        <v>0</v>
      </c>
      <c r="V701">
        <v>7200</v>
      </c>
      <c r="W701">
        <v>8</v>
      </c>
      <c r="X701">
        <v>85</v>
      </c>
      <c r="Y701">
        <v>3</v>
      </c>
      <c r="Z701">
        <v>4</v>
      </c>
      <c r="AA701">
        <v>5</v>
      </c>
      <c r="AB701">
        <v>0</v>
      </c>
      <c r="AC701">
        <v>0</v>
      </c>
      <c r="AD701">
        <v>0</v>
      </c>
      <c r="AE701">
        <v>0</v>
      </c>
      <c r="AF701">
        <v>0.25</v>
      </c>
      <c r="AG701">
        <v>0</v>
      </c>
      <c r="AH701">
        <v>0</v>
      </c>
      <c r="AI701">
        <v>2</v>
      </c>
      <c r="AJ701">
        <v>0</v>
      </c>
      <c r="AK701">
        <v>0</v>
      </c>
      <c r="AL701">
        <v>93</v>
      </c>
      <c r="AM701">
        <v>31.25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38.75</v>
      </c>
      <c r="AU701">
        <v>0.05</v>
      </c>
      <c r="AV701">
        <v>0</v>
      </c>
    </row>
    <row r="702" spans="1:48" ht="12.75">
      <c r="A702" s="2" t="str">
        <f>HYPERLINK("https://ibp.a2mac1.com/costing(costing:projects/details/8191/equipment/6948261)","Packaging station")</f>
        <v>Packaging station</v>
      </c>
      <c r="B702">
        <v>6948261</v>
      </c>
      <c r="C702">
        <v>6975659</v>
      </c>
      <c r="H702" t="s">
        <v>136</v>
      </c>
      <c r="I702">
        <v>4437.4535999999998</v>
      </c>
      <c r="J702">
        <v>0</v>
      </c>
      <c r="K702">
        <v>0.16</v>
      </c>
      <c r="L702">
        <v>0</v>
      </c>
      <c r="M702">
        <v>1.1142676952748312</v>
      </c>
      <c r="N702">
        <v>0</v>
      </c>
      <c r="O702">
        <v>0.01392834619093539</v>
      </c>
      <c r="P702">
        <v>0.051643500000000002</v>
      </c>
      <c r="Q702">
        <v>0.00020511761542912248</v>
      </c>
      <c r="R702">
        <v>30000</v>
      </c>
      <c r="S702">
        <v>0</v>
      </c>
      <c r="T702">
        <v>0</v>
      </c>
      <c r="V702">
        <v>900</v>
      </c>
      <c r="W702">
        <v>10</v>
      </c>
      <c r="X702">
        <v>85</v>
      </c>
      <c r="Y702">
        <v>3</v>
      </c>
      <c r="Z702">
        <v>4</v>
      </c>
      <c r="AA702">
        <v>5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100</v>
      </c>
      <c r="AM702">
        <v>2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10</v>
      </c>
      <c r="AU702">
        <v>0</v>
      </c>
      <c r="AV702">
        <v>0</v>
      </c>
    </row>
    <row r="703" spans="1:48" ht="12.75">
      <c r="A703" s="2" t="str">
        <f>HYPERLINK("https://ibp.a2mac1.com/costing(costing:projects/details/8191/equipment/6948260)","No.01 - 25000x3000x3000 - Automatic Painting Line - with 12x10kW on line ovens")</f>
        <v>No.01 - 25000x3000x3000 - Automatic Painting Line - with 12x10kW on line ovens</v>
      </c>
      <c r="B703">
        <v>6948260</v>
      </c>
      <c r="C703">
        <v>6975658</v>
      </c>
      <c r="H703" t="s">
        <v>136</v>
      </c>
      <c r="I703">
        <v>426153.11800000002</v>
      </c>
      <c r="J703">
        <v>0</v>
      </c>
      <c r="K703">
        <v>168</v>
      </c>
      <c r="L703">
        <v>0</v>
      </c>
      <c r="M703">
        <v>256.58134329797491</v>
      </c>
      <c r="N703">
        <v>0</v>
      </c>
      <c r="O703">
        <v>0.42763557216329157</v>
      </c>
      <c r="P703">
        <v>0.0275432</v>
      </c>
      <c r="Q703">
        <v>0.008451054698939248</v>
      </c>
      <c r="R703">
        <v>2500000</v>
      </c>
      <c r="S703">
        <v>0</v>
      </c>
      <c r="T703">
        <v>0</v>
      </c>
      <c r="V703">
        <v>1800</v>
      </c>
      <c r="W703">
        <v>8</v>
      </c>
      <c r="X703">
        <v>85</v>
      </c>
      <c r="Y703">
        <v>3</v>
      </c>
      <c r="Z703">
        <v>4</v>
      </c>
      <c r="AA703">
        <v>5</v>
      </c>
      <c r="AB703">
        <v>0</v>
      </c>
      <c r="AC703">
        <v>0</v>
      </c>
      <c r="AD703">
        <v>0</v>
      </c>
      <c r="AE703">
        <v>0</v>
      </c>
      <c r="AF703">
        <v>4</v>
      </c>
      <c r="AG703">
        <v>0</v>
      </c>
      <c r="AH703">
        <v>0</v>
      </c>
      <c r="AI703">
        <v>2</v>
      </c>
      <c r="AJ703">
        <v>0</v>
      </c>
      <c r="AK703">
        <v>0</v>
      </c>
      <c r="AL703">
        <v>100</v>
      </c>
      <c r="AM703">
        <v>2100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675</v>
      </c>
      <c r="AU703">
        <v>0</v>
      </c>
      <c r="AV703">
        <v>0</v>
      </c>
    </row>
    <row r="704" spans="1:48" ht="12.75">
      <c r="A704" s="2" t="str">
        <f>HYPERLINK("https://ibp.a2mac1.com/costing(costing:projects/details/8191/equipment/6947973)","Glass Pre Assembly Line")</f>
        <v>Glass Pre Assembly Line</v>
      </c>
      <c r="B704">
        <v>6947973</v>
      </c>
      <c r="C704">
        <v>6975393</v>
      </c>
      <c r="E704" t="s">
        <v>499</v>
      </c>
      <c r="F704" t="s">
        <v>5012</v>
      </c>
      <c r="G704" t="s">
        <v>8</v>
      </c>
      <c r="H704" t="s">
        <v>136</v>
      </c>
      <c r="I704">
        <v>38439.907197300003</v>
      </c>
      <c r="J704">
        <v>0</v>
      </c>
      <c r="K704">
        <v>0.58767999999999998</v>
      </c>
      <c r="L704">
        <v>0</v>
      </c>
      <c r="M704">
        <v>9.0077872318064927</v>
      </c>
      <c r="N704">
        <v>0</v>
      </c>
      <c r="O704">
        <v>0.45038936159032467</v>
      </c>
      <c r="P704">
        <v>1.03287</v>
      </c>
      <c r="Q704">
        <v>0.00035946712053010823</v>
      </c>
      <c r="R704">
        <v>278999.99998000002</v>
      </c>
      <c r="S704">
        <v>0</v>
      </c>
      <c r="T704">
        <v>0</v>
      </c>
      <c r="V704">
        <v>600</v>
      </c>
      <c r="W704">
        <v>10</v>
      </c>
      <c r="X704">
        <v>85</v>
      </c>
      <c r="Y704">
        <v>3</v>
      </c>
      <c r="Z704">
        <v>4</v>
      </c>
      <c r="AA704">
        <v>5</v>
      </c>
      <c r="AB704">
        <v>0</v>
      </c>
      <c r="AC704">
        <v>0</v>
      </c>
      <c r="AD704">
        <v>0</v>
      </c>
      <c r="AE704">
        <v>0</v>
      </c>
      <c r="AF704">
        <v>5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100</v>
      </c>
      <c r="AM704">
        <v>7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0</v>
      </c>
      <c r="AT704">
        <v>20</v>
      </c>
      <c r="AU704">
        <v>0</v>
      </c>
      <c r="AV704">
        <v>0</v>
      </c>
    </row>
    <row r="705" spans="1:48" ht="12.75">
      <c r="A705" s="2" t="str">
        <f>HYPERLINK("https://ibp.a2mac1.com/costing(costing:projects/details/8191/equipment/6947974)","No.07 - Injection Press - 250T - 63kW - 570x570 - Max Volume 958cm3 ")</f>
        <v xml:space="preserve">No.07 - Injection Press - 250T - 63kW - 570x570 - Max Volume 958cm3 </v>
      </c>
      <c r="B705">
        <v>6947974</v>
      </c>
      <c r="C705">
        <v>6975394</v>
      </c>
      <c r="E705" t="s">
        <v>499</v>
      </c>
      <c r="H705" t="s">
        <v>136</v>
      </c>
      <c r="I705">
        <v>38615.311800000003</v>
      </c>
      <c r="J705">
        <v>0</v>
      </c>
      <c r="K705">
        <v>2.81</v>
      </c>
      <c r="L705">
        <v>0</v>
      </c>
      <c r="M705">
        <v>10.82435419479267</v>
      </c>
      <c r="N705">
        <v>0</v>
      </c>
      <c r="O705">
        <v>0.089028900072594286</v>
      </c>
      <c r="P705">
        <v>0.0084952209030833333</v>
      </c>
      <c r="Q705">
        <v>0.0053917251292189003</v>
      </c>
      <c r="R705">
        <v>225000</v>
      </c>
      <c r="S705">
        <v>0</v>
      </c>
      <c r="T705">
        <v>0</v>
      </c>
      <c r="V705">
        <v>9000</v>
      </c>
      <c r="W705">
        <v>8</v>
      </c>
      <c r="X705">
        <v>85</v>
      </c>
      <c r="Y705">
        <v>3</v>
      </c>
      <c r="Z705">
        <v>4</v>
      </c>
      <c r="AA705">
        <v>5</v>
      </c>
      <c r="AB705">
        <v>0</v>
      </c>
      <c r="AC705">
        <v>0</v>
      </c>
      <c r="AD705">
        <v>0</v>
      </c>
      <c r="AE705">
        <v>0</v>
      </c>
      <c r="AF705">
        <v>0.25</v>
      </c>
      <c r="AG705">
        <v>0</v>
      </c>
      <c r="AH705">
        <v>0</v>
      </c>
      <c r="AI705">
        <v>2</v>
      </c>
      <c r="AJ705">
        <v>0</v>
      </c>
      <c r="AK705">
        <v>0</v>
      </c>
      <c r="AL705">
        <v>92</v>
      </c>
      <c r="AM705">
        <v>37.50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67.50</v>
      </c>
      <c r="AU705">
        <v>0.05</v>
      </c>
      <c r="AV705">
        <v>0</v>
      </c>
    </row>
    <row r="706" spans="1:48" ht="12.75">
      <c r="A706" s="2" t="str">
        <f>HYPERLINK("https://ibp.a2mac1.com/costing(costing:projects/details/8191/equipment/6947975)","Packaging")</f>
        <v>Packaging</v>
      </c>
      <c r="B706">
        <v>6947975</v>
      </c>
      <c r="C706">
        <v>6975395</v>
      </c>
      <c r="H706" t="s">
        <v>136</v>
      </c>
      <c r="I706">
        <v>4437.4535986499995</v>
      </c>
      <c r="J706">
        <v>0</v>
      </c>
      <c r="K706">
        <v>0.08</v>
      </c>
      <c r="L706">
        <v>0</v>
      </c>
      <c r="M706">
        <v>1.0342676949774992</v>
      </c>
      <c r="N706">
        <v>0</v>
      </c>
      <c r="O706">
        <v>0.0086188974581458272</v>
      </c>
      <c r="P706">
        <v>0.034429000000000001</v>
      </c>
      <c r="Q706">
        <v>1.5514015424662487E-05</v>
      </c>
      <c r="R706">
        <v>29999.99999</v>
      </c>
      <c r="S706">
        <v>0</v>
      </c>
      <c r="T706">
        <v>0</v>
      </c>
      <c r="V706">
        <v>900</v>
      </c>
      <c r="W706">
        <v>10</v>
      </c>
      <c r="X706">
        <v>85</v>
      </c>
      <c r="Y706">
        <v>3</v>
      </c>
      <c r="Z706">
        <v>4</v>
      </c>
      <c r="AA706">
        <v>5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50</v>
      </c>
      <c r="AM706">
        <v>2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10</v>
      </c>
      <c r="AU706">
        <v>0</v>
      </c>
      <c r="AV706">
        <v>0</v>
      </c>
    </row>
    <row r="707" spans="1:48" ht="12.75">
      <c r="A707" s="2" t="str">
        <f>HYPERLINK("https://ibp.a2mac1.com/costing(costing:projects/details/8191/equipment/6948402)","Equipment (Stamping)")</f>
        <v>Equipment (Stamping)</v>
      </c>
      <c r="B707">
        <v>6948402</v>
      </c>
      <c r="C707">
        <v>6975807</v>
      </c>
      <c r="H707" t="s">
        <v>136</v>
      </c>
      <c r="I707">
        <v>373962.1752</v>
      </c>
      <c r="J707">
        <v>0</v>
      </c>
      <c r="K707">
        <v>3.3919999999999999</v>
      </c>
      <c r="L707">
        <v>0</v>
      </c>
      <c r="M707">
        <v>85.594213950498229</v>
      </c>
      <c r="N707">
        <v>0</v>
      </c>
      <c r="O707">
        <v>1.5150175869238187</v>
      </c>
      <c r="P707">
        <v>0.073127196000000005</v>
      </c>
      <c r="Q707">
        <v>0.0099643224555448408</v>
      </c>
      <c r="R707">
        <v>2750000</v>
      </c>
      <c r="S707">
        <v>0</v>
      </c>
      <c r="T707">
        <v>0</v>
      </c>
      <c r="V707">
        <v>5400</v>
      </c>
      <c r="W707">
        <v>10</v>
      </c>
      <c r="X707">
        <v>85</v>
      </c>
      <c r="Y707">
        <v>3</v>
      </c>
      <c r="Z707">
        <v>4</v>
      </c>
      <c r="AA707">
        <v>5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2</v>
      </c>
      <c r="AJ707">
        <v>0</v>
      </c>
      <c r="AK707">
        <v>0</v>
      </c>
      <c r="AL707">
        <v>80</v>
      </c>
      <c r="AM707">
        <v>53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70</v>
      </c>
      <c r="AU707">
        <v>0</v>
      </c>
      <c r="AV707">
        <v>0</v>
      </c>
    </row>
    <row r="708" spans="1:48" ht="12.75">
      <c r="A708" s="2" t="str">
        <f>HYPERLINK("https://ibp.a2mac1.com/costing(costing:projects/details/8191/equipment/6948403)","Equipment (Stamping)")</f>
        <v>Equipment (Stamping)</v>
      </c>
      <c r="B708">
        <v>6948403</v>
      </c>
      <c r="C708">
        <v>6975808</v>
      </c>
      <c r="H708" t="s">
        <v>136</v>
      </c>
      <c r="I708">
        <v>373962.1752</v>
      </c>
      <c r="J708">
        <v>0</v>
      </c>
      <c r="K708">
        <v>3.3919999999999999</v>
      </c>
      <c r="L708">
        <v>0</v>
      </c>
      <c r="M708">
        <v>85.594213950498229</v>
      </c>
      <c r="N708">
        <v>0</v>
      </c>
      <c r="O708">
        <v>0.042797106975249119</v>
      </c>
      <c r="P708">
        <v>0.0020657399999999999</v>
      </c>
      <c r="Q708">
        <v>0.0099643224555448408</v>
      </c>
      <c r="R708">
        <v>2750000</v>
      </c>
      <c r="S708">
        <v>0</v>
      </c>
      <c r="T708">
        <v>0</v>
      </c>
      <c r="V708">
        <v>5400</v>
      </c>
      <c r="W708">
        <v>10</v>
      </c>
      <c r="X708">
        <v>85</v>
      </c>
      <c r="Y708">
        <v>3</v>
      </c>
      <c r="Z708">
        <v>4</v>
      </c>
      <c r="AA708">
        <v>5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2</v>
      </c>
      <c r="AJ708">
        <v>0</v>
      </c>
      <c r="AK708">
        <v>0</v>
      </c>
      <c r="AL708">
        <v>80</v>
      </c>
      <c r="AM708">
        <v>53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70</v>
      </c>
      <c r="AU708">
        <v>0</v>
      </c>
      <c r="AV708">
        <v>0</v>
      </c>
    </row>
    <row r="709" spans="1:48" ht="12.75">
      <c r="A709" s="2" t="str">
        <f>HYPERLINK("https://ibp.a2mac1.com/costing(costing:projects/details/8191/equipment/6948404)","Equipment (Stamping)")</f>
        <v>Equipment (Stamping)</v>
      </c>
      <c r="B709">
        <v>6948404</v>
      </c>
      <c r="C709">
        <v>6975809</v>
      </c>
      <c r="H709" t="s">
        <v>136</v>
      </c>
      <c r="I709">
        <v>373962.1752</v>
      </c>
      <c r="J709">
        <v>0</v>
      </c>
      <c r="K709">
        <v>3.3919999999999999</v>
      </c>
      <c r="L709">
        <v>0</v>
      </c>
      <c r="M709">
        <v>85.594213950498229</v>
      </c>
      <c r="N709">
        <v>0</v>
      </c>
      <c r="O709">
        <v>0.042797106975249119</v>
      </c>
      <c r="P709">
        <v>0.0020657399999999999</v>
      </c>
      <c r="Q709">
        <v>0.0099643224555448408</v>
      </c>
      <c r="R709">
        <v>2750000</v>
      </c>
      <c r="S709">
        <v>0</v>
      </c>
      <c r="T709">
        <v>0</v>
      </c>
      <c r="V709">
        <v>5400</v>
      </c>
      <c r="W709">
        <v>10</v>
      </c>
      <c r="X709">
        <v>85</v>
      </c>
      <c r="Y709">
        <v>3</v>
      </c>
      <c r="Z709">
        <v>4</v>
      </c>
      <c r="AA709">
        <v>5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2</v>
      </c>
      <c r="AJ709">
        <v>0</v>
      </c>
      <c r="AK709">
        <v>0</v>
      </c>
      <c r="AL709">
        <v>80</v>
      </c>
      <c r="AM709">
        <v>53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70</v>
      </c>
      <c r="AU709">
        <v>0</v>
      </c>
      <c r="AV709">
        <v>0</v>
      </c>
    </row>
    <row r="710" spans="1:48" ht="12.75">
      <c r="A710" s="2" t="str">
        <f>HYPERLINK("https://ibp.a2mac1.com/costing(costing:projects/details/8191/equipment/6948505)","Equipment (Stamping)")</f>
        <v>Equipment (Stamping)</v>
      </c>
      <c r="B710">
        <v>6948505</v>
      </c>
      <c r="C710">
        <v>6975886</v>
      </c>
      <c r="H710" t="s">
        <v>136</v>
      </c>
      <c r="I710">
        <v>373962.1752</v>
      </c>
      <c r="J710">
        <v>0</v>
      </c>
      <c r="K710">
        <v>3.3919999999999999</v>
      </c>
      <c r="L710">
        <v>0</v>
      </c>
      <c r="M710">
        <v>85.594213950498229</v>
      </c>
      <c r="N710">
        <v>0</v>
      </c>
      <c r="O710">
        <v>0.042797106975249119</v>
      </c>
      <c r="P710">
        <v>0.0020657399999999999</v>
      </c>
      <c r="Q710">
        <v>0.0099643224555448408</v>
      </c>
      <c r="R710">
        <v>2750000</v>
      </c>
      <c r="S710">
        <v>0</v>
      </c>
      <c r="T710">
        <v>0</v>
      </c>
      <c r="V710">
        <v>5400</v>
      </c>
      <c r="W710">
        <v>10</v>
      </c>
      <c r="X710">
        <v>85</v>
      </c>
      <c r="Y710">
        <v>3</v>
      </c>
      <c r="Z710">
        <v>4</v>
      </c>
      <c r="AA710">
        <v>5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2</v>
      </c>
      <c r="AJ710">
        <v>0</v>
      </c>
      <c r="AK710">
        <v>0</v>
      </c>
      <c r="AL710">
        <v>80</v>
      </c>
      <c r="AM710">
        <v>53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70</v>
      </c>
      <c r="AU710">
        <v>0</v>
      </c>
      <c r="AV710">
        <v>0</v>
      </c>
    </row>
    <row r="711" spans="1:48" ht="12.75">
      <c r="A711" s="2" t="str">
        <f>HYPERLINK("https://ibp.a2mac1.com/costing(costing:projects/details/8191/equipment/6948506)","Equipment (Stamping)")</f>
        <v>Equipment (Stamping)</v>
      </c>
      <c r="B711">
        <v>6948506</v>
      </c>
      <c r="C711">
        <v>6975887</v>
      </c>
      <c r="H711" t="s">
        <v>136</v>
      </c>
      <c r="I711">
        <v>373962.1752</v>
      </c>
      <c r="J711">
        <v>0</v>
      </c>
      <c r="K711">
        <v>3.3919999999999999</v>
      </c>
      <c r="L711">
        <v>0</v>
      </c>
      <c r="M711">
        <v>85.594213950498229</v>
      </c>
      <c r="N711">
        <v>0</v>
      </c>
      <c r="O711">
        <v>0.042797106975249119</v>
      </c>
      <c r="P711">
        <v>0.0020657399999999999</v>
      </c>
      <c r="Q711">
        <v>0.0099643224555448408</v>
      </c>
      <c r="R711">
        <v>2750000</v>
      </c>
      <c r="S711">
        <v>0</v>
      </c>
      <c r="T711">
        <v>0</v>
      </c>
      <c r="V711">
        <v>5400</v>
      </c>
      <c r="W711">
        <v>10</v>
      </c>
      <c r="X711">
        <v>85</v>
      </c>
      <c r="Y711">
        <v>3</v>
      </c>
      <c r="Z711">
        <v>4</v>
      </c>
      <c r="AA711">
        <v>5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2</v>
      </c>
      <c r="AJ711">
        <v>0</v>
      </c>
      <c r="AK711">
        <v>0</v>
      </c>
      <c r="AL711">
        <v>80</v>
      </c>
      <c r="AM711">
        <v>53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70</v>
      </c>
      <c r="AU711">
        <v>0</v>
      </c>
      <c r="AV711">
        <v>0</v>
      </c>
    </row>
    <row r="712" spans="1:48" ht="12.75">
      <c r="A712" s="2" t="str">
        <f>HYPERLINK("https://ibp.a2mac1.com/costing(costing:projects/details/8191/equipment/6948507)","Equipment (Stamping)")</f>
        <v>Equipment (Stamping)</v>
      </c>
      <c r="B712">
        <v>6948507</v>
      </c>
      <c r="C712">
        <v>6975888</v>
      </c>
      <c r="H712" t="s">
        <v>136</v>
      </c>
      <c r="I712">
        <v>373962.1752</v>
      </c>
      <c r="J712">
        <v>0</v>
      </c>
      <c r="K712">
        <v>3.3919999999999999</v>
      </c>
      <c r="L712">
        <v>0</v>
      </c>
      <c r="M712">
        <v>85.594213950498229</v>
      </c>
      <c r="N712">
        <v>0</v>
      </c>
      <c r="O712">
        <v>0.80458561113468341</v>
      </c>
      <c r="P712">
        <v>0.038835912</v>
      </c>
      <c r="Q712">
        <v>0.0099643224555448408</v>
      </c>
      <c r="R712">
        <v>2750000</v>
      </c>
      <c r="S712">
        <v>0</v>
      </c>
      <c r="T712">
        <v>0</v>
      </c>
      <c r="V712">
        <v>5400</v>
      </c>
      <c r="W712">
        <v>10</v>
      </c>
      <c r="X712">
        <v>85</v>
      </c>
      <c r="Y712">
        <v>3</v>
      </c>
      <c r="Z712">
        <v>4</v>
      </c>
      <c r="AA712">
        <v>5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2</v>
      </c>
      <c r="AJ712">
        <v>0</v>
      </c>
      <c r="AK712">
        <v>0</v>
      </c>
      <c r="AL712">
        <v>80</v>
      </c>
      <c r="AM712">
        <v>53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70</v>
      </c>
      <c r="AU712">
        <v>0</v>
      </c>
      <c r="AV712">
        <v>0</v>
      </c>
    </row>
    <row r="713" spans="1:48" ht="12.75">
      <c r="A713" s="2" t="str">
        <f>HYPERLINK("https://ibp.a2mac1.com/costing(costing:projects/details/8191/equipment/6948405)","Equipment (Stamping)")</f>
        <v>Equipment (Stamping)</v>
      </c>
      <c r="B713">
        <v>6948405</v>
      </c>
      <c r="C713">
        <v>6975810</v>
      </c>
      <c r="H713" t="s">
        <v>136</v>
      </c>
      <c r="I713">
        <v>373962.1752</v>
      </c>
      <c r="J713">
        <v>0</v>
      </c>
      <c r="K713">
        <v>3.3919999999999999</v>
      </c>
      <c r="L713">
        <v>0</v>
      </c>
      <c r="M713">
        <v>85.594213950498229</v>
      </c>
      <c r="N713">
        <v>0</v>
      </c>
      <c r="O713">
        <v>0.75750879346190936</v>
      </c>
      <c r="P713">
        <v>0.036563598000000003</v>
      </c>
      <c r="Q713">
        <v>0.0099643224555448408</v>
      </c>
      <c r="R713">
        <v>2750000</v>
      </c>
      <c r="S713">
        <v>0</v>
      </c>
      <c r="T713">
        <v>0</v>
      </c>
      <c r="V713">
        <v>5400</v>
      </c>
      <c r="W713">
        <v>10</v>
      </c>
      <c r="X713">
        <v>85</v>
      </c>
      <c r="Y713">
        <v>3</v>
      </c>
      <c r="Z713">
        <v>4</v>
      </c>
      <c r="AA713">
        <v>5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2</v>
      </c>
      <c r="AJ713">
        <v>0</v>
      </c>
      <c r="AK713">
        <v>0</v>
      </c>
      <c r="AL713">
        <v>80</v>
      </c>
      <c r="AM713">
        <v>53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70</v>
      </c>
      <c r="AU713">
        <v>0</v>
      </c>
      <c r="AV713">
        <v>0</v>
      </c>
    </row>
    <row r="714" spans="1:48" ht="12.75">
      <c r="A714" s="2" t="str">
        <f>HYPERLINK("https://ibp.a2mac1.com/costing(costing:projects/details/8191/equipment/6948508)","Equipment (Stamping)")</f>
        <v>Equipment (Stamping)</v>
      </c>
      <c r="B714">
        <v>6948508</v>
      </c>
      <c r="C714">
        <v>6975889</v>
      </c>
      <c r="H714" t="s">
        <v>136</v>
      </c>
      <c r="I714">
        <v>373962.1752</v>
      </c>
      <c r="J714">
        <v>0</v>
      </c>
      <c r="K714">
        <v>3.3919999999999999</v>
      </c>
      <c r="L714">
        <v>0</v>
      </c>
      <c r="M714">
        <v>85.594213950498229</v>
      </c>
      <c r="N714">
        <v>0</v>
      </c>
      <c r="O714">
        <v>0.05991594976534876</v>
      </c>
      <c r="P714">
        <v>0.0028920360000000002</v>
      </c>
      <c r="Q714">
        <v>0.0099643224555448408</v>
      </c>
      <c r="R714">
        <v>2750000</v>
      </c>
      <c r="S714">
        <v>0</v>
      </c>
      <c r="T714">
        <v>0</v>
      </c>
      <c r="V714">
        <v>5400</v>
      </c>
      <c r="W714">
        <v>10</v>
      </c>
      <c r="X714">
        <v>85</v>
      </c>
      <c r="Y714">
        <v>3</v>
      </c>
      <c r="Z714">
        <v>4</v>
      </c>
      <c r="AA714">
        <v>5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2</v>
      </c>
      <c r="AJ714">
        <v>0</v>
      </c>
      <c r="AK714">
        <v>0</v>
      </c>
      <c r="AL714">
        <v>80</v>
      </c>
      <c r="AM714">
        <v>53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70</v>
      </c>
      <c r="AU714">
        <v>0</v>
      </c>
      <c r="AV714">
        <v>0</v>
      </c>
    </row>
    <row r="715" spans="1:48" ht="12.75">
      <c r="A715" s="2" t="str">
        <f>HYPERLINK("https://ibp.a2mac1.com/costing(costing:projects/details/8191/equipment/6948406)","Equipment (Stamping)")</f>
        <v>Equipment (Stamping)</v>
      </c>
      <c r="B715">
        <v>6948406</v>
      </c>
      <c r="C715">
        <v>6975811</v>
      </c>
      <c r="H715" t="s">
        <v>136</v>
      </c>
      <c r="I715">
        <v>373962.1752</v>
      </c>
      <c r="J715">
        <v>0</v>
      </c>
      <c r="K715">
        <v>3.3919999999999999</v>
      </c>
      <c r="L715">
        <v>0</v>
      </c>
      <c r="M715">
        <v>85.594213950498229</v>
      </c>
      <c r="N715">
        <v>0</v>
      </c>
      <c r="O715">
        <v>0.75750879346190936</v>
      </c>
      <c r="P715">
        <v>0.036563598000000003</v>
      </c>
      <c r="Q715">
        <v>0.0099643224555448408</v>
      </c>
      <c r="R715">
        <v>2750000</v>
      </c>
      <c r="S715">
        <v>0</v>
      </c>
      <c r="T715">
        <v>0</v>
      </c>
      <c r="V715">
        <v>5400</v>
      </c>
      <c r="W715">
        <v>10</v>
      </c>
      <c r="X715">
        <v>85</v>
      </c>
      <c r="Y715">
        <v>3</v>
      </c>
      <c r="Z715">
        <v>4</v>
      </c>
      <c r="AA715">
        <v>5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2</v>
      </c>
      <c r="AJ715">
        <v>0</v>
      </c>
      <c r="AK715">
        <v>0</v>
      </c>
      <c r="AL715">
        <v>80</v>
      </c>
      <c r="AM715">
        <v>53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70</v>
      </c>
      <c r="AU715">
        <v>0</v>
      </c>
      <c r="AV715">
        <v>0</v>
      </c>
    </row>
    <row r="716" spans="1:48" ht="12.75">
      <c r="A716" s="2" t="str">
        <f>HYPERLINK("https://ibp.a2mac1.com/costing(costing:projects/details/8191/equipment/6948509)","Equipment (Stamping)")</f>
        <v>Equipment (Stamping)</v>
      </c>
      <c r="B716">
        <v>6948509</v>
      </c>
      <c r="C716">
        <v>6975890</v>
      </c>
      <c r="H716" t="s">
        <v>136</v>
      </c>
      <c r="I716">
        <v>373962.1752</v>
      </c>
      <c r="J716">
        <v>0</v>
      </c>
      <c r="K716">
        <v>3.3919999999999999</v>
      </c>
      <c r="L716">
        <v>0</v>
      </c>
      <c r="M716">
        <v>85.594213950498229</v>
      </c>
      <c r="N716">
        <v>0</v>
      </c>
      <c r="O716">
        <v>0.051356528370298936</v>
      </c>
      <c r="P716">
        <v>0.0024788879999999998</v>
      </c>
      <c r="Q716">
        <v>0.0099643224555448408</v>
      </c>
      <c r="R716">
        <v>2750000</v>
      </c>
      <c r="S716">
        <v>0</v>
      </c>
      <c r="T716">
        <v>0</v>
      </c>
      <c r="V716">
        <v>5400</v>
      </c>
      <c r="W716">
        <v>10</v>
      </c>
      <c r="X716">
        <v>85</v>
      </c>
      <c r="Y716">
        <v>3</v>
      </c>
      <c r="Z716">
        <v>4</v>
      </c>
      <c r="AA716">
        <v>5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2</v>
      </c>
      <c r="AJ716">
        <v>0</v>
      </c>
      <c r="AK716">
        <v>0</v>
      </c>
      <c r="AL716">
        <v>80</v>
      </c>
      <c r="AM716">
        <v>53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70</v>
      </c>
      <c r="AU716">
        <v>0</v>
      </c>
      <c r="AV716">
        <v>0</v>
      </c>
    </row>
    <row r="717" spans="1:48" ht="12.75">
      <c r="A717" s="2" t="str">
        <f>HYPERLINK("https://ibp.a2mac1.com/costing(costing:projects/details/8191/equipment/6947835)","Assembly line")</f>
        <v>Assembly line</v>
      </c>
      <c r="B717">
        <v>6947835</v>
      </c>
      <c r="C717">
        <v>6975279</v>
      </c>
      <c r="H717" t="s">
        <v>136</v>
      </c>
      <c r="I717">
        <v>63074.721599999997</v>
      </c>
      <c r="J717">
        <v>0</v>
      </c>
      <c r="K717">
        <v>5.2000019999999996</v>
      </c>
      <c r="L717">
        <v>0</v>
      </c>
      <c r="M717">
        <v>18.953573456123433</v>
      </c>
      <c r="N717">
        <v>0</v>
      </c>
      <c r="O717">
        <v>0.78973222733847637</v>
      </c>
      <c r="P717">
        <v>0.17214499999999999</v>
      </c>
      <c r="Q717">
        <v>0.0015756906728061717</v>
      </c>
      <c r="R717">
        <v>450000</v>
      </c>
      <c r="S717">
        <v>0</v>
      </c>
      <c r="T717">
        <v>0</v>
      </c>
      <c r="V717">
        <v>1800</v>
      </c>
      <c r="W717">
        <v>10</v>
      </c>
      <c r="X717">
        <v>85</v>
      </c>
      <c r="Y717">
        <v>3</v>
      </c>
      <c r="Z717">
        <v>4</v>
      </c>
      <c r="AA717">
        <v>5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86.666700000000006</v>
      </c>
      <c r="AM717">
        <v>75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60</v>
      </c>
      <c r="AU717">
        <v>0</v>
      </c>
      <c r="AV717">
        <v>0</v>
      </c>
    </row>
    <row r="718" spans="1:48" ht="12.75">
      <c r="A718" s="2" t="str">
        <f>HYPERLINK("https://ibp.a2mac1.com/costing(costing:projects/details/8191/equipment/6947976)","Equipment (Injection Molding)")</f>
        <v>Equipment (Injection Molding)</v>
      </c>
      <c r="B718">
        <v>6947976</v>
      </c>
      <c r="C718">
        <v>6975396</v>
      </c>
      <c r="H718" t="s">
        <v>136</v>
      </c>
      <c r="I718">
        <v>63563.317812000001</v>
      </c>
      <c r="J718">
        <v>0</v>
      </c>
      <c r="K718">
        <v>2.7014399999999998</v>
      </c>
      <c r="L718">
        <v>0</v>
      </c>
      <c r="M718">
        <v>15.630934987463839</v>
      </c>
      <c r="N718">
        <v>0</v>
      </c>
      <c r="O718">
        <v>0.26051558312439732</v>
      </c>
      <c r="P718">
        <v>0.016608549600000001</v>
      </c>
      <c r="Q718">
        <v>0.0022115792913696623</v>
      </c>
      <c r="R718">
        <v>337680</v>
      </c>
      <c r="S718">
        <v>0</v>
      </c>
      <c r="T718">
        <v>0</v>
      </c>
      <c r="V718">
        <v>3256.20</v>
      </c>
      <c r="W718">
        <v>7</v>
      </c>
      <c r="X718">
        <v>85</v>
      </c>
      <c r="Y718">
        <v>3</v>
      </c>
      <c r="Z718">
        <v>4</v>
      </c>
      <c r="AA718">
        <v>5</v>
      </c>
      <c r="AB718">
        <v>0</v>
      </c>
      <c r="AC718">
        <v>0</v>
      </c>
      <c r="AD718">
        <v>0</v>
      </c>
      <c r="AE718">
        <v>0</v>
      </c>
      <c r="AF718">
        <v>0.2412</v>
      </c>
      <c r="AG718">
        <v>0</v>
      </c>
      <c r="AH718">
        <v>0</v>
      </c>
      <c r="AI718">
        <v>2</v>
      </c>
      <c r="AJ718">
        <v>0</v>
      </c>
      <c r="AK718">
        <v>0</v>
      </c>
      <c r="AL718">
        <v>80</v>
      </c>
      <c r="AM718">
        <v>42.21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90.45</v>
      </c>
      <c r="AU718">
        <v>0</v>
      </c>
      <c r="AV718">
        <v>0</v>
      </c>
    </row>
    <row r="719" spans="1:48" ht="12.75">
      <c r="A719" s="2" t="str">
        <f>HYPERLINK("https://ibp.a2mac1.com/costing(costing:projects/details/8191/equipment/6947977)","DC machine - General")</f>
        <v>DC machine - General</v>
      </c>
      <c r="B719">
        <v>6947977</v>
      </c>
      <c r="C719">
        <v>6975397</v>
      </c>
      <c r="E719" t="s">
        <v>659</v>
      </c>
      <c r="H719" t="s">
        <v>136</v>
      </c>
      <c r="I719">
        <v>116914.84457142858</v>
      </c>
      <c r="J719">
        <v>0</v>
      </c>
      <c r="K719">
        <v>3.60</v>
      </c>
      <c r="L719">
        <v>0</v>
      </c>
      <c r="M719">
        <v>27.497982091197134</v>
      </c>
      <c r="N719">
        <v>0</v>
      </c>
      <c r="O719">
        <v>1.3748991045598566</v>
      </c>
      <c r="P719">
        <v>0.20657400000000001</v>
      </c>
      <c r="Q719">
        <v>0.011732166376415484</v>
      </c>
      <c r="R719">
        <v>635568</v>
      </c>
      <c r="S719">
        <v>0</v>
      </c>
      <c r="T719">
        <v>0</v>
      </c>
      <c r="V719">
        <v>10800</v>
      </c>
      <c r="W719">
        <v>7</v>
      </c>
      <c r="X719">
        <v>85</v>
      </c>
      <c r="Y719">
        <v>3</v>
      </c>
      <c r="Z719">
        <v>4</v>
      </c>
      <c r="AA719">
        <v>5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3</v>
      </c>
      <c r="AJ719">
        <v>0</v>
      </c>
      <c r="AK719">
        <v>0</v>
      </c>
      <c r="AL719">
        <v>100</v>
      </c>
      <c r="AM719">
        <v>45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100</v>
      </c>
      <c r="AU719">
        <v>0</v>
      </c>
      <c r="AV719">
        <v>0</v>
      </c>
    </row>
    <row r="720" spans="1:48" ht="12.75">
      <c r="A720" s="2" t="str">
        <f>HYPERLINK("https://ibp.a2mac1.com/costing(costing:projects/details/8191/equipment/6947978)","Equipment (Injection Molding)")</f>
        <v>Equipment (Injection Molding)</v>
      </c>
      <c r="B720">
        <v>6947978</v>
      </c>
      <c r="C720">
        <v>6975398</v>
      </c>
      <c r="H720" t="s">
        <v>136</v>
      </c>
      <c r="I720">
        <v>19237.65423</v>
      </c>
      <c r="J720">
        <v>0</v>
      </c>
      <c r="K720">
        <v>0.81759999999999999</v>
      </c>
      <c r="L720">
        <v>0</v>
      </c>
      <c r="M720">
        <v>4.7307556139504978</v>
      </c>
      <c r="N720">
        <v>0</v>
      </c>
      <c r="O720">
        <v>0.078845926899174967</v>
      </c>
      <c r="P720">
        <v>0.0050266340000000003</v>
      </c>
      <c r="Q720">
        <v>0.00049030654495913698</v>
      </c>
      <c r="R720">
        <v>102200</v>
      </c>
      <c r="S720">
        <v>0</v>
      </c>
      <c r="T720">
        <v>0</v>
      </c>
      <c r="V720">
        <v>985.50</v>
      </c>
      <c r="W720">
        <v>7</v>
      </c>
      <c r="X720">
        <v>85</v>
      </c>
      <c r="Y720">
        <v>3</v>
      </c>
      <c r="Z720">
        <v>4</v>
      </c>
      <c r="AA720">
        <v>5</v>
      </c>
      <c r="AB720">
        <v>0</v>
      </c>
      <c r="AC720">
        <v>0</v>
      </c>
      <c r="AD720">
        <v>0</v>
      </c>
      <c r="AE720">
        <v>0</v>
      </c>
      <c r="AF720">
        <v>0.072999999999999995</v>
      </c>
      <c r="AG720">
        <v>0</v>
      </c>
      <c r="AH720">
        <v>0</v>
      </c>
      <c r="AI720">
        <v>2</v>
      </c>
      <c r="AJ720">
        <v>0</v>
      </c>
      <c r="AK720">
        <v>0</v>
      </c>
      <c r="AL720">
        <v>80</v>
      </c>
      <c r="AM720">
        <v>12.775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27.375</v>
      </c>
      <c r="AU720">
        <v>0</v>
      </c>
      <c r="AV720">
        <v>0</v>
      </c>
    </row>
    <row r="721" spans="1:48" ht="12.75">
      <c r="A721" s="2" t="str">
        <f>HYPERLINK("https://ibp.a2mac1.com/costing(costing:projects/details/8191/equipment/6947979)","Equipment (Injection Molding)")</f>
        <v>Equipment (Injection Molding)</v>
      </c>
      <c r="B721">
        <v>6947979</v>
      </c>
      <c r="C721">
        <v>6975399</v>
      </c>
      <c r="H721" t="s">
        <v>136</v>
      </c>
      <c r="I721">
        <v>16391.535521999998</v>
      </c>
      <c r="J721">
        <v>0</v>
      </c>
      <c r="K721">
        <v>0.69664000000000004</v>
      </c>
      <c r="L721">
        <v>0</v>
      </c>
      <c r="M721">
        <v>4.03086300257152</v>
      </c>
      <c r="N721">
        <v>0</v>
      </c>
      <c r="O721">
        <v>0.067181050042858667</v>
      </c>
      <c r="P721">
        <v>0.0042829675999999997</v>
      </c>
      <c r="Q721">
        <v>0.00040797304532098845</v>
      </c>
      <c r="R721">
        <v>87080</v>
      </c>
      <c r="S721">
        <v>0</v>
      </c>
      <c r="T721">
        <v>0</v>
      </c>
      <c r="V721">
        <v>839.70</v>
      </c>
      <c r="W721">
        <v>7</v>
      </c>
      <c r="X721">
        <v>85</v>
      </c>
      <c r="Y721">
        <v>3</v>
      </c>
      <c r="Z721">
        <v>4</v>
      </c>
      <c r="AA721">
        <v>5</v>
      </c>
      <c r="AB721">
        <v>0</v>
      </c>
      <c r="AC721">
        <v>0</v>
      </c>
      <c r="AD721">
        <v>0</v>
      </c>
      <c r="AE721">
        <v>0</v>
      </c>
      <c r="AF721">
        <v>0.062199999999999998</v>
      </c>
      <c r="AG721">
        <v>0</v>
      </c>
      <c r="AH721">
        <v>0</v>
      </c>
      <c r="AI721">
        <v>2</v>
      </c>
      <c r="AJ721">
        <v>0</v>
      </c>
      <c r="AK721">
        <v>0</v>
      </c>
      <c r="AL721">
        <v>80</v>
      </c>
      <c r="AM721">
        <v>10.885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23.325</v>
      </c>
      <c r="AU721">
        <v>0</v>
      </c>
      <c r="AV721">
        <v>0</v>
      </c>
    </row>
    <row r="722" spans="1:48" ht="12.75">
      <c r="A722" s="2" t="str">
        <f>HYPERLINK("https://ibp.a2mac1.com/costing(costing:projects/details/8191/equipment/6948262)","Equipment (Injection Molding)")</f>
        <v>Equipment (Injection Molding)</v>
      </c>
      <c r="B722">
        <v>6948262</v>
      </c>
      <c r="C722">
        <v>6975660</v>
      </c>
      <c r="H722" t="s">
        <v>136</v>
      </c>
      <c r="I722">
        <v>1633.8829619999999</v>
      </c>
      <c r="J722">
        <v>0</v>
      </c>
      <c r="K722">
        <v>0.069440000000000002</v>
      </c>
      <c r="L722">
        <v>0</v>
      </c>
      <c r="M722">
        <v>0.40179020282867245</v>
      </c>
      <c r="N722">
        <v>0</v>
      </c>
      <c r="O722">
        <v>0.0066965033804778744</v>
      </c>
      <c r="P722">
        <v>0.00042691959999999998</v>
      </c>
      <c r="Q722">
        <v>3.5603566932946001E-05</v>
      </c>
      <c r="R722">
        <v>8680</v>
      </c>
      <c r="S722">
        <v>0</v>
      </c>
      <c r="T722">
        <v>0</v>
      </c>
      <c r="V722">
        <v>83.70</v>
      </c>
      <c r="W722">
        <v>7</v>
      </c>
      <c r="X722">
        <v>85</v>
      </c>
      <c r="Y722">
        <v>3</v>
      </c>
      <c r="Z722">
        <v>4</v>
      </c>
      <c r="AA722">
        <v>5</v>
      </c>
      <c r="AB722">
        <v>0</v>
      </c>
      <c r="AC722">
        <v>0</v>
      </c>
      <c r="AD722">
        <v>0</v>
      </c>
      <c r="AE722">
        <v>0</v>
      </c>
      <c r="AF722">
        <v>0.0061999999999999998</v>
      </c>
      <c r="AG722">
        <v>0</v>
      </c>
      <c r="AH722">
        <v>0</v>
      </c>
      <c r="AI722">
        <v>2</v>
      </c>
      <c r="AJ722">
        <v>0</v>
      </c>
      <c r="AK722">
        <v>0</v>
      </c>
      <c r="AL722">
        <v>80</v>
      </c>
      <c r="AM722">
        <v>1.085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2.325</v>
      </c>
      <c r="AU722">
        <v>0</v>
      </c>
      <c r="AV722">
        <v>0</v>
      </c>
    </row>
    <row r="723" spans="1:48" ht="12.75">
      <c r="A723" s="2" t="str">
        <f>HYPERLINK("https://ibp.a2mac1.com/costing(costing:projects/details/8191/equipment/6948263)","No.04 - Injection Press - 100T - 33kW - 400x400 - Max Volume 260cm3 ")</f>
        <v xml:space="preserve">No.04 - Injection Press - 100T - 33kW - 400x400 - Max Volume 260cm3 </v>
      </c>
      <c r="B723">
        <v>6948263</v>
      </c>
      <c r="C723">
        <v>6975661</v>
      </c>
      <c r="E723" t="s">
        <v>499</v>
      </c>
      <c r="H723" t="s">
        <v>136</v>
      </c>
      <c r="I723">
        <v>22101.844096000001</v>
      </c>
      <c r="J723">
        <v>0</v>
      </c>
      <c r="K723">
        <v>2.282</v>
      </c>
      <c r="L723">
        <v>0</v>
      </c>
      <c r="M723">
        <v>6.8788891186113794</v>
      </c>
      <c r="N723">
        <v>0</v>
      </c>
      <c r="O723">
        <v>0.051211686197883383</v>
      </c>
      <c r="P723">
        <v>0.007689470408833333</v>
      </c>
      <c r="Q723">
        <v>0.0038399242942333653</v>
      </c>
      <c r="R723">
        <v>130000</v>
      </c>
      <c r="S723">
        <v>0</v>
      </c>
      <c r="T723">
        <v>0</v>
      </c>
      <c r="V723">
        <v>7200</v>
      </c>
      <c r="W723">
        <v>8</v>
      </c>
      <c r="X723">
        <v>85</v>
      </c>
      <c r="Y723">
        <v>3</v>
      </c>
      <c r="Z723">
        <v>4</v>
      </c>
      <c r="AA723">
        <v>5</v>
      </c>
      <c r="AB723">
        <v>0</v>
      </c>
      <c r="AC723">
        <v>0</v>
      </c>
      <c r="AD723">
        <v>0</v>
      </c>
      <c r="AE723">
        <v>0</v>
      </c>
      <c r="AF723">
        <v>0.25</v>
      </c>
      <c r="AG723">
        <v>0</v>
      </c>
      <c r="AH723">
        <v>0</v>
      </c>
      <c r="AI723">
        <v>2</v>
      </c>
      <c r="AJ723">
        <v>0</v>
      </c>
      <c r="AK723">
        <v>0</v>
      </c>
      <c r="AL723">
        <v>93</v>
      </c>
      <c r="AM723">
        <v>30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33.60</v>
      </c>
      <c r="AU723">
        <v>0.05</v>
      </c>
      <c r="AV723">
        <v>0</v>
      </c>
    </row>
    <row r="724" spans="1:48" ht="12.75">
      <c r="A724" s="2" t="str">
        <f>HYPERLINK("https://ibp.a2mac1.com/costing(costing:projects/details/8191/equipment/6948264)","Packaging")</f>
        <v>Packaging</v>
      </c>
      <c r="B724">
        <v>6948264</v>
      </c>
      <c r="C724">
        <v>6975662</v>
      </c>
      <c r="H724" t="s">
        <v>136</v>
      </c>
      <c r="I724">
        <v>4437.4535986499995</v>
      </c>
      <c r="J724">
        <v>0</v>
      </c>
      <c r="K724">
        <v>0.08</v>
      </c>
      <c r="L724">
        <v>0</v>
      </c>
      <c r="M724">
        <v>1.0342676949774992</v>
      </c>
      <c r="N724">
        <v>0</v>
      </c>
      <c r="O724">
        <v>0.0086188974581458272</v>
      </c>
      <c r="P724">
        <v>0.034429000000000001</v>
      </c>
      <c r="Q724">
        <v>1.5514015424662487E-05</v>
      </c>
      <c r="R724">
        <v>29999.99999</v>
      </c>
      <c r="S724">
        <v>0</v>
      </c>
      <c r="T724">
        <v>0</v>
      </c>
      <c r="V724">
        <v>900</v>
      </c>
      <c r="W724">
        <v>10</v>
      </c>
      <c r="X724">
        <v>85</v>
      </c>
      <c r="Y724">
        <v>3</v>
      </c>
      <c r="Z724">
        <v>4</v>
      </c>
      <c r="AA724">
        <v>5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50</v>
      </c>
      <c r="AM724">
        <v>2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10</v>
      </c>
      <c r="AU724">
        <v>0</v>
      </c>
      <c r="AV724">
        <v>0</v>
      </c>
    </row>
    <row r="725" spans="1:48" ht="12.75">
      <c r="A725" s="2" t="str">
        <f>HYPERLINK("https://ibp.a2mac1.com/costing(costing:projects/details/8191/equipment/6948265)","No.03 - Injection Press - 80T - 30kW - 370x370 - Max Volume 260cm3 ")</f>
        <v xml:space="preserve">No.03 - Injection Press - 80T - 30kW - 370x370 - Max Volume 260cm3 </v>
      </c>
      <c r="B725">
        <v>6948265</v>
      </c>
      <c r="C725">
        <v>6975663</v>
      </c>
      <c r="E725" t="s">
        <v>499</v>
      </c>
      <c r="H725" t="s">
        <v>136</v>
      </c>
      <c r="I725">
        <v>19639.85152</v>
      </c>
      <c r="J725">
        <v>0</v>
      </c>
      <c r="K725">
        <v>2.1332</v>
      </c>
      <c r="L725">
        <v>0</v>
      </c>
      <c r="M725">
        <v>6.2138575891996144</v>
      </c>
      <c r="N725">
        <v>0</v>
      </c>
      <c r="O725">
        <v>0.030572714421043395</v>
      </c>
      <c r="P725">
        <v>0.0050818093415833333</v>
      </c>
      <c r="Q725">
        <v>0.0037601205107039536</v>
      </c>
      <c r="R725">
        <v>115000</v>
      </c>
      <c r="S725">
        <v>0</v>
      </c>
      <c r="T725">
        <v>0</v>
      </c>
      <c r="V725">
        <v>7200</v>
      </c>
      <c r="W725">
        <v>8</v>
      </c>
      <c r="X725">
        <v>85</v>
      </c>
      <c r="Y725">
        <v>3</v>
      </c>
      <c r="Z725">
        <v>4</v>
      </c>
      <c r="AA725">
        <v>5</v>
      </c>
      <c r="AB725">
        <v>0</v>
      </c>
      <c r="AC725">
        <v>0</v>
      </c>
      <c r="AD725">
        <v>0</v>
      </c>
      <c r="AE725">
        <v>0</v>
      </c>
      <c r="AF725">
        <v>0.25</v>
      </c>
      <c r="AG725">
        <v>0</v>
      </c>
      <c r="AH725">
        <v>0</v>
      </c>
      <c r="AI725">
        <v>2</v>
      </c>
      <c r="AJ725">
        <v>0</v>
      </c>
      <c r="AK725">
        <v>0</v>
      </c>
      <c r="AL725">
        <v>93</v>
      </c>
      <c r="AM725">
        <v>28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32</v>
      </c>
      <c r="AU725">
        <v>0.05</v>
      </c>
      <c r="AV725">
        <v>0</v>
      </c>
    </row>
    <row r="726" spans="1:48" ht="12.75">
      <c r="A726" s="2" t="str">
        <f>HYPERLINK("https://ibp.a2mac1.com/costing(costing:projects/details/8191/equipment/6948266)","Packaging")</f>
        <v>Packaging</v>
      </c>
      <c r="B726">
        <v>6948266</v>
      </c>
      <c r="C726">
        <v>6975664</v>
      </c>
      <c r="H726" t="s">
        <v>136</v>
      </c>
      <c r="I726">
        <v>4437.4535986499995</v>
      </c>
      <c r="J726">
        <v>0</v>
      </c>
      <c r="K726">
        <v>0.08</v>
      </c>
      <c r="L726">
        <v>0</v>
      </c>
      <c r="M726">
        <v>1.0342676949774992</v>
      </c>
      <c r="N726">
        <v>0</v>
      </c>
      <c r="O726">
        <v>0.0086188974581458272</v>
      </c>
      <c r="P726">
        <v>0.034429000000000001</v>
      </c>
      <c r="Q726">
        <v>1.5514015424662487E-05</v>
      </c>
      <c r="R726">
        <v>29999.99999</v>
      </c>
      <c r="S726">
        <v>0</v>
      </c>
      <c r="T726">
        <v>0</v>
      </c>
      <c r="V726">
        <v>900</v>
      </c>
      <c r="W726">
        <v>10</v>
      </c>
      <c r="X726">
        <v>85</v>
      </c>
      <c r="Y726">
        <v>3</v>
      </c>
      <c r="Z726">
        <v>4</v>
      </c>
      <c r="AA726">
        <v>5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50</v>
      </c>
      <c r="AM726">
        <v>2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10</v>
      </c>
      <c r="AU726">
        <v>0</v>
      </c>
      <c r="AV726">
        <v>0</v>
      </c>
    </row>
    <row r="727" spans="1:48" ht="12.75">
      <c r="A727" s="2" t="str">
        <f>HYPERLINK("https://ibp.a2mac1.com/costing(costing:projects/details/8191/equipment/6948267)","No.06 - Injection Press - 200T - 45kW - 510x510 - Max Volume 624cm3 ")</f>
        <v xml:space="preserve">No.06 - Injection Press - 200T - 45kW - 510x510 - Max Volume 624cm3 </v>
      </c>
      <c r="B727">
        <v>6948267</v>
      </c>
      <c r="C727">
        <v>6975665</v>
      </c>
      <c r="E727" t="s">
        <v>499</v>
      </c>
      <c r="H727" t="s">
        <v>136</v>
      </c>
      <c r="I727">
        <v>34247.230880000003</v>
      </c>
      <c r="J727">
        <v>0</v>
      </c>
      <c r="K727">
        <v>2.6539999999999999</v>
      </c>
      <c r="L727">
        <v>0</v>
      </c>
      <c r="M727">
        <v>9.7654160848601741</v>
      </c>
      <c r="N727">
        <v>0</v>
      </c>
      <c r="O727">
        <v>0.052289462949499627</v>
      </c>
      <c r="P727">
        <v>0.0055305597966666667</v>
      </c>
      <c r="Q727">
        <v>0.0041863075301832205</v>
      </c>
      <c r="R727">
        <v>200000</v>
      </c>
      <c r="S727">
        <v>0</v>
      </c>
      <c r="T727">
        <v>0</v>
      </c>
      <c r="V727">
        <v>7200</v>
      </c>
      <c r="W727">
        <v>8</v>
      </c>
      <c r="X727">
        <v>85</v>
      </c>
      <c r="Y727">
        <v>3</v>
      </c>
      <c r="Z727">
        <v>4</v>
      </c>
      <c r="AA727">
        <v>5</v>
      </c>
      <c r="AB727">
        <v>0</v>
      </c>
      <c r="AC727">
        <v>0</v>
      </c>
      <c r="AD727">
        <v>0</v>
      </c>
      <c r="AE727">
        <v>0</v>
      </c>
      <c r="AF727">
        <v>0.25</v>
      </c>
      <c r="AG727">
        <v>0</v>
      </c>
      <c r="AH727">
        <v>0</v>
      </c>
      <c r="AI727">
        <v>2</v>
      </c>
      <c r="AJ727">
        <v>0</v>
      </c>
      <c r="AK727">
        <v>0</v>
      </c>
      <c r="AL727">
        <v>93</v>
      </c>
      <c r="AM727">
        <v>35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58</v>
      </c>
      <c r="AU727">
        <v>0.05</v>
      </c>
      <c r="AV727">
        <v>0</v>
      </c>
    </row>
    <row r="728" spans="1:48" ht="12.75">
      <c r="A728" s="2" t="str">
        <f>HYPERLINK("https://ibp.a2mac1.com/costing(costing:projects/details/8191/equipment/6948268)","Packaging")</f>
        <v>Packaging</v>
      </c>
      <c r="B728">
        <v>6948268</v>
      </c>
      <c r="C728">
        <v>6975666</v>
      </c>
      <c r="H728" t="s">
        <v>136</v>
      </c>
      <c r="I728">
        <v>4437.4535986499995</v>
      </c>
      <c r="J728">
        <v>0</v>
      </c>
      <c r="K728">
        <v>0.08</v>
      </c>
      <c r="L728">
        <v>0</v>
      </c>
      <c r="M728">
        <v>1.0342676949774992</v>
      </c>
      <c r="N728">
        <v>0</v>
      </c>
      <c r="O728">
        <v>0.0086188974581458272</v>
      </c>
      <c r="P728">
        <v>0.034429000000000001</v>
      </c>
      <c r="Q728">
        <v>1.5514015424662487E-05</v>
      </c>
      <c r="R728">
        <v>29999.99999</v>
      </c>
      <c r="S728">
        <v>0</v>
      </c>
      <c r="T728">
        <v>0</v>
      </c>
      <c r="V728">
        <v>900</v>
      </c>
      <c r="W728">
        <v>10</v>
      </c>
      <c r="X728">
        <v>85</v>
      </c>
      <c r="Y728">
        <v>3</v>
      </c>
      <c r="Z728">
        <v>4</v>
      </c>
      <c r="AA728">
        <v>5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50</v>
      </c>
      <c r="AM728">
        <v>2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10</v>
      </c>
      <c r="AU728">
        <v>0</v>
      </c>
      <c r="AV728">
        <v>0</v>
      </c>
    </row>
    <row r="729" spans="1:48" ht="12.75">
      <c r="A729" s="2" t="str">
        <f>HYPERLINK("https://ibp.a2mac1.com/costing(costing:projects/details/8191/equipment/6948269)","No.02 - Injection Press - 60T - 25kW - 320x320 - Max Volume 164cm3 ")</f>
        <v xml:space="preserve">No.02 - Injection Press - 60T - 25kW - 320x320 - Max Volume 164cm3 </v>
      </c>
      <c r="B729">
        <v>6948269</v>
      </c>
      <c r="C729">
        <v>6975667</v>
      </c>
      <c r="E729" t="s">
        <v>499</v>
      </c>
      <c r="H729" t="s">
        <v>136</v>
      </c>
      <c r="I729">
        <v>16929.888640000001</v>
      </c>
      <c r="J729">
        <v>0</v>
      </c>
      <c r="K729">
        <v>1.9124000000000001</v>
      </c>
      <c r="L729">
        <v>0</v>
      </c>
      <c r="M729">
        <v>5.4369722661523623</v>
      </c>
      <c r="N729">
        <v>0</v>
      </c>
      <c r="O729">
        <v>0.043228520736936032</v>
      </c>
      <c r="P729">
        <v>0.0082121887013333339</v>
      </c>
      <c r="Q729">
        <v>0.0036668942719382835</v>
      </c>
      <c r="R729">
        <v>100000</v>
      </c>
      <c r="S729">
        <v>0</v>
      </c>
      <c r="T729">
        <v>0</v>
      </c>
      <c r="V729">
        <v>7200</v>
      </c>
      <c r="W729">
        <v>8</v>
      </c>
      <c r="X729">
        <v>85</v>
      </c>
      <c r="Y729">
        <v>3</v>
      </c>
      <c r="Z729">
        <v>4</v>
      </c>
      <c r="AA729">
        <v>5</v>
      </c>
      <c r="AB729">
        <v>0</v>
      </c>
      <c r="AC729">
        <v>0</v>
      </c>
      <c r="AD729">
        <v>0</v>
      </c>
      <c r="AE729">
        <v>0</v>
      </c>
      <c r="AF729">
        <v>0.25</v>
      </c>
      <c r="AG729">
        <v>0</v>
      </c>
      <c r="AH729">
        <v>0</v>
      </c>
      <c r="AI729">
        <v>2</v>
      </c>
      <c r="AJ729">
        <v>0</v>
      </c>
      <c r="AK729">
        <v>0</v>
      </c>
      <c r="AL729">
        <v>97</v>
      </c>
      <c r="AM729">
        <v>24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24</v>
      </c>
      <c r="AU729">
        <v>0.05</v>
      </c>
      <c r="AV729">
        <v>0</v>
      </c>
    </row>
    <row r="730" spans="1:48" ht="12.75">
      <c r="A730" s="2" t="str">
        <f>HYPERLINK("https://ibp.a2mac1.com/costing(costing:projects/details/8191/equipment/6948270)","Packaging")</f>
        <v>Packaging</v>
      </c>
      <c r="B730">
        <v>6948270</v>
      </c>
      <c r="C730">
        <v>6975668</v>
      </c>
      <c r="H730" t="s">
        <v>136</v>
      </c>
      <c r="I730">
        <v>4437.4535986499995</v>
      </c>
      <c r="J730">
        <v>0</v>
      </c>
      <c r="K730">
        <v>0.08</v>
      </c>
      <c r="L730">
        <v>0</v>
      </c>
      <c r="M730">
        <v>1.0342676949774992</v>
      </c>
      <c r="N730">
        <v>0</v>
      </c>
      <c r="O730">
        <v>0.0086188974581458272</v>
      </c>
      <c r="P730">
        <v>0.034429000000000001</v>
      </c>
      <c r="Q730">
        <v>1.5514015424662487E-05</v>
      </c>
      <c r="R730">
        <v>29999.99999</v>
      </c>
      <c r="S730">
        <v>0</v>
      </c>
      <c r="T730">
        <v>0</v>
      </c>
      <c r="V730">
        <v>900</v>
      </c>
      <c r="W730">
        <v>10</v>
      </c>
      <c r="X730">
        <v>85</v>
      </c>
      <c r="Y730">
        <v>3</v>
      </c>
      <c r="Z730">
        <v>4</v>
      </c>
      <c r="AA730">
        <v>5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50</v>
      </c>
      <c r="AM730">
        <v>2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10</v>
      </c>
      <c r="AU730">
        <v>0</v>
      </c>
      <c r="AV730">
        <v>0</v>
      </c>
    </row>
    <row r="731" spans="1:48" ht="12.75">
      <c r="A731" s="2" t="str">
        <f>HYPERLINK("https://ibp.a2mac1.com/costing(costing:projects/details/8191/equipment/6948271)","Equipment (Injection Molding)")</f>
        <v>Equipment (Injection Molding)</v>
      </c>
      <c r="B731">
        <v>6948271</v>
      </c>
      <c r="C731">
        <v>6975669</v>
      </c>
      <c r="H731" t="s">
        <v>136</v>
      </c>
      <c r="I731">
        <v>1528.4711580000001</v>
      </c>
      <c r="J731">
        <v>0</v>
      </c>
      <c r="K731">
        <v>0.064960000000000004</v>
      </c>
      <c r="L731">
        <v>0</v>
      </c>
      <c r="M731">
        <v>0.37586825425908066</v>
      </c>
      <c r="N731">
        <v>0</v>
      </c>
      <c r="O731">
        <v>0.0062644709043180114</v>
      </c>
      <c r="P731">
        <v>0.00039937639999999998</v>
      </c>
      <c r="Q731">
        <v>3.3272734471808103E-05</v>
      </c>
      <c r="R731">
        <v>8120</v>
      </c>
      <c r="S731">
        <v>0</v>
      </c>
      <c r="T731">
        <v>0</v>
      </c>
      <c r="V731">
        <v>78.30</v>
      </c>
      <c r="W731">
        <v>7</v>
      </c>
      <c r="X731">
        <v>85</v>
      </c>
      <c r="Y731">
        <v>3</v>
      </c>
      <c r="Z731">
        <v>4</v>
      </c>
      <c r="AA731">
        <v>5</v>
      </c>
      <c r="AB731">
        <v>0</v>
      </c>
      <c r="AC731">
        <v>0</v>
      </c>
      <c r="AD731">
        <v>0</v>
      </c>
      <c r="AE731">
        <v>0</v>
      </c>
      <c r="AF731">
        <v>0.0057999999999999996</v>
      </c>
      <c r="AG731">
        <v>0</v>
      </c>
      <c r="AH731">
        <v>0</v>
      </c>
      <c r="AI731">
        <v>2</v>
      </c>
      <c r="AJ731">
        <v>0</v>
      </c>
      <c r="AK731">
        <v>0</v>
      </c>
      <c r="AL731">
        <v>80</v>
      </c>
      <c r="AM731">
        <v>1.015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2.175</v>
      </c>
      <c r="AU731">
        <v>0</v>
      </c>
      <c r="AV731">
        <v>0</v>
      </c>
    </row>
    <row r="732" spans="1:48" ht="12.75">
      <c r="A732" s="2" t="str">
        <f>HYPERLINK("https://ibp.a2mac1.com/costing(costing:projects/details/8191/equipment/6948272)","Equipment (Injection Molding)")</f>
        <v>Equipment (Injection Molding)</v>
      </c>
      <c r="B732">
        <v>6948272</v>
      </c>
      <c r="C732">
        <v>6975670</v>
      </c>
      <c r="H732" t="s">
        <v>136</v>
      </c>
      <c r="I732">
        <v>105.411804</v>
      </c>
      <c r="J732">
        <v>0</v>
      </c>
      <c r="K732">
        <v>0.0044799999999999996</v>
      </c>
      <c r="L732">
        <v>0</v>
      </c>
      <c r="M732">
        <v>0.02592194856959177</v>
      </c>
      <c r="N732">
        <v>0</v>
      </c>
      <c r="O732">
        <v>0.00043203247615986284</v>
      </c>
      <c r="P732">
        <v>2.7543200000000001E-05</v>
      </c>
      <c r="Q732">
        <v>2.2631761753712633E-06</v>
      </c>
      <c r="R732">
        <v>560</v>
      </c>
      <c r="S732">
        <v>0</v>
      </c>
      <c r="T732">
        <v>0</v>
      </c>
      <c r="V732">
        <v>5.40</v>
      </c>
      <c r="W732">
        <v>7</v>
      </c>
      <c r="X732">
        <v>85</v>
      </c>
      <c r="Y732">
        <v>3</v>
      </c>
      <c r="Z732">
        <v>4</v>
      </c>
      <c r="AA732">
        <v>5</v>
      </c>
      <c r="AB732">
        <v>0</v>
      </c>
      <c r="AC732">
        <v>0</v>
      </c>
      <c r="AD732">
        <v>0</v>
      </c>
      <c r="AE732">
        <v>0</v>
      </c>
      <c r="AF732">
        <v>0.00040000000000000002</v>
      </c>
      <c r="AG732">
        <v>0</v>
      </c>
      <c r="AH732">
        <v>0</v>
      </c>
      <c r="AI732">
        <v>2</v>
      </c>
      <c r="AJ732">
        <v>0</v>
      </c>
      <c r="AK732">
        <v>0</v>
      </c>
      <c r="AL732">
        <v>80</v>
      </c>
      <c r="AM732">
        <v>0.07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0.15</v>
      </c>
      <c r="AU732">
        <v>0</v>
      </c>
      <c r="AV732">
        <v>0</v>
      </c>
    </row>
    <row r="733" spans="1:48" ht="12.75">
      <c r="A733" s="2" t="str">
        <f>HYPERLINK("https://ibp.a2mac1.com/costing(costing:projects/details/8191/equipment/6947984)","Assembly line")</f>
        <v>Assembly line</v>
      </c>
      <c r="B733">
        <v>6947984</v>
      </c>
      <c r="C733">
        <v>6975404</v>
      </c>
      <c r="H733" t="s">
        <v>136</v>
      </c>
      <c r="I733">
        <v>63074.721599999997</v>
      </c>
      <c r="J733">
        <v>0</v>
      </c>
      <c r="K733">
        <v>5.2000019999999996</v>
      </c>
      <c r="L733">
        <v>0</v>
      </c>
      <c r="M733">
        <v>18.953573456123433</v>
      </c>
      <c r="N733">
        <v>0</v>
      </c>
      <c r="O733">
        <v>0.31589289093539052</v>
      </c>
      <c r="P733">
        <v>0.068858000000000003</v>
      </c>
      <c r="Q733">
        <v>0.0015756906728061717</v>
      </c>
      <c r="R733">
        <v>450000</v>
      </c>
      <c r="S733">
        <v>0</v>
      </c>
      <c r="T733">
        <v>0</v>
      </c>
      <c r="V733">
        <v>1800</v>
      </c>
      <c r="W733">
        <v>10</v>
      </c>
      <c r="X733">
        <v>85</v>
      </c>
      <c r="Y733">
        <v>3</v>
      </c>
      <c r="Z733">
        <v>4</v>
      </c>
      <c r="AA733">
        <v>5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86.666700000000006</v>
      </c>
      <c r="AM733">
        <v>75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60</v>
      </c>
      <c r="AU733">
        <v>0</v>
      </c>
      <c r="AV733">
        <v>0</v>
      </c>
    </row>
    <row r="734" spans="1:48" ht="12.75">
      <c r="A734" s="2" t="str">
        <f>HYPERLINK("https://ibp.a2mac1.com/costing(costing:projects/details/8191/equipment/6947980)","Dummy Machine (PCBA+Final Assembly Line)")</f>
        <v>Dummy Machine (PCBA+Final Assembly Line)</v>
      </c>
      <c r="B734">
        <v>6947980</v>
      </c>
      <c r="C734">
        <v>6975400</v>
      </c>
      <c r="F734" t="s">
        <v>559</v>
      </c>
      <c r="H734" t="s">
        <v>136</v>
      </c>
      <c r="I734">
        <v>79501.662769714283</v>
      </c>
      <c r="J734">
        <v>0</v>
      </c>
      <c r="K734">
        <v>0.28895999999999999</v>
      </c>
      <c r="L734">
        <v>0</v>
      </c>
      <c r="M734">
        <v>16.624578413647427</v>
      </c>
      <c r="N734">
        <v>0</v>
      </c>
      <c r="O734">
        <v>0.43870415258236262</v>
      </c>
      <c r="P734">
        <v>0.076317616666666671</v>
      </c>
      <c r="Q734">
        <v>6.889185508913073E-05</v>
      </c>
      <c r="R734">
        <v>442771.10</v>
      </c>
      <c r="S734">
        <v>0</v>
      </c>
      <c r="T734">
        <v>0</v>
      </c>
      <c r="V734">
        <v>216</v>
      </c>
      <c r="W734">
        <v>7</v>
      </c>
      <c r="X734">
        <v>85</v>
      </c>
      <c r="Y734">
        <v>3</v>
      </c>
      <c r="Z734">
        <v>4</v>
      </c>
      <c r="AA734">
        <v>5</v>
      </c>
      <c r="AB734">
        <v>0</v>
      </c>
      <c r="AC734">
        <v>0</v>
      </c>
      <c r="AD734">
        <v>0</v>
      </c>
      <c r="AE734">
        <v>0</v>
      </c>
      <c r="AF734">
        <v>0.70</v>
      </c>
      <c r="AG734">
        <v>0</v>
      </c>
      <c r="AH734">
        <v>0</v>
      </c>
      <c r="AI734">
        <v>0.20</v>
      </c>
      <c r="AJ734">
        <v>0</v>
      </c>
      <c r="AK734">
        <v>0</v>
      </c>
      <c r="AL734">
        <v>86</v>
      </c>
      <c r="AM734">
        <v>4.20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19.40</v>
      </c>
      <c r="AU734">
        <v>0</v>
      </c>
      <c r="AV734">
        <v>0</v>
      </c>
    </row>
    <row r="735" spans="1:48" ht="12.75">
      <c r="A735" s="2" t="str">
        <f>HYPERLINK("https://ibp.a2mac1.com/costing(costing:projects/details/8191/equipment/6947981)","Equipment (Stamping)")</f>
        <v>Equipment (Stamping)</v>
      </c>
      <c r="B735">
        <v>6947981</v>
      </c>
      <c r="C735">
        <v>6975401</v>
      </c>
      <c r="H735" t="s">
        <v>136</v>
      </c>
      <c r="I735">
        <v>716.18946857142862</v>
      </c>
      <c r="J735">
        <v>0</v>
      </c>
      <c r="K735">
        <v>0.032000000000000001</v>
      </c>
      <c r="L735">
        <v>0</v>
      </c>
      <c r="M735">
        <v>0.17683919456307112</v>
      </c>
      <c r="N735">
        <v>0</v>
      </c>
      <c r="O735">
        <v>0.00049121998489741979</v>
      </c>
      <c r="P735">
        <v>5.7381666666666666E-05</v>
      </c>
      <c r="Q735">
        <v>0.0007589195758368921</v>
      </c>
      <c r="R735">
        <v>3700</v>
      </c>
      <c r="S735">
        <v>0</v>
      </c>
      <c r="T735">
        <v>0</v>
      </c>
      <c r="V735">
        <v>1800</v>
      </c>
      <c r="W735">
        <v>7</v>
      </c>
      <c r="X735">
        <v>85</v>
      </c>
      <c r="Y735">
        <v>3</v>
      </c>
      <c r="Z735">
        <v>4</v>
      </c>
      <c r="AA735">
        <v>5</v>
      </c>
      <c r="AB735">
        <v>0</v>
      </c>
      <c r="AC735">
        <v>0</v>
      </c>
      <c r="AD735">
        <v>0</v>
      </c>
      <c r="AE735">
        <v>0</v>
      </c>
      <c r="AF735">
        <v>0.005</v>
      </c>
      <c r="AG735">
        <v>0</v>
      </c>
      <c r="AH735">
        <v>0</v>
      </c>
      <c r="AI735">
        <v>2</v>
      </c>
      <c r="AJ735">
        <v>0</v>
      </c>
      <c r="AK735">
        <v>0</v>
      </c>
      <c r="AL735">
        <v>80</v>
      </c>
      <c r="AM735">
        <v>0.50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1.50</v>
      </c>
      <c r="AU735">
        <v>0</v>
      </c>
      <c r="AV735">
        <v>0</v>
      </c>
    </row>
    <row r="736" spans="1:48" ht="12.75">
      <c r="A736" s="2" t="str">
        <f>HYPERLINK("https://ibp.a2mac1.com/costing(costing:projects/details/8191/equipment/6947983)","No.01 - Generic CN Wire Bending ")</f>
        <v xml:space="preserve">No.01 - Generic CN Wire Bending </v>
      </c>
      <c r="B736">
        <v>6947983</v>
      </c>
      <c r="C736">
        <v>6975403</v>
      </c>
      <c r="E736" t="s">
        <v>499</v>
      </c>
      <c r="G736" t="s">
        <v>4772</v>
      </c>
      <c r="H736" t="s">
        <v>136</v>
      </c>
      <c r="I736">
        <v>39737.935922999997</v>
      </c>
      <c r="J736">
        <v>0</v>
      </c>
      <c r="K736">
        <v>0.40079999999999999</v>
      </c>
      <c r="L736">
        <v>0</v>
      </c>
      <c r="M736">
        <v>8.547922760045001</v>
      </c>
      <c r="N736">
        <v>0</v>
      </c>
      <c r="O736">
        <v>0.011872114944506946</v>
      </c>
      <c r="P736">
        <v>0.0057381666666666666</v>
      </c>
      <c r="Q736">
        <v>0.00070127896560270007</v>
      </c>
      <c r="R736">
        <v>219069.2378</v>
      </c>
      <c r="S736">
        <v>0</v>
      </c>
      <c r="T736">
        <v>0</v>
      </c>
      <c r="V736">
        <v>3600</v>
      </c>
      <c r="W736">
        <v>7</v>
      </c>
      <c r="X736">
        <v>85</v>
      </c>
      <c r="Y736">
        <v>3</v>
      </c>
      <c r="Z736">
        <v>4</v>
      </c>
      <c r="AA736">
        <v>5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0.25</v>
      </c>
      <c r="AJ736">
        <v>0</v>
      </c>
      <c r="AK736">
        <v>0</v>
      </c>
      <c r="AL736">
        <v>94</v>
      </c>
      <c r="AM736">
        <v>4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20</v>
      </c>
      <c r="AU736">
        <v>0.10</v>
      </c>
      <c r="AV736">
        <v>0</v>
      </c>
    </row>
    <row r="737" spans="1:48" ht="12.75">
      <c r="A737" s="2" t="str">
        <f>HYPERLINK("https://ibp.a2mac1.com/costing(costing:projects/details/8191/equipment/6947982)","No.04 - Press Fit Assembly ")</f>
        <v xml:space="preserve">No.04 - Press Fit Assembly </v>
      </c>
      <c r="B737">
        <v>6947982</v>
      </c>
      <c r="C737">
        <v>6975402</v>
      </c>
      <c r="E737" t="s">
        <v>499</v>
      </c>
      <c r="H737" t="s">
        <v>136</v>
      </c>
      <c r="I737">
        <v>13962.360798399999</v>
      </c>
      <c r="J737">
        <v>0</v>
      </c>
      <c r="K737">
        <v>0.39200000000000002</v>
      </c>
      <c r="L737">
        <v>0</v>
      </c>
      <c r="M737">
        <v>3.2789110893442621</v>
      </c>
      <c r="N737">
        <v>0</v>
      </c>
      <c r="O737">
        <v>0.013662129538934427</v>
      </c>
      <c r="P737">
        <v>0.017214500000000001</v>
      </c>
      <c r="Q737">
        <v>4.7517453268032787E-05</v>
      </c>
      <c r="R737">
        <v>79999.999989999997</v>
      </c>
      <c r="S737">
        <v>0</v>
      </c>
      <c r="T737">
        <v>0</v>
      </c>
      <c r="V737">
        <v>180</v>
      </c>
      <c r="W737">
        <v>8</v>
      </c>
      <c r="X737">
        <v>85</v>
      </c>
      <c r="Y737">
        <v>3</v>
      </c>
      <c r="Z737">
        <v>4</v>
      </c>
      <c r="AA737">
        <v>5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98</v>
      </c>
      <c r="AM737">
        <v>5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30</v>
      </c>
      <c r="AU737">
        <v>0</v>
      </c>
      <c r="AV737">
        <v>0</v>
      </c>
    </row>
    <row r="738" spans="1:48" ht="12.75">
      <c r="A738" s="2" t="str">
        <f>HYPERLINK("https://ibp.a2mac1.com/costing(costing:projects/details/8191/equipment/6948273)","DC machine - General")</f>
        <v>DC machine - General</v>
      </c>
      <c r="B738">
        <v>6948273</v>
      </c>
      <c r="C738">
        <v>6975671</v>
      </c>
      <c r="E738" t="s">
        <v>659</v>
      </c>
      <c r="H738" t="s">
        <v>136</v>
      </c>
      <c r="I738">
        <v>116914.84457142858</v>
      </c>
      <c r="J738">
        <v>0</v>
      </c>
      <c r="K738">
        <v>3.60</v>
      </c>
      <c r="L738">
        <v>0</v>
      </c>
      <c r="M738">
        <v>27.497982091197134</v>
      </c>
      <c r="N738">
        <v>0</v>
      </c>
      <c r="O738">
        <v>2.8261814927063722</v>
      </c>
      <c r="P738">
        <v>0.42462433333333333</v>
      </c>
      <c r="Q738">
        <v>0.019553610627359139</v>
      </c>
      <c r="R738">
        <v>635568</v>
      </c>
      <c r="S738">
        <v>0</v>
      </c>
      <c r="T738">
        <v>0</v>
      </c>
      <c r="V738">
        <v>10800</v>
      </c>
      <c r="W738">
        <v>7</v>
      </c>
      <c r="X738">
        <v>85</v>
      </c>
      <c r="Y738">
        <v>3</v>
      </c>
      <c r="Z738">
        <v>4</v>
      </c>
      <c r="AA738">
        <v>5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3</v>
      </c>
      <c r="AJ738">
        <v>0</v>
      </c>
      <c r="AK738">
        <v>0</v>
      </c>
      <c r="AL738">
        <v>100</v>
      </c>
      <c r="AM738">
        <v>45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100</v>
      </c>
      <c r="AU738">
        <v>0</v>
      </c>
      <c r="AV738">
        <v>0</v>
      </c>
    </row>
    <row r="739" spans="1:48" ht="12.75">
      <c r="A739" s="2" t="str">
        <f>HYPERLINK("https://ibp.a2mac1.com/costing(costing:projects/details/8191/equipment/6947985)","Equipment (Injection Molding)")</f>
        <v>Equipment (Injection Molding)</v>
      </c>
      <c r="B739">
        <v>6947985</v>
      </c>
      <c r="C739">
        <v>6975405</v>
      </c>
      <c r="H739" t="s">
        <v>136</v>
      </c>
      <c r="I739">
        <v>10488.474498</v>
      </c>
      <c r="J739">
        <v>0</v>
      </c>
      <c r="K739">
        <v>0.44575999999999999</v>
      </c>
      <c r="L739">
        <v>0</v>
      </c>
      <c r="M739">
        <v>2.579233882674381</v>
      </c>
      <c r="N739">
        <v>0</v>
      </c>
      <c r="O739">
        <v>0.042987231377906353</v>
      </c>
      <c r="P739">
        <v>0.0027405483999999999</v>
      </c>
      <c r="Q739">
        <v>0.00024805093781934907</v>
      </c>
      <c r="R739">
        <v>55720</v>
      </c>
      <c r="S739">
        <v>0</v>
      </c>
      <c r="T739">
        <v>0</v>
      </c>
      <c r="V739">
        <v>537.30</v>
      </c>
      <c r="W739">
        <v>7</v>
      </c>
      <c r="X739">
        <v>85</v>
      </c>
      <c r="Y739">
        <v>3</v>
      </c>
      <c r="Z739">
        <v>4</v>
      </c>
      <c r="AA739">
        <v>5</v>
      </c>
      <c r="AB739">
        <v>0</v>
      </c>
      <c r="AC739">
        <v>0</v>
      </c>
      <c r="AD739">
        <v>0</v>
      </c>
      <c r="AE739">
        <v>0</v>
      </c>
      <c r="AF739">
        <v>0.039800000000000002</v>
      </c>
      <c r="AG739">
        <v>0</v>
      </c>
      <c r="AH739">
        <v>0</v>
      </c>
      <c r="AI739">
        <v>2</v>
      </c>
      <c r="AJ739">
        <v>0</v>
      </c>
      <c r="AK739">
        <v>0</v>
      </c>
      <c r="AL739">
        <v>80</v>
      </c>
      <c r="AM739">
        <v>6.965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14.925</v>
      </c>
      <c r="AU739">
        <v>0</v>
      </c>
      <c r="AV739">
        <v>0</v>
      </c>
    </row>
    <row r="740" spans="1:48" ht="12.75">
      <c r="A740" s="2" t="str">
        <f>HYPERLINK("https://ibp.a2mac1.com/costing(costing:projects/details/8191/equipment/6947986)","Equipment (Injection Molding)")</f>
        <v>Equipment (Injection Molding)</v>
      </c>
      <c r="B740">
        <v>6947986</v>
      </c>
      <c r="C740">
        <v>6975405</v>
      </c>
      <c r="H740" t="s">
        <v>136</v>
      </c>
      <c r="I740">
        <v>10488.474498</v>
      </c>
      <c r="J740">
        <v>0</v>
      </c>
      <c r="K740">
        <v>0.44575999999999999</v>
      </c>
      <c r="L740">
        <v>0</v>
      </c>
      <c r="M740">
        <v>2.579233882674381</v>
      </c>
      <c r="N740">
        <v>0</v>
      </c>
      <c r="O740">
        <v>0.042987231377906353</v>
      </c>
      <c r="P740">
        <v>0.0027405483999999999</v>
      </c>
      <c r="Q740">
        <v>0.00024805093781934907</v>
      </c>
      <c r="R740">
        <v>55720</v>
      </c>
      <c r="S740">
        <v>0</v>
      </c>
      <c r="T740">
        <v>0</v>
      </c>
      <c r="V740">
        <v>537.30</v>
      </c>
      <c r="W740">
        <v>7</v>
      </c>
      <c r="X740">
        <v>85</v>
      </c>
      <c r="Y740">
        <v>3</v>
      </c>
      <c r="Z740">
        <v>4</v>
      </c>
      <c r="AA740">
        <v>5</v>
      </c>
      <c r="AB740">
        <v>0</v>
      </c>
      <c r="AC740">
        <v>0</v>
      </c>
      <c r="AD740">
        <v>0</v>
      </c>
      <c r="AE740">
        <v>0</v>
      </c>
      <c r="AF740">
        <v>0.039800000000000002</v>
      </c>
      <c r="AG740">
        <v>0</v>
      </c>
      <c r="AH740">
        <v>0</v>
      </c>
      <c r="AI740">
        <v>2</v>
      </c>
      <c r="AJ740">
        <v>0</v>
      </c>
      <c r="AK740">
        <v>0</v>
      </c>
      <c r="AL740">
        <v>80</v>
      </c>
      <c r="AM740">
        <v>6.965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14.925</v>
      </c>
      <c r="AU740">
        <v>0</v>
      </c>
      <c r="AV740">
        <v>0</v>
      </c>
    </row>
    <row r="741" spans="1:48" ht="12.75">
      <c r="A741" s="2" t="str">
        <f>HYPERLINK("https://ibp.a2mac1.com/costing(costing:projects/details/8191/equipment/6947987)","Equipment (Standard Process)")</f>
        <v>Equipment (Standard Process)</v>
      </c>
      <c r="B741">
        <v>6947987</v>
      </c>
      <c r="C741">
        <v>6975405</v>
      </c>
      <c r="H741" t="s">
        <v>136</v>
      </c>
      <c r="I741">
        <v>18275.060212285713</v>
      </c>
      <c r="J741">
        <v>0</v>
      </c>
      <c r="K741">
        <v>0.44575999999999999</v>
      </c>
      <c r="L741">
        <v>0</v>
      </c>
      <c r="M741">
        <v>4.1825102751986041</v>
      </c>
      <c r="N741">
        <v>0</v>
      </c>
      <c r="O741">
        <v>0.069708504586643405</v>
      </c>
      <c r="P741">
        <v>0.0041108226000000003</v>
      </c>
      <c r="Q741">
        <v>0.00026240827791440351</v>
      </c>
      <c r="R741">
        <v>99500</v>
      </c>
      <c r="S741">
        <v>0</v>
      </c>
      <c r="T741">
        <v>0</v>
      </c>
      <c r="V741">
        <v>537.30</v>
      </c>
      <c r="W741">
        <v>7</v>
      </c>
      <c r="X741">
        <v>85</v>
      </c>
      <c r="Y741">
        <v>3</v>
      </c>
      <c r="Z741">
        <v>4</v>
      </c>
      <c r="AA741">
        <v>5</v>
      </c>
      <c r="AB741">
        <v>0</v>
      </c>
      <c r="AC741">
        <v>0</v>
      </c>
      <c r="AD741">
        <v>0</v>
      </c>
      <c r="AE741">
        <v>0</v>
      </c>
      <c r="AF741">
        <v>0.059700000000000003</v>
      </c>
      <c r="AG741">
        <v>0</v>
      </c>
      <c r="AH741">
        <v>0</v>
      </c>
      <c r="AI741">
        <v>2</v>
      </c>
      <c r="AJ741">
        <v>0</v>
      </c>
      <c r="AK741">
        <v>0</v>
      </c>
      <c r="AL741">
        <v>80</v>
      </c>
      <c r="AM741">
        <v>6.965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14.925</v>
      </c>
      <c r="AU741">
        <v>0</v>
      </c>
      <c r="AV741">
        <v>0</v>
      </c>
    </row>
    <row r="742" spans="1:48" ht="12.75">
      <c r="A742" s="2" t="str">
        <f>HYPERLINK("https://ibp.a2mac1.com/costing(costing:projects/details/8191/equipment/6947836)","Assembly line")</f>
        <v>Assembly line</v>
      </c>
      <c r="B742">
        <v>6947836</v>
      </c>
      <c r="C742">
        <v>6975280</v>
      </c>
      <c r="H742" t="s">
        <v>136</v>
      </c>
      <c r="I742">
        <v>63074.721599999997</v>
      </c>
      <c r="J742">
        <v>0</v>
      </c>
      <c r="K742">
        <v>5.2000019999999996</v>
      </c>
      <c r="L742">
        <v>0</v>
      </c>
      <c r="M742">
        <v>18.953573456123433</v>
      </c>
      <c r="N742">
        <v>0</v>
      </c>
      <c r="O742">
        <v>0.31589289093539052</v>
      </c>
      <c r="P742">
        <v>0.068858000000000003</v>
      </c>
      <c r="Q742">
        <v>0.0015756906728061717</v>
      </c>
      <c r="R742">
        <v>450000</v>
      </c>
      <c r="S742">
        <v>0</v>
      </c>
      <c r="T742">
        <v>0</v>
      </c>
      <c r="V742">
        <v>1800</v>
      </c>
      <c r="W742">
        <v>10</v>
      </c>
      <c r="X742">
        <v>85</v>
      </c>
      <c r="Y742">
        <v>3</v>
      </c>
      <c r="Z742">
        <v>4</v>
      </c>
      <c r="AA742">
        <v>5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86.666700000000006</v>
      </c>
      <c r="AM742">
        <v>75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60</v>
      </c>
      <c r="AU742">
        <v>0</v>
      </c>
      <c r="AV742">
        <v>0</v>
      </c>
    </row>
    <row r="743" spans="1:48" ht="12.75">
      <c r="A743" s="2" t="str">
        <f>HYPERLINK("https://ibp.a2mac1.com/costing(costing:projects/details/8191/equipment/6948274)","Rubber Extrusion machine")</f>
        <v>Rubber Extrusion machine</v>
      </c>
      <c r="B743">
        <v>6948274</v>
      </c>
      <c r="C743">
        <v>6975672</v>
      </c>
      <c r="E743" t="s">
        <v>603</v>
      </c>
      <c r="H743" t="s">
        <v>136</v>
      </c>
      <c r="I743">
        <v>127372.68</v>
      </c>
      <c r="J743">
        <v>0</v>
      </c>
      <c r="K743">
        <v>8.80</v>
      </c>
      <c r="L743">
        <v>0</v>
      </c>
      <c r="M743">
        <v>35.700141433622626</v>
      </c>
      <c r="N743">
        <v>0</v>
      </c>
      <c r="O743">
        <v>0.14875058930676097</v>
      </c>
      <c r="P743">
        <v>0.034429000000000001</v>
      </c>
      <c r="Q743">
        <v>0.0014478114430086788</v>
      </c>
      <c r="R743">
        <v>800000</v>
      </c>
      <c r="S743">
        <v>0</v>
      </c>
      <c r="T743">
        <v>0</v>
      </c>
      <c r="V743">
        <v>1800</v>
      </c>
      <c r="W743">
        <v>10</v>
      </c>
      <c r="X743">
        <v>85</v>
      </c>
      <c r="Y743">
        <v>3</v>
      </c>
      <c r="Z743">
        <v>4</v>
      </c>
      <c r="AA743">
        <v>5</v>
      </c>
      <c r="AB743">
        <v>0</v>
      </c>
      <c r="AC743">
        <v>0</v>
      </c>
      <c r="AD743">
        <v>0</v>
      </c>
      <c r="AE743">
        <v>0</v>
      </c>
      <c r="AF743">
        <v>2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100</v>
      </c>
      <c r="AM743">
        <v>110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500</v>
      </c>
      <c r="AU743">
        <v>0</v>
      </c>
      <c r="AV743">
        <v>0</v>
      </c>
    </row>
    <row r="744" spans="1:48" ht="12.75">
      <c r="A744" s="2" t="str">
        <f>HYPERLINK("https://ibp.a2mac1.com/costing(costing:projects/details/8191/equipment/6948275)","Seal welding/joining station, manual")</f>
        <v>Seal welding/joining station, manual</v>
      </c>
      <c r="B744">
        <v>6948275</v>
      </c>
      <c r="C744">
        <v>6975673</v>
      </c>
      <c r="E744" t="s">
        <v>659</v>
      </c>
      <c r="H744" t="s">
        <v>136</v>
      </c>
      <c r="I744">
        <v>4149.9071999999996</v>
      </c>
      <c r="J744">
        <v>0</v>
      </c>
      <c r="K744">
        <v>0.24</v>
      </c>
      <c r="L744">
        <v>0</v>
      </c>
      <c r="M744">
        <v>1.0275132111861138</v>
      </c>
      <c r="N744">
        <v>0</v>
      </c>
      <c r="O744">
        <v>0.0085626100932176142</v>
      </c>
      <c r="P744">
        <v>0.069664000000000004</v>
      </c>
      <c r="Q744">
        <v>9.3871932111861135E-05</v>
      </c>
      <c r="R744">
        <v>25000</v>
      </c>
      <c r="S744">
        <v>0</v>
      </c>
      <c r="T744">
        <v>0</v>
      </c>
      <c r="V744">
        <v>600</v>
      </c>
      <c r="W744">
        <v>10</v>
      </c>
      <c r="X744">
        <v>85</v>
      </c>
      <c r="Y744">
        <v>3</v>
      </c>
      <c r="Z744">
        <v>3</v>
      </c>
      <c r="AA744">
        <v>3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100</v>
      </c>
      <c r="AM744">
        <v>3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20</v>
      </c>
      <c r="AU744">
        <v>0</v>
      </c>
      <c r="AV744">
        <v>0</v>
      </c>
    </row>
    <row r="745" spans="1:48" ht="12.75">
      <c r="A745" s="2" t="str">
        <f>HYPERLINK("https://ibp.a2mac1.com/costing(costing:projects/details/8191/equipment/6948276)","Rubber Extrusion machine")</f>
        <v>Rubber Extrusion machine</v>
      </c>
      <c r="B745">
        <v>6948276</v>
      </c>
      <c r="C745">
        <v>6975674</v>
      </c>
      <c r="E745" t="s">
        <v>603</v>
      </c>
      <c r="H745" t="s">
        <v>136</v>
      </c>
      <c r="I745">
        <v>127372.68</v>
      </c>
      <c r="J745">
        <v>0</v>
      </c>
      <c r="K745">
        <v>8.80</v>
      </c>
      <c r="L745">
        <v>0</v>
      </c>
      <c r="M745">
        <v>35.700141433622626</v>
      </c>
      <c r="N745">
        <v>0</v>
      </c>
      <c r="O745">
        <v>0.14875058930676097</v>
      </c>
      <c r="P745">
        <v>0.034429000000000001</v>
      </c>
      <c r="Q745">
        <v>0.0014478114430086788</v>
      </c>
      <c r="R745">
        <v>800000</v>
      </c>
      <c r="S745">
        <v>0</v>
      </c>
      <c r="T745">
        <v>0</v>
      </c>
      <c r="V745">
        <v>1800</v>
      </c>
      <c r="W745">
        <v>10</v>
      </c>
      <c r="X745">
        <v>85</v>
      </c>
      <c r="Y745">
        <v>3</v>
      </c>
      <c r="Z745">
        <v>4</v>
      </c>
      <c r="AA745">
        <v>5</v>
      </c>
      <c r="AB745">
        <v>0</v>
      </c>
      <c r="AC745">
        <v>0</v>
      </c>
      <c r="AD745">
        <v>0</v>
      </c>
      <c r="AE745">
        <v>0</v>
      </c>
      <c r="AF745">
        <v>2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100</v>
      </c>
      <c r="AM745">
        <v>110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500</v>
      </c>
      <c r="AU745">
        <v>0</v>
      </c>
      <c r="AV745">
        <v>0</v>
      </c>
    </row>
    <row r="746" spans="1:48" ht="12.75">
      <c r="A746" s="2" t="str">
        <f>HYPERLINK("https://ibp.a2mac1.com/costing(costing:projects/details/8191/equipment/6948277)","Seal welding/joining station, manual")</f>
        <v>Seal welding/joining station, manual</v>
      </c>
      <c r="B746">
        <v>6948277</v>
      </c>
      <c r="C746">
        <v>6975675</v>
      </c>
      <c r="E746" t="s">
        <v>659</v>
      </c>
      <c r="H746" t="s">
        <v>136</v>
      </c>
      <c r="I746">
        <v>4149.9071999999996</v>
      </c>
      <c r="J746">
        <v>0</v>
      </c>
      <c r="K746">
        <v>0.24</v>
      </c>
      <c r="L746">
        <v>0</v>
      </c>
      <c r="M746">
        <v>1.0275132111861138</v>
      </c>
      <c r="N746">
        <v>0</v>
      </c>
      <c r="O746">
        <v>0.0085626100932176142</v>
      </c>
      <c r="P746">
        <v>0.069664000000000004</v>
      </c>
      <c r="Q746">
        <v>9.3871932111861135E-05</v>
      </c>
      <c r="R746">
        <v>25000</v>
      </c>
      <c r="S746">
        <v>0</v>
      </c>
      <c r="T746">
        <v>0</v>
      </c>
      <c r="V746">
        <v>600</v>
      </c>
      <c r="W746">
        <v>10</v>
      </c>
      <c r="X746">
        <v>85</v>
      </c>
      <c r="Y746">
        <v>3</v>
      </c>
      <c r="Z746">
        <v>3</v>
      </c>
      <c r="AA746">
        <v>3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100</v>
      </c>
      <c r="AM746">
        <v>3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20</v>
      </c>
      <c r="AU746">
        <v>0</v>
      </c>
      <c r="AV746">
        <v>0</v>
      </c>
    </row>
    <row r="747" spans="1:48" ht="12.75">
      <c r="A747" s="2" t="str">
        <f>HYPERLINK("https://ibp.a2mac1.com/costing(costing:projects/details/8191/equipment/6947988)","Rubber Extrusion machine")</f>
        <v>Rubber Extrusion machine</v>
      </c>
      <c r="B747">
        <v>6947988</v>
      </c>
      <c r="C747">
        <v>6975406</v>
      </c>
      <c r="E747" t="s">
        <v>603</v>
      </c>
      <c r="H747" t="s">
        <v>136</v>
      </c>
      <c r="I747">
        <v>127372.68</v>
      </c>
      <c r="J747">
        <v>0</v>
      </c>
      <c r="K747">
        <v>8.80</v>
      </c>
      <c r="L747">
        <v>0</v>
      </c>
      <c r="M747">
        <v>35.700141433622626</v>
      </c>
      <c r="N747">
        <v>0</v>
      </c>
      <c r="O747">
        <v>0.14875058930676097</v>
      </c>
      <c r="P747">
        <v>0.034429000000000001</v>
      </c>
      <c r="Q747">
        <v>0.0014478114430086788</v>
      </c>
      <c r="R747">
        <v>800000</v>
      </c>
      <c r="S747">
        <v>0</v>
      </c>
      <c r="T747">
        <v>0</v>
      </c>
      <c r="V747">
        <v>1800</v>
      </c>
      <c r="W747">
        <v>10</v>
      </c>
      <c r="X747">
        <v>85</v>
      </c>
      <c r="Y747">
        <v>3</v>
      </c>
      <c r="Z747">
        <v>4</v>
      </c>
      <c r="AA747">
        <v>5</v>
      </c>
      <c r="AB747">
        <v>0</v>
      </c>
      <c r="AC747">
        <v>0</v>
      </c>
      <c r="AD747">
        <v>0</v>
      </c>
      <c r="AE747">
        <v>0</v>
      </c>
      <c r="AF747">
        <v>2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100</v>
      </c>
      <c r="AM747">
        <v>110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500</v>
      </c>
      <c r="AU747">
        <v>0</v>
      </c>
      <c r="AV747">
        <v>0</v>
      </c>
    </row>
    <row r="748" spans="1:48" ht="12.75">
      <c r="A748" s="2" t="str">
        <f>HYPERLINK("https://ibp.a2mac1.com/costing(costing:projects/details/8191/equipment/6947989)","Rubber Extrusion machine")</f>
        <v>Rubber Extrusion machine</v>
      </c>
      <c r="B748">
        <v>6947989</v>
      </c>
      <c r="C748">
        <v>6975407</v>
      </c>
      <c r="E748" t="s">
        <v>603</v>
      </c>
      <c r="H748" t="s">
        <v>136</v>
      </c>
      <c r="I748">
        <v>127372.68</v>
      </c>
      <c r="J748">
        <v>0</v>
      </c>
      <c r="K748">
        <v>8.80</v>
      </c>
      <c r="L748">
        <v>0</v>
      </c>
      <c r="M748">
        <v>35.700141433622626</v>
      </c>
      <c r="N748">
        <v>0</v>
      </c>
      <c r="O748">
        <v>0.099167059537840635</v>
      </c>
      <c r="P748">
        <v>0.022952666666666666</v>
      </c>
      <c r="Q748">
        <v>0.0014478114430086788</v>
      </c>
      <c r="R748">
        <v>800000</v>
      </c>
      <c r="S748">
        <v>0</v>
      </c>
      <c r="T748">
        <v>0</v>
      </c>
      <c r="V748">
        <v>1800</v>
      </c>
      <c r="W748">
        <v>10</v>
      </c>
      <c r="X748">
        <v>85</v>
      </c>
      <c r="Y748">
        <v>3</v>
      </c>
      <c r="Z748">
        <v>4</v>
      </c>
      <c r="AA748">
        <v>5</v>
      </c>
      <c r="AB748">
        <v>0</v>
      </c>
      <c r="AC748">
        <v>0</v>
      </c>
      <c r="AD748">
        <v>0</v>
      </c>
      <c r="AE748">
        <v>0</v>
      </c>
      <c r="AF748">
        <v>2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100</v>
      </c>
      <c r="AM748">
        <v>110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500</v>
      </c>
      <c r="AU748">
        <v>0</v>
      </c>
      <c r="AV748">
        <v>0</v>
      </c>
    </row>
    <row r="749" spans="1:48" ht="12.75">
      <c r="A749" s="2" t="str">
        <f>HYPERLINK("https://ibp.a2mac1.com/costing(costing:projects/details/8191/equipment/6947990)","Rubber Extrusion machine")</f>
        <v>Rubber Extrusion machine</v>
      </c>
      <c r="B749">
        <v>6947990</v>
      </c>
      <c r="C749">
        <v>6975408</v>
      </c>
      <c r="E749" t="s">
        <v>603</v>
      </c>
      <c r="H749" t="s">
        <v>136</v>
      </c>
      <c r="I749">
        <v>127372.68</v>
      </c>
      <c r="J749">
        <v>0</v>
      </c>
      <c r="K749">
        <v>8.80</v>
      </c>
      <c r="L749">
        <v>0</v>
      </c>
      <c r="M749">
        <v>35.700141433622626</v>
      </c>
      <c r="N749">
        <v>0</v>
      </c>
      <c r="O749">
        <v>0.14875058930676097</v>
      </c>
      <c r="P749">
        <v>0.034429000000000001</v>
      </c>
      <c r="Q749">
        <v>0.0014478114430086788</v>
      </c>
      <c r="R749">
        <v>800000</v>
      </c>
      <c r="S749">
        <v>0</v>
      </c>
      <c r="T749">
        <v>0</v>
      </c>
      <c r="V749">
        <v>1800</v>
      </c>
      <c r="W749">
        <v>10</v>
      </c>
      <c r="X749">
        <v>85</v>
      </c>
      <c r="Y749">
        <v>3</v>
      </c>
      <c r="Z749">
        <v>4</v>
      </c>
      <c r="AA749">
        <v>5</v>
      </c>
      <c r="AB749">
        <v>0</v>
      </c>
      <c r="AC749">
        <v>0</v>
      </c>
      <c r="AD749">
        <v>0</v>
      </c>
      <c r="AE749">
        <v>0</v>
      </c>
      <c r="AF749">
        <v>2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100</v>
      </c>
      <c r="AM749">
        <v>110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500</v>
      </c>
      <c r="AU749">
        <v>0</v>
      </c>
      <c r="AV749">
        <v>0</v>
      </c>
    </row>
    <row r="750" spans="1:48" ht="12.75">
      <c r="A750" s="2" t="str">
        <f>HYPERLINK("https://ibp.a2mac1.com/costing(costing:projects/details/8191/equipment/6948407)","Equipment (Casting)")</f>
        <v>Equipment (Casting)</v>
      </c>
      <c r="B750">
        <v>6948407</v>
      </c>
      <c r="C750">
        <v>6975812</v>
      </c>
      <c r="H750" t="s">
        <v>136</v>
      </c>
      <c r="I750">
        <v>6134.5428250285713</v>
      </c>
      <c r="J750">
        <v>0</v>
      </c>
      <c r="K750">
        <v>0.21376000000000001</v>
      </c>
      <c r="L750">
        <v>0</v>
      </c>
      <c r="M750">
        <v>1.4681063235340037</v>
      </c>
      <c r="N750">
        <v>0</v>
      </c>
      <c r="O750">
        <v>0.00088086379412040221</v>
      </c>
      <c r="P750">
        <v>0.0001655897184</v>
      </c>
      <c r="Q750">
        <v>0.0026641763496181073</v>
      </c>
      <c r="R750">
        <v>33400</v>
      </c>
      <c r="S750">
        <v>0</v>
      </c>
      <c r="T750">
        <v>0</v>
      </c>
      <c r="V750">
        <v>6012</v>
      </c>
      <c r="W750">
        <v>7</v>
      </c>
      <c r="X750">
        <v>85</v>
      </c>
      <c r="Y750">
        <v>3</v>
      </c>
      <c r="Z750">
        <v>4</v>
      </c>
      <c r="AA750">
        <v>5</v>
      </c>
      <c r="AB750">
        <v>0</v>
      </c>
      <c r="AC750">
        <v>0</v>
      </c>
      <c r="AD750">
        <v>0</v>
      </c>
      <c r="AE750">
        <v>0</v>
      </c>
      <c r="AF750">
        <v>0.066799999999999998</v>
      </c>
      <c r="AG750">
        <v>0</v>
      </c>
      <c r="AH750">
        <v>0</v>
      </c>
      <c r="AI750">
        <v>2</v>
      </c>
      <c r="AJ750">
        <v>0</v>
      </c>
      <c r="AK750">
        <v>0</v>
      </c>
      <c r="AL750">
        <v>80</v>
      </c>
      <c r="AM750">
        <v>3.34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5.01</v>
      </c>
      <c r="AU750">
        <v>0</v>
      </c>
      <c r="AV750">
        <v>0</v>
      </c>
    </row>
    <row r="751" spans="1:48" ht="12.75">
      <c r="A751" s="2" t="str">
        <f>HYPERLINK("https://ibp.a2mac1.com/costing(costing:projects/details/8191/equipment/6948408)","Equipment (Casting)")</f>
        <v>Equipment (Casting)</v>
      </c>
      <c r="B751">
        <v>6948408</v>
      </c>
      <c r="C751">
        <v>6975813</v>
      </c>
      <c r="H751" t="s">
        <v>136</v>
      </c>
      <c r="I751">
        <v>6134.5428250285713</v>
      </c>
      <c r="J751">
        <v>0</v>
      </c>
      <c r="K751">
        <v>0.21376000000000001</v>
      </c>
      <c r="L751">
        <v>0</v>
      </c>
      <c r="M751">
        <v>1.4681063235340037</v>
      </c>
      <c r="N751">
        <v>0</v>
      </c>
      <c r="O751">
        <v>0.00088086379412040221</v>
      </c>
      <c r="P751">
        <v>0.0001655897184</v>
      </c>
      <c r="Q751">
        <v>0.0026641763496181073</v>
      </c>
      <c r="R751">
        <v>33400</v>
      </c>
      <c r="S751">
        <v>0</v>
      </c>
      <c r="T751">
        <v>0</v>
      </c>
      <c r="V751">
        <v>6012</v>
      </c>
      <c r="W751">
        <v>7</v>
      </c>
      <c r="X751">
        <v>85</v>
      </c>
      <c r="Y751">
        <v>3</v>
      </c>
      <c r="Z751">
        <v>4</v>
      </c>
      <c r="AA751">
        <v>5</v>
      </c>
      <c r="AB751">
        <v>0</v>
      </c>
      <c r="AC751">
        <v>0</v>
      </c>
      <c r="AD751">
        <v>0</v>
      </c>
      <c r="AE751">
        <v>0</v>
      </c>
      <c r="AF751">
        <v>0.066799999999999998</v>
      </c>
      <c r="AG751">
        <v>0</v>
      </c>
      <c r="AH751">
        <v>0</v>
      </c>
      <c r="AI751">
        <v>2</v>
      </c>
      <c r="AJ751">
        <v>0</v>
      </c>
      <c r="AK751">
        <v>0</v>
      </c>
      <c r="AL751">
        <v>80</v>
      </c>
      <c r="AM751">
        <v>3.34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5.01</v>
      </c>
      <c r="AU751">
        <v>0</v>
      </c>
      <c r="AV751">
        <v>0</v>
      </c>
    </row>
    <row r="752" spans="1:48" ht="12.75">
      <c r="A752" s="2" t="str">
        <f>HYPERLINK("https://ibp.a2mac1.com/costing(costing:projects/details/8191/equipment/6948409)","Equipment (Casting)")</f>
        <v>Equipment (Casting)</v>
      </c>
      <c r="B752">
        <v>6948409</v>
      </c>
      <c r="C752">
        <v>6975814</v>
      </c>
      <c r="H752" t="s">
        <v>136</v>
      </c>
      <c r="I752">
        <v>6134.5428250285713</v>
      </c>
      <c r="J752">
        <v>0</v>
      </c>
      <c r="K752">
        <v>0.21376000000000001</v>
      </c>
      <c r="L752">
        <v>0</v>
      </c>
      <c r="M752">
        <v>1.4681063235340037</v>
      </c>
      <c r="N752">
        <v>0</v>
      </c>
      <c r="O752">
        <v>0.00088086379412040221</v>
      </c>
      <c r="P752">
        <v>0.0001655897184</v>
      </c>
      <c r="Q752">
        <v>0.0026641763496181073</v>
      </c>
      <c r="R752">
        <v>33400</v>
      </c>
      <c r="S752">
        <v>0</v>
      </c>
      <c r="T752">
        <v>0</v>
      </c>
      <c r="V752">
        <v>6012</v>
      </c>
      <c r="W752">
        <v>7</v>
      </c>
      <c r="X752">
        <v>85</v>
      </c>
      <c r="Y752">
        <v>3</v>
      </c>
      <c r="Z752">
        <v>4</v>
      </c>
      <c r="AA752">
        <v>5</v>
      </c>
      <c r="AB752">
        <v>0</v>
      </c>
      <c r="AC752">
        <v>0</v>
      </c>
      <c r="AD752">
        <v>0</v>
      </c>
      <c r="AE752">
        <v>0</v>
      </c>
      <c r="AF752">
        <v>0.066799999999999998</v>
      </c>
      <c r="AG752">
        <v>0</v>
      </c>
      <c r="AH752">
        <v>0</v>
      </c>
      <c r="AI752">
        <v>2</v>
      </c>
      <c r="AJ752">
        <v>0</v>
      </c>
      <c r="AK752">
        <v>0</v>
      </c>
      <c r="AL752">
        <v>80</v>
      </c>
      <c r="AM752">
        <v>3.34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5.01</v>
      </c>
      <c r="AU752">
        <v>0</v>
      </c>
      <c r="AV752">
        <v>0</v>
      </c>
    </row>
    <row r="753" spans="1:48" ht="12.75">
      <c r="A753" s="2" t="str">
        <f>HYPERLINK("https://ibp.a2mac1.com/costing(costing:projects/details/8191/equipment/6948410)","Equipment (Casting)")</f>
        <v>Equipment (Casting)</v>
      </c>
      <c r="B753">
        <v>6948410</v>
      </c>
      <c r="C753">
        <v>6975815</v>
      </c>
      <c r="H753" t="s">
        <v>136</v>
      </c>
      <c r="I753">
        <v>6134.5428250285713</v>
      </c>
      <c r="J753">
        <v>0</v>
      </c>
      <c r="K753">
        <v>0.21376000000000001</v>
      </c>
      <c r="L753">
        <v>0</v>
      </c>
      <c r="M753">
        <v>1.4681063235340037</v>
      </c>
      <c r="N753">
        <v>0</v>
      </c>
      <c r="O753">
        <v>0.00088086379412040221</v>
      </c>
      <c r="P753">
        <v>0.0001655897184</v>
      </c>
      <c r="Q753">
        <v>0.0026641763496181073</v>
      </c>
      <c r="R753">
        <v>33400</v>
      </c>
      <c r="S753">
        <v>0</v>
      </c>
      <c r="T753">
        <v>0</v>
      </c>
      <c r="V753">
        <v>6012</v>
      </c>
      <c r="W753">
        <v>7</v>
      </c>
      <c r="X753">
        <v>85</v>
      </c>
      <c r="Y753">
        <v>3</v>
      </c>
      <c r="Z753">
        <v>4</v>
      </c>
      <c r="AA753">
        <v>5</v>
      </c>
      <c r="AB753">
        <v>0</v>
      </c>
      <c r="AC753">
        <v>0</v>
      </c>
      <c r="AD753">
        <v>0</v>
      </c>
      <c r="AE753">
        <v>0</v>
      </c>
      <c r="AF753">
        <v>0.066799999999999998</v>
      </c>
      <c r="AG753">
        <v>0</v>
      </c>
      <c r="AH753">
        <v>0</v>
      </c>
      <c r="AI753">
        <v>2</v>
      </c>
      <c r="AJ753">
        <v>0</v>
      </c>
      <c r="AK753">
        <v>0</v>
      </c>
      <c r="AL753">
        <v>80</v>
      </c>
      <c r="AM753">
        <v>3.34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5.01</v>
      </c>
      <c r="AU753">
        <v>0</v>
      </c>
      <c r="AV753">
        <v>0</v>
      </c>
    </row>
    <row r="754" spans="1:48" ht="12.75">
      <c r="A754" s="2" t="str">
        <f>HYPERLINK("https://ibp.a2mac1.com/costing(costing:projects/details/8191/equipment/6947991)","Dummy Machine (PCBA+Final Assembly Line)")</f>
        <v>Dummy Machine (PCBA+Final Assembly Line)</v>
      </c>
      <c r="B754">
        <v>6947991</v>
      </c>
      <c r="C754">
        <v>6975409</v>
      </c>
      <c r="F754" t="s">
        <v>559</v>
      </c>
      <c r="H754" t="s">
        <v>136</v>
      </c>
      <c r="I754">
        <v>79501.662769714283</v>
      </c>
      <c r="J754">
        <v>0</v>
      </c>
      <c r="K754">
        <v>0.28895999999999999</v>
      </c>
      <c r="L754">
        <v>0</v>
      </c>
      <c r="M754">
        <v>16.624578413647427</v>
      </c>
      <c r="N754">
        <v>0</v>
      </c>
      <c r="O754">
        <v>0.73887015171766335</v>
      </c>
      <c r="P754">
        <v>0.12853493333333332</v>
      </c>
      <c r="Q754">
        <v>0.00011481975848188456</v>
      </c>
      <c r="R754">
        <v>442771.10</v>
      </c>
      <c r="S754">
        <v>0</v>
      </c>
      <c r="T754">
        <v>0</v>
      </c>
      <c r="V754">
        <v>216</v>
      </c>
      <c r="W754">
        <v>7</v>
      </c>
      <c r="X754">
        <v>85</v>
      </c>
      <c r="Y754">
        <v>3</v>
      </c>
      <c r="Z754">
        <v>4</v>
      </c>
      <c r="AA754">
        <v>5</v>
      </c>
      <c r="AB754">
        <v>0</v>
      </c>
      <c r="AC754">
        <v>0</v>
      </c>
      <c r="AD754">
        <v>0</v>
      </c>
      <c r="AE754">
        <v>0</v>
      </c>
      <c r="AF754">
        <v>0.70</v>
      </c>
      <c r="AG754">
        <v>0</v>
      </c>
      <c r="AH754">
        <v>0</v>
      </c>
      <c r="AI754">
        <v>0.20</v>
      </c>
      <c r="AJ754">
        <v>0</v>
      </c>
      <c r="AK754">
        <v>0</v>
      </c>
      <c r="AL754">
        <v>86</v>
      </c>
      <c r="AM754">
        <v>4.20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19.40</v>
      </c>
      <c r="AU754">
        <v>0</v>
      </c>
      <c r="AV754">
        <v>0</v>
      </c>
    </row>
    <row r="755" spans="1:48" ht="12.75">
      <c r="A755" s="2" t="str">
        <f>HYPERLINK("https://ibp.a2mac1.com/costing(costing:projects/details/8191/equipment/6947992)","No.10 - Injection Press - 500T - 98kW - 900x900 - Max Volume 1936cm3 ")</f>
        <v xml:space="preserve">No.10 - Injection Press - 500T - 98kW - 900x900 - Max Volume 1936cm3 </v>
      </c>
      <c r="B755">
        <v>6947992</v>
      </c>
      <c r="C755">
        <v>6975410</v>
      </c>
      <c r="E755" t="s">
        <v>499</v>
      </c>
      <c r="H755" t="s">
        <v>136</v>
      </c>
      <c r="I755">
        <v>55874.536</v>
      </c>
      <c r="J755">
        <v>0</v>
      </c>
      <c r="K755">
        <v>3.88</v>
      </c>
      <c r="L755">
        <v>0</v>
      </c>
      <c r="M755">
        <v>15.471857280617165</v>
      </c>
      <c r="N755">
        <v>0</v>
      </c>
      <c r="O755">
        <v>0.1183650803693882</v>
      </c>
      <c r="P755">
        <v>0.0079018141354166675</v>
      </c>
      <c r="Q755">
        <v>0.0073066207105110898</v>
      </c>
      <c r="R755">
        <v>325000</v>
      </c>
      <c r="S755">
        <v>0</v>
      </c>
      <c r="T755">
        <v>0</v>
      </c>
      <c r="V755">
        <v>10800</v>
      </c>
      <c r="W755">
        <v>8</v>
      </c>
      <c r="X755">
        <v>85</v>
      </c>
      <c r="Y755">
        <v>3</v>
      </c>
      <c r="Z755">
        <v>4</v>
      </c>
      <c r="AA755">
        <v>5</v>
      </c>
      <c r="AB755">
        <v>0</v>
      </c>
      <c r="AC755">
        <v>0</v>
      </c>
      <c r="AD755">
        <v>0</v>
      </c>
      <c r="AE755">
        <v>0</v>
      </c>
      <c r="AF755">
        <v>0.25</v>
      </c>
      <c r="AG755">
        <v>0</v>
      </c>
      <c r="AH755">
        <v>0</v>
      </c>
      <c r="AI755">
        <v>2</v>
      </c>
      <c r="AJ755">
        <v>0</v>
      </c>
      <c r="AK755">
        <v>0</v>
      </c>
      <c r="AL755">
        <v>92</v>
      </c>
      <c r="AM755">
        <v>50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100</v>
      </c>
      <c r="AU755">
        <v>0.20</v>
      </c>
      <c r="AV755">
        <v>0</v>
      </c>
    </row>
    <row r="756" spans="1:48" ht="12.75">
      <c r="A756" s="2" t="str">
        <f>HYPERLINK("https://ibp.a2mac1.com/costing(costing:projects/details/8191/equipment/6947993)","Packaging")</f>
        <v>Packaging</v>
      </c>
      <c r="B756">
        <v>6947993</v>
      </c>
      <c r="C756">
        <v>6975411</v>
      </c>
      <c r="H756" t="s">
        <v>136</v>
      </c>
      <c r="I756">
        <v>4437.4535986499995</v>
      </c>
      <c r="J756">
        <v>0</v>
      </c>
      <c r="K756">
        <v>0.08</v>
      </c>
      <c r="L756">
        <v>0</v>
      </c>
      <c r="M756">
        <v>1.0342676949774992</v>
      </c>
      <c r="N756">
        <v>0</v>
      </c>
      <c r="O756">
        <v>0.0086188974581458272</v>
      </c>
      <c r="P756">
        <v>0.034429000000000001</v>
      </c>
      <c r="Q756">
        <v>1.5514015424662487E-05</v>
      </c>
      <c r="R756">
        <v>29999.99999</v>
      </c>
      <c r="S756">
        <v>0</v>
      </c>
      <c r="T756">
        <v>0</v>
      </c>
      <c r="V756">
        <v>900</v>
      </c>
      <c r="W756">
        <v>10</v>
      </c>
      <c r="X756">
        <v>85</v>
      </c>
      <c r="Y756">
        <v>3</v>
      </c>
      <c r="Z756">
        <v>4</v>
      </c>
      <c r="AA756">
        <v>5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50</v>
      </c>
      <c r="AM756">
        <v>2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10</v>
      </c>
      <c r="AU756">
        <v>0</v>
      </c>
      <c r="AV756">
        <v>0</v>
      </c>
    </row>
    <row r="757" spans="1:48" ht="12.75">
      <c r="A757" s="2" t="str">
        <f>HYPERLINK("https://ibp.a2mac1.com/costing(costing:projects/details/8191/equipment/6947994)","No.07 - Injection Press - 250T - 63kW - 570x570 - Max Volume 958cm3 ")</f>
        <v xml:space="preserve">No.07 - Injection Press - 250T - 63kW - 570x570 - Max Volume 958cm3 </v>
      </c>
      <c r="B757">
        <v>6947994</v>
      </c>
      <c r="C757">
        <v>6975412</v>
      </c>
      <c r="E757" t="s">
        <v>499</v>
      </c>
      <c r="H757" t="s">
        <v>136</v>
      </c>
      <c r="I757">
        <v>38615.311800000003</v>
      </c>
      <c r="J757">
        <v>0</v>
      </c>
      <c r="K757">
        <v>2.81</v>
      </c>
      <c r="L757">
        <v>0</v>
      </c>
      <c r="M757">
        <v>10.82435419479267</v>
      </c>
      <c r="N757">
        <v>0</v>
      </c>
      <c r="O757">
        <v>0.11473857541190989</v>
      </c>
      <c r="P757">
        <v>0.010948462167166667</v>
      </c>
      <c r="Q757">
        <v>0.0053917251292189003</v>
      </c>
      <c r="R757">
        <v>225000</v>
      </c>
      <c r="S757">
        <v>0</v>
      </c>
      <c r="T757">
        <v>0</v>
      </c>
      <c r="V757">
        <v>9000</v>
      </c>
      <c r="W757">
        <v>8</v>
      </c>
      <c r="X757">
        <v>85</v>
      </c>
      <c r="Y757">
        <v>3</v>
      </c>
      <c r="Z757">
        <v>4</v>
      </c>
      <c r="AA757">
        <v>5</v>
      </c>
      <c r="AB757">
        <v>0</v>
      </c>
      <c r="AC757">
        <v>0</v>
      </c>
      <c r="AD757">
        <v>0</v>
      </c>
      <c r="AE757">
        <v>0</v>
      </c>
      <c r="AF757">
        <v>0.25</v>
      </c>
      <c r="AG757">
        <v>0</v>
      </c>
      <c r="AH757">
        <v>0</v>
      </c>
      <c r="AI757">
        <v>2</v>
      </c>
      <c r="AJ757">
        <v>0</v>
      </c>
      <c r="AK757">
        <v>0</v>
      </c>
      <c r="AL757">
        <v>92</v>
      </c>
      <c r="AM757">
        <v>37.50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67.50</v>
      </c>
      <c r="AU757">
        <v>0.05</v>
      </c>
      <c r="AV757">
        <v>0</v>
      </c>
    </row>
    <row r="758" spans="1:48" ht="12.75">
      <c r="A758" s="2" t="str">
        <f>HYPERLINK("https://ibp.a2mac1.com/costing(costing:projects/details/8191/equipment/6947995)","Packaging")</f>
        <v>Packaging</v>
      </c>
      <c r="B758">
        <v>6947995</v>
      </c>
      <c r="C758">
        <v>6975413</v>
      </c>
      <c r="H758" t="s">
        <v>136</v>
      </c>
      <c r="I758">
        <v>4437.4535986499995</v>
      </c>
      <c r="J758">
        <v>0</v>
      </c>
      <c r="K758">
        <v>0.08</v>
      </c>
      <c r="L758">
        <v>0</v>
      </c>
      <c r="M758">
        <v>1.0342676949774992</v>
      </c>
      <c r="N758">
        <v>0</v>
      </c>
      <c r="O758">
        <v>0.012928346187218741</v>
      </c>
      <c r="P758">
        <v>0.051643500000000002</v>
      </c>
      <c r="Q758">
        <v>1.5514015424662487E-05</v>
      </c>
      <c r="R758">
        <v>29999.99999</v>
      </c>
      <c r="S758">
        <v>0</v>
      </c>
      <c r="T758">
        <v>0</v>
      </c>
      <c r="V758">
        <v>900</v>
      </c>
      <c r="W758">
        <v>10</v>
      </c>
      <c r="X758">
        <v>85</v>
      </c>
      <c r="Y758">
        <v>3</v>
      </c>
      <c r="Z758">
        <v>4</v>
      </c>
      <c r="AA758">
        <v>5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50</v>
      </c>
      <c r="AM758">
        <v>2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10</v>
      </c>
      <c r="AU758">
        <v>0</v>
      </c>
      <c r="AV758">
        <v>0</v>
      </c>
    </row>
    <row r="759" spans="1:48" ht="12.75">
      <c r="A759" s="2" t="str">
        <f>HYPERLINK("https://ibp.a2mac1.com/costing(costing:projects/details/8191/equipment/6948411)","Equipment (Stamping)")</f>
        <v>Equipment (Stamping)</v>
      </c>
      <c r="B759">
        <v>6948411</v>
      </c>
      <c r="C759">
        <v>6975816</v>
      </c>
      <c r="H759" t="s">
        <v>136</v>
      </c>
      <c r="I759">
        <v>373962.1752</v>
      </c>
      <c r="J759">
        <v>0</v>
      </c>
      <c r="K759">
        <v>3.3919999999999999</v>
      </c>
      <c r="L759">
        <v>0</v>
      </c>
      <c r="M759">
        <v>85.594213950498229</v>
      </c>
      <c r="N759">
        <v>0</v>
      </c>
      <c r="O759">
        <v>0.012839132092574734</v>
      </c>
      <c r="P759">
        <v>0.00061972199999999996</v>
      </c>
      <c r="Q759">
        <v>0.0024910806138862102</v>
      </c>
      <c r="R759">
        <v>2750000</v>
      </c>
      <c r="S759">
        <v>0</v>
      </c>
      <c r="T759">
        <v>0</v>
      </c>
      <c r="V759">
        <v>5400</v>
      </c>
      <c r="W759">
        <v>10</v>
      </c>
      <c r="X759">
        <v>85</v>
      </c>
      <c r="Y759">
        <v>3</v>
      </c>
      <c r="Z759">
        <v>4</v>
      </c>
      <c r="AA759">
        <v>5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2</v>
      </c>
      <c r="AJ759">
        <v>0</v>
      </c>
      <c r="AK759">
        <v>0</v>
      </c>
      <c r="AL759">
        <v>80</v>
      </c>
      <c r="AM759">
        <v>53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70</v>
      </c>
      <c r="AU759">
        <v>0</v>
      </c>
      <c r="AV759">
        <v>0</v>
      </c>
    </row>
    <row r="760" spans="1:48" ht="12.75">
      <c r="A760" s="2" t="str">
        <f>HYPERLINK("https://ibp.a2mac1.com/costing(costing:projects/details/8191/equipment/6948412)","Equipment (Stamping)")</f>
        <v>Equipment (Stamping)</v>
      </c>
      <c r="B760">
        <v>6948412</v>
      </c>
      <c r="C760">
        <v>6975817</v>
      </c>
      <c r="H760" t="s">
        <v>136</v>
      </c>
      <c r="I760">
        <v>373962.1752</v>
      </c>
      <c r="J760">
        <v>0</v>
      </c>
      <c r="K760">
        <v>3.3919999999999999</v>
      </c>
      <c r="L760">
        <v>0</v>
      </c>
      <c r="M760">
        <v>85.594213950498229</v>
      </c>
      <c r="N760">
        <v>0</v>
      </c>
      <c r="O760">
        <v>0.012839132092574734</v>
      </c>
      <c r="P760">
        <v>0.00061972199999999996</v>
      </c>
      <c r="Q760">
        <v>0.0024910806138862102</v>
      </c>
      <c r="R760">
        <v>2750000</v>
      </c>
      <c r="S760">
        <v>0</v>
      </c>
      <c r="T760">
        <v>0</v>
      </c>
      <c r="V760">
        <v>5400</v>
      </c>
      <c r="W760">
        <v>10</v>
      </c>
      <c r="X760">
        <v>85</v>
      </c>
      <c r="Y760">
        <v>3</v>
      </c>
      <c r="Z760">
        <v>4</v>
      </c>
      <c r="AA760">
        <v>5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2</v>
      </c>
      <c r="AJ760">
        <v>0</v>
      </c>
      <c r="AK760">
        <v>0</v>
      </c>
      <c r="AL760">
        <v>80</v>
      </c>
      <c r="AM760">
        <v>53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70</v>
      </c>
      <c r="AU760">
        <v>0</v>
      </c>
      <c r="AV760">
        <v>0</v>
      </c>
    </row>
    <row r="761" spans="1:48" ht="12.75">
      <c r="A761" s="2" t="str">
        <f>HYPERLINK("https://ibp.a2mac1.com/costing(costing:projects/details/8191/equipment/6948413)","Equipment (Stamping)")</f>
        <v>Equipment (Stamping)</v>
      </c>
      <c r="B761">
        <v>6948413</v>
      </c>
      <c r="C761">
        <v>6975818</v>
      </c>
      <c r="H761" t="s">
        <v>136</v>
      </c>
      <c r="I761">
        <v>373962.1752</v>
      </c>
      <c r="J761">
        <v>0</v>
      </c>
      <c r="K761">
        <v>3.3919999999999999</v>
      </c>
      <c r="L761">
        <v>0</v>
      </c>
      <c r="M761">
        <v>85.594213950498229</v>
      </c>
      <c r="N761">
        <v>0</v>
      </c>
      <c r="O761">
        <v>0.05991594976534876</v>
      </c>
      <c r="P761">
        <v>0.0028920360000000002</v>
      </c>
      <c r="Q761">
        <v>0.0024910806138862102</v>
      </c>
      <c r="R761">
        <v>2750000</v>
      </c>
      <c r="S761">
        <v>0</v>
      </c>
      <c r="T761">
        <v>0</v>
      </c>
      <c r="V761">
        <v>5400</v>
      </c>
      <c r="W761">
        <v>10</v>
      </c>
      <c r="X761">
        <v>85</v>
      </c>
      <c r="Y761">
        <v>3</v>
      </c>
      <c r="Z761">
        <v>4</v>
      </c>
      <c r="AA761">
        <v>5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2</v>
      </c>
      <c r="AJ761">
        <v>0</v>
      </c>
      <c r="AK761">
        <v>0</v>
      </c>
      <c r="AL761">
        <v>80</v>
      </c>
      <c r="AM761">
        <v>53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70</v>
      </c>
      <c r="AU761">
        <v>0</v>
      </c>
      <c r="AV761">
        <v>0</v>
      </c>
    </row>
    <row r="762" spans="1:48" ht="12.75">
      <c r="A762" s="2" t="str">
        <f>HYPERLINK("https://ibp.a2mac1.com/costing(costing:projects/details/8191/equipment/6948414)","Equipment (Stamping)")</f>
        <v>Equipment (Stamping)</v>
      </c>
      <c r="B762">
        <v>6948414</v>
      </c>
      <c r="C762">
        <v>6975819</v>
      </c>
      <c r="H762" t="s">
        <v>136</v>
      </c>
      <c r="I762">
        <v>373962.1752</v>
      </c>
      <c r="J762">
        <v>0</v>
      </c>
      <c r="K762">
        <v>3.3919999999999999</v>
      </c>
      <c r="L762">
        <v>0</v>
      </c>
      <c r="M762">
        <v>85.594213950498229</v>
      </c>
      <c r="N762">
        <v>0</v>
      </c>
      <c r="O762">
        <v>0.05991594976534876</v>
      </c>
      <c r="P762">
        <v>0.0028920360000000002</v>
      </c>
      <c r="Q762">
        <v>0.0024910806138862102</v>
      </c>
      <c r="R762">
        <v>2750000</v>
      </c>
      <c r="S762">
        <v>0</v>
      </c>
      <c r="T762">
        <v>0</v>
      </c>
      <c r="V762">
        <v>5400</v>
      </c>
      <c r="W762">
        <v>10</v>
      </c>
      <c r="X762">
        <v>85</v>
      </c>
      <c r="Y762">
        <v>3</v>
      </c>
      <c r="Z762">
        <v>4</v>
      </c>
      <c r="AA762">
        <v>5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2</v>
      </c>
      <c r="AJ762">
        <v>0</v>
      </c>
      <c r="AK762">
        <v>0</v>
      </c>
      <c r="AL762">
        <v>80</v>
      </c>
      <c r="AM762">
        <v>53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70</v>
      </c>
      <c r="AU762">
        <v>0</v>
      </c>
      <c r="AV762">
        <v>0</v>
      </c>
    </row>
    <row r="763" spans="1:48" ht="12.75">
      <c r="A763" s="2" t="str">
        <f>HYPERLINK("https://ibp.a2mac1.com/costing(costing:projects/details/8191/equipment/6947996)","Equipment (Stamping)")</f>
        <v>Equipment (Stamping)</v>
      </c>
      <c r="B763">
        <v>6947996</v>
      </c>
      <c r="C763">
        <v>6975414</v>
      </c>
      <c r="H763" t="s">
        <v>136</v>
      </c>
      <c r="I763">
        <v>716.18946679285716</v>
      </c>
      <c r="J763">
        <v>0</v>
      </c>
      <c r="K763">
        <v>0.032000000000000001</v>
      </c>
      <c r="L763">
        <v>0</v>
      </c>
      <c r="M763">
        <v>0.17683919419685906</v>
      </c>
      <c r="N763">
        <v>0</v>
      </c>
      <c r="O763">
        <v>0.00073682997582024616</v>
      </c>
      <c r="P763">
        <v>8.6072500000000006E-05</v>
      </c>
      <c r="Q763">
        <v>0.00075891957582590577</v>
      </c>
      <c r="R763">
        <v>3699.9999899999998</v>
      </c>
      <c r="S763">
        <v>0</v>
      </c>
      <c r="T763">
        <v>0</v>
      </c>
      <c r="V763">
        <v>1800</v>
      </c>
      <c r="W763">
        <v>7</v>
      </c>
      <c r="X763">
        <v>85</v>
      </c>
      <c r="Y763">
        <v>3</v>
      </c>
      <c r="Z763">
        <v>4</v>
      </c>
      <c r="AA763">
        <v>5</v>
      </c>
      <c r="AB763">
        <v>0</v>
      </c>
      <c r="AC763">
        <v>0</v>
      </c>
      <c r="AD763">
        <v>0</v>
      </c>
      <c r="AE763">
        <v>0</v>
      </c>
      <c r="AF763">
        <v>0.005</v>
      </c>
      <c r="AG763">
        <v>0</v>
      </c>
      <c r="AH763">
        <v>0</v>
      </c>
      <c r="AI763">
        <v>2</v>
      </c>
      <c r="AJ763">
        <v>0</v>
      </c>
      <c r="AK763">
        <v>0</v>
      </c>
      <c r="AL763">
        <v>80</v>
      </c>
      <c r="AM763">
        <v>0.50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1.50</v>
      </c>
      <c r="AU763">
        <v>0</v>
      </c>
      <c r="AV763">
        <v>0</v>
      </c>
    </row>
    <row r="764" spans="1:48" ht="12.75">
      <c r="A764" s="2" t="str">
        <f>HYPERLINK("https://ibp.a2mac1.com/costing(costing:projects/details/8191/equipment/6947997)","No.01 - Injection Press - 40T - 18kW - 270x270 - Max Volume 128cm3 ")</f>
        <v xml:space="preserve">No.01 - Injection Press - 40T - 18kW - 270x270 - Max Volume 128cm3 </v>
      </c>
      <c r="B764">
        <v>6947997</v>
      </c>
      <c r="C764">
        <v>6975415</v>
      </c>
      <c r="E764" t="s">
        <v>499</v>
      </c>
      <c r="H764" t="s">
        <v>136</v>
      </c>
      <c r="I764">
        <v>13574.9072</v>
      </c>
      <c r="J764">
        <v>0</v>
      </c>
      <c r="K764">
        <v>1.6020000000000001</v>
      </c>
      <c r="L764">
        <v>0</v>
      </c>
      <c r="M764">
        <v>4.4266395371263263</v>
      </c>
      <c r="N764">
        <v>0</v>
      </c>
      <c r="O764">
        <v>0.026267359311563269</v>
      </c>
      <c r="P764">
        <v>0.0061289759838333334</v>
      </c>
      <c r="Q764">
        <v>0.0035456543444551589</v>
      </c>
      <c r="R764">
        <v>80000</v>
      </c>
      <c r="S764">
        <v>0</v>
      </c>
      <c r="T764">
        <v>0</v>
      </c>
      <c r="V764">
        <v>7200</v>
      </c>
      <c r="W764">
        <v>8</v>
      </c>
      <c r="X764">
        <v>85</v>
      </c>
      <c r="Y764">
        <v>3</v>
      </c>
      <c r="Z764">
        <v>4</v>
      </c>
      <c r="AA764">
        <v>5</v>
      </c>
      <c r="AB764">
        <v>0</v>
      </c>
      <c r="AC764">
        <v>0</v>
      </c>
      <c r="AD764">
        <v>0</v>
      </c>
      <c r="AE764">
        <v>0</v>
      </c>
      <c r="AF764">
        <v>0.25</v>
      </c>
      <c r="AG764">
        <v>0</v>
      </c>
      <c r="AH764">
        <v>0</v>
      </c>
      <c r="AI764">
        <v>2</v>
      </c>
      <c r="AJ764">
        <v>0</v>
      </c>
      <c r="AK764">
        <v>0</v>
      </c>
      <c r="AL764">
        <v>97</v>
      </c>
      <c r="AM764">
        <v>20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20</v>
      </c>
      <c r="AU764">
        <v>0.05</v>
      </c>
      <c r="AV764">
        <v>0</v>
      </c>
    </row>
    <row r="765" spans="1:48" ht="12.75">
      <c r="A765" s="2" t="str">
        <f>HYPERLINK("https://ibp.a2mac1.com/costing(costing:projects/details/8191/equipment/6947998)","Packaging")</f>
        <v>Packaging</v>
      </c>
      <c r="B765">
        <v>6947998</v>
      </c>
      <c r="C765">
        <v>6975419</v>
      </c>
      <c r="H765" t="s">
        <v>136</v>
      </c>
      <c r="I765">
        <v>4437.4535986499995</v>
      </c>
      <c r="J765">
        <v>0</v>
      </c>
      <c r="K765">
        <v>0.08</v>
      </c>
      <c r="L765">
        <v>0</v>
      </c>
      <c r="M765">
        <v>1.0342676949774992</v>
      </c>
      <c r="N765">
        <v>0</v>
      </c>
      <c r="O765">
        <v>0.0086188974581458272</v>
      </c>
      <c r="P765">
        <v>0.034429000000000001</v>
      </c>
      <c r="Q765">
        <v>1.5514015424662487E-05</v>
      </c>
      <c r="R765">
        <v>29999.99999</v>
      </c>
      <c r="S765">
        <v>0</v>
      </c>
      <c r="T765">
        <v>0</v>
      </c>
      <c r="V765">
        <v>900</v>
      </c>
      <c r="W765">
        <v>10</v>
      </c>
      <c r="X765">
        <v>85</v>
      </c>
      <c r="Y765">
        <v>3</v>
      </c>
      <c r="Z765">
        <v>4</v>
      </c>
      <c r="AA765">
        <v>5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50</v>
      </c>
      <c r="AM765">
        <v>2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10</v>
      </c>
      <c r="AU765">
        <v>0</v>
      </c>
      <c r="AV765">
        <v>0</v>
      </c>
    </row>
    <row r="766" spans="1:48" ht="12.75">
      <c r="A766" s="2" t="str">
        <f>HYPERLINK("https://ibp.a2mac1.com/costing(costing:projects/details/8191/equipment/6947999)","No.01 - Injection Press - 40T - 18kW - 270x270 - Max Volume 128cm3 ")</f>
        <v xml:space="preserve">No.01 - Injection Press - 40T - 18kW - 270x270 - Max Volume 128cm3 </v>
      </c>
      <c r="B766">
        <v>6947999</v>
      </c>
      <c r="C766">
        <v>6975420</v>
      </c>
      <c r="E766" t="s">
        <v>499</v>
      </c>
      <c r="H766" t="s">
        <v>136</v>
      </c>
      <c r="I766">
        <v>13574.9072</v>
      </c>
      <c r="J766">
        <v>0</v>
      </c>
      <c r="K766">
        <v>1.6020000000000001</v>
      </c>
      <c r="L766">
        <v>0</v>
      </c>
      <c r="M766">
        <v>4.4266395371263263</v>
      </c>
      <c r="N766">
        <v>0</v>
      </c>
      <c r="O766">
        <v>0.021455245544299797</v>
      </c>
      <c r="P766">
        <v>0.0050061630904166664</v>
      </c>
      <c r="Q766">
        <v>0.0035456543444551589</v>
      </c>
      <c r="R766">
        <v>80000</v>
      </c>
      <c r="S766">
        <v>0</v>
      </c>
      <c r="T766">
        <v>0</v>
      </c>
      <c r="V766">
        <v>7200</v>
      </c>
      <c r="W766">
        <v>8</v>
      </c>
      <c r="X766">
        <v>85</v>
      </c>
      <c r="Y766">
        <v>3</v>
      </c>
      <c r="Z766">
        <v>4</v>
      </c>
      <c r="AA766">
        <v>5</v>
      </c>
      <c r="AB766">
        <v>0</v>
      </c>
      <c r="AC766">
        <v>0</v>
      </c>
      <c r="AD766">
        <v>0</v>
      </c>
      <c r="AE766">
        <v>0</v>
      </c>
      <c r="AF766">
        <v>0.25</v>
      </c>
      <c r="AG766">
        <v>0</v>
      </c>
      <c r="AH766">
        <v>0</v>
      </c>
      <c r="AI766">
        <v>2</v>
      </c>
      <c r="AJ766">
        <v>0</v>
      </c>
      <c r="AK766">
        <v>0</v>
      </c>
      <c r="AL766">
        <v>97</v>
      </c>
      <c r="AM766">
        <v>20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20</v>
      </c>
      <c r="AU766">
        <v>0.05</v>
      </c>
      <c r="AV766">
        <v>0</v>
      </c>
    </row>
    <row r="767" spans="1:48" ht="12.75">
      <c r="A767" s="2" t="str">
        <f>HYPERLINK("https://ibp.a2mac1.com/costing(costing:projects/details/8191/equipment/6948000)","Packaging")</f>
        <v>Packaging</v>
      </c>
      <c r="B767">
        <v>6948000</v>
      </c>
      <c r="C767">
        <v>6975421</v>
      </c>
      <c r="H767" t="s">
        <v>136</v>
      </c>
      <c r="I767">
        <v>4437.4535986499995</v>
      </c>
      <c r="J767">
        <v>0</v>
      </c>
      <c r="K767">
        <v>0.08</v>
      </c>
      <c r="L767">
        <v>0</v>
      </c>
      <c r="M767">
        <v>1.0342676949774992</v>
      </c>
      <c r="N767">
        <v>0</v>
      </c>
      <c r="O767">
        <v>0.0086188974581458272</v>
      </c>
      <c r="P767">
        <v>0.034429000000000001</v>
      </c>
      <c r="Q767">
        <v>1.5514015424662487E-05</v>
      </c>
      <c r="R767">
        <v>29999.99999</v>
      </c>
      <c r="S767">
        <v>0</v>
      </c>
      <c r="T767">
        <v>0</v>
      </c>
      <c r="V767">
        <v>900</v>
      </c>
      <c r="W767">
        <v>10</v>
      </c>
      <c r="X767">
        <v>85</v>
      </c>
      <c r="Y767">
        <v>3</v>
      </c>
      <c r="Z767">
        <v>4</v>
      </c>
      <c r="AA767">
        <v>5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50</v>
      </c>
      <c r="AM767">
        <v>2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10</v>
      </c>
      <c r="AU767">
        <v>0</v>
      </c>
      <c r="AV767">
        <v>0</v>
      </c>
    </row>
    <row r="768" spans="1:48" ht="12.75">
      <c r="A768" s="2" t="str">
        <f>HYPERLINK("https://ibp.a2mac1.com/costing(costing:projects/details/8191/equipment/6948001)","Equipment (Injection Molding)")</f>
        <v>Equipment (Injection Molding)</v>
      </c>
      <c r="B768">
        <v>6948001</v>
      </c>
      <c r="C768">
        <v>6975422</v>
      </c>
      <c r="H768" t="s">
        <v>136</v>
      </c>
      <c r="I768">
        <v>2020.392909407143</v>
      </c>
      <c r="J768">
        <v>0</v>
      </c>
      <c r="K768">
        <v>0.085866880000000007</v>
      </c>
      <c r="L768">
        <v>0</v>
      </c>
      <c r="M768">
        <v>0.49683756079510494</v>
      </c>
      <c r="N768">
        <v>0</v>
      </c>
      <c r="O768">
        <v>0.0082806260132517479</v>
      </c>
      <c r="P768">
        <v>0.00052814086</v>
      </c>
      <c r="Q768">
        <v>4.4189872792371558E-05</v>
      </c>
      <c r="R768">
        <v>10733.333329999999</v>
      </c>
      <c r="S768">
        <v>0</v>
      </c>
      <c r="T768">
        <v>0</v>
      </c>
      <c r="V768">
        <v>103.50</v>
      </c>
      <c r="W768">
        <v>7</v>
      </c>
      <c r="X768">
        <v>85</v>
      </c>
      <c r="Y768">
        <v>3</v>
      </c>
      <c r="Z768">
        <v>4</v>
      </c>
      <c r="AA768">
        <v>5</v>
      </c>
      <c r="AB768">
        <v>0</v>
      </c>
      <c r="AC768">
        <v>0</v>
      </c>
      <c r="AD768">
        <v>0</v>
      </c>
      <c r="AE768">
        <v>0</v>
      </c>
      <c r="AF768">
        <v>0.0076699999999999997</v>
      </c>
      <c r="AG768">
        <v>0</v>
      </c>
      <c r="AH768">
        <v>0</v>
      </c>
      <c r="AI768">
        <v>2</v>
      </c>
      <c r="AJ768">
        <v>0</v>
      </c>
      <c r="AK768">
        <v>0</v>
      </c>
      <c r="AL768">
        <v>80</v>
      </c>
      <c r="AM768">
        <v>1.3416699999999999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2.875</v>
      </c>
      <c r="AU768">
        <v>0</v>
      </c>
      <c r="AV768">
        <v>0</v>
      </c>
    </row>
    <row r="769" spans="1:48" ht="12.75">
      <c r="A769" s="2" t="str">
        <f>HYPERLINK("https://ibp.a2mac1.com/costing(costing:projects/details/8191/equipment/6948002)","Equipment (Injection Molding)")</f>
        <v>Equipment (Injection Molding)</v>
      </c>
      <c r="B769">
        <v>6948002</v>
      </c>
      <c r="C769">
        <v>6975422</v>
      </c>
      <c r="H769" t="s">
        <v>136</v>
      </c>
      <c r="I769">
        <v>2020.392909407143</v>
      </c>
      <c r="J769">
        <v>0</v>
      </c>
      <c r="K769">
        <v>0.085866880000000007</v>
      </c>
      <c r="L769">
        <v>0</v>
      </c>
      <c r="M769">
        <v>0.49683756079510494</v>
      </c>
      <c r="N769">
        <v>0</v>
      </c>
      <c r="O769">
        <v>0.0082806260132517479</v>
      </c>
      <c r="P769">
        <v>0.00052814086</v>
      </c>
      <c r="Q769">
        <v>4.4189872792371558E-05</v>
      </c>
      <c r="R769">
        <v>10733.333329999999</v>
      </c>
      <c r="S769">
        <v>0</v>
      </c>
      <c r="T769">
        <v>0</v>
      </c>
      <c r="V769">
        <v>103.50</v>
      </c>
      <c r="W769">
        <v>7</v>
      </c>
      <c r="X769">
        <v>85</v>
      </c>
      <c r="Y769">
        <v>3</v>
      </c>
      <c r="Z769">
        <v>4</v>
      </c>
      <c r="AA769">
        <v>5</v>
      </c>
      <c r="AB769">
        <v>0</v>
      </c>
      <c r="AC769">
        <v>0</v>
      </c>
      <c r="AD769">
        <v>0</v>
      </c>
      <c r="AE769">
        <v>0</v>
      </c>
      <c r="AF769">
        <v>0.0076699999999999997</v>
      </c>
      <c r="AG769">
        <v>0</v>
      </c>
      <c r="AH769">
        <v>0</v>
      </c>
      <c r="AI769">
        <v>2</v>
      </c>
      <c r="AJ769">
        <v>0</v>
      </c>
      <c r="AK769">
        <v>0</v>
      </c>
      <c r="AL769">
        <v>80</v>
      </c>
      <c r="AM769">
        <v>1.3416699999999999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2.875</v>
      </c>
      <c r="AU769">
        <v>0</v>
      </c>
      <c r="AV769">
        <v>0</v>
      </c>
    </row>
    <row r="770" spans="1:48" ht="12.75">
      <c r="A770" s="2" t="str">
        <f>HYPERLINK("https://ibp.a2mac1.com/costing(costing:projects/details/8191/equipment/6948003)","Equipment (Injection Molding)")</f>
        <v>Equipment (Injection Molding)</v>
      </c>
      <c r="B770">
        <v>6948003</v>
      </c>
      <c r="C770">
        <v>6975423</v>
      </c>
      <c r="H770" t="s">
        <v>136</v>
      </c>
      <c r="I770">
        <v>1247.3730145928571</v>
      </c>
      <c r="J770">
        <v>0</v>
      </c>
      <c r="K770">
        <v>0.053013119999999997</v>
      </c>
      <c r="L770">
        <v>0</v>
      </c>
      <c r="M770">
        <v>0.30674284486223996</v>
      </c>
      <c r="N770">
        <v>0</v>
      </c>
      <c r="O770">
        <v>0.005112380747704</v>
      </c>
      <c r="P770">
        <v>0.00032569834000000002</v>
      </c>
      <c r="Q770">
        <v>2.7079992329778285E-05</v>
      </c>
      <c r="R770">
        <v>6626.6666699999996</v>
      </c>
      <c r="S770">
        <v>0</v>
      </c>
      <c r="T770">
        <v>0</v>
      </c>
      <c r="V770">
        <v>63.90</v>
      </c>
      <c r="W770">
        <v>7</v>
      </c>
      <c r="X770">
        <v>85</v>
      </c>
      <c r="Y770">
        <v>3</v>
      </c>
      <c r="Z770">
        <v>4</v>
      </c>
      <c r="AA770">
        <v>5</v>
      </c>
      <c r="AB770">
        <v>0</v>
      </c>
      <c r="AC770">
        <v>0</v>
      </c>
      <c r="AD770">
        <v>0</v>
      </c>
      <c r="AE770">
        <v>0</v>
      </c>
      <c r="AF770">
        <v>0.0047299999999999998</v>
      </c>
      <c r="AG770">
        <v>0</v>
      </c>
      <c r="AH770">
        <v>0</v>
      </c>
      <c r="AI770">
        <v>2</v>
      </c>
      <c r="AJ770">
        <v>0</v>
      </c>
      <c r="AK770">
        <v>0</v>
      </c>
      <c r="AL770">
        <v>80</v>
      </c>
      <c r="AM770">
        <v>0.82833000000000001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1.775</v>
      </c>
      <c r="AU770">
        <v>0</v>
      </c>
      <c r="AV770">
        <v>0</v>
      </c>
    </row>
    <row r="771" spans="1:48" ht="12.75">
      <c r="A771" s="2" t="str">
        <f>HYPERLINK("https://ibp.a2mac1.com/costing(costing:projects/details/8191/equipment/6948004)","Equipment (Injection Molding)")</f>
        <v>Equipment (Injection Molding)</v>
      </c>
      <c r="B771">
        <v>6948004</v>
      </c>
      <c r="C771">
        <v>6975423</v>
      </c>
      <c r="H771" t="s">
        <v>136</v>
      </c>
      <c r="I771">
        <v>1247.3730145928571</v>
      </c>
      <c r="J771">
        <v>0</v>
      </c>
      <c r="K771">
        <v>0.053013119999999997</v>
      </c>
      <c r="L771">
        <v>0</v>
      </c>
      <c r="M771">
        <v>0.30674284486223996</v>
      </c>
      <c r="N771">
        <v>0</v>
      </c>
      <c r="O771">
        <v>0.005112380747704</v>
      </c>
      <c r="P771">
        <v>0.00032569834000000002</v>
      </c>
      <c r="Q771">
        <v>2.7079992329778285E-05</v>
      </c>
      <c r="R771">
        <v>6626.6666699999996</v>
      </c>
      <c r="S771">
        <v>0</v>
      </c>
      <c r="T771">
        <v>0</v>
      </c>
      <c r="V771">
        <v>63.90</v>
      </c>
      <c r="W771">
        <v>7</v>
      </c>
      <c r="X771">
        <v>85</v>
      </c>
      <c r="Y771">
        <v>3</v>
      </c>
      <c r="Z771">
        <v>4</v>
      </c>
      <c r="AA771">
        <v>5</v>
      </c>
      <c r="AB771">
        <v>0</v>
      </c>
      <c r="AC771">
        <v>0</v>
      </c>
      <c r="AD771">
        <v>0</v>
      </c>
      <c r="AE771">
        <v>0</v>
      </c>
      <c r="AF771">
        <v>0.0047299999999999998</v>
      </c>
      <c r="AG771">
        <v>0</v>
      </c>
      <c r="AH771">
        <v>0</v>
      </c>
      <c r="AI771">
        <v>2</v>
      </c>
      <c r="AJ771">
        <v>0</v>
      </c>
      <c r="AK771">
        <v>0</v>
      </c>
      <c r="AL771">
        <v>80</v>
      </c>
      <c r="AM771">
        <v>0.82833000000000001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1.775</v>
      </c>
      <c r="AU771">
        <v>0</v>
      </c>
      <c r="AV771">
        <v>0</v>
      </c>
    </row>
    <row r="772" spans="1:48" ht="12.75">
      <c r="A772" s="2" t="str">
        <f>HYPERLINK("https://ibp.a2mac1.com/costing(costing:projects/details/8191/equipment/6948006)","No.01 - Injection Press - 40T - 18kW - 270x270 - Max Volume 128cm3 ")</f>
        <v xml:space="preserve">No.01 - Injection Press - 40T - 18kW - 270x270 - Max Volume 128cm3 </v>
      </c>
      <c r="B772">
        <v>6948006</v>
      </c>
      <c r="C772">
        <v>6975425</v>
      </c>
      <c r="E772" t="s">
        <v>499</v>
      </c>
      <c r="H772" t="s">
        <v>136</v>
      </c>
      <c r="I772">
        <v>13574.9072</v>
      </c>
      <c r="J772">
        <v>0</v>
      </c>
      <c r="K772">
        <v>1.6020000000000001</v>
      </c>
      <c r="L772">
        <v>0</v>
      </c>
      <c r="M772">
        <v>4.4266395371263263</v>
      </c>
      <c r="N772">
        <v>0</v>
      </c>
      <c r="O772">
        <v>0.014825627360417872</v>
      </c>
      <c r="P772">
        <v>0.0034592709895000001</v>
      </c>
      <c r="Q772">
        <v>0.0035456543444551589</v>
      </c>
      <c r="R772">
        <v>80000</v>
      </c>
      <c r="S772">
        <v>0</v>
      </c>
      <c r="T772">
        <v>0</v>
      </c>
      <c r="V772">
        <v>7200</v>
      </c>
      <c r="W772">
        <v>8</v>
      </c>
      <c r="X772">
        <v>85</v>
      </c>
      <c r="Y772">
        <v>3</v>
      </c>
      <c r="Z772">
        <v>4</v>
      </c>
      <c r="AA772">
        <v>5</v>
      </c>
      <c r="AB772">
        <v>0</v>
      </c>
      <c r="AC772">
        <v>0</v>
      </c>
      <c r="AD772">
        <v>0</v>
      </c>
      <c r="AE772">
        <v>0</v>
      </c>
      <c r="AF772">
        <v>0.25</v>
      </c>
      <c r="AG772">
        <v>0</v>
      </c>
      <c r="AH772">
        <v>0</v>
      </c>
      <c r="AI772">
        <v>2</v>
      </c>
      <c r="AJ772">
        <v>0</v>
      </c>
      <c r="AK772">
        <v>0</v>
      </c>
      <c r="AL772">
        <v>97</v>
      </c>
      <c r="AM772">
        <v>20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20</v>
      </c>
      <c r="AU772">
        <v>0.05</v>
      </c>
      <c r="AV772">
        <v>0</v>
      </c>
    </row>
    <row r="773" spans="1:48" ht="12.75">
      <c r="A773" s="2" t="str">
        <f>HYPERLINK("https://ibp.a2mac1.com/costing(costing:projects/details/8191/equipment/6948005)","Packaging")</f>
        <v>Packaging</v>
      </c>
      <c r="B773">
        <v>6948005</v>
      </c>
      <c r="C773">
        <v>6975424</v>
      </c>
      <c r="H773" t="s">
        <v>136</v>
      </c>
      <c r="I773">
        <v>4437.4535986499995</v>
      </c>
      <c r="J773">
        <v>0</v>
      </c>
      <c r="K773">
        <v>0.08</v>
      </c>
      <c r="L773">
        <v>0</v>
      </c>
      <c r="M773">
        <v>1.0342676949774992</v>
      </c>
      <c r="N773">
        <v>0</v>
      </c>
      <c r="O773">
        <v>0.0086188974581458272</v>
      </c>
      <c r="P773">
        <v>0.034429000000000001</v>
      </c>
      <c r="Q773">
        <v>1.5514015424662487E-05</v>
      </c>
      <c r="R773">
        <v>29999.99999</v>
      </c>
      <c r="S773">
        <v>0</v>
      </c>
      <c r="T773">
        <v>0</v>
      </c>
      <c r="V773">
        <v>900</v>
      </c>
      <c r="W773">
        <v>10</v>
      </c>
      <c r="X773">
        <v>85</v>
      </c>
      <c r="Y773">
        <v>3</v>
      </c>
      <c r="Z773">
        <v>4</v>
      </c>
      <c r="AA773">
        <v>5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50</v>
      </c>
      <c r="AM773">
        <v>2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10</v>
      </c>
      <c r="AU773">
        <v>0</v>
      </c>
      <c r="AV773">
        <v>0</v>
      </c>
    </row>
    <row r="774" spans="1:48" ht="12.75">
      <c r="A774" s="2" t="str">
        <f>HYPERLINK("https://ibp.a2mac1.com/costing(costing:projects/details/8191/equipment/6948007)","Equipment (Stamping)")</f>
        <v>Equipment (Stamping)</v>
      </c>
      <c r="B774">
        <v>6948007</v>
      </c>
      <c r="C774">
        <v>6975426</v>
      </c>
      <c r="H774" t="s">
        <v>136</v>
      </c>
      <c r="I774">
        <v>716.18946857142862</v>
      </c>
      <c r="J774">
        <v>0</v>
      </c>
      <c r="K774">
        <v>0.032000000000000001</v>
      </c>
      <c r="L774">
        <v>0</v>
      </c>
      <c r="M774">
        <v>0.17683919456307112</v>
      </c>
      <c r="N774">
        <v>0</v>
      </c>
      <c r="O774">
        <v>0.00073682997734612974</v>
      </c>
      <c r="P774">
        <v>8.6072500000000006E-05</v>
      </c>
      <c r="Q774">
        <v>0.0007589195758368921</v>
      </c>
      <c r="R774">
        <v>3700</v>
      </c>
      <c r="S774">
        <v>0</v>
      </c>
      <c r="T774">
        <v>0</v>
      </c>
      <c r="V774">
        <v>1800</v>
      </c>
      <c r="W774">
        <v>7</v>
      </c>
      <c r="X774">
        <v>85</v>
      </c>
      <c r="Y774">
        <v>3</v>
      </c>
      <c r="Z774">
        <v>4</v>
      </c>
      <c r="AA774">
        <v>5</v>
      </c>
      <c r="AB774">
        <v>0</v>
      </c>
      <c r="AC774">
        <v>0</v>
      </c>
      <c r="AD774">
        <v>0</v>
      </c>
      <c r="AE774">
        <v>0</v>
      </c>
      <c r="AF774">
        <v>0.005</v>
      </c>
      <c r="AG774">
        <v>0</v>
      </c>
      <c r="AH774">
        <v>0</v>
      </c>
      <c r="AI774">
        <v>2</v>
      </c>
      <c r="AJ774">
        <v>0</v>
      </c>
      <c r="AK774">
        <v>0</v>
      </c>
      <c r="AL774">
        <v>80</v>
      </c>
      <c r="AM774">
        <v>0.50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1.50</v>
      </c>
      <c r="AU774">
        <v>0</v>
      </c>
      <c r="AV774">
        <v>0</v>
      </c>
    </row>
    <row r="775" spans="1:48" ht="12.75">
      <c r="A775" s="2" t="str">
        <f>HYPERLINK("https://ibp.a2mac1.com/costing(costing:projects/details/8191/equipment/6948008)","Equipment (Injection Molding)")</f>
        <v>Equipment (Injection Molding)</v>
      </c>
      <c r="B775">
        <v>6948008</v>
      </c>
      <c r="C775">
        <v>6975427</v>
      </c>
      <c r="H775" t="s">
        <v>136</v>
      </c>
      <c r="I775">
        <v>263.52951000000002</v>
      </c>
      <c r="J775">
        <v>0</v>
      </c>
      <c r="K775">
        <v>0.0112</v>
      </c>
      <c r="L775">
        <v>0</v>
      </c>
      <c r="M775">
        <v>0.064804871423979421</v>
      </c>
      <c r="N775">
        <v>0</v>
      </c>
      <c r="O775">
        <v>0.00027002029759991427</v>
      </c>
      <c r="P775">
        <v>1.7214499999999999E-05</v>
      </c>
      <c r="Q775">
        <v>5.6666890960703958E-06</v>
      </c>
      <c r="R775">
        <v>1400</v>
      </c>
      <c r="S775">
        <v>0</v>
      </c>
      <c r="T775">
        <v>0</v>
      </c>
      <c r="V775">
        <v>13.50</v>
      </c>
      <c r="W775">
        <v>7</v>
      </c>
      <c r="X775">
        <v>85</v>
      </c>
      <c r="Y775">
        <v>3</v>
      </c>
      <c r="Z775">
        <v>4</v>
      </c>
      <c r="AA775">
        <v>5</v>
      </c>
      <c r="AB775">
        <v>0</v>
      </c>
      <c r="AC775">
        <v>0</v>
      </c>
      <c r="AD775">
        <v>0</v>
      </c>
      <c r="AE775">
        <v>0</v>
      </c>
      <c r="AF775">
        <v>0.001</v>
      </c>
      <c r="AG775">
        <v>0</v>
      </c>
      <c r="AH775">
        <v>0</v>
      </c>
      <c r="AI775">
        <v>2</v>
      </c>
      <c r="AJ775">
        <v>0</v>
      </c>
      <c r="AK775">
        <v>0</v>
      </c>
      <c r="AL775">
        <v>80</v>
      </c>
      <c r="AM775">
        <v>0.175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0.375</v>
      </c>
      <c r="AU775">
        <v>0</v>
      </c>
      <c r="AV775">
        <v>0</v>
      </c>
    </row>
    <row r="776" spans="1:48" ht="12.75">
      <c r="A776" s="2" t="str">
        <f>HYPERLINK("https://ibp.a2mac1.com/costing(costing:projects/details/8191/equipment/6948009)","Rubber Extrusion machine")</f>
        <v>Rubber Extrusion machine</v>
      </c>
      <c r="B776">
        <v>6948009</v>
      </c>
      <c r="C776">
        <v>6975428</v>
      </c>
      <c r="E776" t="s">
        <v>603</v>
      </c>
      <c r="H776" t="s">
        <v>136</v>
      </c>
      <c r="I776">
        <v>127372.68</v>
      </c>
      <c r="J776">
        <v>0</v>
      </c>
      <c r="K776">
        <v>8.80</v>
      </c>
      <c r="L776">
        <v>0</v>
      </c>
      <c r="M776">
        <v>35.700141433622626</v>
      </c>
      <c r="N776">
        <v>0</v>
      </c>
      <c r="O776">
        <v>0.14875058930676097</v>
      </c>
      <c r="P776">
        <v>0.034429000000000001</v>
      </c>
      <c r="Q776">
        <v>0.0014478114430086788</v>
      </c>
      <c r="R776">
        <v>800000</v>
      </c>
      <c r="S776">
        <v>0</v>
      </c>
      <c r="T776">
        <v>0</v>
      </c>
      <c r="V776">
        <v>1800</v>
      </c>
      <c r="W776">
        <v>10</v>
      </c>
      <c r="X776">
        <v>85</v>
      </c>
      <c r="Y776">
        <v>3</v>
      </c>
      <c r="Z776">
        <v>4</v>
      </c>
      <c r="AA776">
        <v>5</v>
      </c>
      <c r="AB776">
        <v>0</v>
      </c>
      <c r="AC776">
        <v>0</v>
      </c>
      <c r="AD776">
        <v>0</v>
      </c>
      <c r="AE776">
        <v>0</v>
      </c>
      <c r="AF776">
        <v>2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100</v>
      </c>
      <c r="AM776">
        <v>110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500</v>
      </c>
      <c r="AU776">
        <v>0</v>
      </c>
      <c r="AV776">
        <v>0</v>
      </c>
    </row>
    <row r="777" spans="1:48" ht="12.75">
      <c r="A777" s="2" t="str">
        <f>HYPERLINK("https://ibp.a2mac1.com/costing(costing:projects/details/8191/equipment/6948010)","Equipment (Injection Molding)")</f>
        <v>Equipment (Injection Molding)</v>
      </c>
      <c r="B777">
        <v>6948010</v>
      </c>
      <c r="C777">
        <v>6975429</v>
      </c>
      <c r="H777" t="s">
        <v>136</v>
      </c>
      <c r="I777">
        <v>843.29443200000003</v>
      </c>
      <c r="J777">
        <v>0</v>
      </c>
      <c r="K777">
        <v>0.035839999999999997</v>
      </c>
      <c r="L777">
        <v>0</v>
      </c>
      <c r="M777">
        <v>0.20737558855673416</v>
      </c>
      <c r="N777">
        <v>0</v>
      </c>
      <c r="O777">
        <v>0.0034562598092789027</v>
      </c>
      <c r="P777">
        <v>0.00022034560000000001</v>
      </c>
      <c r="Q777">
        <v>9.1180280118804245E-06</v>
      </c>
      <c r="R777">
        <v>4480</v>
      </c>
      <c r="S777">
        <v>0</v>
      </c>
      <c r="T777">
        <v>0</v>
      </c>
      <c r="V777">
        <v>43.20</v>
      </c>
      <c r="W777">
        <v>7</v>
      </c>
      <c r="X777">
        <v>85</v>
      </c>
      <c r="Y777">
        <v>3</v>
      </c>
      <c r="Z777">
        <v>4</v>
      </c>
      <c r="AA777">
        <v>5</v>
      </c>
      <c r="AB777">
        <v>0</v>
      </c>
      <c r="AC777">
        <v>0</v>
      </c>
      <c r="AD777">
        <v>0</v>
      </c>
      <c r="AE777">
        <v>0</v>
      </c>
      <c r="AF777">
        <v>0.0032000000000000002</v>
      </c>
      <c r="AG777">
        <v>0</v>
      </c>
      <c r="AH777">
        <v>0</v>
      </c>
      <c r="AI777">
        <v>2</v>
      </c>
      <c r="AJ777">
        <v>0</v>
      </c>
      <c r="AK777">
        <v>0</v>
      </c>
      <c r="AL777">
        <v>80</v>
      </c>
      <c r="AM777">
        <v>0.56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1.20</v>
      </c>
      <c r="AU777">
        <v>0</v>
      </c>
      <c r="AV777">
        <v>0</v>
      </c>
    </row>
    <row r="778" spans="1:48" ht="12.75">
      <c r="A778" s="2" t="str">
        <f>HYPERLINK("https://ibp.a2mac1.com/costing(costing:projects/details/8191/equipment/6948011)","Equipment (Injection Molding)")</f>
        <v>Equipment (Injection Molding)</v>
      </c>
      <c r="B778">
        <v>6948011</v>
      </c>
      <c r="C778">
        <v>6975430</v>
      </c>
      <c r="H778" t="s">
        <v>136</v>
      </c>
      <c r="I778">
        <v>1106.823942</v>
      </c>
      <c r="J778">
        <v>0</v>
      </c>
      <c r="K778">
        <v>0.047039999999999998</v>
      </c>
      <c r="L778">
        <v>0</v>
      </c>
      <c r="M778">
        <v>0.27218045998071361</v>
      </c>
      <c r="N778">
        <v>0</v>
      </c>
      <c r="O778">
        <v>0.0045363409996785602</v>
      </c>
      <c r="P778">
        <v>0.00028920360000000002</v>
      </c>
      <c r="Q778">
        <v>2.3996064134681773E-05</v>
      </c>
      <c r="R778">
        <v>5880</v>
      </c>
      <c r="S778">
        <v>0</v>
      </c>
      <c r="T778">
        <v>0</v>
      </c>
      <c r="V778">
        <v>56.70</v>
      </c>
      <c r="W778">
        <v>7</v>
      </c>
      <c r="X778">
        <v>85</v>
      </c>
      <c r="Y778">
        <v>3</v>
      </c>
      <c r="Z778">
        <v>4</v>
      </c>
      <c r="AA778">
        <v>5</v>
      </c>
      <c r="AB778">
        <v>0</v>
      </c>
      <c r="AC778">
        <v>0</v>
      </c>
      <c r="AD778">
        <v>0</v>
      </c>
      <c r="AE778">
        <v>0</v>
      </c>
      <c r="AF778">
        <v>0.0041999999999999997</v>
      </c>
      <c r="AG778">
        <v>0</v>
      </c>
      <c r="AH778">
        <v>0</v>
      </c>
      <c r="AI778">
        <v>2</v>
      </c>
      <c r="AJ778">
        <v>0</v>
      </c>
      <c r="AK778">
        <v>0</v>
      </c>
      <c r="AL778">
        <v>80</v>
      </c>
      <c r="AM778">
        <v>0.735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1.575</v>
      </c>
      <c r="AU778">
        <v>0</v>
      </c>
      <c r="AV778">
        <v>0</v>
      </c>
    </row>
    <row r="779" spans="1:48" ht="12.75">
      <c r="A779" s="2" t="str">
        <f>HYPERLINK("https://ibp.a2mac1.com/costing(costing:projects/details/8191/equipment/6948012)","Equipment (Injection Molding)")</f>
        <v>Equipment (Injection Molding)</v>
      </c>
      <c r="B779">
        <v>6948012</v>
      </c>
      <c r="C779">
        <v>6975431</v>
      </c>
      <c r="H779" t="s">
        <v>136</v>
      </c>
      <c r="I779">
        <v>1054.1180400000001</v>
      </c>
      <c r="J779">
        <v>0</v>
      </c>
      <c r="K779">
        <v>0.0448</v>
      </c>
      <c r="L779">
        <v>0</v>
      </c>
      <c r="M779">
        <v>0.25921948569591768</v>
      </c>
      <c r="N779">
        <v>0</v>
      </c>
      <c r="O779">
        <v>0.0043203247615986283</v>
      </c>
      <c r="P779">
        <v>0.00027543199999999999</v>
      </c>
      <c r="Q779">
        <v>2.2841729537126327E-05</v>
      </c>
      <c r="R779">
        <v>5600</v>
      </c>
      <c r="S779">
        <v>0</v>
      </c>
      <c r="T779">
        <v>0</v>
      </c>
      <c r="V779">
        <v>54</v>
      </c>
      <c r="W779">
        <v>7</v>
      </c>
      <c r="X779">
        <v>85</v>
      </c>
      <c r="Y779">
        <v>3</v>
      </c>
      <c r="Z779">
        <v>4</v>
      </c>
      <c r="AA779">
        <v>5</v>
      </c>
      <c r="AB779">
        <v>0</v>
      </c>
      <c r="AC779">
        <v>0</v>
      </c>
      <c r="AD779">
        <v>0</v>
      </c>
      <c r="AE779">
        <v>0</v>
      </c>
      <c r="AF779">
        <v>0.0040000000000000001</v>
      </c>
      <c r="AG779">
        <v>0</v>
      </c>
      <c r="AH779">
        <v>0</v>
      </c>
      <c r="AI779">
        <v>2</v>
      </c>
      <c r="AJ779">
        <v>0</v>
      </c>
      <c r="AK779">
        <v>0</v>
      </c>
      <c r="AL779">
        <v>80</v>
      </c>
      <c r="AM779">
        <v>0.70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1.50</v>
      </c>
      <c r="AU779">
        <v>0</v>
      </c>
      <c r="AV779">
        <v>0</v>
      </c>
    </row>
    <row r="780" spans="1:48" ht="12.75">
      <c r="A780" s="2" t="str">
        <f>HYPERLINK("https://ibp.a2mac1.com/costing(costing:projects/details/8191/equipment/6948013)","Equipment (Injection Molding)")</f>
        <v>Equipment (Injection Molding)</v>
      </c>
      <c r="B780">
        <v>6948013</v>
      </c>
      <c r="C780">
        <v>6975432</v>
      </c>
      <c r="H780" t="s">
        <v>136</v>
      </c>
      <c r="I780">
        <v>737.88262799999995</v>
      </c>
      <c r="J780">
        <v>0</v>
      </c>
      <c r="K780">
        <v>0.031359999999999999</v>
      </c>
      <c r="L780">
        <v>0</v>
      </c>
      <c r="M780">
        <v>0.1814536399871424</v>
      </c>
      <c r="N780">
        <v>0</v>
      </c>
      <c r="O780">
        <v>0.0030242273331190402</v>
      </c>
      <c r="P780">
        <v>0.0001928024</v>
      </c>
      <c r="Q780">
        <v>3.9850545482979752E-06</v>
      </c>
      <c r="R780">
        <v>3920</v>
      </c>
      <c r="S780">
        <v>0</v>
      </c>
      <c r="T780">
        <v>0</v>
      </c>
      <c r="V780">
        <v>37.80</v>
      </c>
      <c r="W780">
        <v>7</v>
      </c>
      <c r="X780">
        <v>85</v>
      </c>
      <c r="Y780">
        <v>3</v>
      </c>
      <c r="Z780">
        <v>4</v>
      </c>
      <c r="AA780">
        <v>5</v>
      </c>
      <c r="AB780">
        <v>0</v>
      </c>
      <c r="AC780">
        <v>0</v>
      </c>
      <c r="AD780">
        <v>0</v>
      </c>
      <c r="AE780">
        <v>0</v>
      </c>
      <c r="AF780">
        <v>0.0028</v>
      </c>
      <c r="AG780">
        <v>0</v>
      </c>
      <c r="AH780">
        <v>0</v>
      </c>
      <c r="AI780">
        <v>2</v>
      </c>
      <c r="AJ780">
        <v>0</v>
      </c>
      <c r="AK780">
        <v>0</v>
      </c>
      <c r="AL780">
        <v>80</v>
      </c>
      <c r="AM780">
        <v>0.49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1.05</v>
      </c>
      <c r="AU780">
        <v>0</v>
      </c>
      <c r="AV780">
        <v>0</v>
      </c>
    </row>
    <row r="781" spans="1:48" ht="12.75">
      <c r="A781" s="2" t="str">
        <f>HYPERLINK("https://ibp.a2mac1.com/costing(costing:projects/details/8191/equipment/6948014)","Equipment (Injection Molding)")</f>
        <v>Equipment (Injection Molding)</v>
      </c>
      <c r="B781">
        <v>6948014</v>
      </c>
      <c r="C781">
        <v>6975433</v>
      </c>
      <c r="H781" t="s">
        <v>136</v>
      </c>
      <c r="I781">
        <v>4216.4721600000003</v>
      </c>
      <c r="J781">
        <v>0</v>
      </c>
      <c r="K781">
        <v>0.1792</v>
      </c>
      <c r="L781">
        <v>0</v>
      </c>
      <c r="M781">
        <v>1.0368779427836707</v>
      </c>
      <c r="N781">
        <v>0</v>
      </c>
      <c r="O781">
        <v>0.017281299046394513</v>
      </c>
      <c r="P781">
        <v>0.001101728</v>
      </c>
      <c r="Q781">
        <v>9.4166488594021219E-05</v>
      </c>
      <c r="R781">
        <v>22400</v>
      </c>
      <c r="S781">
        <v>0</v>
      </c>
      <c r="T781">
        <v>0</v>
      </c>
      <c r="V781">
        <v>216</v>
      </c>
      <c r="W781">
        <v>7</v>
      </c>
      <c r="X781">
        <v>85</v>
      </c>
      <c r="Y781">
        <v>3</v>
      </c>
      <c r="Z781">
        <v>4</v>
      </c>
      <c r="AA781">
        <v>5</v>
      </c>
      <c r="AB781">
        <v>0</v>
      </c>
      <c r="AC781">
        <v>0</v>
      </c>
      <c r="AD781">
        <v>0</v>
      </c>
      <c r="AE781">
        <v>0</v>
      </c>
      <c r="AF781">
        <v>0.016</v>
      </c>
      <c r="AG781">
        <v>0</v>
      </c>
      <c r="AH781">
        <v>0</v>
      </c>
      <c r="AI781">
        <v>2</v>
      </c>
      <c r="AJ781">
        <v>0</v>
      </c>
      <c r="AK781">
        <v>0</v>
      </c>
      <c r="AL781">
        <v>80</v>
      </c>
      <c r="AM781">
        <v>2.80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6</v>
      </c>
      <c r="AU781">
        <v>0</v>
      </c>
      <c r="AV781">
        <v>0</v>
      </c>
    </row>
    <row r="782" spans="1:48" ht="12.75">
      <c r="A782" s="2" t="str">
        <f>HYPERLINK("https://ibp.a2mac1.com/costing(costing:projects/details/8191/equipment/6948015)","Equipment (Injection Molding)")</f>
        <v>Equipment (Injection Molding)</v>
      </c>
      <c r="B782">
        <v>6948015</v>
      </c>
      <c r="C782">
        <v>6975434</v>
      </c>
      <c r="H782" t="s">
        <v>136</v>
      </c>
      <c r="I782">
        <v>4216.4721600000003</v>
      </c>
      <c r="J782">
        <v>0</v>
      </c>
      <c r="K782">
        <v>0.1792</v>
      </c>
      <c r="L782">
        <v>0</v>
      </c>
      <c r="M782">
        <v>1.0368779427836707</v>
      </c>
      <c r="N782">
        <v>0</v>
      </c>
      <c r="O782">
        <v>0.017281299046394513</v>
      </c>
      <c r="P782">
        <v>0.001101728</v>
      </c>
      <c r="Q782">
        <v>9.4166488594021219E-05</v>
      </c>
      <c r="R782">
        <v>22400</v>
      </c>
      <c r="S782">
        <v>0</v>
      </c>
      <c r="T782">
        <v>0</v>
      </c>
      <c r="V782">
        <v>216</v>
      </c>
      <c r="W782">
        <v>7</v>
      </c>
      <c r="X782">
        <v>85</v>
      </c>
      <c r="Y782">
        <v>3</v>
      </c>
      <c r="Z782">
        <v>4</v>
      </c>
      <c r="AA782">
        <v>5</v>
      </c>
      <c r="AB782">
        <v>0</v>
      </c>
      <c r="AC782">
        <v>0</v>
      </c>
      <c r="AD782">
        <v>0</v>
      </c>
      <c r="AE782">
        <v>0</v>
      </c>
      <c r="AF782">
        <v>0.016</v>
      </c>
      <c r="AG782">
        <v>0</v>
      </c>
      <c r="AH782">
        <v>0</v>
      </c>
      <c r="AI782">
        <v>2</v>
      </c>
      <c r="AJ782">
        <v>0</v>
      </c>
      <c r="AK782">
        <v>0</v>
      </c>
      <c r="AL782">
        <v>80</v>
      </c>
      <c r="AM782">
        <v>2.80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6</v>
      </c>
      <c r="AU782">
        <v>0</v>
      </c>
      <c r="AV782">
        <v>0</v>
      </c>
    </row>
    <row r="783" spans="1:48" ht="12.75">
      <c r="A783" s="2" t="str">
        <f>HYPERLINK("https://ibp.a2mac1.com/costing(costing:projects/details/8191/equipment/6948016)","Equipment (Injection Molding)")</f>
        <v>Equipment (Injection Molding)</v>
      </c>
      <c r="B783">
        <v>6948016</v>
      </c>
      <c r="C783">
        <v>6975435</v>
      </c>
      <c r="H783" t="s">
        <v>136</v>
      </c>
      <c r="I783">
        <v>105.411804</v>
      </c>
      <c r="J783">
        <v>0</v>
      </c>
      <c r="K783">
        <v>0.0044799999999999996</v>
      </c>
      <c r="L783">
        <v>0</v>
      </c>
      <c r="M783">
        <v>0.02592194856959177</v>
      </c>
      <c r="N783">
        <v>0</v>
      </c>
      <c r="O783">
        <v>5.4004059519982855E-05</v>
      </c>
      <c r="P783">
        <v>3.4429000000000001E-06</v>
      </c>
      <c r="Q783">
        <v>2.2631761753712633E-06</v>
      </c>
      <c r="R783">
        <v>560</v>
      </c>
      <c r="S783">
        <v>0</v>
      </c>
      <c r="T783">
        <v>0</v>
      </c>
      <c r="V783">
        <v>5.40</v>
      </c>
      <c r="W783">
        <v>7</v>
      </c>
      <c r="X783">
        <v>85</v>
      </c>
      <c r="Y783">
        <v>3</v>
      </c>
      <c r="Z783">
        <v>4</v>
      </c>
      <c r="AA783">
        <v>5</v>
      </c>
      <c r="AB783">
        <v>0</v>
      </c>
      <c r="AC783">
        <v>0</v>
      </c>
      <c r="AD783">
        <v>0</v>
      </c>
      <c r="AE783">
        <v>0</v>
      </c>
      <c r="AF783">
        <v>0.00040000000000000002</v>
      </c>
      <c r="AG783">
        <v>0</v>
      </c>
      <c r="AH783">
        <v>0</v>
      </c>
      <c r="AI783">
        <v>2</v>
      </c>
      <c r="AJ783">
        <v>0</v>
      </c>
      <c r="AK783">
        <v>0</v>
      </c>
      <c r="AL783">
        <v>80</v>
      </c>
      <c r="AM783">
        <v>0.07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0.15</v>
      </c>
      <c r="AU783">
        <v>0</v>
      </c>
      <c r="AV783">
        <v>0</v>
      </c>
    </row>
    <row r="784" spans="1:48" ht="12.75">
      <c r="A784" s="2" t="str">
        <f>HYPERLINK("https://ibp.a2mac1.com/costing(costing:projects/details/8191/equipment/6948415)","Equipment (Stamping)")</f>
        <v>Equipment (Stamping)</v>
      </c>
      <c r="B784">
        <v>6948415</v>
      </c>
      <c r="C784">
        <v>6975820</v>
      </c>
      <c r="H784" t="s">
        <v>136</v>
      </c>
      <c r="I784">
        <v>373962.1752</v>
      </c>
      <c r="J784">
        <v>0</v>
      </c>
      <c r="K784">
        <v>3.3919999999999999</v>
      </c>
      <c r="L784">
        <v>0</v>
      </c>
      <c r="M784">
        <v>85.594213950498229</v>
      </c>
      <c r="N784">
        <v>0</v>
      </c>
      <c r="O784">
        <v>1.1897595739119253</v>
      </c>
      <c r="P784">
        <v>0.057427572000000003</v>
      </c>
      <c r="Q784">
        <v>0.0099643224555448408</v>
      </c>
      <c r="R784">
        <v>2750000</v>
      </c>
      <c r="S784">
        <v>0</v>
      </c>
      <c r="T784">
        <v>0</v>
      </c>
      <c r="V784">
        <v>5400</v>
      </c>
      <c r="W784">
        <v>10</v>
      </c>
      <c r="X784">
        <v>85</v>
      </c>
      <c r="Y784">
        <v>3</v>
      </c>
      <c r="Z784">
        <v>4</v>
      </c>
      <c r="AA784">
        <v>5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2</v>
      </c>
      <c r="AJ784">
        <v>0</v>
      </c>
      <c r="AK784">
        <v>0</v>
      </c>
      <c r="AL784">
        <v>80</v>
      </c>
      <c r="AM784">
        <v>53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70</v>
      </c>
      <c r="AU784">
        <v>0</v>
      </c>
      <c r="AV784">
        <v>0</v>
      </c>
    </row>
    <row r="785" spans="1:48" ht="12.75">
      <c r="A785" s="2" t="str">
        <f>HYPERLINK("https://ibp.a2mac1.com/costing(costing:projects/details/8191/equipment/6948416)","Equipment (Stamping)")</f>
        <v>Equipment (Stamping)</v>
      </c>
      <c r="B785">
        <v>6948416</v>
      </c>
      <c r="C785">
        <v>6975821</v>
      </c>
      <c r="H785" t="s">
        <v>136</v>
      </c>
      <c r="I785">
        <v>373962.1752</v>
      </c>
      <c r="J785">
        <v>0</v>
      </c>
      <c r="K785">
        <v>3.3919999999999999</v>
      </c>
      <c r="L785">
        <v>0</v>
      </c>
      <c r="M785">
        <v>85.594213950498229</v>
      </c>
      <c r="N785">
        <v>0</v>
      </c>
      <c r="O785">
        <v>0.085594213950498238</v>
      </c>
      <c r="P785">
        <v>0.0041314799999999999</v>
      </c>
      <c r="Q785">
        <v>0.0099643224555448408</v>
      </c>
      <c r="R785">
        <v>2750000</v>
      </c>
      <c r="S785">
        <v>0</v>
      </c>
      <c r="T785">
        <v>0</v>
      </c>
      <c r="V785">
        <v>5400</v>
      </c>
      <c r="W785">
        <v>10</v>
      </c>
      <c r="X785">
        <v>85</v>
      </c>
      <c r="Y785">
        <v>3</v>
      </c>
      <c r="Z785">
        <v>4</v>
      </c>
      <c r="AA785">
        <v>5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2</v>
      </c>
      <c r="AJ785">
        <v>0</v>
      </c>
      <c r="AK785">
        <v>0</v>
      </c>
      <c r="AL785">
        <v>80</v>
      </c>
      <c r="AM785">
        <v>53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70</v>
      </c>
      <c r="AU785">
        <v>0</v>
      </c>
      <c r="AV785">
        <v>0</v>
      </c>
    </row>
    <row r="786" spans="1:48" ht="12.75">
      <c r="A786" s="2" t="str">
        <f>HYPERLINK("https://ibp.a2mac1.com/costing(costing:projects/details/8191/equipment/6948417)","Equipment (Stamping)")</f>
        <v>Equipment (Stamping)</v>
      </c>
      <c r="B786">
        <v>6948417</v>
      </c>
      <c r="C786">
        <v>6975822</v>
      </c>
      <c r="H786" t="s">
        <v>136</v>
      </c>
      <c r="I786">
        <v>373962.1752</v>
      </c>
      <c r="J786">
        <v>0</v>
      </c>
      <c r="K786">
        <v>3.3919999999999999</v>
      </c>
      <c r="L786">
        <v>0</v>
      </c>
      <c r="M786">
        <v>85.594213950498229</v>
      </c>
      <c r="N786">
        <v>0</v>
      </c>
      <c r="O786">
        <v>0.017118842790099648</v>
      </c>
      <c r="P786">
        <v>0.00082629600000000002</v>
      </c>
      <c r="Q786">
        <v>0.0099643224555448408</v>
      </c>
      <c r="R786">
        <v>2750000</v>
      </c>
      <c r="S786">
        <v>0</v>
      </c>
      <c r="T786">
        <v>0</v>
      </c>
      <c r="V786">
        <v>5400</v>
      </c>
      <c r="W786">
        <v>10</v>
      </c>
      <c r="X786">
        <v>85</v>
      </c>
      <c r="Y786">
        <v>3</v>
      </c>
      <c r="Z786">
        <v>4</v>
      </c>
      <c r="AA786">
        <v>5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2</v>
      </c>
      <c r="AJ786">
        <v>0</v>
      </c>
      <c r="AK786">
        <v>0</v>
      </c>
      <c r="AL786">
        <v>80</v>
      </c>
      <c r="AM786">
        <v>53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70</v>
      </c>
      <c r="AU786">
        <v>0</v>
      </c>
      <c r="AV786">
        <v>0</v>
      </c>
    </row>
    <row r="787" spans="1:48" ht="12.75">
      <c r="A787" s="2" t="str">
        <f>HYPERLINK("https://ibp.a2mac1.com/costing(costing:projects/details/8191/equipment/6948418)","Equipment (Stamping)")</f>
        <v>Equipment (Stamping)</v>
      </c>
      <c r="B787">
        <v>6948418</v>
      </c>
      <c r="C787">
        <v>6975823</v>
      </c>
      <c r="H787" t="s">
        <v>136</v>
      </c>
      <c r="I787">
        <v>373962.1752</v>
      </c>
      <c r="J787">
        <v>0</v>
      </c>
      <c r="K787">
        <v>3.3919999999999999</v>
      </c>
      <c r="L787">
        <v>0</v>
      </c>
      <c r="M787">
        <v>85.594213950498229</v>
      </c>
      <c r="N787">
        <v>0</v>
      </c>
      <c r="O787">
        <v>0.085594213950498238</v>
      </c>
      <c r="P787">
        <v>0.0041314799999999999</v>
      </c>
      <c r="Q787">
        <v>0.0049821612277724204</v>
      </c>
      <c r="R787">
        <v>2750000</v>
      </c>
      <c r="S787">
        <v>0</v>
      </c>
      <c r="T787">
        <v>0</v>
      </c>
      <c r="V787">
        <v>5400</v>
      </c>
      <c r="W787">
        <v>10</v>
      </c>
      <c r="X787">
        <v>85</v>
      </c>
      <c r="Y787">
        <v>3</v>
      </c>
      <c r="Z787">
        <v>4</v>
      </c>
      <c r="AA787">
        <v>5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2</v>
      </c>
      <c r="AJ787">
        <v>0</v>
      </c>
      <c r="AK787">
        <v>0</v>
      </c>
      <c r="AL787">
        <v>80</v>
      </c>
      <c r="AM787">
        <v>53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70</v>
      </c>
      <c r="AU787">
        <v>0</v>
      </c>
      <c r="AV787">
        <v>0</v>
      </c>
    </row>
    <row r="788" spans="1:48" ht="12.75">
      <c r="A788" s="2" t="str">
        <f>HYPERLINK("https://ibp.a2mac1.com/costing(costing:projects/details/8191/equipment/6948278)","Equipment (Stamping)")</f>
        <v>Equipment (Stamping)</v>
      </c>
      <c r="B788">
        <v>6948278</v>
      </c>
      <c r="C788">
        <v>6975676</v>
      </c>
      <c r="H788" t="s">
        <v>136</v>
      </c>
      <c r="I788">
        <v>373962.1752</v>
      </c>
      <c r="J788">
        <v>0</v>
      </c>
      <c r="K788">
        <v>3.3919999999999999</v>
      </c>
      <c r="L788">
        <v>0</v>
      </c>
      <c r="M788">
        <v>85.594213950498229</v>
      </c>
      <c r="N788">
        <v>0</v>
      </c>
      <c r="O788">
        <v>1.1897595739119253</v>
      </c>
      <c r="P788">
        <v>0.057427572000000003</v>
      </c>
      <c r="Q788">
        <v>0.0099643224555448408</v>
      </c>
      <c r="R788">
        <v>2750000</v>
      </c>
      <c r="S788">
        <v>0</v>
      </c>
      <c r="T788">
        <v>0</v>
      </c>
      <c r="V788">
        <v>5400</v>
      </c>
      <c r="W788">
        <v>10</v>
      </c>
      <c r="X788">
        <v>85</v>
      </c>
      <c r="Y788">
        <v>3</v>
      </c>
      <c r="Z788">
        <v>4</v>
      </c>
      <c r="AA788">
        <v>5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2</v>
      </c>
      <c r="AJ788">
        <v>0</v>
      </c>
      <c r="AK788">
        <v>0</v>
      </c>
      <c r="AL788">
        <v>80</v>
      </c>
      <c r="AM788">
        <v>53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70</v>
      </c>
      <c r="AU788">
        <v>0</v>
      </c>
      <c r="AV788">
        <v>0</v>
      </c>
    </row>
    <row r="789" spans="1:48" ht="12.75">
      <c r="A789" s="2" t="str">
        <f>HYPERLINK("https://ibp.a2mac1.com/costing(costing:projects/details/8191/equipment/6947837)","Assembly line")</f>
        <v>Assembly line</v>
      </c>
      <c r="B789">
        <v>6947837</v>
      </c>
      <c r="C789">
        <v>6975281</v>
      </c>
      <c r="H789" t="s">
        <v>136</v>
      </c>
      <c r="I789">
        <v>63074.721599999997</v>
      </c>
      <c r="J789">
        <v>0</v>
      </c>
      <c r="K789">
        <v>5.2000019999999996</v>
      </c>
      <c r="L789">
        <v>0</v>
      </c>
      <c r="M789">
        <v>18.953573456123433</v>
      </c>
      <c r="N789">
        <v>0</v>
      </c>
      <c r="O789">
        <v>0.78973222733847637</v>
      </c>
      <c r="P789">
        <v>0.17214499999999999</v>
      </c>
      <c r="Q789">
        <v>0.0015756906728061717</v>
      </c>
      <c r="R789">
        <v>450000</v>
      </c>
      <c r="S789">
        <v>0</v>
      </c>
      <c r="T789">
        <v>0</v>
      </c>
      <c r="V789">
        <v>1800</v>
      </c>
      <c r="W789">
        <v>10</v>
      </c>
      <c r="X789">
        <v>85</v>
      </c>
      <c r="Y789">
        <v>3</v>
      </c>
      <c r="Z789">
        <v>4</v>
      </c>
      <c r="AA789">
        <v>5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86.666700000000006</v>
      </c>
      <c r="AM789">
        <v>75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60</v>
      </c>
      <c r="AU789">
        <v>0</v>
      </c>
      <c r="AV789">
        <v>0</v>
      </c>
    </row>
    <row r="790" spans="1:48" ht="12.75">
      <c r="A790" s="2" t="str">
        <f>HYPERLINK("https://ibp.a2mac1.com/costing(costing:projects/details/8191/equipment/6948419)","Equipment (Stamping)")</f>
        <v>Equipment (Stamping)</v>
      </c>
      <c r="B790">
        <v>6948419</v>
      </c>
      <c r="C790">
        <v>6975824</v>
      </c>
      <c r="H790" t="s">
        <v>136</v>
      </c>
      <c r="I790">
        <v>373962.1752</v>
      </c>
      <c r="J790">
        <v>0</v>
      </c>
      <c r="K790">
        <v>3.3919999999999999</v>
      </c>
      <c r="L790">
        <v>0</v>
      </c>
      <c r="M790">
        <v>85.594213950498229</v>
      </c>
      <c r="N790">
        <v>0</v>
      </c>
      <c r="O790">
        <v>4.108522269623915</v>
      </c>
      <c r="P790">
        <v>0.19831103999999999</v>
      </c>
      <c r="Q790">
        <v>0.0099643224555448408</v>
      </c>
      <c r="R790">
        <v>2750000</v>
      </c>
      <c r="S790">
        <v>0</v>
      </c>
      <c r="T790">
        <v>0</v>
      </c>
      <c r="V790">
        <v>5400</v>
      </c>
      <c r="W790">
        <v>10</v>
      </c>
      <c r="X790">
        <v>85</v>
      </c>
      <c r="Y790">
        <v>3</v>
      </c>
      <c r="Z790">
        <v>4</v>
      </c>
      <c r="AA790">
        <v>5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2</v>
      </c>
      <c r="AJ790">
        <v>0</v>
      </c>
      <c r="AK790">
        <v>0</v>
      </c>
      <c r="AL790">
        <v>80</v>
      </c>
      <c r="AM790">
        <v>53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70</v>
      </c>
      <c r="AU790">
        <v>0</v>
      </c>
      <c r="AV790">
        <v>0</v>
      </c>
    </row>
    <row r="791" spans="1:48" ht="12.75">
      <c r="A791" s="2" t="str">
        <f>HYPERLINK("https://ibp.a2mac1.com/costing(costing:projects/details/8191/equipment/6948420)","Equipment (Stamping)")</f>
        <v>Equipment (Stamping)</v>
      </c>
      <c r="B791">
        <v>6948420</v>
      </c>
      <c r="C791">
        <v>6975825</v>
      </c>
      <c r="H791" t="s">
        <v>136</v>
      </c>
      <c r="I791">
        <v>373962.1752</v>
      </c>
      <c r="J791">
        <v>0</v>
      </c>
      <c r="K791">
        <v>3.3919999999999999</v>
      </c>
      <c r="L791">
        <v>0</v>
      </c>
      <c r="M791">
        <v>85.594213950498229</v>
      </c>
      <c r="N791">
        <v>0</v>
      </c>
      <c r="O791">
        <v>3.4237685580199293</v>
      </c>
      <c r="P791">
        <v>0.16525919999999999</v>
      </c>
      <c r="Q791">
        <v>0.0099643224555448408</v>
      </c>
      <c r="R791">
        <v>2750000</v>
      </c>
      <c r="S791">
        <v>0</v>
      </c>
      <c r="T791">
        <v>0</v>
      </c>
      <c r="V791">
        <v>5400</v>
      </c>
      <c r="W791">
        <v>10</v>
      </c>
      <c r="X791">
        <v>85</v>
      </c>
      <c r="Y791">
        <v>3</v>
      </c>
      <c r="Z791">
        <v>4</v>
      </c>
      <c r="AA791">
        <v>5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2</v>
      </c>
      <c r="AJ791">
        <v>0</v>
      </c>
      <c r="AK791">
        <v>0</v>
      </c>
      <c r="AL791">
        <v>80</v>
      </c>
      <c r="AM791">
        <v>53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70</v>
      </c>
      <c r="AU791">
        <v>0</v>
      </c>
      <c r="AV791">
        <v>0</v>
      </c>
    </row>
    <row r="792" spans="1:48" ht="12.75">
      <c r="A792" s="2" t="str">
        <f>HYPERLINK("https://ibp.a2mac1.com/costing(costing:projects/details/8191/equipment/6948421)","Equipment (Stamping)")</f>
        <v>Equipment (Stamping)</v>
      </c>
      <c r="B792">
        <v>6948421</v>
      </c>
      <c r="C792">
        <v>6975826</v>
      </c>
      <c r="H792" t="s">
        <v>136</v>
      </c>
      <c r="I792">
        <v>373962.1752</v>
      </c>
      <c r="J792">
        <v>0</v>
      </c>
      <c r="K792">
        <v>3.3919999999999999</v>
      </c>
      <c r="L792">
        <v>0</v>
      </c>
      <c r="M792">
        <v>85.594213950498229</v>
      </c>
      <c r="N792">
        <v>0</v>
      </c>
      <c r="O792">
        <v>3.4237685580199293</v>
      </c>
      <c r="P792">
        <v>0.16525919999999999</v>
      </c>
      <c r="Q792">
        <v>0.0099643224555448408</v>
      </c>
      <c r="R792">
        <v>2750000</v>
      </c>
      <c r="S792">
        <v>0</v>
      </c>
      <c r="T792">
        <v>0</v>
      </c>
      <c r="V792">
        <v>5400</v>
      </c>
      <c r="W792">
        <v>10</v>
      </c>
      <c r="X792">
        <v>85</v>
      </c>
      <c r="Y792">
        <v>3</v>
      </c>
      <c r="Z792">
        <v>4</v>
      </c>
      <c r="AA792">
        <v>5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2</v>
      </c>
      <c r="AJ792">
        <v>0</v>
      </c>
      <c r="AK792">
        <v>0</v>
      </c>
      <c r="AL792">
        <v>80</v>
      </c>
      <c r="AM792">
        <v>53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70</v>
      </c>
      <c r="AU792">
        <v>0</v>
      </c>
      <c r="AV792">
        <v>0</v>
      </c>
    </row>
    <row r="793" spans="1:48" ht="12.75">
      <c r="A793" s="2" t="str">
        <f>HYPERLINK("https://ibp.a2mac1.com/costing(costing:projects/details/8191/equipment/6948422)","Equipment (Stamping)")</f>
        <v>Equipment (Stamping)</v>
      </c>
      <c r="B793">
        <v>6948422</v>
      </c>
      <c r="C793">
        <v>6975827</v>
      </c>
      <c r="H793" t="s">
        <v>136</v>
      </c>
      <c r="I793">
        <v>373962.1752</v>
      </c>
      <c r="J793">
        <v>0</v>
      </c>
      <c r="K793">
        <v>3.3919999999999999</v>
      </c>
      <c r="L793">
        <v>0</v>
      </c>
      <c r="M793">
        <v>85.594213950498229</v>
      </c>
      <c r="N793">
        <v>0</v>
      </c>
      <c r="O793">
        <v>3.4237685580199293</v>
      </c>
      <c r="P793">
        <v>0.16525919999999999</v>
      </c>
      <c r="Q793">
        <v>0.0099643224555448408</v>
      </c>
      <c r="R793">
        <v>2750000</v>
      </c>
      <c r="S793">
        <v>0</v>
      </c>
      <c r="T793">
        <v>0</v>
      </c>
      <c r="V793">
        <v>5400</v>
      </c>
      <c r="W793">
        <v>10</v>
      </c>
      <c r="X793">
        <v>85</v>
      </c>
      <c r="Y793">
        <v>3</v>
      </c>
      <c r="Z793">
        <v>4</v>
      </c>
      <c r="AA793">
        <v>5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2</v>
      </c>
      <c r="AJ793">
        <v>0</v>
      </c>
      <c r="AK793">
        <v>0</v>
      </c>
      <c r="AL793">
        <v>80</v>
      </c>
      <c r="AM793">
        <v>53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70</v>
      </c>
      <c r="AU793">
        <v>0</v>
      </c>
      <c r="AV793">
        <v>0</v>
      </c>
    </row>
    <row r="794" spans="1:48" ht="12.75">
      <c r="A794" s="2" t="str">
        <f>HYPERLINK("https://ibp.a2mac1.com/costing(costing:projects/details/8191/equipment/6948423)","Equipment (Stamping)")</f>
        <v>Equipment (Stamping)</v>
      </c>
      <c r="B794">
        <v>6948423</v>
      </c>
      <c r="C794">
        <v>6975828</v>
      </c>
      <c r="H794" t="s">
        <v>136</v>
      </c>
      <c r="I794">
        <v>373962.1752</v>
      </c>
      <c r="J794">
        <v>0</v>
      </c>
      <c r="K794">
        <v>3.3919999999999999</v>
      </c>
      <c r="L794">
        <v>0</v>
      </c>
      <c r="M794">
        <v>85.594213950498229</v>
      </c>
      <c r="N794">
        <v>0</v>
      </c>
      <c r="O794">
        <v>0.021398553487624559</v>
      </c>
      <c r="P794">
        <v>0.00103287</v>
      </c>
      <c r="Q794">
        <v>0.0099643224555448408</v>
      </c>
      <c r="R794">
        <v>2750000</v>
      </c>
      <c r="S794">
        <v>0</v>
      </c>
      <c r="T794">
        <v>0</v>
      </c>
      <c r="V794">
        <v>5400</v>
      </c>
      <c r="W794">
        <v>10</v>
      </c>
      <c r="X794">
        <v>85</v>
      </c>
      <c r="Y794">
        <v>3</v>
      </c>
      <c r="Z794">
        <v>4</v>
      </c>
      <c r="AA794">
        <v>5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2</v>
      </c>
      <c r="AJ794">
        <v>0</v>
      </c>
      <c r="AK794">
        <v>0</v>
      </c>
      <c r="AL794">
        <v>80</v>
      </c>
      <c r="AM794">
        <v>53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70</v>
      </c>
      <c r="AU794">
        <v>0</v>
      </c>
      <c r="AV794">
        <v>0</v>
      </c>
    </row>
    <row r="795" spans="1:48" ht="12.75">
      <c r="A795" s="2" t="str">
        <f>HYPERLINK("https://ibp.a2mac1.com/costing(costing:projects/details/8191/equipment/6947838)","Assembly line")</f>
        <v>Assembly line</v>
      </c>
      <c r="B795">
        <v>6947838</v>
      </c>
      <c r="C795">
        <v>6975282</v>
      </c>
      <c r="H795" t="s">
        <v>136</v>
      </c>
      <c r="I795">
        <v>63074.721599999997</v>
      </c>
      <c r="J795">
        <v>0</v>
      </c>
      <c r="K795">
        <v>5.2000019999999996</v>
      </c>
      <c r="L795">
        <v>0</v>
      </c>
      <c r="M795">
        <v>18.953573456123433</v>
      </c>
      <c r="N795">
        <v>0</v>
      </c>
      <c r="O795">
        <v>0.78973222733847637</v>
      </c>
      <c r="P795">
        <v>0.17214499999999999</v>
      </c>
      <c r="Q795">
        <v>0.0015756906728061717</v>
      </c>
      <c r="R795">
        <v>450000</v>
      </c>
      <c r="S795">
        <v>0</v>
      </c>
      <c r="T795">
        <v>0</v>
      </c>
      <c r="V795">
        <v>1800</v>
      </c>
      <c r="W795">
        <v>10</v>
      </c>
      <c r="X795">
        <v>85</v>
      </c>
      <c r="Y795">
        <v>3</v>
      </c>
      <c r="Z795">
        <v>4</v>
      </c>
      <c r="AA795">
        <v>5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86.666700000000006</v>
      </c>
      <c r="AM795">
        <v>75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60</v>
      </c>
      <c r="AU795">
        <v>0</v>
      </c>
      <c r="AV795">
        <v>0</v>
      </c>
    </row>
    <row r="796" spans="1:48" ht="12.75">
      <c r="A796" s="2" t="str">
        <f>HYPERLINK("https://ibp.a2mac1.com/costing(costing:projects/details/8191/equipment/6948279)","No.02 - Injection Press - 60T - 25kW - 320x320 - Max Volume 164cm3 ")</f>
        <v xml:space="preserve">No.02 - Injection Press - 60T - 25kW - 320x320 - Max Volume 164cm3 </v>
      </c>
      <c r="B796">
        <v>6948279</v>
      </c>
      <c r="C796">
        <v>6975677</v>
      </c>
      <c r="E796" t="s">
        <v>499</v>
      </c>
      <c r="H796" t="s">
        <v>136</v>
      </c>
      <c r="I796">
        <v>16929.888640000001</v>
      </c>
      <c r="J796">
        <v>0</v>
      </c>
      <c r="K796">
        <v>1.9124000000000001</v>
      </c>
      <c r="L796">
        <v>0</v>
      </c>
      <c r="M796">
        <v>5.4369722661523623</v>
      </c>
      <c r="N796">
        <v>0</v>
      </c>
      <c r="O796">
        <v>0.029367548949709419</v>
      </c>
      <c r="P796">
        <v>0.0055789985305833333</v>
      </c>
      <c r="Q796">
        <v>0.0036668942719382835</v>
      </c>
      <c r="R796">
        <v>100000</v>
      </c>
      <c r="S796">
        <v>0</v>
      </c>
      <c r="T796">
        <v>0</v>
      </c>
      <c r="V796">
        <v>7200</v>
      </c>
      <c r="W796">
        <v>8</v>
      </c>
      <c r="X796">
        <v>85</v>
      </c>
      <c r="Y796">
        <v>3</v>
      </c>
      <c r="Z796">
        <v>4</v>
      </c>
      <c r="AA796">
        <v>5</v>
      </c>
      <c r="AB796">
        <v>0</v>
      </c>
      <c r="AC796">
        <v>0</v>
      </c>
      <c r="AD796">
        <v>0</v>
      </c>
      <c r="AE796">
        <v>0</v>
      </c>
      <c r="AF796">
        <v>0.25</v>
      </c>
      <c r="AG796">
        <v>0</v>
      </c>
      <c r="AH796">
        <v>0</v>
      </c>
      <c r="AI796">
        <v>2</v>
      </c>
      <c r="AJ796">
        <v>0</v>
      </c>
      <c r="AK796">
        <v>0</v>
      </c>
      <c r="AL796">
        <v>97</v>
      </c>
      <c r="AM796">
        <v>24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24</v>
      </c>
      <c r="AU796">
        <v>0.05</v>
      </c>
      <c r="AV796">
        <v>0</v>
      </c>
    </row>
    <row r="797" spans="1:48" ht="12.75">
      <c r="A797" s="2" t="str">
        <f>HYPERLINK("https://ibp.a2mac1.com/costing(costing:projects/details/8191/equipment/6948280)","Packaging")</f>
        <v>Packaging</v>
      </c>
      <c r="B797">
        <v>6948280</v>
      </c>
      <c r="C797">
        <v>6975678</v>
      </c>
      <c r="H797" t="s">
        <v>136</v>
      </c>
      <c r="I797">
        <v>4437.4535986499995</v>
      </c>
      <c r="J797">
        <v>0</v>
      </c>
      <c r="K797">
        <v>0.08</v>
      </c>
      <c r="L797">
        <v>0</v>
      </c>
      <c r="M797">
        <v>1.0342676949774992</v>
      </c>
      <c r="N797">
        <v>0</v>
      </c>
      <c r="O797">
        <v>0.0086188974581458272</v>
      </c>
      <c r="P797">
        <v>0.034429000000000001</v>
      </c>
      <c r="Q797">
        <v>1.5514015424662487E-05</v>
      </c>
      <c r="R797">
        <v>29999.99999</v>
      </c>
      <c r="S797">
        <v>0</v>
      </c>
      <c r="T797">
        <v>0</v>
      </c>
      <c r="V797">
        <v>900</v>
      </c>
      <c r="W797">
        <v>10</v>
      </c>
      <c r="X797">
        <v>85</v>
      </c>
      <c r="Y797">
        <v>3</v>
      </c>
      <c r="Z797">
        <v>4</v>
      </c>
      <c r="AA797">
        <v>5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50</v>
      </c>
      <c r="AM797">
        <v>2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10</v>
      </c>
      <c r="AU797">
        <v>0</v>
      </c>
      <c r="AV797">
        <v>0</v>
      </c>
    </row>
    <row r="798" spans="1:48" ht="12.75">
      <c r="A798" s="2" t="str">
        <f>HYPERLINK("https://ibp.a2mac1.com/costing(costing:projects/details/8191/equipment/6948282)","No.02 - Injection Press - 60T - 25kW - 320x320 - Max Volume 164cm3 ")</f>
        <v xml:space="preserve">No.02 - Injection Press - 60T - 25kW - 320x320 - Max Volume 164cm3 </v>
      </c>
      <c r="B798">
        <v>6948282</v>
      </c>
      <c r="C798">
        <v>6975680</v>
      </c>
      <c r="E798" t="s">
        <v>499</v>
      </c>
      <c r="H798" t="s">
        <v>136</v>
      </c>
      <c r="I798">
        <v>16929.888640000001</v>
      </c>
      <c r="J798">
        <v>0</v>
      </c>
      <c r="K798">
        <v>1.9124000000000001</v>
      </c>
      <c r="L798">
        <v>0</v>
      </c>
      <c r="M798">
        <v>5.4369722661523623</v>
      </c>
      <c r="N798">
        <v>0</v>
      </c>
      <c r="O798">
        <v>0.029367548949709419</v>
      </c>
      <c r="P798">
        <v>0.0055789985305833333</v>
      </c>
      <c r="Q798">
        <v>0.0036668942719382835</v>
      </c>
      <c r="R798">
        <v>100000</v>
      </c>
      <c r="S798">
        <v>0</v>
      </c>
      <c r="T798">
        <v>0</v>
      </c>
      <c r="V798">
        <v>7200</v>
      </c>
      <c r="W798">
        <v>8</v>
      </c>
      <c r="X798">
        <v>85</v>
      </c>
      <c r="Y798">
        <v>3</v>
      </c>
      <c r="Z798">
        <v>4</v>
      </c>
      <c r="AA798">
        <v>5</v>
      </c>
      <c r="AB798">
        <v>0</v>
      </c>
      <c r="AC798">
        <v>0</v>
      </c>
      <c r="AD798">
        <v>0</v>
      </c>
      <c r="AE798">
        <v>0</v>
      </c>
      <c r="AF798">
        <v>0.25</v>
      </c>
      <c r="AG798">
        <v>0</v>
      </c>
      <c r="AH798">
        <v>0</v>
      </c>
      <c r="AI798">
        <v>2</v>
      </c>
      <c r="AJ798">
        <v>0</v>
      </c>
      <c r="AK798">
        <v>0</v>
      </c>
      <c r="AL798">
        <v>97</v>
      </c>
      <c r="AM798">
        <v>24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24</v>
      </c>
      <c r="AU798">
        <v>0.05</v>
      </c>
      <c r="AV798">
        <v>0</v>
      </c>
    </row>
    <row r="799" spans="1:48" ht="12.75">
      <c r="A799" s="2" t="str">
        <f>HYPERLINK("https://ibp.a2mac1.com/costing(costing:projects/details/8191/equipment/6948281)","Packaging")</f>
        <v>Packaging</v>
      </c>
      <c r="B799">
        <v>6948281</v>
      </c>
      <c r="C799">
        <v>6975679</v>
      </c>
      <c r="H799" t="s">
        <v>136</v>
      </c>
      <c r="I799">
        <v>4437.4535986499995</v>
      </c>
      <c r="J799">
        <v>0</v>
      </c>
      <c r="K799">
        <v>0.08</v>
      </c>
      <c r="L799">
        <v>0</v>
      </c>
      <c r="M799">
        <v>1.0342676949774992</v>
      </c>
      <c r="N799">
        <v>0</v>
      </c>
      <c r="O799">
        <v>0.0086188974581458272</v>
      </c>
      <c r="P799">
        <v>0.034429000000000001</v>
      </c>
      <c r="Q799">
        <v>1.5514015424662487E-05</v>
      </c>
      <c r="R799">
        <v>29999.99999</v>
      </c>
      <c r="S799">
        <v>0</v>
      </c>
      <c r="T799">
        <v>0</v>
      </c>
      <c r="V799">
        <v>900</v>
      </c>
      <c r="W799">
        <v>10</v>
      </c>
      <c r="X799">
        <v>85</v>
      </c>
      <c r="Y799">
        <v>3</v>
      </c>
      <c r="Z799">
        <v>4</v>
      </c>
      <c r="AA799">
        <v>5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50</v>
      </c>
      <c r="AM799">
        <v>2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10</v>
      </c>
      <c r="AU799">
        <v>0</v>
      </c>
      <c r="AV799">
        <v>0</v>
      </c>
    </row>
    <row r="800" spans="1:48" ht="12.75">
      <c r="A800" s="2" t="str">
        <f>HYPERLINK("https://ibp.a2mac1.com/costing(costing:projects/details/8191/equipment/6948017)","No.15 - Injection Press - 2000T - 260kW - 1800x1500 - Max Volume 10850cm3 ")</f>
        <v xml:space="preserve">No.15 - Injection Press - 2000T - 260kW - 1800x1500 - Max Volume 10850cm3 </v>
      </c>
      <c r="B800">
        <v>6948017</v>
      </c>
      <c r="C800">
        <v>6975436</v>
      </c>
      <c r="E800" t="s">
        <v>499</v>
      </c>
      <c r="H800" t="s">
        <v>136</v>
      </c>
      <c r="I800">
        <v>200323.23680000001</v>
      </c>
      <c r="J800">
        <v>0</v>
      </c>
      <c r="K800">
        <v>10.28</v>
      </c>
      <c r="L800">
        <v>0</v>
      </c>
      <c r="M800">
        <v>51.79771726133076</v>
      </c>
      <c r="N800">
        <v>0</v>
      </c>
      <c r="O800">
        <v>0.46179319587777778</v>
      </c>
      <c r="P800">
        <v>0.018416731989166667</v>
      </c>
      <c r="Q800">
        <v>0.02684353117839923</v>
      </c>
      <c r="R800">
        <v>1160000</v>
      </c>
      <c r="S800">
        <v>0</v>
      </c>
      <c r="T800">
        <v>0</v>
      </c>
      <c r="V800">
        <v>18000</v>
      </c>
      <c r="W800">
        <v>8</v>
      </c>
      <c r="X800">
        <v>85</v>
      </c>
      <c r="Y800">
        <v>3</v>
      </c>
      <c r="Z800">
        <v>4</v>
      </c>
      <c r="AA800">
        <v>5</v>
      </c>
      <c r="AB800">
        <v>0</v>
      </c>
      <c r="AC800">
        <v>0</v>
      </c>
      <c r="AD800">
        <v>0</v>
      </c>
      <c r="AE800">
        <v>0</v>
      </c>
      <c r="AF800">
        <v>0.50</v>
      </c>
      <c r="AG800">
        <v>0</v>
      </c>
      <c r="AH800">
        <v>0</v>
      </c>
      <c r="AI800">
        <v>3</v>
      </c>
      <c r="AJ800">
        <v>0</v>
      </c>
      <c r="AK800">
        <v>0</v>
      </c>
      <c r="AL800">
        <v>90</v>
      </c>
      <c r="AM800">
        <v>140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380</v>
      </c>
      <c r="AU800">
        <v>0.20</v>
      </c>
      <c r="AV800">
        <v>0</v>
      </c>
    </row>
    <row r="801" spans="1:48" ht="12.75">
      <c r="A801" s="2" t="str">
        <f>HYPERLINK("https://ibp.a2mac1.com/costing(costing:projects/details/8191/equipment/6948018)","Packaging")</f>
        <v>Packaging</v>
      </c>
      <c r="B801">
        <v>6948018</v>
      </c>
      <c r="C801">
        <v>6975437</v>
      </c>
      <c r="H801" t="s">
        <v>136</v>
      </c>
      <c r="I801">
        <v>4437.4535986499995</v>
      </c>
      <c r="J801">
        <v>0</v>
      </c>
      <c r="K801">
        <v>0.08</v>
      </c>
      <c r="L801">
        <v>0</v>
      </c>
      <c r="M801">
        <v>1.0342676949774992</v>
      </c>
      <c r="N801">
        <v>0</v>
      </c>
      <c r="O801">
        <v>0.0086188974581458272</v>
      </c>
      <c r="P801">
        <v>0.034429000000000001</v>
      </c>
      <c r="Q801">
        <v>1.5514015424662487E-05</v>
      </c>
      <c r="R801">
        <v>29999.99999</v>
      </c>
      <c r="S801">
        <v>0</v>
      </c>
      <c r="T801">
        <v>0</v>
      </c>
      <c r="V801">
        <v>900</v>
      </c>
      <c r="W801">
        <v>10</v>
      </c>
      <c r="X801">
        <v>85</v>
      </c>
      <c r="Y801">
        <v>3</v>
      </c>
      <c r="Z801">
        <v>4</v>
      </c>
      <c r="AA801">
        <v>5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50</v>
      </c>
      <c r="AM801">
        <v>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10</v>
      </c>
      <c r="AU801">
        <v>0</v>
      </c>
      <c r="AV801">
        <v>0</v>
      </c>
    </row>
    <row r="802" spans="1:48" ht="12.75">
      <c r="A802" s="2" t="str">
        <f>HYPERLINK("https://ibp.a2mac1.com/costing(costing:projects/details/8191/equipment/6948020)","No.13 - Injection Press - 1000T - 191kW - 1230x1230 - Max Volume 7815cm3 ")</f>
        <v xml:space="preserve">No.13 - Injection Press - 1000T - 191kW - 1230x1230 - Max Volume 7815cm3 </v>
      </c>
      <c r="B802">
        <v>6948020</v>
      </c>
      <c r="C802">
        <v>6975439</v>
      </c>
      <c r="E802" t="s">
        <v>499</v>
      </c>
      <c r="H802" t="s">
        <v>136</v>
      </c>
      <c r="I802">
        <v>102974.1648</v>
      </c>
      <c r="J802">
        <v>0</v>
      </c>
      <c r="K802">
        <v>6.4560000000000004</v>
      </c>
      <c r="L802">
        <v>0</v>
      </c>
      <c r="M802">
        <v>27.827611186113788</v>
      </c>
      <c r="N802">
        <v>0</v>
      </c>
      <c r="O802">
        <v>0.19748297152177435</v>
      </c>
      <c r="P802">
        <v>0.014659845247333334</v>
      </c>
      <c r="Q802">
        <v>0.01572199948466731</v>
      </c>
      <c r="R802">
        <v>600000</v>
      </c>
      <c r="S802">
        <v>0</v>
      </c>
      <c r="T802">
        <v>0</v>
      </c>
      <c r="V802">
        <v>14400</v>
      </c>
      <c r="W802">
        <v>8</v>
      </c>
      <c r="X802">
        <v>85</v>
      </c>
      <c r="Y802">
        <v>3</v>
      </c>
      <c r="Z802">
        <v>4</v>
      </c>
      <c r="AA802">
        <v>5</v>
      </c>
      <c r="AB802">
        <v>0</v>
      </c>
      <c r="AC802">
        <v>0</v>
      </c>
      <c r="AD802">
        <v>0</v>
      </c>
      <c r="AE802">
        <v>0</v>
      </c>
      <c r="AF802">
        <v>0.50</v>
      </c>
      <c r="AG802">
        <v>0</v>
      </c>
      <c r="AH802">
        <v>0</v>
      </c>
      <c r="AI802">
        <v>3</v>
      </c>
      <c r="AJ802">
        <v>0</v>
      </c>
      <c r="AK802">
        <v>0</v>
      </c>
      <c r="AL802">
        <v>92</v>
      </c>
      <c r="AM802">
        <v>85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180</v>
      </c>
      <c r="AU802">
        <v>0.20</v>
      </c>
      <c r="AV802">
        <v>0</v>
      </c>
    </row>
    <row r="803" spans="1:48" ht="12.75">
      <c r="A803" s="2" t="str">
        <f>HYPERLINK("https://ibp.a2mac1.com/costing(costing:projects/details/8191/equipment/6948019)","Packaging")</f>
        <v>Packaging</v>
      </c>
      <c r="B803">
        <v>6948019</v>
      </c>
      <c r="C803">
        <v>6975438</v>
      </c>
      <c r="H803" t="s">
        <v>136</v>
      </c>
      <c r="I803">
        <v>4437.4535986499995</v>
      </c>
      <c r="J803">
        <v>0</v>
      </c>
      <c r="K803">
        <v>0.08</v>
      </c>
      <c r="L803">
        <v>0</v>
      </c>
      <c r="M803">
        <v>1.0342676949774992</v>
      </c>
      <c r="N803">
        <v>0</v>
      </c>
      <c r="O803">
        <v>0.0086188974581458272</v>
      </c>
      <c r="P803">
        <v>0.034429000000000001</v>
      </c>
      <c r="Q803">
        <v>1.5514015424662487E-05</v>
      </c>
      <c r="R803">
        <v>29999.99999</v>
      </c>
      <c r="S803">
        <v>0</v>
      </c>
      <c r="T803">
        <v>0</v>
      </c>
      <c r="V803">
        <v>900</v>
      </c>
      <c r="W803">
        <v>10</v>
      </c>
      <c r="X803">
        <v>85</v>
      </c>
      <c r="Y803">
        <v>3</v>
      </c>
      <c r="Z803">
        <v>4</v>
      </c>
      <c r="AA803">
        <v>5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50</v>
      </c>
      <c r="AM803">
        <v>2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10</v>
      </c>
      <c r="AU803">
        <v>0</v>
      </c>
      <c r="AV803">
        <v>0</v>
      </c>
    </row>
    <row r="804" spans="1:48" ht="12.75">
      <c r="A804" s="2" t="str">
        <f>HYPERLINK("https://ibp.a2mac1.com/costing(costing:projects/details/8191/equipment/6948022)","No.09 - Injection Press - 400T - 72kW - 650x650 - Max Volume 1497cm3 ")</f>
        <v xml:space="preserve">No.09 - Injection Press - 400T - 72kW - 650x650 - Max Volume 1497cm3 </v>
      </c>
      <c r="B804">
        <v>6948022</v>
      </c>
      <c r="C804">
        <v>6975441</v>
      </c>
      <c r="E804" t="s">
        <v>499</v>
      </c>
      <c r="H804" t="s">
        <v>136</v>
      </c>
      <c r="I804">
        <v>48364.573120000001</v>
      </c>
      <c r="J804">
        <v>0</v>
      </c>
      <c r="K804">
        <v>3.3384</v>
      </c>
      <c r="L804">
        <v>0</v>
      </c>
      <c r="M804">
        <v>13.361635795564128</v>
      </c>
      <c r="N804">
        <v>0</v>
      </c>
      <c r="O804">
        <v>0.089641098960105428</v>
      </c>
      <c r="P804">
        <v>0.0069293612922499996</v>
      </c>
      <c r="Q804">
        <v>0.0069267808432015429</v>
      </c>
      <c r="R804">
        <v>280000</v>
      </c>
      <c r="S804">
        <v>0</v>
      </c>
      <c r="T804">
        <v>0</v>
      </c>
      <c r="V804">
        <v>10800</v>
      </c>
      <c r="W804">
        <v>8</v>
      </c>
      <c r="X804">
        <v>85</v>
      </c>
      <c r="Y804">
        <v>3</v>
      </c>
      <c r="Z804">
        <v>4</v>
      </c>
      <c r="AA804">
        <v>5</v>
      </c>
      <c r="AB804">
        <v>0</v>
      </c>
      <c r="AC804">
        <v>0</v>
      </c>
      <c r="AD804">
        <v>0</v>
      </c>
      <c r="AE804">
        <v>0</v>
      </c>
      <c r="AF804">
        <v>0.25</v>
      </c>
      <c r="AG804">
        <v>0</v>
      </c>
      <c r="AH804">
        <v>0</v>
      </c>
      <c r="AI804">
        <v>2</v>
      </c>
      <c r="AJ804">
        <v>0</v>
      </c>
      <c r="AK804">
        <v>0</v>
      </c>
      <c r="AL804">
        <v>92</v>
      </c>
      <c r="AM804">
        <v>44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92</v>
      </c>
      <c r="AU804">
        <v>0.10</v>
      </c>
      <c r="AV804">
        <v>0</v>
      </c>
    </row>
    <row r="805" spans="1:48" ht="12.75">
      <c r="A805" s="2" t="str">
        <f>HYPERLINK("https://ibp.a2mac1.com/costing(costing:projects/details/8191/equipment/6948021)","Packaging")</f>
        <v>Packaging</v>
      </c>
      <c r="B805">
        <v>6948021</v>
      </c>
      <c r="C805">
        <v>6975440</v>
      </c>
      <c r="H805" t="s">
        <v>136</v>
      </c>
      <c r="I805">
        <v>4437.4535986499995</v>
      </c>
      <c r="J805">
        <v>0</v>
      </c>
      <c r="K805">
        <v>0.08</v>
      </c>
      <c r="L805">
        <v>0</v>
      </c>
      <c r="M805">
        <v>1.0342676949774992</v>
      </c>
      <c r="N805">
        <v>0</v>
      </c>
      <c r="O805">
        <v>0.0086188974581458272</v>
      </c>
      <c r="P805">
        <v>0.034429000000000001</v>
      </c>
      <c r="Q805">
        <v>1.5514015424662487E-05</v>
      </c>
      <c r="R805">
        <v>29999.99999</v>
      </c>
      <c r="S805">
        <v>0</v>
      </c>
      <c r="T805">
        <v>0</v>
      </c>
      <c r="V805">
        <v>900</v>
      </c>
      <c r="W805">
        <v>10</v>
      </c>
      <c r="X805">
        <v>85</v>
      </c>
      <c r="Y805">
        <v>3</v>
      </c>
      <c r="Z805">
        <v>4</v>
      </c>
      <c r="AA805">
        <v>5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50</v>
      </c>
      <c r="AM805">
        <v>2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10</v>
      </c>
      <c r="AU805">
        <v>0</v>
      </c>
      <c r="AV805">
        <v>0</v>
      </c>
    </row>
    <row r="806" spans="1:48" ht="12.75">
      <c r="A806" s="2" t="str">
        <f>HYPERLINK("https://ibp.a2mac1.com/costing(costing:projects/details/8191/equipment/6948024)","No.09 - Injection Press - 400T - 72kW - 650x650 - Max Volume 1497cm3 ")</f>
        <v xml:space="preserve">No.09 - Injection Press - 400T - 72kW - 650x650 - Max Volume 1497cm3 </v>
      </c>
      <c r="B806">
        <v>6948024</v>
      </c>
      <c r="C806">
        <v>6975443</v>
      </c>
      <c r="E806" t="s">
        <v>499</v>
      </c>
      <c r="H806" t="s">
        <v>136</v>
      </c>
      <c r="I806">
        <v>48364.573120000001</v>
      </c>
      <c r="J806">
        <v>0</v>
      </c>
      <c r="K806">
        <v>3.3384</v>
      </c>
      <c r="L806">
        <v>0</v>
      </c>
      <c r="M806">
        <v>13.361635795564128</v>
      </c>
      <c r="N806">
        <v>0</v>
      </c>
      <c r="O806">
        <v>0.089641098960105428</v>
      </c>
      <c r="P806">
        <v>0.0069293612922499996</v>
      </c>
      <c r="Q806">
        <v>0.0069267808432015429</v>
      </c>
      <c r="R806">
        <v>280000</v>
      </c>
      <c r="S806">
        <v>0</v>
      </c>
      <c r="T806">
        <v>0</v>
      </c>
      <c r="V806">
        <v>10800</v>
      </c>
      <c r="W806">
        <v>8</v>
      </c>
      <c r="X806">
        <v>85</v>
      </c>
      <c r="Y806">
        <v>3</v>
      </c>
      <c r="Z806">
        <v>4</v>
      </c>
      <c r="AA806">
        <v>5</v>
      </c>
      <c r="AB806">
        <v>0</v>
      </c>
      <c r="AC806">
        <v>0</v>
      </c>
      <c r="AD806">
        <v>0</v>
      </c>
      <c r="AE806">
        <v>0</v>
      </c>
      <c r="AF806">
        <v>0.25</v>
      </c>
      <c r="AG806">
        <v>0</v>
      </c>
      <c r="AH806">
        <v>0</v>
      </c>
      <c r="AI806">
        <v>2</v>
      </c>
      <c r="AJ806">
        <v>0</v>
      </c>
      <c r="AK806">
        <v>0</v>
      </c>
      <c r="AL806">
        <v>92</v>
      </c>
      <c r="AM806">
        <v>44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92</v>
      </c>
      <c r="AU806">
        <v>0.10</v>
      </c>
      <c r="AV806">
        <v>0</v>
      </c>
    </row>
    <row r="807" spans="1:48" ht="12.75">
      <c r="A807" s="2" t="str">
        <f>HYPERLINK("https://ibp.a2mac1.com/costing(costing:projects/details/8191/equipment/6948023)","Packaging")</f>
        <v>Packaging</v>
      </c>
      <c r="B807">
        <v>6948023</v>
      </c>
      <c r="C807">
        <v>6975442</v>
      </c>
      <c r="H807" t="s">
        <v>136</v>
      </c>
      <c r="I807">
        <v>4437.4535986499995</v>
      </c>
      <c r="J807">
        <v>0</v>
      </c>
      <c r="K807">
        <v>0.08</v>
      </c>
      <c r="L807">
        <v>0</v>
      </c>
      <c r="M807">
        <v>1.0342676949774992</v>
      </c>
      <c r="N807">
        <v>0</v>
      </c>
      <c r="O807">
        <v>0.0086188974581458272</v>
      </c>
      <c r="P807">
        <v>0.034429000000000001</v>
      </c>
      <c r="Q807">
        <v>1.5514015424662487E-05</v>
      </c>
      <c r="R807">
        <v>29999.99999</v>
      </c>
      <c r="S807">
        <v>0</v>
      </c>
      <c r="T807">
        <v>0</v>
      </c>
      <c r="V807">
        <v>900</v>
      </c>
      <c r="W807">
        <v>10</v>
      </c>
      <c r="X807">
        <v>85</v>
      </c>
      <c r="Y807">
        <v>3</v>
      </c>
      <c r="Z807">
        <v>4</v>
      </c>
      <c r="AA807">
        <v>5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50</v>
      </c>
      <c r="AM807">
        <v>2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10</v>
      </c>
      <c r="AU807">
        <v>0</v>
      </c>
      <c r="AV807">
        <v>0</v>
      </c>
    </row>
    <row r="808" spans="1:48" ht="12.75">
      <c r="A808" s="2" t="str">
        <f>HYPERLINK("https://ibp.a2mac1.com/costing(costing:projects/details/8191/equipment/6948283)","Equipment (Stamping)")</f>
        <v>Equipment (Stamping)</v>
      </c>
      <c r="B808">
        <v>6948283</v>
      </c>
      <c r="C808">
        <v>6975681</v>
      </c>
      <c r="H808" t="s">
        <v>136</v>
      </c>
      <c r="I808">
        <v>373962.1752</v>
      </c>
      <c r="J808">
        <v>0</v>
      </c>
      <c r="K808">
        <v>3.3919999999999999</v>
      </c>
      <c r="L808">
        <v>0</v>
      </c>
      <c r="M808">
        <v>85.594213950498229</v>
      </c>
      <c r="N808">
        <v>0</v>
      </c>
      <c r="O808">
        <v>0.10033543968641737</v>
      </c>
      <c r="P808">
        <v>0.004843012666666667</v>
      </c>
      <c r="Q808">
        <v>0.0024910806138862102</v>
      </c>
      <c r="R808">
        <v>2750000</v>
      </c>
      <c r="S808">
        <v>0</v>
      </c>
      <c r="T808">
        <v>0</v>
      </c>
      <c r="V808">
        <v>5400</v>
      </c>
      <c r="W808">
        <v>10</v>
      </c>
      <c r="X808">
        <v>85</v>
      </c>
      <c r="Y808">
        <v>3</v>
      </c>
      <c r="Z808">
        <v>4</v>
      </c>
      <c r="AA808">
        <v>5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2</v>
      </c>
      <c r="AJ808">
        <v>0</v>
      </c>
      <c r="AK808">
        <v>0</v>
      </c>
      <c r="AL808">
        <v>80</v>
      </c>
      <c r="AM808">
        <v>53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70</v>
      </c>
      <c r="AU808">
        <v>0</v>
      </c>
      <c r="AV808">
        <v>0</v>
      </c>
    </row>
    <row r="809" spans="1:48" ht="12.75">
      <c r="A809" s="2" t="str">
        <f>HYPERLINK("https://ibp.a2mac1.com/costing(costing:projects/details/8191/equipment/6948284)","Equipment (Stamping)")</f>
        <v>Equipment (Stamping)</v>
      </c>
      <c r="B809">
        <v>6948284</v>
      </c>
      <c r="C809">
        <v>6975682</v>
      </c>
      <c r="H809" t="s">
        <v>136</v>
      </c>
      <c r="I809">
        <v>373962.1752</v>
      </c>
      <c r="J809">
        <v>0</v>
      </c>
      <c r="K809">
        <v>3.3919999999999999</v>
      </c>
      <c r="L809">
        <v>0</v>
      </c>
      <c r="M809">
        <v>85.594213950498229</v>
      </c>
      <c r="N809">
        <v>0</v>
      </c>
      <c r="O809">
        <v>0.0085594213950498238</v>
      </c>
      <c r="P809">
        <v>0.00041314800000000001</v>
      </c>
      <c r="Q809">
        <v>0.0024910806138862102</v>
      </c>
      <c r="R809">
        <v>2750000</v>
      </c>
      <c r="S809">
        <v>0</v>
      </c>
      <c r="T809">
        <v>0</v>
      </c>
      <c r="V809">
        <v>5400</v>
      </c>
      <c r="W809">
        <v>10</v>
      </c>
      <c r="X809">
        <v>85</v>
      </c>
      <c r="Y809">
        <v>3</v>
      </c>
      <c r="Z809">
        <v>4</v>
      </c>
      <c r="AA809">
        <v>5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2</v>
      </c>
      <c r="AJ809">
        <v>0</v>
      </c>
      <c r="AK809">
        <v>0</v>
      </c>
      <c r="AL809">
        <v>80</v>
      </c>
      <c r="AM809">
        <v>53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70</v>
      </c>
      <c r="AU809">
        <v>0</v>
      </c>
      <c r="AV809">
        <v>0</v>
      </c>
    </row>
    <row r="810" spans="1:48" ht="12.75">
      <c r="A810" s="2" t="str">
        <f>HYPERLINK("https://ibp.a2mac1.com/costing(costing:projects/details/8191/equipment/6948025)","Rubber Extrusion machine")</f>
        <v>Rubber Extrusion machine</v>
      </c>
      <c r="B810">
        <v>6948025</v>
      </c>
      <c r="C810">
        <v>6975444</v>
      </c>
      <c r="E810" t="s">
        <v>603</v>
      </c>
      <c r="H810" t="s">
        <v>136</v>
      </c>
      <c r="I810">
        <v>127372.68</v>
      </c>
      <c r="J810">
        <v>0</v>
      </c>
      <c r="K810">
        <v>8.80</v>
      </c>
      <c r="L810">
        <v>0</v>
      </c>
      <c r="M810">
        <v>35.700141433622626</v>
      </c>
      <c r="N810">
        <v>0</v>
      </c>
      <c r="O810">
        <v>0.14875058930676097</v>
      </c>
      <c r="P810">
        <v>0.034429000000000001</v>
      </c>
      <c r="Q810">
        <v>0.0014478114430086788</v>
      </c>
      <c r="R810">
        <v>800000</v>
      </c>
      <c r="S810">
        <v>0</v>
      </c>
      <c r="T810">
        <v>0</v>
      </c>
      <c r="V810">
        <v>1800</v>
      </c>
      <c r="W810">
        <v>10</v>
      </c>
      <c r="X810">
        <v>85</v>
      </c>
      <c r="Y810">
        <v>3</v>
      </c>
      <c r="Z810">
        <v>4</v>
      </c>
      <c r="AA810">
        <v>5</v>
      </c>
      <c r="AB810">
        <v>0</v>
      </c>
      <c r="AC810">
        <v>0</v>
      </c>
      <c r="AD810">
        <v>0</v>
      </c>
      <c r="AE810">
        <v>0</v>
      </c>
      <c r="AF810">
        <v>2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100</v>
      </c>
      <c r="AM810">
        <v>110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500</v>
      </c>
      <c r="AU810">
        <v>0</v>
      </c>
      <c r="AV810">
        <v>0</v>
      </c>
    </row>
    <row r="811" spans="1:48" ht="12.75">
      <c r="A811" s="2" t="str">
        <f>HYPERLINK("https://ibp.a2mac1.com/costing(costing:projects/details/8191/equipment/6948026)","Seal welding/joining station, manual")</f>
        <v>Seal welding/joining station, manual</v>
      </c>
      <c r="B811">
        <v>6948026</v>
      </c>
      <c r="C811">
        <v>6975445</v>
      </c>
      <c r="E811" t="s">
        <v>659</v>
      </c>
      <c r="H811" t="s">
        <v>136</v>
      </c>
      <c r="I811">
        <v>4149.9071999999996</v>
      </c>
      <c r="J811">
        <v>0</v>
      </c>
      <c r="K811">
        <v>0.24</v>
      </c>
      <c r="L811">
        <v>0</v>
      </c>
      <c r="M811">
        <v>1.0275132111861138</v>
      </c>
      <c r="N811">
        <v>0</v>
      </c>
      <c r="O811">
        <v>0.0085626100932176142</v>
      </c>
      <c r="P811">
        <v>0.069664000000000004</v>
      </c>
      <c r="Q811">
        <v>9.3871932111861135E-05</v>
      </c>
      <c r="R811">
        <v>25000</v>
      </c>
      <c r="S811">
        <v>0</v>
      </c>
      <c r="T811">
        <v>0</v>
      </c>
      <c r="V811">
        <v>600</v>
      </c>
      <c r="W811">
        <v>10</v>
      </c>
      <c r="X811">
        <v>85</v>
      </c>
      <c r="Y811">
        <v>3</v>
      </c>
      <c r="Z811">
        <v>3</v>
      </c>
      <c r="AA811">
        <v>3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100</v>
      </c>
      <c r="AM811">
        <v>3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20</v>
      </c>
      <c r="AU811">
        <v>0</v>
      </c>
      <c r="AV811">
        <v>0</v>
      </c>
    </row>
    <row r="812" spans="1:48" ht="12.75">
      <c r="A812" s="2" t="str">
        <f>HYPERLINK("https://ibp.a2mac1.com/costing(costing:projects/details/8191/equipment/6948027)","Rubber Extrusion machine")</f>
        <v>Rubber Extrusion machine</v>
      </c>
      <c r="B812">
        <v>6948027</v>
      </c>
      <c r="C812">
        <v>6975446</v>
      </c>
      <c r="E812" t="s">
        <v>603</v>
      </c>
      <c r="H812" t="s">
        <v>136</v>
      </c>
      <c r="I812">
        <v>127372.68</v>
      </c>
      <c r="J812">
        <v>0</v>
      </c>
      <c r="K812">
        <v>8.80</v>
      </c>
      <c r="L812">
        <v>0</v>
      </c>
      <c r="M812">
        <v>35.700141433622626</v>
      </c>
      <c r="N812">
        <v>0</v>
      </c>
      <c r="O812">
        <v>0.14875058930676097</v>
      </c>
      <c r="P812">
        <v>0.034429000000000001</v>
      </c>
      <c r="Q812">
        <v>0.0014478114430086788</v>
      </c>
      <c r="R812">
        <v>800000</v>
      </c>
      <c r="S812">
        <v>0</v>
      </c>
      <c r="T812">
        <v>0</v>
      </c>
      <c r="V812">
        <v>1800</v>
      </c>
      <c r="W812">
        <v>10</v>
      </c>
      <c r="X812">
        <v>85</v>
      </c>
      <c r="Y812">
        <v>3</v>
      </c>
      <c r="Z812">
        <v>4</v>
      </c>
      <c r="AA812">
        <v>5</v>
      </c>
      <c r="AB812">
        <v>0</v>
      </c>
      <c r="AC812">
        <v>0</v>
      </c>
      <c r="AD812">
        <v>0</v>
      </c>
      <c r="AE812">
        <v>0</v>
      </c>
      <c r="AF812">
        <v>2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100</v>
      </c>
      <c r="AM812">
        <v>110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500</v>
      </c>
      <c r="AU812">
        <v>0</v>
      </c>
      <c r="AV812">
        <v>0</v>
      </c>
    </row>
    <row r="813" spans="1:48" ht="12.75">
      <c r="A813" s="2" t="str">
        <f>HYPERLINK("https://ibp.a2mac1.com/costing(costing:projects/details/8191/equipment/6948028)","Rubber Extrusion machine")</f>
        <v>Rubber Extrusion machine</v>
      </c>
      <c r="B813">
        <v>6948028</v>
      </c>
      <c r="C813">
        <v>6975447</v>
      </c>
      <c r="E813" t="s">
        <v>603</v>
      </c>
      <c r="H813" t="s">
        <v>136</v>
      </c>
      <c r="I813">
        <v>127372.68</v>
      </c>
      <c r="J813">
        <v>0</v>
      </c>
      <c r="K813">
        <v>8.80</v>
      </c>
      <c r="L813">
        <v>0</v>
      </c>
      <c r="M813">
        <v>35.700141433622626</v>
      </c>
      <c r="N813">
        <v>0</v>
      </c>
      <c r="O813">
        <v>0.14875058930676097</v>
      </c>
      <c r="P813">
        <v>0.034429000000000001</v>
      </c>
      <c r="Q813">
        <v>0.0007239057215043394</v>
      </c>
      <c r="R813">
        <v>800000</v>
      </c>
      <c r="S813">
        <v>0</v>
      </c>
      <c r="T813">
        <v>0</v>
      </c>
      <c r="V813">
        <v>1800</v>
      </c>
      <c r="W813">
        <v>10</v>
      </c>
      <c r="X813">
        <v>85</v>
      </c>
      <c r="Y813">
        <v>3</v>
      </c>
      <c r="Z813">
        <v>4</v>
      </c>
      <c r="AA813">
        <v>5</v>
      </c>
      <c r="AB813">
        <v>0</v>
      </c>
      <c r="AC813">
        <v>0</v>
      </c>
      <c r="AD813">
        <v>0</v>
      </c>
      <c r="AE813">
        <v>0</v>
      </c>
      <c r="AF813">
        <v>2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100</v>
      </c>
      <c r="AM813">
        <v>110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500</v>
      </c>
      <c r="AU813">
        <v>0</v>
      </c>
      <c r="AV813">
        <v>0</v>
      </c>
    </row>
    <row r="814" spans="1:48" ht="12.75">
      <c r="A814" s="2" t="str">
        <f>HYPERLINK("https://ibp.a2mac1.com/costing(costing:projects/details/8191/equipment/6948029)","No.01 - Injection Press - 40T - 18kW - 270x270 - Max Volume 128cm3 ")</f>
        <v xml:space="preserve">No.01 - Injection Press - 40T - 18kW - 270x270 - Max Volume 128cm3 </v>
      </c>
      <c r="B814">
        <v>6948029</v>
      </c>
      <c r="C814">
        <v>6975448</v>
      </c>
      <c r="E814" t="s">
        <v>499</v>
      </c>
      <c r="H814" t="s">
        <v>136</v>
      </c>
      <c r="I814">
        <v>13574.9072</v>
      </c>
      <c r="J814">
        <v>0</v>
      </c>
      <c r="K814">
        <v>1.6020000000000001</v>
      </c>
      <c r="L814">
        <v>0</v>
      </c>
      <c r="M814">
        <v>4.4266395371263263</v>
      </c>
      <c r="N814">
        <v>0</v>
      </c>
      <c r="O814">
        <v>0.012926930996955962</v>
      </c>
      <c r="P814">
        <v>0.00301624722475</v>
      </c>
      <c r="Q814">
        <v>0.0035456543444551589</v>
      </c>
      <c r="R814">
        <v>80000</v>
      </c>
      <c r="S814">
        <v>0</v>
      </c>
      <c r="T814">
        <v>0</v>
      </c>
      <c r="V814">
        <v>7200</v>
      </c>
      <c r="W814">
        <v>8</v>
      </c>
      <c r="X814">
        <v>85</v>
      </c>
      <c r="Y814">
        <v>3</v>
      </c>
      <c r="Z814">
        <v>4</v>
      </c>
      <c r="AA814">
        <v>5</v>
      </c>
      <c r="AB814">
        <v>0</v>
      </c>
      <c r="AC814">
        <v>0</v>
      </c>
      <c r="AD814">
        <v>0</v>
      </c>
      <c r="AE814">
        <v>0</v>
      </c>
      <c r="AF814">
        <v>0.25</v>
      </c>
      <c r="AG814">
        <v>0</v>
      </c>
      <c r="AH814">
        <v>0</v>
      </c>
      <c r="AI814">
        <v>2</v>
      </c>
      <c r="AJ814">
        <v>0</v>
      </c>
      <c r="AK814">
        <v>0</v>
      </c>
      <c r="AL814">
        <v>97</v>
      </c>
      <c r="AM814">
        <v>20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20</v>
      </c>
      <c r="AU814">
        <v>0.05</v>
      </c>
      <c r="AV814">
        <v>0</v>
      </c>
    </row>
    <row r="815" spans="1:48" ht="12.75">
      <c r="A815" s="2" t="str">
        <f>HYPERLINK("https://ibp.a2mac1.com/costing(costing:projects/details/8191/equipment/6948030)","Packaging")</f>
        <v>Packaging</v>
      </c>
      <c r="B815">
        <v>6948030</v>
      </c>
      <c r="C815">
        <v>6975449</v>
      </c>
      <c r="H815" t="s">
        <v>136</v>
      </c>
      <c r="I815">
        <v>4437.4535986499995</v>
      </c>
      <c r="J815">
        <v>0</v>
      </c>
      <c r="K815">
        <v>0.08</v>
      </c>
      <c r="L815">
        <v>0</v>
      </c>
      <c r="M815">
        <v>1.0342676949774992</v>
      </c>
      <c r="N815">
        <v>0</v>
      </c>
      <c r="O815">
        <v>0.0086188974581458272</v>
      </c>
      <c r="P815">
        <v>0.034429000000000001</v>
      </c>
      <c r="Q815">
        <v>1.5514015424662487E-05</v>
      </c>
      <c r="R815">
        <v>29999.99999</v>
      </c>
      <c r="S815">
        <v>0</v>
      </c>
      <c r="T815">
        <v>0</v>
      </c>
      <c r="V815">
        <v>900</v>
      </c>
      <c r="W815">
        <v>10</v>
      </c>
      <c r="X815">
        <v>85</v>
      </c>
      <c r="Y815">
        <v>3</v>
      </c>
      <c r="Z815">
        <v>4</v>
      </c>
      <c r="AA815">
        <v>5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50</v>
      </c>
      <c r="AM815">
        <v>2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10</v>
      </c>
      <c r="AU815">
        <v>0</v>
      </c>
      <c r="AV815">
        <v>0</v>
      </c>
    </row>
    <row r="816" spans="1:48" ht="12.75">
      <c r="A816" s="2" t="str">
        <f>HYPERLINK("https://ibp.a2mac1.com/costing(costing:projects/details/8191/equipment/6948285)","Equipment (Injection Molding)")</f>
        <v>Equipment (Injection Molding)</v>
      </c>
      <c r="B816">
        <v>6948285</v>
      </c>
      <c r="C816">
        <v>6975683</v>
      </c>
      <c r="H816" t="s">
        <v>136</v>
      </c>
      <c r="I816">
        <v>6851.7672599999996</v>
      </c>
      <c r="J816">
        <v>0</v>
      </c>
      <c r="K816">
        <v>0.29120000000000001</v>
      </c>
      <c r="L816">
        <v>0</v>
      </c>
      <c r="M816">
        <v>1.6849266570234651</v>
      </c>
      <c r="N816">
        <v>0</v>
      </c>
      <c r="O816">
        <v>0.0093607036501303625</v>
      </c>
      <c r="P816">
        <v>0.0005967693333333333</v>
      </c>
      <c r="Q816">
        <v>0.00015681162894358726</v>
      </c>
      <c r="R816">
        <v>36400</v>
      </c>
      <c r="S816">
        <v>0</v>
      </c>
      <c r="T816">
        <v>0</v>
      </c>
      <c r="V816">
        <v>351</v>
      </c>
      <c r="W816">
        <v>7</v>
      </c>
      <c r="X816">
        <v>85</v>
      </c>
      <c r="Y816">
        <v>3</v>
      </c>
      <c r="Z816">
        <v>4</v>
      </c>
      <c r="AA816">
        <v>5</v>
      </c>
      <c r="AB816">
        <v>0</v>
      </c>
      <c r="AC816">
        <v>0</v>
      </c>
      <c r="AD816">
        <v>0</v>
      </c>
      <c r="AE816">
        <v>0</v>
      </c>
      <c r="AF816">
        <v>0.025999999999999999</v>
      </c>
      <c r="AG816">
        <v>0</v>
      </c>
      <c r="AH816">
        <v>0</v>
      </c>
      <c r="AI816">
        <v>2</v>
      </c>
      <c r="AJ816">
        <v>0</v>
      </c>
      <c r="AK816">
        <v>0</v>
      </c>
      <c r="AL816">
        <v>80</v>
      </c>
      <c r="AM816">
        <v>4.55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9.75</v>
      </c>
      <c r="AU816">
        <v>0</v>
      </c>
      <c r="AV816">
        <v>0</v>
      </c>
    </row>
    <row r="817" spans="1:48" ht="12.75">
      <c r="A817" s="2" t="str">
        <f>HYPERLINK("https://ibp.a2mac1.com/costing(costing:projects/details/8191/equipment/6948286)","Equipment (Injection Molding)")</f>
        <v>Equipment (Injection Molding)</v>
      </c>
      <c r="B817">
        <v>6948286</v>
      </c>
      <c r="C817">
        <v>6975684</v>
      </c>
      <c r="H817" t="s">
        <v>136</v>
      </c>
      <c r="I817">
        <v>606.11787300000003</v>
      </c>
      <c r="J817">
        <v>0</v>
      </c>
      <c r="K817">
        <v>0.025760000000000002</v>
      </c>
      <c r="L817">
        <v>0</v>
      </c>
      <c r="M817">
        <v>0.14905120427515267</v>
      </c>
      <c r="N817">
        <v>0</v>
      </c>
      <c r="O817">
        <v>0.0012420933689596056</v>
      </c>
      <c r="P817">
        <v>7.9186700000000005E-05</v>
      </c>
      <c r="Q817">
        <v>1.3076982398212392E-05</v>
      </c>
      <c r="R817">
        <v>3220</v>
      </c>
      <c r="S817">
        <v>0</v>
      </c>
      <c r="T817">
        <v>0</v>
      </c>
      <c r="V817">
        <v>31.05</v>
      </c>
      <c r="W817">
        <v>7</v>
      </c>
      <c r="X817">
        <v>85</v>
      </c>
      <c r="Y817">
        <v>3</v>
      </c>
      <c r="Z817">
        <v>4</v>
      </c>
      <c r="AA817">
        <v>5</v>
      </c>
      <c r="AB817">
        <v>0</v>
      </c>
      <c r="AC817">
        <v>0</v>
      </c>
      <c r="AD817">
        <v>0</v>
      </c>
      <c r="AE817">
        <v>0</v>
      </c>
      <c r="AF817">
        <v>0.0023</v>
      </c>
      <c r="AG817">
        <v>0</v>
      </c>
      <c r="AH817">
        <v>0</v>
      </c>
      <c r="AI817">
        <v>2</v>
      </c>
      <c r="AJ817">
        <v>0</v>
      </c>
      <c r="AK817">
        <v>0</v>
      </c>
      <c r="AL817">
        <v>80</v>
      </c>
      <c r="AM817">
        <v>0.4025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0.8625</v>
      </c>
      <c r="AU817">
        <v>0</v>
      </c>
      <c r="AV817">
        <v>0</v>
      </c>
    </row>
    <row r="818" spans="1:48" ht="12.75">
      <c r="A818" s="2" t="str">
        <f>HYPERLINK("https://ibp.a2mac1.com/costing(costing:projects/details/8191/equipment/6948287)","Equipment (Injection Molding)")</f>
        <v>Equipment (Injection Molding)</v>
      </c>
      <c r="B818">
        <v>6948287</v>
      </c>
      <c r="C818">
        <v>6975685</v>
      </c>
      <c r="H818" t="s">
        <v>136</v>
      </c>
      <c r="I818">
        <v>5086.1195429999998</v>
      </c>
      <c r="J818">
        <v>0</v>
      </c>
      <c r="K818">
        <v>0.21615999999999999</v>
      </c>
      <c r="L818">
        <v>0</v>
      </c>
      <c r="M818">
        <v>1.2507340184828029</v>
      </c>
      <c r="N818">
        <v>0</v>
      </c>
      <c r="O818">
        <v>0.010422783487356691</v>
      </c>
      <c r="P818">
        <v>0.00066447969999999996</v>
      </c>
      <c r="Q818">
        <v>0.00011451699687526158</v>
      </c>
      <c r="R818">
        <v>27020</v>
      </c>
      <c r="S818">
        <v>0</v>
      </c>
      <c r="T818">
        <v>0</v>
      </c>
      <c r="V818">
        <v>260.55</v>
      </c>
      <c r="W818">
        <v>7</v>
      </c>
      <c r="X818">
        <v>85</v>
      </c>
      <c r="Y818">
        <v>3</v>
      </c>
      <c r="Z818">
        <v>4</v>
      </c>
      <c r="AA818">
        <v>5</v>
      </c>
      <c r="AB818">
        <v>0</v>
      </c>
      <c r="AC818">
        <v>0</v>
      </c>
      <c r="AD818">
        <v>0</v>
      </c>
      <c r="AE818">
        <v>0</v>
      </c>
      <c r="AF818">
        <v>0.019300000000000001</v>
      </c>
      <c r="AG818">
        <v>0</v>
      </c>
      <c r="AH818">
        <v>0</v>
      </c>
      <c r="AI818">
        <v>2</v>
      </c>
      <c r="AJ818">
        <v>0</v>
      </c>
      <c r="AK818">
        <v>0</v>
      </c>
      <c r="AL818">
        <v>80</v>
      </c>
      <c r="AM818">
        <v>3.3775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7.2375</v>
      </c>
      <c r="AU818">
        <v>0</v>
      </c>
      <c r="AV818">
        <v>0</v>
      </c>
    </row>
    <row r="819" spans="1:48" ht="12.75">
      <c r="A819" s="2" t="str">
        <f>HYPERLINK("https://ibp.a2mac1.com/costing(costing:projects/details/8191/equipment/6948289)","No.02 - Injection Press - 60T - 25kW - 320x320 - Max Volume 164cm3 ")</f>
        <v xml:space="preserve">No.02 - Injection Press - 60T - 25kW - 320x320 - Max Volume 164cm3 </v>
      </c>
      <c r="B819">
        <v>6948289</v>
      </c>
      <c r="C819">
        <v>6975687</v>
      </c>
      <c r="E819" t="s">
        <v>499</v>
      </c>
      <c r="H819" t="s">
        <v>136</v>
      </c>
      <c r="I819">
        <v>16929.888640000001</v>
      </c>
      <c r="J819">
        <v>0</v>
      </c>
      <c r="K819">
        <v>1.9124000000000001</v>
      </c>
      <c r="L819">
        <v>0</v>
      </c>
      <c r="M819">
        <v>5.4369722661523623</v>
      </c>
      <c r="N819">
        <v>0</v>
      </c>
      <c r="O819">
        <v>0.027155969864247509</v>
      </c>
      <c r="P819">
        <v>0.0051588614435833331</v>
      </c>
      <c r="Q819">
        <v>0.0036668942719382835</v>
      </c>
      <c r="R819">
        <v>100000</v>
      </c>
      <c r="S819">
        <v>0</v>
      </c>
      <c r="T819">
        <v>0</v>
      </c>
      <c r="V819">
        <v>7200</v>
      </c>
      <c r="W819">
        <v>8</v>
      </c>
      <c r="X819">
        <v>85</v>
      </c>
      <c r="Y819">
        <v>3</v>
      </c>
      <c r="Z819">
        <v>4</v>
      </c>
      <c r="AA819">
        <v>5</v>
      </c>
      <c r="AB819">
        <v>0</v>
      </c>
      <c r="AC819">
        <v>0</v>
      </c>
      <c r="AD819">
        <v>0</v>
      </c>
      <c r="AE819">
        <v>0</v>
      </c>
      <c r="AF819">
        <v>0.25</v>
      </c>
      <c r="AG819">
        <v>0</v>
      </c>
      <c r="AH819">
        <v>0</v>
      </c>
      <c r="AI819">
        <v>2</v>
      </c>
      <c r="AJ819">
        <v>0</v>
      </c>
      <c r="AK819">
        <v>0</v>
      </c>
      <c r="AL819">
        <v>97</v>
      </c>
      <c r="AM819">
        <v>24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24</v>
      </c>
      <c r="AU819">
        <v>0.05</v>
      </c>
      <c r="AV819">
        <v>0</v>
      </c>
    </row>
    <row r="820" spans="1:48" ht="12.75">
      <c r="A820" s="2" t="str">
        <f>HYPERLINK("https://ibp.a2mac1.com/costing(costing:projects/details/8191/equipment/6948288)","Packaging")</f>
        <v>Packaging</v>
      </c>
      <c r="B820">
        <v>6948288</v>
      </c>
      <c r="C820">
        <v>6975686</v>
      </c>
      <c r="H820" t="s">
        <v>136</v>
      </c>
      <c r="I820">
        <v>4437.4535986499995</v>
      </c>
      <c r="J820">
        <v>0</v>
      </c>
      <c r="K820">
        <v>0.08</v>
      </c>
      <c r="L820">
        <v>0</v>
      </c>
      <c r="M820">
        <v>1.0342676949774992</v>
      </c>
      <c r="N820">
        <v>0</v>
      </c>
      <c r="O820">
        <v>0.0086188974581458272</v>
      </c>
      <c r="P820">
        <v>0.034429000000000001</v>
      </c>
      <c r="Q820">
        <v>1.5514015424662487E-05</v>
      </c>
      <c r="R820">
        <v>29999.99999</v>
      </c>
      <c r="S820">
        <v>0</v>
      </c>
      <c r="T820">
        <v>0</v>
      </c>
      <c r="V820">
        <v>900</v>
      </c>
      <c r="W820">
        <v>10</v>
      </c>
      <c r="X820">
        <v>85</v>
      </c>
      <c r="Y820">
        <v>3</v>
      </c>
      <c r="Z820">
        <v>4</v>
      </c>
      <c r="AA820">
        <v>5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50</v>
      </c>
      <c r="AM820">
        <v>2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10</v>
      </c>
      <c r="AU820">
        <v>0</v>
      </c>
      <c r="AV820">
        <v>0</v>
      </c>
    </row>
    <row r="821" spans="1:48" ht="12.75">
      <c r="A821" s="2" t="str">
        <f>HYPERLINK("https://ibp.a2mac1.com/costing(costing:projects/details/8191/equipment/6948031)","Equipment (Stamping)")</f>
        <v>Equipment (Stamping)</v>
      </c>
      <c r="B821">
        <v>6948031</v>
      </c>
      <c r="C821">
        <v>6975450</v>
      </c>
      <c r="H821" t="s">
        <v>136</v>
      </c>
      <c r="I821">
        <v>716.18946679285716</v>
      </c>
      <c r="J821">
        <v>0</v>
      </c>
      <c r="K821">
        <v>0.032000000000000001</v>
      </c>
      <c r="L821">
        <v>0</v>
      </c>
      <c r="M821">
        <v>0.17683919419685906</v>
      </c>
      <c r="N821">
        <v>0</v>
      </c>
      <c r="O821">
        <v>0.00073682997582024616</v>
      </c>
      <c r="P821">
        <v>8.6072500000000006E-05</v>
      </c>
      <c r="Q821">
        <v>0.00037945978791295289</v>
      </c>
      <c r="R821">
        <v>3699.9999899999998</v>
      </c>
      <c r="S821">
        <v>0</v>
      </c>
      <c r="T821">
        <v>0</v>
      </c>
      <c r="V821">
        <v>1800</v>
      </c>
      <c r="W821">
        <v>7</v>
      </c>
      <c r="X821">
        <v>85</v>
      </c>
      <c r="Y821">
        <v>3</v>
      </c>
      <c r="Z821">
        <v>4</v>
      </c>
      <c r="AA821">
        <v>5</v>
      </c>
      <c r="AB821">
        <v>0</v>
      </c>
      <c r="AC821">
        <v>0</v>
      </c>
      <c r="AD821">
        <v>0</v>
      </c>
      <c r="AE821">
        <v>0</v>
      </c>
      <c r="AF821">
        <v>0.005</v>
      </c>
      <c r="AG821">
        <v>0</v>
      </c>
      <c r="AH821">
        <v>0</v>
      </c>
      <c r="AI821">
        <v>2</v>
      </c>
      <c r="AJ821">
        <v>0</v>
      </c>
      <c r="AK821">
        <v>0</v>
      </c>
      <c r="AL821">
        <v>80</v>
      </c>
      <c r="AM821">
        <v>0.50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1.50</v>
      </c>
      <c r="AU821">
        <v>0</v>
      </c>
      <c r="AV821">
        <v>0</v>
      </c>
    </row>
    <row r="822" spans="1:48" ht="12.75">
      <c r="A822" s="2" t="str">
        <f>HYPERLINK("https://ibp.a2mac1.com/costing(costing:projects/details/8191/equipment/6948032)","Equipment (Injection Molding)")</f>
        <v>Equipment (Injection Molding)</v>
      </c>
      <c r="B822">
        <v>6948032</v>
      </c>
      <c r="C822">
        <v>6975451</v>
      </c>
      <c r="H822" t="s">
        <v>136</v>
      </c>
      <c r="I822">
        <v>210.82360800000001</v>
      </c>
      <c r="J822">
        <v>0</v>
      </c>
      <c r="K822">
        <v>0.0089599999999999992</v>
      </c>
      <c r="L822">
        <v>0</v>
      </c>
      <c r="M822">
        <v>0.05184389713918354</v>
      </c>
      <c r="N822">
        <v>0</v>
      </c>
      <c r="O822">
        <v>0.00086406495231972568</v>
      </c>
      <c r="P822">
        <v>5.5086400000000002E-05</v>
      </c>
      <c r="Q822">
        <v>2.2655091507425266E-06</v>
      </c>
      <c r="R822">
        <v>1120</v>
      </c>
      <c r="S822">
        <v>0</v>
      </c>
      <c r="T822">
        <v>0</v>
      </c>
      <c r="V822">
        <v>10.80</v>
      </c>
      <c r="W822">
        <v>7</v>
      </c>
      <c r="X822">
        <v>85</v>
      </c>
      <c r="Y822">
        <v>3</v>
      </c>
      <c r="Z822">
        <v>4</v>
      </c>
      <c r="AA822">
        <v>5</v>
      </c>
      <c r="AB822">
        <v>0</v>
      </c>
      <c r="AC822">
        <v>0</v>
      </c>
      <c r="AD822">
        <v>0</v>
      </c>
      <c r="AE822">
        <v>0</v>
      </c>
      <c r="AF822">
        <v>0.00080000000000000004</v>
      </c>
      <c r="AG822">
        <v>0</v>
      </c>
      <c r="AH822">
        <v>0</v>
      </c>
      <c r="AI822">
        <v>2</v>
      </c>
      <c r="AJ822">
        <v>0</v>
      </c>
      <c r="AK822">
        <v>0</v>
      </c>
      <c r="AL822">
        <v>80</v>
      </c>
      <c r="AM822">
        <v>0.14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0.30</v>
      </c>
      <c r="AU822">
        <v>0</v>
      </c>
      <c r="AV822">
        <v>0</v>
      </c>
    </row>
    <row r="823" spans="1:48" ht="12.75">
      <c r="A823" s="2" t="str">
        <f>HYPERLINK("https://ibp.a2mac1.com/costing(costing:projects/details/8191/equipment/6948033)","Equipment (Injection Molding)")</f>
        <v>Equipment (Injection Molding)</v>
      </c>
      <c r="B823">
        <v>6948033</v>
      </c>
      <c r="C823">
        <v>6975452</v>
      </c>
      <c r="H823" t="s">
        <v>136</v>
      </c>
      <c r="I823">
        <v>461.17664250000001</v>
      </c>
      <c r="J823">
        <v>0</v>
      </c>
      <c r="K823">
        <v>0.019599999999999999</v>
      </c>
      <c r="L823">
        <v>0</v>
      </c>
      <c r="M823">
        <v>0.11340852499196399</v>
      </c>
      <c r="N823">
        <v>0</v>
      </c>
      <c r="O823">
        <v>0.0018901420831993999</v>
      </c>
      <c r="P823">
        <v>0.0001205015</v>
      </c>
      <c r="Q823">
        <v>4.9679218033577925E-06</v>
      </c>
      <c r="R823">
        <v>2450</v>
      </c>
      <c r="S823">
        <v>0</v>
      </c>
      <c r="T823">
        <v>0</v>
      </c>
      <c r="V823">
        <v>23.625</v>
      </c>
      <c r="W823">
        <v>7</v>
      </c>
      <c r="X823">
        <v>85</v>
      </c>
      <c r="Y823">
        <v>3</v>
      </c>
      <c r="Z823">
        <v>4</v>
      </c>
      <c r="AA823">
        <v>5</v>
      </c>
      <c r="AB823">
        <v>0</v>
      </c>
      <c r="AC823">
        <v>0</v>
      </c>
      <c r="AD823">
        <v>0</v>
      </c>
      <c r="AE823">
        <v>0</v>
      </c>
      <c r="AF823">
        <v>0.00175</v>
      </c>
      <c r="AG823">
        <v>0</v>
      </c>
      <c r="AH823">
        <v>0</v>
      </c>
      <c r="AI823">
        <v>2</v>
      </c>
      <c r="AJ823">
        <v>0</v>
      </c>
      <c r="AK823">
        <v>0</v>
      </c>
      <c r="AL823">
        <v>80</v>
      </c>
      <c r="AM823">
        <v>0.30625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0.65625</v>
      </c>
      <c r="AU823">
        <v>0</v>
      </c>
      <c r="AV823">
        <v>0</v>
      </c>
    </row>
    <row r="824" spans="1:48" ht="12.75">
      <c r="A824" s="2" t="str">
        <f>HYPERLINK("https://ibp.a2mac1.com/costing(costing:projects/details/8191/equipment/6948034)","Equipment (Injection Molding)")</f>
        <v>Equipment (Injection Molding)</v>
      </c>
      <c r="B824">
        <v>6948034</v>
      </c>
      <c r="C824">
        <v>6975452</v>
      </c>
      <c r="H824" t="s">
        <v>136</v>
      </c>
      <c r="I824">
        <v>461.17664250000001</v>
      </c>
      <c r="J824">
        <v>0</v>
      </c>
      <c r="K824">
        <v>0.019599999999999999</v>
      </c>
      <c r="L824">
        <v>0</v>
      </c>
      <c r="M824">
        <v>0.11340852499196399</v>
      </c>
      <c r="N824">
        <v>0</v>
      </c>
      <c r="O824">
        <v>0.0018901420831993999</v>
      </c>
      <c r="P824">
        <v>0.0001205015</v>
      </c>
      <c r="Q824">
        <v>4.9679218033577925E-06</v>
      </c>
      <c r="R824">
        <v>2450</v>
      </c>
      <c r="S824">
        <v>0</v>
      </c>
      <c r="T824">
        <v>0</v>
      </c>
      <c r="V824">
        <v>23.625</v>
      </c>
      <c r="W824">
        <v>7</v>
      </c>
      <c r="X824">
        <v>85</v>
      </c>
      <c r="Y824">
        <v>3</v>
      </c>
      <c r="Z824">
        <v>4</v>
      </c>
      <c r="AA824">
        <v>5</v>
      </c>
      <c r="AB824">
        <v>0</v>
      </c>
      <c r="AC824">
        <v>0</v>
      </c>
      <c r="AD824">
        <v>0</v>
      </c>
      <c r="AE824">
        <v>0</v>
      </c>
      <c r="AF824">
        <v>0.00175</v>
      </c>
      <c r="AG824">
        <v>0</v>
      </c>
      <c r="AH824">
        <v>0</v>
      </c>
      <c r="AI824">
        <v>2</v>
      </c>
      <c r="AJ824">
        <v>0</v>
      </c>
      <c r="AK824">
        <v>0</v>
      </c>
      <c r="AL824">
        <v>80</v>
      </c>
      <c r="AM824">
        <v>0.30625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0.65625</v>
      </c>
      <c r="AU824">
        <v>0</v>
      </c>
      <c r="AV824">
        <v>0</v>
      </c>
    </row>
    <row r="825" spans="1:48" ht="12.75">
      <c r="A825" s="2" t="str">
        <f>HYPERLINK("https://ibp.a2mac1.com/costing(costing:projects/details/8191/equipment/6948035)","Equipment (Injection Molding)")</f>
        <v>Equipment (Injection Molding)</v>
      </c>
      <c r="B825">
        <v>6948035</v>
      </c>
      <c r="C825">
        <v>6975453</v>
      </c>
      <c r="H825" t="s">
        <v>136</v>
      </c>
      <c r="I825">
        <v>816.94148099999995</v>
      </c>
      <c r="J825">
        <v>0</v>
      </c>
      <c r="K825">
        <v>0.034720000000000001</v>
      </c>
      <c r="L825">
        <v>0</v>
      </c>
      <c r="M825">
        <v>0.20089510141433622</v>
      </c>
      <c r="N825">
        <v>0</v>
      </c>
      <c r="O825">
        <v>0.0033482516902389372</v>
      </c>
      <c r="P825">
        <v>0.00021345979999999999</v>
      </c>
      <c r="Q825">
        <v>8.8308295666182495E-06</v>
      </c>
      <c r="R825">
        <v>4340</v>
      </c>
      <c r="S825">
        <v>0</v>
      </c>
      <c r="T825">
        <v>0</v>
      </c>
      <c r="V825">
        <v>41.85</v>
      </c>
      <c r="W825">
        <v>7</v>
      </c>
      <c r="X825">
        <v>85</v>
      </c>
      <c r="Y825">
        <v>3</v>
      </c>
      <c r="Z825">
        <v>4</v>
      </c>
      <c r="AA825">
        <v>5</v>
      </c>
      <c r="AB825">
        <v>0</v>
      </c>
      <c r="AC825">
        <v>0</v>
      </c>
      <c r="AD825">
        <v>0</v>
      </c>
      <c r="AE825">
        <v>0</v>
      </c>
      <c r="AF825">
        <v>0.0030999999999999999</v>
      </c>
      <c r="AG825">
        <v>0</v>
      </c>
      <c r="AH825">
        <v>0</v>
      </c>
      <c r="AI825">
        <v>2</v>
      </c>
      <c r="AJ825">
        <v>0</v>
      </c>
      <c r="AK825">
        <v>0</v>
      </c>
      <c r="AL825">
        <v>80</v>
      </c>
      <c r="AM825">
        <v>0.5425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1.1625</v>
      </c>
      <c r="AU825">
        <v>0</v>
      </c>
      <c r="AV825">
        <v>0</v>
      </c>
    </row>
    <row r="826" spans="1:48" ht="12.75">
      <c r="A826" s="2" t="str">
        <f>HYPERLINK("https://ibp.a2mac1.com/costing(costing:projects/details/8191/equipment/6948036)","Equipment (Injection Molding)")</f>
        <v>Equipment (Injection Molding)</v>
      </c>
      <c r="B826">
        <v>6948036</v>
      </c>
      <c r="C826">
        <v>6975454</v>
      </c>
      <c r="H826" t="s">
        <v>136</v>
      </c>
      <c r="I826">
        <v>289.88246099999998</v>
      </c>
      <c r="J826">
        <v>0</v>
      </c>
      <c r="K826">
        <v>0.012319999999999999</v>
      </c>
      <c r="L826">
        <v>0</v>
      </c>
      <c r="M826">
        <v>0.071285358566377369</v>
      </c>
      <c r="N826">
        <v>0</v>
      </c>
      <c r="O826">
        <v>0.0011880893094396228</v>
      </c>
      <c r="P826">
        <v>7.5743799999999998E-05</v>
      </c>
      <c r="Q826">
        <v>3.1174809631225893E-06</v>
      </c>
      <c r="R826">
        <v>1540</v>
      </c>
      <c r="S826">
        <v>0</v>
      </c>
      <c r="T826">
        <v>0</v>
      </c>
      <c r="V826">
        <v>14.85</v>
      </c>
      <c r="W826">
        <v>7</v>
      </c>
      <c r="X826">
        <v>85</v>
      </c>
      <c r="Y826">
        <v>3</v>
      </c>
      <c r="Z826">
        <v>4</v>
      </c>
      <c r="AA826">
        <v>5</v>
      </c>
      <c r="AB826">
        <v>0</v>
      </c>
      <c r="AC826">
        <v>0</v>
      </c>
      <c r="AD826">
        <v>0</v>
      </c>
      <c r="AE826">
        <v>0</v>
      </c>
      <c r="AF826">
        <v>0.0011000000000000001</v>
      </c>
      <c r="AG826">
        <v>0</v>
      </c>
      <c r="AH826">
        <v>0</v>
      </c>
      <c r="AI826">
        <v>2</v>
      </c>
      <c r="AJ826">
        <v>0</v>
      </c>
      <c r="AK826">
        <v>0</v>
      </c>
      <c r="AL826">
        <v>80</v>
      </c>
      <c r="AM826">
        <v>0.1925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0.4125</v>
      </c>
      <c r="AU826">
        <v>0</v>
      </c>
      <c r="AV826">
        <v>0</v>
      </c>
    </row>
    <row r="827" spans="1:48" ht="12.75">
      <c r="A827" s="2" t="str">
        <f>HYPERLINK("https://ibp.a2mac1.com/costing(costing:projects/details/8191/equipment/6948037)","Equipment (Injection Molding)")</f>
        <v>Equipment (Injection Molding)</v>
      </c>
      <c r="B827">
        <v>6948037</v>
      </c>
      <c r="C827">
        <v>6975455</v>
      </c>
      <c r="H827" t="s">
        <v>136</v>
      </c>
      <c r="I827">
        <v>96.627486407142854</v>
      </c>
      <c r="J827">
        <v>0</v>
      </c>
      <c r="K827">
        <v>0.0041068800000000003</v>
      </c>
      <c r="L827">
        <v>0</v>
      </c>
      <c r="M827">
        <v>0.023761999400055103</v>
      </c>
      <c r="N827">
        <v>0</v>
      </c>
      <c r="O827">
        <v>0.00039603332333425174</v>
      </c>
      <c r="P827">
        <v>2.5477459999999998E-05</v>
      </c>
      <c r="Q827">
        <v>1.0371999824752523E-06</v>
      </c>
      <c r="R827">
        <v>513.33333000000005</v>
      </c>
      <c r="S827">
        <v>0</v>
      </c>
      <c r="T827">
        <v>0</v>
      </c>
      <c r="V827">
        <v>4.95</v>
      </c>
      <c r="W827">
        <v>7</v>
      </c>
      <c r="X827">
        <v>85</v>
      </c>
      <c r="Y827">
        <v>3</v>
      </c>
      <c r="Z827">
        <v>4</v>
      </c>
      <c r="AA827">
        <v>5</v>
      </c>
      <c r="AB827">
        <v>0</v>
      </c>
      <c r="AC827">
        <v>0</v>
      </c>
      <c r="AD827">
        <v>0</v>
      </c>
      <c r="AE827">
        <v>0</v>
      </c>
      <c r="AF827">
        <v>0.00036999999999999999</v>
      </c>
      <c r="AG827">
        <v>0</v>
      </c>
      <c r="AH827">
        <v>0</v>
      </c>
      <c r="AI827">
        <v>2</v>
      </c>
      <c r="AJ827">
        <v>0</v>
      </c>
      <c r="AK827">
        <v>0</v>
      </c>
      <c r="AL827">
        <v>80</v>
      </c>
      <c r="AM827">
        <v>0.064170000000000005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0.1375</v>
      </c>
      <c r="AU827">
        <v>0</v>
      </c>
      <c r="AV827">
        <v>0</v>
      </c>
    </row>
    <row r="828" spans="1:48" ht="12.75">
      <c r="A828" s="2" t="str">
        <f>HYPERLINK("https://ibp.a2mac1.com/costing(costing:projects/details/8191/equipment/6948038)","Equipment (Injection Molding)")</f>
        <v>Equipment (Injection Molding)</v>
      </c>
      <c r="B828">
        <v>6948038</v>
      </c>
      <c r="C828">
        <v>6975455</v>
      </c>
      <c r="H828" t="s">
        <v>136</v>
      </c>
      <c r="I828">
        <v>96.627486407142854</v>
      </c>
      <c r="J828">
        <v>0</v>
      </c>
      <c r="K828">
        <v>0.0041068800000000003</v>
      </c>
      <c r="L828">
        <v>0</v>
      </c>
      <c r="M828">
        <v>0.023761999400055103</v>
      </c>
      <c r="N828">
        <v>0</v>
      </c>
      <c r="O828">
        <v>0.00039603332333425174</v>
      </c>
      <c r="P828">
        <v>2.5477459999999998E-05</v>
      </c>
      <c r="Q828">
        <v>1.0371999824752523E-06</v>
      </c>
      <c r="R828">
        <v>513.33333000000005</v>
      </c>
      <c r="S828">
        <v>0</v>
      </c>
      <c r="T828">
        <v>0</v>
      </c>
      <c r="V828">
        <v>4.95</v>
      </c>
      <c r="W828">
        <v>7</v>
      </c>
      <c r="X828">
        <v>85</v>
      </c>
      <c r="Y828">
        <v>3</v>
      </c>
      <c r="Z828">
        <v>4</v>
      </c>
      <c r="AA828">
        <v>5</v>
      </c>
      <c r="AB828">
        <v>0</v>
      </c>
      <c r="AC828">
        <v>0</v>
      </c>
      <c r="AD828">
        <v>0</v>
      </c>
      <c r="AE828">
        <v>0</v>
      </c>
      <c r="AF828">
        <v>0.00036999999999999999</v>
      </c>
      <c r="AG828">
        <v>0</v>
      </c>
      <c r="AH828">
        <v>0</v>
      </c>
      <c r="AI828">
        <v>2</v>
      </c>
      <c r="AJ828">
        <v>0</v>
      </c>
      <c r="AK828">
        <v>0</v>
      </c>
      <c r="AL828">
        <v>80</v>
      </c>
      <c r="AM828">
        <v>0.064170000000000005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0.1375</v>
      </c>
      <c r="AU828">
        <v>0</v>
      </c>
      <c r="AV828">
        <v>0</v>
      </c>
    </row>
    <row r="829" spans="1:48" ht="12.75">
      <c r="A829" s="2" t="str">
        <f>HYPERLINK("https://ibp.a2mac1.com/costing(costing:projects/details/8191/equipment/6948039)","Equipment (Injection Molding)")</f>
        <v>Equipment (Injection Molding)</v>
      </c>
      <c r="B829">
        <v>6948039</v>
      </c>
      <c r="C829">
        <v>6975455</v>
      </c>
      <c r="H829" t="s">
        <v>136</v>
      </c>
      <c r="I829">
        <v>96.627486407142854</v>
      </c>
      <c r="J829">
        <v>0</v>
      </c>
      <c r="K829">
        <v>0.0041068800000000003</v>
      </c>
      <c r="L829">
        <v>0</v>
      </c>
      <c r="M829">
        <v>0.023761999400055103</v>
      </c>
      <c r="N829">
        <v>0</v>
      </c>
      <c r="O829">
        <v>0.00039603332333425174</v>
      </c>
      <c r="P829">
        <v>2.5477459999999998E-05</v>
      </c>
      <c r="Q829">
        <v>1.0371999824752523E-06</v>
      </c>
      <c r="R829">
        <v>513.33333000000005</v>
      </c>
      <c r="S829">
        <v>0</v>
      </c>
      <c r="T829">
        <v>0</v>
      </c>
      <c r="V829">
        <v>4.95</v>
      </c>
      <c r="W829">
        <v>7</v>
      </c>
      <c r="X829">
        <v>85</v>
      </c>
      <c r="Y829">
        <v>3</v>
      </c>
      <c r="Z829">
        <v>4</v>
      </c>
      <c r="AA829">
        <v>5</v>
      </c>
      <c r="AB829">
        <v>0</v>
      </c>
      <c r="AC829">
        <v>0</v>
      </c>
      <c r="AD829">
        <v>0</v>
      </c>
      <c r="AE829">
        <v>0</v>
      </c>
      <c r="AF829">
        <v>0.00036999999999999999</v>
      </c>
      <c r="AG829">
        <v>0</v>
      </c>
      <c r="AH829">
        <v>0</v>
      </c>
      <c r="AI829">
        <v>2</v>
      </c>
      <c r="AJ829">
        <v>0</v>
      </c>
      <c r="AK829">
        <v>0</v>
      </c>
      <c r="AL829">
        <v>80</v>
      </c>
      <c r="AM829">
        <v>0.064170000000000005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0.1375</v>
      </c>
      <c r="AU829">
        <v>0</v>
      </c>
      <c r="AV829">
        <v>0</v>
      </c>
    </row>
    <row r="830" spans="1:48" ht="12.75">
      <c r="A830" s="2" t="str">
        <f>HYPERLINK("https://ibp.a2mac1.com/costing(costing:projects/details/8191/equipment/6948040)","Equipment (Injection Molding)")</f>
        <v>Equipment (Injection Molding)</v>
      </c>
      <c r="B830">
        <v>6948040</v>
      </c>
      <c r="C830">
        <v>6975456</v>
      </c>
      <c r="H830" t="s">
        <v>136</v>
      </c>
      <c r="I830">
        <v>210.82360800000001</v>
      </c>
      <c r="J830">
        <v>0</v>
      </c>
      <c r="K830">
        <v>0.0089599999999999992</v>
      </c>
      <c r="L830">
        <v>0</v>
      </c>
      <c r="M830">
        <v>0.05184389713918354</v>
      </c>
      <c r="N830">
        <v>0</v>
      </c>
      <c r="O830">
        <v>0.00086406495231972568</v>
      </c>
      <c r="P830">
        <v>5.5086400000000002E-05</v>
      </c>
      <c r="Q830">
        <v>2.2655091507425266E-06</v>
      </c>
      <c r="R830">
        <v>1120</v>
      </c>
      <c r="S830">
        <v>0</v>
      </c>
      <c r="T830">
        <v>0</v>
      </c>
      <c r="V830">
        <v>10.80</v>
      </c>
      <c r="W830">
        <v>7</v>
      </c>
      <c r="X830">
        <v>85</v>
      </c>
      <c r="Y830">
        <v>3</v>
      </c>
      <c r="Z830">
        <v>4</v>
      </c>
      <c r="AA830">
        <v>5</v>
      </c>
      <c r="AB830">
        <v>0</v>
      </c>
      <c r="AC830">
        <v>0</v>
      </c>
      <c r="AD830">
        <v>0</v>
      </c>
      <c r="AE830">
        <v>0</v>
      </c>
      <c r="AF830">
        <v>0.00080000000000000004</v>
      </c>
      <c r="AG830">
        <v>0</v>
      </c>
      <c r="AH830">
        <v>0</v>
      </c>
      <c r="AI830">
        <v>2</v>
      </c>
      <c r="AJ830">
        <v>0</v>
      </c>
      <c r="AK830">
        <v>0</v>
      </c>
      <c r="AL830">
        <v>80</v>
      </c>
      <c r="AM830">
        <v>0.14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0.30</v>
      </c>
      <c r="AU830">
        <v>0</v>
      </c>
      <c r="AV830">
        <v>0</v>
      </c>
    </row>
    <row r="831" spans="1:48" ht="12.75">
      <c r="A831" s="2" t="str">
        <f>HYPERLINK("https://ibp.a2mac1.com/costing(costing:projects/details/8191/equipment/6948041)","No.14 - Injection Press - 1500T - 205kW - 1400x1250 - Max Volume 11230cm3 ")</f>
        <v xml:space="preserve">No.14 - Injection Press - 1500T - 205kW - 1400x1250 - Max Volume 11230cm3 </v>
      </c>
      <c r="B831">
        <v>6948041</v>
      </c>
      <c r="C831">
        <v>6975457</v>
      </c>
      <c r="E831" t="s">
        <v>499</v>
      </c>
      <c r="H831" t="s">
        <v>136</v>
      </c>
      <c r="I831">
        <v>152061.24720000001</v>
      </c>
      <c r="J831">
        <v>0</v>
      </c>
      <c r="K831">
        <v>8.84</v>
      </c>
      <c r="L831">
        <v>0</v>
      </c>
      <c r="M831">
        <v>40.39114869816779</v>
      </c>
      <c r="N831">
        <v>0</v>
      </c>
      <c r="O831">
        <v>0.25169609674100935</v>
      </c>
      <c r="P831">
        <v>0.012872589952</v>
      </c>
      <c r="Q831">
        <v>0.023421560609450338</v>
      </c>
      <c r="R831">
        <v>885000</v>
      </c>
      <c r="S831">
        <v>0</v>
      </c>
      <c r="T831">
        <v>0</v>
      </c>
      <c r="V831">
        <v>18000</v>
      </c>
      <c r="W831">
        <v>8</v>
      </c>
      <c r="X831">
        <v>85</v>
      </c>
      <c r="Y831">
        <v>3</v>
      </c>
      <c r="Z831">
        <v>4</v>
      </c>
      <c r="AA831">
        <v>5</v>
      </c>
      <c r="AB831">
        <v>0</v>
      </c>
      <c r="AC831">
        <v>0</v>
      </c>
      <c r="AD831">
        <v>0</v>
      </c>
      <c r="AE831">
        <v>0</v>
      </c>
      <c r="AF831">
        <v>0.50</v>
      </c>
      <c r="AG831">
        <v>0</v>
      </c>
      <c r="AH831">
        <v>0</v>
      </c>
      <c r="AI831">
        <v>3</v>
      </c>
      <c r="AJ831">
        <v>0</v>
      </c>
      <c r="AK831">
        <v>0</v>
      </c>
      <c r="AL831">
        <v>90</v>
      </c>
      <c r="AM831">
        <v>120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270</v>
      </c>
      <c r="AU831">
        <v>0.20</v>
      </c>
      <c r="AV831">
        <v>0</v>
      </c>
    </row>
    <row r="832" spans="1:48" ht="12.75">
      <c r="A832" s="2" t="str">
        <f>HYPERLINK("https://ibp.a2mac1.com/costing(costing:projects/details/8191/equipment/6948042)","Packaging")</f>
        <v>Packaging</v>
      </c>
      <c r="B832">
        <v>6948042</v>
      </c>
      <c r="C832">
        <v>6975458</v>
      </c>
      <c r="H832" t="s">
        <v>136</v>
      </c>
      <c r="I832">
        <v>4437.4535986499995</v>
      </c>
      <c r="J832">
        <v>0</v>
      </c>
      <c r="K832">
        <v>0.08</v>
      </c>
      <c r="L832">
        <v>0</v>
      </c>
      <c r="M832">
        <v>1.0342676949774992</v>
      </c>
      <c r="N832">
        <v>0</v>
      </c>
      <c r="O832">
        <v>0.0086188974581458272</v>
      </c>
      <c r="P832">
        <v>0.034429000000000001</v>
      </c>
      <c r="Q832">
        <v>1.5514015424662487E-05</v>
      </c>
      <c r="R832">
        <v>29999.99999</v>
      </c>
      <c r="S832">
        <v>0</v>
      </c>
      <c r="T832">
        <v>0</v>
      </c>
      <c r="V832">
        <v>900</v>
      </c>
      <c r="W832">
        <v>10</v>
      </c>
      <c r="X832">
        <v>85</v>
      </c>
      <c r="Y832">
        <v>3</v>
      </c>
      <c r="Z832">
        <v>4</v>
      </c>
      <c r="AA832">
        <v>5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50</v>
      </c>
      <c r="AM832">
        <v>2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10</v>
      </c>
      <c r="AU832">
        <v>0</v>
      </c>
      <c r="AV832">
        <v>0</v>
      </c>
    </row>
    <row r="833" spans="1:48" ht="12.75">
      <c r="A833" s="2" t="str">
        <f>HYPERLINK("https://ibp.a2mac1.com/costing(costing:projects/details/8191/equipment/6948043)","No.01 - 25000x3000x3000 - Automatic Painting Line - with 12x10kW on line ovens ")</f>
        <v xml:space="preserve">No.01 - 25000x3000x3000 - Automatic Painting Line - with 12x10kW on line ovens </v>
      </c>
      <c r="B833">
        <v>6948043</v>
      </c>
      <c r="C833">
        <v>6975459</v>
      </c>
      <c r="E833" t="s">
        <v>499</v>
      </c>
      <c r="G833" t="s">
        <v>3633</v>
      </c>
      <c r="H833" t="s">
        <v>136</v>
      </c>
      <c r="I833">
        <v>1502473.118</v>
      </c>
      <c r="J833">
        <v>0</v>
      </c>
      <c r="K833">
        <v>169.38376</v>
      </c>
      <c r="L833">
        <v>0</v>
      </c>
      <c r="M833">
        <v>485.00946202507231</v>
      </c>
      <c r="N833">
        <v>0</v>
      </c>
      <c r="O833">
        <v>2.0208727584378012</v>
      </c>
      <c r="P833">
        <v>0.17214499999999999</v>
      </c>
      <c r="Q833">
        <v>0</v>
      </c>
      <c r="R833">
        <v>9227000</v>
      </c>
      <c r="S833">
        <v>252118.54800000001</v>
      </c>
      <c r="T833">
        <v>0</v>
      </c>
      <c r="V833">
        <v>0</v>
      </c>
      <c r="W833">
        <v>8</v>
      </c>
      <c r="X833">
        <v>85</v>
      </c>
      <c r="Y833">
        <v>3</v>
      </c>
      <c r="Z833">
        <v>4</v>
      </c>
      <c r="AA833">
        <v>5</v>
      </c>
      <c r="AB833">
        <v>0</v>
      </c>
      <c r="AC833">
        <v>0</v>
      </c>
      <c r="AD833">
        <v>0</v>
      </c>
      <c r="AE833">
        <v>0</v>
      </c>
      <c r="AF833">
        <v>10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100</v>
      </c>
      <c r="AM833">
        <v>2100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2</v>
      </c>
      <c r="AT833">
        <v>675</v>
      </c>
      <c r="AU833">
        <v>0</v>
      </c>
      <c r="AV833">
        <v>0</v>
      </c>
    </row>
    <row r="834" spans="1:48" ht="12.75">
      <c r="A834" s="2" t="str">
        <f>HYPERLINK("https://ibp.a2mac1.com/costing(costing:projects/details/8191/equipment/6948044)","Loading + Unloading, Retouching, Checking")</f>
        <v>Loading + Unloading, Retouching, Checking</v>
      </c>
      <c r="B834">
        <v>6948044</v>
      </c>
      <c r="C834">
        <v>6975459</v>
      </c>
      <c r="E834" t="s">
        <v>499</v>
      </c>
      <c r="H834" t="s">
        <v>136</v>
      </c>
      <c r="I834">
        <v>116.23608</v>
      </c>
      <c r="J834">
        <v>0</v>
      </c>
      <c r="K834">
        <v>0</v>
      </c>
      <c r="L834">
        <v>0</v>
      </c>
      <c r="M834">
        <v>0.018681465766634521</v>
      </c>
      <c r="N834">
        <v>0</v>
      </c>
      <c r="O834">
        <v>7.783944069431051E-05</v>
      </c>
      <c r="P834">
        <v>0.103287</v>
      </c>
      <c r="Q834">
        <v>0</v>
      </c>
      <c r="R834">
        <v>0</v>
      </c>
      <c r="S834">
        <v>0</v>
      </c>
      <c r="T834">
        <v>0</v>
      </c>
      <c r="V834">
        <v>0</v>
      </c>
      <c r="W834">
        <v>8</v>
      </c>
      <c r="X834">
        <v>85</v>
      </c>
      <c r="Y834">
        <v>3</v>
      </c>
      <c r="Z834">
        <v>4</v>
      </c>
      <c r="AA834">
        <v>5</v>
      </c>
      <c r="AB834">
        <v>0</v>
      </c>
      <c r="AC834">
        <v>0</v>
      </c>
      <c r="AD834">
        <v>0</v>
      </c>
      <c r="AE834">
        <v>0</v>
      </c>
      <c r="AF834">
        <v>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100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3</v>
      </c>
      <c r="AU834">
        <v>0</v>
      </c>
      <c r="AV834">
        <v>0</v>
      </c>
    </row>
    <row r="835" spans="1:48" ht="12.75">
      <c r="A835" s="2" t="str">
        <f>HYPERLINK("https://ibp.a2mac1.com/costing(costing:projects/details/8191/equipment/6948046)","No.13 - Injection Press - 1000T - 191kW - 1230x1230 - Max Volume 7815cm3 ")</f>
        <v xml:space="preserve">No.13 - Injection Press - 1000T - 191kW - 1230x1230 - Max Volume 7815cm3 </v>
      </c>
      <c r="B835">
        <v>6948046</v>
      </c>
      <c r="C835">
        <v>6975462</v>
      </c>
      <c r="E835" t="s">
        <v>499</v>
      </c>
      <c r="H835" t="s">
        <v>136</v>
      </c>
      <c r="I835">
        <v>102974.1648</v>
      </c>
      <c r="J835">
        <v>0</v>
      </c>
      <c r="K835">
        <v>6.4560000000000004</v>
      </c>
      <c r="L835">
        <v>0</v>
      </c>
      <c r="M835">
        <v>27.827611186113788</v>
      </c>
      <c r="N835">
        <v>0</v>
      </c>
      <c r="O835">
        <v>0.22253586067695275</v>
      </c>
      <c r="P835">
        <v>0.016519608016666666</v>
      </c>
      <c r="Q835">
        <v>0.01572199948466731</v>
      </c>
      <c r="R835">
        <v>600000</v>
      </c>
      <c r="S835">
        <v>0</v>
      </c>
      <c r="T835">
        <v>0</v>
      </c>
      <c r="V835">
        <v>14400</v>
      </c>
      <c r="W835">
        <v>8</v>
      </c>
      <c r="X835">
        <v>85</v>
      </c>
      <c r="Y835">
        <v>3</v>
      </c>
      <c r="Z835">
        <v>4</v>
      </c>
      <c r="AA835">
        <v>5</v>
      </c>
      <c r="AB835">
        <v>0</v>
      </c>
      <c r="AC835">
        <v>0</v>
      </c>
      <c r="AD835">
        <v>0</v>
      </c>
      <c r="AE835">
        <v>0</v>
      </c>
      <c r="AF835">
        <v>0.50</v>
      </c>
      <c r="AG835">
        <v>0</v>
      </c>
      <c r="AH835">
        <v>0</v>
      </c>
      <c r="AI835">
        <v>3</v>
      </c>
      <c r="AJ835">
        <v>0</v>
      </c>
      <c r="AK835">
        <v>0</v>
      </c>
      <c r="AL835">
        <v>92</v>
      </c>
      <c r="AM835">
        <v>85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180</v>
      </c>
      <c r="AU835">
        <v>0.20</v>
      </c>
      <c r="AV835">
        <v>0</v>
      </c>
    </row>
    <row r="836" spans="1:48" ht="12.75">
      <c r="A836" s="2" t="str">
        <f>HYPERLINK("https://ibp.a2mac1.com/costing(costing:projects/details/8191/equipment/6948045)","Packaging")</f>
        <v>Packaging</v>
      </c>
      <c r="B836">
        <v>6948045</v>
      </c>
      <c r="C836">
        <v>6975460</v>
      </c>
      <c r="H836" t="s">
        <v>136</v>
      </c>
      <c r="I836">
        <v>4437.4535986499995</v>
      </c>
      <c r="J836">
        <v>0</v>
      </c>
      <c r="K836">
        <v>0.08</v>
      </c>
      <c r="L836">
        <v>0</v>
      </c>
      <c r="M836">
        <v>1.0342676949774992</v>
      </c>
      <c r="N836">
        <v>0</v>
      </c>
      <c r="O836">
        <v>0.0086188974581458272</v>
      </c>
      <c r="P836">
        <v>0.034429000000000001</v>
      </c>
      <c r="Q836">
        <v>1.5514015424662487E-05</v>
      </c>
      <c r="R836">
        <v>29999.99999</v>
      </c>
      <c r="S836">
        <v>0</v>
      </c>
      <c r="T836">
        <v>0</v>
      </c>
      <c r="V836">
        <v>900</v>
      </c>
      <c r="W836">
        <v>10</v>
      </c>
      <c r="X836">
        <v>85</v>
      </c>
      <c r="Y836">
        <v>3</v>
      </c>
      <c r="Z836">
        <v>4</v>
      </c>
      <c r="AA836">
        <v>5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50</v>
      </c>
      <c r="AM836">
        <v>2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10</v>
      </c>
      <c r="AU836">
        <v>0</v>
      </c>
      <c r="AV836">
        <v>0</v>
      </c>
    </row>
    <row r="837" spans="1:48" ht="12.75">
      <c r="A837" s="2" t="str">
        <f>HYPERLINK("https://ibp.a2mac1.com/costing(costing:projects/details/8191/equipment/6947840)","No.09 - Injection Press - 400T - 72kW - 650x650 - Max Volume 1497cm3 ")</f>
        <v xml:space="preserve">No.09 - Injection Press - 400T - 72kW - 650x650 - Max Volume 1497cm3 </v>
      </c>
      <c r="B837">
        <v>6947840</v>
      </c>
      <c r="C837">
        <v>6975284</v>
      </c>
      <c r="E837" t="s">
        <v>499</v>
      </c>
      <c r="H837" t="s">
        <v>136</v>
      </c>
      <c r="I837">
        <v>48364.573120000001</v>
      </c>
      <c r="J837">
        <v>0</v>
      </c>
      <c r="K837">
        <v>3.3384</v>
      </c>
      <c r="L837">
        <v>0</v>
      </c>
      <c r="M837">
        <v>13.361635795564128</v>
      </c>
      <c r="N837">
        <v>0</v>
      </c>
      <c r="O837">
        <v>0.12878605238423488</v>
      </c>
      <c r="P837">
        <v>0.0099553117568333335</v>
      </c>
      <c r="Q837">
        <v>0.0034633904216007714</v>
      </c>
      <c r="R837">
        <v>280000</v>
      </c>
      <c r="S837">
        <v>0</v>
      </c>
      <c r="T837">
        <v>0</v>
      </c>
      <c r="V837">
        <v>10800</v>
      </c>
      <c r="W837">
        <v>8</v>
      </c>
      <c r="X837">
        <v>85</v>
      </c>
      <c r="Y837">
        <v>3</v>
      </c>
      <c r="Z837">
        <v>4</v>
      </c>
      <c r="AA837">
        <v>5</v>
      </c>
      <c r="AB837">
        <v>0</v>
      </c>
      <c r="AC837">
        <v>0</v>
      </c>
      <c r="AD837">
        <v>0</v>
      </c>
      <c r="AE837">
        <v>0</v>
      </c>
      <c r="AF837">
        <v>0.25</v>
      </c>
      <c r="AG837">
        <v>0</v>
      </c>
      <c r="AH837">
        <v>0</v>
      </c>
      <c r="AI837">
        <v>2</v>
      </c>
      <c r="AJ837">
        <v>0</v>
      </c>
      <c r="AK837">
        <v>0</v>
      </c>
      <c r="AL837">
        <v>92</v>
      </c>
      <c r="AM837">
        <v>44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92</v>
      </c>
      <c r="AU837">
        <v>0.10</v>
      </c>
      <c r="AV837">
        <v>0</v>
      </c>
    </row>
    <row r="838" spans="1:48" ht="12.75">
      <c r="A838" s="2" t="str">
        <f>HYPERLINK("https://ibp.a2mac1.com/costing(costing:projects/details/8191/equipment/6947839)","Packaging")</f>
        <v>Packaging</v>
      </c>
      <c r="B838">
        <v>6947839</v>
      </c>
      <c r="C838">
        <v>6975283</v>
      </c>
      <c r="H838" t="s">
        <v>136</v>
      </c>
      <c r="I838">
        <v>4437.4535986499995</v>
      </c>
      <c r="J838">
        <v>0</v>
      </c>
      <c r="K838">
        <v>0.08</v>
      </c>
      <c r="L838">
        <v>0</v>
      </c>
      <c r="M838">
        <v>1.0342676949774992</v>
      </c>
      <c r="N838">
        <v>0</v>
      </c>
      <c r="O838">
        <v>0.0086188974581458272</v>
      </c>
      <c r="P838">
        <v>0.034429000000000001</v>
      </c>
      <c r="Q838">
        <v>7.7570077123312437E-06</v>
      </c>
      <c r="R838">
        <v>29999.99999</v>
      </c>
      <c r="S838">
        <v>0</v>
      </c>
      <c r="T838">
        <v>0</v>
      </c>
      <c r="V838">
        <v>900</v>
      </c>
      <c r="W838">
        <v>10</v>
      </c>
      <c r="X838">
        <v>85</v>
      </c>
      <c r="Y838">
        <v>3</v>
      </c>
      <c r="Z838">
        <v>4</v>
      </c>
      <c r="AA838">
        <v>5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50</v>
      </c>
      <c r="AM838">
        <v>2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10</v>
      </c>
      <c r="AU838">
        <v>0</v>
      </c>
      <c r="AV838">
        <v>0</v>
      </c>
    </row>
    <row r="839" spans="1:48" ht="12.75">
      <c r="A839" s="2" t="str">
        <f>HYPERLINK("https://ibp.a2mac1.com/costing(costing:projects/details/8191/equipment/6947841)","DC machine - General")</f>
        <v>DC machine - General</v>
      </c>
      <c r="B839">
        <v>6947841</v>
      </c>
      <c r="C839">
        <v>6975285</v>
      </c>
      <c r="E839" t="s">
        <v>659</v>
      </c>
      <c r="H839" t="s">
        <v>136</v>
      </c>
      <c r="I839">
        <v>116914.84457142858</v>
      </c>
      <c r="J839">
        <v>0</v>
      </c>
      <c r="K839">
        <v>3.60</v>
      </c>
      <c r="L839">
        <v>0</v>
      </c>
      <c r="M839">
        <v>27.497982091197134</v>
      </c>
      <c r="N839">
        <v>0</v>
      </c>
      <c r="O839">
        <v>8.5320127766297773</v>
      </c>
      <c r="P839">
        <v>1.2819064333333334</v>
      </c>
      <c r="Q839">
        <v>0.011732166376415484</v>
      </c>
      <c r="R839">
        <v>635568</v>
      </c>
      <c r="S839">
        <v>0</v>
      </c>
      <c r="T839">
        <v>0</v>
      </c>
      <c r="V839">
        <v>10800</v>
      </c>
      <c r="W839">
        <v>7</v>
      </c>
      <c r="X839">
        <v>85</v>
      </c>
      <c r="Y839">
        <v>3</v>
      </c>
      <c r="Z839">
        <v>4</v>
      </c>
      <c r="AA839">
        <v>5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3</v>
      </c>
      <c r="AJ839">
        <v>0</v>
      </c>
      <c r="AK839">
        <v>0</v>
      </c>
      <c r="AL839">
        <v>100</v>
      </c>
      <c r="AM839">
        <v>45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100</v>
      </c>
      <c r="AU839">
        <v>0</v>
      </c>
      <c r="AV839">
        <v>0</v>
      </c>
    </row>
    <row r="840" spans="1:48" ht="12.75">
      <c r="A840" s="2" t="str">
        <f>HYPERLINK("https://ibp.a2mac1.com/costing(costing:projects/details/8191/equipment/6947842)","No.01 - Injection Press - 40T - 18kW - 270x270 - Max Volume 128cm3 ")</f>
        <v xml:space="preserve">No.01 - Injection Press - 40T - 18kW - 270x270 - Max Volume 128cm3 </v>
      </c>
      <c r="B840">
        <v>6947842</v>
      </c>
      <c r="C840">
        <v>6975286</v>
      </c>
      <c r="E840" t="s">
        <v>499</v>
      </c>
      <c r="H840" t="s">
        <v>136</v>
      </c>
      <c r="I840">
        <v>13574.9072</v>
      </c>
      <c r="J840">
        <v>0</v>
      </c>
      <c r="K840">
        <v>1.6020000000000001</v>
      </c>
      <c r="L840">
        <v>0</v>
      </c>
      <c r="M840">
        <v>4.4266395371263263</v>
      </c>
      <c r="N840">
        <v>0</v>
      </c>
      <c r="O840">
        <v>0.028624999825257687</v>
      </c>
      <c r="P840">
        <v>0.0066790854149166665</v>
      </c>
      <c r="Q840">
        <v>0.0035456543444551589</v>
      </c>
      <c r="R840">
        <v>80000</v>
      </c>
      <c r="S840">
        <v>0</v>
      </c>
      <c r="T840">
        <v>0</v>
      </c>
      <c r="V840">
        <v>7200</v>
      </c>
      <c r="W840">
        <v>8</v>
      </c>
      <c r="X840">
        <v>85</v>
      </c>
      <c r="Y840">
        <v>3</v>
      </c>
      <c r="Z840">
        <v>4</v>
      </c>
      <c r="AA840">
        <v>5</v>
      </c>
      <c r="AB840">
        <v>0</v>
      </c>
      <c r="AC840">
        <v>0</v>
      </c>
      <c r="AD840">
        <v>0</v>
      </c>
      <c r="AE840">
        <v>0</v>
      </c>
      <c r="AF840">
        <v>0.25</v>
      </c>
      <c r="AG840">
        <v>0</v>
      </c>
      <c r="AH840">
        <v>0</v>
      </c>
      <c r="AI840">
        <v>2</v>
      </c>
      <c r="AJ840">
        <v>0</v>
      </c>
      <c r="AK840">
        <v>0</v>
      </c>
      <c r="AL840">
        <v>97</v>
      </c>
      <c r="AM840">
        <v>20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20</v>
      </c>
      <c r="AU840">
        <v>0.05</v>
      </c>
      <c r="AV840">
        <v>0</v>
      </c>
    </row>
    <row r="841" spans="1:48" ht="12.75">
      <c r="A841" s="2" t="str">
        <f>HYPERLINK("https://ibp.a2mac1.com/costing(costing:projects/details/8191/equipment/6947843)","Packaging")</f>
        <v>Packaging</v>
      </c>
      <c r="B841">
        <v>6947843</v>
      </c>
      <c r="C841">
        <v>6975287</v>
      </c>
      <c r="H841" t="s">
        <v>136</v>
      </c>
      <c r="I841">
        <v>4437.4535986499995</v>
      </c>
      <c r="J841">
        <v>0</v>
      </c>
      <c r="K841">
        <v>0.08</v>
      </c>
      <c r="L841">
        <v>0</v>
      </c>
      <c r="M841">
        <v>1.0342676949774992</v>
      </c>
      <c r="N841">
        <v>0</v>
      </c>
      <c r="O841">
        <v>0.0086188974581458272</v>
      </c>
      <c r="P841">
        <v>0.034429000000000001</v>
      </c>
      <c r="Q841">
        <v>1.5514015424662487E-05</v>
      </c>
      <c r="R841">
        <v>29999.99999</v>
      </c>
      <c r="S841">
        <v>0</v>
      </c>
      <c r="T841">
        <v>0</v>
      </c>
      <c r="V841">
        <v>900</v>
      </c>
      <c r="W841">
        <v>10</v>
      </c>
      <c r="X841">
        <v>85</v>
      </c>
      <c r="Y841">
        <v>3</v>
      </c>
      <c r="Z841">
        <v>4</v>
      </c>
      <c r="AA841">
        <v>5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50</v>
      </c>
      <c r="AM841">
        <v>2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10</v>
      </c>
      <c r="AU841">
        <v>0</v>
      </c>
      <c r="AV841">
        <v>0</v>
      </c>
    </row>
    <row r="842" spans="1:48" ht="12.75">
      <c r="A842" s="2" t="str">
        <f>HYPERLINK("https://ibp.a2mac1.com/costing(costing:projects/details/8191/equipment/6947844)","Chroming line - Small Parts")</f>
        <v>Chroming line - Small Parts</v>
      </c>
      <c r="B842">
        <v>6947844</v>
      </c>
      <c r="C842">
        <v>6975288</v>
      </c>
      <c r="H842" t="s">
        <v>136</v>
      </c>
      <c r="I842">
        <v>1104334.5916800001</v>
      </c>
      <c r="J842">
        <v>0</v>
      </c>
      <c r="K842">
        <v>70.09872</v>
      </c>
      <c r="L842">
        <v>0</v>
      </c>
      <c r="M842">
        <v>313.1209944583735</v>
      </c>
      <c r="N842">
        <v>0</v>
      </c>
      <c r="O842">
        <v>0.14568824047715989</v>
      </c>
      <c r="P842">
        <v>0</v>
      </c>
      <c r="Q842">
        <v>0</v>
      </c>
      <c r="R842">
        <v>8155000</v>
      </c>
      <c r="S842">
        <v>1845.40</v>
      </c>
      <c r="T842">
        <v>0</v>
      </c>
      <c r="V842">
        <v>0</v>
      </c>
      <c r="W842">
        <v>10</v>
      </c>
      <c r="X842">
        <v>85</v>
      </c>
      <c r="Y842">
        <v>3</v>
      </c>
      <c r="Z842">
        <v>4</v>
      </c>
      <c r="AA842">
        <v>5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100</v>
      </c>
      <c r="AM842">
        <v>10</v>
      </c>
      <c r="AN842">
        <v>0</v>
      </c>
      <c r="AO842">
        <v>0</v>
      </c>
      <c r="AP842">
        <v>0</v>
      </c>
      <c r="AQ842">
        <v>4</v>
      </c>
      <c r="AR842">
        <v>0</v>
      </c>
      <c r="AS842">
        <v>100</v>
      </c>
      <c r="AT842">
        <v>88</v>
      </c>
      <c r="AU842">
        <v>0</v>
      </c>
      <c r="AV842">
        <v>0</v>
      </c>
    </row>
    <row r="843" spans="1:48" ht="12.75">
      <c r="A843" s="2" t="str">
        <f>HYPERLINK("https://ibp.a2mac1.com/costing(costing:projects/details/8191/equipment/6947845)","Chroming line - Load &amp; Unload parts to/from jig")</f>
        <v>Chroming line - Load &amp; Unload parts to/from jig</v>
      </c>
      <c r="B843">
        <v>6947845</v>
      </c>
      <c r="C843">
        <v>6975289</v>
      </c>
      <c r="H843" t="s">
        <v>136</v>
      </c>
      <c r="I843">
        <v>1505.0399571</v>
      </c>
      <c r="J843">
        <v>0</v>
      </c>
      <c r="K843">
        <v>0</v>
      </c>
      <c r="L843">
        <v>0</v>
      </c>
      <c r="M843">
        <v>0.32225355675024109</v>
      </c>
      <c r="N843">
        <v>0</v>
      </c>
      <c r="O843">
        <v>8.9514876875066966E-05</v>
      </c>
      <c r="P843">
        <v>0.0057381666666666666</v>
      </c>
      <c r="Q843">
        <v>0</v>
      </c>
      <c r="R843">
        <v>10000.43346</v>
      </c>
      <c r="S843">
        <v>1845.48</v>
      </c>
      <c r="T843">
        <v>0</v>
      </c>
      <c r="V843">
        <v>0</v>
      </c>
      <c r="W843">
        <v>10</v>
      </c>
      <c r="X843">
        <v>85</v>
      </c>
      <c r="Y843">
        <v>3</v>
      </c>
      <c r="Z843">
        <v>4</v>
      </c>
      <c r="AA843">
        <v>5</v>
      </c>
      <c r="AB843">
        <v>0</v>
      </c>
      <c r="AC843">
        <v>0</v>
      </c>
      <c r="AD843">
        <v>0</v>
      </c>
      <c r="AE843">
        <v>0</v>
      </c>
      <c r="AF843">
        <v>5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100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4</v>
      </c>
      <c r="AU843">
        <v>0</v>
      </c>
      <c r="AV843">
        <v>0</v>
      </c>
    </row>
    <row r="844" spans="1:48" ht="12.75">
      <c r="A844" s="2" t="str">
        <f>HYPERLINK("https://ibp.a2mac1.com/costing(costing:projects/details/8191/equipment/6947847)","No.06 - Injection Press - 200T - 45kW - 510x510 - Max Volume 624cm3 ")</f>
        <v xml:space="preserve">No.06 - Injection Press - 200T - 45kW - 510x510 - Max Volume 624cm3 </v>
      </c>
      <c r="B844">
        <v>6947847</v>
      </c>
      <c r="C844">
        <v>6975291</v>
      </c>
      <c r="E844" t="s">
        <v>499</v>
      </c>
      <c r="H844" t="s">
        <v>136</v>
      </c>
      <c r="I844">
        <v>34247.230880000003</v>
      </c>
      <c r="J844">
        <v>0</v>
      </c>
      <c r="K844">
        <v>2.6539999999999999</v>
      </c>
      <c r="L844">
        <v>0</v>
      </c>
      <c r="M844">
        <v>9.7654160848601741</v>
      </c>
      <c r="N844">
        <v>0</v>
      </c>
      <c r="O844">
        <v>0.056354724287159541</v>
      </c>
      <c r="P844">
        <v>0.0059605349704166663</v>
      </c>
      <c r="Q844">
        <v>0.0041863075301832205</v>
      </c>
      <c r="R844">
        <v>200000</v>
      </c>
      <c r="S844">
        <v>0</v>
      </c>
      <c r="T844">
        <v>0</v>
      </c>
      <c r="V844">
        <v>7200</v>
      </c>
      <c r="W844">
        <v>8</v>
      </c>
      <c r="X844">
        <v>85</v>
      </c>
      <c r="Y844">
        <v>3</v>
      </c>
      <c r="Z844">
        <v>4</v>
      </c>
      <c r="AA844">
        <v>5</v>
      </c>
      <c r="AB844">
        <v>0</v>
      </c>
      <c r="AC844">
        <v>0</v>
      </c>
      <c r="AD844">
        <v>0</v>
      </c>
      <c r="AE844">
        <v>0</v>
      </c>
      <c r="AF844">
        <v>0.25</v>
      </c>
      <c r="AG844">
        <v>0</v>
      </c>
      <c r="AH844">
        <v>0</v>
      </c>
      <c r="AI844">
        <v>2</v>
      </c>
      <c r="AJ844">
        <v>0</v>
      </c>
      <c r="AK844">
        <v>0</v>
      </c>
      <c r="AL844">
        <v>93</v>
      </c>
      <c r="AM844">
        <v>35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58</v>
      </c>
      <c r="AU844">
        <v>0.05</v>
      </c>
      <c r="AV844">
        <v>0</v>
      </c>
    </row>
    <row r="845" spans="1:48" ht="12.75">
      <c r="A845" s="2" t="str">
        <f>HYPERLINK("https://ibp.a2mac1.com/costing(costing:projects/details/8191/equipment/6947846)","Packaging")</f>
        <v>Packaging</v>
      </c>
      <c r="B845">
        <v>6947846</v>
      </c>
      <c r="C845">
        <v>6975290</v>
      </c>
      <c r="H845" t="s">
        <v>136</v>
      </c>
      <c r="I845">
        <v>4437.4535986499995</v>
      </c>
      <c r="J845">
        <v>0</v>
      </c>
      <c r="K845">
        <v>0.08</v>
      </c>
      <c r="L845">
        <v>0</v>
      </c>
      <c r="M845">
        <v>1.0342676949774992</v>
      </c>
      <c r="N845">
        <v>0</v>
      </c>
      <c r="O845">
        <v>0.0086188974581458272</v>
      </c>
      <c r="P845">
        <v>0.034429000000000001</v>
      </c>
      <c r="Q845">
        <v>1.5514015424662487E-05</v>
      </c>
      <c r="R845">
        <v>29999.99999</v>
      </c>
      <c r="S845">
        <v>0</v>
      </c>
      <c r="T845">
        <v>0</v>
      </c>
      <c r="V845">
        <v>900</v>
      </c>
      <c r="W845">
        <v>10</v>
      </c>
      <c r="X845">
        <v>85</v>
      </c>
      <c r="Y845">
        <v>3</v>
      </c>
      <c r="Z845">
        <v>4</v>
      </c>
      <c r="AA845">
        <v>5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50</v>
      </c>
      <c r="AM845">
        <v>2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10</v>
      </c>
      <c r="AU845">
        <v>0</v>
      </c>
      <c r="AV845">
        <v>0</v>
      </c>
    </row>
    <row r="846" spans="1:48" ht="12.75">
      <c r="A846" s="2" t="str">
        <f>HYPERLINK("https://ibp.a2mac1.com/costing(costing:projects/details/8191/equipment/6947848)","No.05 - Injection Press - 125T - 34kW - 500x500 - Max Volume 260cm3 ")</f>
        <v xml:space="preserve">No.05 - Injection Press - 125T - 34kW - 500x500 - Max Volume 260cm3 </v>
      </c>
      <c r="B846">
        <v>6947848</v>
      </c>
      <c r="C846">
        <v>6975292</v>
      </c>
      <c r="E846" t="s">
        <v>499</v>
      </c>
      <c r="H846" t="s">
        <v>136</v>
      </c>
      <c r="I846">
        <v>25501.382699999998</v>
      </c>
      <c r="J846">
        <v>0</v>
      </c>
      <c r="K846">
        <v>2.375</v>
      </c>
      <c r="L846">
        <v>0</v>
      </c>
      <c r="M846">
        <v>7.6789830761812921</v>
      </c>
      <c r="N846">
        <v>0</v>
      </c>
      <c r="O846">
        <v>0.047547196682287317</v>
      </c>
      <c r="P846">
        <v>0.006395387585833333</v>
      </c>
      <c r="Q846">
        <v>0.0039359355691417552</v>
      </c>
      <c r="R846">
        <v>150000</v>
      </c>
      <c r="S846">
        <v>0</v>
      </c>
      <c r="T846">
        <v>0</v>
      </c>
      <c r="V846">
        <v>7200</v>
      </c>
      <c r="W846">
        <v>8</v>
      </c>
      <c r="X846">
        <v>85</v>
      </c>
      <c r="Y846">
        <v>3</v>
      </c>
      <c r="Z846">
        <v>4</v>
      </c>
      <c r="AA846">
        <v>5</v>
      </c>
      <c r="AB846">
        <v>0</v>
      </c>
      <c r="AC846">
        <v>0</v>
      </c>
      <c r="AD846">
        <v>0</v>
      </c>
      <c r="AE846">
        <v>0</v>
      </c>
      <c r="AF846">
        <v>0.25</v>
      </c>
      <c r="AG846">
        <v>0</v>
      </c>
      <c r="AH846">
        <v>0</v>
      </c>
      <c r="AI846">
        <v>2</v>
      </c>
      <c r="AJ846">
        <v>0</v>
      </c>
      <c r="AK846">
        <v>0</v>
      </c>
      <c r="AL846">
        <v>93</v>
      </c>
      <c r="AM846">
        <v>31.25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38.75</v>
      </c>
      <c r="AU846">
        <v>0.05</v>
      </c>
      <c r="AV846">
        <v>0</v>
      </c>
    </row>
    <row r="847" spans="1:48" ht="12.75">
      <c r="A847" s="2" t="str">
        <f>HYPERLINK("https://ibp.a2mac1.com/costing(costing:projects/details/8191/equipment/6947849)","Packaging")</f>
        <v>Packaging</v>
      </c>
      <c r="B847">
        <v>6947849</v>
      </c>
      <c r="C847">
        <v>6975293</v>
      </c>
      <c r="H847" t="s">
        <v>136</v>
      </c>
      <c r="I847">
        <v>4437.4535986499995</v>
      </c>
      <c r="J847">
        <v>0</v>
      </c>
      <c r="K847">
        <v>0.08</v>
      </c>
      <c r="L847">
        <v>0</v>
      </c>
      <c r="M847">
        <v>1.0342676949774992</v>
      </c>
      <c r="N847">
        <v>0</v>
      </c>
      <c r="O847">
        <v>0.0086188974581458272</v>
      </c>
      <c r="P847">
        <v>0.034429000000000001</v>
      </c>
      <c r="Q847">
        <v>1.5514015424662487E-05</v>
      </c>
      <c r="R847">
        <v>29999.99999</v>
      </c>
      <c r="S847">
        <v>0</v>
      </c>
      <c r="T847">
        <v>0</v>
      </c>
      <c r="V847">
        <v>900</v>
      </c>
      <c r="W847">
        <v>10</v>
      </c>
      <c r="X847">
        <v>85</v>
      </c>
      <c r="Y847">
        <v>3</v>
      </c>
      <c r="Z847">
        <v>4</v>
      </c>
      <c r="AA847">
        <v>5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50</v>
      </c>
      <c r="AM847">
        <v>2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10</v>
      </c>
      <c r="AU847">
        <v>0</v>
      </c>
      <c r="AV847">
        <v>0</v>
      </c>
    </row>
    <row r="848" spans="1:48" ht="12.75">
      <c r="A848" s="2" t="str">
        <f>HYPERLINK("https://ibp.a2mac1.com/costing(costing:projects/details/8191/equipment/6947851)","No.06 - Injection Press - 200T - 45kW - 510x510 - Max Volume 624cm3 ")</f>
        <v xml:space="preserve">No.06 - Injection Press - 200T - 45kW - 510x510 - Max Volume 624cm3 </v>
      </c>
      <c r="B848">
        <v>6947851</v>
      </c>
      <c r="C848">
        <v>6975295</v>
      </c>
      <c r="E848" t="s">
        <v>499</v>
      </c>
      <c r="H848" t="s">
        <v>136</v>
      </c>
      <c r="I848">
        <v>34247.230880000003</v>
      </c>
      <c r="J848">
        <v>0</v>
      </c>
      <c r="K848">
        <v>2.6539999999999999</v>
      </c>
      <c r="L848">
        <v>0</v>
      </c>
      <c r="M848">
        <v>9.7654160848601741</v>
      </c>
      <c r="N848">
        <v>0</v>
      </c>
      <c r="O848">
        <v>0.057426994099432978</v>
      </c>
      <c r="P848">
        <v>0.0060739469654999996</v>
      </c>
      <c r="Q848">
        <v>0.0041863075301832205</v>
      </c>
      <c r="R848">
        <v>200000</v>
      </c>
      <c r="S848">
        <v>0</v>
      </c>
      <c r="T848">
        <v>0</v>
      </c>
      <c r="V848">
        <v>7200</v>
      </c>
      <c r="W848">
        <v>8</v>
      </c>
      <c r="X848">
        <v>85</v>
      </c>
      <c r="Y848">
        <v>3</v>
      </c>
      <c r="Z848">
        <v>4</v>
      </c>
      <c r="AA848">
        <v>5</v>
      </c>
      <c r="AB848">
        <v>0</v>
      </c>
      <c r="AC848">
        <v>0</v>
      </c>
      <c r="AD848">
        <v>0</v>
      </c>
      <c r="AE848">
        <v>0</v>
      </c>
      <c r="AF848">
        <v>0.25</v>
      </c>
      <c r="AG848">
        <v>0</v>
      </c>
      <c r="AH848">
        <v>0</v>
      </c>
      <c r="AI848">
        <v>2</v>
      </c>
      <c r="AJ848">
        <v>0</v>
      </c>
      <c r="AK848">
        <v>0</v>
      </c>
      <c r="AL848">
        <v>93</v>
      </c>
      <c r="AM848">
        <v>35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58</v>
      </c>
      <c r="AU848">
        <v>0.05</v>
      </c>
      <c r="AV848">
        <v>0</v>
      </c>
    </row>
    <row r="849" spans="1:48" ht="12.75">
      <c r="A849" s="2" t="str">
        <f>HYPERLINK("https://ibp.a2mac1.com/costing(costing:projects/details/8191/equipment/6947850)","Packaging")</f>
        <v>Packaging</v>
      </c>
      <c r="B849">
        <v>6947850</v>
      </c>
      <c r="C849">
        <v>6975294</v>
      </c>
      <c r="H849" t="s">
        <v>136</v>
      </c>
      <c r="I849">
        <v>4437.4535986499995</v>
      </c>
      <c r="J849">
        <v>0</v>
      </c>
      <c r="K849">
        <v>0.08</v>
      </c>
      <c r="L849">
        <v>0</v>
      </c>
      <c r="M849">
        <v>1.0342676949774992</v>
      </c>
      <c r="N849">
        <v>0</v>
      </c>
      <c r="O849">
        <v>0.0086188974581458272</v>
      </c>
      <c r="P849">
        <v>0.034429000000000001</v>
      </c>
      <c r="Q849">
        <v>1.5514015424662487E-05</v>
      </c>
      <c r="R849">
        <v>29999.99999</v>
      </c>
      <c r="S849">
        <v>0</v>
      </c>
      <c r="T849">
        <v>0</v>
      </c>
      <c r="V849">
        <v>900</v>
      </c>
      <c r="W849">
        <v>10</v>
      </c>
      <c r="X849">
        <v>85</v>
      </c>
      <c r="Y849">
        <v>3</v>
      </c>
      <c r="Z849">
        <v>4</v>
      </c>
      <c r="AA849">
        <v>5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50</v>
      </c>
      <c r="AM849">
        <v>2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10</v>
      </c>
      <c r="AU849">
        <v>0</v>
      </c>
      <c r="AV849">
        <v>0</v>
      </c>
    </row>
    <row r="850" spans="1:48" ht="12.75">
      <c r="A850" s="2" t="str">
        <f>HYPERLINK("https://ibp.a2mac1.com/costing(costing:projects/details/8191/equipment/6947852)","No.07 - Injection Press - 250T - 63kW - 570x570 - Max Volume 958cm3 ")</f>
        <v xml:space="preserve">No.07 - Injection Press - 250T - 63kW - 570x570 - Max Volume 958cm3 </v>
      </c>
      <c r="B850">
        <v>6947852</v>
      </c>
      <c r="C850">
        <v>6975296</v>
      </c>
      <c r="E850" t="s">
        <v>499</v>
      </c>
      <c r="H850" t="s">
        <v>136</v>
      </c>
      <c r="I850">
        <v>38615.311800000003</v>
      </c>
      <c r="J850">
        <v>0</v>
      </c>
      <c r="K850">
        <v>2.81</v>
      </c>
      <c r="L850">
        <v>0</v>
      </c>
      <c r="M850">
        <v>10.82435419479267</v>
      </c>
      <c r="N850">
        <v>0</v>
      </c>
      <c r="O850">
        <v>0.11365259200966678</v>
      </c>
      <c r="P850">
        <v>0.010844836615333333</v>
      </c>
      <c r="Q850">
        <v>0.0053917251292189003</v>
      </c>
      <c r="R850">
        <v>225000</v>
      </c>
      <c r="S850">
        <v>0</v>
      </c>
      <c r="T850">
        <v>0</v>
      </c>
      <c r="V850">
        <v>9000</v>
      </c>
      <c r="W850">
        <v>8</v>
      </c>
      <c r="X850">
        <v>85</v>
      </c>
      <c r="Y850">
        <v>3</v>
      </c>
      <c r="Z850">
        <v>4</v>
      </c>
      <c r="AA850">
        <v>5</v>
      </c>
      <c r="AB850">
        <v>0</v>
      </c>
      <c r="AC850">
        <v>0</v>
      </c>
      <c r="AD850">
        <v>0</v>
      </c>
      <c r="AE850">
        <v>0</v>
      </c>
      <c r="AF850">
        <v>0.25</v>
      </c>
      <c r="AG850">
        <v>0</v>
      </c>
      <c r="AH850">
        <v>0</v>
      </c>
      <c r="AI850">
        <v>2</v>
      </c>
      <c r="AJ850">
        <v>0</v>
      </c>
      <c r="AK850">
        <v>0</v>
      </c>
      <c r="AL850">
        <v>92</v>
      </c>
      <c r="AM850">
        <v>37.50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67.50</v>
      </c>
      <c r="AU850">
        <v>0.05</v>
      </c>
      <c r="AV850">
        <v>0</v>
      </c>
    </row>
    <row r="851" spans="1:48" ht="12.75">
      <c r="A851" s="2" t="str">
        <f>HYPERLINK("https://ibp.a2mac1.com/costing(costing:projects/details/8191/equipment/6947854)","Loading + Unloading, Retouching, Checking")</f>
        <v>Loading + Unloading, Retouching, Checking</v>
      </c>
      <c r="B851">
        <v>6947854</v>
      </c>
      <c r="C851">
        <v>6975298</v>
      </c>
      <c r="E851" t="s">
        <v>499</v>
      </c>
      <c r="H851" t="s">
        <v>136</v>
      </c>
      <c r="I851">
        <v>116.23608</v>
      </c>
      <c r="J851">
        <v>0</v>
      </c>
      <c r="K851">
        <v>0</v>
      </c>
      <c r="L851">
        <v>0</v>
      </c>
      <c r="M851">
        <v>0.018681465766634521</v>
      </c>
      <c r="N851">
        <v>0</v>
      </c>
      <c r="O851">
        <v>1.5567888138862101E-05</v>
      </c>
      <c r="P851">
        <v>0.020657399999999999</v>
      </c>
      <c r="Q851">
        <v>0</v>
      </c>
      <c r="R851">
        <v>0</v>
      </c>
      <c r="S851">
        <v>0</v>
      </c>
      <c r="T851">
        <v>0</v>
      </c>
      <c r="V851">
        <v>0</v>
      </c>
      <c r="W851">
        <v>8</v>
      </c>
      <c r="X851">
        <v>85</v>
      </c>
      <c r="Y851">
        <v>3</v>
      </c>
      <c r="Z851">
        <v>4</v>
      </c>
      <c r="AA851">
        <v>5</v>
      </c>
      <c r="AB851">
        <v>0</v>
      </c>
      <c r="AC851">
        <v>0</v>
      </c>
      <c r="AD851">
        <v>0</v>
      </c>
      <c r="AE851">
        <v>0</v>
      </c>
      <c r="AF851">
        <v>6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100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3</v>
      </c>
      <c r="AU851">
        <v>0</v>
      </c>
      <c r="AV851">
        <v>0</v>
      </c>
    </row>
    <row r="852" spans="1:48" ht="12.75">
      <c r="A852" s="2" t="str">
        <f>HYPERLINK("https://ibp.a2mac1.com/costing(costing:projects/details/8191/equipment/6947855)","No.01 - 25000x3000x3000 - Automatic Painting Line - with 12x10kW on line ovens ")</f>
        <v xml:space="preserve">No.01 - 25000x3000x3000 - Automatic Painting Line - with 12x10kW on line ovens </v>
      </c>
      <c r="B852">
        <v>6947855</v>
      </c>
      <c r="C852">
        <v>6975298</v>
      </c>
      <c r="E852" t="s">
        <v>499</v>
      </c>
      <c r="G852" t="s">
        <v>3633</v>
      </c>
      <c r="H852" t="s">
        <v>136</v>
      </c>
      <c r="I852">
        <v>1502473.118</v>
      </c>
      <c r="J852">
        <v>0</v>
      </c>
      <c r="K852">
        <v>169.38376</v>
      </c>
      <c r="L852">
        <v>0</v>
      </c>
      <c r="M852">
        <v>485.00946202507231</v>
      </c>
      <c r="N852">
        <v>0</v>
      </c>
      <c r="O852">
        <v>0.40417455168756028</v>
      </c>
      <c r="P852">
        <v>0.034429000000000001</v>
      </c>
      <c r="Q852">
        <v>0</v>
      </c>
      <c r="R852">
        <v>9227000</v>
      </c>
      <c r="S852">
        <v>252118.54800000001</v>
      </c>
      <c r="T852">
        <v>0</v>
      </c>
      <c r="V852">
        <v>0</v>
      </c>
      <c r="W852">
        <v>8</v>
      </c>
      <c r="X852">
        <v>85</v>
      </c>
      <c r="Y852">
        <v>3</v>
      </c>
      <c r="Z852">
        <v>4</v>
      </c>
      <c r="AA852">
        <v>5</v>
      </c>
      <c r="AB852">
        <v>0</v>
      </c>
      <c r="AC852">
        <v>0</v>
      </c>
      <c r="AD852">
        <v>0</v>
      </c>
      <c r="AE852">
        <v>0</v>
      </c>
      <c r="AF852">
        <v>10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100</v>
      </c>
      <c r="AM852">
        <v>2100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</v>
      </c>
      <c r="AT852">
        <v>675</v>
      </c>
      <c r="AU852">
        <v>0</v>
      </c>
      <c r="AV852">
        <v>0</v>
      </c>
    </row>
    <row r="853" spans="1:48" ht="12.75">
      <c r="A853" s="2" t="str">
        <f>HYPERLINK("https://ibp.a2mac1.com/costing(costing:projects/details/8191/equipment/6947853)","Packaging")</f>
        <v>Packaging</v>
      </c>
      <c r="B853">
        <v>6947853</v>
      </c>
      <c r="C853">
        <v>6975297</v>
      </c>
      <c r="H853" t="s">
        <v>136</v>
      </c>
      <c r="I853">
        <v>4437.4535986499995</v>
      </c>
      <c r="J853">
        <v>0</v>
      </c>
      <c r="K853">
        <v>0.08</v>
      </c>
      <c r="L853">
        <v>0</v>
      </c>
      <c r="M853">
        <v>1.0342676949774992</v>
      </c>
      <c r="N853">
        <v>0</v>
      </c>
      <c r="O853">
        <v>0.012928346187218741</v>
      </c>
      <c r="P853">
        <v>0.051643500000000002</v>
      </c>
      <c r="Q853">
        <v>1.5514015424662487E-05</v>
      </c>
      <c r="R853">
        <v>29999.99999</v>
      </c>
      <c r="S853">
        <v>0</v>
      </c>
      <c r="T853">
        <v>0</v>
      </c>
      <c r="V853">
        <v>900</v>
      </c>
      <c r="W853">
        <v>10</v>
      </c>
      <c r="X853">
        <v>85</v>
      </c>
      <c r="Y853">
        <v>3</v>
      </c>
      <c r="Z853">
        <v>4</v>
      </c>
      <c r="AA853">
        <v>5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50</v>
      </c>
      <c r="AM853">
        <v>2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10</v>
      </c>
      <c r="AU853">
        <v>0</v>
      </c>
      <c r="AV853">
        <v>0</v>
      </c>
    </row>
    <row r="854" spans="1:48" ht="12.75">
      <c r="A854" s="2" t="str">
        <f>HYPERLINK("https://ibp.a2mac1.com/costing(costing:projects/details/8191/equipment/6947856)","No.02 - Injection Press - 60T - 25kW - 320x320 - Max Volume 164cm3 ")</f>
        <v xml:space="preserve">No.02 - Injection Press - 60T - 25kW - 320x320 - Max Volume 164cm3 </v>
      </c>
      <c r="B854">
        <v>6947856</v>
      </c>
      <c r="C854">
        <v>6975299</v>
      </c>
      <c r="E854" t="s">
        <v>499</v>
      </c>
      <c r="H854" t="s">
        <v>136</v>
      </c>
      <c r="I854">
        <v>16929.888640000001</v>
      </c>
      <c r="J854">
        <v>0</v>
      </c>
      <c r="K854">
        <v>1.9124000000000001</v>
      </c>
      <c r="L854">
        <v>0</v>
      </c>
      <c r="M854">
        <v>5.4369722661523623</v>
      </c>
      <c r="N854">
        <v>0</v>
      </c>
      <c r="O854">
        <v>0.018898522926926391</v>
      </c>
      <c r="P854">
        <v>0.0035901815238333335</v>
      </c>
      <c r="Q854">
        <v>0.0036668942719382835</v>
      </c>
      <c r="R854">
        <v>100000</v>
      </c>
      <c r="S854">
        <v>0</v>
      </c>
      <c r="T854">
        <v>0</v>
      </c>
      <c r="V854">
        <v>7200</v>
      </c>
      <c r="W854">
        <v>8</v>
      </c>
      <c r="X854">
        <v>85</v>
      </c>
      <c r="Y854">
        <v>3</v>
      </c>
      <c r="Z854">
        <v>4</v>
      </c>
      <c r="AA854">
        <v>5</v>
      </c>
      <c r="AB854">
        <v>0</v>
      </c>
      <c r="AC854">
        <v>0</v>
      </c>
      <c r="AD854">
        <v>0</v>
      </c>
      <c r="AE854">
        <v>0</v>
      </c>
      <c r="AF854">
        <v>0.25</v>
      </c>
      <c r="AG854">
        <v>0</v>
      </c>
      <c r="AH854">
        <v>0</v>
      </c>
      <c r="AI854">
        <v>2</v>
      </c>
      <c r="AJ854">
        <v>0</v>
      </c>
      <c r="AK854">
        <v>0</v>
      </c>
      <c r="AL854">
        <v>97</v>
      </c>
      <c r="AM854">
        <v>24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24</v>
      </c>
      <c r="AU854">
        <v>0.05</v>
      </c>
      <c r="AV854">
        <v>0</v>
      </c>
    </row>
    <row r="855" spans="1:48" ht="12.75">
      <c r="A855" s="2" t="str">
        <f>HYPERLINK("https://ibp.a2mac1.com/costing(costing:projects/details/8191/equipment/6947857)","Packaging")</f>
        <v>Packaging</v>
      </c>
      <c r="B855">
        <v>6947857</v>
      </c>
      <c r="C855">
        <v>6975300</v>
      </c>
      <c r="H855" t="s">
        <v>136</v>
      </c>
      <c r="I855">
        <v>4437.4535986499995</v>
      </c>
      <c r="J855">
        <v>0</v>
      </c>
      <c r="K855">
        <v>0.08</v>
      </c>
      <c r="L855">
        <v>0</v>
      </c>
      <c r="M855">
        <v>1.0342676949774992</v>
      </c>
      <c r="N855">
        <v>0</v>
      </c>
      <c r="O855">
        <v>0.0086188974581458272</v>
      </c>
      <c r="P855">
        <v>0.034429000000000001</v>
      </c>
      <c r="Q855">
        <v>1.5514015424662487E-05</v>
      </c>
      <c r="R855">
        <v>29999.99999</v>
      </c>
      <c r="S855">
        <v>0</v>
      </c>
      <c r="T855">
        <v>0</v>
      </c>
      <c r="V855">
        <v>900</v>
      </c>
      <c r="W855">
        <v>10</v>
      </c>
      <c r="X855">
        <v>85</v>
      </c>
      <c r="Y855">
        <v>3</v>
      </c>
      <c r="Z855">
        <v>4</v>
      </c>
      <c r="AA855">
        <v>5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50</v>
      </c>
      <c r="AM855">
        <v>2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10</v>
      </c>
      <c r="AU855">
        <v>0</v>
      </c>
      <c r="AV855">
        <v>0</v>
      </c>
    </row>
    <row r="856" spans="1:48" ht="12.75">
      <c r="A856" s="2" t="str">
        <f>HYPERLINK("https://ibp.a2mac1.com/costing(costing:projects/details/8191/equipment/6947829)","Assembly Station ")</f>
        <v xml:space="preserve">Assembly Station </v>
      </c>
      <c r="B856">
        <v>6947829</v>
      </c>
      <c r="C856">
        <v>6975271</v>
      </c>
      <c r="E856" t="s">
        <v>499</v>
      </c>
      <c r="F856" t="s">
        <v>5012</v>
      </c>
      <c r="G856" t="s">
        <v>8</v>
      </c>
      <c r="H856" t="s">
        <v>136</v>
      </c>
      <c r="I856">
        <v>4824.9071999999996</v>
      </c>
      <c r="J856">
        <v>0</v>
      </c>
      <c r="K856">
        <v>0.10768</v>
      </c>
      <c r="L856">
        <v>0</v>
      </c>
      <c r="M856">
        <v>1.1242192478302797</v>
      </c>
      <c r="N856">
        <v>0</v>
      </c>
      <c r="O856">
        <v>0.028105481195756992</v>
      </c>
      <c r="P856">
        <v>0.103287</v>
      </c>
      <c r="Q856">
        <v>0.00022807432079717134</v>
      </c>
      <c r="R856">
        <v>30000</v>
      </c>
      <c r="S856">
        <v>0</v>
      </c>
      <c r="T856">
        <v>0</v>
      </c>
      <c r="V856">
        <v>600</v>
      </c>
      <c r="W856">
        <v>10</v>
      </c>
      <c r="X856">
        <v>85</v>
      </c>
      <c r="Y856">
        <v>3</v>
      </c>
      <c r="Z856">
        <v>4</v>
      </c>
      <c r="AA856">
        <v>5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100</v>
      </c>
      <c r="AM856">
        <v>1</v>
      </c>
      <c r="AN856">
        <v>0</v>
      </c>
      <c r="AO856">
        <v>0</v>
      </c>
      <c r="AP856">
        <v>0</v>
      </c>
      <c r="AQ856">
        <v>1</v>
      </c>
      <c r="AR856">
        <v>0</v>
      </c>
      <c r="AS856">
        <v>0</v>
      </c>
      <c r="AT856">
        <v>20</v>
      </c>
      <c r="AU856">
        <v>0</v>
      </c>
      <c r="AV856">
        <v>0</v>
      </c>
    </row>
    <row r="857" spans="1:48" ht="12.75">
      <c r="A857" s="2" t="str">
        <f>HYPERLINK("https://ibp.a2mac1.com/costing(costing:projects/details/8191/equipment/6948424)","Equipment (Stamping)")</f>
        <v>Equipment (Stamping)</v>
      </c>
      <c r="B857">
        <v>6948424</v>
      </c>
      <c r="C857">
        <v>6975829</v>
      </c>
      <c r="H857" t="s">
        <v>136</v>
      </c>
      <c r="I857">
        <v>373962.1752</v>
      </c>
      <c r="J857">
        <v>0</v>
      </c>
      <c r="K857">
        <v>3.3919999999999999</v>
      </c>
      <c r="L857">
        <v>0</v>
      </c>
      <c r="M857">
        <v>85.594213950498229</v>
      </c>
      <c r="N857">
        <v>0</v>
      </c>
      <c r="O857">
        <v>1.5406958511089681</v>
      </c>
      <c r="P857">
        <v>0.074366639999999998</v>
      </c>
      <c r="Q857">
        <v>0.0099643224555448408</v>
      </c>
      <c r="R857">
        <v>2750000</v>
      </c>
      <c r="S857">
        <v>0</v>
      </c>
      <c r="T857">
        <v>0</v>
      </c>
      <c r="V857">
        <v>5400</v>
      </c>
      <c r="W857">
        <v>10</v>
      </c>
      <c r="X857">
        <v>85</v>
      </c>
      <c r="Y857">
        <v>3</v>
      </c>
      <c r="Z857">
        <v>4</v>
      </c>
      <c r="AA857">
        <v>5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2</v>
      </c>
      <c r="AJ857">
        <v>0</v>
      </c>
      <c r="AK857">
        <v>0</v>
      </c>
      <c r="AL857">
        <v>80</v>
      </c>
      <c r="AM857">
        <v>53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70</v>
      </c>
      <c r="AU857">
        <v>0</v>
      </c>
      <c r="AV857">
        <v>0</v>
      </c>
    </row>
    <row r="858" spans="1:48" ht="12.75">
      <c r="A858" s="2" t="str">
        <f>HYPERLINK("https://ibp.a2mac1.com/costing(costing:projects/details/8191/equipment/6948425)","Equipment (Stamping)")</f>
        <v>Equipment (Stamping)</v>
      </c>
      <c r="B858">
        <v>6948425</v>
      </c>
      <c r="C858">
        <v>6975830</v>
      </c>
      <c r="H858" t="s">
        <v>136</v>
      </c>
      <c r="I858">
        <v>373962.1752</v>
      </c>
      <c r="J858">
        <v>0</v>
      </c>
      <c r="K858">
        <v>3.3919999999999999</v>
      </c>
      <c r="L858">
        <v>0</v>
      </c>
      <c r="M858">
        <v>85.594213950498229</v>
      </c>
      <c r="N858">
        <v>0</v>
      </c>
      <c r="O858">
        <v>0.17118842790099648</v>
      </c>
      <c r="P858">
        <v>0.0082629599999999997</v>
      </c>
      <c r="Q858">
        <v>0.0099643224555448408</v>
      </c>
      <c r="R858">
        <v>2750000</v>
      </c>
      <c r="S858">
        <v>0</v>
      </c>
      <c r="T858">
        <v>0</v>
      </c>
      <c r="V858">
        <v>5400</v>
      </c>
      <c r="W858">
        <v>10</v>
      </c>
      <c r="X858">
        <v>85</v>
      </c>
      <c r="Y858">
        <v>3</v>
      </c>
      <c r="Z858">
        <v>4</v>
      </c>
      <c r="AA858">
        <v>5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2</v>
      </c>
      <c r="AJ858">
        <v>0</v>
      </c>
      <c r="AK858">
        <v>0</v>
      </c>
      <c r="AL858">
        <v>80</v>
      </c>
      <c r="AM858">
        <v>53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70</v>
      </c>
      <c r="AU858">
        <v>0</v>
      </c>
      <c r="AV858">
        <v>0</v>
      </c>
    </row>
    <row r="859" spans="1:48" ht="12.75">
      <c r="A859" s="2" t="str">
        <f>HYPERLINK("https://ibp.a2mac1.com/costing(costing:projects/details/8191/equipment/6948426)","Equipment (Stamping)")</f>
        <v>Equipment (Stamping)</v>
      </c>
      <c r="B859">
        <v>6948426</v>
      </c>
      <c r="C859">
        <v>6975831</v>
      </c>
      <c r="H859" t="s">
        <v>136</v>
      </c>
      <c r="I859">
        <v>373962.1752</v>
      </c>
      <c r="J859">
        <v>0</v>
      </c>
      <c r="K859">
        <v>3.3919999999999999</v>
      </c>
      <c r="L859">
        <v>0</v>
      </c>
      <c r="M859">
        <v>85.594213950498229</v>
      </c>
      <c r="N859">
        <v>0</v>
      </c>
      <c r="O859">
        <v>0.17118842790099648</v>
      </c>
      <c r="P859">
        <v>0.0082629599999999997</v>
      </c>
      <c r="Q859">
        <v>0.0099643224555448408</v>
      </c>
      <c r="R859">
        <v>2750000</v>
      </c>
      <c r="S859">
        <v>0</v>
      </c>
      <c r="T859">
        <v>0</v>
      </c>
      <c r="V859">
        <v>5400</v>
      </c>
      <c r="W859">
        <v>10</v>
      </c>
      <c r="X859">
        <v>85</v>
      </c>
      <c r="Y859">
        <v>3</v>
      </c>
      <c r="Z859">
        <v>4</v>
      </c>
      <c r="AA859">
        <v>5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2</v>
      </c>
      <c r="AJ859">
        <v>0</v>
      </c>
      <c r="AK859">
        <v>0</v>
      </c>
      <c r="AL859">
        <v>80</v>
      </c>
      <c r="AM859">
        <v>53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70</v>
      </c>
      <c r="AU859">
        <v>0</v>
      </c>
      <c r="AV859">
        <v>0</v>
      </c>
    </row>
    <row r="860" spans="1:48" ht="12.75">
      <c r="A860" s="2" t="str">
        <f>HYPERLINK("https://ibp.a2mac1.com/costing(costing:projects/details/8191/equipment/6948510)","Equipment (Stamping)")</f>
        <v>Equipment (Stamping)</v>
      </c>
      <c r="B860">
        <v>6948510</v>
      </c>
      <c r="C860">
        <v>6975891</v>
      </c>
      <c r="H860" t="s">
        <v>136</v>
      </c>
      <c r="I860">
        <v>373962.1752</v>
      </c>
      <c r="J860">
        <v>0</v>
      </c>
      <c r="K860">
        <v>3.3919999999999999</v>
      </c>
      <c r="L860">
        <v>0</v>
      </c>
      <c r="M860">
        <v>85.594213950498229</v>
      </c>
      <c r="N860">
        <v>0</v>
      </c>
      <c r="O860">
        <v>0.085594213950498238</v>
      </c>
      <c r="P860">
        <v>0.0041314799999999999</v>
      </c>
      <c r="Q860">
        <v>0.0099643224555448408</v>
      </c>
      <c r="R860">
        <v>2750000</v>
      </c>
      <c r="S860">
        <v>0</v>
      </c>
      <c r="T860">
        <v>0</v>
      </c>
      <c r="V860">
        <v>5400</v>
      </c>
      <c r="W860">
        <v>10</v>
      </c>
      <c r="X860">
        <v>85</v>
      </c>
      <c r="Y860">
        <v>3</v>
      </c>
      <c r="Z860">
        <v>4</v>
      </c>
      <c r="AA860">
        <v>5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2</v>
      </c>
      <c r="AJ860">
        <v>0</v>
      </c>
      <c r="AK860">
        <v>0</v>
      </c>
      <c r="AL860">
        <v>80</v>
      </c>
      <c r="AM860">
        <v>53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70</v>
      </c>
      <c r="AU860">
        <v>0</v>
      </c>
      <c r="AV860">
        <v>0</v>
      </c>
    </row>
    <row r="861" spans="1:48" ht="12.75">
      <c r="A861" s="2" t="str">
        <f>HYPERLINK("https://ibp.a2mac1.com/costing(costing:projects/details/8191/equipment/6948511)","Equipment (Stamping)")</f>
        <v>Equipment (Stamping)</v>
      </c>
      <c r="B861">
        <v>6948511</v>
      </c>
      <c r="C861">
        <v>6975892</v>
      </c>
      <c r="H861" t="s">
        <v>136</v>
      </c>
      <c r="I861">
        <v>373962.1752</v>
      </c>
      <c r="J861">
        <v>0</v>
      </c>
      <c r="K861">
        <v>3.3919999999999999</v>
      </c>
      <c r="L861">
        <v>0</v>
      </c>
      <c r="M861">
        <v>85.594213950498229</v>
      </c>
      <c r="N861">
        <v>0</v>
      </c>
      <c r="O861">
        <v>0.085594213950498238</v>
      </c>
      <c r="P861">
        <v>0.0041314799999999999</v>
      </c>
      <c r="Q861">
        <v>0.0099643224555448408</v>
      </c>
      <c r="R861">
        <v>2750000</v>
      </c>
      <c r="S861">
        <v>0</v>
      </c>
      <c r="T861">
        <v>0</v>
      </c>
      <c r="V861">
        <v>5400</v>
      </c>
      <c r="W861">
        <v>10</v>
      </c>
      <c r="X861">
        <v>85</v>
      </c>
      <c r="Y861">
        <v>3</v>
      </c>
      <c r="Z861">
        <v>4</v>
      </c>
      <c r="AA861">
        <v>5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2</v>
      </c>
      <c r="AJ861">
        <v>0</v>
      </c>
      <c r="AK861">
        <v>0</v>
      </c>
      <c r="AL861">
        <v>80</v>
      </c>
      <c r="AM861">
        <v>53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70</v>
      </c>
      <c r="AU861">
        <v>0</v>
      </c>
      <c r="AV861">
        <v>0</v>
      </c>
    </row>
    <row r="862" spans="1:48" ht="12.75">
      <c r="A862" s="2" t="str">
        <f>HYPERLINK("https://ibp.a2mac1.com/costing(costing:projects/details/8191/equipment/6948512)","Equipment (Stamping)")</f>
        <v>Equipment (Stamping)</v>
      </c>
      <c r="B862">
        <v>6948512</v>
      </c>
      <c r="C862">
        <v>6975893</v>
      </c>
      <c r="H862" t="s">
        <v>136</v>
      </c>
      <c r="I862">
        <v>373962.1752</v>
      </c>
      <c r="J862">
        <v>0</v>
      </c>
      <c r="K862">
        <v>3.3919999999999999</v>
      </c>
      <c r="L862">
        <v>0</v>
      </c>
      <c r="M862">
        <v>85.594213950498229</v>
      </c>
      <c r="N862">
        <v>0</v>
      </c>
      <c r="O862">
        <v>0.042797106975249119</v>
      </c>
      <c r="P862">
        <v>0.0020657399999999999</v>
      </c>
      <c r="Q862">
        <v>0.0099643224555448408</v>
      </c>
      <c r="R862">
        <v>2750000</v>
      </c>
      <c r="S862">
        <v>0</v>
      </c>
      <c r="T862">
        <v>0</v>
      </c>
      <c r="V862">
        <v>5400</v>
      </c>
      <c r="W862">
        <v>10</v>
      </c>
      <c r="X862">
        <v>85</v>
      </c>
      <c r="Y862">
        <v>3</v>
      </c>
      <c r="Z862">
        <v>4</v>
      </c>
      <c r="AA862">
        <v>5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2</v>
      </c>
      <c r="AJ862">
        <v>0</v>
      </c>
      <c r="AK862">
        <v>0</v>
      </c>
      <c r="AL862">
        <v>80</v>
      </c>
      <c r="AM862">
        <v>53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70</v>
      </c>
      <c r="AU862">
        <v>0</v>
      </c>
      <c r="AV862">
        <v>0</v>
      </c>
    </row>
    <row r="863" spans="1:48" ht="12.75">
      <c r="A863" s="2" t="str">
        <f>HYPERLINK("https://ibp.a2mac1.com/costing(costing:projects/details/8191/equipment/6948513)","Equipment (Stamping)")</f>
        <v>Equipment (Stamping)</v>
      </c>
      <c r="B863">
        <v>6948513</v>
      </c>
      <c r="C863">
        <v>6975894</v>
      </c>
      <c r="H863" t="s">
        <v>136</v>
      </c>
      <c r="I863">
        <v>373962.1752</v>
      </c>
      <c r="J863">
        <v>0</v>
      </c>
      <c r="K863">
        <v>3.3919999999999999</v>
      </c>
      <c r="L863">
        <v>0</v>
      </c>
      <c r="M863">
        <v>85.594213950498229</v>
      </c>
      <c r="N863">
        <v>0</v>
      </c>
      <c r="O863">
        <v>0.77034792555448406</v>
      </c>
      <c r="P863">
        <v>0.037183319999999999</v>
      </c>
      <c r="Q863">
        <v>0.0099643224555448408</v>
      </c>
      <c r="R863">
        <v>2750000</v>
      </c>
      <c r="S863">
        <v>0</v>
      </c>
      <c r="T863">
        <v>0</v>
      </c>
      <c r="V863">
        <v>5400</v>
      </c>
      <c r="W863">
        <v>10</v>
      </c>
      <c r="X863">
        <v>85</v>
      </c>
      <c r="Y863">
        <v>3</v>
      </c>
      <c r="Z863">
        <v>4</v>
      </c>
      <c r="AA863">
        <v>5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2</v>
      </c>
      <c r="AJ863">
        <v>0</v>
      </c>
      <c r="AK863">
        <v>0</v>
      </c>
      <c r="AL863">
        <v>80</v>
      </c>
      <c r="AM863">
        <v>53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70</v>
      </c>
      <c r="AU863">
        <v>0</v>
      </c>
      <c r="AV863">
        <v>0</v>
      </c>
    </row>
    <row r="864" spans="1:48" ht="12.75">
      <c r="A864" s="2" t="str">
        <f>HYPERLINK("https://ibp.a2mac1.com/costing(costing:projects/details/8191/equipment/6948427)","Equipment (Stamping)")</f>
        <v>Equipment (Stamping)</v>
      </c>
      <c r="B864">
        <v>6948427</v>
      </c>
      <c r="C864">
        <v>6975832</v>
      </c>
      <c r="H864" t="s">
        <v>136</v>
      </c>
      <c r="I864">
        <v>373962.1752</v>
      </c>
      <c r="J864">
        <v>0</v>
      </c>
      <c r="K864">
        <v>3.3919999999999999</v>
      </c>
      <c r="L864">
        <v>0</v>
      </c>
      <c r="M864">
        <v>85.594213950498229</v>
      </c>
      <c r="N864">
        <v>0</v>
      </c>
      <c r="O864">
        <v>0.042797106975249119</v>
      </c>
      <c r="P864">
        <v>0.0020657399999999999</v>
      </c>
      <c r="Q864">
        <v>0.0099643224555448408</v>
      </c>
      <c r="R864">
        <v>2750000</v>
      </c>
      <c r="S864">
        <v>0</v>
      </c>
      <c r="T864">
        <v>0</v>
      </c>
      <c r="V864">
        <v>5400</v>
      </c>
      <c r="W864">
        <v>10</v>
      </c>
      <c r="X864">
        <v>85</v>
      </c>
      <c r="Y864">
        <v>3</v>
      </c>
      <c r="Z864">
        <v>4</v>
      </c>
      <c r="AA864">
        <v>5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2</v>
      </c>
      <c r="AJ864">
        <v>0</v>
      </c>
      <c r="AK864">
        <v>0</v>
      </c>
      <c r="AL864">
        <v>80</v>
      </c>
      <c r="AM864">
        <v>53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70</v>
      </c>
      <c r="AU864">
        <v>0</v>
      </c>
      <c r="AV864">
        <v>0</v>
      </c>
    </row>
    <row r="865" spans="1:48" ht="12.75">
      <c r="A865" s="2" t="str">
        <f>HYPERLINK("https://ibp.a2mac1.com/costing(costing:projects/details/8191/equipment/6948732)","Equipment (Stamping)")</f>
        <v>Equipment (Stamping)</v>
      </c>
      <c r="B865">
        <v>6948732</v>
      </c>
      <c r="C865">
        <v>6976138</v>
      </c>
      <c r="H865" t="s">
        <v>136</v>
      </c>
      <c r="I865">
        <v>373962.1752</v>
      </c>
      <c r="J865">
        <v>0</v>
      </c>
      <c r="K865">
        <v>3.3919999999999999</v>
      </c>
      <c r="L865">
        <v>0</v>
      </c>
      <c r="M865">
        <v>85.594213950498229</v>
      </c>
      <c r="N865">
        <v>0</v>
      </c>
      <c r="O865">
        <v>0.042797106975249119</v>
      </c>
      <c r="P865">
        <v>0.0020657399999999999</v>
      </c>
      <c r="Q865">
        <v>0.0099643224555448408</v>
      </c>
      <c r="R865">
        <v>2750000</v>
      </c>
      <c r="S865">
        <v>0</v>
      </c>
      <c r="T865">
        <v>0</v>
      </c>
      <c r="V865">
        <v>5400</v>
      </c>
      <c r="W865">
        <v>10</v>
      </c>
      <c r="X865">
        <v>85</v>
      </c>
      <c r="Y865">
        <v>3</v>
      </c>
      <c r="Z865">
        <v>4</v>
      </c>
      <c r="AA865">
        <v>5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2</v>
      </c>
      <c r="AJ865">
        <v>0</v>
      </c>
      <c r="AK865">
        <v>0</v>
      </c>
      <c r="AL865">
        <v>80</v>
      </c>
      <c r="AM865">
        <v>53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70</v>
      </c>
      <c r="AU865">
        <v>0</v>
      </c>
      <c r="AV865">
        <v>0</v>
      </c>
    </row>
    <row r="866" spans="1:48" ht="12.75">
      <c r="A866" s="2" t="str">
        <f>HYPERLINK("https://ibp.a2mac1.com/costing(costing:projects/details/8191/equipment/6948428)","Equipment (Stamping)")</f>
        <v>Equipment (Stamping)</v>
      </c>
      <c r="B866">
        <v>6948428</v>
      </c>
      <c r="C866">
        <v>6975833</v>
      </c>
      <c r="H866" t="s">
        <v>136</v>
      </c>
      <c r="I866">
        <v>373962.1752</v>
      </c>
      <c r="J866">
        <v>0</v>
      </c>
      <c r="K866">
        <v>3.3919999999999999</v>
      </c>
      <c r="L866">
        <v>0</v>
      </c>
      <c r="M866">
        <v>85.594213950498229</v>
      </c>
      <c r="N866">
        <v>0</v>
      </c>
      <c r="O866">
        <v>0.77034792555448406</v>
      </c>
      <c r="P866">
        <v>0.037183319999999999</v>
      </c>
      <c r="Q866">
        <v>0.0099643224555448408</v>
      </c>
      <c r="R866">
        <v>2750000</v>
      </c>
      <c r="S866">
        <v>0</v>
      </c>
      <c r="T866">
        <v>0</v>
      </c>
      <c r="V866">
        <v>5400</v>
      </c>
      <c r="W866">
        <v>10</v>
      </c>
      <c r="X866">
        <v>85</v>
      </c>
      <c r="Y866">
        <v>3</v>
      </c>
      <c r="Z866">
        <v>4</v>
      </c>
      <c r="AA866">
        <v>5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2</v>
      </c>
      <c r="AJ866">
        <v>0</v>
      </c>
      <c r="AK866">
        <v>0</v>
      </c>
      <c r="AL866">
        <v>80</v>
      </c>
      <c r="AM866">
        <v>53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70</v>
      </c>
      <c r="AU866">
        <v>0</v>
      </c>
      <c r="AV866">
        <v>0</v>
      </c>
    </row>
    <row r="867" spans="1:48" ht="12.75">
      <c r="A867" s="2" t="str">
        <f>HYPERLINK("https://ibp.a2mac1.com/costing(costing:projects/details/8191/equipment/6948514)","Equipment (Stamping)")</f>
        <v>Equipment (Stamping)</v>
      </c>
      <c r="B867">
        <v>6948514</v>
      </c>
      <c r="C867">
        <v>6975895</v>
      </c>
      <c r="H867" t="s">
        <v>136</v>
      </c>
      <c r="I867">
        <v>373962.1752</v>
      </c>
      <c r="J867">
        <v>0</v>
      </c>
      <c r="K867">
        <v>3.3919999999999999</v>
      </c>
      <c r="L867">
        <v>0</v>
      </c>
      <c r="M867">
        <v>85.594213950498229</v>
      </c>
      <c r="N867">
        <v>0</v>
      </c>
      <c r="O867">
        <v>0.085594213950498238</v>
      </c>
      <c r="P867">
        <v>0.0041314799999999999</v>
      </c>
      <c r="Q867">
        <v>0.0099643224555448408</v>
      </c>
      <c r="R867">
        <v>2750000</v>
      </c>
      <c r="S867">
        <v>0</v>
      </c>
      <c r="T867">
        <v>0</v>
      </c>
      <c r="V867">
        <v>5400</v>
      </c>
      <c r="W867">
        <v>10</v>
      </c>
      <c r="X867">
        <v>85</v>
      </c>
      <c r="Y867">
        <v>3</v>
      </c>
      <c r="Z867">
        <v>4</v>
      </c>
      <c r="AA867">
        <v>5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2</v>
      </c>
      <c r="AJ867">
        <v>0</v>
      </c>
      <c r="AK867">
        <v>0</v>
      </c>
      <c r="AL867">
        <v>80</v>
      </c>
      <c r="AM867">
        <v>53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70</v>
      </c>
      <c r="AU867">
        <v>0</v>
      </c>
      <c r="AV867">
        <v>0</v>
      </c>
    </row>
    <row r="868" spans="1:48" ht="12.75">
      <c r="A868" s="2" t="str">
        <f>HYPERLINK("https://ibp.a2mac1.com/costing(costing:projects/details/8191/equipment/6948515)","Equipment (Stamping)")</f>
        <v>Equipment (Stamping)</v>
      </c>
      <c r="B868">
        <v>6948515</v>
      </c>
      <c r="C868">
        <v>6975896</v>
      </c>
      <c r="H868" t="s">
        <v>136</v>
      </c>
      <c r="I868">
        <v>373962.1752</v>
      </c>
      <c r="J868">
        <v>0</v>
      </c>
      <c r="K868">
        <v>3.3919999999999999</v>
      </c>
      <c r="L868">
        <v>0</v>
      </c>
      <c r="M868">
        <v>85.594213950498229</v>
      </c>
      <c r="N868">
        <v>0</v>
      </c>
      <c r="O868">
        <v>0.042797106975249119</v>
      </c>
      <c r="P868">
        <v>0.0020657399999999999</v>
      </c>
      <c r="Q868">
        <v>0.0099643224555448408</v>
      </c>
      <c r="R868">
        <v>2750000</v>
      </c>
      <c r="S868">
        <v>0</v>
      </c>
      <c r="T868">
        <v>0</v>
      </c>
      <c r="V868">
        <v>5400</v>
      </c>
      <c r="W868">
        <v>10</v>
      </c>
      <c r="X868">
        <v>85</v>
      </c>
      <c r="Y868">
        <v>3</v>
      </c>
      <c r="Z868">
        <v>4</v>
      </c>
      <c r="AA868">
        <v>5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2</v>
      </c>
      <c r="AJ868">
        <v>0</v>
      </c>
      <c r="AK868">
        <v>0</v>
      </c>
      <c r="AL868">
        <v>80</v>
      </c>
      <c r="AM868">
        <v>53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70</v>
      </c>
      <c r="AU868">
        <v>0</v>
      </c>
      <c r="AV868">
        <v>0</v>
      </c>
    </row>
    <row r="869" spans="1:48" ht="12.75">
      <c r="A869" s="2" t="str">
        <f>HYPERLINK("https://ibp.a2mac1.com/costing(costing:projects/details/8191/equipment/6948516)","Equipment (Stamping)")</f>
        <v>Equipment (Stamping)</v>
      </c>
      <c r="B869">
        <v>6948516</v>
      </c>
      <c r="C869">
        <v>6975897</v>
      </c>
      <c r="H869" t="s">
        <v>136</v>
      </c>
      <c r="I869">
        <v>373962.1752</v>
      </c>
      <c r="J869">
        <v>0</v>
      </c>
      <c r="K869">
        <v>3.3919999999999999</v>
      </c>
      <c r="L869">
        <v>0</v>
      </c>
      <c r="M869">
        <v>85.594213950498229</v>
      </c>
      <c r="N869">
        <v>0</v>
      </c>
      <c r="O869">
        <v>0.042797106975249119</v>
      </c>
      <c r="P869">
        <v>0.0020657399999999999</v>
      </c>
      <c r="Q869">
        <v>0.0099643224555448408</v>
      </c>
      <c r="R869">
        <v>2750000</v>
      </c>
      <c r="S869">
        <v>0</v>
      </c>
      <c r="T869">
        <v>0</v>
      </c>
      <c r="V869">
        <v>5400</v>
      </c>
      <c r="W869">
        <v>10</v>
      </c>
      <c r="X869">
        <v>85</v>
      </c>
      <c r="Y869">
        <v>3</v>
      </c>
      <c r="Z869">
        <v>4</v>
      </c>
      <c r="AA869">
        <v>5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2</v>
      </c>
      <c r="AJ869">
        <v>0</v>
      </c>
      <c r="AK869">
        <v>0</v>
      </c>
      <c r="AL869">
        <v>80</v>
      </c>
      <c r="AM869">
        <v>53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70</v>
      </c>
      <c r="AU869">
        <v>0</v>
      </c>
      <c r="AV869">
        <v>0</v>
      </c>
    </row>
    <row r="870" spans="1:48" ht="12.75">
      <c r="A870" s="2" t="str">
        <f>HYPERLINK("https://ibp.a2mac1.com/costing(costing:projects/details/8191/equipment/6948517)","Equipment (Stamping)")</f>
        <v>Equipment (Stamping)</v>
      </c>
      <c r="B870">
        <v>6948517</v>
      </c>
      <c r="C870">
        <v>6975898</v>
      </c>
      <c r="H870" t="s">
        <v>136</v>
      </c>
      <c r="I870">
        <v>373962.1752</v>
      </c>
      <c r="J870">
        <v>0</v>
      </c>
      <c r="K870">
        <v>3.3919999999999999</v>
      </c>
      <c r="L870">
        <v>0</v>
      </c>
      <c r="M870">
        <v>85.594213950498229</v>
      </c>
      <c r="N870">
        <v>0</v>
      </c>
      <c r="O870">
        <v>0.12839132092574734</v>
      </c>
      <c r="P870">
        <v>0.0061972199999999998</v>
      </c>
      <c r="Q870">
        <v>0.0099643224555448408</v>
      </c>
      <c r="R870">
        <v>2750000</v>
      </c>
      <c r="S870">
        <v>0</v>
      </c>
      <c r="T870">
        <v>0</v>
      </c>
      <c r="V870">
        <v>5400</v>
      </c>
      <c r="W870">
        <v>10</v>
      </c>
      <c r="X870">
        <v>85</v>
      </c>
      <c r="Y870">
        <v>3</v>
      </c>
      <c r="Z870">
        <v>4</v>
      </c>
      <c r="AA870">
        <v>5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2</v>
      </c>
      <c r="AJ870">
        <v>0</v>
      </c>
      <c r="AK870">
        <v>0</v>
      </c>
      <c r="AL870">
        <v>80</v>
      </c>
      <c r="AM870">
        <v>53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70</v>
      </c>
      <c r="AU870">
        <v>0</v>
      </c>
      <c r="AV870">
        <v>0</v>
      </c>
    </row>
    <row r="871" spans="1:48" ht="12.75">
      <c r="A871" s="2" t="str">
        <f>HYPERLINK("https://ibp.a2mac1.com/costing(costing:projects/details/8191/equipment/6948429)","Equipment (Stamping)")</f>
        <v>Equipment (Stamping)</v>
      </c>
      <c r="B871">
        <v>6948429</v>
      </c>
      <c r="C871">
        <v>6975834</v>
      </c>
      <c r="H871" t="s">
        <v>136</v>
      </c>
      <c r="I871">
        <v>373962.1752</v>
      </c>
      <c r="J871">
        <v>0</v>
      </c>
      <c r="K871">
        <v>3.3919999999999999</v>
      </c>
      <c r="L871">
        <v>0</v>
      </c>
      <c r="M871">
        <v>85.594213950498229</v>
      </c>
      <c r="N871">
        <v>0</v>
      </c>
      <c r="O871">
        <v>0.77034792555448406</v>
      </c>
      <c r="P871">
        <v>0.037183319999999999</v>
      </c>
      <c r="Q871">
        <v>0.0099643224555448408</v>
      </c>
      <c r="R871">
        <v>2750000</v>
      </c>
      <c r="S871">
        <v>0</v>
      </c>
      <c r="T871">
        <v>0</v>
      </c>
      <c r="V871">
        <v>5400</v>
      </c>
      <c r="W871">
        <v>10</v>
      </c>
      <c r="X871">
        <v>85</v>
      </c>
      <c r="Y871">
        <v>3</v>
      </c>
      <c r="Z871">
        <v>4</v>
      </c>
      <c r="AA871">
        <v>5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2</v>
      </c>
      <c r="AJ871">
        <v>0</v>
      </c>
      <c r="AK871">
        <v>0</v>
      </c>
      <c r="AL871">
        <v>80</v>
      </c>
      <c r="AM871">
        <v>53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70</v>
      </c>
      <c r="AU871">
        <v>0</v>
      </c>
      <c r="AV871">
        <v>0</v>
      </c>
    </row>
    <row r="872" spans="1:48" ht="12.75">
      <c r="A872" s="2" t="str">
        <f>HYPERLINK("https://ibp.a2mac1.com/costing(costing:projects/details/8191/equipment/6947858)","Assembly line")</f>
        <v>Assembly line</v>
      </c>
      <c r="B872">
        <v>6947858</v>
      </c>
      <c r="C872">
        <v>6975301</v>
      </c>
      <c r="H872" t="s">
        <v>136</v>
      </c>
      <c r="I872">
        <v>63074.721599999997</v>
      </c>
      <c r="J872">
        <v>0</v>
      </c>
      <c r="K872">
        <v>5.2000019999999996</v>
      </c>
      <c r="L872">
        <v>0</v>
      </c>
      <c r="M872">
        <v>18.953573456123433</v>
      </c>
      <c r="N872">
        <v>0</v>
      </c>
      <c r="O872">
        <v>0.78973222733847637</v>
      </c>
      <c r="P872">
        <v>0.17214499999999999</v>
      </c>
      <c r="Q872">
        <v>0.0015756906728061717</v>
      </c>
      <c r="R872">
        <v>450000</v>
      </c>
      <c r="S872">
        <v>0</v>
      </c>
      <c r="T872">
        <v>0</v>
      </c>
      <c r="V872">
        <v>1800</v>
      </c>
      <c r="W872">
        <v>10</v>
      </c>
      <c r="X872">
        <v>85</v>
      </c>
      <c r="Y872">
        <v>3</v>
      </c>
      <c r="Z872">
        <v>4</v>
      </c>
      <c r="AA872">
        <v>5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86.666700000000006</v>
      </c>
      <c r="AM872">
        <v>75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60</v>
      </c>
      <c r="AU872">
        <v>0</v>
      </c>
      <c r="AV872">
        <v>0</v>
      </c>
    </row>
    <row r="873" spans="1:48" ht="12.75">
      <c r="A873" s="2" t="str">
        <f>HYPERLINK("https://ibp.a2mac1.com/costing(costing:projects/details/8191/equipment/6948290)","Equipment (Injection Molding)")</f>
        <v>Equipment (Injection Molding)</v>
      </c>
      <c r="B873">
        <v>6948290</v>
      </c>
      <c r="C873">
        <v>6975688</v>
      </c>
      <c r="H873" t="s">
        <v>136</v>
      </c>
      <c r="I873">
        <v>12438.592871999999</v>
      </c>
      <c r="J873">
        <v>0</v>
      </c>
      <c r="K873">
        <v>0.52864</v>
      </c>
      <c r="L873">
        <v>0</v>
      </c>
      <c r="M873">
        <v>3.058789931211829</v>
      </c>
      <c r="N873">
        <v>0</v>
      </c>
      <c r="O873">
        <v>0.050979832186863819</v>
      </c>
      <c r="P873">
        <v>0.0032500976000000002</v>
      </c>
      <c r="Q873">
        <v>0.00029926384666946964</v>
      </c>
      <c r="R873">
        <v>66080</v>
      </c>
      <c r="S873">
        <v>0</v>
      </c>
      <c r="T873">
        <v>0</v>
      </c>
      <c r="V873">
        <v>637.20</v>
      </c>
      <c r="W873">
        <v>7</v>
      </c>
      <c r="X873">
        <v>85</v>
      </c>
      <c r="Y873">
        <v>3</v>
      </c>
      <c r="Z873">
        <v>4</v>
      </c>
      <c r="AA873">
        <v>5</v>
      </c>
      <c r="AB873">
        <v>0</v>
      </c>
      <c r="AC873">
        <v>0</v>
      </c>
      <c r="AD873">
        <v>0</v>
      </c>
      <c r="AE873">
        <v>0</v>
      </c>
      <c r="AF873">
        <v>0.047199999999999999</v>
      </c>
      <c r="AG873">
        <v>0</v>
      </c>
      <c r="AH873">
        <v>0</v>
      </c>
      <c r="AI873">
        <v>2</v>
      </c>
      <c r="AJ873">
        <v>0</v>
      </c>
      <c r="AK873">
        <v>0</v>
      </c>
      <c r="AL873">
        <v>80</v>
      </c>
      <c r="AM873">
        <v>8.26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17.70</v>
      </c>
      <c r="AU873">
        <v>0</v>
      </c>
      <c r="AV873">
        <v>0</v>
      </c>
    </row>
    <row r="874" spans="1:48" ht="12.75">
      <c r="A874" s="2" t="str">
        <f>HYPERLINK("https://ibp.a2mac1.com/costing(costing:projects/details/8191/equipment/6948291)","Equipment (Injection Molding)")</f>
        <v>Equipment (Injection Molding)</v>
      </c>
      <c r="B874">
        <v>6948291</v>
      </c>
      <c r="C874">
        <v>6975689</v>
      </c>
      <c r="H874" t="s">
        <v>136</v>
      </c>
      <c r="I874">
        <v>896.00033399999995</v>
      </c>
      <c r="J874">
        <v>0</v>
      </c>
      <c r="K874">
        <v>0.038080000000000003</v>
      </c>
      <c r="L874">
        <v>0</v>
      </c>
      <c r="M874">
        <v>0.22033656284153005</v>
      </c>
      <c r="N874">
        <v>0</v>
      </c>
      <c r="O874">
        <v>0.0036722760473588342</v>
      </c>
      <c r="P874">
        <v>0.00023411720000000001</v>
      </c>
      <c r="Q874">
        <v>1.938572467057377E-05</v>
      </c>
      <c r="R874">
        <v>4760</v>
      </c>
      <c r="S874">
        <v>0</v>
      </c>
      <c r="T874">
        <v>0</v>
      </c>
      <c r="V874">
        <v>45.90</v>
      </c>
      <c r="W874">
        <v>7</v>
      </c>
      <c r="X874">
        <v>85</v>
      </c>
      <c r="Y874">
        <v>3</v>
      </c>
      <c r="Z874">
        <v>4</v>
      </c>
      <c r="AA874">
        <v>5</v>
      </c>
      <c r="AB874">
        <v>0</v>
      </c>
      <c r="AC874">
        <v>0</v>
      </c>
      <c r="AD874">
        <v>0</v>
      </c>
      <c r="AE874">
        <v>0</v>
      </c>
      <c r="AF874">
        <v>0.0033999999999999998</v>
      </c>
      <c r="AG874">
        <v>0</v>
      </c>
      <c r="AH874">
        <v>0</v>
      </c>
      <c r="AI874">
        <v>2</v>
      </c>
      <c r="AJ874">
        <v>0</v>
      </c>
      <c r="AK874">
        <v>0</v>
      </c>
      <c r="AL874">
        <v>80</v>
      </c>
      <c r="AM874">
        <v>0.595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1.275</v>
      </c>
      <c r="AU874">
        <v>0</v>
      </c>
      <c r="AV874">
        <v>0</v>
      </c>
    </row>
    <row r="875" spans="1:48" ht="12.75">
      <c r="A875" s="2" t="str">
        <f>HYPERLINK("https://ibp.a2mac1.com/costing(costing:projects/details/8191/equipment/6948047)","Equipment (Injection Molding)")</f>
        <v>Equipment (Injection Molding)</v>
      </c>
      <c r="B875">
        <v>6948047</v>
      </c>
      <c r="C875">
        <v>6975463</v>
      </c>
      <c r="H875" t="s">
        <v>136</v>
      </c>
      <c r="I875">
        <v>70678.614581999995</v>
      </c>
      <c r="J875">
        <v>0</v>
      </c>
      <c r="K875">
        <v>3.0038399999999998</v>
      </c>
      <c r="L875">
        <v>0</v>
      </c>
      <c r="M875">
        <v>17.380666515911283</v>
      </c>
      <c r="N875">
        <v>0</v>
      </c>
      <c r="O875">
        <v>0.28967777526518806</v>
      </c>
      <c r="P875">
        <v>0.0184677156</v>
      </c>
      <c r="Q875">
        <v>0.0025647316865026666</v>
      </c>
      <c r="R875">
        <v>375480</v>
      </c>
      <c r="S875">
        <v>0</v>
      </c>
      <c r="T875">
        <v>0</v>
      </c>
      <c r="V875">
        <v>3620.70</v>
      </c>
      <c r="W875">
        <v>7</v>
      </c>
      <c r="X875">
        <v>85</v>
      </c>
      <c r="Y875">
        <v>3</v>
      </c>
      <c r="Z875">
        <v>4</v>
      </c>
      <c r="AA875">
        <v>5</v>
      </c>
      <c r="AB875">
        <v>0</v>
      </c>
      <c r="AC875">
        <v>0</v>
      </c>
      <c r="AD875">
        <v>0</v>
      </c>
      <c r="AE875">
        <v>0</v>
      </c>
      <c r="AF875">
        <v>0.26819999999999999</v>
      </c>
      <c r="AG875">
        <v>0</v>
      </c>
      <c r="AH875">
        <v>0</v>
      </c>
      <c r="AI875">
        <v>2</v>
      </c>
      <c r="AJ875">
        <v>0</v>
      </c>
      <c r="AK875">
        <v>0</v>
      </c>
      <c r="AL875">
        <v>80</v>
      </c>
      <c r="AM875">
        <v>46.935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100.575</v>
      </c>
      <c r="AU875">
        <v>0</v>
      </c>
      <c r="AV875">
        <v>0</v>
      </c>
    </row>
    <row r="876" spans="1:48" ht="12.75">
      <c r="A876" s="2" t="str">
        <f>HYPERLINK("https://ibp.a2mac1.com/costing(costing:projects/details/8191/equipment/6948048)","DC machine - General")</f>
        <v>DC machine - General</v>
      </c>
      <c r="B876">
        <v>6948048</v>
      </c>
      <c r="C876">
        <v>6975464</v>
      </c>
      <c r="E876" t="s">
        <v>659</v>
      </c>
      <c r="H876" t="s">
        <v>136</v>
      </c>
      <c r="I876">
        <v>116914.84457142858</v>
      </c>
      <c r="J876">
        <v>0</v>
      </c>
      <c r="K876">
        <v>3.60</v>
      </c>
      <c r="L876">
        <v>0</v>
      </c>
      <c r="M876">
        <v>27.497982091197134</v>
      </c>
      <c r="N876">
        <v>0</v>
      </c>
      <c r="O876">
        <v>1.4130907463531861</v>
      </c>
      <c r="P876">
        <v>0.21231216666666666</v>
      </c>
      <c r="Q876">
        <v>0.011732166376415484</v>
      </c>
      <c r="R876">
        <v>635568</v>
      </c>
      <c r="S876">
        <v>0</v>
      </c>
      <c r="T876">
        <v>0</v>
      </c>
      <c r="V876">
        <v>10800</v>
      </c>
      <c r="W876">
        <v>7</v>
      </c>
      <c r="X876">
        <v>85</v>
      </c>
      <c r="Y876">
        <v>3</v>
      </c>
      <c r="Z876">
        <v>4</v>
      </c>
      <c r="AA876">
        <v>5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3</v>
      </c>
      <c r="AJ876">
        <v>0</v>
      </c>
      <c r="AK876">
        <v>0</v>
      </c>
      <c r="AL876">
        <v>100</v>
      </c>
      <c r="AM876">
        <v>45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100</v>
      </c>
      <c r="AU876">
        <v>0</v>
      </c>
      <c r="AV876">
        <v>0</v>
      </c>
    </row>
    <row r="877" spans="1:48" ht="12.75">
      <c r="A877" s="2" t="str">
        <f>HYPERLINK("https://ibp.a2mac1.com/costing(costing:projects/details/8191/equipment/6948049)","DC machine - General")</f>
        <v>DC machine - General</v>
      </c>
      <c r="B877">
        <v>6948049</v>
      </c>
      <c r="C877">
        <v>6975465</v>
      </c>
      <c r="E877" t="s">
        <v>659</v>
      </c>
      <c r="H877" t="s">
        <v>136</v>
      </c>
      <c r="I877">
        <v>116914.84457142858</v>
      </c>
      <c r="J877">
        <v>0</v>
      </c>
      <c r="K877">
        <v>3.60</v>
      </c>
      <c r="L877">
        <v>0</v>
      </c>
      <c r="M877">
        <v>27.497982091197134</v>
      </c>
      <c r="N877">
        <v>0</v>
      </c>
      <c r="O877">
        <v>1.298515820973198</v>
      </c>
      <c r="P877">
        <v>0.19509766666666667</v>
      </c>
      <c r="Q877">
        <v>0.011732166376415484</v>
      </c>
      <c r="R877">
        <v>635568</v>
      </c>
      <c r="S877">
        <v>0</v>
      </c>
      <c r="T877">
        <v>0</v>
      </c>
      <c r="V877">
        <v>10800</v>
      </c>
      <c r="W877">
        <v>7</v>
      </c>
      <c r="X877">
        <v>85</v>
      </c>
      <c r="Y877">
        <v>3</v>
      </c>
      <c r="Z877">
        <v>4</v>
      </c>
      <c r="AA877">
        <v>5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3</v>
      </c>
      <c r="AJ877">
        <v>0</v>
      </c>
      <c r="AK877">
        <v>0</v>
      </c>
      <c r="AL877">
        <v>100</v>
      </c>
      <c r="AM877">
        <v>45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100</v>
      </c>
      <c r="AU877">
        <v>0</v>
      </c>
      <c r="AV877">
        <v>0</v>
      </c>
    </row>
    <row r="878" spans="1:48" ht="12.75">
      <c r="A878" s="2" t="str">
        <f>HYPERLINK("https://ibp.a2mac1.com/costing(costing:projects/details/8191/equipment/6948050)","Equipment (Injection Molding)")</f>
        <v>Equipment (Injection Molding)</v>
      </c>
      <c r="B878">
        <v>6948050</v>
      </c>
      <c r="C878">
        <v>6975466</v>
      </c>
      <c r="H878" t="s">
        <v>136</v>
      </c>
      <c r="I878">
        <v>29831.540531999999</v>
      </c>
      <c r="J878">
        <v>0</v>
      </c>
      <c r="K878">
        <v>1.2678400000000001</v>
      </c>
      <c r="L878">
        <v>0</v>
      </c>
      <c r="M878">
        <v>7.3359114451944709</v>
      </c>
      <c r="N878">
        <v>0</v>
      </c>
      <c r="O878">
        <v>0.12226519075324119</v>
      </c>
      <c r="P878">
        <v>0.0077947255999999999</v>
      </c>
      <c r="Q878">
        <v>0.00082666429010910315</v>
      </c>
      <c r="R878">
        <v>158480</v>
      </c>
      <c r="S878">
        <v>0</v>
      </c>
      <c r="T878">
        <v>0</v>
      </c>
      <c r="V878">
        <v>1528.20</v>
      </c>
      <c r="W878">
        <v>7</v>
      </c>
      <c r="X878">
        <v>85</v>
      </c>
      <c r="Y878">
        <v>3</v>
      </c>
      <c r="Z878">
        <v>4</v>
      </c>
      <c r="AA878">
        <v>5</v>
      </c>
      <c r="AB878">
        <v>0</v>
      </c>
      <c r="AC878">
        <v>0</v>
      </c>
      <c r="AD878">
        <v>0</v>
      </c>
      <c r="AE878">
        <v>0</v>
      </c>
      <c r="AF878">
        <v>0.1132</v>
      </c>
      <c r="AG878">
        <v>0</v>
      </c>
      <c r="AH878">
        <v>0</v>
      </c>
      <c r="AI878">
        <v>2</v>
      </c>
      <c r="AJ878">
        <v>0</v>
      </c>
      <c r="AK878">
        <v>0</v>
      </c>
      <c r="AL878">
        <v>80</v>
      </c>
      <c r="AM878">
        <v>19.81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42.45</v>
      </c>
      <c r="AU878">
        <v>0</v>
      </c>
      <c r="AV878">
        <v>0</v>
      </c>
    </row>
    <row r="879" spans="1:48" ht="12.75">
      <c r="A879" s="2" t="str">
        <f>HYPERLINK("https://ibp.a2mac1.com/costing(costing:projects/details/8191/equipment/6948051)","Equipment (Injection Molding)")</f>
        <v>Equipment (Injection Molding)</v>
      </c>
      <c r="B879">
        <v>6948051</v>
      </c>
      <c r="C879">
        <v>6975467</v>
      </c>
      <c r="H879" t="s">
        <v>136</v>
      </c>
      <c r="I879">
        <v>52.705902000000002</v>
      </c>
      <c r="J879">
        <v>0</v>
      </c>
      <c r="K879">
        <v>0.0022399999999999998</v>
      </c>
      <c r="L879">
        <v>0</v>
      </c>
      <c r="M879">
        <v>0.012960974284795885</v>
      </c>
      <c r="N879">
        <v>0</v>
      </c>
      <c r="O879">
        <v>0.00021601623807993142</v>
      </c>
      <c r="P879">
        <v>1.37716E-05</v>
      </c>
      <c r="Q879">
        <v>1.1310048438428157E-06</v>
      </c>
      <c r="R879">
        <v>280</v>
      </c>
      <c r="S879">
        <v>0</v>
      </c>
      <c r="T879">
        <v>0</v>
      </c>
      <c r="V879">
        <v>2.70</v>
      </c>
      <c r="W879">
        <v>7</v>
      </c>
      <c r="X879">
        <v>85</v>
      </c>
      <c r="Y879">
        <v>3</v>
      </c>
      <c r="Z879">
        <v>4</v>
      </c>
      <c r="AA879">
        <v>5</v>
      </c>
      <c r="AB879">
        <v>0</v>
      </c>
      <c r="AC879">
        <v>0</v>
      </c>
      <c r="AD879">
        <v>0</v>
      </c>
      <c r="AE879">
        <v>0</v>
      </c>
      <c r="AF879">
        <v>0.00020000000000000001</v>
      </c>
      <c r="AG879">
        <v>0</v>
      </c>
      <c r="AH879">
        <v>0</v>
      </c>
      <c r="AI879">
        <v>2</v>
      </c>
      <c r="AJ879">
        <v>0</v>
      </c>
      <c r="AK879">
        <v>0</v>
      </c>
      <c r="AL879">
        <v>80</v>
      </c>
      <c r="AM879">
        <v>0.035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0.075</v>
      </c>
      <c r="AU879">
        <v>0</v>
      </c>
      <c r="AV879">
        <v>0</v>
      </c>
    </row>
    <row r="880" spans="1:48" ht="12.75">
      <c r="A880" s="2" t="str">
        <f>HYPERLINK("https://ibp.a2mac1.com/costing(costing:projects/details/8191/equipment/6948292)","Equipment (Injection Molding)")</f>
        <v>Equipment (Injection Molding)</v>
      </c>
      <c r="B880">
        <v>6948292</v>
      </c>
      <c r="C880">
        <v>6975690</v>
      </c>
      <c r="H880" t="s">
        <v>136</v>
      </c>
      <c r="I880">
        <v>1581.17706</v>
      </c>
      <c r="J880">
        <v>0</v>
      </c>
      <c r="K880">
        <v>0.067199999999999996</v>
      </c>
      <c r="L880">
        <v>0</v>
      </c>
      <c r="M880">
        <v>0.38882922854387658</v>
      </c>
      <c r="N880">
        <v>0</v>
      </c>
      <c r="O880">
        <v>0.0064804871423979424</v>
      </c>
      <c r="P880">
        <v>0.00041314800000000001</v>
      </c>
      <c r="Q880">
        <v>3.4437567458534232E-05</v>
      </c>
      <c r="R880">
        <v>8400</v>
      </c>
      <c r="S880">
        <v>0</v>
      </c>
      <c r="T880">
        <v>0</v>
      </c>
      <c r="V880">
        <v>81</v>
      </c>
      <c r="W880">
        <v>7</v>
      </c>
      <c r="X880">
        <v>85</v>
      </c>
      <c r="Y880">
        <v>3</v>
      </c>
      <c r="Z880">
        <v>4</v>
      </c>
      <c r="AA880">
        <v>5</v>
      </c>
      <c r="AB880">
        <v>0</v>
      </c>
      <c r="AC880">
        <v>0</v>
      </c>
      <c r="AD880">
        <v>0</v>
      </c>
      <c r="AE880">
        <v>0</v>
      </c>
      <c r="AF880">
        <v>0.0060000000000000001</v>
      </c>
      <c r="AG880">
        <v>0</v>
      </c>
      <c r="AH880">
        <v>0</v>
      </c>
      <c r="AI880">
        <v>2</v>
      </c>
      <c r="AJ880">
        <v>0</v>
      </c>
      <c r="AK880">
        <v>0</v>
      </c>
      <c r="AL880">
        <v>80</v>
      </c>
      <c r="AM880">
        <v>1.05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2.25</v>
      </c>
      <c r="AU880">
        <v>0</v>
      </c>
      <c r="AV880">
        <v>0</v>
      </c>
    </row>
    <row r="881" spans="1:48" ht="12.75">
      <c r="A881" s="2" t="str">
        <f>HYPERLINK("https://ibp.a2mac1.com/costing(costing:projects/details/8191/equipment/6948294)","No.04 - Injection Press - 100T - 33kW - 400x400 - Max Volume 260cm3 ")</f>
        <v xml:space="preserve">No.04 - Injection Press - 100T - 33kW - 400x400 - Max Volume 260cm3 </v>
      </c>
      <c r="B881">
        <v>6948294</v>
      </c>
      <c r="C881">
        <v>6975692</v>
      </c>
      <c r="E881" t="s">
        <v>499</v>
      </c>
      <c r="H881" t="s">
        <v>136</v>
      </c>
      <c r="I881">
        <v>22101.844096000001</v>
      </c>
      <c r="J881">
        <v>0</v>
      </c>
      <c r="K881">
        <v>2.282</v>
      </c>
      <c r="L881">
        <v>0</v>
      </c>
      <c r="M881">
        <v>6.8788891186113794</v>
      </c>
      <c r="N881">
        <v>0</v>
      </c>
      <c r="O881">
        <v>0.051211686197883383</v>
      </c>
      <c r="P881">
        <v>0.007689470408833333</v>
      </c>
      <c r="Q881">
        <v>0.0038399242942333653</v>
      </c>
      <c r="R881">
        <v>130000</v>
      </c>
      <c r="S881">
        <v>0</v>
      </c>
      <c r="T881">
        <v>0</v>
      </c>
      <c r="V881">
        <v>7200</v>
      </c>
      <c r="W881">
        <v>8</v>
      </c>
      <c r="X881">
        <v>85</v>
      </c>
      <c r="Y881">
        <v>3</v>
      </c>
      <c r="Z881">
        <v>4</v>
      </c>
      <c r="AA881">
        <v>5</v>
      </c>
      <c r="AB881">
        <v>0</v>
      </c>
      <c r="AC881">
        <v>0</v>
      </c>
      <c r="AD881">
        <v>0</v>
      </c>
      <c r="AE881">
        <v>0</v>
      </c>
      <c r="AF881">
        <v>0.25</v>
      </c>
      <c r="AG881">
        <v>0</v>
      </c>
      <c r="AH881">
        <v>0</v>
      </c>
      <c r="AI881">
        <v>2</v>
      </c>
      <c r="AJ881">
        <v>0</v>
      </c>
      <c r="AK881">
        <v>0</v>
      </c>
      <c r="AL881">
        <v>93</v>
      </c>
      <c r="AM881">
        <v>30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33.60</v>
      </c>
      <c r="AU881">
        <v>0.05</v>
      </c>
      <c r="AV881">
        <v>0</v>
      </c>
    </row>
    <row r="882" spans="1:48" ht="12.75">
      <c r="A882" s="2" t="str">
        <f>HYPERLINK("https://ibp.a2mac1.com/costing(costing:projects/details/8191/equipment/6948293)","Packaging")</f>
        <v>Packaging</v>
      </c>
      <c r="B882">
        <v>6948293</v>
      </c>
      <c r="C882">
        <v>6975691</v>
      </c>
      <c r="H882" t="s">
        <v>136</v>
      </c>
      <c r="I882">
        <v>4437.4535986499995</v>
      </c>
      <c r="J882">
        <v>0</v>
      </c>
      <c r="K882">
        <v>0.08</v>
      </c>
      <c r="L882">
        <v>0</v>
      </c>
      <c r="M882">
        <v>1.0342676949774992</v>
      </c>
      <c r="N882">
        <v>0</v>
      </c>
      <c r="O882">
        <v>0.0086188974581458272</v>
      </c>
      <c r="P882">
        <v>0.034429000000000001</v>
      </c>
      <c r="Q882">
        <v>1.5514015424662487E-05</v>
      </c>
      <c r="R882">
        <v>29999.99999</v>
      </c>
      <c r="S882">
        <v>0</v>
      </c>
      <c r="T882">
        <v>0</v>
      </c>
      <c r="V882">
        <v>900</v>
      </c>
      <c r="W882">
        <v>10</v>
      </c>
      <c r="X882">
        <v>85</v>
      </c>
      <c r="Y882">
        <v>3</v>
      </c>
      <c r="Z882">
        <v>4</v>
      </c>
      <c r="AA882">
        <v>5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50</v>
      </c>
      <c r="AM882">
        <v>2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10</v>
      </c>
      <c r="AU882">
        <v>0</v>
      </c>
      <c r="AV882">
        <v>0</v>
      </c>
    </row>
    <row r="883" spans="1:48" ht="12.75">
      <c r="A883" s="2" t="str">
        <f>HYPERLINK("https://ibp.a2mac1.com/costing(costing:projects/details/8191/equipment/6948295)","No.03 - Injection Press - 80T - 30kW - 370x370 - Max Volume 260cm3 ")</f>
        <v xml:space="preserve">No.03 - Injection Press - 80T - 30kW - 370x370 - Max Volume 260cm3 </v>
      </c>
      <c r="B883">
        <v>6948295</v>
      </c>
      <c r="C883">
        <v>6975693</v>
      </c>
      <c r="E883" t="s">
        <v>499</v>
      </c>
      <c r="H883" t="s">
        <v>136</v>
      </c>
      <c r="I883">
        <v>19639.85152</v>
      </c>
      <c r="J883">
        <v>0</v>
      </c>
      <c r="K883">
        <v>2.1332</v>
      </c>
      <c r="L883">
        <v>0</v>
      </c>
      <c r="M883">
        <v>6.2138575891996144</v>
      </c>
      <c r="N883">
        <v>0</v>
      </c>
      <c r="O883">
        <v>0.030572714421043395</v>
      </c>
      <c r="P883">
        <v>0.0050818093415833333</v>
      </c>
      <c r="Q883">
        <v>0.0037601205107039536</v>
      </c>
      <c r="R883">
        <v>115000</v>
      </c>
      <c r="S883">
        <v>0</v>
      </c>
      <c r="T883">
        <v>0</v>
      </c>
      <c r="V883">
        <v>7200</v>
      </c>
      <c r="W883">
        <v>8</v>
      </c>
      <c r="X883">
        <v>85</v>
      </c>
      <c r="Y883">
        <v>3</v>
      </c>
      <c r="Z883">
        <v>4</v>
      </c>
      <c r="AA883">
        <v>5</v>
      </c>
      <c r="AB883">
        <v>0</v>
      </c>
      <c r="AC883">
        <v>0</v>
      </c>
      <c r="AD883">
        <v>0</v>
      </c>
      <c r="AE883">
        <v>0</v>
      </c>
      <c r="AF883">
        <v>0.25</v>
      </c>
      <c r="AG883">
        <v>0</v>
      </c>
      <c r="AH883">
        <v>0</v>
      </c>
      <c r="AI883">
        <v>2</v>
      </c>
      <c r="AJ883">
        <v>0</v>
      </c>
      <c r="AK883">
        <v>0</v>
      </c>
      <c r="AL883">
        <v>93</v>
      </c>
      <c r="AM883">
        <v>28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32</v>
      </c>
      <c r="AU883">
        <v>0.05</v>
      </c>
      <c r="AV883">
        <v>0</v>
      </c>
    </row>
    <row r="884" spans="1:48" ht="12.75">
      <c r="A884" s="2" t="str">
        <f>HYPERLINK("https://ibp.a2mac1.com/costing(costing:projects/details/8191/equipment/6948296)","Packaging")</f>
        <v>Packaging</v>
      </c>
      <c r="B884">
        <v>6948296</v>
      </c>
      <c r="C884">
        <v>6975694</v>
      </c>
      <c r="H884" t="s">
        <v>136</v>
      </c>
      <c r="I884">
        <v>4437.4535986499995</v>
      </c>
      <c r="J884">
        <v>0</v>
      </c>
      <c r="K884">
        <v>0.08</v>
      </c>
      <c r="L884">
        <v>0</v>
      </c>
      <c r="M884">
        <v>1.0342676949774992</v>
      </c>
      <c r="N884">
        <v>0</v>
      </c>
      <c r="O884">
        <v>0.0086188974581458272</v>
      </c>
      <c r="P884">
        <v>0.034429000000000001</v>
      </c>
      <c r="Q884">
        <v>1.5514015424662487E-05</v>
      </c>
      <c r="R884">
        <v>29999.99999</v>
      </c>
      <c r="S884">
        <v>0</v>
      </c>
      <c r="T884">
        <v>0</v>
      </c>
      <c r="V884">
        <v>900</v>
      </c>
      <c r="W884">
        <v>10</v>
      </c>
      <c r="X884">
        <v>85</v>
      </c>
      <c r="Y884">
        <v>3</v>
      </c>
      <c r="Z884">
        <v>4</v>
      </c>
      <c r="AA884">
        <v>5</v>
      </c>
      <c r="AB884">
        <v>0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50</v>
      </c>
      <c r="AM884">
        <v>2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10</v>
      </c>
      <c r="AU884">
        <v>0</v>
      </c>
      <c r="AV884">
        <v>0</v>
      </c>
    </row>
    <row r="885" spans="1:48" ht="12.75">
      <c r="A885" s="2" t="str">
        <f>HYPERLINK("https://ibp.a2mac1.com/costing(costing:projects/details/8191/equipment/6948297)","No.06 - Injection Press - 200T - 45kW - 510x510 - Max Volume 624cm3 ")</f>
        <v xml:space="preserve">No.06 - Injection Press - 200T - 45kW - 510x510 - Max Volume 624cm3 </v>
      </c>
      <c r="B885">
        <v>6948297</v>
      </c>
      <c r="C885">
        <v>6975695</v>
      </c>
      <c r="E885" t="s">
        <v>499</v>
      </c>
      <c r="H885" t="s">
        <v>136</v>
      </c>
      <c r="I885">
        <v>34247.230880000003</v>
      </c>
      <c r="J885">
        <v>0</v>
      </c>
      <c r="K885">
        <v>2.6539999999999999</v>
      </c>
      <c r="L885">
        <v>0</v>
      </c>
      <c r="M885">
        <v>9.7654160848601741</v>
      </c>
      <c r="N885">
        <v>0</v>
      </c>
      <c r="O885">
        <v>0.052289462949499627</v>
      </c>
      <c r="P885">
        <v>0.0055305597966666667</v>
      </c>
      <c r="Q885">
        <v>0.0041863075301832205</v>
      </c>
      <c r="R885">
        <v>200000</v>
      </c>
      <c r="S885">
        <v>0</v>
      </c>
      <c r="T885">
        <v>0</v>
      </c>
      <c r="V885">
        <v>7200</v>
      </c>
      <c r="W885">
        <v>8</v>
      </c>
      <c r="X885">
        <v>85</v>
      </c>
      <c r="Y885">
        <v>3</v>
      </c>
      <c r="Z885">
        <v>4</v>
      </c>
      <c r="AA885">
        <v>5</v>
      </c>
      <c r="AB885">
        <v>0</v>
      </c>
      <c r="AC885">
        <v>0</v>
      </c>
      <c r="AD885">
        <v>0</v>
      </c>
      <c r="AE885">
        <v>0</v>
      </c>
      <c r="AF885">
        <v>0.25</v>
      </c>
      <c r="AG885">
        <v>0</v>
      </c>
      <c r="AH885">
        <v>0</v>
      </c>
      <c r="AI885">
        <v>2</v>
      </c>
      <c r="AJ885">
        <v>0</v>
      </c>
      <c r="AK885">
        <v>0</v>
      </c>
      <c r="AL885">
        <v>93</v>
      </c>
      <c r="AM885">
        <v>35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58</v>
      </c>
      <c r="AU885">
        <v>0.05</v>
      </c>
      <c r="AV885">
        <v>0</v>
      </c>
    </row>
    <row r="886" spans="1:48" ht="12.75">
      <c r="A886" s="2" t="str">
        <f>HYPERLINK("https://ibp.a2mac1.com/costing(costing:projects/details/8191/equipment/6948298)","Packaging")</f>
        <v>Packaging</v>
      </c>
      <c r="B886">
        <v>6948298</v>
      </c>
      <c r="C886">
        <v>6975696</v>
      </c>
      <c r="H886" t="s">
        <v>136</v>
      </c>
      <c r="I886">
        <v>4437.4535986499995</v>
      </c>
      <c r="J886">
        <v>0</v>
      </c>
      <c r="K886">
        <v>0.08</v>
      </c>
      <c r="L886">
        <v>0</v>
      </c>
      <c r="M886">
        <v>1.0342676949774992</v>
      </c>
      <c r="N886">
        <v>0</v>
      </c>
      <c r="O886">
        <v>0.0086188974581458272</v>
      </c>
      <c r="P886">
        <v>0.034429000000000001</v>
      </c>
      <c r="Q886">
        <v>1.5514015424662487E-05</v>
      </c>
      <c r="R886">
        <v>29999.99999</v>
      </c>
      <c r="S886">
        <v>0</v>
      </c>
      <c r="T886">
        <v>0</v>
      </c>
      <c r="V886">
        <v>900</v>
      </c>
      <c r="W886">
        <v>10</v>
      </c>
      <c r="X886">
        <v>85</v>
      </c>
      <c r="Y886">
        <v>3</v>
      </c>
      <c r="Z886">
        <v>4</v>
      </c>
      <c r="AA886">
        <v>5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50</v>
      </c>
      <c r="AM886">
        <v>2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10</v>
      </c>
      <c r="AU886">
        <v>0</v>
      </c>
      <c r="AV886">
        <v>0</v>
      </c>
    </row>
    <row r="887" spans="1:48" ht="12.75">
      <c r="A887" s="2" t="str">
        <f>HYPERLINK("https://ibp.a2mac1.com/costing(costing:projects/details/8191/equipment/6948299)","No.02 - Injection Press - 60T - 25kW - 320x320 - Max Volume 164cm3 ")</f>
        <v xml:space="preserve">No.02 - Injection Press - 60T - 25kW - 320x320 - Max Volume 164cm3 </v>
      </c>
      <c r="B887">
        <v>6948299</v>
      </c>
      <c r="C887">
        <v>6975697</v>
      </c>
      <c r="E887" t="s">
        <v>499</v>
      </c>
      <c r="H887" t="s">
        <v>136</v>
      </c>
      <c r="I887">
        <v>16929.888640000001</v>
      </c>
      <c r="J887">
        <v>0</v>
      </c>
      <c r="K887">
        <v>1.9124000000000001</v>
      </c>
      <c r="L887">
        <v>0</v>
      </c>
      <c r="M887">
        <v>5.4369722661523623</v>
      </c>
      <c r="N887">
        <v>0</v>
      </c>
      <c r="O887">
        <v>0.043228520736936032</v>
      </c>
      <c r="P887">
        <v>0.0082121887013333339</v>
      </c>
      <c r="Q887">
        <v>0.0036668942719382835</v>
      </c>
      <c r="R887">
        <v>100000</v>
      </c>
      <c r="S887">
        <v>0</v>
      </c>
      <c r="T887">
        <v>0</v>
      </c>
      <c r="V887">
        <v>7200</v>
      </c>
      <c r="W887">
        <v>8</v>
      </c>
      <c r="X887">
        <v>85</v>
      </c>
      <c r="Y887">
        <v>3</v>
      </c>
      <c r="Z887">
        <v>4</v>
      </c>
      <c r="AA887">
        <v>5</v>
      </c>
      <c r="AB887">
        <v>0</v>
      </c>
      <c r="AC887">
        <v>0</v>
      </c>
      <c r="AD887">
        <v>0</v>
      </c>
      <c r="AE887">
        <v>0</v>
      </c>
      <c r="AF887">
        <v>0.25</v>
      </c>
      <c r="AG887">
        <v>0</v>
      </c>
      <c r="AH887">
        <v>0</v>
      </c>
      <c r="AI887">
        <v>2</v>
      </c>
      <c r="AJ887">
        <v>0</v>
      </c>
      <c r="AK887">
        <v>0</v>
      </c>
      <c r="AL887">
        <v>97</v>
      </c>
      <c r="AM887">
        <v>24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24</v>
      </c>
      <c r="AU887">
        <v>0.05</v>
      </c>
      <c r="AV887">
        <v>0</v>
      </c>
    </row>
    <row r="888" spans="1:48" ht="12.75">
      <c r="A888" s="2" t="str">
        <f>HYPERLINK("https://ibp.a2mac1.com/costing(costing:projects/details/8191/equipment/6948300)","Packaging")</f>
        <v>Packaging</v>
      </c>
      <c r="B888">
        <v>6948300</v>
      </c>
      <c r="C888">
        <v>6975698</v>
      </c>
      <c r="H888" t="s">
        <v>136</v>
      </c>
      <c r="I888">
        <v>4437.4535986499995</v>
      </c>
      <c r="J888">
        <v>0</v>
      </c>
      <c r="K888">
        <v>0.08</v>
      </c>
      <c r="L888">
        <v>0</v>
      </c>
      <c r="M888">
        <v>1.0342676949774992</v>
      </c>
      <c r="N888">
        <v>0</v>
      </c>
      <c r="O888">
        <v>0.0086188974581458272</v>
      </c>
      <c r="P888">
        <v>0.034429000000000001</v>
      </c>
      <c r="Q888">
        <v>1.5514015424662487E-05</v>
      </c>
      <c r="R888">
        <v>29999.99999</v>
      </c>
      <c r="S888">
        <v>0</v>
      </c>
      <c r="T888">
        <v>0</v>
      </c>
      <c r="V888">
        <v>900</v>
      </c>
      <c r="W888">
        <v>10</v>
      </c>
      <c r="X888">
        <v>85</v>
      </c>
      <c r="Y888">
        <v>3</v>
      </c>
      <c r="Z888">
        <v>4</v>
      </c>
      <c r="AA888">
        <v>5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50</v>
      </c>
      <c r="AM888">
        <v>2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10</v>
      </c>
      <c r="AU888">
        <v>0</v>
      </c>
      <c r="AV888">
        <v>0</v>
      </c>
    </row>
    <row r="889" spans="1:48" ht="12.75">
      <c r="A889" s="2" t="str">
        <f>HYPERLINK("https://ibp.a2mac1.com/costing(costing:projects/details/8191/equipment/6948301)","Equipment (Injection Molding)")</f>
        <v>Equipment (Injection Molding)</v>
      </c>
      <c r="B889">
        <v>6948301</v>
      </c>
      <c r="C889">
        <v>6975700</v>
      </c>
      <c r="H889" t="s">
        <v>136</v>
      </c>
      <c r="I889">
        <v>1054.1180400000001</v>
      </c>
      <c r="J889">
        <v>0</v>
      </c>
      <c r="K889">
        <v>0.0448</v>
      </c>
      <c r="L889">
        <v>0</v>
      </c>
      <c r="M889">
        <v>0.25921948569591768</v>
      </c>
      <c r="N889">
        <v>0</v>
      </c>
      <c r="O889">
        <v>0.0043203247615986283</v>
      </c>
      <c r="P889">
        <v>0.00027543199999999999</v>
      </c>
      <c r="Q889">
        <v>2.2841729537126327E-05</v>
      </c>
      <c r="R889">
        <v>5600</v>
      </c>
      <c r="S889">
        <v>0</v>
      </c>
      <c r="T889">
        <v>0</v>
      </c>
      <c r="V889">
        <v>54</v>
      </c>
      <c r="W889">
        <v>7</v>
      </c>
      <c r="X889">
        <v>85</v>
      </c>
      <c r="Y889">
        <v>3</v>
      </c>
      <c r="Z889">
        <v>4</v>
      </c>
      <c r="AA889">
        <v>5</v>
      </c>
      <c r="AB889">
        <v>0</v>
      </c>
      <c r="AC889">
        <v>0</v>
      </c>
      <c r="AD889">
        <v>0</v>
      </c>
      <c r="AE889">
        <v>0</v>
      </c>
      <c r="AF889">
        <v>0.0040000000000000001</v>
      </c>
      <c r="AG889">
        <v>0</v>
      </c>
      <c r="AH889">
        <v>0</v>
      </c>
      <c r="AI889">
        <v>2</v>
      </c>
      <c r="AJ889">
        <v>0</v>
      </c>
      <c r="AK889">
        <v>0</v>
      </c>
      <c r="AL889">
        <v>80</v>
      </c>
      <c r="AM889">
        <v>0.70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1.50</v>
      </c>
      <c r="AU889">
        <v>0</v>
      </c>
      <c r="AV889">
        <v>0</v>
      </c>
    </row>
    <row r="890" spans="1:48" ht="12.75">
      <c r="A890" s="2" t="str">
        <f>HYPERLINK("https://ibp.a2mac1.com/costing(costing:projects/details/8191/equipment/6948302)","Equipment (Injection Molding)")</f>
        <v>Equipment (Injection Molding)</v>
      </c>
      <c r="B890">
        <v>6948302</v>
      </c>
      <c r="C890">
        <v>6975701</v>
      </c>
      <c r="H890" t="s">
        <v>136</v>
      </c>
      <c r="I890">
        <v>131.76475500000001</v>
      </c>
      <c r="J890">
        <v>0</v>
      </c>
      <c r="K890">
        <v>0.0055999999999999999</v>
      </c>
      <c r="L890">
        <v>0</v>
      </c>
      <c r="M890">
        <v>0.032402435711989711</v>
      </c>
      <c r="N890">
        <v>0</v>
      </c>
      <c r="O890">
        <v>0.00054004059519982854</v>
      </c>
      <c r="P890">
        <v>3.4428999999999999E-05</v>
      </c>
      <c r="Q890">
        <v>2.8296992740175987E-06</v>
      </c>
      <c r="R890">
        <v>700</v>
      </c>
      <c r="S890">
        <v>0</v>
      </c>
      <c r="T890">
        <v>0</v>
      </c>
      <c r="V890">
        <v>6.75</v>
      </c>
      <c r="W890">
        <v>7</v>
      </c>
      <c r="X890">
        <v>85</v>
      </c>
      <c r="Y890">
        <v>3</v>
      </c>
      <c r="Z890">
        <v>4</v>
      </c>
      <c r="AA890">
        <v>5</v>
      </c>
      <c r="AB890">
        <v>0</v>
      </c>
      <c r="AC890">
        <v>0</v>
      </c>
      <c r="AD890">
        <v>0</v>
      </c>
      <c r="AE890">
        <v>0</v>
      </c>
      <c r="AF890">
        <v>0.00050000000000000001</v>
      </c>
      <c r="AG890">
        <v>0</v>
      </c>
      <c r="AH890">
        <v>0</v>
      </c>
      <c r="AI890">
        <v>2</v>
      </c>
      <c r="AJ890">
        <v>0</v>
      </c>
      <c r="AK890">
        <v>0</v>
      </c>
      <c r="AL890">
        <v>80</v>
      </c>
      <c r="AM890">
        <v>0.0875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0.1875</v>
      </c>
      <c r="AU890">
        <v>0</v>
      </c>
      <c r="AV890">
        <v>0</v>
      </c>
    </row>
    <row r="891" spans="1:48" ht="12.75">
      <c r="A891" s="2" t="str">
        <f>HYPERLINK("https://ibp.a2mac1.com/costing(costing:projects/details/8191/equipment/6948303)","Equipment (Injection Molding)")</f>
        <v>Equipment (Injection Molding)</v>
      </c>
      <c r="B891">
        <v>6948303</v>
      </c>
      <c r="C891">
        <v>6975701</v>
      </c>
      <c r="H891" t="s">
        <v>136</v>
      </c>
      <c r="I891">
        <v>131.76475500000001</v>
      </c>
      <c r="J891">
        <v>0</v>
      </c>
      <c r="K891">
        <v>0.0055999999999999999</v>
      </c>
      <c r="L891">
        <v>0</v>
      </c>
      <c r="M891">
        <v>0.032402435711989711</v>
      </c>
      <c r="N891">
        <v>0</v>
      </c>
      <c r="O891">
        <v>0.00054004059519982854</v>
      </c>
      <c r="P891">
        <v>3.4428999999999999E-05</v>
      </c>
      <c r="Q891">
        <v>2.8296992740175987E-06</v>
      </c>
      <c r="R891">
        <v>700</v>
      </c>
      <c r="S891">
        <v>0</v>
      </c>
      <c r="T891">
        <v>0</v>
      </c>
      <c r="V891">
        <v>6.75</v>
      </c>
      <c r="W891">
        <v>7</v>
      </c>
      <c r="X891">
        <v>85</v>
      </c>
      <c r="Y891">
        <v>3</v>
      </c>
      <c r="Z891">
        <v>4</v>
      </c>
      <c r="AA891">
        <v>5</v>
      </c>
      <c r="AB891">
        <v>0</v>
      </c>
      <c r="AC891">
        <v>0</v>
      </c>
      <c r="AD891">
        <v>0</v>
      </c>
      <c r="AE891">
        <v>0</v>
      </c>
      <c r="AF891">
        <v>0.00050000000000000001</v>
      </c>
      <c r="AG891">
        <v>0</v>
      </c>
      <c r="AH891">
        <v>0</v>
      </c>
      <c r="AI891">
        <v>2</v>
      </c>
      <c r="AJ891">
        <v>0</v>
      </c>
      <c r="AK891">
        <v>0</v>
      </c>
      <c r="AL891">
        <v>80</v>
      </c>
      <c r="AM891">
        <v>0.0875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0.1875</v>
      </c>
      <c r="AU891">
        <v>0</v>
      </c>
      <c r="AV891">
        <v>0</v>
      </c>
    </row>
    <row r="892" spans="1:48" ht="12.75">
      <c r="A892" s="2" t="str">
        <f>HYPERLINK("https://ibp.a2mac1.com/costing(costing:projects/details/8191/equipment/6948061)","Assembly line")</f>
        <v>Assembly line</v>
      </c>
      <c r="B892">
        <v>6948061</v>
      </c>
      <c r="C892">
        <v>6975477</v>
      </c>
      <c r="H892" t="s">
        <v>136</v>
      </c>
      <c r="I892">
        <v>63074.721599999997</v>
      </c>
      <c r="J892">
        <v>0</v>
      </c>
      <c r="K892">
        <v>5.2000019999999996</v>
      </c>
      <c r="L892">
        <v>0</v>
      </c>
      <c r="M892">
        <v>18.953573456123433</v>
      </c>
      <c r="N892">
        <v>0</v>
      </c>
      <c r="O892">
        <v>0.31589289093539052</v>
      </c>
      <c r="P892">
        <v>0.068858000000000003</v>
      </c>
      <c r="Q892">
        <v>0.0015756906728061717</v>
      </c>
      <c r="R892">
        <v>450000</v>
      </c>
      <c r="S892">
        <v>0</v>
      </c>
      <c r="T892">
        <v>0</v>
      </c>
      <c r="V892">
        <v>1800</v>
      </c>
      <c r="W892">
        <v>10</v>
      </c>
      <c r="X892">
        <v>85</v>
      </c>
      <c r="Y892">
        <v>3</v>
      </c>
      <c r="Z892">
        <v>4</v>
      </c>
      <c r="AA892">
        <v>5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86.666700000000006</v>
      </c>
      <c r="AM892">
        <v>75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60</v>
      </c>
      <c r="AU892">
        <v>0</v>
      </c>
      <c r="AV892">
        <v>0</v>
      </c>
    </row>
    <row r="893" spans="1:48" ht="12.75">
      <c r="A893" s="2" t="str">
        <f>HYPERLINK("https://ibp.a2mac1.com/costing(costing:projects/details/8191/equipment/6948052)","Dummy Machine (PCBA+Final Assembly Line)")</f>
        <v>Dummy Machine (PCBA+Final Assembly Line)</v>
      </c>
      <c r="B893">
        <v>6948052</v>
      </c>
      <c r="C893">
        <v>6975468</v>
      </c>
      <c r="F893" t="s">
        <v>559</v>
      </c>
      <c r="H893" t="s">
        <v>136</v>
      </c>
      <c r="I893">
        <v>79501.662769714283</v>
      </c>
      <c r="J893">
        <v>0</v>
      </c>
      <c r="K893">
        <v>0.28895999999999999</v>
      </c>
      <c r="L893">
        <v>0</v>
      </c>
      <c r="M893">
        <v>16.624578413647427</v>
      </c>
      <c r="N893">
        <v>0</v>
      </c>
      <c r="O893">
        <v>0.43870415258236262</v>
      </c>
      <c r="P893">
        <v>0.076317616666666671</v>
      </c>
      <c r="Q893">
        <v>6.889185508913073E-05</v>
      </c>
      <c r="R893">
        <v>442771.10</v>
      </c>
      <c r="S893">
        <v>0</v>
      </c>
      <c r="T893">
        <v>0</v>
      </c>
      <c r="V893">
        <v>216</v>
      </c>
      <c r="W893">
        <v>7</v>
      </c>
      <c r="X893">
        <v>85</v>
      </c>
      <c r="Y893">
        <v>3</v>
      </c>
      <c r="Z893">
        <v>4</v>
      </c>
      <c r="AA893">
        <v>5</v>
      </c>
      <c r="AB893">
        <v>0</v>
      </c>
      <c r="AC893">
        <v>0</v>
      </c>
      <c r="AD893">
        <v>0</v>
      </c>
      <c r="AE893">
        <v>0</v>
      </c>
      <c r="AF893">
        <v>0.70</v>
      </c>
      <c r="AG893">
        <v>0</v>
      </c>
      <c r="AH893">
        <v>0</v>
      </c>
      <c r="AI893">
        <v>0.20</v>
      </c>
      <c r="AJ893">
        <v>0</v>
      </c>
      <c r="AK893">
        <v>0</v>
      </c>
      <c r="AL893">
        <v>86</v>
      </c>
      <c r="AM893">
        <v>4.20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19.40</v>
      </c>
      <c r="AU893">
        <v>0</v>
      </c>
      <c r="AV893">
        <v>0</v>
      </c>
    </row>
    <row r="894" spans="1:48" ht="12.75">
      <c r="A894" s="2" t="str">
        <f>HYPERLINK("https://ibp.a2mac1.com/costing(costing:projects/details/8191/equipment/6948054)","Equipment (Stamping)")</f>
        <v>Equipment (Stamping)</v>
      </c>
      <c r="B894">
        <v>6948054</v>
      </c>
      <c r="C894">
        <v>6975470</v>
      </c>
      <c r="H894" t="s">
        <v>136</v>
      </c>
      <c r="I894">
        <v>716.18946857142862</v>
      </c>
      <c r="J894">
        <v>0</v>
      </c>
      <c r="K894">
        <v>0.032000000000000001</v>
      </c>
      <c r="L894">
        <v>0</v>
      </c>
      <c r="M894">
        <v>0.17683919456307112</v>
      </c>
      <c r="N894">
        <v>0</v>
      </c>
      <c r="O894">
        <v>0.00049121998489741979</v>
      </c>
      <c r="P894">
        <v>5.7381666666666666E-05</v>
      </c>
      <c r="Q894">
        <v>0.0007589195758368921</v>
      </c>
      <c r="R894">
        <v>3700</v>
      </c>
      <c r="S894">
        <v>0</v>
      </c>
      <c r="T894">
        <v>0</v>
      </c>
      <c r="V894">
        <v>1800</v>
      </c>
      <c r="W894">
        <v>7</v>
      </c>
      <c r="X894">
        <v>85</v>
      </c>
      <c r="Y894">
        <v>3</v>
      </c>
      <c r="Z894">
        <v>4</v>
      </c>
      <c r="AA894">
        <v>5</v>
      </c>
      <c r="AB894">
        <v>0</v>
      </c>
      <c r="AC894">
        <v>0</v>
      </c>
      <c r="AD894">
        <v>0</v>
      </c>
      <c r="AE894">
        <v>0</v>
      </c>
      <c r="AF894">
        <v>0.005</v>
      </c>
      <c r="AG894">
        <v>0</v>
      </c>
      <c r="AH894">
        <v>0</v>
      </c>
      <c r="AI894">
        <v>2</v>
      </c>
      <c r="AJ894">
        <v>0</v>
      </c>
      <c r="AK894">
        <v>0</v>
      </c>
      <c r="AL894">
        <v>80</v>
      </c>
      <c r="AM894">
        <v>0.50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1.50</v>
      </c>
      <c r="AU894">
        <v>0</v>
      </c>
      <c r="AV894">
        <v>0</v>
      </c>
    </row>
    <row r="895" spans="1:48" ht="12.75">
      <c r="A895" s="2" t="str">
        <f>HYPERLINK("https://ibp.a2mac1.com/costing(costing:projects/details/8191/equipment/6948055)","No.01 - Generic CN Wire Bending ")</f>
        <v xml:space="preserve">No.01 - Generic CN Wire Bending </v>
      </c>
      <c r="B895">
        <v>6948055</v>
      </c>
      <c r="C895">
        <v>6975471</v>
      </c>
      <c r="E895" t="s">
        <v>499</v>
      </c>
      <c r="G895" t="s">
        <v>4772</v>
      </c>
      <c r="H895" t="s">
        <v>136</v>
      </c>
      <c r="I895">
        <v>39737.935922999997</v>
      </c>
      <c r="J895">
        <v>0</v>
      </c>
      <c r="K895">
        <v>0.40079999999999999</v>
      </c>
      <c r="L895">
        <v>0</v>
      </c>
      <c r="M895">
        <v>8.547922760045001</v>
      </c>
      <c r="N895">
        <v>0</v>
      </c>
      <c r="O895">
        <v>0.011872114944506946</v>
      </c>
      <c r="P895">
        <v>0.0057381666666666666</v>
      </c>
      <c r="Q895">
        <v>0.00070127896560270007</v>
      </c>
      <c r="R895">
        <v>219069.2378</v>
      </c>
      <c r="S895">
        <v>0</v>
      </c>
      <c r="T895">
        <v>0</v>
      </c>
      <c r="V895">
        <v>3600</v>
      </c>
      <c r="W895">
        <v>7</v>
      </c>
      <c r="X895">
        <v>85</v>
      </c>
      <c r="Y895">
        <v>3</v>
      </c>
      <c r="Z895">
        <v>4</v>
      </c>
      <c r="AA895">
        <v>5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0.25</v>
      </c>
      <c r="AJ895">
        <v>0</v>
      </c>
      <c r="AK895">
        <v>0</v>
      </c>
      <c r="AL895">
        <v>94</v>
      </c>
      <c r="AM895">
        <v>4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20</v>
      </c>
      <c r="AU895">
        <v>0.10</v>
      </c>
      <c r="AV895">
        <v>0</v>
      </c>
    </row>
    <row r="896" spans="1:48" ht="12.75">
      <c r="A896" s="2" t="str">
        <f>HYPERLINK("https://ibp.a2mac1.com/costing(costing:projects/details/8191/equipment/6948053)","No.04 - Press Fit Assembly ")</f>
        <v xml:space="preserve">No.04 - Press Fit Assembly </v>
      </c>
      <c r="B896">
        <v>6948053</v>
      </c>
      <c r="C896">
        <v>6975469</v>
      </c>
      <c r="E896" t="s">
        <v>499</v>
      </c>
      <c r="H896" t="s">
        <v>136</v>
      </c>
      <c r="I896">
        <v>13962.360798399999</v>
      </c>
      <c r="J896">
        <v>0</v>
      </c>
      <c r="K896">
        <v>0.39200000000000002</v>
      </c>
      <c r="L896">
        <v>0</v>
      </c>
      <c r="M896">
        <v>3.2789110893442621</v>
      </c>
      <c r="N896">
        <v>0</v>
      </c>
      <c r="O896">
        <v>0.013662129538934427</v>
      </c>
      <c r="P896">
        <v>0.017214500000000001</v>
      </c>
      <c r="Q896">
        <v>4.7517453268032787E-05</v>
      </c>
      <c r="R896">
        <v>79999.999989999997</v>
      </c>
      <c r="S896">
        <v>0</v>
      </c>
      <c r="T896">
        <v>0</v>
      </c>
      <c r="V896">
        <v>180</v>
      </c>
      <c r="W896">
        <v>8</v>
      </c>
      <c r="X896">
        <v>85</v>
      </c>
      <c r="Y896">
        <v>3</v>
      </c>
      <c r="Z896">
        <v>4</v>
      </c>
      <c r="AA896">
        <v>5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98</v>
      </c>
      <c r="AM896">
        <v>5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30</v>
      </c>
      <c r="AU896">
        <v>0</v>
      </c>
      <c r="AV896">
        <v>0</v>
      </c>
    </row>
    <row r="897" spans="1:48" ht="12.75">
      <c r="A897" s="2" t="str">
        <f>HYPERLINK("https://ibp.a2mac1.com/costing(costing:projects/details/8191/equipment/6948056)","Equipment (Casting)")</f>
        <v>Equipment (Casting)</v>
      </c>
      <c r="B897">
        <v>6948056</v>
      </c>
      <c r="C897">
        <v>6975472</v>
      </c>
      <c r="H897" t="s">
        <v>136</v>
      </c>
      <c r="I897">
        <v>1515.2688115714286</v>
      </c>
      <c r="J897">
        <v>0</v>
      </c>
      <c r="K897">
        <v>0.0528</v>
      </c>
      <c r="L897">
        <v>0</v>
      </c>
      <c r="M897">
        <v>0.3626310529687285</v>
      </c>
      <c r="N897">
        <v>0</v>
      </c>
      <c r="O897">
        <v>0.0090657763242182124</v>
      </c>
      <c r="P897">
        <v>0.0017042355000000001</v>
      </c>
      <c r="Q897">
        <v>0.00063070699856097607</v>
      </c>
      <c r="R897">
        <v>8250</v>
      </c>
      <c r="S897">
        <v>0</v>
      </c>
      <c r="T897">
        <v>0</v>
      </c>
      <c r="V897">
        <v>1485</v>
      </c>
      <c r="W897">
        <v>7</v>
      </c>
      <c r="X897">
        <v>85</v>
      </c>
      <c r="Y897">
        <v>3</v>
      </c>
      <c r="Z897">
        <v>4</v>
      </c>
      <c r="AA897">
        <v>5</v>
      </c>
      <c r="AB897">
        <v>0</v>
      </c>
      <c r="AC897">
        <v>0</v>
      </c>
      <c r="AD897">
        <v>0</v>
      </c>
      <c r="AE897">
        <v>0</v>
      </c>
      <c r="AF897">
        <v>0.016500000000000001</v>
      </c>
      <c r="AG897">
        <v>0</v>
      </c>
      <c r="AH897">
        <v>0</v>
      </c>
      <c r="AI897">
        <v>2</v>
      </c>
      <c r="AJ897">
        <v>0</v>
      </c>
      <c r="AK897">
        <v>0</v>
      </c>
      <c r="AL897">
        <v>80</v>
      </c>
      <c r="AM897">
        <v>0.825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1.2375</v>
      </c>
      <c r="AU897">
        <v>0</v>
      </c>
      <c r="AV897">
        <v>0</v>
      </c>
    </row>
    <row r="898" spans="1:48" ht="12.75">
      <c r="A898" s="2" t="str">
        <f>HYPERLINK("https://ibp.a2mac1.com/costing(costing:projects/details/8191/equipment/6948057)","Equipment (Stamping)")</f>
        <v>Equipment (Stamping)</v>
      </c>
      <c r="B898">
        <v>6948057</v>
      </c>
      <c r="C898">
        <v>6975473</v>
      </c>
      <c r="H898" t="s">
        <v>136</v>
      </c>
      <c r="I898">
        <v>716.18946857142862</v>
      </c>
      <c r="J898">
        <v>0</v>
      </c>
      <c r="K898">
        <v>0.032000000000000001</v>
      </c>
      <c r="L898">
        <v>0</v>
      </c>
      <c r="M898">
        <v>0.17683919456307112</v>
      </c>
      <c r="N898">
        <v>0</v>
      </c>
      <c r="O898">
        <v>0.0014736599546922595</v>
      </c>
      <c r="P898">
        <v>0.00017214500000000001</v>
      </c>
      <c r="Q898">
        <v>0.0007589195758368921</v>
      </c>
      <c r="R898">
        <v>3700</v>
      </c>
      <c r="S898">
        <v>0</v>
      </c>
      <c r="T898">
        <v>0</v>
      </c>
      <c r="V898">
        <v>1800</v>
      </c>
      <c r="W898">
        <v>7</v>
      </c>
      <c r="X898">
        <v>85</v>
      </c>
      <c r="Y898">
        <v>3</v>
      </c>
      <c r="Z898">
        <v>4</v>
      </c>
      <c r="AA898">
        <v>5</v>
      </c>
      <c r="AB898">
        <v>0</v>
      </c>
      <c r="AC898">
        <v>0</v>
      </c>
      <c r="AD898">
        <v>0</v>
      </c>
      <c r="AE898">
        <v>0</v>
      </c>
      <c r="AF898">
        <v>0.005</v>
      </c>
      <c r="AG898">
        <v>0</v>
      </c>
      <c r="AH898">
        <v>0</v>
      </c>
      <c r="AI898">
        <v>2</v>
      </c>
      <c r="AJ898">
        <v>0</v>
      </c>
      <c r="AK898">
        <v>0</v>
      </c>
      <c r="AL898">
        <v>80</v>
      </c>
      <c r="AM898">
        <v>0.50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1.50</v>
      </c>
      <c r="AU898">
        <v>0</v>
      </c>
      <c r="AV898">
        <v>0</v>
      </c>
    </row>
    <row r="899" spans="1:48" ht="12.75">
      <c r="A899" s="2" t="str">
        <f>HYPERLINK("https://ibp.a2mac1.com/costing(costing:projects/details/8191/equipment/6948058)","No.01 - Injection Press - 40T - 18kW - 270x270 - Max Volume 128cm3 ")</f>
        <v xml:space="preserve">No.01 - Injection Press - 40T - 18kW - 270x270 - Max Volume 128cm3 </v>
      </c>
      <c r="B899">
        <v>6948058</v>
      </c>
      <c r="C899">
        <v>6975474</v>
      </c>
      <c r="E899" t="s">
        <v>499</v>
      </c>
      <c r="H899" t="s">
        <v>136</v>
      </c>
      <c r="I899">
        <v>13574.9072</v>
      </c>
      <c r="J899">
        <v>0</v>
      </c>
      <c r="K899">
        <v>1.6020000000000001</v>
      </c>
      <c r="L899">
        <v>0</v>
      </c>
      <c r="M899">
        <v>4.4266395371263263</v>
      </c>
      <c r="N899">
        <v>0</v>
      </c>
      <c r="O899">
        <v>0.036191503970951465</v>
      </c>
      <c r="P899">
        <v>0.0084445815822499996</v>
      </c>
      <c r="Q899">
        <v>0.0035456543444551589</v>
      </c>
      <c r="R899">
        <v>80000</v>
      </c>
      <c r="S899">
        <v>0</v>
      </c>
      <c r="T899">
        <v>0</v>
      </c>
      <c r="V899">
        <v>7200</v>
      </c>
      <c r="W899">
        <v>8</v>
      </c>
      <c r="X899">
        <v>85</v>
      </c>
      <c r="Y899">
        <v>3</v>
      </c>
      <c r="Z899">
        <v>4</v>
      </c>
      <c r="AA899">
        <v>5</v>
      </c>
      <c r="AB899">
        <v>0</v>
      </c>
      <c r="AC899">
        <v>0</v>
      </c>
      <c r="AD899">
        <v>0</v>
      </c>
      <c r="AE899">
        <v>0</v>
      </c>
      <c r="AF899">
        <v>0.25</v>
      </c>
      <c r="AG899">
        <v>0</v>
      </c>
      <c r="AH899">
        <v>0</v>
      </c>
      <c r="AI899">
        <v>2</v>
      </c>
      <c r="AJ899">
        <v>0</v>
      </c>
      <c r="AK899">
        <v>0</v>
      </c>
      <c r="AL899">
        <v>97</v>
      </c>
      <c r="AM899">
        <v>20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20</v>
      </c>
      <c r="AU899">
        <v>0.05</v>
      </c>
      <c r="AV899">
        <v>0</v>
      </c>
    </row>
    <row r="900" spans="1:48" ht="12.75">
      <c r="A900" s="2" t="str">
        <f>HYPERLINK("https://ibp.a2mac1.com/costing(costing:projects/details/8191/equipment/6948059)","Packaging")</f>
        <v>Packaging</v>
      </c>
      <c r="B900">
        <v>6948059</v>
      </c>
      <c r="C900">
        <v>6975475</v>
      </c>
      <c r="H900" t="s">
        <v>136</v>
      </c>
      <c r="I900">
        <v>4437.4535986499995</v>
      </c>
      <c r="J900">
        <v>0</v>
      </c>
      <c r="K900">
        <v>0.08</v>
      </c>
      <c r="L900">
        <v>0</v>
      </c>
      <c r="M900">
        <v>1.0342676949774992</v>
      </c>
      <c r="N900">
        <v>0</v>
      </c>
      <c r="O900">
        <v>0.0086188974581458272</v>
      </c>
      <c r="P900">
        <v>0.034429000000000001</v>
      </c>
      <c r="Q900">
        <v>1.5514015424662487E-05</v>
      </c>
      <c r="R900">
        <v>29999.99999</v>
      </c>
      <c r="S900">
        <v>0</v>
      </c>
      <c r="T900">
        <v>0</v>
      </c>
      <c r="V900">
        <v>900</v>
      </c>
      <c r="W900">
        <v>10</v>
      </c>
      <c r="X900">
        <v>85</v>
      </c>
      <c r="Y900">
        <v>3</v>
      </c>
      <c r="Z900">
        <v>4</v>
      </c>
      <c r="AA900">
        <v>5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50</v>
      </c>
      <c r="AM900">
        <v>2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10</v>
      </c>
      <c r="AU900">
        <v>0</v>
      </c>
      <c r="AV900">
        <v>0</v>
      </c>
    </row>
    <row r="901" spans="1:48" ht="12.75">
      <c r="A901" s="2" t="str">
        <f>HYPERLINK("https://ibp.a2mac1.com/costing(costing:projects/details/8191/equipment/6948060)","Equipment (Stamping)")</f>
        <v>Equipment (Stamping)</v>
      </c>
      <c r="B901">
        <v>6948060</v>
      </c>
      <c r="C901">
        <v>6975476</v>
      </c>
      <c r="H901" t="s">
        <v>136</v>
      </c>
      <c r="I901">
        <v>716.18946857142862</v>
      </c>
      <c r="J901">
        <v>0</v>
      </c>
      <c r="K901">
        <v>0.032000000000000001</v>
      </c>
      <c r="L901">
        <v>0</v>
      </c>
      <c r="M901">
        <v>0.17683919456307112</v>
      </c>
      <c r="N901">
        <v>0</v>
      </c>
      <c r="O901">
        <v>0.00049121998489741979</v>
      </c>
      <c r="P901">
        <v>5.7381666666666666E-05</v>
      </c>
      <c r="Q901">
        <v>0.0007589195758368921</v>
      </c>
      <c r="R901">
        <v>3700</v>
      </c>
      <c r="S901">
        <v>0</v>
      </c>
      <c r="T901">
        <v>0</v>
      </c>
      <c r="V901">
        <v>1800</v>
      </c>
      <c r="W901">
        <v>7</v>
      </c>
      <c r="X901">
        <v>85</v>
      </c>
      <c r="Y901">
        <v>3</v>
      </c>
      <c r="Z901">
        <v>4</v>
      </c>
      <c r="AA901">
        <v>5</v>
      </c>
      <c r="AB901">
        <v>0</v>
      </c>
      <c r="AC901">
        <v>0</v>
      </c>
      <c r="AD901">
        <v>0</v>
      </c>
      <c r="AE901">
        <v>0</v>
      </c>
      <c r="AF901">
        <v>0.005</v>
      </c>
      <c r="AG901">
        <v>0</v>
      </c>
      <c r="AH901">
        <v>0</v>
      </c>
      <c r="AI901">
        <v>2</v>
      </c>
      <c r="AJ901">
        <v>0</v>
      </c>
      <c r="AK901">
        <v>0</v>
      </c>
      <c r="AL901">
        <v>80</v>
      </c>
      <c r="AM901">
        <v>0.50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1.50</v>
      </c>
      <c r="AU901">
        <v>0</v>
      </c>
      <c r="AV901">
        <v>0</v>
      </c>
    </row>
    <row r="902" spans="1:48" ht="12.75">
      <c r="A902" s="2" t="str">
        <f>HYPERLINK("https://ibp.a2mac1.com/costing(costing:projects/details/8191/equipment/6948065)","Equipment (Injection Molding)")</f>
        <v>Equipment (Injection Molding)</v>
      </c>
      <c r="B902">
        <v>6948065</v>
      </c>
      <c r="C902">
        <v>6975479</v>
      </c>
      <c r="H902" t="s">
        <v>136</v>
      </c>
      <c r="I902">
        <v>809022.68741957145</v>
      </c>
      <c r="J902">
        <v>0</v>
      </c>
      <c r="K902">
        <v>0.045920000000000002</v>
      </c>
      <c r="L902">
        <v>0</v>
      </c>
      <c r="M902">
        <v>166.62291090639206</v>
      </c>
      <c r="N902">
        <v>0</v>
      </c>
      <c r="O902">
        <v>3.0362397098498111</v>
      </c>
      <c r="P902">
        <v>0.00030866746133333334</v>
      </c>
      <c r="Q902">
        <v>0.0031957231817732012</v>
      </c>
      <c r="R902">
        <v>4548387</v>
      </c>
      <c r="S902">
        <v>0</v>
      </c>
      <c r="T902">
        <v>0</v>
      </c>
      <c r="V902">
        <v>600</v>
      </c>
      <c r="W902">
        <v>7</v>
      </c>
      <c r="X902">
        <v>85</v>
      </c>
      <c r="Y902">
        <v>3</v>
      </c>
      <c r="Z902">
        <v>4</v>
      </c>
      <c r="AA902">
        <v>5</v>
      </c>
      <c r="AB902">
        <v>0</v>
      </c>
      <c r="AC902">
        <v>0</v>
      </c>
      <c r="AD902">
        <v>0</v>
      </c>
      <c r="AE902">
        <v>0</v>
      </c>
      <c r="AF902">
        <v>0.0041000000000000003</v>
      </c>
      <c r="AG902">
        <v>0</v>
      </c>
      <c r="AH902">
        <v>0</v>
      </c>
      <c r="AI902">
        <v>2</v>
      </c>
      <c r="AJ902">
        <v>0</v>
      </c>
      <c r="AK902">
        <v>0</v>
      </c>
      <c r="AL902">
        <v>80</v>
      </c>
      <c r="AM902">
        <v>0.7175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1.5375</v>
      </c>
      <c r="AU902">
        <v>0</v>
      </c>
      <c r="AV902">
        <v>0</v>
      </c>
    </row>
    <row r="903" spans="1:48" ht="12.75">
      <c r="A903" s="2" t="str">
        <f>HYPERLINK("https://ibp.a2mac1.com/costing(costing:projects/details/8191/equipment/6948062)","Equipment (Injection Molding)")</f>
        <v>Equipment (Injection Molding)</v>
      </c>
      <c r="B903">
        <v>6948062</v>
      </c>
      <c r="C903">
        <v>6975478</v>
      </c>
      <c r="H903" t="s">
        <v>136</v>
      </c>
      <c r="I903">
        <v>4704.0017534999997</v>
      </c>
      <c r="J903">
        <v>0</v>
      </c>
      <c r="K903">
        <v>0.19991999999999999</v>
      </c>
      <c r="L903">
        <v>0</v>
      </c>
      <c r="M903">
        <v>1.1567669549180328</v>
      </c>
      <c r="N903">
        <v>0</v>
      </c>
      <c r="O903">
        <v>0.019279449248633881</v>
      </c>
      <c r="P903">
        <v>0.0012291152999999999</v>
      </c>
      <c r="Q903">
        <v>0.00010553599308268955</v>
      </c>
      <c r="R903">
        <v>24990</v>
      </c>
      <c r="S903">
        <v>0</v>
      </c>
      <c r="T903">
        <v>0</v>
      </c>
      <c r="V903">
        <v>240.975</v>
      </c>
      <c r="W903">
        <v>7</v>
      </c>
      <c r="X903">
        <v>85</v>
      </c>
      <c r="Y903">
        <v>3</v>
      </c>
      <c r="Z903">
        <v>4</v>
      </c>
      <c r="AA903">
        <v>5</v>
      </c>
      <c r="AB903">
        <v>0</v>
      </c>
      <c r="AC903">
        <v>0</v>
      </c>
      <c r="AD903">
        <v>0</v>
      </c>
      <c r="AE903">
        <v>0</v>
      </c>
      <c r="AF903">
        <v>0.017850000000000001</v>
      </c>
      <c r="AG903">
        <v>0</v>
      </c>
      <c r="AH903">
        <v>0</v>
      </c>
      <c r="AI903">
        <v>2</v>
      </c>
      <c r="AJ903">
        <v>0</v>
      </c>
      <c r="AK903">
        <v>0</v>
      </c>
      <c r="AL903">
        <v>80</v>
      </c>
      <c r="AM903">
        <v>3.12375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6.69375</v>
      </c>
      <c r="AU903">
        <v>0</v>
      </c>
      <c r="AV903">
        <v>0</v>
      </c>
    </row>
    <row r="904" spans="1:48" ht="12.75">
      <c r="A904" s="2" t="str">
        <f>HYPERLINK("https://ibp.a2mac1.com/costing(costing:projects/details/8191/equipment/6948063)","Equipment (Injection Molding)")</f>
        <v>Equipment (Injection Molding)</v>
      </c>
      <c r="B904">
        <v>6948063</v>
      </c>
      <c r="C904">
        <v>6975478</v>
      </c>
      <c r="H904" t="s">
        <v>136</v>
      </c>
      <c r="I904">
        <v>4704.0017534999997</v>
      </c>
      <c r="J904">
        <v>0</v>
      </c>
      <c r="K904">
        <v>0.19991999999999999</v>
      </c>
      <c r="L904">
        <v>0</v>
      </c>
      <c r="M904">
        <v>1.1567669549180328</v>
      </c>
      <c r="N904">
        <v>0</v>
      </c>
      <c r="O904">
        <v>0.019279449248633881</v>
      </c>
      <c r="P904">
        <v>0.0012291152999999999</v>
      </c>
      <c r="Q904">
        <v>0.00010553599308268955</v>
      </c>
      <c r="R904">
        <v>24990</v>
      </c>
      <c r="S904">
        <v>0</v>
      </c>
      <c r="T904">
        <v>0</v>
      </c>
      <c r="V904">
        <v>240.975</v>
      </c>
      <c r="W904">
        <v>7</v>
      </c>
      <c r="X904">
        <v>85</v>
      </c>
      <c r="Y904">
        <v>3</v>
      </c>
      <c r="Z904">
        <v>4</v>
      </c>
      <c r="AA904">
        <v>5</v>
      </c>
      <c r="AB904">
        <v>0</v>
      </c>
      <c r="AC904">
        <v>0</v>
      </c>
      <c r="AD904">
        <v>0</v>
      </c>
      <c r="AE904">
        <v>0</v>
      </c>
      <c r="AF904">
        <v>0.017850000000000001</v>
      </c>
      <c r="AG904">
        <v>0</v>
      </c>
      <c r="AH904">
        <v>0</v>
      </c>
      <c r="AI904">
        <v>2</v>
      </c>
      <c r="AJ904">
        <v>0</v>
      </c>
      <c r="AK904">
        <v>0</v>
      </c>
      <c r="AL904">
        <v>80</v>
      </c>
      <c r="AM904">
        <v>3.12375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6.69375</v>
      </c>
      <c r="AU904">
        <v>0</v>
      </c>
      <c r="AV904">
        <v>0</v>
      </c>
    </row>
    <row r="905" spans="1:48" ht="12.75">
      <c r="A905" s="2" t="str">
        <f>HYPERLINK("https://ibp.a2mac1.com/costing(costing:projects/details/8191/equipment/6948064)","Equipment (Standard Process)")</f>
        <v>Equipment (Standard Process)</v>
      </c>
      <c r="B905">
        <v>6948064</v>
      </c>
      <c r="C905">
        <v>6975478</v>
      </c>
      <c r="H905" t="s">
        <v>136</v>
      </c>
      <c r="I905">
        <v>8196.2267534999992</v>
      </c>
      <c r="J905">
        <v>0</v>
      </c>
      <c r="K905">
        <v>0.19991999999999999</v>
      </c>
      <c r="L905">
        <v>0</v>
      </c>
      <c r="M905">
        <v>1.8758243319672132</v>
      </c>
      <c r="N905">
        <v>0</v>
      </c>
      <c r="O905">
        <v>0.031263738866120216</v>
      </c>
      <c r="P905">
        <v>0.00184401724</v>
      </c>
      <c r="Q905">
        <v>0.00010842390727326331</v>
      </c>
      <c r="R905">
        <v>44625</v>
      </c>
      <c r="S905">
        <v>0</v>
      </c>
      <c r="T905">
        <v>0</v>
      </c>
      <c r="V905">
        <v>240.975</v>
      </c>
      <c r="W905">
        <v>7</v>
      </c>
      <c r="X905">
        <v>85</v>
      </c>
      <c r="Y905">
        <v>3</v>
      </c>
      <c r="Z905">
        <v>4</v>
      </c>
      <c r="AA905">
        <v>5</v>
      </c>
      <c r="AB905">
        <v>0</v>
      </c>
      <c r="AC905">
        <v>0</v>
      </c>
      <c r="AD905">
        <v>0</v>
      </c>
      <c r="AE905">
        <v>0</v>
      </c>
      <c r="AF905">
        <v>0.026780000000000002</v>
      </c>
      <c r="AG905">
        <v>0</v>
      </c>
      <c r="AH905">
        <v>0</v>
      </c>
      <c r="AI905">
        <v>2</v>
      </c>
      <c r="AJ905">
        <v>0</v>
      </c>
      <c r="AK905">
        <v>0</v>
      </c>
      <c r="AL905">
        <v>80</v>
      </c>
      <c r="AM905">
        <v>3.12375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6.69375</v>
      </c>
      <c r="AU905">
        <v>0</v>
      </c>
      <c r="AV905">
        <v>0</v>
      </c>
    </row>
    <row r="906" spans="1:48" ht="12.75">
      <c r="A906" s="2" t="str">
        <f>HYPERLINK("https://ibp.a2mac1.com/costing(costing:projects/details/8191/equipment/6947859)","Assembly line")</f>
        <v>Assembly line</v>
      </c>
      <c r="B906">
        <v>6947859</v>
      </c>
      <c r="C906">
        <v>6975302</v>
      </c>
      <c r="H906" t="s">
        <v>136</v>
      </c>
      <c r="I906">
        <v>63074.721599999997</v>
      </c>
      <c r="J906">
        <v>0</v>
      </c>
      <c r="K906">
        <v>5.2000019999999996</v>
      </c>
      <c r="L906">
        <v>0</v>
      </c>
      <c r="M906">
        <v>18.953573456123433</v>
      </c>
      <c r="N906">
        <v>0</v>
      </c>
      <c r="O906">
        <v>0.31589289093539052</v>
      </c>
      <c r="P906">
        <v>0.068858000000000003</v>
      </c>
      <c r="Q906">
        <v>0.0015756906728061717</v>
      </c>
      <c r="R906">
        <v>450000</v>
      </c>
      <c r="S906">
        <v>0</v>
      </c>
      <c r="T906">
        <v>0</v>
      </c>
      <c r="V906">
        <v>1800</v>
      </c>
      <c r="W906">
        <v>10</v>
      </c>
      <c r="X906">
        <v>85</v>
      </c>
      <c r="Y906">
        <v>3</v>
      </c>
      <c r="Z906">
        <v>4</v>
      </c>
      <c r="AA906">
        <v>5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86.666700000000006</v>
      </c>
      <c r="AM906">
        <v>75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60</v>
      </c>
      <c r="AU906">
        <v>0</v>
      </c>
      <c r="AV906">
        <v>0</v>
      </c>
    </row>
    <row r="907" spans="1:48" ht="12.75">
      <c r="A907" s="2" t="str">
        <f>HYPERLINK("https://ibp.a2mac1.com/costing(costing:projects/details/8191/equipment/6948304)","Rubber Extrusion machine")</f>
        <v>Rubber Extrusion machine</v>
      </c>
      <c r="B907">
        <v>6948304</v>
      </c>
      <c r="C907">
        <v>6975702</v>
      </c>
      <c r="E907" t="s">
        <v>603</v>
      </c>
      <c r="H907" t="s">
        <v>136</v>
      </c>
      <c r="I907">
        <v>127372.68</v>
      </c>
      <c r="J907">
        <v>0</v>
      </c>
      <c r="K907">
        <v>8.80</v>
      </c>
      <c r="L907">
        <v>0</v>
      </c>
      <c r="M907">
        <v>35.700141433622626</v>
      </c>
      <c r="N907">
        <v>0</v>
      </c>
      <c r="O907">
        <v>0.14875058930676097</v>
      </c>
      <c r="P907">
        <v>0.034429000000000001</v>
      </c>
      <c r="Q907">
        <v>0.0014478114430086788</v>
      </c>
      <c r="R907">
        <v>800000</v>
      </c>
      <c r="S907">
        <v>0</v>
      </c>
      <c r="T907">
        <v>0</v>
      </c>
      <c r="V907">
        <v>1800</v>
      </c>
      <c r="W907">
        <v>10</v>
      </c>
      <c r="X907">
        <v>85</v>
      </c>
      <c r="Y907">
        <v>3</v>
      </c>
      <c r="Z907">
        <v>4</v>
      </c>
      <c r="AA907">
        <v>5</v>
      </c>
      <c r="AB907">
        <v>0</v>
      </c>
      <c r="AC907">
        <v>0</v>
      </c>
      <c r="AD907">
        <v>0</v>
      </c>
      <c r="AE907">
        <v>0</v>
      </c>
      <c r="AF907">
        <v>2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100</v>
      </c>
      <c r="AM907">
        <v>110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500</v>
      </c>
      <c r="AU907">
        <v>0</v>
      </c>
      <c r="AV907">
        <v>0</v>
      </c>
    </row>
    <row r="908" spans="1:48" ht="12.75">
      <c r="A908" s="2" t="str">
        <f>HYPERLINK("https://ibp.a2mac1.com/costing(costing:projects/details/8191/equipment/6948305)","Seal welding/joining station, manual")</f>
        <v>Seal welding/joining station, manual</v>
      </c>
      <c r="B908">
        <v>6948305</v>
      </c>
      <c r="C908">
        <v>6975703</v>
      </c>
      <c r="E908" t="s">
        <v>659</v>
      </c>
      <c r="H908" t="s">
        <v>136</v>
      </c>
      <c r="I908">
        <v>4149.9071999999996</v>
      </c>
      <c r="J908">
        <v>0</v>
      </c>
      <c r="K908">
        <v>0.24</v>
      </c>
      <c r="L908">
        <v>0</v>
      </c>
      <c r="M908">
        <v>1.0275132111861138</v>
      </c>
      <c r="N908">
        <v>0</v>
      </c>
      <c r="O908">
        <v>0.0085626100932176142</v>
      </c>
      <c r="P908">
        <v>0.069664000000000004</v>
      </c>
      <c r="Q908">
        <v>9.3871932111861135E-05</v>
      </c>
      <c r="R908">
        <v>25000</v>
      </c>
      <c r="S908">
        <v>0</v>
      </c>
      <c r="T908">
        <v>0</v>
      </c>
      <c r="V908">
        <v>600</v>
      </c>
      <c r="W908">
        <v>10</v>
      </c>
      <c r="X908">
        <v>85</v>
      </c>
      <c r="Y908">
        <v>3</v>
      </c>
      <c r="Z908">
        <v>3</v>
      </c>
      <c r="AA908">
        <v>3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0</v>
      </c>
      <c r="AL908">
        <v>100</v>
      </c>
      <c r="AM908">
        <v>3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20</v>
      </c>
      <c r="AU908">
        <v>0</v>
      </c>
      <c r="AV908">
        <v>0</v>
      </c>
    </row>
    <row r="909" spans="1:48" ht="12.75">
      <c r="A909" s="2" t="str">
        <f>HYPERLINK("https://ibp.a2mac1.com/costing(costing:projects/details/8191/equipment/6948306)","Rubber Extrusion machine")</f>
        <v>Rubber Extrusion machine</v>
      </c>
      <c r="B909">
        <v>6948306</v>
      </c>
      <c r="C909">
        <v>6975704</v>
      </c>
      <c r="E909" t="s">
        <v>603</v>
      </c>
      <c r="H909" t="s">
        <v>136</v>
      </c>
      <c r="I909">
        <v>127372.68</v>
      </c>
      <c r="J909">
        <v>0</v>
      </c>
      <c r="K909">
        <v>8.80</v>
      </c>
      <c r="L909">
        <v>0</v>
      </c>
      <c r="M909">
        <v>35.700141433622626</v>
      </c>
      <c r="N909">
        <v>0</v>
      </c>
      <c r="O909">
        <v>0.14875058930676097</v>
      </c>
      <c r="P909">
        <v>0.034429000000000001</v>
      </c>
      <c r="Q909">
        <v>0.0014478114430086788</v>
      </c>
      <c r="R909">
        <v>800000</v>
      </c>
      <c r="S909">
        <v>0</v>
      </c>
      <c r="T909">
        <v>0</v>
      </c>
      <c r="V909">
        <v>1800</v>
      </c>
      <c r="W909">
        <v>10</v>
      </c>
      <c r="X909">
        <v>85</v>
      </c>
      <c r="Y909">
        <v>3</v>
      </c>
      <c r="Z909">
        <v>4</v>
      </c>
      <c r="AA909">
        <v>5</v>
      </c>
      <c r="AB909">
        <v>0</v>
      </c>
      <c r="AC909">
        <v>0</v>
      </c>
      <c r="AD909">
        <v>0</v>
      </c>
      <c r="AE909">
        <v>0</v>
      </c>
      <c r="AF909">
        <v>2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100</v>
      </c>
      <c r="AM909">
        <v>110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500</v>
      </c>
      <c r="AU909">
        <v>0</v>
      </c>
      <c r="AV909">
        <v>0</v>
      </c>
    </row>
    <row r="910" spans="1:48" ht="12.75">
      <c r="A910" s="2" t="str">
        <f>HYPERLINK("https://ibp.a2mac1.com/costing(costing:projects/details/8191/equipment/6948307)","Seal welding/joining station, manual")</f>
        <v>Seal welding/joining station, manual</v>
      </c>
      <c r="B910">
        <v>6948307</v>
      </c>
      <c r="C910">
        <v>6975705</v>
      </c>
      <c r="E910" t="s">
        <v>659</v>
      </c>
      <c r="H910" t="s">
        <v>136</v>
      </c>
      <c r="I910">
        <v>4149.9071999999996</v>
      </c>
      <c r="J910">
        <v>0</v>
      </c>
      <c r="K910">
        <v>0.24</v>
      </c>
      <c r="L910">
        <v>0</v>
      </c>
      <c r="M910">
        <v>1.0275132111861138</v>
      </c>
      <c r="N910">
        <v>0</v>
      </c>
      <c r="O910">
        <v>0.0085626100932176142</v>
      </c>
      <c r="P910">
        <v>0.069664000000000004</v>
      </c>
      <c r="Q910">
        <v>9.3871932111861135E-05</v>
      </c>
      <c r="R910">
        <v>25000</v>
      </c>
      <c r="S910">
        <v>0</v>
      </c>
      <c r="T910">
        <v>0</v>
      </c>
      <c r="V910">
        <v>600</v>
      </c>
      <c r="W910">
        <v>10</v>
      </c>
      <c r="X910">
        <v>85</v>
      </c>
      <c r="Y910">
        <v>3</v>
      </c>
      <c r="Z910">
        <v>3</v>
      </c>
      <c r="AA910">
        <v>3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100</v>
      </c>
      <c r="AM910">
        <v>3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20</v>
      </c>
      <c r="AU910">
        <v>0</v>
      </c>
      <c r="AV910">
        <v>0</v>
      </c>
    </row>
    <row r="911" spans="1:48" ht="12.75">
      <c r="A911" s="2" t="str">
        <f>HYPERLINK("https://ibp.a2mac1.com/costing(costing:projects/details/8191/equipment/6948066)","Rubber Extrusion machine")</f>
        <v>Rubber Extrusion machine</v>
      </c>
      <c r="B911">
        <v>6948066</v>
      </c>
      <c r="C911">
        <v>6975480</v>
      </c>
      <c r="E911" t="s">
        <v>603</v>
      </c>
      <c r="H911" t="s">
        <v>136</v>
      </c>
      <c r="I911">
        <v>127372.68</v>
      </c>
      <c r="J911">
        <v>0</v>
      </c>
      <c r="K911">
        <v>8.80</v>
      </c>
      <c r="L911">
        <v>0</v>
      </c>
      <c r="M911">
        <v>35.700141433622626</v>
      </c>
      <c r="N911">
        <v>0</v>
      </c>
      <c r="O911">
        <v>0.099167059537840635</v>
      </c>
      <c r="P911">
        <v>0.022952666666666666</v>
      </c>
      <c r="Q911">
        <v>0.0014478114430086788</v>
      </c>
      <c r="R911">
        <v>800000</v>
      </c>
      <c r="S911">
        <v>0</v>
      </c>
      <c r="T911">
        <v>0</v>
      </c>
      <c r="V911">
        <v>1800</v>
      </c>
      <c r="W911">
        <v>10</v>
      </c>
      <c r="X911">
        <v>85</v>
      </c>
      <c r="Y911">
        <v>3</v>
      </c>
      <c r="Z911">
        <v>4</v>
      </c>
      <c r="AA911">
        <v>5</v>
      </c>
      <c r="AB911">
        <v>0</v>
      </c>
      <c r="AC911">
        <v>0</v>
      </c>
      <c r="AD911">
        <v>0</v>
      </c>
      <c r="AE911">
        <v>0</v>
      </c>
      <c r="AF911">
        <v>2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100</v>
      </c>
      <c r="AM911">
        <v>110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500</v>
      </c>
      <c r="AU911">
        <v>0</v>
      </c>
      <c r="AV911">
        <v>0</v>
      </c>
    </row>
    <row r="912" spans="1:48" ht="12.75">
      <c r="A912" s="2" t="str">
        <f>HYPERLINK("https://ibp.a2mac1.com/costing(costing:projects/details/8191/equipment/6948067)","Rubber Extrusion machine")</f>
        <v>Rubber Extrusion machine</v>
      </c>
      <c r="B912">
        <v>6948067</v>
      </c>
      <c r="C912">
        <v>6975481</v>
      </c>
      <c r="E912" t="s">
        <v>603</v>
      </c>
      <c r="H912" t="s">
        <v>136</v>
      </c>
      <c r="I912">
        <v>127372.68</v>
      </c>
      <c r="J912">
        <v>0</v>
      </c>
      <c r="K912">
        <v>8.80</v>
      </c>
      <c r="L912">
        <v>0</v>
      </c>
      <c r="M912">
        <v>35.700141433622626</v>
      </c>
      <c r="N912">
        <v>0</v>
      </c>
      <c r="O912">
        <v>0.14875058930676097</v>
      </c>
      <c r="P912">
        <v>0.034429000000000001</v>
      </c>
      <c r="Q912">
        <v>0.0014478114430086788</v>
      </c>
      <c r="R912">
        <v>800000</v>
      </c>
      <c r="S912">
        <v>0</v>
      </c>
      <c r="T912">
        <v>0</v>
      </c>
      <c r="V912">
        <v>1800</v>
      </c>
      <c r="W912">
        <v>10</v>
      </c>
      <c r="X912">
        <v>85</v>
      </c>
      <c r="Y912">
        <v>3</v>
      </c>
      <c r="Z912">
        <v>4</v>
      </c>
      <c r="AA912">
        <v>5</v>
      </c>
      <c r="AB912">
        <v>0</v>
      </c>
      <c r="AC912">
        <v>0</v>
      </c>
      <c r="AD912">
        <v>0</v>
      </c>
      <c r="AE912">
        <v>0</v>
      </c>
      <c r="AF912">
        <v>2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100</v>
      </c>
      <c r="AM912">
        <v>110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500</v>
      </c>
      <c r="AU912">
        <v>0</v>
      </c>
      <c r="AV912">
        <v>0</v>
      </c>
    </row>
    <row r="913" spans="1:48" ht="12.75">
      <c r="A913" s="2" t="str">
        <f>HYPERLINK("https://ibp.a2mac1.com/costing(costing:projects/details/8191/equipment/6948068)","Rubber Extrusion machine")</f>
        <v>Rubber Extrusion machine</v>
      </c>
      <c r="B913">
        <v>6948068</v>
      </c>
      <c r="C913">
        <v>6975482</v>
      </c>
      <c r="E913" t="s">
        <v>603</v>
      </c>
      <c r="H913" t="s">
        <v>136</v>
      </c>
      <c r="I913">
        <v>127372.68</v>
      </c>
      <c r="J913">
        <v>0</v>
      </c>
      <c r="K913">
        <v>8.80</v>
      </c>
      <c r="L913">
        <v>0</v>
      </c>
      <c r="M913">
        <v>35.700141433622626</v>
      </c>
      <c r="N913">
        <v>0</v>
      </c>
      <c r="O913">
        <v>0.14875058930676097</v>
      </c>
      <c r="P913">
        <v>0.034429000000000001</v>
      </c>
      <c r="Q913">
        <v>0.0014478114430086788</v>
      </c>
      <c r="R913">
        <v>800000</v>
      </c>
      <c r="S913">
        <v>0</v>
      </c>
      <c r="T913">
        <v>0</v>
      </c>
      <c r="V913">
        <v>1800</v>
      </c>
      <c r="W913">
        <v>10</v>
      </c>
      <c r="X913">
        <v>85</v>
      </c>
      <c r="Y913">
        <v>3</v>
      </c>
      <c r="Z913">
        <v>4</v>
      </c>
      <c r="AA913">
        <v>5</v>
      </c>
      <c r="AB913">
        <v>0</v>
      </c>
      <c r="AC913">
        <v>0</v>
      </c>
      <c r="AD913">
        <v>0</v>
      </c>
      <c r="AE913">
        <v>0</v>
      </c>
      <c r="AF913">
        <v>2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100</v>
      </c>
      <c r="AM913">
        <v>110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500</v>
      </c>
      <c r="AU913">
        <v>0</v>
      </c>
      <c r="AV913">
        <v>0</v>
      </c>
    </row>
    <row r="914" spans="1:48" ht="12.75">
      <c r="A914" s="2" t="str">
        <f>HYPERLINK("https://ibp.a2mac1.com/costing(costing:projects/details/8191/equipment/6948430)","Equipment (Casting)")</f>
        <v>Equipment (Casting)</v>
      </c>
      <c r="B914">
        <v>6948430</v>
      </c>
      <c r="C914">
        <v>6975835</v>
      </c>
      <c r="H914" t="s">
        <v>136</v>
      </c>
      <c r="I914">
        <v>6134.5428250285713</v>
      </c>
      <c r="J914">
        <v>0</v>
      </c>
      <c r="K914">
        <v>0.21376000000000001</v>
      </c>
      <c r="L914">
        <v>0</v>
      </c>
      <c r="M914">
        <v>1.4681063235340037</v>
      </c>
      <c r="N914">
        <v>0</v>
      </c>
      <c r="O914">
        <v>0.014681063235340037</v>
      </c>
      <c r="P914">
        <v>0.0027598286399999998</v>
      </c>
      <c r="Q914">
        <v>0.0026641763496181073</v>
      </c>
      <c r="R914">
        <v>33400</v>
      </c>
      <c r="S914">
        <v>0</v>
      </c>
      <c r="T914">
        <v>0</v>
      </c>
      <c r="V914">
        <v>6012</v>
      </c>
      <c r="W914">
        <v>7</v>
      </c>
      <c r="X914">
        <v>85</v>
      </c>
      <c r="Y914">
        <v>3</v>
      </c>
      <c r="Z914">
        <v>4</v>
      </c>
      <c r="AA914">
        <v>5</v>
      </c>
      <c r="AB914">
        <v>0</v>
      </c>
      <c r="AC914">
        <v>0</v>
      </c>
      <c r="AD914">
        <v>0</v>
      </c>
      <c r="AE914">
        <v>0</v>
      </c>
      <c r="AF914">
        <v>0.066799999999999998</v>
      </c>
      <c r="AG914">
        <v>0</v>
      </c>
      <c r="AH914">
        <v>0</v>
      </c>
      <c r="AI914">
        <v>2</v>
      </c>
      <c r="AJ914">
        <v>0</v>
      </c>
      <c r="AK914">
        <v>0</v>
      </c>
      <c r="AL914">
        <v>80</v>
      </c>
      <c r="AM914">
        <v>3.34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5.01</v>
      </c>
      <c r="AU914">
        <v>0</v>
      </c>
      <c r="AV914">
        <v>0</v>
      </c>
    </row>
    <row r="915" spans="1:48" ht="12.75">
      <c r="A915" s="2" t="str">
        <f>HYPERLINK("https://ibp.a2mac1.com/costing(costing:projects/details/8191/equipment/6948431)","Equipment (Casting)")</f>
        <v>Equipment (Casting)</v>
      </c>
      <c r="B915">
        <v>6948431</v>
      </c>
      <c r="C915">
        <v>6975836</v>
      </c>
      <c r="H915" t="s">
        <v>136</v>
      </c>
      <c r="I915">
        <v>373962.1752</v>
      </c>
      <c r="J915">
        <v>0</v>
      </c>
      <c r="K915">
        <v>3.3919999999999999</v>
      </c>
      <c r="L915">
        <v>0</v>
      </c>
      <c r="M915">
        <v>85.594213950498229</v>
      </c>
      <c r="N915">
        <v>0</v>
      </c>
      <c r="O915">
        <v>0.85594213950498232</v>
      </c>
      <c r="P915">
        <v>0.041314799999999999</v>
      </c>
      <c r="Q915">
        <v>0.0099643224555448408</v>
      </c>
      <c r="R915">
        <v>2750000</v>
      </c>
      <c r="S915">
        <v>0</v>
      </c>
      <c r="T915">
        <v>0</v>
      </c>
      <c r="V915">
        <v>5400</v>
      </c>
      <c r="W915">
        <v>10</v>
      </c>
      <c r="X915">
        <v>85</v>
      </c>
      <c r="Y915">
        <v>3</v>
      </c>
      <c r="Z915">
        <v>4</v>
      </c>
      <c r="AA915">
        <v>5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2</v>
      </c>
      <c r="AJ915">
        <v>0</v>
      </c>
      <c r="AK915">
        <v>0</v>
      </c>
      <c r="AL915">
        <v>80</v>
      </c>
      <c r="AM915">
        <v>53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70</v>
      </c>
      <c r="AU915">
        <v>0</v>
      </c>
      <c r="AV915">
        <v>0</v>
      </c>
    </row>
    <row r="916" spans="1:48" ht="12.75">
      <c r="A916" s="2" t="str">
        <f>HYPERLINK("https://ibp.a2mac1.com/costing(costing:projects/details/8191/equipment/6948432)","Equipment (Casting)")</f>
        <v>Equipment (Casting)</v>
      </c>
      <c r="B916">
        <v>6948432</v>
      </c>
      <c r="C916">
        <v>6975837</v>
      </c>
      <c r="H916" t="s">
        <v>136</v>
      </c>
      <c r="I916">
        <v>373962.1752</v>
      </c>
      <c r="J916">
        <v>0</v>
      </c>
      <c r="K916">
        <v>3.3919999999999999</v>
      </c>
      <c r="L916">
        <v>0</v>
      </c>
      <c r="M916">
        <v>85.594213950498229</v>
      </c>
      <c r="N916">
        <v>0</v>
      </c>
      <c r="O916">
        <v>0.85594213950498232</v>
      </c>
      <c r="P916">
        <v>0.041314799999999999</v>
      </c>
      <c r="Q916">
        <v>0.0099643224555448408</v>
      </c>
      <c r="R916">
        <v>2750000</v>
      </c>
      <c r="S916">
        <v>0</v>
      </c>
      <c r="T916">
        <v>0</v>
      </c>
      <c r="V916">
        <v>5400</v>
      </c>
      <c r="W916">
        <v>10</v>
      </c>
      <c r="X916">
        <v>85</v>
      </c>
      <c r="Y916">
        <v>3</v>
      </c>
      <c r="Z916">
        <v>4</v>
      </c>
      <c r="AA916">
        <v>5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2</v>
      </c>
      <c r="AJ916">
        <v>0</v>
      </c>
      <c r="AK916">
        <v>0</v>
      </c>
      <c r="AL916">
        <v>80</v>
      </c>
      <c r="AM916">
        <v>53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70</v>
      </c>
      <c r="AU916">
        <v>0</v>
      </c>
      <c r="AV916">
        <v>0</v>
      </c>
    </row>
    <row r="917" spans="1:48" ht="12.75">
      <c r="A917" s="2" t="str">
        <f>HYPERLINK("https://ibp.a2mac1.com/costing(costing:projects/details/8191/equipment/6948433)","Equipment (Casting)")</f>
        <v>Equipment (Casting)</v>
      </c>
      <c r="B917">
        <v>6948433</v>
      </c>
      <c r="C917">
        <v>6975838</v>
      </c>
      <c r="H917" t="s">
        <v>136</v>
      </c>
      <c r="I917">
        <v>373962.1752</v>
      </c>
      <c r="J917">
        <v>0</v>
      </c>
      <c r="K917">
        <v>3.3919999999999999</v>
      </c>
      <c r="L917">
        <v>0</v>
      </c>
      <c r="M917">
        <v>85.594213950498229</v>
      </c>
      <c r="N917">
        <v>0</v>
      </c>
      <c r="O917">
        <v>0.85594213950498232</v>
      </c>
      <c r="P917">
        <v>0.041314799999999999</v>
      </c>
      <c r="Q917">
        <v>0.0099643224555448408</v>
      </c>
      <c r="R917">
        <v>2750000</v>
      </c>
      <c r="S917">
        <v>0</v>
      </c>
      <c r="T917">
        <v>0</v>
      </c>
      <c r="V917">
        <v>5400</v>
      </c>
      <c r="W917">
        <v>10</v>
      </c>
      <c r="X917">
        <v>85</v>
      </c>
      <c r="Y917">
        <v>3</v>
      </c>
      <c r="Z917">
        <v>4</v>
      </c>
      <c r="AA917">
        <v>5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2</v>
      </c>
      <c r="AJ917">
        <v>0</v>
      </c>
      <c r="AK917">
        <v>0</v>
      </c>
      <c r="AL917">
        <v>80</v>
      </c>
      <c r="AM917">
        <v>53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70</v>
      </c>
      <c r="AU917">
        <v>0</v>
      </c>
      <c r="AV917">
        <v>0</v>
      </c>
    </row>
    <row r="918" spans="1:48" ht="12.75">
      <c r="A918" s="2" t="str">
        <f>HYPERLINK("https://ibp.a2mac1.com/costing(costing:projects/details/8191/equipment/6948069)","Dummy Machine (PCBA+Final Assembly Line)")</f>
        <v>Dummy Machine (PCBA+Final Assembly Line)</v>
      </c>
      <c r="B918">
        <v>6948069</v>
      </c>
      <c r="C918">
        <v>6975483</v>
      </c>
      <c r="F918" t="s">
        <v>559</v>
      </c>
      <c r="H918" t="s">
        <v>136</v>
      </c>
      <c r="I918">
        <v>79501.662769714283</v>
      </c>
      <c r="J918">
        <v>0</v>
      </c>
      <c r="K918">
        <v>0.28895999999999999</v>
      </c>
      <c r="L918">
        <v>0</v>
      </c>
      <c r="M918">
        <v>16.624578413647427</v>
      </c>
      <c r="N918">
        <v>0</v>
      </c>
      <c r="O918">
        <v>0.73887015171766335</v>
      </c>
      <c r="P918">
        <v>0.12853493333333332</v>
      </c>
      <c r="Q918">
        <v>0.00011481975848188456</v>
      </c>
      <c r="R918">
        <v>442771.10</v>
      </c>
      <c r="S918">
        <v>0</v>
      </c>
      <c r="T918">
        <v>0</v>
      </c>
      <c r="V918">
        <v>216</v>
      </c>
      <c r="W918">
        <v>7</v>
      </c>
      <c r="X918">
        <v>85</v>
      </c>
      <c r="Y918">
        <v>3</v>
      </c>
      <c r="Z918">
        <v>4</v>
      </c>
      <c r="AA918">
        <v>5</v>
      </c>
      <c r="AB918">
        <v>0</v>
      </c>
      <c r="AC918">
        <v>0</v>
      </c>
      <c r="AD918">
        <v>0</v>
      </c>
      <c r="AE918">
        <v>0</v>
      </c>
      <c r="AF918">
        <v>0.70</v>
      </c>
      <c r="AG918">
        <v>0</v>
      </c>
      <c r="AH918">
        <v>0</v>
      </c>
      <c r="AI918">
        <v>0.20</v>
      </c>
      <c r="AJ918">
        <v>0</v>
      </c>
      <c r="AK918">
        <v>0</v>
      </c>
      <c r="AL918">
        <v>86</v>
      </c>
      <c r="AM918">
        <v>4.20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19.40</v>
      </c>
      <c r="AU918">
        <v>0</v>
      </c>
      <c r="AV918">
        <v>0</v>
      </c>
    </row>
    <row r="919" spans="1:48" ht="12.75">
      <c r="A919" s="2" t="str">
        <f>HYPERLINK("https://ibp.a2mac1.com/costing(costing:projects/details/8191/equipment/6948070)","No.13 - Injection Press - 1000T - 191kW - 1230x1230 - Max Volume 7815cm3 ")</f>
        <v xml:space="preserve">No.13 - Injection Press - 1000T - 191kW - 1230x1230 - Max Volume 7815cm3 </v>
      </c>
      <c r="B919">
        <v>6948070</v>
      </c>
      <c r="C919">
        <v>6975484</v>
      </c>
      <c r="E919" t="s">
        <v>499</v>
      </c>
      <c r="H919" t="s">
        <v>136</v>
      </c>
      <c r="I919">
        <v>102974.1648</v>
      </c>
      <c r="J919">
        <v>0</v>
      </c>
      <c r="K919">
        <v>6.4560000000000004</v>
      </c>
      <c r="L919">
        <v>0</v>
      </c>
      <c r="M919">
        <v>27.827611186113788</v>
      </c>
      <c r="N919">
        <v>0</v>
      </c>
      <c r="O919">
        <v>0.22969907429085826</v>
      </c>
      <c r="P919">
        <v>0.017051358183499999</v>
      </c>
      <c r="Q919">
        <v>0.01572199948466731</v>
      </c>
      <c r="R919">
        <v>600000</v>
      </c>
      <c r="S919">
        <v>0</v>
      </c>
      <c r="T919">
        <v>0</v>
      </c>
      <c r="V919">
        <v>14400</v>
      </c>
      <c r="W919">
        <v>8</v>
      </c>
      <c r="X919">
        <v>85</v>
      </c>
      <c r="Y919">
        <v>3</v>
      </c>
      <c r="Z919">
        <v>4</v>
      </c>
      <c r="AA919">
        <v>5</v>
      </c>
      <c r="AB919">
        <v>0</v>
      </c>
      <c r="AC919">
        <v>0</v>
      </c>
      <c r="AD919">
        <v>0</v>
      </c>
      <c r="AE919">
        <v>0</v>
      </c>
      <c r="AF919">
        <v>0.50</v>
      </c>
      <c r="AG919">
        <v>0</v>
      </c>
      <c r="AH919">
        <v>0</v>
      </c>
      <c r="AI919">
        <v>3</v>
      </c>
      <c r="AJ919">
        <v>0</v>
      </c>
      <c r="AK919">
        <v>0</v>
      </c>
      <c r="AL919">
        <v>92</v>
      </c>
      <c r="AM919">
        <v>85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180</v>
      </c>
      <c r="AU919">
        <v>0.20</v>
      </c>
      <c r="AV919">
        <v>0</v>
      </c>
    </row>
    <row r="920" spans="1:48" ht="12.75">
      <c r="A920" s="2" t="str">
        <f>HYPERLINK("https://ibp.a2mac1.com/costing(costing:projects/details/8191/equipment/6948071)","Packaging")</f>
        <v>Packaging</v>
      </c>
      <c r="B920">
        <v>6948071</v>
      </c>
      <c r="C920">
        <v>6975485</v>
      </c>
      <c r="H920" t="s">
        <v>136</v>
      </c>
      <c r="I920">
        <v>4437.4535986499995</v>
      </c>
      <c r="J920">
        <v>0</v>
      </c>
      <c r="K920">
        <v>0.08</v>
      </c>
      <c r="L920">
        <v>0</v>
      </c>
      <c r="M920">
        <v>1.0342676949774992</v>
      </c>
      <c r="N920">
        <v>0</v>
      </c>
      <c r="O920">
        <v>0.0086188974581458272</v>
      </c>
      <c r="P920">
        <v>0.034429000000000001</v>
      </c>
      <c r="Q920">
        <v>1.5514015424662487E-05</v>
      </c>
      <c r="R920">
        <v>29999.99999</v>
      </c>
      <c r="S920">
        <v>0</v>
      </c>
      <c r="T920">
        <v>0</v>
      </c>
      <c r="V920">
        <v>900</v>
      </c>
      <c r="W920">
        <v>10</v>
      </c>
      <c r="X920">
        <v>85</v>
      </c>
      <c r="Y920">
        <v>3</v>
      </c>
      <c r="Z920">
        <v>4</v>
      </c>
      <c r="AA920">
        <v>5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50</v>
      </c>
      <c r="AM920">
        <v>2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10</v>
      </c>
      <c r="AU920">
        <v>0</v>
      </c>
      <c r="AV920">
        <v>0</v>
      </c>
    </row>
    <row r="921" spans="1:48" ht="12.75">
      <c r="A921" s="2" t="str">
        <f>HYPERLINK("https://ibp.a2mac1.com/costing(costing:projects/details/8191/equipment/6948072)","No.07 - Injection Press - 250T - 63kW - 570x570 - Max Volume 958cm3 ")</f>
        <v xml:space="preserve">No.07 - Injection Press - 250T - 63kW - 570x570 - Max Volume 958cm3 </v>
      </c>
      <c r="B921">
        <v>6948072</v>
      </c>
      <c r="C921">
        <v>6975486</v>
      </c>
      <c r="E921" t="s">
        <v>499</v>
      </c>
      <c r="H921" t="s">
        <v>136</v>
      </c>
      <c r="I921">
        <v>38615.311800000003</v>
      </c>
      <c r="J921">
        <v>0</v>
      </c>
      <c r="K921">
        <v>2.81</v>
      </c>
      <c r="L921">
        <v>0</v>
      </c>
      <c r="M921">
        <v>10.82435419479267</v>
      </c>
      <c r="N921">
        <v>0</v>
      </c>
      <c r="O921">
        <v>0.18246370318192623</v>
      </c>
      <c r="P921">
        <v>0.01741085719425</v>
      </c>
      <c r="Q921">
        <v>0.0053917251292189003</v>
      </c>
      <c r="R921">
        <v>225000</v>
      </c>
      <c r="S921">
        <v>0</v>
      </c>
      <c r="T921">
        <v>0</v>
      </c>
      <c r="V921">
        <v>9000</v>
      </c>
      <c r="W921">
        <v>8</v>
      </c>
      <c r="X921">
        <v>85</v>
      </c>
      <c r="Y921">
        <v>3</v>
      </c>
      <c r="Z921">
        <v>4</v>
      </c>
      <c r="AA921">
        <v>5</v>
      </c>
      <c r="AB921">
        <v>0</v>
      </c>
      <c r="AC921">
        <v>0</v>
      </c>
      <c r="AD921">
        <v>0</v>
      </c>
      <c r="AE921">
        <v>0</v>
      </c>
      <c r="AF921">
        <v>0.25</v>
      </c>
      <c r="AG921">
        <v>0</v>
      </c>
      <c r="AH921">
        <v>0</v>
      </c>
      <c r="AI921">
        <v>2</v>
      </c>
      <c r="AJ921">
        <v>0</v>
      </c>
      <c r="AK921">
        <v>0</v>
      </c>
      <c r="AL921">
        <v>92</v>
      </c>
      <c r="AM921">
        <v>37.50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67.50</v>
      </c>
      <c r="AU921">
        <v>0.05</v>
      </c>
      <c r="AV921">
        <v>0</v>
      </c>
    </row>
    <row r="922" spans="1:48" ht="12.75">
      <c r="A922" s="2" t="str">
        <f>HYPERLINK("https://ibp.a2mac1.com/costing(costing:projects/details/8191/equipment/6948073)","Packaging")</f>
        <v>Packaging</v>
      </c>
      <c r="B922">
        <v>6948073</v>
      </c>
      <c r="C922">
        <v>6975487</v>
      </c>
      <c r="H922" t="s">
        <v>136</v>
      </c>
      <c r="I922">
        <v>4437.4535986499995</v>
      </c>
      <c r="J922">
        <v>0</v>
      </c>
      <c r="K922">
        <v>0.08</v>
      </c>
      <c r="L922">
        <v>0</v>
      </c>
      <c r="M922">
        <v>1.0342676949774992</v>
      </c>
      <c r="N922">
        <v>0</v>
      </c>
      <c r="O922">
        <v>0.017237794916291654</v>
      </c>
      <c r="P922">
        <v>0.068858000000000003</v>
      </c>
      <c r="Q922">
        <v>1.5514015424662487E-05</v>
      </c>
      <c r="R922">
        <v>29999.99999</v>
      </c>
      <c r="S922">
        <v>0</v>
      </c>
      <c r="T922">
        <v>0</v>
      </c>
      <c r="V922">
        <v>900</v>
      </c>
      <c r="W922">
        <v>10</v>
      </c>
      <c r="X922">
        <v>85</v>
      </c>
      <c r="Y922">
        <v>3</v>
      </c>
      <c r="Z922">
        <v>4</v>
      </c>
      <c r="AA922">
        <v>5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50</v>
      </c>
      <c r="AM922">
        <v>2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10</v>
      </c>
      <c r="AU922">
        <v>0</v>
      </c>
      <c r="AV922">
        <v>0</v>
      </c>
    </row>
    <row r="923" spans="1:48" ht="12.75">
      <c r="A923" s="2" t="str">
        <f>HYPERLINK("https://ibp.a2mac1.com/costing(costing:projects/details/8191/equipment/6948074)","Equipment (Injection Molding)")</f>
        <v>Equipment (Injection Molding)</v>
      </c>
      <c r="B923">
        <v>6948074</v>
      </c>
      <c r="C923">
        <v>6975488</v>
      </c>
      <c r="H923" t="s">
        <v>136</v>
      </c>
      <c r="I923">
        <v>685.17672600000003</v>
      </c>
      <c r="J923">
        <v>0</v>
      </c>
      <c r="K923">
        <v>0.02912</v>
      </c>
      <c r="L923">
        <v>0</v>
      </c>
      <c r="M923">
        <v>0.1684926657023465</v>
      </c>
      <c r="N923">
        <v>0</v>
      </c>
      <c r="O923">
        <v>0.0028082110950391087</v>
      </c>
      <c r="P923">
        <v>0.0001790308</v>
      </c>
      <c r="Q923">
        <v>1.4794049009435873E-05</v>
      </c>
      <c r="R923">
        <v>3640</v>
      </c>
      <c r="S923">
        <v>0</v>
      </c>
      <c r="T923">
        <v>0</v>
      </c>
      <c r="V923">
        <v>35.10</v>
      </c>
      <c r="W923">
        <v>7</v>
      </c>
      <c r="X923">
        <v>85</v>
      </c>
      <c r="Y923">
        <v>3</v>
      </c>
      <c r="Z923">
        <v>4</v>
      </c>
      <c r="AA923">
        <v>5</v>
      </c>
      <c r="AB923">
        <v>0</v>
      </c>
      <c r="AC923">
        <v>0</v>
      </c>
      <c r="AD923">
        <v>0</v>
      </c>
      <c r="AE923">
        <v>0</v>
      </c>
      <c r="AF923">
        <v>0.0025999999999999999</v>
      </c>
      <c r="AG923">
        <v>0</v>
      </c>
      <c r="AH923">
        <v>0</v>
      </c>
      <c r="AI923">
        <v>2</v>
      </c>
      <c r="AJ923">
        <v>0</v>
      </c>
      <c r="AK923">
        <v>0</v>
      </c>
      <c r="AL923">
        <v>80</v>
      </c>
      <c r="AM923">
        <v>0.455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0.975</v>
      </c>
      <c r="AU923">
        <v>0</v>
      </c>
      <c r="AV923">
        <v>0</v>
      </c>
    </row>
    <row r="924" spans="1:48" ht="12.75">
      <c r="A924" s="2" t="str">
        <f>HYPERLINK("https://ibp.a2mac1.com/costing(costing:projects/details/8191/equipment/6948075)","Equipment (Injection Molding)")</f>
        <v>Equipment (Injection Molding)</v>
      </c>
      <c r="B924">
        <v>6948075</v>
      </c>
      <c r="C924">
        <v>6975488</v>
      </c>
      <c r="H924" t="s">
        <v>136</v>
      </c>
      <c r="I924">
        <v>685.17672600000003</v>
      </c>
      <c r="J924">
        <v>0</v>
      </c>
      <c r="K924">
        <v>0.02912</v>
      </c>
      <c r="L924">
        <v>0</v>
      </c>
      <c r="M924">
        <v>0.1684926657023465</v>
      </c>
      <c r="N924">
        <v>0</v>
      </c>
      <c r="O924">
        <v>0.0028082110950391087</v>
      </c>
      <c r="P924">
        <v>0.0001790308</v>
      </c>
      <c r="Q924">
        <v>1.4794049009435873E-05</v>
      </c>
      <c r="R924">
        <v>3640</v>
      </c>
      <c r="S924">
        <v>0</v>
      </c>
      <c r="T924">
        <v>0</v>
      </c>
      <c r="V924">
        <v>35.10</v>
      </c>
      <c r="W924">
        <v>7</v>
      </c>
      <c r="X924">
        <v>85</v>
      </c>
      <c r="Y924">
        <v>3</v>
      </c>
      <c r="Z924">
        <v>4</v>
      </c>
      <c r="AA924">
        <v>5</v>
      </c>
      <c r="AB924">
        <v>0</v>
      </c>
      <c r="AC924">
        <v>0</v>
      </c>
      <c r="AD924">
        <v>0</v>
      </c>
      <c r="AE924">
        <v>0</v>
      </c>
      <c r="AF924">
        <v>0.0025999999999999999</v>
      </c>
      <c r="AG924">
        <v>0</v>
      </c>
      <c r="AH924">
        <v>0</v>
      </c>
      <c r="AI924">
        <v>2</v>
      </c>
      <c r="AJ924">
        <v>0</v>
      </c>
      <c r="AK924">
        <v>0</v>
      </c>
      <c r="AL924">
        <v>80</v>
      </c>
      <c r="AM924">
        <v>0.455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0.975</v>
      </c>
      <c r="AU924">
        <v>0</v>
      </c>
      <c r="AV924">
        <v>0</v>
      </c>
    </row>
    <row r="925" spans="1:48" ht="12.75">
      <c r="A925" s="2" t="str">
        <f>HYPERLINK("https://ibp.a2mac1.com/costing(costing:projects/details/8191/equipment/6948076)","Equipment (Injection Molding)")</f>
        <v>Equipment (Injection Molding)</v>
      </c>
      <c r="B925">
        <v>6948076</v>
      </c>
      <c r="C925">
        <v>6975489</v>
      </c>
      <c r="H925" t="s">
        <v>136</v>
      </c>
      <c r="I925">
        <v>632.47082399999999</v>
      </c>
      <c r="J925">
        <v>0</v>
      </c>
      <c r="K925">
        <v>0.026880000000000001</v>
      </c>
      <c r="L925">
        <v>0</v>
      </c>
      <c r="M925">
        <v>0.15553169141755063</v>
      </c>
      <c r="N925">
        <v>0</v>
      </c>
      <c r="O925">
        <v>0.0025921948569591772</v>
      </c>
      <c r="P925">
        <v>0.0001652592</v>
      </c>
      <c r="Q925">
        <v>1.3649046313365477E-05</v>
      </c>
      <c r="R925">
        <v>3360</v>
      </c>
      <c r="S925">
        <v>0</v>
      </c>
      <c r="T925">
        <v>0</v>
      </c>
      <c r="V925">
        <v>32.40</v>
      </c>
      <c r="W925">
        <v>7</v>
      </c>
      <c r="X925">
        <v>85</v>
      </c>
      <c r="Y925">
        <v>3</v>
      </c>
      <c r="Z925">
        <v>4</v>
      </c>
      <c r="AA925">
        <v>5</v>
      </c>
      <c r="AB925">
        <v>0</v>
      </c>
      <c r="AC925">
        <v>0</v>
      </c>
      <c r="AD925">
        <v>0</v>
      </c>
      <c r="AE925">
        <v>0</v>
      </c>
      <c r="AF925">
        <v>0.0023999999999999998</v>
      </c>
      <c r="AG925">
        <v>0</v>
      </c>
      <c r="AH925">
        <v>0</v>
      </c>
      <c r="AI925">
        <v>2</v>
      </c>
      <c r="AJ925">
        <v>0</v>
      </c>
      <c r="AK925">
        <v>0</v>
      </c>
      <c r="AL925">
        <v>80</v>
      </c>
      <c r="AM925">
        <v>0.42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0.90</v>
      </c>
      <c r="AU925">
        <v>0</v>
      </c>
      <c r="AV925">
        <v>0</v>
      </c>
    </row>
    <row r="926" spans="1:48" ht="12.75">
      <c r="A926" s="2" t="str">
        <f>HYPERLINK("https://ibp.a2mac1.com/costing(costing:projects/details/8191/equipment/6948308)","No.01 - T,TF 10/11")</f>
        <v>No.01 - T,TF 10/11</v>
      </c>
      <c r="B926">
        <v>6948308</v>
      </c>
      <c r="C926">
        <v>6975706</v>
      </c>
      <c r="E926" t="s">
        <v>499</v>
      </c>
      <c r="H926" t="s">
        <v>136</v>
      </c>
      <c r="I926">
        <v>7587.4535999999998</v>
      </c>
      <c r="J926">
        <v>0</v>
      </c>
      <c r="K926">
        <v>1.2276800000000001</v>
      </c>
      <c r="L926">
        <v>0</v>
      </c>
      <c r="M926">
        <v>2.8087557955641271</v>
      </c>
      <c r="N926">
        <v>0</v>
      </c>
      <c r="O926">
        <v>0.02472590638381978</v>
      </c>
      <c r="P926">
        <v>0</v>
      </c>
      <c r="Q926">
        <v>0.0004610698738669238</v>
      </c>
      <c r="R926">
        <v>45000</v>
      </c>
      <c r="S926">
        <v>0</v>
      </c>
      <c r="T926">
        <v>0</v>
      </c>
      <c r="V926">
        <v>1800</v>
      </c>
      <c r="W926">
        <v>8</v>
      </c>
      <c r="X926">
        <v>85</v>
      </c>
      <c r="Y926">
        <v>3</v>
      </c>
      <c r="Z926">
        <v>4</v>
      </c>
      <c r="AA926">
        <v>5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100</v>
      </c>
      <c r="AM926">
        <v>15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10</v>
      </c>
      <c r="AU926">
        <v>0</v>
      </c>
      <c r="AV926">
        <v>0</v>
      </c>
    </row>
    <row r="927" spans="1:48" ht="12.75">
      <c r="A927" s="2" t="str">
        <f>HYPERLINK("https://ibp.a2mac1.com/costing(costing:projects/details/8191/equipment/6948309)","No.01 - Buhler ladel Model 4,5L ")</f>
        <v xml:space="preserve">No.01 - Buhler ladel Model 4,5L </v>
      </c>
      <c r="B927">
        <v>6948309</v>
      </c>
      <c r="C927">
        <v>6975707</v>
      </c>
      <c r="E927" t="s">
        <v>499</v>
      </c>
      <c r="H927" t="s">
        <v>136</v>
      </c>
      <c r="I927">
        <v>4348.7082399999999</v>
      </c>
      <c r="J927">
        <v>0</v>
      </c>
      <c r="K927">
        <v>0.98399999999999999</v>
      </c>
      <c r="L927">
        <v>0</v>
      </c>
      <c r="M927">
        <v>1.8838245323047251</v>
      </c>
      <c r="N927">
        <v>0</v>
      </c>
      <c r="O927">
        <v>0.016583595164404264</v>
      </c>
      <c r="P927">
        <v>0</v>
      </c>
      <c r="Q927">
        <v>2.8257367984570879E-05</v>
      </c>
      <c r="R927">
        <v>25000</v>
      </c>
      <c r="S927">
        <v>0</v>
      </c>
      <c r="T927">
        <v>0</v>
      </c>
      <c r="V927">
        <v>900</v>
      </c>
      <c r="W927">
        <v>8</v>
      </c>
      <c r="X927">
        <v>85</v>
      </c>
      <c r="Y927">
        <v>3</v>
      </c>
      <c r="Z927">
        <v>4</v>
      </c>
      <c r="AA927">
        <v>5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98</v>
      </c>
      <c r="AM927">
        <v>10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9</v>
      </c>
      <c r="AU927">
        <v>0.20</v>
      </c>
      <c r="AV927">
        <v>0</v>
      </c>
    </row>
    <row r="928" spans="1:48" ht="12.75">
      <c r="A928" s="2" t="str">
        <f>HYPERLINK("https://ibp.a2mac1.com/costing(costing:projects/details/8191/equipment/6948310)","No.02 - Idra - OL 560 S ")</f>
        <v xml:space="preserve">No.02 - Idra - OL 560 S </v>
      </c>
      <c r="B928">
        <v>6948310</v>
      </c>
      <c r="C928">
        <v>6975708</v>
      </c>
      <c r="E928" t="s">
        <v>499</v>
      </c>
      <c r="H928" t="s">
        <v>136</v>
      </c>
      <c r="I928">
        <v>64037.267999999996</v>
      </c>
      <c r="J928">
        <v>0</v>
      </c>
      <c r="K928">
        <v>4.3021988000000002</v>
      </c>
      <c r="L928">
        <v>0</v>
      </c>
      <c r="M928">
        <v>18.290830751141112</v>
      </c>
      <c r="N928">
        <v>0</v>
      </c>
      <c r="O928">
        <v>0.16101697753477107</v>
      </c>
      <c r="P928">
        <v>0.01200211638065</v>
      </c>
      <c r="Q928">
        <v>0.0052093572901369331</v>
      </c>
      <c r="R928">
        <v>460000</v>
      </c>
      <c r="S928">
        <v>0</v>
      </c>
      <c r="T928">
        <v>0</v>
      </c>
      <c r="V928">
        <v>7200</v>
      </c>
      <c r="W928">
        <v>10</v>
      </c>
      <c r="X928">
        <v>85</v>
      </c>
      <c r="Y928">
        <v>3</v>
      </c>
      <c r="Z928">
        <v>4</v>
      </c>
      <c r="AA928">
        <v>5</v>
      </c>
      <c r="AB928">
        <v>0</v>
      </c>
      <c r="AC928">
        <v>0</v>
      </c>
      <c r="AD928">
        <v>0</v>
      </c>
      <c r="AE928">
        <v>0</v>
      </c>
      <c r="AF928">
        <v>0.33</v>
      </c>
      <c r="AG928">
        <v>0</v>
      </c>
      <c r="AH928">
        <v>0</v>
      </c>
      <c r="AI928">
        <v>2</v>
      </c>
      <c r="AJ928">
        <v>0</v>
      </c>
      <c r="AK928">
        <v>0</v>
      </c>
      <c r="AL928">
        <v>93</v>
      </c>
      <c r="AM928">
        <v>55.50</v>
      </c>
      <c r="AN928">
        <v>0</v>
      </c>
      <c r="AO928">
        <v>0</v>
      </c>
      <c r="AP928">
        <v>0</v>
      </c>
      <c r="AQ928">
        <v>6</v>
      </c>
      <c r="AR928">
        <v>0</v>
      </c>
      <c r="AS928">
        <v>0.01</v>
      </c>
      <c r="AT928">
        <v>50</v>
      </c>
      <c r="AU928">
        <v>0</v>
      </c>
      <c r="AV928">
        <v>0</v>
      </c>
    </row>
    <row r="929" spans="1:48" ht="12.75">
      <c r="A929" s="2" t="str">
        <f>HYPERLINK("https://ibp.a2mac1.com/costing(costing:projects/details/8191/equipment/6948311)","Machining Center, small ")</f>
        <v xml:space="preserve">Machining Center, small </v>
      </c>
      <c r="B929">
        <v>6948311</v>
      </c>
      <c r="C929">
        <v>6975709</v>
      </c>
      <c r="E929" t="s">
        <v>499</v>
      </c>
      <c r="F929" t="s">
        <v>4941</v>
      </c>
      <c r="H929" t="s">
        <v>136</v>
      </c>
      <c r="I929">
        <v>32676.767998650001</v>
      </c>
      <c r="J929">
        <v>0</v>
      </c>
      <c r="K929">
        <v>2.9383759999999999</v>
      </c>
      <c r="L929">
        <v>0</v>
      </c>
      <c r="M929">
        <v>10.019984485720025</v>
      </c>
      <c r="N929">
        <v>0</v>
      </c>
      <c r="O929">
        <v>0.16699974142866711</v>
      </c>
      <c r="P929">
        <v>0.20933733333333332</v>
      </c>
      <c r="Q929">
        <v>0.0027096269382864031</v>
      </c>
      <c r="R929">
        <v>227699.99999000001</v>
      </c>
      <c r="S929">
        <v>19930.32</v>
      </c>
      <c r="T929">
        <v>0</v>
      </c>
      <c r="V929">
        <v>7200</v>
      </c>
      <c r="W929">
        <v>10</v>
      </c>
      <c r="X929">
        <v>85</v>
      </c>
      <c r="Y929">
        <v>3</v>
      </c>
      <c r="Z929">
        <v>4</v>
      </c>
      <c r="AA929">
        <v>5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100</v>
      </c>
      <c r="AM929">
        <v>35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0.20</v>
      </c>
      <c r="AT929">
        <v>50</v>
      </c>
      <c r="AU929">
        <v>0</v>
      </c>
      <c r="AV929">
        <v>0</v>
      </c>
    </row>
    <row r="930" spans="1:48" ht="12.75">
      <c r="A930" s="2" t="str">
        <f>HYPERLINK("https://ibp.a2mac1.com/costing(costing:projects/details/8191/equipment/6948314)","No.01 - Bodytrimming - 500x400x400 - 15kg/Mould ")</f>
        <v xml:space="preserve">No.01 - Bodytrimming - 500x400x400 - 15kg/Mould </v>
      </c>
      <c r="B930">
        <v>6948314</v>
      </c>
      <c r="C930">
        <v>6975712</v>
      </c>
      <c r="E930" t="s">
        <v>499</v>
      </c>
      <c r="H930" t="s">
        <v>136</v>
      </c>
      <c r="I930">
        <v>432.47215999999997</v>
      </c>
      <c r="J930">
        <v>0</v>
      </c>
      <c r="K930">
        <v>0.51136000000000004</v>
      </c>
      <c r="L930">
        <v>0</v>
      </c>
      <c r="M930">
        <v>0.59091193828351007</v>
      </c>
      <c r="N930">
        <v>0</v>
      </c>
      <c r="O930">
        <v>0.0073863992285438766</v>
      </c>
      <c r="P930">
        <v>0.051643500000000002</v>
      </c>
      <c r="Q930">
        <v>0</v>
      </c>
      <c r="R930">
        <v>1250</v>
      </c>
      <c r="S930">
        <v>17937.288</v>
      </c>
      <c r="T930">
        <v>0</v>
      </c>
      <c r="V930">
        <v>0</v>
      </c>
      <c r="W930">
        <v>8</v>
      </c>
      <c r="X930">
        <v>85</v>
      </c>
      <c r="Y930">
        <v>3</v>
      </c>
      <c r="Z930">
        <v>4</v>
      </c>
      <c r="AA930">
        <v>5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95</v>
      </c>
      <c r="AM930">
        <v>6</v>
      </c>
      <c r="AN930">
        <v>0</v>
      </c>
      <c r="AO930">
        <v>0</v>
      </c>
      <c r="AP930">
        <v>0</v>
      </c>
      <c r="AQ930">
        <v>2</v>
      </c>
      <c r="AR930">
        <v>0</v>
      </c>
      <c r="AS930">
        <v>0</v>
      </c>
      <c r="AT930">
        <v>6</v>
      </c>
      <c r="AU930">
        <v>0</v>
      </c>
      <c r="AV930">
        <v>0</v>
      </c>
    </row>
    <row r="931" spans="1:48" ht="12.75">
      <c r="A931" s="2" t="str">
        <f>HYPERLINK("https://ibp.a2mac1.com/costing(costing:projects/details/8191/equipment/6948315)","Manual deburring ")</f>
        <v xml:space="preserve">Manual deburring </v>
      </c>
      <c r="B931">
        <v>6948315</v>
      </c>
      <c r="C931">
        <v>6975713</v>
      </c>
      <c r="E931" t="s">
        <v>499</v>
      </c>
      <c r="F931" t="s">
        <v>4944</v>
      </c>
      <c r="H931" t="s">
        <v>136</v>
      </c>
      <c r="I931">
        <v>2345.49575865</v>
      </c>
      <c r="J931">
        <v>0</v>
      </c>
      <c r="K931">
        <v>0.34767999999999999</v>
      </c>
      <c r="L931">
        <v>0</v>
      </c>
      <c r="M931">
        <v>0.82736430699935715</v>
      </c>
      <c r="N931">
        <v>0</v>
      </c>
      <c r="O931">
        <v>0.028727927326366566</v>
      </c>
      <c r="P931">
        <v>0.14345416666666666</v>
      </c>
      <c r="Q931">
        <v>0.00080325625841996145</v>
      </c>
      <c r="R931">
        <v>12781.99999</v>
      </c>
      <c r="S931">
        <v>3986.0639999999999</v>
      </c>
      <c r="T931">
        <v>0</v>
      </c>
      <c r="V931">
        <v>3600</v>
      </c>
      <c r="W931">
        <v>10</v>
      </c>
      <c r="X931">
        <v>85</v>
      </c>
      <c r="Y931">
        <v>3</v>
      </c>
      <c r="Z931">
        <v>4</v>
      </c>
      <c r="AA931">
        <v>5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100</v>
      </c>
      <c r="AM931">
        <v>4</v>
      </c>
      <c r="AN931">
        <v>0</v>
      </c>
      <c r="AO931">
        <v>0</v>
      </c>
      <c r="AP931">
        <v>0</v>
      </c>
      <c r="AQ931">
        <v>1</v>
      </c>
      <c r="AR931">
        <v>0</v>
      </c>
      <c r="AS931">
        <v>0</v>
      </c>
      <c r="AT931">
        <v>16</v>
      </c>
      <c r="AU931">
        <v>0</v>
      </c>
      <c r="AV931">
        <v>0</v>
      </c>
    </row>
    <row r="932" spans="1:48" ht="12.75">
      <c r="A932" s="2" t="str">
        <f>HYPERLINK("https://ibp.a2mac1.com/costing(costing:projects/details/8191/equipment/6948312)","Automated Optical Inspection ")</f>
        <v xml:space="preserve">Automated Optical Inspection </v>
      </c>
      <c r="B932">
        <v>6948312</v>
      </c>
      <c r="C932">
        <v>6975710</v>
      </c>
      <c r="E932" t="s">
        <v>499</v>
      </c>
      <c r="H932" t="s">
        <v>136</v>
      </c>
      <c r="I932">
        <v>31717.853999999999</v>
      </c>
      <c r="J932">
        <v>0</v>
      </c>
      <c r="K932">
        <v>0.24</v>
      </c>
      <c r="L932">
        <v>0</v>
      </c>
      <c r="M932">
        <v>7.168070395371263</v>
      </c>
      <c r="N932">
        <v>0</v>
      </c>
      <c r="O932">
        <v>0.029866959980713596</v>
      </c>
      <c r="P932">
        <v>0.0043036250000000002</v>
      </c>
      <c r="Q932">
        <v>0.00029592465593056896</v>
      </c>
      <c r="R932">
        <v>227772</v>
      </c>
      <c r="S932">
        <v>2491.29</v>
      </c>
      <c r="T932">
        <v>0</v>
      </c>
      <c r="V932">
        <v>900</v>
      </c>
      <c r="W932">
        <v>10</v>
      </c>
      <c r="X932">
        <v>85</v>
      </c>
      <c r="Y932">
        <v>3</v>
      </c>
      <c r="Z932">
        <v>4</v>
      </c>
      <c r="AA932">
        <v>5</v>
      </c>
      <c r="AB932">
        <v>0</v>
      </c>
      <c r="AC932">
        <v>0</v>
      </c>
      <c r="AD932">
        <v>0</v>
      </c>
      <c r="AE932">
        <v>0</v>
      </c>
      <c r="AF932">
        <v>0.25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100</v>
      </c>
      <c r="AM932">
        <v>3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25</v>
      </c>
      <c r="AU932">
        <v>0</v>
      </c>
      <c r="AV932">
        <v>0</v>
      </c>
    </row>
    <row r="933" spans="1:48" ht="12.75">
      <c r="A933" s="2" t="str">
        <f>HYPERLINK("https://ibp.a2mac1.com/costing(costing:projects/details/8191/equipment/6948313)","Packaging ")</f>
        <v xml:space="preserve">Packaging </v>
      </c>
      <c r="B933">
        <v>6948313</v>
      </c>
      <c r="C933">
        <v>6975711</v>
      </c>
      <c r="E933" t="s">
        <v>499</v>
      </c>
      <c r="H933" t="s">
        <v>136</v>
      </c>
      <c r="I933">
        <v>4437.4535986499995</v>
      </c>
      <c r="J933">
        <v>0</v>
      </c>
      <c r="K933">
        <v>0.10768</v>
      </c>
      <c r="L933">
        <v>0</v>
      </c>
      <c r="M933">
        <v>1.0619476949774993</v>
      </c>
      <c r="N933">
        <v>0</v>
      </c>
      <c r="O933">
        <v>0.0014749273541354154</v>
      </c>
      <c r="P933">
        <v>0.0057381666666666666</v>
      </c>
      <c r="Q933">
        <v>0.00020433281542466249</v>
      </c>
      <c r="R933">
        <v>29999.99999</v>
      </c>
      <c r="S933">
        <v>0</v>
      </c>
      <c r="T933">
        <v>800000</v>
      </c>
      <c r="V933">
        <v>900</v>
      </c>
      <c r="W933">
        <v>10</v>
      </c>
      <c r="X933">
        <v>85</v>
      </c>
      <c r="Y933">
        <v>3</v>
      </c>
      <c r="Z933">
        <v>4</v>
      </c>
      <c r="AA933">
        <v>5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50</v>
      </c>
      <c r="AM933">
        <v>2</v>
      </c>
      <c r="AN933">
        <v>0</v>
      </c>
      <c r="AO933">
        <v>0</v>
      </c>
      <c r="AP933">
        <v>0</v>
      </c>
      <c r="AQ933">
        <v>1</v>
      </c>
      <c r="AR933">
        <v>0</v>
      </c>
      <c r="AS933">
        <v>0</v>
      </c>
      <c r="AT933">
        <v>10</v>
      </c>
      <c r="AU933">
        <v>0</v>
      </c>
      <c r="AV933">
        <v>0</v>
      </c>
    </row>
    <row r="934" spans="1:48" ht="12.75">
      <c r="A934" s="2" t="str">
        <f>HYPERLINK("https://ibp.a2mac1.com/costing(costing:projects/details/8191/equipment/6948316)","No.02 - Injection Press - 60T - 25kW - 320x320 - Max Volume 164cm3 ")</f>
        <v xml:space="preserve">No.02 - Injection Press - 60T - 25kW - 320x320 - Max Volume 164cm3 </v>
      </c>
      <c r="B934">
        <v>6948316</v>
      </c>
      <c r="C934">
        <v>6975714</v>
      </c>
      <c r="E934" t="s">
        <v>499</v>
      </c>
      <c r="H934" t="s">
        <v>136</v>
      </c>
      <c r="I934">
        <v>16929.888640000001</v>
      </c>
      <c r="J934">
        <v>0</v>
      </c>
      <c r="K934">
        <v>1.9124000000000001</v>
      </c>
      <c r="L934">
        <v>0</v>
      </c>
      <c r="M934">
        <v>5.4369722661523623</v>
      </c>
      <c r="N934">
        <v>0</v>
      </c>
      <c r="O934">
        <v>0.040128253431870778</v>
      </c>
      <c r="P934">
        <v>0.0076232261437500001</v>
      </c>
      <c r="Q934">
        <v>0.0036668942719382835</v>
      </c>
      <c r="R934">
        <v>100000</v>
      </c>
      <c r="S934">
        <v>0</v>
      </c>
      <c r="T934">
        <v>0</v>
      </c>
      <c r="V934">
        <v>7200</v>
      </c>
      <c r="W934">
        <v>8</v>
      </c>
      <c r="X934">
        <v>85</v>
      </c>
      <c r="Y934">
        <v>3</v>
      </c>
      <c r="Z934">
        <v>4</v>
      </c>
      <c r="AA934">
        <v>5</v>
      </c>
      <c r="AB934">
        <v>0</v>
      </c>
      <c r="AC934">
        <v>0</v>
      </c>
      <c r="AD934">
        <v>0</v>
      </c>
      <c r="AE934">
        <v>0</v>
      </c>
      <c r="AF934">
        <v>0.25</v>
      </c>
      <c r="AG934">
        <v>0</v>
      </c>
      <c r="AH934">
        <v>0</v>
      </c>
      <c r="AI934">
        <v>2</v>
      </c>
      <c r="AJ934">
        <v>0</v>
      </c>
      <c r="AK934">
        <v>0</v>
      </c>
      <c r="AL934">
        <v>97</v>
      </c>
      <c r="AM934">
        <v>24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24</v>
      </c>
      <c r="AU934">
        <v>0.05</v>
      </c>
      <c r="AV934">
        <v>0</v>
      </c>
    </row>
    <row r="935" spans="1:48" ht="12.75">
      <c r="A935" s="2" t="str">
        <f>HYPERLINK("https://ibp.a2mac1.com/costing(costing:projects/details/8191/equipment/6948317)","Packaging")</f>
        <v>Packaging</v>
      </c>
      <c r="B935">
        <v>6948317</v>
      </c>
      <c r="C935">
        <v>6975715</v>
      </c>
      <c r="H935" t="s">
        <v>136</v>
      </c>
      <c r="I935">
        <v>4437.4535986499995</v>
      </c>
      <c r="J935">
        <v>0</v>
      </c>
      <c r="K935">
        <v>0.08</v>
      </c>
      <c r="L935">
        <v>0</v>
      </c>
      <c r="M935">
        <v>1.0342676949774992</v>
      </c>
      <c r="N935">
        <v>0</v>
      </c>
      <c r="O935">
        <v>0.0086188974581458272</v>
      </c>
      <c r="P935">
        <v>0.034429000000000001</v>
      </c>
      <c r="Q935">
        <v>1.5514015424662487E-05</v>
      </c>
      <c r="R935">
        <v>29999.99999</v>
      </c>
      <c r="S935">
        <v>0</v>
      </c>
      <c r="T935">
        <v>0</v>
      </c>
      <c r="V935">
        <v>900</v>
      </c>
      <c r="W935">
        <v>10</v>
      </c>
      <c r="X935">
        <v>85</v>
      </c>
      <c r="Y935">
        <v>3</v>
      </c>
      <c r="Z935">
        <v>4</v>
      </c>
      <c r="AA935">
        <v>5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50</v>
      </c>
      <c r="AM935">
        <v>2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10</v>
      </c>
      <c r="AU935">
        <v>0</v>
      </c>
      <c r="AV935">
        <v>0</v>
      </c>
    </row>
    <row r="936" spans="1:48" ht="12.75">
      <c r="A936" s="2" t="str">
        <f>HYPERLINK("https://ibp.a2mac1.com/costing(costing:projects/details/8191/equipment/6948318)","No.05 - Injection Press - 125T - 34kW - 500x500 - Max Volume 260cm3 ")</f>
        <v xml:space="preserve">No.05 - Injection Press - 125T - 34kW - 500x500 - Max Volume 260cm3 </v>
      </c>
      <c r="B936">
        <v>6948318</v>
      </c>
      <c r="C936">
        <v>6975716</v>
      </c>
      <c r="E936" t="s">
        <v>499</v>
      </c>
      <c r="H936" t="s">
        <v>136</v>
      </c>
      <c r="I936">
        <v>25501.382699999998</v>
      </c>
      <c r="J936">
        <v>0</v>
      </c>
      <c r="K936">
        <v>2.375</v>
      </c>
      <c r="L936">
        <v>0</v>
      </c>
      <c r="M936">
        <v>7.6789830761812921</v>
      </c>
      <c r="N936">
        <v>0</v>
      </c>
      <c r="O936">
        <v>0.053975998652649203</v>
      </c>
      <c r="P936">
        <v>0.0072601006116666663</v>
      </c>
      <c r="Q936">
        <v>0.0039359355691417552</v>
      </c>
      <c r="R936">
        <v>150000</v>
      </c>
      <c r="S936">
        <v>0</v>
      </c>
      <c r="T936">
        <v>0</v>
      </c>
      <c r="V936">
        <v>7200</v>
      </c>
      <c r="W936">
        <v>8</v>
      </c>
      <c r="X936">
        <v>85</v>
      </c>
      <c r="Y936">
        <v>3</v>
      </c>
      <c r="Z936">
        <v>4</v>
      </c>
      <c r="AA936">
        <v>5</v>
      </c>
      <c r="AB936">
        <v>0</v>
      </c>
      <c r="AC936">
        <v>0</v>
      </c>
      <c r="AD936">
        <v>0</v>
      </c>
      <c r="AE936">
        <v>0</v>
      </c>
      <c r="AF936">
        <v>0.25</v>
      </c>
      <c r="AG936">
        <v>0</v>
      </c>
      <c r="AH936">
        <v>0</v>
      </c>
      <c r="AI936">
        <v>2</v>
      </c>
      <c r="AJ936">
        <v>0</v>
      </c>
      <c r="AK936">
        <v>0</v>
      </c>
      <c r="AL936">
        <v>93</v>
      </c>
      <c r="AM936">
        <v>31.25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38.75</v>
      </c>
      <c r="AU936">
        <v>0.05</v>
      </c>
      <c r="AV936">
        <v>0</v>
      </c>
    </row>
    <row r="937" spans="1:48" ht="12.75">
      <c r="A937" s="2" t="str">
        <f>HYPERLINK("https://ibp.a2mac1.com/costing(costing:projects/details/8191/equipment/6948319)","Packaging")</f>
        <v>Packaging</v>
      </c>
      <c r="B937">
        <v>6948319</v>
      </c>
      <c r="C937">
        <v>6975717</v>
      </c>
      <c r="H937" t="s">
        <v>136</v>
      </c>
      <c r="I937">
        <v>4437.4535986499995</v>
      </c>
      <c r="J937">
        <v>0</v>
      </c>
      <c r="K937">
        <v>0.08</v>
      </c>
      <c r="L937">
        <v>0</v>
      </c>
      <c r="M937">
        <v>1.0342676949774992</v>
      </c>
      <c r="N937">
        <v>0</v>
      </c>
      <c r="O937">
        <v>0.0086188974581458272</v>
      </c>
      <c r="P937">
        <v>0.034429000000000001</v>
      </c>
      <c r="Q937">
        <v>1.5514015424662487E-05</v>
      </c>
      <c r="R937">
        <v>29999.99999</v>
      </c>
      <c r="S937">
        <v>0</v>
      </c>
      <c r="T937">
        <v>0</v>
      </c>
      <c r="V937">
        <v>900</v>
      </c>
      <c r="W937">
        <v>10</v>
      </c>
      <c r="X937">
        <v>85</v>
      </c>
      <c r="Y937">
        <v>3</v>
      </c>
      <c r="Z937">
        <v>4</v>
      </c>
      <c r="AA937">
        <v>5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50</v>
      </c>
      <c r="AM937">
        <v>2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10</v>
      </c>
      <c r="AU937">
        <v>0</v>
      </c>
      <c r="AV937">
        <v>0</v>
      </c>
    </row>
    <row r="938" spans="1:48" ht="12.75">
      <c r="A938" s="2" t="str">
        <f>HYPERLINK("https://ibp.a2mac1.com/costing(costing:projects/details/8191/equipment/6948320)","No.04 - Injection Press - 100T - 33kW - 400x400 - Max Volume 260cm3 ")</f>
        <v xml:space="preserve">No.04 - Injection Press - 100T - 33kW - 400x400 - Max Volume 260cm3 </v>
      </c>
      <c r="B938">
        <v>6948320</v>
      </c>
      <c r="C938">
        <v>6975718</v>
      </c>
      <c r="E938" t="s">
        <v>499</v>
      </c>
      <c r="H938" t="s">
        <v>136</v>
      </c>
      <c r="I938">
        <v>22101.844096000001</v>
      </c>
      <c r="J938">
        <v>0</v>
      </c>
      <c r="K938">
        <v>2.282</v>
      </c>
      <c r="L938">
        <v>0</v>
      </c>
      <c r="M938">
        <v>6.8788891186113794</v>
      </c>
      <c r="N938">
        <v>0</v>
      </c>
      <c r="O938">
        <v>0.018780838611759436</v>
      </c>
      <c r="P938">
        <v>0.0028199560194166668</v>
      </c>
      <c r="Q938">
        <v>0.0038399242942333653</v>
      </c>
      <c r="R938">
        <v>130000</v>
      </c>
      <c r="S938">
        <v>0</v>
      </c>
      <c r="T938">
        <v>0</v>
      </c>
      <c r="V938">
        <v>7200</v>
      </c>
      <c r="W938">
        <v>8</v>
      </c>
      <c r="X938">
        <v>85</v>
      </c>
      <c r="Y938">
        <v>3</v>
      </c>
      <c r="Z938">
        <v>4</v>
      </c>
      <c r="AA938">
        <v>5</v>
      </c>
      <c r="AB938">
        <v>0</v>
      </c>
      <c r="AC938">
        <v>0</v>
      </c>
      <c r="AD938">
        <v>0</v>
      </c>
      <c r="AE938">
        <v>0</v>
      </c>
      <c r="AF938">
        <v>0.25</v>
      </c>
      <c r="AG938">
        <v>0</v>
      </c>
      <c r="AH938">
        <v>0</v>
      </c>
      <c r="AI938">
        <v>2</v>
      </c>
      <c r="AJ938">
        <v>0</v>
      </c>
      <c r="AK938">
        <v>0</v>
      </c>
      <c r="AL938">
        <v>93</v>
      </c>
      <c r="AM938">
        <v>30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33.60</v>
      </c>
      <c r="AU938">
        <v>0.05</v>
      </c>
      <c r="AV938">
        <v>0</v>
      </c>
    </row>
    <row r="939" spans="1:48" ht="12.75">
      <c r="A939" s="2" t="str">
        <f>HYPERLINK("https://ibp.a2mac1.com/costing(costing:projects/details/8191/equipment/6948321)","Packaging")</f>
        <v>Packaging</v>
      </c>
      <c r="B939">
        <v>6948321</v>
      </c>
      <c r="C939">
        <v>6975719</v>
      </c>
      <c r="H939" t="s">
        <v>136</v>
      </c>
      <c r="I939">
        <v>4437.4535986499995</v>
      </c>
      <c r="J939">
        <v>0</v>
      </c>
      <c r="K939">
        <v>0.08</v>
      </c>
      <c r="L939">
        <v>0</v>
      </c>
      <c r="M939">
        <v>1.0342676949774992</v>
      </c>
      <c r="N939">
        <v>0</v>
      </c>
      <c r="O939">
        <v>0.0043094487290729136</v>
      </c>
      <c r="P939">
        <v>0.017214500000000001</v>
      </c>
      <c r="Q939">
        <v>1.5514015424662487E-05</v>
      </c>
      <c r="R939">
        <v>29999.99999</v>
      </c>
      <c r="S939">
        <v>0</v>
      </c>
      <c r="T939">
        <v>0</v>
      </c>
      <c r="V939">
        <v>900</v>
      </c>
      <c r="W939">
        <v>10</v>
      </c>
      <c r="X939">
        <v>85</v>
      </c>
      <c r="Y939">
        <v>3</v>
      </c>
      <c r="Z939">
        <v>4</v>
      </c>
      <c r="AA939">
        <v>5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50</v>
      </c>
      <c r="AM939">
        <v>2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10</v>
      </c>
      <c r="AU939">
        <v>0</v>
      </c>
      <c r="AV939">
        <v>0</v>
      </c>
    </row>
    <row r="940" spans="1:48" ht="12.75">
      <c r="A940" s="2" t="str">
        <f>HYPERLINK("https://ibp.a2mac1.com/costing(costing:projects/details/8191/equipment/6948322)","No.04 - Injection Press - 100T - 33kW - 400x400 - Max Volume 260cm3 ")</f>
        <v xml:space="preserve">No.04 - Injection Press - 100T - 33kW - 400x400 - Max Volume 260cm3 </v>
      </c>
      <c r="B940">
        <v>6948322</v>
      </c>
      <c r="C940">
        <v>6975720</v>
      </c>
      <c r="E940" t="s">
        <v>499</v>
      </c>
      <c r="H940" t="s">
        <v>136</v>
      </c>
      <c r="I940">
        <v>22101.844096000001</v>
      </c>
      <c r="J940">
        <v>0</v>
      </c>
      <c r="K940">
        <v>2.282</v>
      </c>
      <c r="L940">
        <v>0</v>
      </c>
      <c r="M940">
        <v>6.8788891186113794</v>
      </c>
      <c r="N940">
        <v>0</v>
      </c>
      <c r="O940">
        <v>0.047994888349716748</v>
      </c>
      <c r="P940">
        <v>0.007206465967833333</v>
      </c>
      <c r="Q940">
        <v>0.0038399242942333653</v>
      </c>
      <c r="R940">
        <v>130000</v>
      </c>
      <c r="S940">
        <v>0</v>
      </c>
      <c r="T940">
        <v>0</v>
      </c>
      <c r="V940">
        <v>7200</v>
      </c>
      <c r="W940">
        <v>8</v>
      </c>
      <c r="X940">
        <v>85</v>
      </c>
      <c r="Y940">
        <v>3</v>
      </c>
      <c r="Z940">
        <v>4</v>
      </c>
      <c r="AA940">
        <v>5</v>
      </c>
      <c r="AB940">
        <v>0</v>
      </c>
      <c r="AC940">
        <v>0</v>
      </c>
      <c r="AD940">
        <v>0</v>
      </c>
      <c r="AE940">
        <v>0</v>
      </c>
      <c r="AF940">
        <v>0.25</v>
      </c>
      <c r="AG940">
        <v>0</v>
      </c>
      <c r="AH940">
        <v>0</v>
      </c>
      <c r="AI940">
        <v>2</v>
      </c>
      <c r="AJ940">
        <v>0</v>
      </c>
      <c r="AK940">
        <v>0</v>
      </c>
      <c r="AL940">
        <v>93</v>
      </c>
      <c r="AM940">
        <v>30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33.60</v>
      </c>
      <c r="AU940">
        <v>0.05</v>
      </c>
      <c r="AV940">
        <v>0</v>
      </c>
    </row>
    <row r="941" spans="1:48" ht="12.75">
      <c r="A941" s="2" t="str">
        <f>HYPERLINK("https://ibp.a2mac1.com/costing(costing:projects/details/8191/equipment/6948323)","Packaging")</f>
        <v>Packaging</v>
      </c>
      <c r="B941">
        <v>6948323</v>
      </c>
      <c r="C941">
        <v>6975721</v>
      </c>
      <c r="H941" t="s">
        <v>136</v>
      </c>
      <c r="I941">
        <v>4437.4535986499995</v>
      </c>
      <c r="J941">
        <v>0</v>
      </c>
      <c r="K941">
        <v>0.08</v>
      </c>
      <c r="L941">
        <v>0</v>
      </c>
      <c r="M941">
        <v>1.0342676949774992</v>
      </c>
      <c r="N941">
        <v>0</v>
      </c>
      <c r="O941">
        <v>0.0086188974581458272</v>
      </c>
      <c r="P941">
        <v>0.034429000000000001</v>
      </c>
      <c r="Q941">
        <v>1.5514015424662487E-05</v>
      </c>
      <c r="R941">
        <v>29999.99999</v>
      </c>
      <c r="S941">
        <v>0</v>
      </c>
      <c r="T941">
        <v>0</v>
      </c>
      <c r="V941">
        <v>900</v>
      </c>
      <c r="W941">
        <v>10</v>
      </c>
      <c r="X941">
        <v>85</v>
      </c>
      <c r="Y941">
        <v>3</v>
      </c>
      <c r="Z941">
        <v>4</v>
      </c>
      <c r="AA941">
        <v>5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50</v>
      </c>
      <c r="AM941">
        <v>2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10</v>
      </c>
      <c r="AU941">
        <v>0</v>
      </c>
      <c r="AV941">
        <v>0</v>
      </c>
    </row>
    <row r="942" spans="1:48" ht="12.75">
      <c r="A942" s="2" t="str">
        <f>HYPERLINK("https://ibp.a2mac1.com/costing(costing:projects/details/8191/equipment/6948324)","Equipment (Injection Molding)")</f>
        <v>Equipment (Injection Molding)</v>
      </c>
      <c r="B942">
        <v>6948324</v>
      </c>
      <c r="C942">
        <v>6975722</v>
      </c>
      <c r="H942" t="s">
        <v>136</v>
      </c>
      <c r="I942">
        <v>896.00033399999995</v>
      </c>
      <c r="J942">
        <v>0</v>
      </c>
      <c r="K942">
        <v>0.038080000000000003</v>
      </c>
      <c r="L942">
        <v>0</v>
      </c>
      <c r="M942">
        <v>0.22033656284153005</v>
      </c>
      <c r="N942">
        <v>0</v>
      </c>
      <c r="O942">
        <v>0.0036722760473588342</v>
      </c>
      <c r="P942">
        <v>0.00023411720000000001</v>
      </c>
      <c r="Q942">
        <v>1.938572467057377E-05</v>
      </c>
      <c r="R942">
        <v>4760</v>
      </c>
      <c r="S942">
        <v>0</v>
      </c>
      <c r="T942">
        <v>0</v>
      </c>
      <c r="V942">
        <v>45.90</v>
      </c>
      <c r="W942">
        <v>7</v>
      </c>
      <c r="X942">
        <v>85</v>
      </c>
      <c r="Y942">
        <v>3</v>
      </c>
      <c r="Z942">
        <v>4</v>
      </c>
      <c r="AA942">
        <v>5</v>
      </c>
      <c r="AB942">
        <v>0</v>
      </c>
      <c r="AC942">
        <v>0</v>
      </c>
      <c r="AD942">
        <v>0</v>
      </c>
      <c r="AE942">
        <v>0</v>
      </c>
      <c r="AF942">
        <v>0.0033999999999999998</v>
      </c>
      <c r="AG942">
        <v>0</v>
      </c>
      <c r="AH942">
        <v>0</v>
      </c>
      <c r="AI942">
        <v>2</v>
      </c>
      <c r="AJ942">
        <v>0</v>
      </c>
      <c r="AK942">
        <v>0</v>
      </c>
      <c r="AL942">
        <v>80</v>
      </c>
      <c r="AM942">
        <v>0.595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1.275</v>
      </c>
      <c r="AU942">
        <v>0</v>
      </c>
      <c r="AV942">
        <v>0</v>
      </c>
    </row>
    <row r="943" spans="1:48" ht="12.75">
      <c r="A943" s="2" t="str">
        <f>HYPERLINK("https://ibp.a2mac1.com/costing(costing:projects/details/8191/equipment/6948325)","Equipment (Injection Molding)")</f>
        <v>Equipment (Injection Molding)</v>
      </c>
      <c r="B943">
        <v>6948325</v>
      </c>
      <c r="C943">
        <v>6975722</v>
      </c>
      <c r="H943" t="s">
        <v>136</v>
      </c>
      <c r="I943">
        <v>896.00033399999995</v>
      </c>
      <c r="J943">
        <v>0</v>
      </c>
      <c r="K943">
        <v>0.038080000000000003</v>
      </c>
      <c r="L943">
        <v>0</v>
      </c>
      <c r="M943">
        <v>0.22033656284153005</v>
      </c>
      <c r="N943">
        <v>0</v>
      </c>
      <c r="O943">
        <v>0.0036722760473588342</v>
      </c>
      <c r="P943">
        <v>0.00023411720000000001</v>
      </c>
      <c r="Q943">
        <v>1.938572467057377E-05</v>
      </c>
      <c r="R943">
        <v>4760</v>
      </c>
      <c r="S943">
        <v>0</v>
      </c>
      <c r="T943">
        <v>0</v>
      </c>
      <c r="V943">
        <v>45.90</v>
      </c>
      <c r="W943">
        <v>7</v>
      </c>
      <c r="X943">
        <v>85</v>
      </c>
      <c r="Y943">
        <v>3</v>
      </c>
      <c r="Z943">
        <v>4</v>
      </c>
      <c r="AA943">
        <v>5</v>
      </c>
      <c r="AB943">
        <v>0</v>
      </c>
      <c r="AC943">
        <v>0</v>
      </c>
      <c r="AD943">
        <v>0</v>
      </c>
      <c r="AE943">
        <v>0</v>
      </c>
      <c r="AF943">
        <v>0.0033999999999999998</v>
      </c>
      <c r="AG943">
        <v>0</v>
      </c>
      <c r="AH943">
        <v>0</v>
      </c>
      <c r="AI943">
        <v>2</v>
      </c>
      <c r="AJ943">
        <v>0</v>
      </c>
      <c r="AK943">
        <v>0</v>
      </c>
      <c r="AL943">
        <v>80</v>
      </c>
      <c r="AM943">
        <v>0.595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1.275</v>
      </c>
      <c r="AU943">
        <v>0</v>
      </c>
      <c r="AV943">
        <v>0</v>
      </c>
    </row>
    <row r="944" spans="1:48" ht="12.75">
      <c r="A944" s="2" t="str">
        <f>HYPERLINK("https://ibp.a2mac1.com/costing(costing:projects/details/8191/equipment/6948326)","Equipment (Injection Molding)")</f>
        <v>Equipment (Injection Molding)</v>
      </c>
      <c r="B944">
        <v>6948326</v>
      </c>
      <c r="C944">
        <v>6975723</v>
      </c>
      <c r="H944" t="s">
        <v>136</v>
      </c>
      <c r="I944">
        <v>395.294265</v>
      </c>
      <c r="J944">
        <v>0</v>
      </c>
      <c r="K944">
        <v>0.016799999999999999</v>
      </c>
      <c r="L944">
        <v>0</v>
      </c>
      <c r="M944">
        <v>0.097207307135969145</v>
      </c>
      <c r="N944">
        <v>0</v>
      </c>
      <c r="O944">
        <v>0.0016201217855994856</v>
      </c>
      <c r="P944">
        <v>0.000103287</v>
      </c>
      <c r="Q944">
        <v>8.5109694661583896E-06</v>
      </c>
      <c r="R944">
        <v>2100</v>
      </c>
      <c r="S944">
        <v>0</v>
      </c>
      <c r="T944">
        <v>0</v>
      </c>
      <c r="V944">
        <v>20.25</v>
      </c>
      <c r="W944">
        <v>7</v>
      </c>
      <c r="X944">
        <v>85</v>
      </c>
      <c r="Y944">
        <v>3</v>
      </c>
      <c r="Z944">
        <v>4</v>
      </c>
      <c r="AA944">
        <v>5</v>
      </c>
      <c r="AB944">
        <v>0</v>
      </c>
      <c r="AC944">
        <v>0</v>
      </c>
      <c r="AD944">
        <v>0</v>
      </c>
      <c r="AE944">
        <v>0</v>
      </c>
      <c r="AF944">
        <v>0.0015</v>
      </c>
      <c r="AG944">
        <v>0</v>
      </c>
      <c r="AH944">
        <v>0</v>
      </c>
      <c r="AI944">
        <v>2</v>
      </c>
      <c r="AJ944">
        <v>0</v>
      </c>
      <c r="AK944">
        <v>0</v>
      </c>
      <c r="AL944">
        <v>80</v>
      </c>
      <c r="AM944">
        <v>0.2625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0.5625</v>
      </c>
      <c r="AU944">
        <v>0</v>
      </c>
      <c r="AV944">
        <v>0</v>
      </c>
    </row>
    <row r="945" spans="1:48" ht="12.75">
      <c r="A945" s="2" t="str">
        <f>HYPERLINK("https://ibp.a2mac1.com/costing(costing:projects/details/8191/equipment/6948327)","Equipment (Injection Molding)")</f>
        <v>Equipment (Injection Molding)</v>
      </c>
      <c r="B945">
        <v>6948327</v>
      </c>
      <c r="C945">
        <v>6975723</v>
      </c>
      <c r="H945" t="s">
        <v>136</v>
      </c>
      <c r="I945">
        <v>395.294265</v>
      </c>
      <c r="J945">
        <v>0</v>
      </c>
      <c r="K945">
        <v>0.016799999999999999</v>
      </c>
      <c r="L945">
        <v>0</v>
      </c>
      <c r="M945">
        <v>0.097207307135969145</v>
      </c>
      <c r="N945">
        <v>0</v>
      </c>
      <c r="O945">
        <v>0.0016201217855994856</v>
      </c>
      <c r="P945">
        <v>0.000103287</v>
      </c>
      <c r="Q945">
        <v>8.5109694661583896E-06</v>
      </c>
      <c r="R945">
        <v>2100</v>
      </c>
      <c r="S945">
        <v>0</v>
      </c>
      <c r="T945">
        <v>0</v>
      </c>
      <c r="V945">
        <v>20.25</v>
      </c>
      <c r="W945">
        <v>7</v>
      </c>
      <c r="X945">
        <v>85</v>
      </c>
      <c r="Y945">
        <v>3</v>
      </c>
      <c r="Z945">
        <v>4</v>
      </c>
      <c r="AA945">
        <v>5</v>
      </c>
      <c r="AB945">
        <v>0</v>
      </c>
      <c r="AC945">
        <v>0</v>
      </c>
      <c r="AD945">
        <v>0</v>
      </c>
      <c r="AE945">
        <v>0</v>
      </c>
      <c r="AF945">
        <v>0.0015</v>
      </c>
      <c r="AG945">
        <v>0</v>
      </c>
      <c r="AH945">
        <v>0</v>
      </c>
      <c r="AI945">
        <v>2</v>
      </c>
      <c r="AJ945">
        <v>0</v>
      </c>
      <c r="AK945">
        <v>0</v>
      </c>
      <c r="AL945">
        <v>80</v>
      </c>
      <c r="AM945">
        <v>0.2625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0.5625</v>
      </c>
      <c r="AU945">
        <v>0</v>
      </c>
      <c r="AV945">
        <v>0</v>
      </c>
    </row>
    <row r="946" spans="1:48" ht="12.75">
      <c r="A946" s="2" t="str">
        <f>HYPERLINK("https://ibp.a2mac1.com/costing(costing:projects/details/8191/equipment/6948328)","No.01 - T,TF 10/11")</f>
        <v>No.01 - T,TF 10/11</v>
      </c>
      <c r="B946">
        <v>6948328</v>
      </c>
      <c r="C946">
        <v>6975724</v>
      </c>
      <c r="E946" t="s">
        <v>499</v>
      </c>
      <c r="H946" t="s">
        <v>136</v>
      </c>
      <c r="I946">
        <v>7587.4535999999998</v>
      </c>
      <c r="J946">
        <v>0</v>
      </c>
      <c r="K946">
        <v>1.2276800000000001</v>
      </c>
      <c r="L946">
        <v>0</v>
      </c>
      <c r="M946">
        <v>2.8087557955641271</v>
      </c>
      <c r="N946">
        <v>0</v>
      </c>
      <c r="O946">
        <v>0.014015995701742848</v>
      </c>
      <c r="P946">
        <v>0</v>
      </c>
      <c r="Q946">
        <v>0.0004610698738669238</v>
      </c>
      <c r="R946">
        <v>45000</v>
      </c>
      <c r="S946">
        <v>0</v>
      </c>
      <c r="T946">
        <v>0</v>
      </c>
      <c r="V946">
        <v>1800</v>
      </c>
      <c r="W946">
        <v>8</v>
      </c>
      <c r="X946">
        <v>85</v>
      </c>
      <c r="Y946">
        <v>3</v>
      </c>
      <c r="Z946">
        <v>4</v>
      </c>
      <c r="AA946">
        <v>5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100</v>
      </c>
      <c r="AM946">
        <v>15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10</v>
      </c>
      <c r="AU946">
        <v>0</v>
      </c>
      <c r="AV946">
        <v>0</v>
      </c>
    </row>
    <row r="947" spans="1:48" ht="12.75">
      <c r="A947" s="2" t="str">
        <f>HYPERLINK("https://ibp.a2mac1.com/costing(costing:projects/details/8191/equipment/6948329)","No.01 - Buhler ladel Model 4,5L ")</f>
        <v xml:space="preserve">No.01 - Buhler ladel Model 4,5L </v>
      </c>
      <c r="B947">
        <v>6948329</v>
      </c>
      <c r="C947">
        <v>6975725</v>
      </c>
      <c r="E947" t="s">
        <v>499</v>
      </c>
      <c r="H947" t="s">
        <v>136</v>
      </c>
      <c r="I947">
        <v>4348.7082399999999</v>
      </c>
      <c r="J947">
        <v>0</v>
      </c>
      <c r="K947">
        <v>0.98399999999999999</v>
      </c>
      <c r="L947">
        <v>0</v>
      </c>
      <c r="M947">
        <v>1.8838245323047251</v>
      </c>
      <c r="N947">
        <v>0</v>
      </c>
      <c r="O947">
        <v>0.0094004884971915781</v>
      </c>
      <c r="P947">
        <v>0</v>
      </c>
      <c r="Q947">
        <v>2.8257367984570879E-05</v>
      </c>
      <c r="R947">
        <v>25000</v>
      </c>
      <c r="S947">
        <v>0</v>
      </c>
      <c r="T947">
        <v>0</v>
      </c>
      <c r="V947">
        <v>900</v>
      </c>
      <c r="W947">
        <v>8</v>
      </c>
      <c r="X947">
        <v>85</v>
      </c>
      <c r="Y947">
        <v>3</v>
      </c>
      <c r="Z947">
        <v>4</v>
      </c>
      <c r="AA947">
        <v>5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98</v>
      </c>
      <c r="AM947">
        <v>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9</v>
      </c>
      <c r="AU947">
        <v>0.20</v>
      </c>
      <c r="AV947">
        <v>0</v>
      </c>
    </row>
    <row r="948" spans="1:48" ht="12.75">
      <c r="A948" s="2" t="str">
        <f>HYPERLINK("https://ibp.a2mac1.com/costing(costing:projects/details/8191/equipment/6948330)","No.01 - Idra - OL 420 S ")</f>
        <v xml:space="preserve">No.01 - Idra - OL 420 S </v>
      </c>
      <c r="B948">
        <v>6948330</v>
      </c>
      <c r="C948">
        <v>6975726</v>
      </c>
      <c r="E948" t="s">
        <v>499</v>
      </c>
      <c r="H948" t="s">
        <v>136</v>
      </c>
      <c r="I948">
        <v>55937.267999999996</v>
      </c>
      <c r="J948">
        <v>0</v>
      </c>
      <c r="K948">
        <v>3.5209988000000001</v>
      </c>
      <c r="L948">
        <v>0</v>
      </c>
      <c r="M948">
        <v>15.725638465702346</v>
      </c>
      <c r="N948">
        <v>0</v>
      </c>
      <c r="O948">
        <v>0.0784726395546885</v>
      </c>
      <c r="P948">
        <v>0.0068034558164100003</v>
      </c>
      <c r="Q948">
        <v>0.0049015342158842817</v>
      </c>
      <c r="R948">
        <v>400000</v>
      </c>
      <c r="S948">
        <v>0</v>
      </c>
      <c r="T948">
        <v>0</v>
      </c>
      <c r="V948">
        <v>7200</v>
      </c>
      <c r="W948">
        <v>10</v>
      </c>
      <c r="X948">
        <v>85</v>
      </c>
      <c r="Y948">
        <v>3</v>
      </c>
      <c r="Z948">
        <v>4</v>
      </c>
      <c r="AA948">
        <v>5</v>
      </c>
      <c r="AB948">
        <v>0</v>
      </c>
      <c r="AC948">
        <v>0</v>
      </c>
      <c r="AD948">
        <v>0</v>
      </c>
      <c r="AE948">
        <v>0</v>
      </c>
      <c r="AF948">
        <v>0.33</v>
      </c>
      <c r="AG948">
        <v>0</v>
      </c>
      <c r="AH948">
        <v>0</v>
      </c>
      <c r="AI948">
        <v>2</v>
      </c>
      <c r="AJ948">
        <v>0</v>
      </c>
      <c r="AK948">
        <v>0</v>
      </c>
      <c r="AL948">
        <v>93</v>
      </c>
      <c r="AM948">
        <v>45</v>
      </c>
      <c r="AN948">
        <v>0</v>
      </c>
      <c r="AO948">
        <v>0</v>
      </c>
      <c r="AP948">
        <v>0</v>
      </c>
      <c r="AQ948">
        <v>6</v>
      </c>
      <c r="AR948">
        <v>0</v>
      </c>
      <c r="AS948">
        <v>0.01</v>
      </c>
      <c r="AT948">
        <v>50</v>
      </c>
      <c r="AU948">
        <v>0</v>
      </c>
      <c r="AV948">
        <v>0</v>
      </c>
    </row>
    <row r="949" spans="1:48" ht="12.75">
      <c r="A949" s="2" t="str">
        <f>HYPERLINK("https://ibp.a2mac1.com/costing(costing:projects/details/8191/equipment/6948333)","No.05 - Injection Press - 125T - 34kW - 500x500 - Max Volume 260cm3 ")</f>
        <v xml:space="preserve">No.05 - Injection Press - 125T - 34kW - 500x500 - Max Volume 260cm3 </v>
      </c>
      <c r="B949">
        <v>6948333</v>
      </c>
      <c r="C949">
        <v>6975729</v>
      </c>
      <c r="E949" t="s">
        <v>499</v>
      </c>
      <c r="H949" t="s">
        <v>136</v>
      </c>
      <c r="I949">
        <v>25501.382699999998</v>
      </c>
      <c r="J949">
        <v>0</v>
      </c>
      <c r="K949">
        <v>2.375</v>
      </c>
      <c r="L949">
        <v>0</v>
      </c>
      <c r="M949">
        <v>7.6789830761812921</v>
      </c>
      <c r="N949">
        <v>0</v>
      </c>
      <c r="O949">
        <v>0.079149091659426893</v>
      </c>
      <c r="P949">
        <v>0.010646034962083334</v>
      </c>
      <c r="Q949">
        <v>0.0039359355691417552</v>
      </c>
      <c r="R949">
        <v>150000</v>
      </c>
      <c r="S949">
        <v>0</v>
      </c>
      <c r="T949">
        <v>0</v>
      </c>
      <c r="V949">
        <v>7200</v>
      </c>
      <c r="W949">
        <v>8</v>
      </c>
      <c r="X949">
        <v>85</v>
      </c>
      <c r="Y949">
        <v>3</v>
      </c>
      <c r="Z949">
        <v>4</v>
      </c>
      <c r="AA949">
        <v>5</v>
      </c>
      <c r="AB949">
        <v>0</v>
      </c>
      <c r="AC949">
        <v>0</v>
      </c>
      <c r="AD949">
        <v>0</v>
      </c>
      <c r="AE949">
        <v>0</v>
      </c>
      <c r="AF949">
        <v>0.25</v>
      </c>
      <c r="AG949">
        <v>0</v>
      </c>
      <c r="AH949">
        <v>0</v>
      </c>
      <c r="AI949">
        <v>2</v>
      </c>
      <c r="AJ949">
        <v>0</v>
      </c>
      <c r="AK949">
        <v>0</v>
      </c>
      <c r="AL949">
        <v>93</v>
      </c>
      <c r="AM949">
        <v>31.25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38.75</v>
      </c>
      <c r="AU949">
        <v>0.05</v>
      </c>
      <c r="AV949">
        <v>0</v>
      </c>
    </row>
    <row r="950" spans="1:48" ht="12.75">
      <c r="A950" s="2" t="str">
        <f>HYPERLINK("https://ibp.a2mac1.com/costing(costing:projects/details/8191/equipment/6948331)","Packaging station")</f>
        <v>Packaging station</v>
      </c>
      <c r="B950">
        <v>6948331</v>
      </c>
      <c r="C950">
        <v>6975727</v>
      </c>
      <c r="H950" t="s">
        <v>136</v>
      </c>
      <c r="I950">
        <v>4437.4535999999998</v>
      </c>
      <c r="J950">
        <v>0</v>
      </c>
      <c r="K950">
        <v>0.16</v>
      </c>
      <c r="L950">
        <v>0</v>
      </c>
      <c r="M950">
        <v>1.1142676952748312</v>
      </c>
      <c r="N950">
        <v>0</v>
      </c>
      <c r="O950">
        <v>0.01392834619093539</v>
      </c>
      <c r="P950">
        <v>0.051643500000000002</v>
      </c>
      <c r="Q950">
        <v>0.00020511761542912248</v>
      </c>
      <c r="R950">
        <v>30000</v>
      </c>
      <c r="S950">
        <v>0</v>
      </c>
      <c r="T950">
        <v>0</v>
      </c>
      <c r="V950">
        <v>900</v>
      </c>
      <c r="W950">
        <v>10</v>
      </c>
      <c r="X950">
        <v>85</v>
      </c>
      <c r="Y950">
        <v>3</v>
      </c>
      <c r="Z950">
        <v>4</v>
      </c>
      <c r="AA950">
        <v>5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100</v>
      </c>
      <c r="AM950">
        <v>2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10</v>
      </c>
      <c r="AU950">
        <v>0</v>
      </c>
      <c r="AV950">
        <v>0</v>
      </c>
    </row>
    <row r="951" spans="1:48" ht="12.75">
      <c r="A951" s="2" t="str">
        <f>HYPERLINK("https://ibp.a2mac1.com/costing(costing:projects/details/8191/equipment/6948332)","No.01 - 25000x3000x3000 - Automatic Painting Line - with 12x10kW on line ovens")</f>
        <v>No.01 - 25000x3000x3000 - Automatic Painting Line - with 12x10kW on line ovens</v>
      </c>
      <c r="B951">
        <v>6948332</v>
      </c>
      <c r="C951">
        <v>6975728</v>
      </c>
      <c r="H951" t="s">
        <v>136</v>
      </c>
      <c r="I951">
        <v>426153.11800000002</v>
      </c>
      <c r="J951">
        <v>0</v>
      </c>
      <c r="K951">
        <v>168</v>
      </c>
      <c r="L951">
        <v>0</v>
      </c>
      <c r="M951">
        <v>256.58134329797491</v>
      </c>
      <c r="N951">
        <v>0</v>
      </c>
      <c r="O951">
        <v>0.42763557216329157</v>
      </c>
      <c r="P951">
        <v>0.0275432</v>
      </c>
      <c r="Q951">
        <v>0.008451054698939248</v>
      </c>
      <c r="R951">
        <v>2500000</v>
      </c>
      <c r="S951">
        <v>0</v>
      </c>
      <c r="T951">
        <v>0</v>
      </c>
      <c r="V951">
        <v>1800</v>
      </c>
      <c r="W951">
        <v>8</v>
      </c>
      <c r="X951">
        <v>85</v>
      </c>
      <c r="Y951">
        <v>3</v>
      </c>
      <c r="Z951">
        <v>4</v>
      </c>
      <c r="AA951">
        <v>5</v>
      </c>
      <c r="AB951">
        <v>0</v>
      </c>
      <c r="AC951">
        <v>0</v>
      </c>
      <c r="AD951">
        <v>0</v>
      </c>
      <c r="AE951">
        <v>0</v>
      </c>
      <c r="AF951">
        <v>4</v>
      </c>
      <c r="AG951">
        <v>0</v>
      </c>
      <c r="AH951">
        <v>0</v>
      </c>
      <c r="AI951">
        <v>2</v>
      </c>
      <c r="AJ951">
        <v>0</v>
      </c>
      <c r="AK951">
        <v>0</v>
      </c>
      <c r="AL951">
        <v>100</v>
      </c>
      <c r="AM951">
        <v>2100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675</v>
      </c>
      <c r="AU951">
        <v>0</v>
      </c>
      <c r="AV951">
        <v>0</v>
      </c>
    </row>
    <row r="952" spans="1:48" ht="12.75">
      <c r="A952" s="2" t="str">
        <f>HYPERLINK("https://ibp.a2mac1.com/costing(costing:projects/details/8191/equipment/6948077)","Glass Pre Assembly Line")</f>
        <v>Glass Pre Assembly Line</v>
      </c>
      <c r="B952">
        <v>6948077</v>
      </c>
      <c r="C952">
        <v>6975490</v>
      </c>
      <c r="E952" t="s">
        <v>499</v>
      </c>
      <c r="F952" t="s">
        <v>5012</v>
      </c>
      <c r="G952" t="s">
        <v>8</v>
      </c>
      <c r="H952" t="s">
        <v>136</v>
      </c>
      <c r="I952">
        <v>38439.907197300003</v>
      </c>
      <c r="J952">
        <v>0</v>
      </c>
      <c r="K952">
        <v>0.58767999999999998</v>
      </c>
      <c r="L952">
        <v>0</v>
      </c>
      <c r="M952">
        <v>9.0077872318064927</v>
      </c>
      <c r="N952">
        <v>0</v>
      </c>
      <c r="O952">
        <v>0.45038936159032467</v>
      </c>
      <c r="P952">
        <v>1.03287</v>
      </c>
      <c r="Q952">
        <v>0.00035946712053010823</v>
      </c>
      <c r="R952">
        <v>278999.99998000002</v>
      </c>
      <c r="S952">
        <v>0</v>
      </c>
      <c r="T952">
        <v>0</v>
      </c>
      <c r="V952">
        <v>600</v>
      </c>
      <c r="W952">
        <v>10</v>
      </c>
      <c r="X952">
        <v>85</v>
      </c>
      <c r="Y952">
        <v>3</v>
      </c>
      <c r="Z952">
        <v>4</v>
      </c>
      <c r="AA952">
        <v>5</v>
      </c>
      <c r="AB952">
        <v>0</v>
      </c>
      <c r="AC952">
        <v>0</v>
      </c>
      <c r="AD952">
        <v>0</v>
      </c>
      <c r="AE952">
        <v>0</v>
      </c>
      <c r="AF952">
        <v>5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100</v>
      </c>
      <c r="AM952">
        <v>7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20</v>
      </c>
      <c r="AU952">
        <v>0</v>
      </c>
      <c r="AV952">
        <v>0</v>
      </c>
    </row>
    <row r="953" spans="1:48" ht="12.75">
      <c r="A953" s="2" t="str">
        <f>HYPERLINK("https://ibp.a2mac1.com/costing(costing:projects/details/8191/equipment/6948078)","No.07 - Injection Press - 250T - 63kW - 570x570 - Max Volume 958cm3 ")</f>
        <v xml:space="preserve">No.07 - Injection Press - 250T - 63kW - 570x570 - Max Volume 958cm3 </v>
      </c>
      <c r="B953">
        <v>6948078</v>
      </c>
      <c r="C953">
        <v>6975491</v>
      </c>
      <c r="E953" t="s">
        <v>499</v>
      </c>
      <c r="H953" t="s">
        <v>136</v>
      </c>
      <c r="I953">
        <v>38615.311800000003</v>
      </c>
      <c r="J953">
        <v>0</v>
      </c>
      <c r="K953">
        <v>2.81</v>
      </c>
      <c r="L953">
        <v>0</v>
      </c>
      <c r="M953">
        <v>10.82435419479267</v>
      </c>
      <c r="N953">
        <v>0</v>
      </c>
      <c r="O953">
        <v>0.089028900072594286</v>
      </c>
      <c r="P953">
        <v>0.0084952209030833333</v>
      </c>
      <c r="Q953">
        <v>0.0053917251292189003</v>
      </c>
      <c r="R953">
        <v>225000</v>
      </c>
      <c r="S953">
        <v>0</v>
      </c>
      <c r="T953">
        <v>0</v>
      </c>
      <c r="V953">
        <v>9000</v>
      </c>
      <c r="W953">
        <v>8</v>
      </c>
      <c r="X953">
        <v>85</v>
      </c>
      <c r="Y953">
        <v>3</v>
      </c>
      <c r="Z953">
        <v>4</v>
      </c>
      <c r="AA953">
        <v>5</v>
      </c>
      <c r="AB953">
        <v>0</v>
      </c>
      <c r="AC953">
        <v>0</v>
      </c>
      <c r="AD953">
        <v>0</v>
      </c>
      <c r="AE953">
        <v>0</v>
      </c>
      <c r="AF953">
        <v>0.25</v>
      </c>
      <c r="AG953">
        <v>0</v>
      </c>
      <c r="AH953">
        <v>0</v>
      </c>
      <c r="AI953">
        <v>2</v>
      </c>
      <c r="AJ953">
        <v>0</v>
      </c>
      <c r="AK953">
        <v>0</v>
      </c>
      <c r="AL953">
        <v>92</v>
      </c>
      <c r="AM953">
        <v>37.50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67.50</v>
      </c>
      <c r="AU953">
        <v>0.05</v>
      </c>
      <c r="AV953">
        <v>0</v>
      </c>
    </row>
    <row r="954" spans="1:48" ht="12.75">
      <c r="A954" s="2" t="str">
        <f>HYPERLINK("https://ibp.a2mac1.com/costing(costing:projects/details/8191/equipment/6948079)","Packaging")</f>
        <v>Packaging</v>
      </c>
      <c r="B954">
        <v>6948079</v>
      </c>
      <c r="C954">
        <v>6975492</v>
      </c>
      <c r="H954" t="s">
        <v>136</v>
      </c>
      <c r="I954">
        <v>4437.4535986499995</v>
      </c>
      <c r="J954">
        <v>0</v>
      </c>
      <c r="K954">
        <v>0.08</v>
      </c>
      <c r="L954">
        <v>0</v>
      </c>
      <c r="M954">
        <v>1.0342676949774992</v>
      </c>
      <c r="N954">
        <v>0</v>
      </c>
      <c r="O954">
        <v>0.0086188974581458272</v>
      </c>
      <c r="P954">
        <v>0.034429000000000001</v>
      </c>
      <c r="Q954">
        <v>1.5514015424662487E-05</v>
      </c>
      <c r="R954">
        <v>29999.99999</v>
      </c>
      <c r="S954">
        <v>0</v>
      </c>
      <c r="T954">
        <v>0</v>
      </c>
      <c r="V954">
        <v>900</v>
      </c>
      <c r="W954">
        <v>10</v>
      </c>
      <c r="X954">
        <v>85</v>
      </c>
      <c r="Y954">
        <v>3</v>
      </c>
      <c r="Z954">
        <v>4</v>
      </c>
      <c r="AA954">
        <v>5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50</v>
      </c>
      <c r="AM954">
        <v>2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10</v>
      </c>
      <c r="AU954">
        <v>0</v>
      </c>
      <c r="AV954">
        <v>0</v>
      </c>
    </row>
    <row r="955" spans="1:48" ht="12.75">
      <c r="A955" s="2" t="str">
        <f>HYPERLINK("https://ibp.a2mac1.com/costing(costing:projects/details/8191/equipment/6948434)","Equipment (Stamping)")</f>
        <v>Equipment (Stamping)</v>
      </c>
      <c r="B955">
        <v>6948434</v>
      </c>
      <c r="C955">
        <v>6975839</v>
      </c>
      <c r="H955" t="s">
        <v>136</v>
      </c>
      <c r="I955">
        <v>373962.1752</v>
      </c>
      <c r="J955">
        <v>0</v>
      </c>
      <c r="K955">
        <v>3.3919999999999999</v>
      </c>
      <c r="L955">
        <v>0</v>
      </c>
      <c r="M955">
        <v>85.594213950498229</v>
      </c>
      <c r="N955">
        <v>0</v>
      </c>
      <c r="O955">
        <v>1.5150175869238187</v>
      </c>
      <c r="P955">
        <v>0.073127196000000005</v>
      </c>
      <c r="Q955">
        <v>0.0099643224555448408</v>
      </c>
      <c r="R955">
        <v>2750000</v>
      </c>
      <c r="S955">
        <v>0</v>
      </c>
      <c r="T955">
        <v>0</v>
      </c>
      <c r="V955">
        <v>5400</v>
      </c>
      <c r="W955">
        <v>10</v>
      </c>
      <c r="X955">
        <v>85</v>
      </c>
      <c r="Y955">
        <v>3</v>
      </c>
      <c r="Z955">
        <v>4</v>
      </c>
      <c r="AA955">
        <v>5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2</v>
      </c>
      <c r="AJ955">
        <v>0</v>
      </c>
      <c r="AK955">
        <v>0</v>
      </c>
      <c r="AL955">
        <v>80</v>
      </c>
      <c r="AM955">
        <v>53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70</v>
      </c>
      <c r="AU955">
        <v>0</v>
      </c>
      <c r="AV955">
        <v>0</v>
      </c>
    </row>
    <row r="956" spans="1:48" ht="12.75">
      <c r="A956" s="2" t="str">
        <f>HYPERLINK("https://ibp.a2mac1.com/costing(costing:projects/details/8191/equipment/6948435)","Equipment (Stamping)")</f>
        <v>Equipment (Stamping)</v>
      </c>
      <c r="B956">
        <v>6948435</v>
      </c>
      <c r="C956">
        <v>6975840</v>
      </c>
      <c r="H956" t="s">
        <v>136</v>
      </c>
      <c r="I956">
        <v>373962.1752</v>
      </c>
      <c r="J956">
        <v>0</v>
      </c>
      <c r="K956">
        <v>3.3919999999999999</v>
      </c>
      <c r="L956">
        <v>0</v>
      </c>
      <c r="M956">
        <v>85.594213950498229</v>
      </c>
      <c r="N956">
        <v>0</v>
      </c>
      <c r="O956">
        <v>0.042797106975249119</v>
      </c>
      <c r="P956">
        <v>0.0020657399999999999</v>
      </c>
      <c r="Q956">
        <v>0.0099643224555448408</v>
      </c>
      <c r="R956">
        <v>2750000</v>
      </c>
      <c r="S956">
        <v>0</v>
      </c>
      <c r="T956">
        <v>0</v>
      </c>
      <c r="V956">
        <v>5400</v>
      </c>
      <c r="W956">
        <v>10</v>
      </c>
      <c r="X956">
        <v>85</v>
      </c>
      <c r="Y956">
        <v>3</v>
      </c>
      <c r="Z956">
        <v>4</v>
      </c>
      <c r="AA956">
        <v>5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2</v>
      </c>
      <c r="AJ956">
        <v>0</v>
      </c>
      <c r="AK956">
        <v>0</v>
      </c>
      <c r="AL956">
        <v>80</v>
      </c>
      <c r="AM956">
        <v>53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70</v>
      </c>
      <c r="AU956">
        <v>0</v>
      </c>
      <c r="AV956">
        <v>0</v>
      </c>
    </row>
    <row r="957" spans="1:48" ht="12.75">
      <c r="A957" s="2" t="str">
        <f>HYPERLINK("https://ibp.a2mac1.com/costing(costing:projects/details/8191/equipment/6948436)","Equipment (Stamping)")</f>
        <v>Equipment (Stamping)</v>
      </c>
      <c r="B957">
        <v>6948436</v>
      </c>
      <c r="C957">
        <v>6975841</v>
      </c>
      <c r="H957" t="s">
        <v>136</v>
      </c>
      <c r="I957">
        <v>373962.1752</v>
      </c>
      <c r="J957">
        <v>0</v>
      </c>
      <c r="K957">
        <v>3.3919999999999999</v>
      </c>
      <c r="L957">
        <v>0</v>
      </c>
      <c r="M957">
        <v>85.594213950498229</v>
      </c>
      <c r="N957">
        <v>0</v>
      </c>
      <c r="O957">
        <v>0.042797106975249119</v>
      </c>
      <c r="P957">
        <v>0.0020657399999999999</v>
      </c>
      <c r="Q957">
        <v>0.0099643224555448408</v>
      </c>
      <c r="R957">
        <v>2750000</v>
      </c>
      <c r="S957">
        <v>0</v>
      </c>
      <c r="T957">
        <v>0</v>
      </c>
      <c r="V957">
        <v>5400</v>
      </c>
      <c r="W957">
        <v>10</v>
      </c>
      <c r="X957">
        <v>85</v>
      </c>
      <c r="Y957">
        <v>3</v>
      </c>
      <c r="Z957">
        <v>4</v>
      </c>
      <c r="AA957">
        <v>5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2</v>
      </c>
      <c r="AJ957">
        <v>0</v>
      </c>
      <c r="AK957">
        <v>0</v>
      </c>
      <c r="AL957">
        <v>80</v>
      </c>
      <c r="AM957">
        <v>53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70</v>
      </c>
      <c r="AU957">
        <v>0</v>
      </c>
      <c r="AV957">
        <v>0</v>
      </c>
    </row>
    <row r="958" spans="1:48" ht="12.75">
      <c r="A958" s="2" t="str">
        <f>HYPERLINK("https://ibp.a2mac1.com/costing(costing:projects/details/8191/equipment/6948518)","Equipment (Stamping)")</f>
        <v>Equipment (Stamping)</v>
      </c>
      <c r="B958">
        <v>6948518</v>
      </c>
      <c r="C958">
        <v>6975899</v>
      </c>
      <c r="H958" t="s">
        <v>136</v>
      </c>
      <c r="I958">
        <v>373962.1752</v>
      </c>
      <c r="J958">
        <v>0</v>
      </c>
      <c r="K958">
        <v>3.3919999999999999</v>
      </c>
      <c r="L958">
        <v>0</v>
      </c>
      <c r="M958">
        <v>85.594213950498229</v>
      </c>
      <c r="N958">
        <v>0</v>
      </c>
      <c r="O958">
        <v>0.042797106975249119</v>
      </c>
      <c r="P958">
        <v>0.0020657399999999999</v>
      </c>
      <c r="Q958">
        <v>0.0099643224555448408</v>
      </c>
      <c r="R958">
        <v>2750000</v>
      </c>
      <c r="S958">
        <v>0</v>
      </c>
      <c r="T958">
        <v>0</v>
      </c>
      <c r="V958">
        <v>5400</v>
      </c>
      <c r="W958">
        <v>10</v>
      </c>
      <c r="X958">
        <v>85</v>
      </c>
      <c r="Y958">
        <v>3</v>
      </c>
      <c r="Z958">
        <v>4</v>
      </c>
      <c r="AA958">
        <v>5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2</v>
      </c>
      <c r="AJ958">
        <v>0</v>
      </c>
      <c r="AK958">
        <v>0</v>
      </c>
      <c r="AL958">
        <v>80</v>
      </c>
      <c r="AM958">
        <v>53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70</v>
      </c>
      <c r="AU958">
        <v>0</v>
      </c>
      <c r="AV958">
        <v>0</v>
      </c>
    </row>
    <row r="959" spans="1:48" ht="12.75">
      <c r="A959" s="2" t="str">
        <f>HYPERLINK("https://ibp.a2mac1.com/costing(costing:projects/details/8191/equipment/6948519)","Equipment (Stamping)")</f>
        <v>Equipment (Stamping)</v>
      </c>
      <c r="B959">
        <v>6948519</v>
      </c>
      <c r="C959">
        <v>6975900</v>
      </c>
      <c r="H959" t="s">
        <v>136</v>
      </c>
      <c r="I959">
        <v>373962.1752</v>
      </c>
      <c r="J959">
        <v>0</v>
      </c>
      <c r="K959">
        <v>3.3919999999999999</v>
      </c>
      <c r="L959">
        <v>0</v>
      </c>
      <c r="M959">
        <v>85.594213950498229</v>
      </c>
      <c r="N959">
        <v>0</v>
      </c>
      <c r="O959">
        <v>0.042797106975249119</v>
      </c>
      <c r="P959">
        <v>0.0020657399999999999</v>
      </c>
      <c r="Q959">
        <v>0.0099643224555448408</v>
      </c>
      <c r="R959">
        <v>2750000</v>
      </c>
      <c r="S959">
        <v>0</v>
      </c>
      <c r="T959">
        <v>0</v>
      </c>
      <c r="V959">
        <v>5400</v>
      </c>
      <c r="W959">
        <v>10</v>
      </c>
      <c r="X959">
        <v>85</v>
      </c>
      <c r="Y959">
        <v>3</v>
      </c>
      <c r="Z959">
        <v>4</v>
      </c>
      <c r="AA959">
        <v>5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2</v>
      </c>
      <c r="AJ959">
        <v>0</v>
      </c>
      <c r="AK959">
        <v>0</v>
      </c>
      <c r="AL959">
        <v>80</v>
      </c>
      <c r="AM959">
        <v>53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70</v>
      </c>
      <c r="AU959">
        <v>0</v>
      </c>
      <c r="AV959">
        <v>0</v>
      </c>
    </row>
    <row r="960" spans="1:48" ht="12.75">
      <c r="A960" s="2" t="str">
        <f>HYPERLINK("https://ibp.a2mac1.com/costing(costing:projects/details/8191/equipment/6948520)","Equipment (Stamping)")</f>
        <v>Equipment (Stamping)</v>
      </c>
      <c r="B960">
        <v>6948520</v>
      </c>
      <c r="C960">
        <v>6975901</v>
      </c>
      <c r="H960" t="s">
        <v>136</v>
      </c>
      <c r="I960">
        <v>373962.1752</v>
      </c>
      <c r="J960">
        <v>0</v>
      </c>
      <c r="K960">
        <v>3.3919999999999999</v>
      </c>
      <c r="L960">
        <v>0</v>
      </c>
      <c r="M960">
        <v>85.594213950498229</v>
      </c>
      <c r="N960">
        <v>0</v>
      </c>
      <c r="O960">
        <v>0.80458561113468341</v>
      </c>
      <c r="P960">
        <v>0.038835912</v>
      </c>
      <c r="Q960">
        <v>0.0099643224555448408</v>
      </c>
      <c r="R960">
        <v>2750000</v>
      </c>
      <c r="S960">
        <v>0</v>
      </c>
      <c r="T960">
        <v>0</v>
      </c>
      <c r="V960">
        <v>5400</v>
      </c>
      <c r="W960">
        <v>10</v>
      </c>
      <c r="X960">
        <v>85</v>
      </c>
      <c r="Y960">
        <v>3</v>
      </c>
      <c r="Z960">
        <v>4</v>
      </c>
      <c r="AA960">
        <v>5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2</v>
      </c>
      <c r="AJ960">
        <v>0</v>
      </c>
      <c r="AK960">
        <v>0</v>
      </c>
      <c r="AL960">
        <v>80</v>
      </c>
      <c r="AM960">
        <v>53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70</v>
      </c>
      <c r="AU960">
        <v>0</v>
      </c>
      <c r="AV960">
        <v>0</v>
      </c>
    </row>
    <row r="961" spans="1:48" ht="12.75">
      <c r="A961" s="2" t="str">
        <f>HYPERLINK("https://ibp.a2mac1.com/costing(costing:projects/details/8191/equipment/6948437)","Equipment (Stamping)")</f>
        <v>Equipment (Stamping)</v>
      </c>
      <c r="B961">
        <v>6948437</v>
      </c>
      <c r="C961">
        <v>6975842</v>
      </c>
      <c r="H961" t="s">
        <v>136</v>
      </c>
      <c r="I961">
        <v>373962.1752</v>
      </c>
      <c r="J961">
        <v>0</v>
      </c>
      <c r="K961">
        <v>3.3919999999999999</v>
      </c>
      <c r="L961">
        <v>0</v>
      </c>
      <c r="M961">
        <v>85.594213950498229</v>
      </c>
      <c r="N961">
        <v>0</v>
      </c>
      <c r="O961">
        <v>0.75750879346190936</v>
      </c>
      <c r="P961">
        <v>0.036563598000000003</v>
      </c>
      <c r="Q961">
        <v>0.0099643224555448408</v>
      </c>
      <c r="R961">
        <v>2750000</v>
      </c>
      <c r="S961">
        <v>0</v>
      </c>
      <c r="T961">
        <v>0</v>
      </c>
      <c r="V961">
        <v>5400</v>
      </c>
      <c r="W961">
        <v>10</v>
      </c>
      <c r="X961">
        <v>85</v>
      </c>
      <c r="Y961">
        <v>3</v>
      </c>
      <c r="Z961">
        <v>4</v>
      </c>
      <c r="AA961">
        <v>5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2</v>
      </c>
      <c r="AJ961">
        <v>0</v>
      </c>
      <c r="AK961">
        <v>0</v>
      </c>
      <c r="AL961">
        <v>80</v>
      </c>
      <c r="AM961">
        <v>53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70</v>
      </c>
      <c r="AU961">
        <v>0</v>
      </c>
      <c r="AV961">
        <v>0</v>
      </c>
    </row>
    <row r="962" spans="1:48" ht="12.75">
      <c r="A962" s="2" t="str">
        <f>HYPERLINK("https://ibp.a2mac1.com/costing(costing:projects/details/8191/equipment/6948521)","Equipment (Stamping)")</f>
        <v>Equipment (Stamping)</v>
      </c>
      <c r="B962">
        <v>6948521</v>
      </c>
      <c r="C962">
        <v>6975902</v>
      </c>
      <c r="H962" t="s">
        <v>136</v>
      </c>
      <c r="I962">
        <v>373962.1752</v>
      </c>
      <c r="J962">
        <v>0</v>
      </c>
      <c r="K962">
        <v>3.3919999999999999</v>
      </c>
      <c r="L962">
        <v>0</v>
      </c>
      <c r="M962">
        <v>85.594213950498229</v>
      </c>
      <c r="N962">
        <v>0</v>
      </c>
      <c r="O962">
        <v>0.05991594976534876</v>
      </c>
      <c r="P962">
        <v>0.0028920360000000002</v>
      </c>
      <c r="Q962">
        <v>0.0099643224555448408</v>
      </c>
      <c r="R962">
        <v>2750000</v>
      </c>
      <c r="S962">
        <v>0</v>
      </c>
      <c r="T962">
        <v>0</v>
      </c>
      <c r="V962">
        <v>5400</v>
      </c>
      <c r="W962">
        <v>10</v>
      </c>
      <c r="X962">
        <v>85</v>
      </c>
      <c r="Y962">
        <v>3</v>
      </c>
      <c r="Z962">
        <v>4</v>
      </c>
      <c r="AA962">
        <v>5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2</v>
      </c>
      <c r="AJ962">
        <v>0</v>
      </c>
      <c r="AK962">
        <v>0</v>
      </c>
      <c r="AL962">
        <v>80</v>
      </c>
      <c r="AM962">
        <v>53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70</v>
      </c>
      <c r="AU962">
        <v>0</v>
      </c>
      <c r="AV962">
        <v>0</v>
      </c>
    </row>
    <row r="963" spans="1:48" ht="12.75">
      <c r="A963" s="2" t="str">
        <f>HYPERLINK("https://ibp.a2mac1.com/costing(costing:projects/details/8191/equipment/6948438)","Equipment (Stamping)")</f>
        <v>Equipment (Stamping)</v>
      </c>
      <c r="B963">
        <v>6948438</v>
      </c>
      <c r="C963">
        <v>6975843</v>
      </c>
      <c r="H963" t="s">
        <v>136</v>
      </c>
      <c r="I963">
        <v>373962.1752</v>
      </c>
      <c r="J963">
        <v>0</v>
      </c>
      <c r="K963">
        <v>3.3919999999999999</v>
      </c>
      <c r="L963">
        <v>0</v>
      </c>
      <c r="M963">
        <v>85.594213950498229</v>
      </c>
      <c r="N963">
        <v>0</v>
      </c>
      <c r="O963">
        <v>0.75750879346190936</v>
      </c>
      <c r="P963">
        <v>0.036563598000000003</v>
      </c>
      <c r="Q963">
        <v>0.0099643224555448408</v>
      </c>
      <c r="R963">
        <v>2750000</v>
      </c>
      <c r="S963">
        <v>0</v>
      </c>
      <c r="T963">
        <v>0</v>
      </c>
      <c r="V963">
        <v>5400</v>
      </c>
      <c r="W963">
        <v>10</v>
      </c>
      <c r="X963">
        <v>85</v>
      </c>
      <c r="Y963">
        <v>3</v>
      </c>
      <c r="Z963">
        <v>4</v>
      </c>
      <c r="AA963">
        <v>5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2</v>
      </c>
      <c r="AJ963">
        <v>0</v>
      </c>
      <c r="AK963">
        <v>0</v>
      </c>
      <c r="AL963">
        <v>80</v>
      </c>
      <c r="AM963">
        <v>53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70</v>
      </c>
      <c r="AU963">
        <v>0</v>
      </c>
      <c r="AV963">
        <v>0</v>
      </c>
    </row>
    <row r="964" spans="1:48" ht="12.75">
      <c r="A964" s="2" t="str">
        <f>HYPERLINK("https://ibp.a2mac1.com/costing(costing:projects/details/8191/equipment/6948522)","Equipment (Stamping)")</f>
        <v>Equipment (Stamping)</v>
      </c>
      <c r="B964">
        <v>6948522</v>
      </c>
      <c r="C964">
        <v>6975903</v>
      </c>
      <c r="H964" t="s">
        <v>136</v>
      </c>
      <c r="I964">
        <v>373962.1752</v>
      </c>
      <c r="J964">
        <v>0</v>
      </c>
      <c r="K964">
        <v>3.3919999999999999</v>
      </c>
      <c r="L964">
        <v>0</v>
      </c>
      <c r="M964">
        <v>85.594213950498229</v>
      </c>
      <c r="N964">
        <v>0</v>
      </c>
      <c r="O964">
        <v>0.051356528370298936</v>
      </c>
      <c r="P964">
        <v>0.0024788879999999998</v>
      </c>
      <c r="Q964">
        <v>0.0099643224555448408</v>
      </c>
      <c r="R964">
        <v>2750000</v>
      </c>
      <c r="S964">
        <v>0</v>
      </c>
      <c r="T964">
        <v>0</v>
      </c>
      <c r="V964">
        <v>5400</v>
      </c>
      <c r="W964">
        <v>10</v>
      </c>
      <c r="X964">
        <v>85</v>
      </c>
      <c r="Y964">
        <v>3</v>
      </c>
      <c r="Z964">
        <v>4</v>
      </c>
      <c r="AA964">
        <v>5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2</v>
      </c>
      <c r="AJ964">
        <v>0</v>
      </c>
      <c r="AK964">
        <v>0</v>
      </c>
      <c r="AL964">
        <v>80</v>
      </c>
      <c r="AM964">
        <v>53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70</v>
      </c>
      <c r="AU964">
        <v>0</v>
      </c>
      <c r="AV964">
        <v>0</v>
      </c>
    </row>
    <row r="965" spans="1:48" ht="12.75">
      <c r="A965" s="2" t="str">
        <f>HYPERLINK("https://ibp.a2mac1.com/costing(costing:projects/details/8191/equipment/6947860)","Assembly line")</f>
        <v>Assembly line</v>
      </c>
      <c r="B965">
        <v>6947860</v>
      </c>
      <c r="C965">
        <v>6975303</v>
      </c>
      <c r="H965" t="s">
        <v>136</v>
      </c>
      <c r="I965">
        <v>63074.721599999997</v>
      </c>
      <c r="J965">
        <v>0</v>
      </c>
      <c r="K965">
        <v>5.2000019999999996</v>
      </c>
      <c r="L965">
        <v>0</v>
      </c>
      <c r="M965">
        <v>18.953573456123433</v>
      </c>
      <c r="N965">
        <v>0</v>
      </c>
      <c r="O965">
        <v>0.78973222733847637</v>
      </c>
      <c r="P965">
        <v>0.17214499999999999</v>
      </c>
      <c r="Q965">
        <v>0.0015756906728061717</v>
      </c>
      <c r="R965">
        <v>450000</v>
      </c>
      <c r="S965">
        <v>0</v>
      </c>
      <c r="T965">
        <v>0</v>
      </c>
      <c r="V965">
        <v>1800</v>
      </c>
      <c r="W965">
        <v>10</v>
      </c>
      <c r="X965">
        <v>85</v>
      </c>
      <c r="Y965">
        <v>3</v>
      </c>
      <c r="Z965">
        <v>4</v>
      </c>
      <c r="AA965">
        <v>5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86.666700000000006</v>
      </c>
      <c r="AM965">
        <v>75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60</v>
      </c>
      <c r="AU965">
        <v>0</v>
      </c>
      <c r="AV965">
        <v>0</v>
      </c>
    </row>
    <row r="966" spans="1:48" ht="12.75">
      <c r="A966" s="2" t="str">
        <f>HYPERLINK("https://ibp.a2mac1.com/costing(costing:projects/details/8191/equipment/6948080)","Equipment (Injection Molding)")</f>
        <v>Equipment (Injection Molding)</v>
      </c>
      <c r="B966">
        <v>6948080</v>
      </c>
      <c r="C966">
        <v>6975493</v>
      </c>
      <c r="H966" t="s">
        <v>136</v>
      </c>
      <c r="I966">
        <v>63563.317812000001</v>
      </c>
      <c r="J966">
        <v>0</v>
      </c>
      <c r="K966">
        <v>2.7014399999999998</v>
      </c>
      <c r="L966">
        <v>0</v>
      </c>
      <c r="M966">
        <v>15.630934987463839</v>
      </c>
      <c r="N966">
        <v>0</v>
      </c>
      <c r="O966">
        <v>0.26051558312439732</v>
      </c>
      <c r="P966">
        <v>0.016608549600000001</v>
      </c>
      <c r="Q966">
        <v>0.0022115792913696623</v>
      </c>
      <c r="R966">
        <v>337680</v>
      </c>
      <c r="S966">
        <v>0</v>
      </c>
      <c r="T966">
        <v>0</v>
      </c>
      <c r="V966">
        <v>3256.20</v>
      </c>
      <c r="W966">
        <v>7</v>
      </c>
      <c r="X966">
        <v>85</v>
      </c>
      <c r="Y966">
        <v>3</v>
      </c>
      <c r="Z966">
        <v>4</v>
      </c>
      <c r="AA966">
        <v>5</v>
      </c>
      <c r="AB966">
        <v>0</v>
      </c>
      <c r="AC966">
        <v>0</v>
      </c>
      <c r="AD966">
        <v>0</v>
      </c>
      <c r="AE966">
        <v>0</v>
      </c>
      <c r="AF966">
        <v>0.2412</v>
      </c>
      <c r="AG966">
        <v>0</v>
      </c>
      <c r="AH966">
        <v>0</v>
      </c>
      <c r="AI966">
        <v>2</v>
      </c>
      <c r="AJ966">
        <v>0</v>
      </c>
      <c r="AK966">
        <v>0</v>
      </c>
      <c r="AL966">
        <v>80</v>
      </c>
      <c r="AM966">
        <v>42.21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90.45</v>
      </c>
      <c r="AU966">
        <v>0</v>
      </c>
      <c r="AV966">
        <v>0</v>
      </c>
    </row>
    <row r="967" spans="1:48" ht="12.75">
      <c r="A967" s="2" t="str">
        <f>HYPERLINK("https://ibp.a2mac1.com/costing(costing:projects/details/8191/equipment/6948081)","DC machine - General")</f>
        <v>DC machine - General</v>
      </c>
      <c r="B967">
        <v>6948081</v>
      </c>
      <c r="C967">
        <v>6975494</v>
      </c>
      <c r="E967" t="s">
        <v>659</v>
      </c>
      <c r="H967" t="s">
        <v>136</v>
      </c>
      <c r="I967">
        <v>116914.84457142858</v>
      </c>
      <c r="J967">
        <v>0</v>
      </c>
      <c r="K967">
        <v>3.60</v>
      </c>
      <c r="L967">
        <v>0</v>
      </c>
      <c r="M967">
        <v>27.497982091197134</v>
      </c>
      <c r="N967">
        <v>0</v>
      </c>
      <c r="O967">
        <v>1.3748991045598566</v>
      </c>
      <c r="P967">
        <v>0.20657400000000001</v>
      </c>
      <c r="Q967">
        <v>0.011732166376415484</v>
      </c>
      <c r="R967">
        <v>635568</v>
      </c>
      <c r="S967">
        <v>0</v>
      </c>
      <c r="T967">
        <v>0</v>
      </c>
      <c r="V967">
        <v>10800</v>
      </c>
      <c r="W967">
        <v>7</v>
      </c>
      <c r="X967">
        <v>85</v>
      </c>
      <c r="Y967">
        <v>3</v>
      </c>
      <c r="Z967">
        <v>4</v>
      </c>
      <c r="AA967">
        <v>5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3</v>
      </c>
      <c r="AJ967">
        <v>0</v>
      </c>
      <c r="AK967">
        <v>0</v>
      </c>
      <c r="AL967">
        <v>100</v>
      </c>
      <c r="AM967">
        <v>45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100</v>
      </c>
      <c r="AU967">
        <v>0</v>
      </c>
      <c r="AV967">
        <v>0</v>
      </c>
    </row>
    <row r="968" spans="1:48" ht="12.75">
      <c r="A968" s="2" t="str">
        <f>HYPERLINK("https://ibp.a2mac1.com/costing(costing:projects/details/8191/equipment/6948082)","Equipment (Injection Molding)")</f>
        <v>Equipment (Injection Molding)</v>
      </c>
      <c r="B968">
        <v>6948082</v>
      </c>
      <c r="C968">
        <v>6975495</v>
      </c>
      <c r="H968" t="s">
        <v>136</v>
      </c>
      <c r="I968">
        <v>19237.65423</v>
      </c>
      <c r="J968">
        <v>0</v>
      </c>
      <c r="K968">
        <v>0.81759999999999999</v>
      </c>
      <c r="L968">
        <v>0</v>
      </c>
      <c r="M968">
        <v>4.7307556139504978</v>
      </c>
      <c r="N968">
        <v>0</v>
      </c>
      <c r="O968">
        <v>0.078845926899174967</v>
      </c>
      <c r="P968">
        <v>0.0050266340000000003</v>
      </c>
      <c r="Q968">
        <v>0.00049030654495913698</v>
      </c>
      <c r="R968">
        <v>102200</v>
      </c>
      <c r="S968">
        <v>0</v>
      </c>
      <c r="T968">
        <v>0</v>
      </c>
      <c r="V968">
        <v>985.50</v>
      </c>
      <c r="W968">
        <v>7</v>
      </c>
      <c r="X968">
        <v>85</v>
      </c>
      <c r="Y968">
        <v>3</v>
      </c>
      <c r="Z968">
        <v>4</v>
      </c>
      <c r="AA968">
        <v>5</v>
      </c>
      <c r="AB968">
        <v>0</v>
      </c>
      <c r="AC968">
        <v>0</v>
      </c>
      <c r="AD968">
        <v>0</v>
      </c>
      <c r="AE968">
        <v>0</v>
      </c>
      <c r="AF968">
        <v>0.072999999999999995</v>
      </c>
      <c r="AG968">
        <v>0</v>
      </c>
      <c r="AH968">
        <v>0</v>
      </c>
      <c r="AI968">
        <v>2</v>
      </c>
      <c r="AJ968">
        <v>0</v>
      </c>
      <c r="AK968">
        <v>0</v>
      </c>
      <c r="AL968">
        <v>80</v>
      </c>
      <c r="AM968">
        <v>12.775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27.375</v>
      </c>
      <c r="AU968">
        <v>0</v>
      </c>
      <c r="AV968">
        <v>0</v>
      </c>
    </row>
    <row r="969" spans="1:48" ht="12.75">
      <c r="A969" s="2" t="str">
        <f>HYPERLINK("https://ibp.a2mac1.com/costing(costing:projects/details/8191/equipment/6948083)","Equipment (Injection Molding)")</f>
        <v>Equipment (Injection Molding)</v>
      </c>
      <c r="B969">
        <v>6948083</v>
      </c>
      <c r="C969">
        <v>6975496</v>
      </c>
      <c r="H969" t="s">
        <v>136</v>
      </c>
      <c r="I969">
        <v>16391.535521999998</v>
      </c>
      <c r="J969">
        <v>0</v>
      </c>
      <c r="K969">
        <v>0.69664000000000004</v>
      </c>
      <c r="L969">
        <v>0</v>
      </c>
      <c r="M969">
        <v>4.03086300257152</v>
      </c>
      <c r="N969">
        <v>0</v>
      </c>
      <c r="O969">
        <v>0.067181050042858667</v>
      </c>
      <c r="P969">
        <v>0.0042829675999999997</v>
      </c>
      <c r="Q969">
        <v>0.00040797304532098845</v>
      </c>
      <c r="R969">
        <v>87080</v>
      </c>
      <c r="S969">
        <v>0</v>
      </c>
      <c r="T969">
        <v>0</v>
      </c>
      <c r="V969">
        <v>839.70</v>
      </c>
      <c r="W969">
        <v>7</v>
      </c>
      <c r="X969">
        <v>85</v>
      </c>
      <c r="Y969">
        <v>3</v>
      </c>
      <c r="Z969">
        <v>4</v>
      </c>
      <c r="AA969">
        <v>5</v>
      </c>
      <c r="AB969">
        <v>0</v>
      </c>
      <c r="AC969">
        <v>0</v>
      </c>
      <c r="AD969">
        <v>0</v>
      </c>
      <c r="AE969">
        <v>0</v>
      </c>
      <c r="AF969">
        <v>0.062199999999999998</v>
      </c>
      <c r="AG969">
        <v>0</v>
      </c>
      <c r="AH969">
        <v>0</v>
      </c>
      <c r="AI969">
        <v>2</v>
      </c>
      <c r="AJ969">
        <v>0</v>
      </c>
      <c r="AK969">
        <v>0</v>
      </c>
      <c r="AL969">
        <v>80</v>
      </c>
      <c r="AM969">
        <v>10.885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23.325</v>
      </c>
      <c r="AU969">
        <v>0</v>
      </c>
      <c r="AV969">
        <v>0</v>
      </c>
    </row>
    <row r="970" spans="1:48" ht="12.75">
      <c r="A970" s="2" t="str">
        <f>HYPERLINK("https://ibp.a2mac1.com/costing(costing:projects/details/8191/equipment/6948334)","Equipment (Injection Molding)")</f>
        <v>Equipment (Injection Molding)</v>
      </c>
      <c r="B970">
        <v>6948334</v>
      </c>
      <c r="C970">
        <v>6975730</v>
      </c>
      <c r="H970" t="s">
        <v>136</v>
      </c>
      <c r="I970">
        <v>1633.8829619999999</v>
      </c>
      <c r="J970">
        <v>0</v>
      </c>
      <c r="K970">
        <v>0.069440000000000002</v>
      </c>
      <c r="L970">
        <v>0</v>
      </c>
      <c r="M970">
        <v>0.40179020282867245</v>
      </c>
      <c r="N970">
        <v>0</v>
      </c>
      <c r="O970">
        <v>0.0066965033804778744</v>
      </c>
      <c r="P970">
        <v>0.00042691959999999998</v>
      </c>
      <c r="Q970">
        <v>3.5603566932946001E-05</v>
      </c>
      <c r="R970">
        <v>8680</v>
      </c>
      <c r="S970">
        <v>0</v>
      </c>
      <c r="T970">
        <v>0</v>
      </c>
      <c r="V970">
        <v>83.70</v>
      </c>
      <c r="W970">
        <v>7</v>
      </c>
      <c r="X970">
        <v>85</v>
      </c>
      <c r="Y970">
        <v>3</v>
      </c>
      <c r="Z970">
        <v>4</v>
      </c>
      <c r="AA970">
        <v>5</v>
      </c>
      <c r="AB970">
        <v>0</v>
      </c>
      <c r="AC970">
        <v>0</v>
      </c>
      <c r="AD970">
        <v>0</v>
      </c>
      <c r="AE970">
        <v>0</v>
      </c>
      <c r="AF970">
        <v>0.0061999999999999998</v>
      </c>
      <c r="AG970">
        <v>0</v>
      </c>
      <c r="AH970">
        <v>0</v>
      </c>
      <c r="AI970">
        <v>2</v>
      </c>
      <c r="AJ970">
        <v>0</v>
      </c>
      <c r="AK970">
        <v>0</v>
      </c>
      <c r="AL970">
        <v>80</v>
      </c>
      <c r="AM970">
        <v>1.085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2.325</v>
      </c>
      <c r="AU970">
        <v>0</v>
      </c>
      <c r="AV970">
        <v>0</v>
      </c>
    </row>
    <row r="971" spans="1:48" ht="12.75">
      <c r="A971" s="2" t="str">
        <f>HYPERLINK("https://ibp.a2mac1.com/costing(costing:projects/details/8191/equipment/6948335)","No.04 - Injection Press - 100T - 33kW - 400x400 - Max Volume 260cm3 ")</f>
        <v xml:space="preserve">No.04 - Injection Press - 100T - 33kW - 400x400 - Max Volume 260cm3 </v>
      </c>
      <c r="B971">
        <v>6948335</v>
      </c>
      <c r="C971">
        <v>6975731</v>
      </c>
      <c r="E971" t="s">
        <v>499</v>
      </c>
      <c r="H971" t="s">
        <v>136</v>
      </c>
      <c r="I971">
        <v>22101.844096000001</v>
      </c>
      <c r="J971">
        <v>0</v>
      </c>
      <c r="K971">
        <v>2.282</v>
      </c>
      <c r="L971">
        <v>0</v>
      </c>
      <c r="M971">
        <v>6.8788891186113794</v>
      </c>
      <c r="N971">
        <v>0</v>
      </c>
      <c r="O971">
        <v>0.051211686197883383</v>
      </c>
      <c r="P971">
        <v>0.007689470408833333</v>
      </c>
      <c r="Q971">
        <v>0.0038399242942333653</v>
      </c>
      <c r="R971">
        <v>130000</v>
      </c>
      <c r="S971">
        <v>0</v>
      </c>
      <c r="T971">
        <v>0</v>
      </c>
      <c r="V971">
        <v>7200</v>
      </c>
      <c r="W971">
        <v>8</v>
      </c>
      <c r="X971">
        <v>85</v>
      </c>
      <c r="Y971">
        <v>3</v>
      </c>
      <c r="Z971">
        <v>4</v>
      </c>
      <c r="AA971">
        <v>5</v>
      </c>
      <c r="AB971">
        <v>0</v>
      </c>
      <c r="AC971">
        <v>0</v>
      </c>
      <c r="AD971">
        <v>0</v>
      </c>
      <c r="AE971">
        <v>0</v>
      </c>
      <c r="AF971">
        <v>0.25</v>
      </c>
      <c r="AG971">
        <v>0</v>
      </c>
      <c r="AH971">
        <v>0</v>
      </c>
      <c r="AI971">
        <v>2</v>
      </c>
      <c r="AJ971">
        <v>0</v>
      </c>
      <c r="AK971">
        <v>0</v>
      </c>
      <c r="AL971">
        <v>93</v>
      </c>
      <c r="AM971">
        <v>30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33.60</v>
      </c>
      <c r="AU971">
        <v>0.05</v>
      </c>
      <c r="AV971">
        <v>0</v>
      </c>
    </row>
    <row r="972" spans="1:48" ht="12.75">
      <c r="A972" s="2" t="str">
        <f>HYPERLINK("https://ibp.a2mac1.com/costing(costing:projects/details/8191/equipment/6948336)","Packaging")</f>
        <v>Packaging</v>
      </c>
      <c r="B972">
        <v>6948336</v>
      </c>
      <c r="C972">
        <v>6975732</v>
      </c>
      <c r="H972" t="s">
        <v>136</v>
      </c>
      <c r="I972">
        <v>4437.4535986499995</v>
      </c>
      <c r="J972">
        <v>0</v>
      </c>
      <c r="K972">
        <v>0.08</v>
      </c>
      <c r="L972">
        <v>0</v>
      </c>
      <c r="M972">
        <v>1.0342676949774992</v>
      </c>
      <c r="N972">
        <v>0</v>
      </c>
      <c r="O972">
        <v>0.0086188974581458272</v>
      </c>
      <c r="P972">
        <v>0.034429000000000001</v>
      </c>
      <c r="Q972">
        <v>1.5514015424662487E-05</v>
      </c>
      <c r="R972">
        <v>29999.99999</v>
      </c>
      <c r="S972">
        <v>0</v>
      </c>
      <c r="T972">
        <v>0</v>
      </c>
      <c r="V972">
        <v>900</v>
      </c>
      <c r="W972">
        <v>10</v>
      </c>
      <c r="X972">
        <v>85</v>
      </c>
      <c r="Y972">
        <v>3</v>
      </c>
      <c r="Z972">
        <v>4</v>
      </c>
      <c r="AA972">
        <v>5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50</v>
      </c>
      <c r="AM972">
        <v>2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10</v>
      </c>
      <c r="AU972">
        <v>0</v>
      </c>
      <c r="AV972">
        <v>0</v>
      </c>
    </row>
    <row r="973" spans="1:48" ht="12.75">
      <c r="A973" s="2" t="str">
        <f>HYPERLINK("https://ibp.a2mac1.com/costing(costing:projects/details/8191/equipment/6948337)","No.03 - Injection Press - 80T - 30kW - 370x370 - Max Volume 260cm3 ")</f>
        <v xml:space="preserve">No.03 - Injection Press - 80T - 30kW - 370x370 - Max Volume 260cm3 </v>
      </c>
      <c r="B973">
        <v>6948337</v>
      </c>
      <c r="C973">
        <v>6975733</v>
      </c>
      <c r="E973" t="s">
        <v>499</v>
      </c>
      <c r="H973" t="s">
        <v>136</v>
      </c>
      <c r="I973">
        <v>19639.85152</v>
      </c>
      <c r="J973">
        <v>0</v>
      </c>
      <c r="K973">
        <v>2.1332</v>
      </c>
      <c r="L973">
        <v>0</v>
      </c>
      <c r="M973">
        <v>6.2138575891996144</v>
      </c>
      <c r="N973">
        <v>0</v>
      </c>
      <c r="O973">
        <v>0.030572714421043395</v>
      </c>
      <c r="P973">
        <v>0.0050818093415833333</v>
      </c>
      <c r="Q973">
        <v>0.0037601205107039536</v>
      </c>
      <c r="R973">
        <v>115000</v>
      </c>
      <c r="S973">
        <v>0</v>
      </c>
      <c r="T973">
        <v>0</v>
      </c>
      <c r="V973">
        <v>7200</v>
      </c>
      <c r="W973">
        <v>8</v>
      </c>
      <c r="X973">
        <v>85</v>
      </c>
      <c r="Y973">
        <v>3</v>
      </c>
      <c r="Z973">
        <v>4</v>
      </c>
      <c r="AA973">
        <v>5</v>
      </c>
      <c r="AB973">
        <v>0</v>
      </c>
      <c r="AC973">
        <v>0</v>
      </c>
      <c r="AD973">
        <v>0</v>
      </c>
      <c r="AE973">
        <v>0</v>
      </c>
      <c r="AF973">
        <v>0.25</v>
      </c>
      <c r="AG973">
        <v>0</v>
      </c>
      <c r="AH973">
        <v>0</v>
      </c>
      <c r="AI973">
        <v>2</v>
      </c>
      <c r="AJ973">
        <v>0</v>
      </c>
      <c r="AK973">
        <v>0</v>
      </c>
      <c r="AL973">
        <v>93</v>
      </c>
      <c r="AM973">
        <v>28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32</v>
      </c>
      <c r="AU973">
        <v>0.05</v>
      </c>
      <c r="AV973">
        <v>0</v>
      </c>
    </row>
    <row r="974" spans="1:48" ht="12.75">
      <c r="A974" s="2" t="str">
        <f>HYPERLINK("https://ibp.a2mac1.com/costing(costing:projects/details/8191/equipment/6948338)","Packaging")</f>
        <v>Packaging</v>
      </c>
      <c r="B974">
        <v>6948338</v>
      </c>
      <c r="C974">
        <v>6975734</v>
      </c>
      <c r="H974" t="s">
        <v>136</v>
      </c>
      <c r="I974">
        <v>4437.4535986499995</v>
      </c>
      <c r="J974">
        <v>0</v>
      </c>
      <c r="K974">
        <v>0.08</v>
      </c>
      <c r="L974">
        <v>0</v>
      </c>
      <c r="M974">
        <v>1.0342676949774992</v>
      </c>
      <c r="N974">
        <v>0</v>
      </c>
      <c r="O974">
        <v>0.0086188974581458272</v>
      </c>
      <c r="P974">
        <v>0.034429000000000001</v>
      </c>
      <c r="Q974">
        <v>1.5514015424662487E-05</v>
      </c>
      <c r="R974">
        <v>29999.99999</v>
      </c>
      <c r="S974">
        <v>0</v>
      </c>
      <c r="T974">
        <v>0</v>
      </c>
      <c r="V974">
        <v>900</v>
      </c>
      <c r="W974">
        <v>10</v>
      </c>
      <c r="X974">
        <v>85</v>
      </c>
      <c r="Y974">
        <v>3</v>
      </c>
      <c r="Z974">
        <v>4</v>
      </c>
      <c r="AA974">
        <v>5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50</v>
      </c>
      <c r="AM974">
        <v>2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10</v>
      </c>
      <c r="AU974">
        <v>0</v>
      </c>
      <c r="AV974">
        <v>0</v>
      </c>
    </row>
    <row r="975" spans="1:48" ht="12.75">
      <c r="A975" s="2" t="str">
        <f>HYPERLINK("https://ibp.a2mac1.com/costing(costing:projects/details/8191/equipment/6948339)","No.06 - Injection Press - 200T - 45kW - 510x510 - Max Volume 624cm3 ")</f>
        <v xml:space="preserve">No.06 - Injection Press - 200T - 45kW - 510x510 - Max Volume 624cm3 </v>
      </c>
      <c r="B975">
        <v>6948339</v>
      </c>
      <c r="C975">
        <v>6975735</v>
      </c>
      <c r="E975" t="s">
        <v>499</v>
      </c>
      <c r="H975" t="s">
        <v>136</v>
      </c>
      <c r="I975">
        <v>34247.230880000003</v>
      </c>
      <c r="J975">
        <v>0</v>
      </c>
      <c r="K975">
        <v>2.6539999999999999</v>
      </c>
      <c r="L975">
        <v>0</v>
      </c>
      <c r="M975">
        <v>9.7654160848601741</v>
      </c>
      <c r="N975">
        <v>0</v>
      </c>
      <c r="O975">
        <v>0.052289462949499627</v>
      </c>
      <c r="P975">
        <v>0.0055305597966666667</v>
      </c>
      <c r="Q975">
        <v>0.0041863075301832205</v>
      </c>
      <c r="R975">
        <v>200000</v>
      </c>
      <c r="S975">
        <v>0</v>
      </c>
      <c r="T975">
        <v>0</v>
      </c>
      <c r="V975">
        <v>7200</v>
      </c>
      <c r="W975">
        <v>8</v>
      </c>
      <c r="X975">
        <v>85</v>
      </c>
      <c r="Y975">
        <v>3</v>
      </c>
      <c r="Z975">
        <v>4</v>
      </c>
      <c r="AA975">
        <v>5</v>
      </c>
      <c r="AB975">
        <v>0</v>
      </c>
      <c r="AC975">
        <v>0</v>
      </c>
      <c r="AD975">
        <v>0</v>
      </c>
      <c r="AE975">
        <v>0</v>
      </c>
      <c r="AF975">
        <v>0.25</v>
      </c>
      <c r="AG975">
        <v>0</v>
      </c>
      <c r="AH975">
        <v>0</v>
      </c>
      <c r="AI975">
        <v>2</v>
      </c>
      <c r="AJ975">
        <v>0</v>
      </c>
      <c r="AK975">
        <v>0</v>
      </c>
      <c r="AL975">
        <v>93</v>
      </c>
      <c r="AM975">
        <v>35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58</v>
      </c>
      <c r="AU975">
        <v>0.05</v>
      </c>
      <c r="AV975">
        <v>0</v>
      </c>
    </row>
    <row r="976" spans="1:48" ht="12.75">
      <c r="A976" s="2" t="str">
        <f>HYPERLINK("https://ibp.a2mac1.com/costing(costing:projects/details/8191/equipment/6948340)","Packaging")</f>
        <v>Packaging</v>
      </c>
      <c r="B976">
        <v>6948340</v>
      </c>
      <c r="C976">
        <v>6975736</v>
      </c>
      <c r="H976" t="s">
        <v>136</v>
      </c>
      <c r="I976">
        <v>4437.4535986499995</v>
      </c>
      <c r="J976">
        <v>0</v>
      </c>
      <c r="K976">
        <v>0.08</v>
      </c>
      <c r="L976">
        <v>0</v>
      </c>
      <c r="M976">
        <v>1.0342676949774992</v>
      </c>
      <c r="N976">
        <v>0</v>
      </c>
      <c r="O976">
        <v>0.0086188974581458272</v>
      </c>
      <c r="P976">
        <v>0.034429000000000001</v>
      </c>
      <c r="Q976">
        <v>1.5514015424662487E-05</v>
      </c>
      <c r="R976">
        <v>29999.99999</v>
      </c>
      <c r="S976">
        <v>0</v>
      </c>
      <c r="T976">
        <v>0</v>
      </c>
      <c r="V976">
        <v>900</v>
      </c>
      <c r="W976">
        <v>10</v>
      </c>
      <c r="X976">
        <v>85</v>
      </c>
      <c r="Y976">
        <v>3</v>
      </c>
      <c r="Z976">
        <v>4</v>
      </c>
      <c r="AA976">
        <v>5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50</v>
      </c>
      <c r="AM976">
        <v>2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10</v>
      </c>
      <c r="AU976">
        <v>0</v>
      </c>
      <c r="AV976">
        <v>0</v>
      </c>
    </row>
    <row r="977" spans="1:48" ht="12.75">
      <c r="A977" s="2" t="str">
        <f>HYPERLINK("https://ibp.a2mac1.com/costing(costing:projects/details/8191/equipment/6948341)","No.02 - Injection Press - 60T - 25kW - 320x320 - Max Volume 164cm3 ")</f>
        <v xml:space="preserve">No.02 - Injection Press - 60T - 25kW - 320x320 - Max Volume 164cm3 </v>
      </c>
      <c r="B977">
        <v>6948341</v>
      </c>
      <c r="C977">
        <v>6975737</v>
      </c>
      <c r="E977" t="s">
        <v>499</v>
      </c>
      <c r="H977" t="s">
        <v>136</v>
      </c>
      <c r="I977">
        <v>16929.888640000001</v>
      </c>
      <c r="J977">
        <v>0</v>
      </c>
      <c r="K977">
        <v>1.9124000000000001</v>
      </c>
      <c r="L977">
        <v>0</v>
      </c>
      <c r="M977">
        <v>5.4369722661523623</v>
      </c>
      <c r="N977">
        <v>0</v>
      </c>
      <c r="O977">
        <v>0.043228520736936032</v>
      </c>
      <c r="P977">
        <v>0.0082121887013333339</v>
      </c>
      <c r="Q977">
        <v>0.0036668942719382835</v>
      </c>
      <c r="R977">
        <v>100000</v>
      </c>
      <c r="S977">
        <v>0</v>
      </c>
      <c r="T977">
        <v>0</v>
      </c>
      <c r="V977">
        <v>7200</v>
      </c>
      <c r="W977">
        <v>8</v>
      </c>
      <c r="X977">
        <v>85</v>
      </c>
      <c r="Y977">
        <v>3</v>
      </c>
      <c r="Z977">
        <v>4</v>
      </c>
      <c r="AA977">
        <v>5</v>
      </c>
      <c r="AB977">
        <v>0</v>
      </c>
      <c r="AC977">
        <v>0</v>
      </c>
      <c r="AD977">
        <v>0</v>
      </c>
      <c r="AE977">
        <v>0</v>
      </c>
      <c r="AF977">
        <v>0.25</v>
      </c>
      <c r="AG977">
        <v>0</v>
      </c>
      <c r="AH977">
        <v>0</v>
      </c>
      <c r="AI977">
        <v>2</v>
      </c>
      <c r="AJ977">
        <v>0</v>
      </c>
      <c r="AK977">
        <v>0</v>
      </c>
      <c r="AL977">
        <v>97</v>
      </c>
      <c r="AM977">
        <v>24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24</v>
      </c>
      <c r="AU977">
        <v>0.05</v>
      </c>
      <c r="AV977">
        <v>0</v>
      </c>
    </row>
    <row r="978" spans="1:48" ht="12.75">
      <c r="A978" s="2" t="str">
        <f>HYPERLINK("https://ibp.a2mac1.com/costing(costing:projects/details/8191/equipment/6948342)","Packaging")</f>
        <v>Packaging</v>
      </c>
      <c r="B978">
        <v>6948342</v>
      </c>
      <c r="C978">
        <v>6975738</v>
      </c>
      <c r="H978" t="s">
        <v>136</v>
      </c>
      <c r="I978">
        <v>4437.4535986499995</v>
      </c>
      <c r="J978">
        <v>0</v>
      </c>
      <c r="K978">
        <v>0.08</v>
      </c>
      <c r="L978">
        <v>0</v>
      </c>
      <c r="M978">
        <v>1.0342676949774992</v>
      </c>
      <c r="N978">
        <v>0</v>
      </c>
      <c r="O978">
        <v>0.0086188974581458272</v>
      </c>
      <c r="P978">
        <v>0.034429000000000001</v>
      </c>
      <c r="Q978">
        <v>1.5514015424662487E-05</v>
      </c>
      <c r="R978">
        <v>29999.99999</v>
      </c>
      <c r="S978">
        <v>0</v>
      </c>
      <c r="T978">
        <v>0</v>
      </c>
      <c r="V978">
        <v>900</v>
      </c>
      <c r="W978">
        <v>10</v>
      </c>
      <c r="X978">
        <v>85</v>
      </c>
      <c r="Y978">
        <v>3</v>
      </c>
      <c r="Z978">
        <v>4</v>
      </c>
      <c r="AA978">
        <v>5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50</v>
      </c>
      <c r="AM978">
        <v>2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10</v>
      </c>
      <c r="AU978">
        <v>0</v>
      </c>
      <c r="AV978">
        <v>0</v>
      </c>
    </row>
    <row r="979" spans="1:48" ht="12.75">
      <c r="A979" s="2" t="str">
        <f>HYPERLINK("https://ibp.a2mac1.com/costing(costing:projects/details/8191/equipment/6948343)","Equipment (Injection Molding)")</f>
        <v>Equipment (Injection Molding)</v>
      </c>
      <c r="B979">
        <v>6948343</v>
      </c>
      <c r="C979">
        <v>6975739</v>
      </c>
      <c r="H979" t="s">
        <v>136</v>
      </c>
      <c r="I979">
        <v>1528.4711580000001</v>
      </c>
      <c r="J979">
        <v>0</v>
      </c>
      <c r="K979">
        <v>0.064960000000000004</v>
      </c>
      <c r="L979">
        <v>0</v>
      </c>
      <c r="M979">
        <v>0.37586825425908066</v>
      </c>
      <c r="N979">
        <v>0</v>
      </c>
      <c r="O979">
        <v>0.0062644709043180114</v>
      </c>
      <c r="P979">
        <v>0.00039937639999999998</v>
      </c>
      <c r="Q979">
        <v>3.3272734471808103E-05</v>
      </c>
      <c r="R979">
        <v>8120</v>
      </c>
      <c r="S979">
        <v>0</v>
      </c>
      <c r="T979">
        <v>0</v>
      </c>
      <c r="V979">
        <v>78.30</v>
      </c>
      <c r="W979">
        <v>7</v>
      </c>
      <c r="X979">
        <v>85</v>
      </c>
      <c r="Y979">
        <v>3</v>
      </c>
      <c r="Z979">
        <v>4</v>
      </c>
      <c r="AA979">
        <v>5</v>
      </c>
      <c r="AB979">
        <v>0</v>
      </c>
      <c r="AC979">
        <v>0</v>
      </c>
      <c r="AD979">
        <v>0</v>
      </c>
      <c r="AE979">
        <v>0</v>
      </c>
      <c r="AF979">
        <v>0.0057999999999999996</v>
      </c>
      <c r="AG979">
        <v>0</v>
      </c>
      <c r="AH979">
        <v>0</v>
      </c>
      <c r="AI979">
        <v>2</v>
      </c>
      <c r="AJ979">
        <v>0</v>
      </c>
      <c r="AK979">
        <v>0</v>
      </c>
      <c r="AL979">
        <v>80</v>
      </c>
      <c r="AM979">
        <v>1.015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2.175</v>
      </c>
      <c r="AU979">
        <v>0</v>
      </c>
      <c r="AV979">
        <v>0</v>
      </c>
    </row>
    <row r="980" spans="1:48" ht="12.75">
      <c r="A980" s="2" t="str">
        <f>HYPERLINK("https://ibp.a2mac1.com/costing(costing:projects/details/8191/equipment/6948344)","Equipment (Injection Molding)")</f>
        <v>Equipment (Injection Molding)</v>
      </c>
      <c r="B980">
        <v>6948344</v>
      </c>
      <c r="C980">
        <v>6975740</v>
      </c>
      <c r="H980" t="s">
        <v>136</v>
      </c>
      <c r="I980">
        <v>105.411804</v>
      </c>
      <c r="J980">
        <v>0</v>
      </c>
      <c r="K980">
        <v>0.0044799999999999996</v>
      </c>
      <c r="L980">
        <v>0</v>
      </c>
      <c r="M980">
        <v>0.02592194856959177</v>
      </c>
      <c r="N980">
        <v>0</v>
      </c>
      <c r="O980">
        <v>0.00043203247615986284</v>
      </c>
      <c r="P980">
        <v>2.7543200000000001E-05</v>
      </c>
      <c r="Q980">
        <v>2.2631761753712633E-06</v>
      </c>
      <c r="R980">
        <v>560</v>
      </c>
      <c r="S980">
        <v>0</v>
      </c>
      <c r="T980">
        <v>0</v>
      </c>
      <c r="V980">
        <v>5.40</v>
      </c>
      <c r="W980">
        <v>7</v>
      </c>
      <c r="X980">
        <v>85</v>
      </c>
      <c r="Y980">
        <v>3</v>
      </c>
      <c r="Z980">
        <v>4</v>
      </c>
      <c r="AA980">
        <v>5</v>
      </c>
      <c r="AB980">
        <v>0</v>
      </c>
      <c r="AC980">
        <v>0</v>
      </c>
      <c r="AD980">
        <v>0</v>
      </c>
      <c r="AE980">
        <v>0</v>
      </c>
      <c r="AF980">
        <v>0.00040000000000000002</v>
      </c>
      <c r="AG980">
        <v>0</v>
      </c>
      <c r="AH980">
        <v>0</v>
      </c>
      <c r="AI980">
        <v>2</v>
      </c>
      <c r="AJ980">
        <v>0</v>
      </c>
      <c r="AK980">
        <v>0</v>
      </c>
      <c r="AL980">
        <v>80</v>
      </c>
      <c r="AM980">
        <v>0.07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0.15</v>
      </c>
      <c r="AU980">
        <v>0</v>
      </c>
      <c r="AV980">
        <v>0</v>
      </c>
    </row>
    <row r="981" spans="1:48" ht="12.75">
      <c r="A981" s="2" t="str">
        <f>HYPERLINK("https://ibp.a2mac1.com/costing(costing:projects/details/8191/equipment/6948088)","Assembly line")</f>
        <v>Assembly line</v>
      </c>
      <c r="B981">
        <v>6948088</v>
      </c>
      <c r="C981">
        <v>6975501</v>
      </c>
      <c r="H981" t="s">
        <v>136</v>
      </c>
      <c r="I981">
        <v>63074.721599999997</v>
      </c>
      <c r="J981">
        <v>0</v>
      </c>
      <c r="K981">
        <v>5.2000019999999996</v>
      </c>
      <c r="L981">
        <v>0</v>
      </c>
      <c r="M981">
        <v>18.953573456123433</v>
      </c>
      <c r="N981">
        <v>0</v>
      </c>
      <c r="O981">
        <v>0.31589289093539052</v>
      </c>
      <c r="P981">
        <v>0.068858000000000003</v>
      </c>
      <c r="Q981">
        <v>0.0015756906728061717</v>
      </c>
      <c r="R981">
        <v>450000</v>
      </c>
      <c r="S981">
        <v>0</v>
      </c>
      <c r="T981">
        <v>0</v>
      </c>
      <c r="V981">
        <v>1800</v>
      </c>
      <c r="W981">
        <v>10</v>
      </c>
      <c r="X981">
        <v>85</v>
      </c>
      <c r="Y981">
        <v>3</v>
      </c>
      <c r="Z981">
        <v>4</v>
      </c>
      <c r="AA981">
        <v>5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86.666700000000006</v>
      </c>
      <c r="AM981">
        <v>75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60</v>
      </c>
      <c r="AU981">
        <v>0</v>
      </c>
      <c r="AV981">
        <v>0</v>
      </c>
    </row>
    <row r="982" spans="1:48" ht="12.75">
      <c r="A982" s="2" t="str">
        <f>HYPERLINK("https://ibp.a2mac1.com/costing(costing:projects/details/8191/equipment/6948084)","Dummy Machine (PCBA+Final Assembly Line)")</f>
        <v>Dummy Machine (PCBA+Final Assembly Line)</v>
      </c>
      <c r="B982">
        <v>6948084</v>
      </c>
      <c r="C982">
        <v>6975497</v>
      </c>
      <c r="F982" t="s">
        <v>559</v>
      </c>
      <c r="H982" t="s">
        <v>136</v>
      </c>
      <c r="I982">
        <v>79501.662769714283</v>
      </c>
      <c r="J982">
        <v>0</v>
      </c>
      <c r="K982">
        <v>0.28895999999999999</v>
      </c>
      <c r="L982">
        <v>0</v>
      </c>
      <c r="M982">
        <v>16.624578413647427</v>
      </c>
      <c r="N982">
        <v>0</v>
      </c>
      <c r="O982">
        <v>0.43870415258236262</v>
      </c>
      <c r="P982">
        <v>0.076317616666666671</v>
      </c>
      <c r="Q982">
        <v>6.889185508913073E-05</v>
      </c>
      <c r="R982">
        <v>442771.10</v>
      </c>
      <c r="S982">
        <v>0</v>
      </c>
      <c r="T982">
        <v>0</v>
      </c>
      <c r="V982">
        <v>216</v>
      </c>
      <c r="W982">
        <v>7</v>
      </c>
      <c r="X982">
        <v>85</v>
      </c>
      <c r="Y982">
        <v>3</v>
      </c>
      <c r="Z982">
        <v>4</v>
      </c>
      <c r="AA982">
        <v>5</v>
      </c>
      <c r="AB982">
        <v>0</v>
      </c>
      <c r="AC982">
        <v>0</v>
      </c>
      <c r="AD982">
        <v>0</v>
      </c>
      <c r="AE982">
        <v>0</v>
      </c>
      <c r="AF982">
        <v>0.70</v>
      </c>
      <c r="AG982">
        <v>0</v>
      </c>
      <c r="AH982">
        <v>0</v>
      </c>
      <c r="AI982">
        <v>0.20</v>
      </c>
      <c r="AJ982">
        <v>0</v>
      </c>
      <c r="AK982">
        <v>0</v>
      </c>
      <c r="AL982">
        <v>86</v>
      </c>
      <c r="AM982">
        <v>4.20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19.40</v>
      </c>
      <c r="AU982">
        <v>0</v>
      </c>
      <c r="AV982">
        <v>0</v>
      </c>
    </row>
    <row r="983" spans="1:48" ht="12.75">
      <c r="A983" s="2" t="str">
        <f>HYPERLINK("https://ibp.a2mac1.com/costing(costing:projects/details/8191/equipment/6948085)","Equipment (Stamping)")</f>
        <v>Equipment (Stamping)</v>
      </c>
      <c r="B983">
        <v>6948085</v>
      </c>
      <c r="C983">
        <v>6975498</v>
      </c>
      <c r="H983" t="s">
        <v>136</v>
      </c>
      <c r="I983">
        <v>716.18946857142862</v>
      </c>
      <c r="J983">
        <v>0</v>
      </c>
      <c r="K983">
        <v>0.032000000000000001</v>
      </c>
      <c r="L983">
        <v>0</v>
      </c>
      <c r="M983">
        <v>0.17683919456307112</v>
      </c>
      <c r="N983">
        <v>0</v>
      </c>
      <c r="O983">
        <v>0.00049121998489741979</v>
      </c>
      <c r="P983">
        <v>5.7381666666666666E-05</v>
      </c>
      <c r="Q983">
        <v>0.0007589195758368921</v>
      </c>
      <c r="R983">
        <v>3700</v>
      </c>
      <c r="S983">
        <v>0</v>
      </c>
      <c r="T983">
        <v>0</v>
      </c>
      <c r="V983">
        <v>1800</v>
      </c>
      <c r="W983">
        <v>7</v>
      </c>
      <c r="X983">
        <v>85</v>
      </c>
      <c r="Y983">
        <v>3</v>
      </c>
      <c r="Z983">
        <v>4</v>
      </c>
      <c r="AA983">
        <v>5</v>
      </c>
      <c r="AB983">
        <v>0</v>
      </c>
      <c r="AC983">
        <v>0</v>
      </c>
      <c r="AD983">
        <v>0</v>
      </c>
      <c r="AE983">
        <v>0</v>
      </c>
      <c r="AF983">
        <v>0.005</v>
      </c>
      <c r="AG983">
        <v>0</v>
      </c>
      <c r="AH983">
        <v>0</v>
      </c>
      <c r="AI983">
        <v>2</v>
      </c>
      <c r="AJ983">
        <v>0</v>
      </c>
      <c r="AK983">
        <v>0</v>
      </c>
      <c r="AL983">
        <v>80</v>
      </c>
      <c r="AM983">
        <v>0.50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1.50</v>
      </c>
      <c r="AU983">
        <v>0</v>
      </c>
      <c r="AV983">
        <v>0</v>
      </c>
    </row>
    <row r="984" spans="1:48" ht="12.75">
      <c r="A984" s="2" t="str">
        <f>HYPERLINK("https://ibp.a2mac1.com/costing(costing:projects/details/8191/equipment/6948087)","No.01 - Generic CN Wire Bending ")</f>
        <v xml:space="preserve">No.01 - Generic CN Wire Bending </v>
      </c>
      <c r="B984">
        <v>6948087</v>
      </c>
      <c r="C984">
        <v>6975500</v>
      </c>
      <c r="E984" t="s">
        <v>499</v>
      </c>
      <c r="G984" t="s">
        <v>4772</v>
      </c>
      <c r="H984" t="s">
        <v>136</v>
      </c>
      <c r="I984">
        <v>39737.935922999997</v>
      </c>
      <c r="J984">
        <v>0</v>
      </c>
      <c r="K984">
        <v>0.40079999999999999</v>
      </c>
      <c r="L984">
        <v>0</v>
      </c>
      <c r="M984">
        <v>8.547922760045001</v>
      </c>
      <c r="N984">
        <v>0</v>
      </c>
      <c r="O984">
        <v>0.011872114944506946</v>
      </c>
      <c r="P984">
        <v>0.0057381666666666666</v>
      </c>
      <c r="Q984">
        <v>0.00070127896560270007</v>
      </c>
      <c r="R984">
        <v>219069.2378</v>
      </c>
      <c r="S984">
        <v>0</v>
      </c>
      <c r="T984">
        <v>0</v>
      </c>
      <c r="V984">
        <v>3600</v>
      </c>
      <c r="W984">
        <v>7</v>
      </c>
      <c r="X984">
        <v>85</v>
      </c>
      <c r="Y984">
        <v>3</v>
      </c>
      <c r="Z984">
        <v>4</v>
      </c>
      <c r="AA984">
        <v>5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0.25</v>
      </c>
      <c r="AJ984">
        <v>0</v>
      </c>
      <c r="AK984">
        <v>0</v>
      </c>
      <c r="AL984">
        <v>94</v>
      </c>
      <c r="AM984">
        <v>4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20</v>
      </c>
      <c r="AU984">
        <v>0.10</v>
      </c>
      <c r="AV984">
        <v>0</v>
      </c>
    </row>
    <row r="985" spans="1:48" ht="12.75">
      <c r="A985" s="2" t="str">
        <f>HYPERLINK("https://ibp.a2mac1.com/costing(costing:projects/details/8191/equipment/6948086)","No.04 - Press Fit Assembly ")</f>
        <v xml:space="preserve">No.04 - Press Fit Assembly </v>
      </c>
      <c r="B985">
        <v>6948086</v>
      </c>
      <c r="C985">
        <v>6975499</v>
      </c>
      <c r="E985" t="s">
        <v>499</v>
      </c>
      <c r="H985" t="s">
        <v>136</v>
      </c>
      <c r="I985">
        <v>13962.360798399999</v>
      </c>
      <c r="J985">
        <v>0</v>
      </c>
      <c r="K985">
        <v>0.39200000000000002</v>
      </c>
      <c r="L985">
        <v>0</v>
      </c>
      <c r="M985">
        <v>3.2789110893442621</v>
      </c>
      <c r="N985">
        <v>0</v>
      </c>
      <c r="O985">
        <v>0.013662129538934427</v>
      </c>
      <c r="P985">
        <v>0.017214500000000001</v>
      </c>
      <c r="Q985">
        <v>4.7517453268032787E-05</v>
      </c>
      <c r="R985">
        <v>79999.999989999997</v>
      </c>
      <c r="S985">
        <v>0</v>
      </c>
      <c r="T985">
        <v>0</v>
      </c>
      <c r="V985">
        <v>180</v>
      </c>
      <c r="W985">
        <v>8</v>
      </c>
      <c r="X985">
        <v>85</v>
      </c>
      <c r="Y985">
        <v>3</v>
      </c>
      <c r="Z985">
        <v>4</v>
      </c>
      <c r="AA985">
        <v>5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98</v>
      </c>
      <c r="AM985">
        <v>5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30</v>
      </c>
      <c r="AU985">
        <v>0</v>
      </c>
      <c r="AV985">
        <v>0</v>
      </c>
    </row>
    <row r="986" spans="1:48" ht="12.75">
      <c r="A986" s="2" t="str">
        <f>HYPERLINK("https://ibp.a2mac1.com/costing(costing:projects/details/8191/equipment/6948345)","Equipment (Injection Molding)")</f>
        <v>Equipment (Injection Molding)</v>
      </c>
      <c r="B986">
        <v>6948345</v>
      </c>
      <c r="C986">
        <v>6975741</v>
      </c>
      <c r="H986" t="s">
        <v>136</v>
      </c>
      <c r="I986">
        <v>809022.68741957145</v>
      </c>
      <c r="J986">
        <v>0</v>
      </c>
      <c r="K986">
        <v>0.045920000000000002</v>
      </c>
      <c r="L986">
        <v>0</v>
      </c>
      <c r="M986">
        <v>166.62291090639206</v>
      </c>
      <c r="N986">
        <v>0</v>
      </c>
      <c r="O986">
        <v>3.054753366617188</v>
      </c>
      <c r="P986">
        <v>0.00031054957999999998</v>
      </c>
      <c r="Q986">
        <v>0.0031957231817732012</v>
      </c>
      <c r="R986">
        <v>4548387</v>
      </c>
      <c r="S986">
        <v>0</v>
      </c>
      <c r="T986">
        <v>0</v>
      </c>
      <c r="V986">
        <v>600</v>
      </c>
      <c r="W986">
        <v>7</v>
      </c>
      <c r="X986">
        <v>85</v>
      </c>
      <c r="Y986">
        <v>3</v>
      </c>
      <c r="Z986">
        <v>4</v>
      </c>
      <c r="AA986">
        <v>5</v>
      </c>
      <c r="AB986">
        <v>0</v>
      </c>
      <c r="AC986">
        <v>0</v>
      </c>
      <c r="AD986">
        <v>0</v>
      </c>
      <c r="AE986">
        <v>0</v>
      </c>
      <c r="AF986">
        <v>0.0041000000000000003</v>
      </c>
      <c r="AG986">
        <v>0</v>
      </c>
      <c r="AH986">
        <v>0</v>
      </c>
      <c r="AI986">
        <v>2</v>
      </c>
      <c r="AJ986">
        <v>0</v>
      </c>
      <c r="AK986">
        <v>0</v>
      </c>
      <c r="AL986">
        <v>80</v>
      </c>
      <c r="AM986">
        <v>0.7175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1.5375</v>
      </c>
      <c r="AU986">
        <v>0</v>
      </c>
      <c r="AV986">
        <v>0</v>
      </c>
    </row>
    <row r="987" spans="1:48" ht="12.75">
      <c r="A987" s="2" t="str">
        <f>HYPERLINK("https://ibp.a2mac1.com/costing(costing:projects/details/8191/equipment/6948089)","Equipment (Injection Molding)")</f>
        <v>Equipment (Injection Molding)</v>
      </c>
      <c r="B987">
        <v>6948089</v>
      </c>
      <c r="C987">
        <v>6975502</v>
      </c>
      <c r="H987" t="s">
        <v>136</v>
      </c>
      <c r="I987">
        <v>10488.474498</v>
      </c>
      <c r="J987">
        <v>0</v>
      </c>
      <c r="K987">
        <v>0.44575999999999999</v>
      </c>
      <c r="L987">
        <v>0</v>
      </c>
      <c r="M987">
        <v>2.579233882674381</v>
      </c>
      <c r="N987">
        <v>0</v>
      </c>
      <c r="O987">
        <v>0.042987231377906353</v>
      </c>
      <c r="P987">
        <v>0.0027405483999999999</v>
      </c>
      <c r="Q987">
        <v>0.00024805093781934907</v>
      </c>
      <c r="R987">
        <v>55720</v>
      </c>
      <c r="S987">
        <v>0</v>
      </c>
      <c r="T987">
        <v>0</v>
      </c>
      <c r="V987">
        <v>537.30</v>
      </c>
      <c r="W987">
        <v>7</v>
      </c>
      <c r="X987">
        <v>85</v>
      </c>
      <c r="Y987">
        <v>3</v>
      </c>
      <c r="Z987">
        <v>4</v>
      </c>
      <c r="AA987">
        <v>5</v>
      </c>
      <c r="AB987">
        <v>0</v>
      </c>
      <c r="AC987">
        <v>0</v>
      </c>
      <c r="AD987">
        <v>0</v>
      </c>
      <c r="AE987">
        <v>0</v>
      </c>
      <c r="AF987">
        <v>0.039800000000000002</v>
      </c>
      <c r="AG987">
        <v>0</v>
      </c>
      <c r="AH987">
        <v>0</v>
      </c>
      <c r="AI987">
        <v>2</v>
      </c>
      <c r="AJ987">
        <v>0</v>
      </c>
      <c r="AK987">
        <v>0</v>
      </c>
      <c r="AL987">
        <v>80</v>
      </c>
      <c r="AM987">
        <v>6.965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14.925</v>
      </c>
      <c r="AU987">
        <v>0</v>
      </c>
      <c r="AV987">
        <v>0</v>
      </c>
    </row>
    <row r="988" spans="1:48" ht="12.75">
      <c r="A988" s="2" t="str">
        <f>HYPERLINK("https://ibp.a2mac1.com/costing(costing:projects/details/8191/equipment/6948090)","Equipment (Injection Molding)")</f>
        <v>Equipment (Injection Molding)</v>
      </c>
      <c r="B988">
        <v>6948090</v>
      </c>
      <c r="C988">
        <v>6975502</v>
      </c>
      <c r="H988" t="s">
        <v>136</v>
      </c>
      <c r="I988">
        <v>10488.474498</v>
      </c>
      <c r="J988">
        <v>0</v>
      </c>
      <c r="K988">
        <v>0.44575999999999999</v>
      </c>
      <c r="L988">
        <v>0</v>
      </c>
      <c r="M988">
        <v>2.579233882674381</v>
      </c>
      <c r="N988">
        <v>0</v>
      </c>
      <c r="O988">
        <v>0.042987231377906353</v>
      </c>
      <c r="P988">
        <v>0.0027405483999999999</v>
      </c>
      <c r="Q988">
        <v>0.00024805093781934907</v>
      </c>
      <c r="R988">
        <v>55720</v>
      </c>
      <c r="S988">
        <v>0</v>
      </c>
      <c r="T988">
        <v>0</v>
      </c>
      <c r="V988">
        <v>537.30</v>
      </c>
      <c r="W988">
        <v>7</v>
      </c>
      <c r="X988">
        <v>85</v>
      </c>
      <c r="Y988">
        <v>3</v>
      </c>
      <c r="Z988">
        <v>4</v>
      </c>
      <c r="AA988">
        <v>5</v>
      </c>
      <c r="AB988">
        <v>0</v>
      </c>
      <c r="AC988">
        <v>0</v>
      </c>
      <c r="AD988">
        <v>0</v>
      </c>
      <c r="AE988">
        <v>0</v>
      </c>
      <c r="AF988">
        <v>0.039800000000000002</v>
      </c>
      <c r="AG988">
        <v>0</v>
      </c>
      <c r="AH988">
        <v>0</v>
      </c>
      <c r="AI988">
        <v>2</v>
      </c>
      <c r="AJ988">
        <v>0</v>
      </c>
      <c r="AK988">
        <v>0</v>
      </c>
      <c r="AL988">
        <v>80</v>
      </c>
      <c r="AM988">
        <v>6.965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14.925</v>
      </c>
      <c r="AU988">
        <v>0</v>
      </c>
      <c r="AV988">
        <v>0</v>
      </c>
    </row>
    <row r="989" spans="1:48" ht="12.75">
      <c r="A989" s="2" t="str">
        <f>HYPERLINK("https://ibp.a2mac1.com/costing(costing:projects/details/8191/equipment/6948091)","Equipment (Standard Process)")</f>
        <v>Equipment (Standard Process)</v>
      </c>
      <c r="B989">
        <v>6948091</v>
      </c>
      <c r="C989">
        <v>6975502</v>
      </c>
      <c r="H989" t="s">
        <v>136</v>
      </c>
      <c r="I989">
        <v>18275.060212285713</v>
      </c>
      <c r="J989">
        <v>0</v>
      </c>
      <c r="K989">
        <v>0.44575999999999999</v>
      </c>
      <c r="L989">
        <v>0</v>
      </c>
      <c r="M989">
        <v>4.1825102751986041</v>
      </c>
      <c r="N989">
        <v>0</v>
      </c>
      <c r="O989">
        <v>0.069708504586643405</v>
      </c>
      <c r="P989">
        <v>0.0041108226000000003</v>
      </c>
      <c r="Q989">
        <v>0.00026240827791440351</v>
      </c>
      <c r="R989">
        <v>99500</v>
      </c>
      <c r="S989">
        <v>0</v>
      </c>
      <c r="T989">
        <v>0</v>
      </c>
      <c r="V989">
        <v>537.30</v>
      </c>
      <c r="W989">
        <v>7</v>
      </c>
      <c r="X989">
        <v>85</v>
      </c>
      <c r="Y989">
        <v>3</v>
      </c>
      <c r="Z989">
        <v>4</v>
      </c>
      <c r="AA989">
        <v>5</v>
      </c>
      <c r="AB989">
        <v>0</v>
      </c>
      <c r="AC989">
        <v>0</v>
      </c>
      <c r="AD989">
        <v>0</v>
      </c>
      <c r="AE989">
        <v>0</v>
      </c>
      <c r="AF989">
        <v>0.059700000000000003</v>
      </c>
      <c r="AG989">
        <v>0</v>
      </c>
      <c r="AH989">
        <v>0</v>
      </c>
      <c r="AI989">
        <v>2</v>
      </c>
      <c r="AJ989">
        <v>0</v>
      </c>
      <c r="AK989">
        <v>0</v>
      </c>
      <c r="AL989">
        <v>80</v>
      </c>
      <c r="AM989">
        <v>6.965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14.925</v>
      </c>
      <c r="AU989">
        <v>0</v>
      </c>
      <c r="AV989">
        <v>0</v>
      </c>
    </row>
    <row r="990" spans="1:48" ht="12.75">
      <c r="A990" s="2" t="str">
        <f>HYPERLINK("https://ibp.a2mac1.com/costing(costing:projects/details/8191/equipment/6947861)","Assembly line")</f>
        <v>Assembly line</v>
      </c>
      <c r="B990">
        <v>6947861</v>
      </c>
      <c r="C990">
        <v>6975304</v>
      </c>
      <c r="H990" t="s">
        <v>136</v>
      </c>
      <c r="I990">
        <v>63074.721599999997</v>
      </c>
      <c r="J990">
        <v>0</v>
      </c>
      <c r="K990">
        <v>5.2000019999999996</v>
      </c>
      <c r="L990">
        <v>0</v>
      </c>
      <c r="M990">
        <v>18.953573456123433</v>
      </c>
      <c r="N990">
        <v>0</v>
      </c>
      <c r="O990">
        <v>0.31589289093539052</v>
      </c>
      <c r="P990">
        <v>0.068858000000000003</v>
      </c>
      <c r="Q990">
        <v>0.0015756906728061717</v>
      </c>
      <c r="R990">
        <v>450000</v>
      </c>
      <c r="S990">
        <v>0</v>
      </c>
      <c r="T990">
        <v>0</v>
      </c>
      <c r="V990">
        <v>1800</v>
      </c>
      <c r="W990">
        <v>10</v>
      </c>
      <c r="X990">
        <v>85</v>
      </c>
      <c r="Y990">
        <v>3</v>
      </c>
      <c r="Z990">
        <v>4</v>
      </c>
      <c r="AA990">
        <v>5</v>
      </c>
      <c r="AB990">
        <v>0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86.666700000000006</v>
      </c>
      <c r="AM990">
        <v>75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60</v>
      </c>
      <c r="AU990">
        <v>0</v>
      </c>
      <c r="AV990">
        <v>0</v>
      </c>
    </row>
    <row r="991" spans="1:48" ht="12.75">
      <c r="A991" s="2" t="str">
        <f>HYPERLINK("https://ibp.a2mac1.com/costing(costing:projects/details/8191/equipment/6948347)","Rubber Extrusion machine")</f>
        <v>Rubber Extrusion machine</v>
      </c>
      <c r="B991">
        <v>6948347</v>
      </c>
      <c r="C991">
        <v>6975743</v>
      </c>
      <c r="E991" t="s">
        <v>603</v>
      </c>
      <c r="H991" t="s">
        <v>136</v>
      </c>
      <c r="I991">
        <v>127372.68</v>
      </c>
      <c r="J991">
        <v>0</v>
      </c>
      <c r="K991">
        <v>8.80</v>
      </c>
      <c r="L991">
        <v>0</v>
      </c>
      <c r="M991">
        <v>35.700141433622626</v>
      </c>
      <c r="N991">
        <v>0</v>
      </c>
      <c r="O991">
        <v>0.14875058930676097</v>
      </c>
      <c r="P991">
        <v>0.034429000000000001</v>
      </c>
      <c r="Q991">
        <v>0.0014478114430086788</v>
      </c>
      <c r="R991">
        <v>800000</v>
      </c>
      <c r="S991">
        <v>0</v>
      </c>
      <c r="T991">
        <v>0</v>
      </c>
      <c r="V991">
        <v>1800</v>
      </c>
      <c r="W991">
        <v>10</v>
      </c>
      <c r="X991">
        <v>85</v>
      </c>
      <c r="Y991">
        <v>3</v>
      </c>
      <c r="Z991">
        <v>4</v>
      </c>
      <c r="AA991">
        <v>5</v>
      </c>
      <c r="AB991">
        <v>0</v>
      </c>
      <c r="AC991">
        <v>0</v>
      </c>
      <c r="AD991">
        <v>0</v>
      </c>
      <c r="AE991">
        <v>0</v>
      </c>
      <c r="AF991">
        <v>2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100</v>
      </c>
      <c r="AM991">
        <v>110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500</v>
      </c>
      <c r="AU991">
        <v>0</v>
      </c>
      <c r="AV991">
        <v>0</v>
      </c>
    </row>
    <row r="992" spans="1:48" ht="12.75">
      <c r="A992" s="2" t="str">
        <f>HYPERLINK("https://ibp.a2mac1.com/costing(costing:projects/details/8191/equipment/6948346)","Seal welding/joining station, manual")</f>
        <v>Seal welding/joining station, manual</v>
      </c>
      <c r="B992">
        <v>6948346</v>
      </c>
      <c r="C992">
        <v>6975742</v>
      </c>
      <c r="E992" t="s">
        <v>659</v>
      </c>
      <c r="H992" t="s">
        <v>136</v>
      </c>
      <c r="I992">
        <v>4149.9071999999996</v>
      </c>
      <c r="J992">
        <v>0</v>
      </c>
      <c r="K992">
        <v>0.24</v>
      </c>
      <c r="L992">
        <v>0</v>
      </c>
      <c r="M992">
        <v>1.0275132111861138</v>
      </c>
      <c r="N992">
        <v>0</v>
      </c>
      <c r="O992">
        <v>0.0085626100932176142</v>
      </c>
      <c r="P992">
        <v>0.069664000000000004</v>
      </c>
      <c r="Q992">
        <v>9.3871932111861135E-05</v>
      </c>
      <c r="R992">
        <v>25000</v>
      </c>
      <c r="S992">
        <v>0</v>
      </c>
      <c r="T992">
        <v>0</v>
      </c>
      <c r="V992">
        <v>600</v>
      </c>
      <c r="W992">
        <v>10</v>
      </c>
      <c r="X992">
        <v>85</v>
      </c>
      <c r="Y992">
        <v>3</v>
      </c>
      <c r="Z992">
        <v>3</v>
      </c>
      <c r="AA992">
        <v>3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100</v>
      </c>
      <c r="AM992">
        <v>3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20</v>
      </c>
      <c r="AU992">
        <v>0</v>
      </c>
      <c r="AV992">
        <v>0</v>
      </c>
    </row>
    <row r="993" spans="1:48" ht="12.75">
      <c r="A993" s="2" t="str">
        <f>HYPERLINK("https://ibp.a2mac1.com/costing(costing:projects/details/8191/equipment/6948349)","Rubber Extrusion machine")</f>
        <v>Rubber Extrusion machine</v>
      </c>
      <c r="B993">
        <v>6948349</v>
      </c>
      <c r="C993">
        <v>6975745</v>
      </c>
      <c r="E993" t="s">
        <v>603</v>
      </c>
      <c r="H993" t="s">
        <v>136</v>
      </c>
      <c r="I993">
        <v>127372.68</v>
      </c>
      <c r="J993">
        <v>0</v>
      </c>
      <c r="K993">
        <v>8.80</v>
      </c>
      <c r="L993">
        <v>0</v>
      </c>
      <c r="M993">
        <v>35.700141433622626</v>
      </c>
      <c r="N993">
        <v>0</v>
      </c>
      <c r="O993">
        <v>0.14875058930676097</v>
      </c>
      <c r="P993">
        <v>0.034429000000000001</v>
      </c>
      <c r="Q993">
        <v>0.0014478114430086788</v>
      </c>
      <c r="R993">
        <v>800000</v>
      </c>
      <c r="S993">
        <v>0</v>
      </c>
      <c r="T993">
        <v>0</v>
      </c>
      <c r="V993">
        <v>1800</v>
      </c>
      <c r="W993">
        <v>10</v>
      </c>
      <c r="X993">
        <v>85</v>
      </c>
      <c r="Y993">
        <v>3</v>
      </c>
      <c r="Z993">
        <v>4</v>
      </c>
      <c r="AA993">
        <v>5</v>
      </c>
      <c r="AB993">
        <v>0</v>
      </c>
      <c r="AC993">
        <v>0</v>
      </c>
      <c r="AD993">
        <v>0</v>
      </c>
      <c r="AE993">
        <v>0</v>
      </c>
      <c r="AF993">
        <v>2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100</v>
      </c>
      <c r="AM993">
        <v>110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500</v>
      </c>
      <c r="AU993">
        <v>0</v>
      </c>
      <c r="AV993">
        <v>0</v>
      </c>
    </row>
    <row r="994" spans="1:48" ht="12.75">
      <c r="A994" s="2" t="str">
        <f>HYPERLINK("https://ibp.a2mac1.com/costing(costing:projects/details/8191/equipment/6948348)","Seal welding/joining station, manual")</f>
        <v>Seal welding/joining station, manual</v>
      </c>
      <c r="B994">
        <v>6948348</v>
      </c>
      <c r="C994">
        <v>6975744</v>
      </c>
      <c r="E994" t="s">
        <v>659</v>
      </c>
      <c r="H994" t="s">
        <v>136</v>
      </c>
      <c r="I994">
        <v>4149.9071999999996</v>
      </c>
      <c r="J994">
        <v>0</v>
      </c>
      <c r="K994">
        <v>0.24</v>
      </c>
      <c r="L994">
        <v>0</v>
      </c>
      <c r="M994">
        <v>1.0275132111861138</v>
      </c>
      <c r="N994">
        <v>0</v>
      </c>
      <c r="O994">
        <v>0.0085626100932176142</v>
      </c>
      <c r="P994">
        <v>0.069664000000000004</v>
      </c>
      <c r="Q994">
        <v>9.3871932111861135E-05</v>
      </c>
      <c r="R994">
        <v>25000</v>
      </c>
      <c r="S994">
        <v>0</v>
      </c>
      <c r="T994">
        <v>0</v>
      </c>
      <c r="V994">
        <v>600</v>
      </c>
      <c r="W994">
        <v>10</v>
      </c>
      <c r="X994">
        <v>85</v>
      </c>
      <c r="Y994">
        <v>3</v>
      </c>
      <c r="Z994">
        <v>3</v>
      </c>
      <c r="AA994">
        <v>3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100</v>
      </c>
      <c r="AM994">
        <v>3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20</v>
      </c>
      <c r="AU994">
        <v>0</v>
      </c>
      <c r="AV994">
        <v>0</v>
      </c>
    </row>
    <row r="995" spans="1:48" ht="12.75">
      <c r="A995" s="2" t="str">
        <f>HYPERLINK("https://ibp.a2mac1.com/costing(costing:projects/details/8191/equipment/6948092)","Rubber Extrusion machine")</f>
        <v>Rubber Extrusion machine</v>
      </c>
      <c r="B995">
        <v>6948092</v>
      </c>
      <c r="C995">
        <v>6975503</v>
      </c>
      <c r="E995" t="s">
        <v>603</v>
      </c>
      <c r="H995" t="s">
        <v>136</v>
      </c>
      <c r="I995">
        <v>127372.68</v>
      </c>
      <c r="J995">
        <v>0</v>
      </c>
      <c r="K995">
        <v>8.80</v>
      </c>
      <c r="L995">
        <v>0</v>
      </c>
      <c r="M995">
        <v>35.700141433622626</v>
      </c>
      <c r="N995">
        <v>0</v>
      </c>
      <c r="O995">
        <v>0.14875058930676097</v>
      </c>
      <c r="P995">
        <v>0.034429000000000001</v>
      </c>
      <c r="Q995">
        <v>0.0014478114430086788</v>
      </c>
      <c r="R995">
        <v>800000</v>
      </c>
      <c r="S995">
        <v>0</v>
      </c>
      <c r="T995">
        <v>0</v>
      </c>
      <c r="V995">
        <v>1800</v>
      </c>
      <c r="W995">
        <v>10</v>
      </c>
      <c r="X995">
        <v>85</v>
      </c>
      <c r="Y995">
        <v>3</v>
      </c>
      <c r="Z995">
        <v>4</v>
      </c>
      <c r="AA995">
        <v>5</v>
      </c>
      <c r="AB995">
        <v>0</v>
      </c>
      <c r="AC995">
        <v>0</v>
      </c>
      <c r="AD995">
        <v>0</v>
      </c>
      <c r="AE995">
        <v>0</v>
      </c>
      <c r="AF995">
        <v>2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100</v>
      </c>
      <c r="AM995">
        <v>110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500</v>
      </c>
      <c r="AU995">
        <v>0</v>
      </c>
      <c r="AV995">
        <v>0</v>
      </c>
    </row>
    <row r="996" spans="1:48" ht="12.75">
      <c r="A996" s="2" t="str">
        <f>HYPERLINK("https://ibp.a2mac1.com/costing(costing:projects/details/8191/equipment/6948093)","Rubber Extrusion machine")</f>
        <v>Rubber Extrusion machine</v>
      </c>
      <c r="B996">
        <v>6948093</v>
      </c>
      <c r="C996">
        <v>6975504</v>
      </c>
      <c r="E996" t="s">
        <v>603</v>
      </c>
      <c r="H996" t="s">
        <v>136</v>
      </c>
      <c r="I996">
        <v>127372.68</v>
      </c>
      <c r="J996">
        <v>0</v>
      </c>
      <c r="K996">
        <v>8.80</v>
      </c>
      <c r="L996">
        <v>0</v>
      </c>
      <c r="M996">
        <v>35.700141433622626</v>
      </c>
      <c r="N996">
        <v>0</v>
      </c>
      <c r="O996">
        <v>0.099167059537840635</v>
      </c>
      <c r="P996">
        <v>0.022952666666666666</v>
      </c>
      <c r="Q996">
        <v>0.0014478114430086788</v>
      </c>
      <c r="R996">
        <v>800000</v>
      </c>
      <c r="S996">
        <v>0</v>
      </c>
      <c r="T996">
        <v>0</v>
      </c>
      <c r="V996">
        <v>1800</v>
      </c>
      <c r="W996">
        <v>10</v>
      </c>
      <c r="X996">
        <v>85</v>
      </c>
      <c r="Y996">
        <v>3</v>
      </c>
      <c r="Z996">
        <v>4</v>
      </c>
      <c r="AA996">
        <v>5</v>
      </c>
      <c r="AB996">
        <v>0</v>
      </c>
      <c r="AC996">
        <v>0</v>
      </c>
      <c r="AD996">
        <v>0</v>
      </c>
      <c r="AE996">
        <v>0</v>
      </c>
      <c r="AF996">
        <v>2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100</v>
      </c>
      <c r="AM996">
        <v>110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500</v>
      </c>
      <c r="AU996">
        <v>0</v>
      </c>
      <c r="AV996">
        <v>0</v>
      </c>
    </row>
    <row r="997" spans="1:48" ht="12.75">
      <c r="A997" s="2" t="str">
        <f>HYPERLINK("https://ibp.a2mac1.com/costing(costing:projects/details/8191/equipment/6948094)","Rubber Extrusion machine")</f>
        <v>Rubber Extrusion machine</v>
      </c>
      <c r="B997">
        <v>6948094</v>
      </c>
      <c r="C997">
        <v>6975505</v>
      </c>
      <c r="E997" t="s">
        <v>603</v>
      </c>
      <c r="H997" t="s">
        <v>136</v>
      </c>
      <c r="I997">
        <v>127372.68</v>
      </c>
      <c r="J997">
        <v>0</v>
      </c>
      <c r="K997">
        <v>8.80</v>
      </c>
      <c r="L997">
        <v>0</v>
      </c>
      <c r="M997">
        <v>35.700141433622626</v>
      </c>
      <c r="N997">
        <v>0</v>
      </c>
      <c r="O997">
        <v>0.14875058930676097</v>
      </c>
      <c r="P997">
        <v>0.034429000000000001</v>
      </c>
      <c r="Q997">
        <v>0.0014478114430086788</v>
      </c>
      <c r="R997">
        <v>800000</v>
      </c>
      <c r="S997">
        <v>0</v>
      </c>
      <c r="T997">
        <v>0</v>
      </c>
      <c r="V997">
        <v>1800</v>
      </c>
      <c r="W997">
        <v>10</v>
      </c>
      <c r="X997">
        <v>85</v>
      </c>
      <c r="Y997">
        <v>3</v>
      </c>
      <c r="Z997">
        <v>4</v>
      </c>
      <c r="AA997">
        <v>5</v>
      </c>
      <c r="AB997">
        <v>0</v>
      </c>
      <c r="AC997">
        <v>0</v>
      </c>
      <c r="AD997">
        <v>0</v>
      </c>
      <c r="AE997">
        <v>0</v>
      </c>
      <c r="AF997">
        <v>2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100</v>
      </c>
      <c r="AM997">
        <v>110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500</v>
      </c>
      <c r="AU997">
        <v>0</v>
      </c>
      <c r="AV997">
        <v>0</v>
      </c>
    </row>
    <row r="998" spans="1:48" ht="12.75">
      <c r="A998" s="2" t="str">
        <f>HYPERLINK("https://ibp.a2mac1.com/costing(costing:projects/details/8191/equipment/6948439)","Equipment (Casting)")</f>
        <v>Equipment (Casting)</v>
      </c>
      <c r="B998">
        <v>6948439</v>
      </c>
      <c r="C998">
        <v>6975844</v>
      </c>
      <c r="H998" t="s">
        <v>136</v>
      </c>
      <c r="I998">
        <v>6134.5428250285713</v>
      </c>
      <c r="J998">
        <v>0</v>
      </c>
      <c r="K998">
        <v>0.21376000000000001</v>
      </c>
      <c r="L998">
        <v>0</v>
      </c>
      <c r="M998">
        <v>1.4681063235340037</v>
      </c>
      <c r="N998">
        <v>0</v>
      </c>
      <c r="O998">
        <v>0.00088086379412040221</v>
      </c>
      <c r="P998">
        <v>0.0001655897184</v>
      </c>
      <c r="Q998">
        <v>0.0026641763496181073</v>
      </c>
      <c r="R998">
        <v>33400</v>
      </c>
      <c r="S998">
        <v>0</v>
      </c>
      <c r="T998">
        <v>0</v>
      </c>
      <c r="V998">
        <v>6012</v>
      </c>
      <c r="W998">
        <v>7</v>
      </c>
      <c r="X998">
        <v>85</v>
      </c>
      <c r="Y998">
        <v>3</v>
      </c>
      <c r="Z998">
        <v>4</v>
      </c>
      <c r="AA998">
        <v>5</v>
      </c>
      <c r="AB998">
        <v>0</v>
      </c>
      <c r="AC998">
        <v>0</v>
      </c>
      <c r="AD998">
        <v>0</v>
      </c>
      <c r="AE998">
        <v>0</v>
      </c>
      <c r="AF998">
        <v>0.066799999999999998</v>
      </c>
      <c r="AG998">
        <v>0</v>
      </c>
      <c r="AH998">
        <v>0</v>
      </c>
      <c r="AI998">
        <v>2</v>
      </c>
      <c r="AJ998">
        <v>0</v>
      </c>
      <c r="AK998">
        <v>0</v>
      </c>
      <c r="AL998">
        <v>80</v>
      </c>
      <c r="AM998">
        <v>3.34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5.01</v>
      </c>
      <c r="AU998">
        <v>0</v>
      </c>
      <c r="AV998">
        <v>0</v>
      </c>
    </row>
    <row r="999" spans="1:48" ht="12.75">
      <c r="A999" s="2" t="str">
        <f>HYPERLINK("https://ibp.a2mac1.com/costing(costing:projects/details/8191/equipment/6948440)","Equipment (Casting)")</f>
        <v>Equipment (Casting)</v>
      </c>
      <c r="B999">
        <v>6948440</v>
      </c>
      <c r="C999">
        <v>6975845</v>
      </c>
      <c r="H999" t="s">
        <v>136</v>
      </c>
      <c r="I999">
        <v>6134.5428250285713</v>
      </c>
      <c r="J999">
        <v>0</v>
      </c>
      <c r="K999">
        <v>0.21376000000000001</v>
      </c>
      <c r="L999">
        <v>0</v>
      </c>
      <c r="M999">
        <v>1.4681063235340037</v>
      </c>
      <c r="N999">
        <v>0</v>
      </c>
      <c r="O999">
        <v>0.00088086379412040221</v>
      </c>
      <c r="P999">
        <v>0.0001655897184</v>
      </c>
      <c r="Q999">
        <v>0.0026641763496181073</v>
      </c>
      <c r="R999">
        <v>33400</v>
      </c>
      <c r="S999">
        <v>0</v>
      </c>
      <c r="T999">
        <v>0</v>
      </c>
      <c r="V999">
        <v>6012</v>
      </c>
      <c r="W999">
        <v>7</v>
      </c>
      <c r="X999">
        <v>85</v>
      </c>
      <c r="Y999">
        <v>3</v>
      </c>
      <c r="Z999">
        <v>4</v>
      </c>
      <c r="AA999">
        <v>5</v>
      </c>
      <c r="AB999">
        <v>0</v>
      </c>
      <c r="AC999">
        <v>0</v>
      </c>
      <c r="AD999">
        <v>0</v>
      </c>
      <c r="AE999">
        <v>0</v>
      </c>
      <c r="AF999">
        <v>0.066799999999999998</v>
      </c>
      <c r="AG999">
        <v>0</v>
      </c>
      <c r="AH999">
        <v>0</v>
      </c>
      <c r="AI999">
        <v>2</v>
      </c>
      <c r="AJ999">
        <v>0</v>
      </c>
      <c r="AK999">
        <v>0</v>
      </c>
      <c r="AL999">
        <v>80</v>
      </c>
      <c r="AM999">
        <v>3.34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5.01</v>
      </c>
      <c r="AU999">
        <v>0</v>
      </c>
      <c r="AV999">
        <v>0</v>
      </c>
    </row>
    <row r="1000" spans="1:48" ht="12.75">
      <c r="A1000" s="2" t="str">
        <f>HYPERLINK("https://ibp.a2mac1.com/costing(costing:projects/details/8191/equipment/6948441)","Equipment (Casting)")</f>
        <v>Equipment (Casting)</v>
      </c>
      <c r="B1000">
        <v>6948441</v>
      </c>
      <c r="C1000">
        <v>6975846</v>
      </c>
      <c r="H1000" t="s">
        <v>136</v>
      </c>
      <c r="I1000">
        <v>6134.5428250285713</v>
      </c>
      <c r="J1000">
        <v>0</v>
      </c>
      <c r="K1000">
        <v>0.21376000000000001</v>
      </c>
      <c r="L1000">
        <v>0</v>
      </c>
      <c r="M1000">
        <v>1.4681063235340037</v>
      </c>
      <c r="N1000">
        <v>0</v>
      </c>
      <c r="O1000">
        <v>0.00088086379412040221</v>
      </c>
      <c r="P1000">
        <v>0.0001655897184</v>
      </c>
      <c r="Q1000">
        <v>0.0026641763496181073</v>
      </c>
      <c r="R1000">
        <v>33400</v>
      </c>
      <c r="S1000">
        <v>0</v>
      </c>
      <c r="T1000">
        <v>0</v>
      </c>
      <c r="V1000">
        <v>6012</v>
      </c>
      <c r="W1000">
        <v>7</v>
      </c>
      <c r="X1000">
        <v>85</v>
      </c>
      <c r="Y1000">
        <v>3</v>
      </c>
      <c r="Z1000">
        <v>4</v>
      </c>
      <c r="AA1000">
        <v>5</v>
      </c>
      <c r="AB1000">
        <v>0</v>
      </c>
      <c r="AC1000">
        <v>0</v>
      </c>
      <c r="AD1000">
        <v>0</v>
      </c>
      <c r="AE1000">
        <v>0</v>
      </c>
      <c r="AF1000">
        <v>0.066799999999999998</v>
      </c>
      <c r="AG1000">
        <v>0</v>
      </c>
      <c r="AH1000">
        <v>0</v>
      </c>
      <c r="AI1000">
        <v>2</v>
      </c>
      <c r="AJ1000">
        <v>0</v>
      </c>
      <c r="AK1000">
        <v>0</v>
      </c>
      <c r="AL1000">
        <v>80</v>
      </c>
      <c r="AM1000">
        <v>3.34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5.01</v>
      </c>
      <c r="AU1000">
        <v>0</v>
      </c>
      <c r="AV1000">
        <v>0</v>
      </c>
    </row>
    <row r="1001" spans="1:48" ht="12.75">
      <c r="A1001" s="2" t="str">
        <f>HYPERLINK("https://ibp.a2mac1.com/costing(costing:projects/details/8191/equipment/6948442)","Equipment (Casting)")</f>
        <v>Equipment (Casting)</v>
      </c>
      <c r="B1001">
        <v>6948442</v>
      </c>
      <c r="C1001">
        <v>6975847</v>
      </c>
      <c r="H1001" t="s">
        <v>136</v>
      </c>
      <c r="I1001">
        <v>6134.5428250285713</v>
      </c>
      <c r="J1001">
        <v>0</v>
      </c>
      <c r="K1001">
        <v>0.21376000000000001</v>
      </c>
      <c r="L1001">
        <v>0</v>
      </c>
      <c r="M1001">
        <v>1.4681063235340037</v>
      </c>
      <c r="N1001">
        <v>0</v>
      </c>
      <c r="O1001">
        <v>0.00088086379412040221</v>
      </c>
      <c r="P1001">
        <v>0.0001655897184</v>
      </c>
      <c r="Q1001">
        <v>0.0026641763496181073</v>
      </c>
      <c r="R1001">
        <v>33400</v>
      </c>
      <c r="S1001">
        <v>0</v>
      </c>
      <c r="T1001">
        <v>0</v>
      </c>
      <c r="V1001">
        <v>6012</v>
      </c>
      <c r="W1001">
        <v>7</v>
      </c>
      <c r="X1001">
        <v>85</v>
      </c>
      <c r="Y1001">
        <v>3</v>
      </c>
      <c r="Z1001">
        <v>4</v>
      </c>
      <c r="AA1001">
        <v>5</v>
      </c>
      <c r="AB1001">
        <v>0</v>
      </c>
      <c r="AC1001">
        <v>0</v>
      </c>
      <c r="AD1001">
        <v>0</v>
      </c>
      <c r="AE1001">
        <v>0</v>
      </c>
      <c r="AF1001">
        <v>0.066799999999999998</v>
      </c>
      <c r="AG1001">
        <v>0</v>
      </c>
      <c r="AH1001">
        <v>0</v>
      </c>
      <c r="AI1001">
        <v>2</v>
      </c>
      <c r="AJ1001">
        <v>0</v>
      </c>
      <c r="AK1001">
        <v>0</v>
      </c>
      <c r="AL1001">
        <v>80</v>
      </c>
      <c r="AM1001">
        <v>3.34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5.01</v>
      </c>
      <c r="AU1001">
        <v>0</v>
      </c>
      <c r="AV1001">
        <v>0</v>
      </c>
    </row>
    <row r="1002" spans="1:48" ht="12.75">
      <c r="A1002" s="2" t="str">
        <f>HYPERLINK("https://ibp.a2mac1.com/costing(costing:projects/details/8191/equipment/6948095)","Dummy Machine (PCBA+Final Assembly Line)")</f>
        <v>Dummy Machine (PCBA+Final Assembly Line)</v>
      </c>
      <c r="B1002">
        <v>6948095</v>
      </c>
      <c r="C1002">
        <v>6975506</v>
      </c>
      <c r="F1002" t="s">
        <v>559</v>
      </c>
      <c r="H1002" t="s">
        <v>136</v>
      </c>
      <c r="I1002">
        <v>79501.662769714283</v>
      </c>
      <c r="J1002">
        <v>0</v>
      </c>
      <c r="K1002">
        <v>0.28895999999999999</v>
      </c>
      <c r="L1002">
        <v>0</v>
      </c>
      <c r="M1002">
        <v>16.624578413647427</v>
      </c>
      <c r="N1002">
        <v>0</v>
      </c>
      <c r="O1002">
        <v>0.73887015171766335</v>
      </c>
      <c r="P1002">
        <v>0.12853493333333332</v>
      </c>
      <c r="Q1002">
        <v>0.00011481975848188456</v>
      </c>
      <c r="R1002">
        <v>442771.10</v>
      </c>
      <c r="S1002">
        <v>0</v>
      </c>
      <c r="T1002">
        <v>0</v>
      </c>
      <c r="V1002">
        <v>216</v>
      </c>
      <c r="W1002">
        <v>7</v>
      </c>
      <c r="X1002">
        <v>85</v>
      </c>
      <c r="Y1002">
        <v>3</v>
      </c>
      <c r="Z1002">
        <v>4</v>
      </c>
      <c r="AA1002">
        <v>5</v>
      </c>
      <c r="AB1002">
        <v>0</v>
      </c>
      <c r="AC1002">
        <v>0</v>
      </c>
      <c r="AD1002">
        <v>0</v>
      </c>
      <c r="AE1002">
        <v>0</v>
      </c>
      <c r="AF1002">
        <v>0.70</v>
      </c>
      <c r="AG1002">
        <v>0</v>
      </c>
      <c r="AH1002">
        <v>0</v>
      </c>
      <c r="AI1002">
        <v>0.20</v>
      </c>
      <c r="AJ1002">
        <v>0</v>
      </c>
      <c r="AK1002">
        <v>0</v>
      </c>
      <c r="AL1002">
        <v>86</v>
      </c>
      <c r="AM1002">
        <v>4.20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19.40</v>
      </c>
      <c r="AU1002">
        <v>0</v>
      </c>
      <c r="AV1002">
        <v>0</v>
      </c>
    </row>
    <row r="1003" spans="1:48" ht="12.75">
      <c r="A1003" s="2" t="str">
        <f>HYPERLINK("https://ibp.a2mac1.com/costing(costing:projects/details/8191/equipment/6948096)","No.10 - Injection Press - 500T - 98kW - 900x900 - Max Volume 1936cm3 ")</f>
        <v xml:space="preserve">No.10 - Injection Press - 500T - 98kW - 900x900 - Max Volume 1936cm3 </v>
      </c>
      <c r="B1003">
        <v>6948096</v>
      </c>
      <c r="C1003">
        <v>6975507</v>
      </c>
      <c r="E1003" t="s">
        <v>499</v>
      </c>
      <c r="H1003" t="s">
        <v>136</v>
      </c>
      <c r="I1003">
        <v>55874.536</v>
      </c>
      <c r="J1003">
        <v>0</v>
      </c>
      <c r="K1003">
        <v>3.88</v>
      </c>
      <c r="L1003">
        <v>0</v>
      </c>
      <c r="M1003">
        <v>15.471857280617165</v>
      </c>
      <c r="N1003">
        <v>0</v>
      </c>
      <c r="O1003">
        <v>0.1183650803693882</v>
      </c>
      <c r="P1003">
        <v>0.0079018141354166675</v>
      </c>
      <c r="Q1003">
        <v>0.0073066207105110898</v>
      </c>
      <c r="R1003">
        <v>325000</v>
      </c>
      <c r="S1003">
        <v>0</v>
      </c>
      <c r="T1003">
        <v>0</v>
      </c>
      <c r="V1003">
        <v>10800</v>
      </c>
      <c r="W1003">
        <v>8</v>
      </c>
      <c r="X1003">
        <v>85</v>
      </c>
      <c r="Y1003">
        <v>3</v>
      </c>
      <c r="Z1003">
        <v>4</v>
      </c>
      <c r="AA1003">
        <v>5</v>
      </c>
      <c r="AB1003">
        <v>0</v>
      </c>
      <c r="AC1003">
        <v>0</v>
      </c>
      <c r="AD1003">
        <v>0</v>
      </c>
      <c r="AE1003">
        <v>0</v>
      </c>
      <c r="AF1003">
        <v>0.25</v>
      </c>
      <c r="AG1003">
        <v>0</v>
      </c>
      <c r="AH1003">
        <v>0</v>
      </c>
      <c r="AI1003">
        <v>2</v>
      </c>
      <c r="AJ1003">
        <v>0</v>
      </c>
      <c r="AK1003">
        <v>0</v>
      </c>
      <c r="AL1003">
        <v>92</v>
      </c>
      <c r="AM1003">
        <v>50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100</v>
      </c>
      <c r="AU1003">
        <v>0.20</v>
      </c>
      <c r="AV1003">
        <v>0</v>
      </c>
    </row>
    <row r="1004" spans="1:48" ht="12.75">
      <c r="A1004" s="2" t="str">
        <f>HYPERLINK("https://ibp.a2mac1.com/costing(costing:projects/details/8191/equipment/6948097)","Packaging")</f>
        <v>Packaging</v>
      </c>
      <c r="B1004">
        <v>6948097</v>
      </c>
      <c r="C1004">
        <v>6975508</v>
      </c>
      <c r="H1004" t="s">
        <v>136</v>
      </c>
      <c r="I1004">
        <v>4437.4535986499995</v>
      </c>
      <c r="J1004">
        <v>0</v>
      </c>
      <c r="K1004">
        <v>0.08</v>
      </c>
      <c r="L1004">
        <v>0</v>
      </c>
      <c r="M1004">
        <v>1.0342676949774992</v>
      </c>
      <c r="N1004">
        <v>0</v>
      </c>
      <c r="O1004">
        <v>0.0086188974581458272</v>
      </c>
      <c r="P1004">
        <v>0.034429000000000001</v>
      </c>
      <c r="Q1004">
        <v>1.5514015424662487E-05</v>
      </c>
      <c r="R1004">
        <v>29999.99999</v>
      </c>
      <c r="S1004">
        <v>0</v>
      </c>
      <c r="T1004">
        <v>0</v>
      </c>
      <c r="V1004">
        <v>900</v>
      </c>
      <c r="W1004">
        <v>10</v>
      </c>
      <c r="X1004">
        <v>85</v>
      </c>
      <c r="Y1004">
        <v>3</v>
      </c>
      <c r="Z1004">
        <v>4</v>
      </c>
      <c r="AA1004">
        <v>5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50</v>
      </c>
      <c r="AM1004">
        <v>2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10</v>
      </c>
      <c r="AU1004">
        <v>0</v>
      </c>
      <c r="AV1004">
        <v>0</v>
      </c>
    </row>
    <row r="1005" spans="1:48" ht="12.75">
      <c r="A1005" s="2" t="str">
        <f>HYPERLINK("https://ibp.a2mac1.com/costing(costing:projects/details/8191/equipment/6948098)","No.07 - Injection Press - 250T - 63kW - 570x570 - Max Volume 958cm3 ")</f>
        <v xml:space="preserve">No.07 - Injection Press - 250T - 63kW - 570x570 - Max Volume 958cm3 </v>
      </c>
      <c r="B1005">
        <v>6948098</v>
      </c>
      <c r="C1005">
        <v>6975509</v>
      </c>
      <c r="E1005" t="s">
        <v>499</v>
      </c>
      <c r="H1005" t="s">
        <v>136</v>
      </c>
      <c r="I1005">
        <v>38615.311800000003</v>
      </c>
      <c r="J1005">
        <v>0</v>
      </c>
      <c r="K1005">
        <v>2.81</v>
      </c>
      <c r="L1005">
        <v>0</v>
      </c>
      <c r="M1005">
        <v>10.82435419479267</v>
      </c>
      <c r="N1005">
        <v>0</v>
      </c>
      <c r="O1005">
        <v>0.11473857541190989</v>
      </c>
      <c r="P1005">
        <v>0.010948462167166667</v>
      </c>
      <c r="Q1005">
        <v>0.0053917251292189003</v>
      </c>
      <c r="R1005">
        <v>225000</v>
      </c>
      <c r="S1005">
        <v>0</v>
      </c>
      <c r="T1005">
        <v>0</v>
      </c>
      <c r="V1005">
        <v>9000</v>
      </c>
      <c r="W1005">
        <v>8</v>
      </c>
      <c r="X1005">
        <v>85</v>
      </c>
      <c r="Y1005">
        <v>3</v>
      </c>
      <c r="Z1005">
        <v>4</v>
      </c>
      <c r="AA1005">
        <v>5</v>
      </c>
      <c r="AB1005">
        <v>0</v>
      </c>
      <c r="AC1005">
        <v>0</v>
      </c>
      <c r="AD1005">
        <v>0</v>
      </c>
      <c r="AE1005">
        <v>0</v>
      </c>
      <c r="AF1005">
        <v>0.25</v>
      </c>
      <c r="AG1005">
        <v>0</v>
      </c>
      <c r="AH1005">
        <v>0</v>
      </c>
      <c r="AI1005">
        <v>2</v>
      </c>
      <c r="AJ1005">
        <v>0</v>
      </c>
      <c r="AK1005">
        <v>0</v>
      </c>
      <c r="AL1005">
        <v>92</v>
      </c>
      <c r="AM1005">
        <v>37.50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67.50</v>
      </c>
      <c r="AU1005">
        <v>0.05</v>
      </c>
      <c r="AV1005">
        <v>0</v>
      </c>
    </row>
    <row r="1006" spans="1:48" ht="12.75">
      <c r="A1006" s="2" t="str">
        <f>HYPERLINK("https://ibp.a2mac1.com/costing(costing:projects/details/8191/equipment/6948099)","Packaging")</f>
        <v>Packaging</v>
      </c>
      <c r="B1006">
        <v>6948099</v>
      </c>
      <c r="C1006">
        <v>6975510</v>
      </c>
      <c r="H1006" t="s">
        <v>136</v>
      </c>
      <c r="I1006">
        <v>4437.4535986499995</v>
      </c>
      <c r="J1006">
        <v>0</v>
      </c>
      <c r="K1006">
        <v>0.08</v>
      </c>
      <c r="L1006">
        <v>0</v>
      </c>
      <c r="M1006">
        <v>1.0342676949774992</v>
      </c>
      <c r="N1006">
        <v>0</v>
      </c>
      <c r="O1006">
        <v>0.012928346187218741</v>
      </c>
      <c r="P1006">
        <v>0.051643500000000002</v>
      </c>
      <c r="Q1006">
        <v>1.5514015424662487E-05</v>
      </c>
      <c r="R1006">
        <v>29999.99999</v>
      </c>
      <c r="S1006">
        <v>0</v>
      </c>
      <c r="T1006">
        <v>0</v>
      </c>
      <c r="V1006">
        <v>900</v>
      </c>
      <c r="W1006">
        <v>10</v>
      </c>
      <c r="X1006">
        <v>85</v>
      </c>
      <c r="Y1006">
        <v>3</v>
      </c>
      <c r="Z1006">
        <v>4</v>
      </c>
      <c r="AA1006">
        <v>5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50</v>
      </c>
      <c r="AM1006">
        <v>2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10</v>
      </c>
      <c r="AU1006">
        <v>0</v>
      </c>
      <c r="AV1006">
        <v>0</v>
      </c>
    </row>
    <row r="1007" spans="1:48" ht="12.75">
      <c r="A1007" s="2" t="str">
        <f>HYPERLINK("https://ibp.a2mac1.com/costing(costing:projects/details/8191/equipment/6948100)","No.12 - Injection Press - 800T - 160kW - 1120x1120 - Max Volume 5374cm3 ")</f>
        <v xml:space="preserve">No.12 - Injection Press - 800T - 160kW - 1120x1120 - Max Volume 5374cm3 </v>
      </c>
      <c r="B1007">
        <v>6948100</v>
      </c>
      <c r="C1007">
        <v>6975511</v>
      </c>
      <c r="E1007" t="s">
        <v>499</v>
      </c>
      <c r="H1007" t="s">
        <v>136</v>
      </c>
      <c r="I1007">
        <v>84939.331839999999</v>
      </c>
      <c r="J1007">
        <v>0</v>
      </c>
      <c r="K1007">
        <v>5.4992000000000001</v>
      </c>
      <c r="L1007">
        <v>0</v>
      </c>
      <c r="M1007">
        <v>23.136508235294119</v>
      </c>
      <c r="N1007">
        <v>0</v>
      </c>
      <c r="O1007">
        <v>0.15857332148345099</v>
      </c>
      <c r="P1007">
        <v>0.014158197502833333</v>
      </c>
      <c r="Q1007">
        <v>0.014596134776470588</v>
      </c>
      <c r="R1007">
        <v>496000</v>
      </c>
      <c r="S1007">
        <v>0</v>
      </c>
      <c r="T1007">
        <v>0</v>
      </c>
      <c r="V1007">
        <v>14400</v>
      </c>
      <c r="W1007">
        <v>8</v>
      </c>
      <c r="X1007">
        <v>85</v>
      </c>
      <c r="Y1007">
        <v>3</v>
      </c>
      <c r="Z1007">
        <v>4</v>
      </c>
      <c r="AA1007">
        <v>5</v>
      </c>
      <c r="AB1007">
        <v>0</v>
      </c>
      <c r="AC1007">
        <v>0</v>
      </c>
      <c r="AD1007">
        <v>0</v>
      </c>
      <c r="AE1007">
        <v>0</v>
      </c>
      <c r="AF1007">
        <v>0.50</v>
      </c>
      <c r="AG1007">
        <v>0</v>
      </c>
      <c r="AH1007">
        <v>0</v>
      </c>
      <c r="AI1007">
        <v>3</v>
      </c>
      <c r="AJ1007">
        <v>0</v>
      </c>
      <c r="AK1007">
        <v>0</v>
      </c>
      <c r="AL1007">
        <v>92</v>
      </c>
      <c r="AM1007">
        <v>72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144</v>
      </c>
      <c r="AU1007">
        <v>0.20</v>
      </c>
      <c r="AV1007">
        <v>0</v>
      </c>
    </row>
    <row r="1008" spans="1:48" ht="12.75">
      <c r="A1008" s="2" t="str">
        <f>HYPERLINK("https://ibp.a2mac1.com/costing(costing:projects/details/8191/equipment/6947862)","DC machine - General")</f>
        <v>DC machine - General</v>
      </c>
      <c r="B1008">
        <v>6947862</v>
      </c>
      <c r="C1008">
        <v>6975305</v>
      </c>
      <c r="E1008" t="s">
        <v>659</v>
      </c>
      <c r="H1008" t="s">
        <v>136</v>
      </c>
      <c r="I1008">
        <v>116914.84456431429</v>
      </c>
      <c r="J1008">
        <v>0</v>
      </c>
      <c r="K1008">
        <v>3.60</v>
      </c>
      <c r="L1008">
        <v>0</v>
      </c>
      <c r="M1008">
        <v>27.497982089732286</v>
      </c>
      <c r="N1008">
        <v>0</v>
      </c>
      <c r="O1008">
        <v>0.045829970149553811</v>
      </c>
      <c r="P1008">
        <v>0.0068858000000000001</v>
      </c>
      <c r="Q1008">
        <v>0.0058660831880759058</v>
      </c>
      <c r="R1008">
        <v>635567.99996000004</v>
      </c>
      <c r="S1008">
        <v>0</v>
      </c>
      <c r="T1008">
        <v>0</v>
      </c>
      <c r="V1008">
        <v>10800</v>
      </c>
      <c r="W1008">
        <v>7</v>
      </c>
      <c r="X1008">
        <v>85</v>
      </c>
      <c r="Y1008">
        <v>3</v>
      </c>
      <c r="Z1008">
        <v>4</v>
      </c>
      <c r="AA1008">
        <v>5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3</v>
      </c>
      <c r="AJ1008">
        <v>0</v>
      </c>
      <c r="AK1008">
        <v>0</v>
      </c>
      <c r="AL1008">
        <v>100</v>
      </c>
      <c r="AM1008">
        <v>45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100</v>
      </c>
      <c r="AU1008">
        <v>0</v>
      </c>
      <c r="AV1008">
        <v>0</v>
      </c>
    </row>
    <row r="1009" spans="1:48" ht="12.75">
      <c r="A1009" s="2" t="str">
        <f>HYPERLINK("https://ibp.a2mac1.com/costing(costing:projects/details/8191/equipment/6947863)","DC machine - General")</f>
        <v>DC machine - General</v>
      </c>
      <c r="B1009">
        <v>6947863</v>
      </c>
      <c r="C1009">
        <v>6975306</v>
      </c>
      <c r="E1009" t="s">
        <v>659</v>
      </c>
      <c r="H1009" t="s">
        <v>136</v>
      </c>
      <c r="I1009">
        <v>116914.84456431429</v>
      </c>
      <c r="J1009">
        <v>0</v>
      </c>
      <c r="K1009">
        <v>3.60</v>
      </c>
      <c r="L1009">
        <v>0</v>
      </c>
      <c r="M1009">
        <v>27.497982089732286</v>
      </c>
      <c r="N1009">
        <v>0</v>
      </c>
      <c r="O1009">
        <v>0.045829970149553811</v>
      </c>
      <c r="P1009">
        <v>0.0068858000000000001</v>
      </c>
      <c r="Q1009">
        <v>0.011732166376151812</v>
      </c>
      <c r="R1009">
        <v>635567.99996000004</v>
      </c>
      <c r="S1009">
        <v>0</v>
      </c>
      <c r="T1009">
        <v>0</v>
      </c>
      <c r="V1009">
        <v>10800</v>
      </c>
      <c r="W1009">
        <v>7</v>
      </c>
      <c r="X1009">
        <v>85</v>
      </c>
      <c r="Y1009">
        <v>3</v>
      </c>
      <c r="Z1009">
        <v>4</v>
      </c>
      <c r="AA1009">
        <v>5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3</v>
      </c>
      <c r="AJ1009">
        <v>0</v>
      </c>
      <c r="AK1009">
        <v>0</v>
      </c>
      <c r="AL1009">
        <v>100</v>
      </c>
      <c r="AM1009">
        <v>45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100</v>
      </c>
      <c r="AU1009">
        <v>0</v>
      </c>
      <c r="AV1009">
        <v>0</v>
      </c>
    </row>
    <row r="1010" spans="1:48" ht="12.75">
      <c r="A1010" s="2" t="str">
        <f>HYPERLINK("https://ibp.a2mac1.com/costing(costing:projects/details/8191/equipment/6947864)","DC machine - General")</f>
        <v>DC machine - General</v>
      </c>
      <c r="B1010">
        <v>6947864</v>
      </c>
      <c r="C1010">
        <v>6975307</v>
      </c>
      <c r="E1010" t="s">
        <v>659</v>
      </c>
      <c r="H1010" t="s">
        <v>136</v>
      </c>
      <c r="I1010">
        <v>116914.84456431429</v>
      </c>
      <c r="J1010">
        <v>0</v>
      </c>
      <c r="K1010">
        <v>3.60</v>
      </c>
      <c r="L1010">
        <v>0</v>
      </c>
      <c r="M1010">
        <v>27.497982089732286</v>
      </c>
      <c r="N1010">
        <v>0</v>
      </c>
      <c r="O1010">
        <v>0.045829970149553811</v>
      </c>
      <c r="P1010">
        <v>0.0068858000000000001</v>
      </c>
      <c r="Q1010">
        <v>0.011732166376151812</v>
      </c>
      <c r="R1010">
        <v>635567.99996000004</v>
      </c>
      <c r="S1010">
        <v>0</v>
      </c>
      <c r="T1010">
        <v>0</v>
      </c>
      <c r="V1010">
        <v>10800</v>
      </c>
      <c r="W1010">
        <v>7</v>
      </c>
      <c r="X1010">
        <v>85</v>
      </c>
      <c r="Y1010">
        <v>3</v>
      </c>
      <c r="Z1010">
        <v>4</v>
      </c>
      <c r="AA1010">
        <v>5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3</v>
      </c>
      <c r="AJ1010">
        <v>0</v>
      </c>
      <c r="AK1010">
        <v>0</v>
      </c>
      <c r="AL1010">
        <v>100</v>
      </c>
      <c r="AM1010">
        <v>45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100</v>
      </c>
      <c r="AU1010">
        <v>0</v>
      </c>
      <c r="AV1010">
        <v>0</v>
      </c>
    </row>
    <row r="1011" spans="1:48" ht="12.75">
      <c r="A1011" s="2" t="str">
        <f>HYPERLINK("https://ibp.a2mac1.com/costing(costing:projects/details/8191/equipment/6947865)","No.03 - Injection Press - 80T - 30kW - 370x370 - Max Volume 260cm3 ")</f>
        <v xml:space="preserve">No.03 - Injection Press - 80T - 30kW - 370x370 - Max Volume 260cm3 </v>
      </c>
      <c r="B1011">
        <v>6947865</v>
      </c>
      <c r="C1011">
        <v>6975308</v>
      </c>
      <c r="E1011" t="s">
        <v>499</v>
      </c>
      <c r="H1011" t="s">
        <v>136</v>
      </c>
      <c r="I1011">
        <v>19639.85152</v>
      </c>
      <c r="J1011">
        <v>0</v>
      </c>
      <c r="K1011">
        <v>2.1332</v>
      </c>
      <c r="L1011">
        <v>0</v>
      </c>
      <c r="M1011">
        <v>6.2138575891996144</v>
      </c>
      <c r="N1011">
        <v>0</v>
      </c>
      <c r="O1011">
        <v>0.042004641660057858</v>
      </c>
      <c r="P1011">
        <v>0.0069820290550000001</v>
      </c>
      <c r="Q1011">
        <v>0.0018800602553519768</v>
      </c>
      <c r="R1011">
        <v>115000</v>
      </c>
      <c r="S1011">
        <v>0</v>
      </c>
      <c r="T1011">
        <v>0</v>
      </c>
      <c r="V1011">
        <v>7200</v>
      </c>
      <c r="W1011">
        <v>8</v>
      </c>
      <c r="X1011">
        <v>85</v>
      </c>
      <c r="Y1011">
        <v>3</v>
      </c>
      <c r="Z1011">
        <v>4</v>
      </c>
      <c r="AA1011">
        <v>5</v>
      </c>
      <c r="AB1011">
        <v>0</v>
      </c>
      <c r="AC1011">
        <v>0</v>
      </c>
      <c r="AD1011">
        <v>0</v>
      </c>
      <c r="AE1011">
        <v>0</v>
      </c>
      <c r="AF1011">
        <v>0.25</v>
      </c>
      <c r="AG1011">
        <v>0</v>
      </c>
      <c r="AH1011">
        <v>0</v>
      </c>
      <c r="AI1011">
        <v>2</v>
      </c>
      <c r="AJ1011">
        <v>0</v>
      </c>
      <c r="AK1011">
        <v>0</v>
      </c>
      <c r="AL1011">
        <v>93</v>
      </c>
      <c r="AM1011">
        <v>28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32</v>
      </c>
      <c r="AU1011">
        <v>0.05</v>
      </c>
      <c r="AV1011">
        <v>0</v>
      </c>
    </row>
    <row r="1012" spans="1:48" ht="12.75">
      <c r="A1012" s="2" t="str">
        <f>HYPERLINK("https://ibp.a2mac1.com/costing(costing:projects/details/8191/equipment/6948101)","Equipment (Injection Molding)")</f>
        <v>Equipment (Injection Molding)</v>
      </c>
      <c r="B1012">
        <v>6948101</v>
      </c>
      <c r="C1012">
        <v>6975512</v>
      </c>
      <c r="H1012" t="s">
        <v>136</v>
      </c>
      <c r="I1012">
        <v>71838.144425999999</v>
      </c>
      <c r="J1012">
        <v>0</v>
      </c>
      <c r="K1012">
        <v>3.0531199999999998</v>
      </c>
      <c r="L1012">
        <v>0</v>
      </c>
      <c r="M1012">
        <v>17.665807950176792</v>
      </c>
      <c r="N1012">
        <v>0</v>
      </c>
      <c r="O1012">
        <v>0.29443013250294653</v>
      </c>
      <c r="P1012">
        <v>0.0187706908</v>
      </c>
      <c r="Q1012">
        <v>0.0026242969714240934</v>
      </c>
      <c r="R1012">
        <v>381640</v>
      </c>
      <c r="S1012">
        <v>0</v>
      </c>
      <c r="T1012">
        <v>0</v>
      </c>
      <c r="V1012">
        <v>3680.10</v>
      </c>
      <c r="W1012">
        <v>7</v>
      </c>
      <c r="X1012">
        <v>85</v>
      </c>
      <c r="Y1012">
        <v>3</v>
      </c>
      <c r="Z1012">
        <v>4</v>
      </c>
      <c r="AA1012">
        <v>5</v>
      </c>
      <c r="AB1012">
        <v>0</v>
      </c>
      <c r="AC1012">
        <v>0</v>
      </c>
      <c r="AD1012">
        <v>0</v>
      </c>
      <c r="AE1012">
        <v>0</v>
      </c>
      <c r="AF1012">
        <v>0.27260000000000001</v>
      </c>
      <c r="AG1012">
        <v>0</v>
      </c>
      <c r="AH1012">
        <v>0</v>
      </c>
      <c r="AI1012">
        <v>2</v>
      </c>
      <c r="AJ1012">
        <v>0</v>
      </c>
      <c r="AK1012">
        <v>0</v>
      </c>
      <c r="AL1012">
        <v>80</v>
      </c>
      <c r="AM1012">
        <v>47.705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102.225</v>
      </c>
      <c r="AU1012">
        <v>0</v>
      </c>
      <c r="AV1012">
        <v>0</v>
      </c>
    </row>
    <row r="1013" spans="1:48" ht="12.75">
      <c r="A1013" s="2" t="str">
        <f>HYPERLINK("https://ibp.a2mac1.com/costing(costing:projects/details/8191/equipment/6948102)","Equipment (Injection Molding)")</f>
        <v>Equipment (Injection Molding)</v>
      </c>
      <c r="B1013">
        <v>6948102</v>
      </c>
      <c r="C1013">
        <v>6975513</v>
      </c>
      <c r="H1013" t="s">
        <v>136</v>
      </c>
      <c r="I1013">
        <v>14336.005343999999</v>
      </c>
      <c r="J1013">
        <v>0</v>
      </c>
      <c r="K1013">
        <v>0.60928000000000004</v>
      </c>
      <c r="L1013">
        <v>0</v>
      </c>
      <c r="M1013">
        <v>3.5253850054644809</v>
      </c>
      <c r="N1013">
        <v>0</v>
      </c>
      <c r="O1013">
        <v>0.058756416757741348</v>
      </c>
      <c r="P1013">
        <v>0.0037458752000000001</v>
      </c>
      <c r="Q1013">
        <v>0.00035062538766688527</v>
      </c>
      <c r="R1013">
        <v>76160</v>
      </c>
      <c r="S1013">
        <v>0</v>
      </c>
      <c r="T1013">
        <v>0</v>
      </c>
      <c r="V1013">
        <v>734.40</v>
      </c>
      <c r="W1013">
        <v>7</v>
      </c>
      <c r="X1013">
        <v>85</v>
      </c>
      <c r="Y1013">
        <v>3</v>
      </c>
      <c r="Z1013">
        <v>4</v>
      </c>
      <c r="AA1013">
        <v>5</v>
      </c>
      <c r="AB1013">
        <v>0</v>
      </c>
      <c r="AC1013">
        <v>0</v>
      </c>
      <c r="AD1013">
        <v>0</v>
      </c>
      <c r="AE1013">
        <v>0</v>
      </c>
      <c r="AF1013">
        <v>0.054399999999999997</v>
      </c>
      <c r="AG1013">
        <v>0</v>
      </c>
      <c r="AH1013">
        <v>0</v>
      </c>
      <c r="AI1013">
        <v>2</v>
      </c>
      <c r="AJ1013">
        <v>0</v>
      </c>
      <c r="AK1013">
        <v>0</v>
      </c>
      <c r="AL1013">
        <v>80</v>
      </c>
      <c r="AM1013">
        <v>9.52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20.40</v>
      </c>
      <c r="AU1013">
        <v>0</v>
      </c>
      <c r="AV1013">
        <v>0</v>
      </c>
    </row>
    <row r="1014" spans="1:48" ht="12.75">
      <c r="A1014" s="2" t="str">
        <f>HYPERLINK("https://ibp.a2mac1.com/costing(costing:projects/details/8191/equipment/6948103)","Equipment (Injection Molding)")</f>
        <v>Equipment (Injection Molding)</v>
      </c>
      <c r="B1014">
        <v>6948103</v>
      </c>
      <c r="C1014">
        <v>6975514</v>
      </c>
      <c r="H1014" t="s">
        <v>136</v>
      </c>
      <c r="I1014">
        <v>14283.299442</v>
      </c>
      <c r="J1014">
        <v>0</v>
      </c>
      <c r="K1014">
        <v>0.60704000000000002</v>
      </c>
      <c r="L1014">
        <v>0</v>
      </c>
      <c r="M1014">
        <v>3.5124240311796848</v>
      </c>
      <c r="N1014">
        <v>0</v>
      </c>
      <c r="O1014">
        <v>0.058540400519661417</v>
      </c>
      <c r="P1014">
        <v>0.0037321035999999998</v>
      </c>
      <c r="Q1014">
        <v>0.00034917826466023628</v>
      </c>
      <c r="R1014">
        <v>75880</v>
      </c>
      <c r="S1014">
        <v>0</v>
      </c>
      <c r="T1014">
        <v>0</v>
      </c>
      <c r="V1014">
        <v>731.70</v>
      </c>
      <c r="W1014">
        <v>7</v>
      </c>
      <c r="X1014">
        <v>85</v>
      </c>
      <c r="Y1014">
        <v>3</v>
      </c>
      <c r="Z1014">
        <v>4</v>
      </c>
      <c r="AA1014">
        <v>5</v>
      </c>
      <c r="AB1014">
        <v>0</v>
      </c>
      <c r="AC1014">
        <v>0</v>
      </c>
      <c r="AD1014">
        <v>0</v>
      </c>
      <c r="AE1014">
        <v>0</v>
      </c>
      <c r="AF1014">
        <v>0.054199999999999998</v>
      </c>
      <c r="AG1014">
        <v>0</v>
      </c>
      <c r="AH1014">
        <v>0</v>
      </c>
      <c r="AI1014">
        <v>2</v>
      </c>
      <c r="AJ1014">
        <v>0</v>
      </c>
      <c r="AK1014">
        <v>0</v>
      </c>
      <c r="AL1014">
        <v>80</v>
      </c>
      <c r="AM1014">
        <v>9.485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20.325</v>
      </c>
      <c r="AU1014">
        <v>0</v>
      </c>
      <c r="AV1014">
        <v>0</v>
      </c>
    </row>
    <row r="1015" spans="1:48" ht="12.75">
      <c r="A1015" s="2" t="str">
        <f>HYPERLINK("https://ibp.a2mac1.com/costing(costing:projects/details/8191/equipment/6948104)","Equipment (Injection Molding)")</f>
        <v>Equipment (Injection Molding)</v>
      </c>
      <c r="B1015">
        <v>6948104</v>
      </c>
      <c r="C1015">
        <v>6975515</v>
      </c>
      <c r="H1015" t="s">
        <v>136</v>
      </c>
      <c r="I1015">
        <v>93921.917363999994</v>
      </c>
      <c r="J1015">
        <v>0</v>
      </c>
      <c r="K1015">
        <v>3.9916800000000001</v>
      </c>
      <c r="L1015">
        <v>0</v>
      </c>
      <c r="M1015">
        <v>23.096456175506269</v>
      </c>
      <c r="N1015">
        <v>0</v>
      </c>
      <c r="O1015">
        <v>0.38494093625843778</v>
      </c>
      <c r="P1015">
        <v>0.024540991200000001</v>
      </c>
      <c r="Q1015">
        <v>0.0038665161119138475</v>
      </c>
      <c r="R1015">
        <v>498960</v>
      </c>
      <c r="S1015">
        <v>0</v>
      </c>
      <c r="T1015">
        <v>0</v>
      </c>
      <c r="V1015">
        <v>4811.40</v>
      </c>
      <c r="W1015">
        <v>7</v>
      </c>
      <c r="X1015">
        <v>85</v>
      </c>
      <c r="Y1015">
        <v>3</v>
      </c>
      <c r="Z1015">
        <v>4</v>
      </c>
      <c r="AA1015">
        <v>5</v>
      </c>
      <c r="AB1015">
        <v>0</v>
      </c>
      <c r="AC1015">
        <v>0</v>
      </c>
      <c r="AD1015">
        <v>0</v>
      </c>
      <c r="AE1015">
        <v>0</v>
      </c>
      <c r="AF1015">
        <v>0.35639999999999999</v>
      </c>
      <c r="AG1015">
        <v>0</v>
      </c>
      <c r="AH1015">
        <v>0</v>
      </c>
      <c r="AI1015">
        <v>2</v>
      </c>
      <c r="AJ1015">
        <v>0</v>
      </c>
      <c r="AK1015">
        <v>0</v>
      </c>
      <c r="AL1015">
        <v>80</v>
      </c>
      <c r="AM1015">
        <v>62.37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133.65</v>
      </c>
      <c r="AU1015">
        <v>0</v>
      </c>
      <c r="AV1015">
        <v>0</v>
      </c>
    </row>
    <row r="1016" spans="1:48" ht="12.75">
      <c r="A1016" s="2" t="str">
        <f>HYPERLINK("https://ibp.a2mac1.com/costing(costing:projects/details/8191/equipment/6947866)","Equipment (Injection Molding)")</f>
        <v>Equipment (Injection Molding)</v>
      </c>
      <c r="B1016">
        <v>6947866</v>
      </c>
      <c r="C1016">
        <v>6975309</v>
      </c>
      <c r="H1016" t="s">
        <v>136</v>
      </c>
      <c r="I1016">
        <v>83960.501885999998</v>
      </c>
      <c r="J1016">
        <v>0</v>
      </c>
      <c r="K1016">
        <v>3.5683199999999999</v>
      </c>
      <c r="L1016">
        <v>0</v>
      </c>
      <c r="M1016">
        <v>20.646832035679846</v>
      </c>
      <c r="N1016">
        <v>0</v>
      </c>
      <c r="O1016">
        <v>0.34411386726133075</v>
      </c>
      <c r="P1016">
        <v>0.0219381588</v>
      </c>
      <c r="Q1016">
        <v>0.0032808297632777096</v>
      </c>
      <c r="R1016">
        <v>446040</v>
      </c>
      <c r="S1016">
        <v>0</v>
      </c>
      <c r="T1016">
        <v>0</v>
      </c>
      <c r="V1016">
        <v>4301.10</v>
      </c>
      <c r="W1016">
        <v>7</v>
      </c>
      <c r="X1016">
        <v>85</v>
      </c>
      <c r="Y1016">
        <v>3</v>
      </c>
      <c r="Z1016">
        <v>4</v>
      </c>
      <c r="AA1016">
        <v>5</v>
      </c>
      <c r="AB1016">
        <v>0</v>
      </c>
      <c r="AC1016">
        <v>0</v>
      </c>
      <c r="AD1016">
        <v>0</v>
      </c>
      <c r="AE1016">
        <v>0</v>
      </c>
      <c r="AF1016">
        <v>0.31859999999999999</v>
      </c>
      <c r="AG1016">
        <v>0</v>
      </c>
      <c r="AH1016">
        <v>0</v>
      </c>
      <c r="AI1016">
        <v>2</v>
      </c>
      <c r="AJ1016">
        <v>0</v>
      </c>
      <c r="AK1016">
        <v>0</v>
      </c>
      <c r="AL1016">
        <v>80</v>
      </c>
      <c r="AM1016">
        <v>55.755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119.475</v>
      </c>
      <c r="AU1016">
        <v>0</v>
      </c>
      <c r="AV1016">
        <v>0</v>
      </c>
    </row>
    <row r="1017" spans="1:48" ht="12.75">
      <c r="A1017" s="2" t="str">
        <f>HYPERLINK("https://ibp.a2mac1.com/costing(costing:projects/details/8191/equipment/6947867)","Equipment (Injection Molding)")</f>
        <v>Equipment (Injection Molding)</v>
      </c>
      <c r="B1017">
        <v>6947867</v>
      </c>
      <c r="C1017">
        <v>6975309</v>
      </c>
      <c r="H1017" t="s">
        <v>136</v>
      </c>
      <c r="I1017">
        <v>83960.501885999998</v>
      </c>
      <c r="J1017">
        <v>0</v>
      </c>
      <c r="K1017">
        <v>3.5683199999999999</v>
      </c>
      <c r="L1017">
        <v>0</v>
      </c>
      <c r="M1017">
        <v>20.646832035679846</v>
      </c>
      <c r="N1017">
        <v>0</v>
      </c>
      <c r="O1017">
        <v>0.34411386726133075</v>
      </c>
      <c r="P1017">
        <v>0.0219381588</v>
      </c>
      <c r="Q1017">
        <v>0.0032808297632777096</v>
      </c>
      <c r="R1017">
        <v>446040</v>
      </c>
      <c r="S1017">
        <v>0</v>
      </c>
      <c r="T1017">
        <v>0</v>
      </c>
      <c r="V1017">
        <v>4301.10</v>
      </c>
      <c r="W1017">
        <v>7</v>
      </c>
      <c r="X1017">
        <v>85</v>
      </c>
      <c r="Y1017">
        <v>3</v>
      </c>
      <c r="Z1017">
        <v>4</v>
      </c>
      <c r="AA1017">
        <v>5</v>
      </c>
      <c r="AB1017">
        <v>0</v>
      </c>
      <c r="AC1017">
        <v>0</v>
      </c>
      <c r="AD1017">
        <v>0</v>
      </c>
      <c r="AE1017">
        <v>0</v>
      </c>
      <c r="AF1017">
        <v>0.31859999999999999</v>
      </c>
      <c r="AG1017">
        <v>0</v>
      </c>
      <c r="AH1017">
        <v>0</v>
      </c>
      <c r="AI1017">
        <v>2</v>
      </c>
      <c r="AJ1017">
        <v>0</v>
      </c>
      <c r="AK1017">
        <v>0</v>
      </c>
      <c r="AL1017">
        <v>80</v>
      </c>
      <c r="AM1017">
        <v>55.755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119.475</v>
      </c>
      <c r="AU1017">
        <v>0</v>
      </c>
      <c r="AV1017">
        <v>0</v>
      </c>
    </row>
    <row r="1018" spans="1:48" ht="12.75">
      <c r="A1018" s="2" t="str">
        <f>HYPERLINK("https://ibp.a2mac1.com/costing(costing:projects/details/8191/equipment/6947868)","Equipment (Injection Molding)")</f>
        <v>Equipment (Injection Molding)</v>
      </c>
      <c r="B1018">
        <v>6947868</v>
      </c>
      <c r="C1018">
        <v>6975309</v>
      </c>
      <c r="H1018" t="s">
        <v>136</v>
      </c>
      <c r="I1018">
        <v>83960.501885999998</v>
      </c>
      <c r="J1018">
        <v>0</v>
      </c>
      <c r="K1018">
        <v>3.5683199999999999</v>
      </c>
      <c r="L1018">
        <v>0</v>
      </c>
      <c r="M1018">
        <v>20.646832035679846</v>
      </c>
      <c r="N1018">
        <v>0</v>
      </c>
      <c r="O1018">
        <v>0.34411386726133075</v>
      </c>
      <c r="P1018">
        <v>0.0219381588</v>
      </c>
      <c r="Q1018">
        <v>0.0032808297632777096</v>
      </c>
      <c r="R1018">
        <v>446040</v>
      </c>
      <c r="S1018">
        <v>0</v>
      </c>
      <c r="T1018">
        <v>0</v>
      </c>
      <c r="V1018">
        <v>4301.10</v>
      </c>
      <c r="W1018">
        <v>7</v>
      </c>
      <c r="X1018">
        <v>85</v>
      </c>
      <c r="Y1018">
        <v>3</v>
      </c>
      <c r="Z1018">
        <v>4</v>
      </c>
      <c r="AA1018">
        <v>5</v>
      </c>
      <c r="AB1018">
        <v>0</v>
      </c>
      <c r="AC1018">
        <v>0</v>
      </c>
      <c r="AD1018">
        <v>0</v>
      </c>
      <c r="AE1018">
        <v>0</v>
      </c>
      <c r="AF1018">
        <v>0.31859999999999999</v>
      </c>
      <c r="AG1018">
        <v>0</v>
      </c>
      <c r="AH1018">
        <v>0</v>
      </c>
      <c r="AI1018">
        <v>2</v>
      </c>
      <c r="AJ1018">
        <v>0</v>
      </c>
      <c r="AK1018">
        <v>0</v>
      </c>
      <c r="AL1018">
        <v>80</v>
      </c>
      <c r="AM1018">
        <v>55.755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119.475</v>
      </c>
      <c r="AU1018">
        <v>0</v>
      </c>
      <c r="AV1018">
        <v>0</v>
      </c>
    </row>
    <row r="1019" spans="1:48" ht="12.75">
      <c r="A1019" s="2" t="str">
        <f>HYPERLINK("https://ibp.a2mac1.com/costing(costing:projects/details/8191/equipment/6947869)","Equipment (Injection Molding)")</f>
        <v>Equipment (Injection Molding)</v>
      </c>
      <c r="B1019">
        <v>6947869</v>
      </c>
      <c r="C1019">
        <v>6975310</v>
      </c>
      <c r="H1019" t="s">
        <v>136</v>
      </c>
      <c r="I1019">
        <v>67305.436854</v>
      </c>
      <c r="J1019">
        <v>0</v>
      </c>
      <c r="K1019">
        <v>2.8604799999999999</v>
      </c>
      <c r="L1019">
        <v>0</v>
      </c>
      <c r="M1019">
        <v>16.551164161684344</v>
      </c>
      <c r="N1019">
        <v>0</v>
      </c>
      <c r="O1019">
        <v>0.27585273602807242</v>
      </c>
      <c r="P1019">
        <v>0.017586333199999998</v>
      </c>
      <c r="Q1019">
        <v>0.0023946610317511908</v>
      </c>
      <c r="R1019">
        <v>357560</v>
      </c>
      <c r="S1019">
        <v>0</v>
      </c>
      <c r="T1019">
        <v>0</v>
      </c>
      <c r="V1019">
        <v>3447.90</v>
      </c>
      <c r="W1019">
        <v>7</v>
      </c>
      <c r="X1019">
        <v>85</v>
      </c>
      <c r="Y1019">
        <v>3</v>
      </c>
      <c r="Z1019">
        <v>4</v>
      </c>
      <c r="AA1019">
        <v>5</v>
      </c>
      <c r="AB1019">
        <v>0</v>
      </c>
      <c r="AC1019">
        <v>0</v>
      </c>
      <c r="AD1019">
        <v>0</v>
      </c>
      <c r="AE1019">
        <v>0</v>
      </c>
      <c r="AF1019">
        <v>0.25540000000000002</v>
      </c>
      <c r="AG1019">
        <v>0</v>
      </c>
      <c r="AH1019">
        <v>0</v>
      </c>
      <c r="AI1019">
        <v>2</v>
      </c>
      <c r="AJ1019">
        <v>0</v>
      </c>
      <c r="AK1019">
        <v>0</v>
      </c>
      <c r="AL1019">
        <v>80</v>
      </c>
      <c r="AM1019">
        <v>44.695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95.775</v>
      </c>
      <c r="AU1019">
        <v>0</v>
      </c>
      <c r="AV1019">
        <v>0</v>
      </c>
    </row>
    <row r="1020" spans="1:48" ht="12.75">
      <c r="A1020" s="2" t="str">
        <f>HYPERLINK("https://ibp.a2mac1.com/costing(costing:projects/details/8191/equipment/6947870)","DC machine - General")</f>
        <v>DC machine - General</v>
      </c>
      <c r="B1020">
        <v>6947870</v>
      </c>
      <c r="C1020">
        <v>6975311</v>
      </c>
      <c r="E1020" t="s">
        <v>659</v>
      </c>
      <c r="H1020" t="s">
        <v>136</v>
      </c>
      <c r="I1020">
        <v>116914.84456431429</v>
      </c>
      <c r="J1020">
        <v>0</v>
      </c>
      <c r="K1020">
        <v>3.60</v>
      </c>
      <c r="L1020">
        <v>0</v>
      </c>
      <c r="M1020">
        <v>27.497982089732286</v>
      </c>
      <c r="N1020">
        <v>0</v>
      </c>
      <c r="O1020">
        <v>0.045829970149553811</v>
      </c>
      <c r="P1020">
        <v>0.0068858000000000001</v>
      </c>
      <c r="Q1020">
        <v>0.011732166376151812</v>
      </c>
      <c r="R1020">
        <v>635567.99996000004</v>
      </c>
      <c r="S1020">
        <v>0</v>
      </c>
      <c r="T1020">
        <v>0</v>
      </c>
      <c r="V1020">
        <v>10800</v>
      </c>
      <c r="W1020">
        <v>7</v>
      </c>
      <c r="X1020">
        <v>85</v>
      </c>
      <c r="Y1020">
        <v>3</v>
      </c>
      <c r="Z1020">
        <v>4</v>
      </c>
      <c r="AA1020">
        <v>5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3</v>
      </c>
      <c r="AJ1020">
        <v>0</v>
      </c>
      <c r="AK1020">
        <v>0</v>
      </c>
      <c r="AL1020">
        <v>100</v>
      </c>
      <c r="AM1020">
        <v>45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100</v>
      </c>
      <c r="AU1020">
        <v>0</v>
      </c>
      <c r="AV1020">
        <v>0</v>
      </c>
    </row>
    <row r="1021" spans="1:48" ht="12.75">
      <c r="A1021" s="2" t="str">
        <f>HYPERLINK("https://ibp.a2mac1.com/costing(costing:projects/details/8191/equipment/6948350)","Equipment (Injection Molding)")</f>
        <v>Equipment (Injection Molding)</v>
      </c>
      <c r="B1021">
        <v>6948350</v>
      </c>
      <c r="C1021">
        <v>6975746</v>
      </c>
      <c r="H1021" t="s">
        <v>136</v>
      </c>
      <c r="I1021">
        <v>1080.4709909999999</v>
      </c>
      <c r="J1021">
        <v>0</v>
      </c>
      <c r="K1021">
        <v>0.045920000000000002</v>
      </c>
      <c r="L1021">
        <v>0</v>
      </c>
      <c r="M1021">
        <v>0.26569997283831565</v>
      </c>
      <c r="N1021">
        <v>0</v>
      </c>
      <c r="O1021">
        <v>0.0044283328806385943</v>
      </c>
      <c r="P1021">
        <v>0.00028231779999999998</v>
      </c>
      <c r="Q1021">
        <v>1.1709375512471674E-05</v>
      </c>
      <c r="R1021">
        <v>5740</v>
      </c>
      <c r="S1021">
        <v>0</v>
      </c>
      <c r="T1021">
        <v>0</v>
      </c>
      <c r="V1021">
        <v>55.35</v>
      </c>
      <c r="W1021">
        <v>7</v>
      </c>
      <c r="X1021">
        <v>85</v>
      </c>
      <c r="Y1021">
        <v>3</v>
      </c>
      <c r="Z1021">
        <v>4</v>
      </c>
      <c r="AA1021">
        <v>5</v>
      </c>
      <c r="AB1021">
        <v>0</v>
      </c>
      <c r="AC1021">
        <v>0</v>
      </c>
      <c r="AD1021">
        <v>0</v>
      </c>
      <c r="AE1021">
        <v>0</v>
      </c>
      <c r="AF1021">
        <v>0.0041000000000000003</v>
      </c>
      <c r="AG1021">
        <v>0</v>
      </c>
      <c r="AH1021">
        <v>0</v>
      </c>
      <c r="AI1021">
        <v>2</v>
      </c>
      <c r="AJ1021">
        <v>0</v>
      </c>
      <c r="AK1021">
        <v>0</v>
      </c>
      <c r="AL1021">
        <v>80</v>
      </c>
      <c r="AM1021">
        <v>0.7175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1.5375</v>
      </c>
      <c r="AU1021">
        <v>0</v>
      </c>
      <c r="AV1021">
        <v>0</v>
      </c>
    </row>
    <row r="1022" spans="1:48" ht="12.75">
      <c r="A1022" s="2" t="str">
        <f>HYPERLINK("https://ibp.a2mac1.com/costing(costing:projects/details/8191/equipment/6948351)","DC machine - General")</f>
        <v>DC machine - General</v>
      </c>
      <c r="B1022">
        <v>6948351</v>
      </c>
      <c r="C1022">
        <v>6975747</v>
      </c>
      <c r="E1022" t="s">
        <v>659</v>
      </c>
      <c r="H1022" t="s">
        <v>136</v>
      </c>
      <c r="I1022">
        <v>116914.84457142858</v>
      </c>
      <c r="J1022">
        <v>0</v>
      </c>
      <c r="K1022">
        <v>3.60</v>
      </c>
      <c r="L1022">
        <v>0</v>
      </c>
      <c r="M1022">
        <v>27.497982091197134</v>
      </c>
      <c r="N1022">
        <v>0</v>
      </c>
      <c r="O1022">
        <v>1.5276656717331742</v>
      </c>
      <c r="P1022">
        <v>0.22952666666666666</v>
      </c>
      <c r="Q1022">
        <v>0.0058660831882077422</v>
      </c>
      <c r="R1022">
        <v>635568</v>
      </c>
      <c r="S1022">
        <v>0</v>
      </c>
      <c r="T1022">
        <v>0</v>
      </c>
      <c r="V1022">
        <v>10800</v>
      </c>
      <c r="W1022">
        <v>7</v>
      </c>
      <c r="X1022">
        <v>85</v>
      </c>
      <c r="Y1022">
        <v>3</v>
      </c>
      <c r="Z1022">
        <v>4</v>
      </c>
      <c r="AA1022">
        <v>5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>
        <v>3</v>
      </c>
      <c r="AJ1022">
        <v>0</v>
      </c>
      <c r="AK1022">
        <v>0</v>
      </c>
      <c r="AL1022">
        <v>100</v>
      </c>
      <c r="AM1022">
        <v>45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100</v>
      </c>
      <c r="AU1022">
        <v>0</v>
      </c>
      <c r="AV1022">
        <v>0</v>
      </c>
    </row>
    <row r="1023" spans="1:48" ht="12.75">
      <c r="A1023" s="2" t="str">
        <f>HYPERLINK("https://ibp.a2mac1.com/costing(costing:projects/details/8191/equipment/6948352)","Equipment (Injection Molding)")</f>
        <v>Equipment (Injection Molding)</v>
      </c>
      <c r="B1023">
        <v>6948352</v>
      </c>
      <c r="C1023">
        <v>6975748</v>
      </c>
      <c r="H1023" t="s">
        <v>136</v>
      </c>
      <c r="I1023">
        <v>1686.5888640000001</v>
      </c>
      <c r="J1023">
        <v>0</v>
      </c>
      <c r="K1023">
        <v>0.071679999999999994</v>
      </c>
      <c r="L1023">
        <v>0</v>
      </c>
      <c r="M1023">
        <v>0.41475117711346832</v>
      </c>
      <c r="N1023">
        <v>0</v>
      </c>
      <c r="O1023">
        <v>0.0069125196185578055</v>
      </c>
      <c r="P1023">
        <v>0.00044069120000000001</v>
      </c>
      <c r="Q1023">
        <v>3.6770732895043396E-05</v>
      </c>
      <c r="R1023">
        <v>8960</v>
      </c>
      <c r="S1023">
        <v>0</v>
      </c>
      <c r="T1023">
        <v>0</v>
      </c>
      <c r="V1023">
        <v>86.40</v>
      </c>
      <c r="W1023">
        <v>7</v>
      </c>
      <c r="X1023">
        <v>85</v>
      </c>
      <c r="Y1023">
        <v>3</v>
      </c>
      <c r="Z1023">
        <v>4</v>
      </c>
      <c r="AA1023">
        <v>5</v>
      </c>
      <c r="AB1023">
        <v>0</v>
      </c>
      <c r="AC1023">
        <v>0</v>
      </c>
      <c r="AD1023">
        <v>0</v>
      </c>
      <c r="AE1023">
        <v>0</v>
      </c>
      <c r="AF1023">
        <v>0.0064000000000000003</v>
      </c>
      <c r="AG1023">
        <v>0</v>
      </c>
      <c r="AH1023">
        <v>0</v>
      </c>
      <c r="AI1023">
        <v>2</v>
      </c>
      <c r="AJ1023">
        <v>0</v>
      </c>
      <c r="AK1023">
        <v>0</v>
      </c>
      <c r="AL1023">
        <v>80</v>
      </c>
      <c r="AM1023">
        <v>1.12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2.40</v>
      </c>
      <c r="AU1023">
        <v>0</v>
      </c>
      <c r="AV1023">
        <v>0</v>
      </c>
    </row>
    <row r="1024" spans="1:48" ht="12.75">
      <c r="A1024" s="2" t="str">
        <f>HYPERLINK("https://ibp.a2mac1.com/costing(costing:projects/details/8191/equipment/6948353)","Equipment (Casting)")</f>
        <v>Equipment (Casting)</v>
      </c>
      <c r="B1024">
        <v>6948353</v>
      </c>
      <c r="C1024">
        <v>6975748</v>
      </c>
      <c r="H1024" t="s">
        <v>136</v>
      </c>
      <c r="I1024">
        <v>587.74062994285714</v>
      </c>
      <c r="J1024">
        <v>0</v>
      </c>
      <c r="K1024">
        <v>0.020480000000000002</v>
      </c>
      <c r="L1024">
        <v>0</v>
      </c>
      <c r="M1024">
        <v>0.14065689327271894</v>
      </c>
      <c r="N1024">
        <v>0</v>
      </c>
      <c r="O1024">
        <v>0.0023442815545453152</v>
      </c>
      <c r="P1024">
        <v>0.00044069120000000001</v>
      </c>
      <c r="Q1024">
        <v>0.00024250691417541809</v>
      </c>
      <c r="R1024">
        <v>3200</v>
      </c>
      <c r="S1024">
        <v>0</v>
      </c>
      <c r="T1024">
        <v>0</v>
      </c>
      <c r="V1024">
        <v>576</v>
      </c>
      <c r="W1024">
        <v>7</v>
      </c>
      <c r="X1024">
        <v>85</v>
      </c>
      <c r="Y1024">
        <v>3</v>
      </c>
      <c r="Z1024">
        <v>4</v>
      </c>
      <c r="AA1024">
        <v>5</v>
      </c>
      <c r="AB1024">
        <v>0</v>
      </c>
      <c r="AC1024">
        <v>0</v>
      </c>
      <c r="AD1024">
        <v>0</v>
      </c>
      <c r="AE1024">
        <v>0</v>
      </c>
      <c r="AF1024">
        <v>0.0064000000000000003</v>
      </c>
      <c r="AG1024">
        <v>0</v>
      </c>
      <c r="AH1024">
        <v>0</v>
      </c>
      <c r="AI1024">
        <v>2</v>
      </c>
      <c r="AJ1024">
        <v>0</v>
      </c>
      <c r="AK1024">
        <v>0</v>
      </c>
      <c r="AL1024">
        <v>80</v>
      </c>
      <c r="AM1024">
        <v>0.32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0.48</v>
      </c>
      <c r="AU1024">
        <v>0</v>
      </c>
      <c r="AV1024">
        <v>0</v>
      </c>
    </row>
    <row r="1025" spans="1:48" ht="12.75">
      <c r="A1025" s="2" t="str">
        <f>HYPERLINK("https://ibp.a2mac1.com/costing(costing:projects/details/8191/equipment/6948354)","Equipment (Injection Molding)")</f>
        <v>Equipment (Injection Molding)</v>
      </c>
      <c r="B1025">
        <v>6948354</v>
      </c>
      <c r="C1025">
        <v>6975749</v>
      </c>
      <c r="H1025" t="s">
        <v>136</v>
      </c>
      <c r="I1025">
        <v>1054.1180400000001</v>
      </c>
      <c r="J1025">
        <v>0</v>
      </c>
      <c r="K1025">
        <v>0.0448</v>
      </c>
      <c r="L1025">
        <v>0</v>
      </c>
      <c r="M1025">
        <v>0.25921948569591768</v>
      </c>
      <c r="N1025">
        <v>0</v>
      </c>
      <c r="O1025">
        <v>0.0043203247615986283</v>
      </c>
      <c r="P1025">
        <v>0.00027543199999999999</v>
      </c>
      <c r="Q1025">
        <v>2.2841729537126327E-05</v>
      </c>
      <c r="R1025">
        <v>5600</v>
      </c>
      <c r="S1025">
        <v>0</v>
      </c>
      <c r="T1025">
        <v>0</v>
      </c>
      <c r="V1025">
        <v>54</v>
      </c>
      <c r="W1025">
        <v>7</v>
      </c>
      <c r="X1025">
        <v>85</v>
      </c>
      <c r="Y1025">
        <v>3</v>
      </c>
      <c r="Z1025">
        <v>4</v>
      </c>
      <c r="AA1025">
        <v>5</v>
      </c>
      <c r="AB1025">
        <v>0</v>
      </c>
      <c r="AC1025">
        <v>0</v>
      </c>
      <c r="AD1025">
        <v>0</v>
      </c>
      <c r="AE1025">
        <v>0</v>
      </c>
      <c r="AF1025">
        <v>0.0040000000000000001</v>
      </c>
      <c r="AG1025">
        <v>0</v>
      </c>
      <c r="AH1025">
        <v>0</v>
      </c>
      <c r="AI1025">
        <v>2</v>
      </c>
      <c r="AJ1025">
        <v>0</v>
      </c>
      <c r="AK1025">
        <v>0</v>
      </c>
      <c r="AL1025">
        <v>80</v>
      </c>
      <c r="AM1025">
        <v>0.70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1.50</v>
      </c>
      <c r="AU1025">
        <v>0</v>
      </c>
      <c r="AV1025">
        <v>0</v>
      </c>
    </row>
    <row r="1026" spans="1:48" ht="12.75">
      <c r="A1026" s="2" t="str">
        <f>HYPERLINK("https://ibp.a2mac1.com/costing(costing:projects/details/8191/equipment/6948355)","DC machine - General")</f>
        <v>DC machine - General</v>
      </c>
      <c r="B1026">
        <v>6948355</v>
      </c>
      <c r="C1026">
        <v>6975750</v>
      </c>
      <c r="E1026" t="s">
        <v>659</v>
      </c>
      <c r="H1026" t="s">
        <v>136</v>
      </c>
      <c r="I1026">
        <v>116914.84457142858</v>
      </c>
      <c r="J1026">
        <v>0</v>
      </c>
      <c r="K1026">
        <v>3.60</v>
      </c>
      <c r="L1026">
        <v>0</v>
      </c>
      <c r="M1026">
        <v>27.497982091197134</v>
      </c>
      <c r="N1026">
        <v>0</v>
      </c>
      <c r="O1026">
        <v>5.9578961197593792</v>
      </c>
      <c r="P1026">
        <v>0.89515400000000001</v>
      </c>
      <c r="Q1026">
        <v>0.011732166376415484</v>
      </c>
      <c r="R1026">
        <v>635568</v>
      </c>
      <c r="S1026">
        <v>0</v>
      </c>
      <c r="T1026">
        <v>0</v>
      </c>
      <c r="V1026">
        <v>10800</v>
      </c>
      <c r="W1026">
        <v>7</v>
      </c>
      <c r="X1026">
        <v>85</v>
      </c>
      <c r="Y1026">
        <v>3</v>
      </c>
      <c r="Z1026">
        <v>4</v>
      </c>
      <c r="AA1026">
        <v>5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3</v>
      </c>
      <c r="AJ1026">
        <v>0</v>
      </c>
      <c r="AK1026">
        <v>0</v>
      </c>
      <c r="AL1026">
        <v>100</v>
      </c>
      <c r="AM1026">
        <v>45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100</v>
      </c>
      <c r="AU1026">
        <v>0</v>
      </c>
      <c r="AV1026">
        <v>0</v>
      </c>
    </row>
    <row r="1027" spans="1:48" ht="12.75">
      <c r="A1027" s="2" t="str">
        <f>HYPERLINK("https://ibp.a2mac1.com/costing(costing:projects/details/8191/equipment/6948356)","No.07 - Injection Press - 250T - 63kW - 570x570 - Max Volume 958cm3 ")</f>
        <v xml:space="preserve">No.07 - Injection Press - 250T - 63kW - 570x570 - Max Volume 958cm3 </v>
      </c>
      <c r="B1027">
        <v>6948356</v>
      </c>
      <c r="C1027">
        <v>6975751</v>
      </c>
      <c r="E1027" t="s">
        <v>499</v>
      </c>
      <c r="H1027" t="s">
        <v>136</v>
      </c>
      <c r="I1027">
        <v>38615.311800000003</v>
      </c>
      <c r="J1027">
        <v>0</v>
      </c>
      <c r="K1027">
        <v>2.81</v>
      </c>
      <c r="L1027">
        <v>0</v>
      </c>
      <c r="M1027">
        <v>10.82435419479267</v>
      </c>
      <c r="N1027">
        <v>0</v>
      </c>
      <c r="O1027">
        <v>0.085712167609057116</v>
      </c>
      <c r="P1027">
        <v>0.0081787351896666673</v>
      </c>
      <c r="Q1027">
        <v>0.0053917251292189003</v>
      </c>
      <c r="R1027">
        <v>225000</v>
      </c>
      <c r="S1027">
        <v>0</v>
      </c>
      <c r="T1027">
        <v>0</v>
      </c>
      <c r="V1027">
        <v>9000</v>
      </c>
      <c r="W1027">
        <v>8</v>
      </c>
      <c r="X1027">
        <v>85</v>
      </c>
      <c r="Y1027">
        <v>3</v>
      </c>
      <c r="Z1027">
        <v>4</v>
      </c>
      <c r="AA1027">
        <v>5</v>
      </c>
      <c r="AB1027">
        <v>0</v>
      </c>
      <c r="AC1027">
        <v>0</v>
      </c>
      <c r="AD1027">
        <v>0</v>
      </c>
      <c r="AE1027">
        <v>0</v>
      </c>
      <c r="AF1027">
        <v>0.25</v>
      </c>
      <c r="AG1027">
        <v>0</v>
      </c>
      <c r="AH1027">
        <v>0</v>
      </c>
      <c r="AI1027">
        <v>2</v>
      </c>
      <c r="AJ1027">
        <v>0</v>
      </c>
      <c r="AK1027">
        <v>0</v>
      </c>
      <c r="AL1027">
        <v>92</v>
      </c>
      <c r="AM1027">
        <v>37.50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67.50</v>
      </c>
      <c r="AU1027">
        <v>0.05</v>
      </c>
      <c r="AV1027">
        <v>0</v>
      </c>
    </row>
    <row r="1028" spans="1:48" ht="12.75">
      <c r="A1028" s="2" t="str">
        <f>HYPERLINK("https://ibp.a2mac1.com/costing(costing:projects/details/8191/equipment/6948105)","Equipment (Injection Molding)")</f>
        <v>Equipment (Injection Molding)</v>
      </c>
      <c r="B1028">
        <v>6948105</v>
      </c>
      <c r="C1028">
        <v>6975516</v>
      </c>
      <c r="H1028" t="s">
        <v>136</v>
      </c>
      <c r="I1028">
        <v>3122.8246935000002</v>
      </c>
      <c r="J1028">
        <v>0</v>
      </c>
      <c r="K1028">
        <v>0.13272</v>
      </c>
      <c r="L1028">
        <v>0</v>
      </c>
      <c r="M1028">
        <v>0.76793772637415625</v>
      </c>
      <c r="N1028">
        <v>0</v>
      </c>
      <c r="O1028">
        <v>0.012798962106235937</v>
      </c>
      <c r="P1028">
        <v>0.00081596730000000001</v>
      </c>
      <c r="Q1028">
        <v>3.4512496881472549E-05</v>
      </c>
      <c r="R1028">
        <v>16590</v>
      </c>
      <c r="S1028">
        <v>0</v>
      </c>
      <c r="T1028">
        <v>0</v>
      </c>
      <c r="V1028">
        <v>159.975</v>
      </c>
      <c r="W1028">
        <v>7</v>
      </c>
      <c r="X1028">
        <v>85</v>
      </c>
      <c r="Y1028">
        <v>3</v>
      </c>
      <c r="Z1028">
        <v>4</v>
      </c>
      <c r="AA1028">
        <v>5</v>
      </c>
      <c r="AB1028">
        <v>0</v>
      </c>
      <c r="AC1028">
        <v>0</v>
      </c>
      <c r="AD1028">
        <v>0</v>
      </c>
      <c r="AE1028">
        <v>0</v>
      </c>
      <c r="AF1028">
        <v>0.011849999999999999</v>
      </c>
      <c r="AG1028">
        <v>0</v>
      </c>
      <c r="AH1028">
        <v>0</v>
      </c>
      <c r="AI1028">
        <v>2</v>
      </c>
      <c r="AJ1028">
        <v>0</v>
      </c>
      <c r="AK1028">
        <v>0</v>
      </c>
      <c r="AL1028">
        <v>80</v>
      </c>
      <c r="AM1028">
        <v>2.07375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4.44375</v>
      </c>
      <c r="AU1028">
        <v>0</v>
      </c>
      <c r="AV1028">
        <v>0</v>
      </c>
    </row>
    <row r="1029" spans="1:48" ht="12.75">
      <c r="A1029" s="2" t="str">
        <f>HYPERLINK("https://ibp.a2mac1.com/costing(costing:projects/details/8191/equipment/6948106)","DC machine - General")</f>
        <v>DC machine - General</v>
      </c>
      <c r="B1029">
        <v>6948106</v>
      </c>
      <c r="C1029">
        <v>6975517</v>
      </c>
      <c r="E1029" t="s">
        <v>659</v>
      </c>
      <c r="H1029" t="s">
        <v>136</v>
      </c>
      <c r="I1029">
        <v>116914.84456431429</v>
      </c>
      <c r="J1029">
        <v>0</v>
      </c>
      <c r="K1029">
        <v>3.60</v>
      </c>
      <c r="L1029">
        <v>0</v>
      </c>
      <c r="M1029">
        <v>27.497982089732286</v>
      </c>
      <c r="N1029">
        <v>0</v>
      </c>
      <c r="O1029">
        <v>0.038191641791294841</v>
      </c>
      <c r="P1029">
        <v>0.0057381666666666666</v>
      </c>
      <c r="Q1029">
        <v>0.0058660831880759058</v>
      </c>
      <c r="R1029">
        <v>635567.99996000004</v>
      </c>
      <c r="S1029">
        <v>0</v>
      </c>
      <c r="T1029">
        <v>0</v>
      </c>
      <c r="V1029">
        <v>10800</v>
      </c>
      <c r="W1029">
        <v>7</v>
      </c>
      <c r="X1029">
        <v>85</v>
      </c>
      <c r="Y1029">
        <v>3</v>
      </c>
      <c r="Z1029">
        <v>4</v>
      </c>
      <c r="AA1029">
        <v>5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3</v>
      </c>
      <c r="AJ1029">
        <v>0</v>
      </c>
      <c r="AK1029">
        <v>0</v>
      </c>
      <c r="AL1029">
        <v>100</v>
      </c>
      <c r="AM1029">
        <v>45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100</v>
      </c>
      <c r="AU1029">
        <v>0</v>
      </c>
      <c r="AV1029">
        <v>0</v>
      </c>
    </row>
    <row r="1030" spans="1:48" ht="12.75">
      <c r="A1030" s="2" t="str">
        <f>HYPERLINK("https://ibp.a2mac1.com/costing(costing:projects/details/8191/equipment/6948107)","DC machine - General")</f>
        <v>DC machine - General</v>
      </c>
      <c r="B1030">
        <v>6948107</v>
      </c>
      <c r="C1030">
        <v>6975518</v>
      </c>
      <c r="E1030" t="s">
        <v>659</v>
      </c>
      <c r="H1030" t="s">
        <v>136</v>
      </c>
      <c r="I1030">
        <v>116914.84457142858</v>
      </c>
      <c r="J1030">
        <v>0</v>
      </c>
      <c r="K1030">
        <v>3.60</v>
      </c>
      <c r="L1030">
        <v>0</v>
      </c>
      <c r="M1030">
        <v>27.497982091197134</v>
      </c>
      <c r="N1030">
        <v>0</v>
      </c>
      <c r="O1030">
        <v>5.9578961197593792</v>
      </c>
      <c r="P1030">
        <v>0.89515400000000001</v>
      </c>
      <c r="Q1030">
        <v>0.011732166376415484</v>
      </c>
      <c r="R1030">
        <v>635568</v>
      </c>
      <c r="S1030">
        <v>0</v>
      </c>
      <c r="T1030">
        <v>0</v>
      </c>
      <c r="V1030">
        <v>10800</v>
      </c>
      <c r="W1030">
        <v>7</v>
      </c>
      <c r="X1030">
        <v>85</v>
      </c>
      <c r="Y1030">
        <v>3</v>
      </c>
      <c r="Z1030">
        <v>4</v>
      </c>
      <c r="AA1030">
        <v>5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3</v>
      </c>
      <c r="AJ1030">
        <v>0</v>
      </c>
      <c r="AK1030">
        <v>0</v>
      </c>
      <c r="AL1030">
        <v>100</v>
      </c>
      <c r="AM1030">
        <v>45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100</v>
      </c>
      <c r="AU1030">
        <v>0</v>
      </c>
      <c r="AV1030">
        <v>0</v>
      </c>
    </row>
    <row r="1031" spans="1:48" ht="12.75">
      <c r="A1031" s="2" t="str">
        <f>HYPERLINK("https://ibp.a2mac1.com/costing(costing:projects/details/8191/equipment/6947874)","Equipment (Injection Molding)")</f>
        <v>Equipment (Injection Molding)</v>
      </c>
      <c r="B1031">
        <v>6947874</v>
      </c>
      <c r="C1031">
        <v>6975312</v>
      </c>
      <c r="H1031" t="s">
        <v>136</v>
      </c>
      <c r="I1031">
        <v>35681.895654</v>
      </c>
      <c r="J1031">
        <v>0</v>
      </c>
      <c r="K1031">
        <v>1.5164800000000001</v>
      </c>
      <c r="L1031">
        <v>0</v>
      </c>
      <c r="M1031">
        <v>8.7745795908068143</v>
      </c>
      <c r="N1031">
        <v>0</v>
      </c>
      <c r="O1031">
        <v>0.14624299318011358</v>
      </c>
      <c r="P1031">
        <v>0.0093233732000000003</v>
      </c>
      <c r="Q1031">
        <v>0.0010326129904339296</v>
      </c>
      <c r="R1031">
        <v>189560</v>
      </c>
      <c r="S1031">
        <v>0</v>
      </c>
      <c r="T1031">
        <v>0</v>
      </c>
      <c r="V1031">
        <v>1827.90</v>
      </c>
      <c r="W1031">
        <v>7</v>
      </c>
      <c r="X1031">
        <v>85</v>
      </c>
      <c r="Y1031">
        <v>3</v>
      </c>
      <c r="Z1031">
        <v>4</v>
      </c>
      <c r="AA1031">
        <v>5</v>
      </c>
      <c r="AB1031">
        <v>0</v>
      </c>
      <c r="AC1031">
        <v>0</v>
      </c>
      <c r="AD1031">
        <v>0</v>
      </c>
      <c r="AE1031">
        <v>0</v>
      </c>
      <c r="AF1031">
        <v>0.13539999999999999</v>
      </c>
      <c r="AG1031">
        <v>0</v>
      </c>
      <c r="AH1031">
        <v>0</v>
      </c>
      <c r="AI1031">
        <v>2</v>
      </c>
      <c r="AJ1031">
        <v>0</v>
      </c>
      <c r="AK1031">
        <v>0</v>
      </c>
      <c r="AL1031">
        <v>80</v>
      </c>
      <c r="AM1031">
        <v>23.695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50.775</v>
      </c>
      <c r="AU1031">
        <v>0</v>
      </c>
      <c r="AV1031">
        <v>0</v>
      </c>
    </row>
    <row r="1032" spans="1:48" ht="12.75">
      <c r="A1032" s="2" t="str">
        <f>HYPERLINK("https://ibp.a2mac1.com/costing(costing:projects/details/8191/equipment/6947875)","Equipment (Injection Molding)")</f>
        <v>Equipment (Injection Molding)</v>
      </c>
      <c r="B1032">
        <v>6947875</v>
      </c>
      <c r="C1032">
        <v>6975313</v>
      </c>
      <c r="H1032" t="s">
        <v>136</v>
      </c>
      <c r="I1032">
        <v>3636.707238</v>
      </c>
      <c r="J1032">
        <v>0</v>
      </c>
      <c r="K1032">
        <v>0.15456</v>
      </c>
      <c r="L1032">
        <v>0</v>
      </c>
      <c r="M1032">
        <v>0.89430722565091614</v>
      </c>
      <c r="N1032">
        <v>0</v>
      </c>
      <c r="O1032">
        <v>0.014905120427515269</v>
      </c>
      <c r="P1032">
        <v>0.00095024040000000001</v>
      </c>
      <c r="Q1032">
        <v>4.0387957167823047E-05</v>
      </c>
      <c r="R1032">
        <v>19320</v>
      </c>
      <c r="S1032">
        <v>0</v>
      </c>
      <c r="T1032">
        <v>0</v>
      </c>
      <c r="V1032">
        <v>186.30</v>
      </c>
      <c r="W1032">
        <v>7</v>
      </c>
      <c r="X1032">
        <v>85</v>
      </c>
      <c r="Y1032">
        <v>3</v>
      </c>
      <c r="Z1032">
        <v>4</v>
      </c>
      <c r="AA1032">
        <v>5</v>
      </c>
      <c r="AB1032">
        <v>0</v>
      </c>
      <c r="AC1032">
        <v>0</v>
      </c>
      <c r="AD1032">
        <v>0</v>
      </c>
      <c r="AE1032">
        <v>0</v>
      </c>
      <c r="AF1032">
        <v>0.0138</v>
      </c>
      <c r="AG1032">
        <v>0</v>
      </c>
      <c r="AH1032">
        <v>0</v>
      </c>
      <c r="AI1032">
        <v>2</v>
      </c>
      <c r="AJ1032">
        <v>0</v>
      </c>
      <c r="AK1032">
        <v>0</v>
      </c>
      <c r="AL1032">
        <v>80</v>
      </c>
      <c r="AM1032">
        <v>2.415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5.175</v>
      </c>
      <c r="AU1032">
        <v>0</v>
      </c>
      <c r="AV1032">
        <v>0</v>
      </c>
    </row>
    <row r="1033" spans="1:48" ht="12.75">
      <c r="A1033" s="2" t="str">
        <f>HYPERLINK("https://ibp.a2mac1.com/costing(costing:projects/details/8191/equipment/6947876)","Equipment (Injection Molding)")</f>
        <v>Equipment (Injection Molding)</v>
      </c>
      <c r="B1033">
        <v>6947876</v>
      </c>
      <c r="C1033">
        <v>6975314</v>
      </c>
      <c r="H1033" t="s">
        <v>136</v>
      </c>
      <c r="I1033">
        <v>5376.0020039999999</v>
      </c>
      <c r="J1033">
        <v>0</v>
      </c>
      <c r="K1033">
        <v>0.22847999999999999</v>
      </c>
      <c r="L1033">
        <v>0</v>
      </c>
      <c r="M1033">
        <v>1.3220193770491804</v>
      </c>
      <c r="N1033">
        <v>0</v>
      </c>
      <c r="O1033">
        <v>0.022033656284153005</v>
      </c>
      <c r="P1033">
        <v>0.0014047032000000001</v>
      </c>
      <c r="Q1033">
        <v>0.00012137107214065574</v>
      </c>
      <c r="R1033">
        <v>28560</v>
      </c>
      <c r="S1033">
        <v>0</v>
      </c>
      <c r="T1033">
        <v>0</v>
      </c>
      <c r="V1033">
        <v>275.40</v>
      </c>
      <c r="W1033">
        <v>7</v>
      </c>
      <c r="X1033">
        <v>85</v>
      </c>
      <c r="Y1033">
        <v>3</v>
      </c>
      <c r="Z1033">
        <v>4</v>
      </c>
      <c r="AA1033">
        <v>5</v>
      </c>
      <c r="AB1033">
        <v>0</v>
      </c>
      <c r="AC1033">
        <v>0</v>
      </c>
      <c r="AD1033">
        <v>0</v>
      </c>
      <c r="AE1033">
        <v>0</v>
      </c>
      <c r="AF1033">
        <v>0.020400000000000001</v>
      </c>
      <c r="AG1033">
        <v>0</v>
      </c>
      <c r="AH1033">
        <v>0</v>
      </c>
      <c r="AI1033">
        <v>2</v>
      </c>
      <c r="AJ1033">
        <v>0</v>
      </c>
      <c r="AK1033">
        <v>0</v>
      </c>
      <c r="AL1033">
        <v>80</v>
      </c>
      <c r="AM1033">
        <v>3.57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7.65</v>
      </c>
      <c r="AU1033">
        <v>0</v>
      </c>
      <c r="AV1033">
        <v>0</v>
      </c>
    </row>
    <row r="1034" spans="1:48" ht="12.75">
      <c r="A1034" s="2" t="str">
        <f>HYPERLINK("https://ibp.a2mac1.com/costing(costing:projects/details/8191/equipment/6948108)","Equipment (Injection Molding)")</f>
        <v>Equipment (Injection Molding)</v>
      </c>
      <c r="B1034">
        <v>6948108</v>
      </c>
      <c r="C1034">
        <v>6975519</v>
      </c>
      <c r="H1034" t="s">
        <v>136</v>
      </c>
      <c r="I1034">
        <v>158.117706</v>
      </c>
      <c r="J1034">
        <v>0</v>
      </c>
      <c r="K1034">
        <v>0.0067200000000000003</v>
      </c>
      <c r="L1034">
        <v>0</v>
      </c>
      <c r="M1034">
        <v>0.038882922854387658</v>
      </c>
      <c r="N1034">
        <v>0</v>
      </c>
      <c r="O1034">
        <v>0.00064804871423979429</v>
      </c>
      <c r="P1034">
        <v>4.13148E-05</v>
      </c>
      <c r="Q1034">
        <v>3.3965139945853423E-06</v>
      </c>
      <c r="R1034">
        <v>840</v>
      </c>
      <c r="S1034">
        <v>0</v>
      </c>
      <c r="T1034">
        <v>0</v>
      </c>
      <c r="V1034">
        <v>8.10</v>
      </c>
      <c r="W1034">
        <v>7</v>
      </c>
      <c r="X1034">
        <v>85</v>
      </c>
      <c r="Y1034">
        <v>3</v>
      </c>
      <c r="Z1034">
        <v>4</v>
      </c>
      <c r="AA1034">
        <v>5</v>
      </c>
      <c r="AB1034">
        <v>0</v>
      </c>
      <c r="AC1034">
        <v>0</v>
      </c>
      <c r="AD1034">
        <v>0</v>
      </c>
      <c r="AE1034">
        <v>0</v>
      </c>
      <c r="AF1034">
        <v>0.00059999999999999995</v>
      </c>
      <c r="AG1034">
        <v>0</v>
      </c>
      <c r="AH1034">
        <v>0</v>
      </c>
      <c r="AI1034">
        <v>2</v>
      </c>
      <c r="AJ1034">
        <v>0</v>
      </c>
      <c r="AK1034">
        <v>0</v>
      </c>
      <c r="AL1034">
        <v>80</v>
      </c>
      <c r="AM1034">
        <v>0.105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0.225</v>
      </c>
      <c r="AU1034">
        <v>0</v>
      </c>
      <c r="AV1034">
        <v>0</v>
      </c>
    </row>
    <row r="1035" spans="1:48" ht="12.75">
      <c r="A1035" s="2" t="str">
        <f>HYPERLINK("https://ibp.a2mac1.com/costing(costing:projects/details/8191/equipment/6948109)","Equipment (Injection Molding)")</f>
        <v>Equipment (Injection Molding)</v>
      </c>
      <c r="B1035">
        <v>6948109</v>
      </c>
      <c r="C1035">
        <v>6975520</v>
      </c>
      <c r="H1035" t="s">
        <v>136</v>
      </c>
      <c r="I1035">
        <v>158.117706</v>
      </c>
      <c r="J1035">
        <v>0</v>
      </c>
      <c r="K1035">
        <v>0.0067200000000000003</v>
      </c>
      <c r="L1035">
        <v>0</v>
      </c>
      <c r="M1035">
        <v>0.038882922854387658</v>
      </c>
      <c r="N1035">
        <v>0</v>
      </c>
      <c r="O1035">
        <v>0.00064804871423979429</v>
      </c>
      <c r="P1035">
        <v>4.13148E-05</v>
      </c>
      <c r="Q1035">
        <v>3.3965139945853423E-06</v>
      </c>
      <c r="R1035">
        <v>840</v>
      </c>
      <c r="S1035">
        <v>0</v>
      </c>
      <c r="T1035">
        <v>0</v>
      </c>
      <c r="V1035">
        <v>8.10</v>
      </c>
      <c r="W1035">
        <v>7</v>
      </c>
      <c r="X1035">
        <v>85</v>
      </c>
      <c r="Y1035">
        <v>3</v>
      </c>
      <c r="Z1035">
        <v>4</v>
      </c>
      <c r="AA1035">
        <v>5</v>
      </c>
      <c r="AB1035">
        <v>0</v>
      </c>
      <c r="AC1035">
        <v>0</v>
      </c>
      <c r="AD1035">
        <v>0</v>
      </c>
      <c r="AE1035">
        <v>0</v>
      </c>
      <c r="AF1035">
        <v>0.00059999999999999995</v>
      </c>
      <c r="AG1035">
        <v>0</v>
      </c>
      <c r="AH1035">
        <v>0</v>
      </c>
      <c r="AI1035">
        <v>2</v>
      </c>
      <c r="AJ1035">
        <v>0</v>
      </c>
      <c r="AK1035">
        <v>0</v>
      </c>
      <c r="AL1035">
        <v>80</v>
      </c>
      <c r="AM1035">
        <v>0.105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0.225</v>
      </c>
      <c r="AU1035">
        <v>0</v>
      </c>
      <c r="AV1035">
        <v>0</v>
      </c>
    </row>
    <row r="1036" spans="1:48" ht="12.75">
      <c r="A1036" s="2" t="str">
        <f>HYPERLINK("https://ibp.a2mac1.com/costing(costing:projects/details/8191/equipment/6947877)","DC machine - General")</f>
        <v>DC machine - General</v>
      </c>
      <c r="B1036">
        <v>6947877</v>
      </c>
      <c r="C1036">
        <v>6975315</v>
      </c>
      <c r="E1036" t="s">
        <v>659</v>
      </c>
      <c r="H1036" t="s">
        <v>136</v>
      </c>
      <c r="I1036">
        <v>116914.84456431429</v>
      </c>
      <c r="J1036">
        <v>0</v>
      </c>
      <c r="K1036">
        <v>3.60</v>
      </c>
      <c r="L1036">
        <v>0</v>
      </c>
      <c r="M1036">
        <v>27.497982089732286</v>
      </c>
      <c r="N1036">
        <v>0</v>
      </c>
      <c r="O1036">
        <v>0.038191641791294841</v>
      </c>
      <c r="P1036">
        <v>0.0057381666666666666</v>
      </c>
      <c r="Q1036">
        <v>0.011732166376151812</v>
      </c>
      <c r="R1036">
        <v>635567.99996000004</v>
      </c>
      <c r="S1036">
        <v>0</v>
      </c>
      <c r="T1036">
        <v>0</v>
      </c>
      <c r="V1036">
        <v>10800</v>
      </c>
      <c r="W1036">
        <v>7</v>
      </c>
      <c r="X1036">
        <v>85</v>
      </c>
      <c r="Y1036">
        <v>3</v>
      </c>
      <c r="Z1036">
        <v>4</v>
      </c>
      <c r="AA1036">
        <v>5</v>
      </c>
      <c r="AB1036">
        <v>0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3</v>
      </c>
      <c r="AJ1036">
        <v>0</v>
      </c>
      <c r="AK1036">
        <v>0</v>
      </c>
      <c r="AL1036">
        <v>100</v>
      </c>
      <c r="AM1036">
        <v>45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100</v>
      </c>
      <c r="AU1036">
        <v>0</v>
      </c>
      <c r="AV1036">
        <v>0</v>
      </c>
    </row>
    <row r="1037" spans="1:48" ht="12.75">
      <c r="A1037" s="2" t="str">
        <f>HYPERLINK("https://ibp.a2mac1.com/costing(costing:projects/details/8191/equipment/6947878)","Rubber Extrusion machine")</f>
        <v>Rubber Extrusion machine</v>
      </c>
      <c r="B1037">
        <v>6947878</v>
      </c>
      <c r="C1037">
        <v>6975316</v>
      </c>
      <c r="E1037" t="s">
        <v>603</v>
      </c>
      <c r="H1037" t="s">
        <v>136</v>
      </c>
      <c r="I1037">
        <v>127372.68</v>
      </c>
      <c r="J1037">
        <v>0</v>
      </c>
      <c r="K1037">
        <v>8.80</v>
      </c>
      <c r="L1037">
        <v>0</v>
      </c>
      <c r="M1037">
        <v>35.700141433622626</v>
      </c>
      <c r="N1037">
        <v>0</v>
      </c>
      <c r="O1037">
        <v>0.14875058930676097</v>
      </c>
      <c r="P1037">
        <v>0.034429000000000001</v>
      </c>
      <c r="Q1037">
        <v>0.0014478114430086788</v>
      </c>
      <c r="R1037">
        <v>800000</v>
      </c>
      <c r="S1037">
        <v>0</v>
      </c>
      <c r="T1037">
        <v>0</v>
      </c>
      <c r="V1037">
        <v>1800</v>
      </c>
      <c r="W1037">
        <v>10</v>
      </c>
      <c r="X1037">
        <v>85</v>
      </c>
      <c r="Y1037">
        <v>3</v>
      </c>
      <c r="Z1037">
        <v>4</v>
      </c>
      <c r="AA1037">
        <v>5</v>
      </c>
      <c r="AB1037">
        <v>0</v>
      </c>
      <c r="AC1037">
        <v>0</v>
      </c>
      <c r="AD1037">
        <v>0</v>
      </c>
      <c r="AE1037">
        <v>0</v>
      </c>
      <c r="AF1037">
        <v>2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100</v>
      </c>
      <c r="AM1037">
        <v>110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500</v>
      </c>
      <c r="AU1037">
        <v>0</v>
      </c>
      <c r="AV1037">
        <v>0</v>
      </c>
    </row>
    <row r="1038" spans="1:48" ht="12.75">
      <c r="A1038" s="2" t="str">
        <f>HYPERLINK("https://ibp.a2mac1.com/costing(costing:projects/details/8191/equipment/6947879)","Equipment (Injection Molding)")</f>
        <v>Equipment (Injection Molding)</v>
      </c>
      <c r="B1038">
        <v>6947879</v>
      </c>
      <c r="C1038">
        <v>6975317</v>
      </c>
      <c r="H1038" t="s">
        <v>136</v>
      </c>
      <c r="I1038">
        <v>46618.370319000001</v>
      </c>
      <c r="J1038">
        <v>0</v>
      </c>
      <c r="K1038">
        <v>1.9812799999999999</v>
      </c>
      <c r="L1038">
        <v>0</v>
      </c>
      <c r="M1038">
        <v>11.46398175490196</v>
      </c>
      <c r="N1038">
        <v>0</v>
      </c>
      <c r="O1038">
        <v>0.19106636258169934</v>
      </c>
      <c r="P1038">
        <v>0.0121809802</v>
      </c>
      <c r="Q1038">
        <v>0.00072807651949974262</v>
      </c>
      <c r="R1038">
        <v>247660</v>
      </c>
      <c r="S1038">
        <v>0</v>
      </c>
      <c r="T1038">
        <v>0</v>
      </c>
      <c r="V1038">
        <v>2388.15</v>
      </c>
      <c r="W1038">
        <v>7</v>
      </c>
      <c r="X1038">
        <v>85</v>
      </c>
      <c r="Y1038">
        <v>3</v>
      </c>
      <c r="Z1038">
        <v>4</v>
      </c>
      <c r="AA1038">
        <v>5</v>
      </c>
      <c r="AB1038">
        <v>0</v>
      </c>
      <c r="AC1038">
        <v>0</v>
      </c>
      <c r="AD1038">
        <v>0</v>
      </c>
      <c r="AE1038">
        <v>0</v>
      </c>
      <c r="AF1038">
        <v>0.1769</v>
      </c>
      <c r="AG1038">
        <v>0</v>
      </c>
      <c r="AH1038">
        <v>0</v>
      </c>
      <c r="AI1038">
        <v>2</v>
      </c>
      <c r="AJ1038">
        <v>0</v>
      </c>
      <c r="AK1038">
        <v>0</v>
      </c>
      <c r="AL1038">
        <v>80</v>
      </c>
      <c r="AM1038">
        <v>30.9575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66.3375</v>
      </c>
      <c r="AU1038">
        <v>0</v>
      </c>
      <c r="AV1038">
        <v>0</v>
      </c>
    </row>
    <row r="1039" spans="1:48" ht="12.75">
      <c r="A1039" s="2" t="str">
        <f>HYPERLINK("https://ibp.a2mac1.com/costing(costing:projects/details/8191/equipment/6947880)","Equipment (Injection Molding)")</f>
        <v>Equipment (Injection Molding)</v>
      </c>
      <c r="B1039">
        <v>6947880</v>
      </c>
      <c r="C1039">
        <v>6975318</v>
      </c>
      <c r="H1039" t="s">
        <v>136</v>
      </c>
      <c r="I1039">
        <v>368.94131399999998</v>
      </c>
      <c r="J1039">
        <v>0</v>
      </c>
      <c r="K1039">
        <v>0.015679999999999999</v>
      </c>
      <c r="L1039">
        <v>0</v>
      </c>
      <c r="M1039">
        <v>0.090726819993571198</v>
      </c>
      <c r="N1039">
        <v>0</v>
      </c>
      <c r="O1039">
        <v>0.0015121136665595201</v>
      </c>
      <c r="P1039">
        <v>9.6401200000000001E-05</v>
      </c>
      <c r="Q1039">
        <v>3.9707650741489875E-06</v>
      </c>
      <c r="R1039">
        <v>1960</v>
      </c>
      <c r="S1039">
        <v>0</v>
      </c>
      <c r="T1039">
        <v>0</v>
      </c>
      <c r="V1039">
        <v>18.90</v>
      </c>
      <c r="W1039">
        <v>7</v>
      </c>
      <c r="X1039">
        <v>85</v>
      </c>
      <c r="Y1039">
        <v>3</v>
      </c>
      <c r="Z1039">
        <v>4</v>
      </c>
      <c r="AA1039">
        <v>5</v>
      </c>
      <c r="AB1039">
        <v>0</v>
      </c>
      <c r="AC1039">
        <v>0</v>
      </c>
      <c r="AD1039">
        <v>0</v>
      </c>
      <c r="AE1039">
        <v>0</v>
      </c>
      <c r="AF1039">
        <v>0.0014</v>
      </c>
      <c r="AG1039">
        <v>0</v>
      </c>
      <c r="AH1039">
        <v>0</v>
      </c>
      <c r="AI1039">
        <v>2</v>
      </c>
      <c r="AJ1039">
        <v>0</v>
      </c>
      <c r="AK1039">
        <v>0</v>
      </c>
      <c r="AL1039">
        <v>80</v>
      </c>
      <c r="AM1039">
        <v>0.245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0.525</v>
      </c>
      <c r="AU1039">
        <v>0</v>
      </c>
      <c r="AV1039">
        <v>0</v>
      </c>
    </row>
    <row r="1040" spans="1:48" ht="12.75">
      <c r="A1040" s="2" t="str">
        <f>HYPERLINK("https://ibp.a2mac1.com/costing(costing:projects/details/8191/equipment/6947881)","Equipment (Injection Molding)")</f>
        <v>Equipment (Injection Molding)</v>
      </c>
      <c r="B1040">
        <v>6947881</v>
      </c>
      <c r="C1040">
        <v>6975319</v>
      </c>
      <c r="H1040" t="s">
        <v>136</v>
      </c>
      <c r="I1040">
        <v>17287.535855999999</v>
      </c>
      <c r="J1040">
        <v>0</v>
      </c>
      <c r="K1040">
        <v>0.73472000000000004</v>
      </c>
      <c r="L1040">
        <v>0</v>
      </c>
      <c r="M1040">
        <v>4.2511995654130503</v>
      </c>
      <c r="N1040">
        <v>0</v>
      </c>
      <c r="O1040">
        <v>0.070853326090217508</v>
      </c>
      <c r="P1040">
        <v>0.0045170847999999996</v>
      </c>
      <c r="Q1040">
        <v>0.00021676299519274831</v>
      </c>
      <c r="R1040">
        <v>91840</v>
      </c>
      <c r="S1040">
        <v>0</v>
      </c>
      <c r="T1040">
        <v>0</v>
      </c>
      <c r="V1040">
        <v>885.60</v>
      </c>
      <c r="W1040">
        <v>7</v>
      </c>
      <c r="X1040">
        <v>85</v>
      </c>
      <c r="Y1040">
        <v>3</v>
      </c>
      <c r="Z1040">
        <v>4</v>
      </c>
      <c r="AA1040">
        <v>5</v>
      </c>
      <c r="AB1040">
        <v>0</v>
      </c>
      <c r="AC1040">
        <v>0</v>
      </c>
      <c r="AD1040">
        <v>0</v>
      </c>
      <c r="AE1040">
        <v>0</v>
      </c>
      <c r="AF1040">
        <v>0.065600000000000006</v>
      </c>
      <c r="AG1040">
        <v>0</v>
      </c>
      <c r="AH1040">
        <v>0</v>
      </c>
      <c r="AI1040">
        <v>2</v>
      </c>
      <c r="AJ1040">
        <v>0</v>
      </c>
      <c r="AK1040">
        <v>0</v>
      </c>
      <c r="AL1040">
        <v>80</v>
      </c>
      <c r="AM1040">
        <v>11.48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24.60</v>
      </c>
      <c r="AU1040">
        <v>0</v>
      </c>
      <c r="AV1040">
        <v>0</v>
      </c>
    </row>
    <row r="1041" spans="1:48" ht="12.75">
      <c r="A1041" s="2" t="str">
        <f>HYPERLINK("https://ibp.a2mac1.com/costing(costing:projects/details/8191/equipment/6947882)","Equipment (Injection Molding)")</f>
        <v>Equipment (Injection Molding)</v>
      </c>
      <c r="B1041">
        <v>6947882</v>
      </c>
      <c r="C1041">
        <v>6975320</v>
      </c>
      <c r="H1041" t="s">
        <v>136</v>
      </c>
      <c r="I1041">
        <v>2751.2480844000002</v>
      </c>
      <c r="J1041">
        <v>0</v>
      </c>
      <c r="K1041">
        <v>0.116928</v>
      </c>
      <c r="L1041">
        <v>0</v>
      </c>
      <c r="M1041">
        <v>0.67656285766634527</v>
      </c>
      <c r="N1041">
        <v>0</v>
      </c>
      <c r="O1041">
        <v>0.01127604762777242</v>
      </c>
      <c r="P1041">
        <v>0.00071887752000000002</v>
      </c>
      <c r="Q1041">
        <v>3.0298626836329123E-05</v>
      </c>
      <c r="R1041">
        <v>14616</v>
      </c>
      <c r="S1041">
        <v>0</v>
      </c>
      <c r="T1041">
        <v>0</v>
      </c>
      <c r="V1041">
        <v>140.94</v>
      </c>
      <c r="W1041">
        <v>7</v>
      </c>
      <c r="X1041">
        <v>85</v>
      </c>
      <c r="Y1041">
        <v>3</v>
      </c>
      <c r="Z1041">
        <v>4</v>
      </c>
      <c r="AA1041">
        <v>5</v>
      </c>
      <c r="AB1041">
        <v>0</v>
      </c>
      <c r="AC1041">
        <v>0</v>
      </c>
      <c r="AD1041">
        <v>0</v>
      </c>
      <c r="AE1041">
        <v>0</v>
      </c>
      <c r="AF1041">
        <v>0.01044</v>
      </c>
      <c r="AG1041">
        <v>0</v>
      </c>
      <c r="AH1041">
        <v>0</v>
      </c>
      <c r="AI1041">
        <v>2</v>
      </c>
      <c r="AJ1041">
        <v>0</v>
      </c>
      <c r="AK1041">
        <v>0</v>
      </c>
      <c r="AL1041">
        <v>80</v>
      </c>
      <c r="AM1041">
        <v>1.827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3.915</v>
      </c>
      <c r="AU1041">
        <v>0</v>
      </c>
      <c r="AV1041">
        <v>0</v>
      </c>
    </row>
    <row r="1042" spans="1:48" ht="12.75">
      <c r="A1042" s="2" t="str">
        <f>HYPERLINK("https://ibp.a2mac1.com/costing(costing:projects/details/8191/equipment/6947883)","Equipment (Injection Molding)")</f>
        <v>Equipment (Injection Molding)</v>
      </c>
      <c r="B1042">
        <v>6947883</v>
      </c>
      <c r="C1042">
        <v>6975320</v>
      </c>
      <c r="H1042" t="s">
        <v>136</v>
      </c>
      <c r="I1042">
        <v>2751.2480844000002</v>
      </c>
      <c r="J1042">
        <v>0</v>
      </c>
      <c r="K1042">
        <v>0.116928</v>
      </c>
      <c r="L1042">
        <v>0</v>
      </c>
      <c r="M1042">
        <v>0.67656285766634527</v>
      </c>
      <c r="N1042">
        <v>0</v>
      </c>
      <c r="O1042">
        <v>0.01127604762777242</v>
      </c>
      <c r="P1042">
        <v>0.00071887752000000002</v>
      </c>
      <c r="Q1042">
        <v>3.0298626836329123E-05</v>
      </c>
      <c r="R1042">
        <v>14616</v>
      </c>
      <c r="S1042">
        <v>0</v>
      </c>
      <c r="T1042">
        <v>0</v>
      </c>
      <c r="V1042">
        <v>140.94</v>
      </c>
      <c r="W1042">
        <v>7</v>
      </c>
      <c r="X1042">
        <v>85</v>
      </c>
      <c r="Y1042">
        <v>3</v>
      </c>
      <c r="Z1042">
        <v>4</v>
      </c>
      <c r="AA1042">
        <v>5</v>
      </c>
      <c r="AB1042">
        <v>0</v>
      </c>
      <c r="AC1042">
        <v>0</v>
      </c>
      <c r="AD1042">
        <v>0</v>
      </c>
      <c r="AE1042">
        <v>0</v>
      </c>
      <c r="AF1042">
        <v>0.01044</v>
      </c>
      <c r="AG1042">
        <v>0</v>
      </c>
      <c r="AH1042">
        <v>0</v>
      </c>
      <c r="AI1042">
        <v>2</v>
      </c>
      <c r="AJ1042">
        <v>0</v>
      </c>
      <c r="AK1042">
        <v>0</v>
      </c>
      <c r="AL1042">
        <v>80</v>
      </c>
      <c r="AM1042">
        <v>1.827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3.915</v>
      </c>
      <c r="AU1042">
        <v>0</v>
      </c>
      <c r="AV1042">
        <v>0</v>
      </c>
    </row>
    <row r="1043" spans="1:48" ht="12.75">
      <c r="A1043" s="2" t="str">
        <f>HYPERLINK("https://ibp.a2mac1.com/costing(costing:projects/details/8191/equipment/6947884)","Equipment (Injection Molding)")</f>
        <v>Equipment (Injection Molding)</v>
      </c>
      <c r="B1043">
        <v>6947884</v>
      </c>
      <c r="C1043">
        <v>6975320</v>
      </c>
      <c r="H1043" t="s">
        <v>136</v>
      </c>
      <c r="I1043">
        <v>2751.2480844000002</v>
      </c>
      <c r="J1043">
        <v>0</v>
      </c>
      <c r="K1043">
        <v>0.116928</v>
      </c>
      <c r="L1043">
        <v>0</v>
      </c>
      <c r="M1043">
        <v>0.67656285766634527</v>
      </c>
      <c r="N1043">
        <v>0</v>
      </c>
      <c r="O1043">
        <v>0.01127604762777242</v>
      </c>
      <c r="P1043">
        <v>0.00071887752000000002</v>
      </c>
      <c r="Q1043">
        <v>3.0298626836329123E-05</v>
      </c>
      <c r="R1043">
        <v>14616</v>
      </c>
      <c r="S1043">
        <v>0</v>
      </c>
      <c r="T1043">
        <v>0</v>
      </c>
      <c r="V1043">
        <v>140.94</v>
      </c>
      <c r="W1043">
        <v>7</v>
      </c>
      <c r="X1043">
        <v>85</v>
      </c>
      <c r="Y1043">
        <v>3</v>
      </c>
      <c r="Z1043">
        <v>4</v>
      </c>
      <c r="AA1043">
        <v>5</v>
      </c>
      <c r="AB1043">
        <v>0</v>
      </c>
      <c r="AC1043">
        <v>0</v>
      </c>
      <c r="AD1043">
        <v>0</v>
      </c>
      <c r="AE1043">
        <v>0</v>
      </c>
      <c r="AF1043">
        <v>0.01044</v>
      </c>
      <c r="AG1043">
        <v>0</v>
      </c>
      <c r="AH1043">
        <v>0</v>
      </c>
      <c r="AI1043">
        <v>2</v>
      </c>
      <c r="AJ1043">
        <v>0</v>
      </c>
      <c r="AK1043">
        <v>0</v>
      </c>
      <c r="AL1043">
        <v>80</v>
      </c>
      <c r="AM1043">
        <v>1.827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3.915</v>
      </c>
      <c r="AU1043">
        <v>0</v>
      </c>
      <c r="AV1043">
        <v>0</v>
      </c>
    </row>
    <row r="1044" spans="1:48" ht="12.75">
      <c r="A1044" s="2" t="str">
        <f>HYPERLINK("https://ibp.a2mac1.com/costing(costing:projects/details/8191/equipment/6947885)","Equipment (Injection Molding)")</f>
        <v>Equipment (Injection Molding)</v>
      </c>
      <c r="B1044">
        <v>6947885</v>
      </c>
      <c r="C1044">
        <v>6975320</v>
      </c>
      <c r="H1044" t="s">
        <v>136</v>
      </c>
      <c r="I1044">
        <v>2751.2480844000002</v>
      </c>
      <c r="J1044">
        <v>0</v>
      </c>
      <c r="K1044">
        <v>0.116928</v>
      </c>
      <c r="L1044">
        <v>0</v>
      </c>
      <c r="M1044">
        <v>0.67656285766634527</v>
      </c>
      <c r="N1044">
        <v>0</v>
      </c>
      <c r="O1044">
        <v>0.01127604762777242</v>
      </c>
      <c r="P1044">
        <v>0.00071887752000000002</v>
      </c>
      <c r="Q1044">
        <v>3.0298626836329123E-05</v>
      </c>
      <c r="R1044">
        <v>14616</v>
      </c>
      <c r="S1044">
        <v>0</v>
      </c>
      <c r="T1044">
        <v>0</v>
      </c>
      <c r="V1044">
        <v>140.94</v>
      </c>
      <c r="W1044">
        <v>7</v>
      </c>
      <c r="X1044">
        <v>85</v>
      </c>
      <c r="Y1044">
        <v>3</v>
      </c>
      <c r="Z1044">
        <v>4</v>
      </c>
      <c r="AA1044">
        <v>5</v>
      </c>
      <c r="AB1044">
        <v>0</v>
      </c>
      <c r="AC1044">
        <v>0</v>
      </c>
      <c r="AD1044">
        <v>0</v>
      </c>
      <c r="AE1044">
        <v>0</v>
      </c>
      <c r="AF1044">
        <v>0.01044</v>
      </c>
      <c r="AG1044">
        <v>0</v>
      </c>
      <c r="AH1044">
        <v>0</v>
      </c>
      <c r="AI1044">
        <v>2</v>
      </c>
      <c r="AJ1044">
        <v>0</v>
      </c>
      <c r="AK1044">
        <v>0</v>
      </c>
      <c r="AL1044">
        <v>80</v>
      </c>
      <c r="AM1044">
        <v>1.827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3.915</v>
      </c>
      <c r="AU1044">
        <v>0</v>
      </c>
      <c r="AV1044">
        <v>0</v>
      </c>
    </row>
    <row r="1045" spans="1:48" ht="12.75">
      <c r="A1045" s="2" t="str">
        <f>HYPERLINK("https://ibp.a2mac1.com/costing(costing:projects/details/8191/equipment/6947886)","Equipment (Injection Molding)")</f>
        <v>Equipment (Injection Molding)</v>
      </c>
      <c r="B1045">
        <v>6947886</v>
      </c>
      <c r="C1045">
        <v>6975320</v>
      </c>
      <c r="H1045" t="s">
        <v>136</v>
      </c>
      <c r="I1045">
        <v>2751.2480844000002</v>
      </c>
      <c r="J1045">
        <v>0</v>
      </c>
      <c r="K1045">
        <v>0.116928</v>
      </c>
      <c r="L1045">
        <v>0</v>
      </c>
      <c r="M1045">
        <v>0.67656285766634527</v>
      </c>
      <c r="N1045">
        <v>0</v>
      </c>
      <c r="O1045">
        <v>0.01127604762777242</v>
      </c>
      <c r="P1045">
        <v>0.00071887752000000002</v>
      </c>
      <c r="Q1045">
        <v>3.0298626836329123E-05</v>
      </c>
      <c r="R1045">
        <v>14616</v>
      </c>
      <c r="S1045">
        <v>0</v>
      </c>
      <c r="T1045">
        <v>0</v>
      </c>
      <c r="V1045">
        <v>140.94</v>
      </c>
      <c r="W1045">
        <v>7</v>
      </c>
      <c r="X1045">
        <v>85</v>
      </c>
      <c r="Y1045">
        <v>3</v>
      </c>
      <c r="Z1045">
        <v>4</v>
      </c>
      <c r="AA1045">
        <v>5</v>
      </c>
      <c r="AB1045">
        <v>0</v>
      </c>
      <c r="AC1045">
        <v>0</v>
      </c>
      <c r="AD1045">
        <v>0</v>
      </c>
      <c r="AE1045">
        <v>0</v>
      </c>
      <c r="AF1045">
        <v>0.01044</v>
      </c>
      <c r="AG1045">
        <v>0</v>
      </c>
      <c r="AH1045">
        <v>0</v>
      </c>
      <c r="AI1045">
        <v>2</v>
      </c>
      <c r="AJ1045">
        <v>0</v>
      </c>
      <c r="AK1045">
        <v>0</v>
      </c>
      <c r="AL1045">
        <v>80</v>
      </c>
      <c r="AM1045">
        <v>1.827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3.915</v>
      </c>
      <c r="AU1045">
        <v>0</v>
      </c>
      <c r="AV1045">
        <v>0</v>
      </c>
    </row>
    <row r="1046" spans="1:48" ht="12.75">
      <c r="A1046" s="2" t="str">
        <f>HYPERLINK("https://ibp.a2mac1.com/costing(costing:projects/details/8191/equipment/6947887)","No.01 - Extrusion Press Line - 600T ")</f>
        <v xml:space="preserve">No.01 - Extrusion Press Line - 600T </v>
      </c>
      <c r="B1046">
        <v>6947887</v>
      </c>
      <c r="C1046">
        <v>6975321</v>
      </c>
      <c r="E1046" t="s">
        <v>499</v>
      </c>
      <c r="H1046" t="s">
        <v>136</v>
      </c>
      <c r="I1046">
        <v>538349.80249599996</v>
      </c>
      <c r="J1046">
        <v>0</v>
      </c>
      <c r="K1046">
        <v>67.951880000000003</v>
      </c>
      <c r="L1046">
        <v>0</v>
      </c>
      <c r="M1046">
        <v>180.59247827965285</v>
      </c>
      <c r="N1046">
        <v>0</v>
      </c>
      <c r="O1046">
        <v>0.94254274453366116</v>
      </c>
      <c r="P1046">
        <v>0.086756374774</v>
      </c>
      <c r="Q1046">
        <v>0.00057945815483895853</v>
      </c>
      <c r="R1046">
        <v>3250000</v>
      </c>
      <c r="S1046">
        <v>0</v>
      </c>
      <c r="T1046">
        <v>0</v>
      </c>
      <c r="V1046">
        <v>360</v>
      </c>
      <c r="W1046">
        <v>8</v>
      </c>
      <c r="X1046">
        <v>85</v>
      </c>
      <c r="Y1046">
        <v>3</v>
      </c>
      <c r="Z1046">
        <v>4</v>
      </c>
      <c r="AA1046">
        <v>5</v>
      </c>
      <c r="AB1046">
        <v>0</v>
      </c>
      <c r="AC1046">
        <v>1</v>
      </c>
      <c r="AD1046">
        <v>0</v>
      </c>
      <c r="AE1046">
        <v>0</v>
      </c>
      <c r="AF1046">
        <v>2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99</v>
      </c>
      <c r="AM1046">
        <v>800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</v>
      </c>
      <c r="AT1046">
        <v>473.60</v>
      </c>
      <c r="AU1046">
        <v>3.90</v>
      </c>
      <c r="AV1046">
        <v>0</v>
      </c>
    </row>
    <row r="1047" spans="1:48" ht="12.75">
      <c r="A1047" s="2" t="str">
        <f>HYPERLINK("https://ibp.a2mac1.com/costing(costing:projects/details/8191/equipment/6947888)","No.04 - Injection Press - 100T - 33kW - 400x400 - Max Volume 260cm3 ")</f>
        <v xml:space="preserve">No.04 - Injection Press - 100T - 33kW - 400x400 - Max Volume 260cm3 </v>
      </c>
      <c r="B1047">
        <v>6947888</v>
      </c>
      <c r="C1047">
        <v>6975322</v>
      </c>
      <c r="E1047" t="s">
        <v>499</v>
      </c>
      <c r="H1047" t="s">
        <v>136</v>
      </c>
      <c r="I1047">
        <v>22101.844096000001</v>
      </c>
      <c r="J1047">
        <v>0</v>
      </c>
      <c r="K1047">
        <v>2.282</v>
      </c>
      <c r="L1047">
        <v>0</v>
      </c>
      <c r="M1047">
        <v>6.8788891186113794</v>
      </c>
      <c r="N1047">
        <v>0</v>
      </c>
      <c r="O1047">
        <v>0.023225499059572871</v>
      </c>
      <c r="P1047">
        <v>0.0034873248863333335</v>
      </c>
      <c r="Q1047">
        <v>0.0019199621471166827</v>
      </c>
      <c r="R1047">
        <v>130000</v>
      </c>
      <c r="S1047">
        <v>0</v>
      </c>
      <c r="T1047">
        <v>0</v>
      </c>
      <c r="V1047">
        <v>7200</v>
      </c>
      <c r="W1047">
        <v>8</v>
      </c>
      <c r="X1047">
        <v>85</v>
      </c>
      <c r="Y1047">
        <v>3</v>
      </c>
      <c r="Z1047">
        <v>4</v>
      </c>
      <c r="AA1047">
        <v>5</v>
      </c>
      <c r="AB1047">
        <v>0</v>
      </c>
      <c r="AC1047">
        <v>0</v>
      </c>
      <c r="AD1047">
        <v>0</v>
      </c>
      <c r="AE1047">
        <v>0</v>
      </c>
      <c r="AF1047">
        <v>0.25</v>
      </c>
      <c r="AG1047">
        <v>0</v>
      </c>
      <c r="AH1047">
        <v>0</v>
      </c>
      <c r="AI1047">
        <v>2</v>
      </c>
      <c r="AJ1047">
        <v>0</v>
      </c>
      <c r="AK1047">
        <v>0</v>
      </c>
      <c r="AL1047">
        <v>93</v>
      </c>
      <c r="AM1047">
        <v>30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33.60</v>
      </c>
      <c r="AU1047">
        <v>0.05</v>
      </c>
      <c r="AV1047">
        <v>0</v>
      </c>
    </row>
    <row r="1048" spans="1:48" ht="12.75">
      <c r="A1048" s="2" t="str">
        <f>HYPERLINK("https://ibp.a2mac1.com/costing(costing:projects/details/8191/equipment/6947889)","Packaging ")</f>
        <v xml:space="preserve">Packaging </v>
      </c>
      <c r="B1048">
        <v>6947889</v>
      </c>
      <c r="C1048">
        <v>6975323</v>
      </c>
      <c r="E1048" t="s">
        <v>499</v>
      </c>
      <c r="G1048" t="s">
        <v>6276</v>
      </c>
      <c r="H1048" t="s">
        <v>136</v>
      </c>
      <c r="I1048">
        <v>4437.4535999999998</v>
      </c>
      <c r="J1048">
        <v>0</v>
      </c>
      <c r="K1048">
        <v>0.10768</v>
      </c>
      <c r="L1048">
        <v>0</v>
      </c>
      <c r="M1048">
        <v>1.0619476952748312</v>
      </c>
      <c r="N1048">
        <v>0</v>
      </c>
      <c r="O1048">
        <v>0.0088495641272902607</v>
      </c>
      <c r="P1048">
        <v>0.104093</v>
      </c>
      <c r="Q1048">
        <v>0.00010216640771456123</v>
      </c>
      <c r="R1048">
        <v>30000</v>
      </c>
      <c r="S1048">
        <v>0</v>
      </c>
      <c r="T1048">
        <v>0</v>
      </c>
      <c r="V1048">
        <v>900</v>
      </c>
      <c r="W1048">
        <v>10</v>
      </c>
      <c r="X1048">
        <v>85</v>
      </c>
      <c r="Y1048">
        <v>3</v>
      </c>
      <c r="Z1048">
        <v>4</v>
      </c>
      <c r="AA1048">
        <v>5</v>
      </c>
      <c r="AB1048">
        <v>0</v>
      </c>
      <c r="AC1048">
        <v>1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50</v>
      </c>
      <c r="AM1048">
        <v>2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0</v>
      </c>
      <c r="AT1048">
        <v>10</v>
      </c>
      <c r="AU1048">
        <v>0</v>
      </c>
      <c r="AV1048">
        <v>0</v>
      </c>
    </row>
    <row r="1049" spans="1:48" ht="12.75">
      <c r="A1049" s="2" t="str">
        <f>HYPERLINK("https://ibp.a2mac1.com/costing(costing:projects/details/8191/equipment/6947890)","No.01 - Blanking Press - 500T ")</f>
        <v xml:space="preserve">No.01 - Blanking Press - 500T </v>
      </c>
      <c r="B1049">
        <v>6947890</v>
      </c>
      <c r="C1049">
        <v>6975324</v>
      </c>
      <c r="E1049" t="s">
        <v>499</v>
      </c>
      <c r="H1049" t="s">
        <v>136</v>
      </c>
      <c r="I1049">
        <v>346492.33714285714</v>
      </c>
      <c r="J1049">
        <v>0</v>
      </c>
      <c r="K1049">
        <v>8.5425520000000006</v>
      </c>
      <c r="L1049">
        <v>0</v>
      </c>
      <c r="M1049">
        <v>70.257810300041328</v>
      </c>
      <c r="N1049">
        <v>0</v>
      </c>
      <c r="O1049">
        <v>0.13294338993441154</v>
      </c>
      <c r="P1049">
        <v>0.011726517400000001</v>
      </c>
      <c r="Q1049">
        <v>0.00062113537725030997</v>
      </c>
      <c r="R1049">
        <v>750000</v>
      </c>
      <c r="S1049">
        <v>0</v>
      </c>
      <c r="T1049">
        <v>0</v>
      </c>
      <c r="V1049">
        <v>900</v>
      </c>
      <c r="W1049">
        <v>7</v>
      </c>
      <c r="X1049">
        <v>85</v>
      </c>
      <c r="Y1049">
        <v>3</v>
      </c>
      <c r="Z1049">
        <v>4</v>
      </c>
      <c r="AA1049">
        <v>5</v>
      </c>
      <c r="AB1049">
        <v>0</v>
      </c>
      <c r="AC1049">
        <v>0</v>
      </c>
      <c r="AD1049">
        <v>0</v>
      </c>
      <c r="AE1049">
        <v>0</v>
      </c>
      <c r="AF1049">
        <v>1.50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87</v>
      </c>
      <c r="AM1049">
        <v>108.37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5500</v>
      </c>
      <c r="AU1049">
        <v>1</v>
      </c>
      <c r="AV1049">
        <v>0</v>
      </c>
    </row>
    <row r="1050" spans="1:48" ht="12.75">
      <c r="A1050" s="2" t="str">
        <f>HYPERLINK("https://ibp.a2mac1.com/costing(costing:projects/details/8191/equipment/6947891)","No.02 - Tandem Press Line - 800T + 4 x 400T ")</f>
        <v xml:space="preserve">No.02 - Tandem Press Line - 800T + 4 x 400T </v>
      </c>
      <c r="B1050">
        <v>6947891</v>
      </c>
      <c r="C1050">
        <v>6975325</v>
      </c>
      <c r="E1050" t="s">
        <v>499</v>
      </c>
      <c r="H1050" t="s">
        <v>136</v>
      </c>
      <c r="I1050">
        <v>1032025.2145714286</v>
      </c>
      <c r="J1050">
        <v>0</v>
      </c>
      <c r="K1050">
        <v>67.68</v>
      </c>
      <c r="L1050">
        <v>0</v>
      </c>
      <c r="M1050">
        <v>274.5307255820361</v>
      </c>
      <c r="N1050">
        <v>0</v>
      </c>
      <c r="O1050">
        <v>0.12961815691286066</v>
      </c>
      <c r="P1050">
        <v>0.0019506553293333333</v>
      </c>
      <c r="Q1050">
        <v>0.0089895361674610826</v>
      </c>
      <c r="R1050">
        <v>5100000</v>
      </c>
      <c r="S1050">
        <v>0</v>
      </c>
      <c r="T1050">
        <v>0</v>
      </c>
      <c r="V1050">
        <v>3600</v>
      </c>
      <c r="W1050">
        <v>7</v>
      </c>
      <c r="X1050">
        <v>85</v>
      </c>
      <c r="Y1050">
        <v>3</v>
      </c>
      <c r="Z1050">
        <v>4</v>
      </c>
      <c r="AA1050">
        <v>5</v>
      </c>
      <c r="AB1050">
        <v>0</v>
      </c>
      <c r="AC1050">
        <v>0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2</v>
      </c>
      <c r="AJ1050">
        <v>0</v>
      </c>
      <c r="AK1050">
        <v>0</v>
      </c>
      <c r="AL1050">
        <v>87</v>
      </c>
      <c r="AM1050">
        <v>800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3225</v>
      </c>
      <c r="AU1050">
        <v>12</v>
      </c>
      <c r="AV1050">
        <v>0</v>
      </c>
    </row>
    <row r="1051" spans="1:48" ht="12.75">
      <c r="A1051" s="2" t="str">
        <f>HYPERLINK("https://ibp.a2mac1.com/costing(costing:projects/details/8191/equipment/6948110)","Equipment (Injection Molding)")</f>
        <v>Equipment (Injection Molding)</v>
      </c>
      <c r="B1051">
        <v>6948110</v>
      </c>
      <c r="C1051">
        <v>6975521</v>
      </c>
      <c r="H1051" t="s">
        <v>136</v>
      </c>
      <c r="I1051">
        <v>53799.549466500001</v>
      </c>
      <c r="J1051">
        <v>0</v>
      </c>
      <c r="K1051">
        <v>2.2864800000000001</v>
      </c>
      <c r="L1051">
        <v>0</v>
      </c>
      <c r="M1051">
        <v>13.2299145012054</v>
      </c>
      <c r="N1051">
        <v>0</v>
      </c>
      <c r="O1051">
        <v>0.22049857502009002</v>
      </c>
      <c r="P1051">
        <v>0.0140573607</v>
      </c>
      <c r="Q1051">
        <v>0.0017615774334197435</v>
      </c>
      <c r="R1051">
        <v>285810</v>
      </c>
      <c r="S1051">
        <v>0</v>
      </c>
      <c r="T1051">
        <v>0</v>
      </c>
      <c r="V1051">
        <v>2756.0250000000001</v>
      </c>
      <c r="W1051">
        <v>7</v>
      </c>
      <c r="X1051">
        <v>85</v>
      </c>
      <c r="Y1051">
        <v>3</v>
      </c>
      <c r="Z1051">
        <v>4</v>
      </c>
      <c r="AA1051">
        <v>5</v>
      </c>
      <c r="AB1051">
        <v>0</v>
      </c>
      <c r="AC1051">
        <v>0</v>
      </c>
      <c r="AD1051">
        <v>0</v>
      </c>
      <c r="AE1051">
        <v>0</v>
      </c>
      <c r="AF1051">
        <v>0.20415</v>
      </c>
      <c r="AG1051">
        <v>0</v>
      </c>
      <c r="AH1051">
        <v>0</v>
      </c>
      <c r="AI1051">
        <v>2</v>
      </c>
      <c r="AJ1051">
        <v>0</v>
      </c>
      <c r="AK1051">
        <v>0</v>
      </c>
      <c r="AL1051">
        <v>80</v>
      </c>
      <c r="AM1051">
        <v>35.72625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76.55625</v>
      </c>
      <c r="AU1051">
        <v>0</v>
      </c>
      <c r="AV1051">
        <v>0</v>
      </c>
    </row>
    <row r="1052" spans="1:48" ht="12.75">
      <c r="A1052" s="2" t="str">
        <f>HYPERLINK("https://ibp.a2mac1.com/costing(costing:projects/details/8191/equipment/6948111)","Equipment (Injection Molding)")</f>
        <v>Equipment (Injection Molding)</v>
      </c>
      <c r="B1052">
        <v>6948111</v>
      </c>
      <c r="C1052">
        <v>6975521</v>
      </c>
      <c r="H1052" t="s">
        <v>136</v>
      </c>
      <c r="I1052">
        <v>53799.549466500001</v>
      </c>
      <c r="J1052">
        <v>0</v>
      </c>
      <c r="K1052">
        <v>2.2864800000000001</v>
      </c>
      <c r="L1052">
        <v>0</v>
      </c>
      <c r="M1052">
        <v>13.2299145012054</v>
      </c>
      <c r="N1052">
        <v>0</v>
      </c>
      <c r="O1052">
        <v>0.22049857502009002</v>
      </c>
      <c r="P1052">
        <v>0.0140573607</v>
      </c>
      <c r="Q1052">
        <v>0.0017615774334197435</v>
      </c>
      <c r="R1052">
        <v>285810</v>
      </c>
      <c r="S1052">
        <v>0</v>
      </c>
      <c r="T1052">
        <v>0</v>
      </c>
      <c r="V1052">
        <v>2756.0250000000001</v>
      </c>
      <c r="W1052">
        <v>7</v>
      </c>
      <c r="X1052">
        <v>85</v>
      </c>
      <c r="Y1052">
        <v>3</v>
      </c>
      <c r="Z1052">
        <v>4</v>
      </c>
      <c r="AA1052">
        <v>5</v>
      </c>
      <c r="AB1052">
        <v>0</v>
      </c>
      <c r="AC1052">
        <v>0</v>
      </c>
      <c r="AD1052">
        <v>0</v>
      </c>
      <c r="AE1052">
        <v>0</v>
      </c>
      <c r="AF1052">
        <v>0.20415</v>
      </c>
      <c r="AG1052">
        <v>0</v>
      </c>
      <c r="AH1052">
        <v>0</v>
      </c>
      <c r="AI1052">
        <v>2</v>
      </c>
      <c r="AJ1052">
        <v>0</v>
      </c>
      <c r="AK1052">
        <v>0</v>
      </c>
      <c r="AL1052">
        <v>80</v>
      </c>
      <c r="AM1052">
        <v>35.72625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76.55625</v>
      </c>
      <c r="AU1052">
        <v>0</v>
      </c>
      <c r="AV1052">
        <v>0</v>
      </c>
    </row>
    <row r="1053" spans="1:48" ht="12.75">
      <c r="A1053" s="2" t="str">
        <f>HYPERLINK("https://ibp.a2mac1.com/costing(costing:projects/details/8191/equipment/6948112)","Equipment (Standard Process)")</f>
        <v>Equipment (Standard Process)</v>
      </c>
      <c r="B1053">
        <v>6948112</v>
      </c>
      <c r="C1053">
        <v>6975521</v>
      </c>
      <c r="H1053" t="s">
        <v>136</v>
      </c>
      <c r="I1053">
        <v>93740.038752214285</v>
      </c>
      <c r="J1053">
        <v>0</v>
      </c>
      <c r="K1053">
        <v>2.2864800000000001</v>
      </c>
      <c r="L1053">
        <v>0</v>
      </c>
      <c r="M1053">
        <v>21.453755595019974</v>
      </c>
      <c r="N1053">
        <v>0</v>
      </c>
      <c r="O1053">
        <v>0.35756259325033291</v>
      </c>
      <c r="P1053">
        <v>0.02108638534</v>
      </c>
      <c r="Q1053">
        <v>0.0021393292942627489</v>
      </c>
      <c r="R1053">
        <v>510375</v>
      </c>
      <c r="S1053">
        <v>0</v>
      </c>
      <c r="T1053">
        <v>0</v>
      </c>
      <c r="V1053">
        <v>2756.0250000000001</v>
      </c>
      <c r="W1053">
        <v>7</v>
      </c>
      <c r="X1053">
        <v>85</v>
      </c>
      <c r="Y1053">
        <v>3</v>
      </c>
      <c r="Z1053">
        <v>4</v>
      </c>
      <c r="AA1053">
        <v>5</v>
      </c>
      <c r="AB1053">
        <v>0</v>
      </c>
      <c r="AC1053">
        <v>0</v>
      </c>
      <c r="AD1053">
        <v>0</v>
      </c>
      <c r="AE1053">
        <v>0</v>
      </c>
      <c r="AF1053">
        <v>0.30623</v>
      </c>
      <c r="AG1053">
        <v>0</v>
      </c>
      <c r="AH1053">
        <v>0</v>
      </c>
      <c r="AI1053">
        <v>2</v>
      </c>
      <c r="AJ1053">
        <v>0</v>
      </c>
      <c r="AK1053">
        <v>0</v>
      </c>
      <c r="AL1053">
        <v>80</v>
      </c>
      <c r="AM1053">
        <v>35.72625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76.55625</v>
      </c>
      <c r="AU1053">
        <v>0</v>
      </c>
      <c r="AV1053">
        <v>0</v>
      </c>
    </row>
    <row r="1054" spans="1:48" ht="12.75">
      <c r="A1054" s="2" t="str">
        <f>HYPERLINK("https://ibp.a2mac1.com/costing(costing:projects/details/8191/equipment/6948113)","Equipment (Injection Molding)")</f>
        <v>Equipment (Injection Molding)</v>
      </c>
      <c r="B1054">
        <v>6948113</v>
      </c>
      <c r="C1054">
        <v>6975522</v>
      </c>
      <c r="H1054" t="s">
        <v>136</v>
      </c>
      <c r="I1054">
        <v>6245.6493870000004</v>
      </c>
      <c r="J1054">
        <v>0</v>
      </c>
      <c r="K1054">
        <v>0.26544000000000001</v>
      </c>
      <c r="L1054">
        <v>0</v>
      </c>
      <c r="M1054">
        <v>1.5358754527483125</v>
      </c>
      <c r="N1054">
        <v>0</v>
      </c>
      <c r="O1054">
        <v>0.025597924212471874</v>
      </c>
      <c r="P1054">
        <v>0.0016319346</v>
      </c>
      <c r="Q1054">
        <v>7.1072507725890194E-05</v>
      </c>
      <c r="R1054">
        <v>33180</v>
      </c>
      <c r="S1054">
        <v>0</v>
      </c>
      <c r="T1054">
        <v>0</v>
      </c>
      <c r="V1054">
        <v>319.95</v>
      </c>
      <c r="W1054">
        <v>7</v>
      </c>
      <c r="X1054">
        <v>85</v>
      </c>
      <c r="Y1054">
        <v>3</v>
      </c>
      <c r="Z1054">
        <v>4</v>
      </c>
      <c r="AA1054">
        <v>5</v>
      </c>
      <c r="AB1054">
        <v>0</v>
      </c>
      <c r="AC1054">
        <v>0</v>
      </c>
      <c r="AD1054">
        <v>0</v>
      </c>
      <c r="AE1054">
        <v>0</v>
      </c>
      <c r="AF1054">
        <v>0.023699999999999999</v>
      </c>
      <c r="AG1054">
        <v>0</v>
      </c>
      <c r="AH1054">
        <v>0</v>
      </c>
      <c r="AI1054">
        <v>2</v>
      </c>
      <c r="AJ1054">
        <v>0</v>
      </c>
      <c r="AK1054">
        <v>0</v>
      </c>
      <c r="AL1054">
        <v>80</v>
      </c>
      <c r="AM1054">
        <v>4.1475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8.8875</v>
      </c>
      <c r="AU1054">
        <v>0</v>
      </c>
      <c r="AV1054">
        <v>0</v>
      </c>
    </row>
    <row r="1055" spans="1:48" ht="12.75">
      <c r="A1055" s="2" t="str">
        <f>HYPERLINK("https://ibp.a2mac1.com/costing(costing:projects/details/8191/equipment/6948114)","Equipment (Injection Molding)")</f>
        <v>Equipment (Injection Molding)</v>
      </c>
      <c r="B1055">
        <v>6948114</v>
      </c>
      <c r="C1055">
        <v>6975523</v>
      </c>
      <c r="H1055" t="s">
        <v>136</v>
      </c>
      <c r="I1055">
        <v>39.5294265</v>
      </c>
      <c r="J1055">
        <v>0</v>
      </c>
      <c r="K1055">
        <v>0.0016800000000000001</v>
      </c>
      <c r="L1055">
        <v>0</v>
      </c>
      <c r="M1055">
        <v>0.0097207307135969145</v>
      </c>
      <c r="N1055">
        <v>0</v>
      </c>
      <c r="O1055">
        <v>0.00016201217855994857</v>
      </c>
      <c r="P1055">
        <v>1.03287E-05</v>
      </c>
      <c r="Q1055">
        <v>4.2407213733079197E-07</v>
      </c>
      <c r="R1055">
        <v>210</v>
      </c>
      <c r="S1055">
        <v>0</v>
      </c>
      <c r="T1055">
        <v>0</v>
      </c>
      <c r="V1055">
        <v>2.025</v>
      </c>
      <c r="W1055">
        <v>7</v>
      </c>
      <c r="X1055">
        <v>85</v>
      </c>
      <c r="Y1055">
        <v>3</v>
      </c>
      <c r="Z1055">
        <v>4</v>
      </c>
      <c r="AA1055">
        <v>5</v>
      </c>
      <c r="AB1055">
        <v>0</v>
      </c>
      <c r="AC1055">
        <v>0</v>
      </c>
      <c r="AD1055">
        <v>0</v>
      </c>
      <c r="AE1055">
        <v>0</v>
      </c>
      <c r="AF1055">
        <v>0.00014999999999999999</v>
      </c>
      <c r="AG1055">
        <v>0</v>
      </c>
      <c r="AH1055">
        <v>0</v>
      </c>
      <c r="AI1055">
        <v>2</v>
      </c>
      <c r="AJ1055">
        <v>0</v>
      </c>
      <c r="AK1055">
        <v>0</v>
      </c>
      <c r="AL1055">
        <v>80</v>
      </c>
      <c r="AM1055">
        <v>0.02625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0.05625</v>
      </c>
      <c r="AU1055">
        <v>0</v>
      </c>
      <c r="AV1055">
        <v>0</v>
      </c>
    </row>
    <row r="1056" spans="1:48" ht="12.75">
      <c r="A1056" s="2" t="str">
        <f>HYPERLINK("https://ibp.a2mac1.com/costing(costing:projects/details/8191/equipment/6947892)","No.06 - Injection Press - 200T - 45kW - 510x510 - Max Volume 624cm3 ")</f>
        <v xml:space="preserve">No.06 - Injection Press - 200T - 45kW - 510x510 - Max Volume 624cm3 </v>
      </c>
      <c r="B1056">
        <v>6947892</v>
      </c>
      <c r="C1056">
        <v>6975326</v>
      </c>
      <c r="E1056" t="s">
        <v>499</v>
      </c>
      <c r="H1056" t="s">
        <v>136</v>
      </c>
      <c r="I1056">
        <v>34247.230880000003</v>
      </c>
      <c r="J1056">
        <v>0</v>
      </c>
      <c r="K1056">
        <v>2.6539999999999999</v>
      </c>
      <c r="L1056">
        <v>0</v>
      </c>
      <c r="M1056">
        <v>9.7654160848601741</v>
      </c>
      <c r="N1056">
        <v>0</v>
      </c>
      <c r="O1056">
        <v>0.065693771455292399</v>
      </c>
      <c r="P1056">
        <v>0.0069483087185833337</v>
      </c>
      <c r="Q1056">
        <v>0.0041863075301832205</v>
      </c>
      <c r="R1056">
        <v>200000</v>
      </c>
      <c r="S1056">
        <v>0</v>
      </c>
      <c r="T1056">
        <v>0</v>
      </c>
      <c r="V1056">
        <v>7200</v>
      </c>
      <c r="W1056">
        <v>8</v>
      </c>
      <c r="X1056">
        <v>85</v>
      </c>
      <c r="Y1056">
        <v>3</v>
      </c>
      <c r="Z1056">
        <v>4</v>
      </c>
      <c r="AA1056">
        <v>5</v>
      </c>
      <c r="AB1056">
        <v>0</v>
      </c>
      <c r="AC1056">
        <v>0</v>
      </c>
      <c r="AD1056">
        <v>0</v>
      </c>
      <c r="AE1056">
        <v>0</v>
      </c>
      <c r="AF1056">
        <v>0.25</v>
      </c>
      <c r="AG1056">
        <v>0</v>
      </c>
      <c r="AH1056">
        <v>0</v>
      </c>
      <c r="AI1056">
        <v>2</v>
      </c>
      <c r="AJ1056">
        <v>0</v>
      </c>
      <c r="AK1056">
        <v>0</v>
      </c>
      <c r="AL1056">
        <v>93</v>
      </c>
      <c r="AM1056">
        <v>35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58</v>
      </c>
      <c r="AU1056">
        <v>0.05</v>
      </c>
      <c r="AV1056">
        <v>0</v>
      </c>
    </row>
    <row r="1057" spans="1:48" ht="12.75">
      <c r="A1057" s="2" t="str">
        <f>HYPERLINK("https://ibp.a2mac1.com/costing(costing:projects/details/8191/equipment/6947893)","Equipment (Injection Molding)")</f>
        <v>Equipment (Injection Molding)</v>
      </c>
      <c r="B1057">
        <v>6947893</v>
      </c>
      <c r="C1057">
        <v>6975327</v>
      </c>
      <c r="H1057" t="s">
        <v>136</v>
      </c>
      <c r="I1057">
        <v>12702.122382</v>
      </c>
      <c r="J1057">
        <v>0</v>
      </c>
      <c r="K1057">
        <v>0.53983999999999999</v>
      </c>
      <c r="L1057">
        <v>0</v>
      </c>
      <c r="M1057">
        <v>3.1235948026358082</v>
      </c>
      <c r="N1057">
        <v>0</v>
      </c>
      <c r="O1057">
        <v>0.013014978344315869</v>
      </c>
      <c r="P1057">
        <v>0.00082973889999999998</v>
      </c>
      <c r="Q1057">
        <v>0.00030630699123458536</v>
      </c>
      <c r="R1057">
        <v>67480</v>
      </c>
      <c r="S1057">
        <v>0</v>
      </c>
      <c r="T1057">
        <v>0</v>
      </c>
      <c r="V1057">
        <v>650.70</v>
      </c>
      <c r="W1057">
        <v>7</v>
      </c>
      <c r="X1057">
        <v>85</v>
      </c>
      <c r="Y1057">
        <v>3</v>
      </c>
      <c r="Z1057">
        <v>4</v>
      </c>
      <c r="AA1057">
        <v>5</v>
      </c>
      <c r="AB1057">
        <v>0</v>
      </c>
      <c r="AC1057">
        <v>0</v>
      </c>
      <c r="AD1057">
        <v>0</v>
      </c>
      <c r="AE1057">
        <v>0</v>
      </c>
      <c r="AF1057">
        <v>0.0482</v>
      </c>
      <c r="AG1057">
        <v>0</v>
      </c>
      <c r="AH1057">
        <v>0</v>
      </c>
      <c r="AI1057">
        <v>2</v>
      </c>
      <c r="AJ1057">
        <v>0</v>
      </c>
      <c r="AK1057">
        <v>0</v>
      </c>
      <c r="AL1057">
        <v>80</v>
      </c>
      <c r="AM1057">
        <v>8.435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18.075</v>
      </c>
      <c r="AU1057">
        <v>0</v>
      </c>
      <c r="AV1057">
        <v>0</v>
      </c>
    </row>
    <row r="1058" spans="1:48" ht="12.75">
      <c r="A1058" s="2" t="str">
        <f>HYPERLINK("https://ibp.a2mac1.com/costing(costing:projects/details/8191/equipment/6948733)","Manufacturing Equipment")</f>
        <v>Manufacturing Equipment</v>
      </c>
      <c r="B1058">
        <v>6948733</v>
      </c>
      <c r="C1058">
        <v>6976139</v>
      </c>
      <c r="E1058" t="s">
        <v>603</v>
      </c>
      <c r="H1058" t="s">
        <v>136</v>
      </c>
      <c r="I1058">
        <v>373962.17627729999</v>
      </c>
      <c r="J1058">
        <v>0</v>
      </c>
      <c r="K1058">
        <v>3.3919999999999999</v>
      </c>
      <c r="L1058">
        <v>0</v>
      </c>
      <c r="M1058">
        <v>85.594214187769211</v>
      </c>
      <c r="N1058">
        <v>0</v>
      </c>
      <c r="O1058">
        <v>0.044971913419372171</v>
      </c>
      <c r="P1058">
        <v>0.0021707140210000002</v>
      </c>
      <c r="Q1058">
        <v>0.008833900876899229</v>
      </c>
      <c r="R1058">
        <v>2750000.0079800002</v>
      </c>
      <c r="S1058">
        <v>0</v>
      </c>
      <c r="T1058">
        <v>0</v>
      </c>
      <c r="V1058">
        <v>5400</v>
      </c>
      <c r="W1058">
        <v>10</v>
      </c>
      <c r="X1058">
        <v>85</v>
      </c>
      <c r="Y1058">
        <v>4</v>
      </c>
      <c r="Z1058">
        <v>4</v>
      </c>
      <c r="AA1058">
        <v>5</v>
      </c>
      <c r="AB1058">
        <v>0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80</v>
      </c>
      <c r="AM1058">
        <v>53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70</v>
      </c>
      <c r="AU1058">
        <v>0</v>
      </c>
      <c r="AV1058">
        <v>0</v>
      </c>
    </row>
    <row r="1059" spans="1:48" ht="12.75">
      <c r="A1059" s="2" t="str">
        <f>HYPERLINK("https://ibp.a2mac1.com/costing(costing:projects/details/8191/equipment/6948734)","Manufacturing Equipment")</f>
        <v>Manufacturing Equipment</v>
      </c>
      <c r="B1059">
        <v>6948734</v>
      </c>
      <c r="C1059">
        <v>6976140</v>
      </c>
      <c r="E1059" t="s">
        <v>603</v>
      </c>
      <c r="H1059" t="s">
        <v>136</v>
      </c>
      <c r="I1059">
        <v>373962.17627729999</v>
      </c>
      <c r="J1059">
        <v>0</v>
      </c>
      <c r="K1059">
        <v>3.3919999999999999</v>
      </c>
      <c r="L1059">
        <v>0</v>
      </c>
      <c r="M1059">
        <v>85.594214187769211</v>
      </c>
      <c r="N1059">
        <v>0</v>
      </c>
      <c r="O1059">
        <v>0.059785299873949059</v>
      </c>
      <c r="P1059">
        <v>0.0028857297548333335</v>
      </c>
      <c r="Q1059">
        <v>0.008833900876899229</v>
      </c>
      <c r="R1059">
        <v>2750000.0079800002</v>
      </c>
      <c r="S1059">
        <v>0</v>
      </c>
      <c r="T1059">
        <v>0</v>
      </c>
      <c r="V1059">
        <v>5400</v>
      </c>
      <c r="W1059">
        <v>10</v>
      </c>
      <c r="X1059">
        <v>85</v>
      </c>
      <c r="Y1059">
        <v>4</v>
      </c>
      <c r="Z1059">
        <v>4</v>
      </c>
      <c r="AA1059">
        <v>5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1</v>
      </c>
      <c r="AJ1059">
        <v>0</v>
      </c>
      <c r="AK1059">
        <v>0</v>
      </c>
      <c r="AL1059">
        <v>80</v>
      </c>
      <c r="AM1059">
        <v>53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70</v>
      </c>
      <c r="AU1059">
        <v>0</v>
      </c>
      <c r="AV1059">
        <v>0</v>
      </c>
    </row>
    <row r="1060" spans="1:48" ht="12.75">
      <c r="A1060" s="2" t="str">
        <f>HYPERLINK("https://ibp.a2mac1.com/costing(costing:projects/details/8191/equipment/6948735)","Manufacturing Equipment")</f>
        <v>Manufacturing Equipment</v>
      </c>
      <c r="B1060">
        <v>6948735</v>
      </c>
      <c r="C1060">
        <v>6976141</v>
      </c>
      <c r="E1060" t="s">
        <v>603</v>
      </c>
      <c r="H1060" t="s">
        <v>136</v>
      </c>
      <c r="I1060">
        <v>373962.17573865002</v>
      </c>
      <c r="J1060">
        <v>0</v>
      </c>
      <c r="K1060">
        <v>3.3919999999999999</v>
      </c>
      <c r="L1060">
        <v>0</v>
      </c>
      <c r="M1060">
        <v>85.594214069133713</v>
      </c>
      <c r="N1060">
        <v>0</v>
      </c>
      <c r="O1060">
        <v>0.024442497755116997</v>
      </c>
      <c r="P1060">
        <v>0.0011797957575</v>
      </c>
      <c r="Q1060">
        <v>0.0044169504331110178</v>
      </c>
      <c r="R1060">
        <v>2750000.0039900001</v>
      </c>
      <c r="S1060">
        <v>0</v>
      </c>
      <c r="T1060">
        <v>0</v>
      </c>
      <c r="V1060">
        <v>5400</v>
      </c>
      <c r="W1060">
        <v>10</v>
      </c>
      <c r="X1060">
        <v>85</v>
      </c>
      <c r="Y1060">
        <v>4</v>
      </c>
      <c r="Z1060">
        <v>4</v>
      </c>
      <c r="AA1060">
        <v>5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80</v>
      </c>
      <c r="AM1060">
        <v>53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70</v>
      </c>
      <c r="AU1060">
        <v>0</v>
      </c>
      <c r="AV1060">
        <v>0</v>
      </c>
    </row>
    <row r="1061" spans="1:48" ht="12.75">
      <c r="A1061" s="2" t="str">
        <f>HYPERLINK("https://ibp.a2mac1.com/costing(costing:projects/details/8191/equipment/6948736)","Manufacturing Equipment")</f>
        <v>Manufacturing Equipment</v>
      </c>
      <c r="B1061">
        <v>6948736</v>
      </c>
      <c r="C1061">
        <v>6976142</v>
      </c>
      <c r="E1061" t="s">
        <v>603</v>
      </c>
      <c r="H1061" t="s">
        <v>136</v>
      </c>
      <c r="I1061">
        <v>373962.17627729999</v>
      </c>
      <c r="J1061">
        <v>0</v>
      </c>
      <c r="K1061">
        <v>3.3919999999999999</v>
      </c>
      <c r="L1061">
        <v>0</v>
      </c>
      <c r="M1061">
        <v>85.594214187769211</v>
      </c>
      <c r="N1061">
        <v>0</v>
      </c>
      <c r="O1061">
        <v>0.044971913419372171</v>
      </c>
      <c r="P1061">
        <v>0.0021707140210000002</v>
      </c>
      <c r="Q1061">
        <v>0.008833900876899229</v>
      </c>
      <c r="R1061">
        <v>2750000.0079800002</v>
      </c>
      <c r="S1061">
        <v>0</v>
      </c>
      <c r="T1061">
        <v>0</v>
      </c>
      <c r="V1061">
        <v>5400</v>
      </c>
      <c r="W1061">
        <v>10</v>
      </c>
      <c r="X1061">
        <v>85</v>
      </c>
      <c r="Y1061">
        <v>4</v>
      </c>
      <c r="Z1061">
        <v>4</v>
      </c>
      <c r="AA1061">
        <v>5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80</v>
      </c>
      <c r="AM1061">
        <v>53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70</v>
      </c>
      <c r="AU1061">
        <v>0</v>
      </c>
      <c r="AV1061">
        <v>0</v>
      </c>
    </row>
    <row r="1062" spans="1:48" ht="12.75">
      <c r="A1062" s="2" t="str">
        <f>HYPERLINK("https://ibp.a2mac1.com/costing(costing:projects/details/8191/equipment/6948773)","Manufacturing Equipment")</f>
        <v>Manufacturing Equipment</v>
      </c>
      <c r="B1062">
        <v>6948773</v>
      </c>
      <c r="C1062">
        <v>6976179</v>
      </c>
      <c r="E1062" t="s">
        <v>603</v>
      </c>
      <c r="H1062" t="s">
        <v>136</v>
      </c>
      <c r="I1062">
        <v>373962.17627729999</v>
      </c>
      <c r="J1062">
        <v>0</v>
      </c>
      <c r="K1062">
        <v>3.3919999999999999</v>
      </c>
      <c r="L1062">
        <v>0</v>
      </c>
      <c r="M1062">
        <v>85.594214187769211</v>
      </c>
      <c r="N1062">
        <v>0</v>
      </c>
      <c r="O1062">
        <v>0.044971913419372171</v>
      </c>
      <c r="P1062">
        <v>0.0021707140210000002</v>
      </c>
      <c r="Q1062">
        <v>0.008833900876899229</v>
      </c>
      <c r="R1062">
        <v>2750000.0079800002</v>
      </c>
      <c r="S1062">
        <v>0</v>
      </c>
      <c r="T1062">
        <v>0</v>
      </c>
      <c r="V1062">
        <v>5400</v>
      </c>
      <c r="W1062">
        <v>10</v>
      </c>
      <c r="X1062">
        <v>85</v>
      </c>
      <c r="Y1062">
        <v>4</v>
      </c>
      <c r="Z1062">
        <v>4</v>
      </c>
      <c r="AA1062">
        <v>5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80</v>
      </c>
      <c r="AM1062">
        <v>53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70</v>
      </c>
      <c r="AU1062">
        <v>0</v>
      </c>
      <c r="AV1062">
        <v>0</v>
      </c>
    </row>
    <row r="1063" spans="1:48" ht="12.75">
      <c r="A1063" s="2" t="str">
        <f>HYPERLINK("https://ibp.a2mac1.com/costing(costing:projects/details/8191/equipment/6948523)","Manufacturing Equipment")</f>
        <v>Manufacturing Equipment</v>
      </c>
      <c r="B1063">
        <v>6948523</v>
      </c>
      <c r="C1063">
        <v>6975904</v>
      </c>
      <c r="E1063" t="s">
        <v>603</v>
      </c>
      <c r="H1063" t="s">
        <v>136</v>
      </c>
      <c r="I1063">
        <v>373962.17627729999</v>
      </c>
      <c r="J1063">
        <v>0</v>
      </c>
      <c r="K1063">
        <v>3.3919999999999999</v>
      </c>
      <c r="L1063">
        <v>0</v>
      </c>
      <c r="M1063">
        <v>85.594214187769211</v>
      </c>
      <c r="N1063">
        <v>0</v>
      </c>
      <c r="O1063">
        <v>0.17988765367748868</v>
      </c>
      <c r="P1063">
        <v>0.0086828560840000006</v>
      </c>
      <c r="Q1063">
        <v>0.008833900876899229</v>
      </c>
      <c r="R1063">
        <v>2750000.0079800002</v>
      </c>
      <c r="S1063">
        <v>0</v>
      </c>
      <c r="T1063">
        <v>0</v>
      </c>
      <c r="V1063">
        <v>5400</v>
      </c>
      <c r="W1063">
        <v>10</v>
      </c>
      <c r="X1063">
        <v>85</v>
      </c>
      <c r="Y1063">
        <v>4</v>
      </c>
      <c r="Z1063">
        <v>4</v>
      </c>
      <c r="AA1063">
        <v>5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80</v>
      </c>
      <c r="AM1063">
        <v>53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70</v>
      </c>
      <c r="AU1063">
        <v>0</v>
      </c>
      <c r="AV1063">
        <v>0</v>
      </c>
    </row>
    <row r="1064" spans="1:48" ht="12.75">
      <c r="A1064" s="2" t="str">
        <f>HYPERLINK("https://ibp.a2mac1.com/costing(costing:projects/details/8191/equipment/6948737)","Manufacturing Equipment")</f>
        <v>Manufacturing Equipment</v>
      </c>
      <c r="B1064">
        <v>6948737</v>
      </c>
      <c r="C1064">
        <v>6976143</v>
      </c>
      <c r="E1064" t="s">
        <v>603</v>
      </c>
      <c r="H1064" t="s">
        <v>136</v>
      </c>
      <c r="I1064">
        <v>373962.17573865002</v>
      </c>
      <c r="J1064">
        <v>0</v>
      </c>
      <c r="K1064">
        <v>3.3919999999999999</v>
      </c>
      <c r="L1064">
        <v>0</v>
      </c>
      <c r="M1064">
        <v>85.594214069133713</v>
      </c>
      <c r="N1064">
        <v>0</v>
      </c>
      <c r="O1064">
        <v>0.23914143692604695</v>
      </c>
      <c r="P1064">
        <v>0.011542930495666667</v>
      </c>
      <c r="Q1064">
        <v>0.0044169504331110178</v>
      </c>
      <c r="R1064">
        <v>2750000.0039900001</v>
      </c>
      <c r="S1064">
        <v>0</v>
      </c>
      <c r="T1064">
        <v>0</v>
      </c>
      <c r="V1064">
        <v>5400</v>
      </c>
      <c r="W1064">
        <v>10</v>
      </c>
      <c r="X1064">
        <v>85</v>
      </c>
      <c r="Y1064">
        <v>4</v>
      </c>
      <c r="Z1064">
        <v>4</v>
      </c>
      <c r="AA1064">
        <v>5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1</v>
      </c>
      <c r="AJ1064">
        <v>0</v>
      </c>
      <c r="AK1064">
        <v>0</v>
      </c>
      <c r="AL1064">
        <v>80</v>
      </c>
      <c r="AM1064">
        <v>53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70</v>
      </c>
      <c r="AU1064">
        <v>0</v>
      </c>
      <c r="AV1064">
        <v>0</v>
      </c>
    </row>
    <row r="1065" spans="1:48" ht="12.75">
      <c r="A1065" s="2" t="str">
        <f>HYPERLINK("https://ibp.a2mac1.com/costing(costing:projects/details/8191/equipment/6948524)","Manufacturing Equipment")</f>
        <v>Manufacturing Equipment</v>
      </c>
      <c r="B1065">
        <v>6948524</v>
      </c>
      <c r="C1065">
        <v>6975905</v>
      </c>
      <c r="E1065" t="s">
        <v>603</v>
      </c>
      <c r="H1065" t="s">
        <v>136</v>
      </c>
      <c r="I1065">
        <v>373962.17627729999</v>
      </c>
      <c r="J1065">
        <v>0</v>
      </c>
      <c r="K1065">
        <v>3.3919999999999999</v>
      </c>
      <c r="L1065">
        <v>0</v>
      </c>
      <c r="M1065">
        <v>85.594214187769211</v>
      </c>
      <c r="N1065">
        <v>0</v>
      </c>
      <c r="O1065">
        <v>0.059785299873949059</v>
      </c>
      <c r="P1065">
        <v>0.0028857297548333335</v>
      </c>
      <c r="Q1065">
        <v>0.008833900876899229</v>
      </c>
      <c r="R1065">
        <v>2750000.0079800002</v>
      </c>
      <c r="S1065">
        <v>0</v>
      </c>
      <c r="T1065">
        <v>0</v>
      </c>
      <c r="V1065">
        <v>5400</v>
      </c>
      <c r="W1065">
        <v>10</v>
      </c>
      <c r="X1065">
        <v>85</v>
      </c>
      <c r="Y1065">
        <v>4</v>
      </c>
      <c r="Z1065">
        <v>4</v>
      </c>
      <c r="AA1065">
        <v>5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80</v>
      </c>
      <c r="AM1065">
        <v>53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70</v>
      </c>
      <c r="AU1065">
        <v>0</v>
      </c>
      <c r="AV1065">
        <v>0</v>
      </c>
    </row>
    <row r="1066" spans="1:48" ht="12.75">
      <c r="A1066" s="2" t="str">
        <f>HYPERLINK("https://ibp.a2mac1.com/costing(costing:projects/details/8191/equipment/6948525)","Manufacturing Equipment")</f>
        <v>Manufacturing Equipment</v>
      </c>
      <c r="B1066">
        <v>6948525</v>
      </c>
      <c r="C1066">
        <v>6975906</v>
      </c>
      <c r="E1066" t="s">
        <v>603</v>
      </c>
      <c r="H1066" t="s">
        <v>136</v>
      </c>
      <c r="I1066">
        <v>373962.17573865002</v>
      </c>
      <c r="J1066">
        <v>0</v>
      </c>
      <c r="K1066">
        <v>3.3919999999999999</v>
      </c>
      <c r="L1066">
        <v>0</v>
      </c>
      <c r="M1066">
        <v>85.594214069133713</v>
      </c>
      <c r="N1066">
        <v>0</v>
      </c>
      <c r="O1066">
        <v>0.13917072355717924</v>
      </c>
      <c r="P1066">
        <v>0.0067175225243333329</v>
      </c>
      <c r="Q1066">
        <v>0.0044169504331110178</v>
      </c>
      <c r="R1066">
        <v>2750000.0039900001</v>
      </c>
      <c r="S1066">
        <v>0</v>
      </c>
      <c r="T1066">
        <v>0</v>
      </c>
      <c r="V1066">
        <v>5400</v>
      </c>
      <c r="W1066">
        <v>10</v>
      </c>
      <c r="X1066">
        <v>85</v>
      </c>
      <c r="Y1066">
        <v>4</v>
      </c>
      <c r="Z1066">
        <v>4</v>
      </c>
      <c r="AA1066">
        <v>5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80</v>
      </c>
      <c r="AM1066">
        <v>53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70</v>
      </c>
      <c r="AU1066">
        <v>0</v>
      </c>
      <c r="AV1066">
        <v>0</v>
      </c>
    </row>
    <row r="1067" spans="1:48" ht="12.75">
      <c r="A1067" s="2" t="str">
        <f>HYPERLINK("https://ibp.a2mac1.com/costing(costing:projects/details/8191/equipment/6948526)","Manufacturing Equipment")</f>
        <v>Manufacturing Equipment</v>
      </c>
      <c r="B1067">
        <v>6948526</v>
      </c>
      <c r="C1067">
        <v>6975907</v>
      </c>
      <c r="E1067" t="s">
        <v>603</v>
      </c>
      <c r="H1067" t="s">
        <v>136</v>
      </c>
      <c r="I1067">
        <v>373962.17573865002</v>
      </c>
      <c r="J1067">
        <v>0</v>
      </c>
      <c r="K1067">
        <v>3.3919999999999999</v>
      </c>
      <c r="L1067">
        <v>0</v>
      </c>
      <c r="M1067">
        <v>85.594214069133713</v>
      </c>
      <c r="N1067">
        <v>0</v>
      </c>
      <c r="O1067">
        <v>0.024442497755116997</v>
      </c>
      <c r="P1067">
        <v>0.0011797957575</v>
      </c>
      <c r="Q1067">
        <v>0.0044169504331110178</v>
      </c>
      <c r="R1067">
        <v>2750000.0039900001</v>
      </c>
      <c r="S1067">
        <v>0</v>
      </c>
      <c r="T1067">
        <v>0</v>
      </c>
      <c r="V1067">
        <v>5400</v>
      </c>
      <c r="W1067">
        <v>10</v>
      </c>
      <c r="X1067">
        <v>85</v>
      </c>
      <c r="Y1067">
        <v>4</v>
      </c>
      <c r="Z1067">
        <v>4</v>
      </c>
      <c r="AA1067">
        <v>5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80</v>
      </c>
      <c r="AM1067">
        <v>53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70</v>
      </c>
      <c r="AU1067">
        <v>0</v>
      </c>
      <c r="AV1067">
        <v>0</v>
      </c>
    </row>
    <row r="1068" spans="1:48" ht="12.75">
      <c r="A1068" s="2" t="str">
        <f>HYPERLINK("https://ibp.a2mac1.com/costing(costing:projects/details/8191/equipment/6948527)","Manufacturing Equipment")</f>
        <v>Manufacturing Equipment</v>
      </c>
      <c r="B1068">
        <v>6948527</v>
      </c>
      <c r="C1068">
        <v>6975908</v>
      </c>
      <c r="E1068" t="s">
        <v>603</v>
      </c>
      <c r="H1068" t="s">
        <v>136</v>
      </c>
      <c r="I1068">
        <v>373962.17573865002</v>
      </c>
      <c r="J1068">
        <v>0</v>
      </c>
      <c r="K1068">
        <v>3.3919999999999999</v>
      </c>
      <c r="L1068">
        <v>0</v>
      </c>
      <c r="M1068">
        <v>85.594214069133713</v>
      </c>
      <c r="N1068">
        <v>0</v>
      </c>
      <c r="O1068">
        <v>0.024442497755116997</v>
      </c>
      <c r="P1068">
        <v>0.0011797957575</v>
      </c>
      <c r="Q1068">
        <v>0.0044169504331110178</v>
      </c>
      <c r="R1068">
        <v>2750000.0039900001</v>
      </c>
      <c r="S1068">
        <v>0</v>
      </c>
      <c r="T1068">
        <v>0</v>
      </c>
      <c r="V1068">
        <v>5400</v>
      </c>
      <c r="W1068">
        <v>10</v>
      </c>
      <c r="X1068">
        <v>85</v>
      </c>
      <c r="Y1068">
        <v>4</v>
      </c>
      <c r="Z1068">
        <v>4</v>
      </c>
      <c r="AA1068">
        <v>5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80</v>
      </c>
      <c r="AM1068">
        <v>53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70</v>
      </c>
      <c r="AU1068">
        <v>0</v>
      </c>
      <c r="AV1068">
        <v>0</v>
      </c>
    </row>
    <row r="1069" spans="1:48" ht="12.75">
      <c r="A1069" s="2" t="str">
        <f>HYPERLINK("https://ibp.a2mac1.com/costing(costing:projects/details/8191/equipment/6948528)","Manufacturing Equipment")</f>
        <v>Manufacturing Equipment</v>
      </c>
      <c r="B1069">
        <v>6948528</v>
      </c>
      <c r="C1069">
        <v>6975909</v>
      </c>
      <c r="E1069" t="s">
        <v>603</v>
      </c>
      <c r="H1069" t="s">
        <v>136</v>
      </c>
      <c r="I1069">
        <v>373962.17573865002</v>
      </c>
      <c r="J1069">
        <v>0</v>
      </c>
      <c r="K1069">
        <v>3.3919999999999999</v>
      </c>
      <c r="L1069">
        <v>0</v>
      </c>
      <c r="M1069">
        <v>85.594214069133713</v>
      </c>
      <c r="N1069">
        <v>0</v>
      </c>
      <c r="O1069">
        <v>0.017987861848334199</v>
      </c>
      <c r="P1069">
        <v>0.00086824199833333338</v>
      </c>
      <c r="Q1069">
        <v>0.0044169504331110178</v>
      </c>
      <c r="R1069">
        <v>2750000.0039900001</v>
      </c>
      <c r="S1069">
        <v>0</v>
      </c>
      <c r="T1069">
        <v>0</v>
      </c>
      <c r="V1069">
        <v>5400</v>
      </c>
      <c r="W1069">
        <v>10</v>
      </c>
      <c r="X1069">
        <v>85</v>
      </c>
      <c r="Y1069">
        <v>4</v>
      </c>
      <c r="Z1069">
        <v>4</v>
      </c>
      <c r="AA1069">
        <v>5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80</v>
      </c>
      <c r="AM1069">
        <v>53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70</v>
      </c>
      <c r="AU1069">
        <v>0</v>
      </c>
      <c r="AV1069">
        <v>0</v>
      </c>
    </row>
    <row r="1070" spans="1:48" ht="12.75">
      <c r="A1070" s="2" t="str">
        <f>HYPERLINK("https://ibp.a2mac1.com/costing(costing:projects/details/8191/equipment/6948529)","Manufacturing Equipment")</f>
        <v>Manufacturing Equipment</v>
      </c>
      <c r="B1070">
        <v>6948529</v>
      </c>
      <c r="C1070">
        <v>6975910</v>
      </c>
      <c r="E1070" t="s">
        <v>603</v>
      </c>
      <c r="H1070" t="s">
        <v>136</v>
      </c>
      <c r="I1070">
        <v>373962.17573865002</v>
      </c>
      <c r="J1070">
        <v>0</v>
      </c>
      <c r="K1070">
        <v>3.3919999999999999</v>
      </c>
      <c r="L1070">
        <v>0</v>
      </c>
      <c r="M1070">
        <v>85.594214069133713</v>
      </c>
      <c r="N1070">
        <v>0</v>
      </c>
      <c r="O1070">
        <v>0.024442497755116997</v>
      </c>
      <c r="P1070">
        <v>0.0011797957575</v>
      </c>
      <c r="Q1070">
        <v>0.0044169504331110178</v>
      </c>
      <c r="R1070">
        <v>2750000.0039900001</v>
      </c>
      <c r="S1070">
        <v>0</v>
      </c>
      <c r="T1070">
        <v>0</v>
      </c>
      <c r="V1070">
        <v>5400</v>
      </c>
      <c r="W1070">
        <v>10</v>
      </c>
      <c r="X1070">
        <v>85</v>
      </c>
      <c r="Y1070">
        <v>4</v>
      </c>
      <c r="Z1070">
        <v>4</v>
      </c>
      <c r="AA1070">
        <v>5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80</v>
      </c>
      <c r="AM1070">
        <v>53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70</v>
      </c>
      <c r="AU1070">
        <v>0</v>
      </c>
      <c r="AV1070">
        <v>0</v>
      </c>
    </row>
    <row r="1071" spans="1:48" ht="12.75">
      <c r="A1071" s="2" t="str">
        <f>HYPERLINK("https://ibp.a2mac1.com/costing(costing:projects/details/8191/equipment/6948530)","Manufacturing Equipment")</f>
        <v>Manufacturing Equipment</v>
      </c>
      <c r="B1071">
        <v>6948530</v>
      </c>
      <c r="C1071">
        <v>6975911</v>
      </c>
      <c r="E1071" t="s">
        <v>603</v>
      </c>
      <c r="H1071" t="s">
        <v>136</v>
      </c>
      <c r="I1071">
        <v>373962.17627729999</v>
      </c>
      <c r="J1071">
        <v>0</v>
      </c>
      <c r="K1071">
        <v>3.3919999999999999</v>
      </c>
      <c r="L1071">
        <v>0</v>
      </c>
      <c r="M1071">
        <v>85.594214187769211</v>
      </c>
      <c r="N1071">
        <v>0</v>
      </c>
      <c r="O1071">
        <v>0.071951685254769179</v>
      </c>
      <c r="P1071">
        <v>0.0034729794696666668</v>
      </c>
      <c r="Q1071">
        <v>0.008833900876899229</v>
      </c>
      <c r="R1071">
        <v>2750000.0079800002</v>
      </c>
      <c r="S1071">
        <v>0</v>
      </c>
      <c r="T1071">
        <v>0</v>
      </c>
      <c r="V1071">
        <v>5400</v>
      </c>
      <c r="W1071">
        <v>10</v>
      </c>
      <c r="X1071">
        <v>85</v>
      </c>
      <c r="Y1071">
        <v>4</v>
      </c>
      <c r="Z1071">
        <v>4</v>
      </c>
      <c r="AA1071">
        <v>5</v>
      </c>
      <c r="AB1071">
        <v>0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80</v>
      </c>
      <c r="AM1071">
        <v>53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70</v>
      </c>
      <c r="AU1071">
        <v>0</v>
      </c>
      <c r="AV1071">
        <v>0</v>
      </c>
    </row>
    <row r="1072" spans="1:48" ht="12.75">
      <c r="A1072" s="2" t="str">
        <f>HYPERLINK("https://ibp.a2mac1.com/costing(costing:projects/details/8191/equipment/6948531)","Manufacturing Equipment")</f>
        <v>Manufacturing Equipment</v>
      </c>
      <c r="B1072">
        <v>6948531</v>
      </c>
      <c r="C1072">
        <v>6975912</v>
      </c>
      <c r="E1072" t="s">
        <v>603</v>
      </c>
      <c r="H1072" t="s">
        <v>136</v>
      </c>
      <c r="I1072">
        <v>373962.17627729999</v>
      </c>
      <c r="J1072">
        <v>0</v>
      </c>
      <c r="K1072">
        <v>3.3919999999999999</v>
      </c>
      <c r="L1072">
        <v>0</v>
      </c>
      <c r="M1072">
        <v>85.594214187769211</v>
      </c>
      <c r="N1072">
        <v>0</v>
      </c>
      <c r="O1072">
        <v>0.23914143725750231</v>
      </c>
      <c r="P1072">
        <v>0.011542930495666667</v>
      </c>
      <c r="Q1072">
        <v>0.008833900876899229</v>
      </c>
      <c r="R1072">
        <v>2750000.0079800002</v>
      </c>
      <c r="S1072">
        <v>0</v>
      </c>
      <c r="T1072">
        <v>0</v>
      </c>
      <c r="V1072">
        <v>5400</v>
      </c>
      <c r="W1072">
        <v>10</v>
      </c>
      <c r="X1072">
        <v>85</v>
      </c>
      <c r="Y1072">
        <v>4</v>
      </c>
      <c r="Z1072">
        <v>4</v>
      </c>
      <c r="AA1072">
        <v>5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80</v>
      </c>
      <c r="AM1072">
        <v>53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70</v>
      </c>
      <c r="AU1072">
        <v>0</v>
      </c>
      <c r="AV1072">
        <v>0</v>
      </c>
    </row>
    <row r="1073" spans="1:48" ht="12.75">
      <c r="A1073" s="2" t="str">
        <f>HYPERLINK("https://ibp.a2mac1.com/costing(costing:projects/details/8191/equipment/6948532)","Manufacturing Equipment")</f>
        <v>Manufacturing Equipment</v>
      </c>
      <c r="B1073">
        <v>6948532</v>
      </c>
      <c r="C1073">
        <v>6975913</v>
      </c>
      <c r="E1073" t="s">
        <v>603</v>
      </c>
      <c r="H1073" t="s">
        <v>136</v>
      </c>
      <c r="I1073">
        <v>373962.17573865002</v>
      </c>
      <c r="J1073">
        <v>0</v>
      </c>
      <c r="K1073">
        <v>3.3919999999999999</v>
      </c>
      <c r="L1073">
        <v>0</v>
      </c>
      <c r="M1073">
        <v>85.594214069133713</v>
      </c>
      <c r="N1073">
        <v>0</v>
      </c>
      <c r="O1073">
        <v>0.13917072355717924</v>
      </c>
      <c r="P1073">
        <v>0.0067175225243333329</v>
      </c>
      <c r="Q1073">
        <v>0.0044169504331110178</v>
      </c>
      <c r="R1073">
        <v>2750000.0039900001</v>
      </c>
      <c r="S1073">
        <v>0</v>
      </c>
      <c r="T1073">
        <v>0</v>
      </c>
      <c r="V1073">
        <v>5400</v>
      </c>
      <c r="W1073">
        <v>10</v>
      </c>
      <c r="X1073">
        <v>85</v>
      </c>
      <c r="Y1073">
        <v>4</v>
      </c>
      <c r="Z1073">
        <v>4</v>
      </c>
      <c r="AA1073">
        <v>5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80</v>
      </c>
      <c r="AM1073">
        <v>53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70</v>
      </c>
      <c r="AU1073">
        <v>0</v>
      </c>
      <c r="AV1073">
        <v>0</v>
      </c>
    </row>
    <row r="1074" spans="1:48" ht="12.75">
      <c r="A1074" s="2" t="str">
        <f>HYPERLINK("https://ibp.a2mac1.com/costing(costing:projects/details/8191/equipment/6948533)","Manufacturing Equipment")</f>
        <v>Manufacturing Equipment</v>
      </c>
      <c r="B1074">
        <v>6948533</v>
      </c>
      <c r="C1074">
        <v>6975914</v>
      </c>
      <c r="E1074" t="s">
        <v>603</v>
      </c>
      <c r="H1074" t="s">
        <v>136</v>
      </c>
      <c r="I1074">
        <v>373962.17627729999</v>
      </c>
      <c r="J1074">
        <v>0</v>
      </c>
      <c r="K1074">
        <v>3.3919999999999999</v>
      </c>
      <c r="L1074">
        <v>0</v>
      </c>
      <c r="M1074">
        <v>85.594214187769211</v>
      </c>
      <c r="N1074">
        <v>0</v>
      </c>
      <c r="O1074">
        <v>0.0061760980770597029</v>
      </c>
      <c r="P1074">
        <v>0.00029810923466666665</v>
      </c>
      <c r="Q1074">
        <v>0.008833900876899229</v>
      </c>
      <c r="R1074">
        <v>2750000.0079800002</v>
      </c>
      <c r="S1074">
        <v>0</v>
      </c>
      <c r="T1074">
        <v>0</v>
      </c>
      <c r="V1074">
        <v>5400</v>
      </c>
      <c r="W1074">
        <v>10</v>
      </c>
      <c r="X1074">
        <v>85</v>
      </c>
      <c r="Y1074">
        <v>4</v>
      </c>
      <c r="Z1074">
        <v>4</v>
      </c>
      <c r="AA1074">
        <v>5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1</v>
      </c>
      <c r="AJ1074">
        <v>0</v>
      </c>
      <c r="AK1074">
        <v>0</v>
      </c>
      <c r="AL1074">
        <v>80</v>
      </c>
      <c r="AM1074">
        <v>53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70</v>
      </c>
      <c r="AU1074">
        <v>0</v>
      </c>
      <c r="AV1074">
        <v>0</v>
      </c>
    </row>
    <row r="1075" spans="1:48" ht="12.75">
      <c r="A1075" s="2" t="str">
        <f>HYPERLINK("https://ibp.a2mac1.com/costing(costing:projects/details/8191/equipment/6948534)","Manufacturing Equipment")</f>
        <v>Manufacturing Equipment</v>
      </c>
      <c r="B1075">
        <v>6948534</v>
      </c>
      <c r="C1075">
        <v>6975915</v>
      </c>
      <c r="E1075" t="s">
        <v>603</v>
      </c>
      <c r="H1075" t="s">
        <v>136</v>
      </c>
      <c r="I1075">
        <v>373962.17573865002</v>
      </c>
      <c r="J1075">
        <v>0</v>
      </c>
      <c r="K1075">
        <v>3.3919999999999999</v>
      </c>
      <c r="L1075">
        <v>0</v>
      </c>
      <c r="M1075">
        <v>85.594214069133713</v>
      </c>
      <c r="N1075">
        <v>0</v>
      </c>
      <c r="O1075">
        <v>0.0051629954403089968</v>
      </c>
      <c r="P1075">
        <v>0.00024920857833333332</v>
      </c>
      <c r="Q1075">
        <v>0.0044169504331110178</v>
      </c>
      <c r="R1075">
        <v>2750000.0039900001</v>
      </c>
      <c r="S1075">
        <v>0</v>
      </c>
      <c r="T1075">
        <v>0</v>
      </c>
      <c r="V1075">
        <v>5400</v>
      </c>
      <c r="W1075">
        <v>10</v>
      </c>
      <c r="X1075">
        <v>85</v>
      </c>
      <c r="Y1075">
        <v>4</v>
      </c>
      <c r="Z1075">
        <v>4</v>
      </c>
      <c r="AA1075">
        <v>5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80</v>
      </c>
      <c r="AM1075">
        <v>53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70</v>
      </c>
      <c r="AU1075">
        <v>0</v>
      </c>
      <c r="AV1075">
        <v>0</v>
      </c>
    </row>
    <row r="1076" spans="1:48" ht="12.75">
      <c r="A1076" s="2" t="str">
        <f>HYPERLINK("https://ibp.a2mac1.com/costing(costing:projects/details/8191/equipment/6948738)","Manufacturing Equipment")</f>
        <v>Manufacturing Equipment</v>
      </c>
      <c r="B1076">
        <v>6948738</v>
      </c>
      <c r="C1076">
        <v>6976144</v>
      </c>
      <c r="E1076" t="s">
        <v>603</v>
      </c>
      <c r="H1076" t="s">
        <v>136</v>
      </c>
      <c r="I1076">
        <v>373962.17627729999</v>
      </c>
      <c r="J1076">
        <v>0</v>
      </c>
      <c r="K1076">
        <v>3.3919999999999999</v>
      </c>
      <c r="L1076">
        <v>0</v>
      </c>
      <c r="M1076">
        <v>85.594214187769211</v>
      </c>
      <c r="N1076">
        <v>0</v>
      </c>
      <c r="O1076">
        <v>0.034792740377944761</v>
      </c>
      <c r="P1076">
        <v>0.0016793835001666668</v>
      </c>
      <c r="Q1076">
        <v>0.008833900876899229</v>
      </c>
      <c r="R1076">
        <v>2750000.0079800002</v>
      </c>
      <c r="S1076">
        <v>0</v>
      </c>
      <c r="T1076">
        <v>0</v>
      </c>
      <c r="V1076">
        <v>5400</v>
      </c>
      <c r="W1076">
        <v>10</v>
      </c>
      <c r="X1076">
        <v>85</v>
      </c>
      <c r="Y1076">
        <v>4</v>
      </c>
      <c r="Z1076">
        <v>4</v>
      </c>
      <c r="AA1076">
        <v>5</v>
      </c>
      <c r="AB1076">
        <v>0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80</v>
      </c>
      <c r="AM1076">
        <v>53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70</v>
      </c>
      <c r="AU1076">
        <v>0</v>
      </c>
      <c r="AV1076">
        <v>0</v>
      </c>
    </row>
    <row r="1077" spans="1:48" ht="12.75">
      <c r="A1077" s="2" t="str">
        <f>HYPERLINK("https://ibp.a2mac1.com/costing(costing:projects/details/8191/equipment/6948739)","Manufacturing Equipment")</f>
        <v>Manufacturing Equipment</v>
      </c>
      <c r="B1077">
        <v>6948739</v>
      </c>
      <c r="C1077">
        <v>6976145</v>
      </c>
      <c r="E1077" t="s">
        <v>603</v>
      </c>
      <c r="H1077" t="s">
        <v>136</v>
      </c>
      <c r="I1077">
        <v>373962.17573865002</v>
      </c>
      <c r="J1077">
        <v>0</v>
      </c>
      <c r="K1077">
        <v>3.3919999999999999</v>
      </c>
      <c r="L1077">
        <v>0</v>
      </c>
      <c r="M1077">
        <v>85.594214069133713</v>
      </c>
      <c r="N1077">
        <v>0</v>
      </c>
      <c r="O1077">
        <v>0.034792740329721246</v>
      </c>
      <c r="P1077">
        <v>0.0016793835001666668</v>
      </c>
      <c r="Q1077">
        <v>0.0044169504331110178</v>
      </c>
      <c r="R1077">
        <v>2750000.0039900001</v>
      </c>
      <c r="S1077">
        <v>0</v>
      </c>
      <c r="T1077">
        <v>0</v>
      </c>
      <c r="V1077">
        <v>5400</v>
      </c>
      <c r="W1077">
        <v>10</v>
      </c>
      <c r="X1077">
        <v>85</v>
      </c>
      <c r="Y1077">
        <v>4</v>
      </c>
      <c r="Z1077">
        <v>4</v>
      </c>
      <c r="AA1077">
        <v>5</v>
      </c>
      <c r="AB1077">
        <v>0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80</v>
      </c>
      <c r="AM1077">
        <v>53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70</v>
      </c>
      <c r="AU1077">
        <v>0</v>
      </c>
      <c r="AV1077">
        <v>0</v>
      </c>
    </row>
    <row r="1078" spans="1:48" ht="12.75">
      <c r="A1078" s="2" t="str">
        <f>HYPERLINK("https://ibp.a2mac1.com/costing(costing:projects/details/8191/equipment/6948443)","Manufacturing Equipment")</f>
        <v>Manufacturing Equipment</v>
      </c>
      <c r="B1078">
        <v>6948443</v>
      </c>
      <c r="C1078">
        <v>6975848</v>
      </c>
      <c r="E1078" t="s">
        <v>603</v>
      </c>
      <c r="H1078" t="s">
        <v>136</v>
      </c>
      <c r="I1078">
        <v>373962.17627729999</v>
      </c>
      <c r="J1078">
        <v>0</v>
      </c>
      <c r="K1078">
        <v>3.3919999999999999</v>
      </c>
      <c r="L1078">
        <v>0</v>
      </c>
      <c r="M1078">
        <v>85.594214187769211</v>
      </c>
      <c r="N1078">
        <v>0</v>
      </c>
      <c r="O1078">
        <v>0.23914143725750231</v>
      </c>
      <c r="P1078">
        <v>0.011542930495666667</v>
      </c>
      <c r="Q1078">
        <v>0.008833900876899229</v>
      </c>
      <c r="R1078">
        <v>2750000.0079800002</v>
      </c>
      <c r="S1078">
        <v>0</v>
      </c>
      <c r="T1078">
        <v>0</v>
      </c>
      <c r="V1078">
        <v>5400</v>
      </c>
      <c r="W1078">
        <v>10</v>
      </c>
      <c r="X1078">
        <v>85</v>
      </c>
      <c r="Y1078">
        <v>4</v>
      </c>
      <c r="Z1078">
        <v>4</v>
      </c>
      <c r="AA1078">
        <v>5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80</v>
      </c>
      <c r="AM1078">
        <v>53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70</v>
      </c>
      <c r="AU1078">
        <v>0</v>
      </c>
      <c r="AV1078">
        <v>0</v>
      </c>
    </row>
    <row r="1079" spans="1:48" ht="12.75">
      <c r="A1079" s="2" t="str">
        <f>HYPERLINK("https://ibp.a2mac1.com/costing(costing:projects/details/8191/equipment/6948444)","Manufacturing Equipment")</f>
        <v>Manufacturing Equipment</v>
      </c>
      <c r="B1079">
        <v>6948444</v>
      </c>
      <c r="C1079">
        <v>6975849</v>
      </c>
      <c r="E1079" t="s">
        <v>603</v>
      </c>
      <c r="H1079" t="s">
        <v>136</v>
      </c>
      <c r="I1079">
        <v>373962.17627729999</v>
      </c>
      <c r="J1079">
        <v>0</v>
      </c>
      <c r="K1079">
        <v>3.3919999999999999</v>
      </c>
      <c r="L1079">
        <v>0</v>
      </c>
      <c r="M1079">
        <v>85.594214187769211</v>
      </c>
      <c r="N1079">
        <v>0</v>
      </c>
      <c r="O1079">
        <v>0.28844132701259662</v>
      </c>
      <c r="P1079">
        <v>0.013922548212333333</v>
      </c>
      <c r="Q1079">
        <v>0.008833900876899229</v>
      </c>
      <c r="R1079">
        <v>2750000.0079800002</v>
      </c>
      <c r="S1079">
        <v>0</v>
      </c>
      <c r="T1079">
        <v>0</v>
      </c>
      <c r="V1079">
        <v>5400</v>
      </c>
      <c r="W1079">
        <v>10</v>
      </c>
      <c r="X1079">
        <v>85</v>
      </c>
      <c r="Y1079">
        <v>4</v>
      </c>
      <c r="Z1079">
        <v>4</v>
      </c>
      <c r="AA1079">
        <v>5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80</v>
      </c>
      <c r="AM1079">
        <v>53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70</v>
      </c>
      <c r="AU1079">
        <v>0</v>
      </c>
      <c r="AV1079">
        <v>0</v>
      </c>
    </row>
    <row r="1080" spans="1:48" ht="12.75">
      <c r="A1080" s="2" t="str">
        <f>HYPERLINK("https://ibp.a2mac1.com/costing(costing:projects/details/8191/equipment/6948445)","Manufacturing Equipment")</f>
        <v>Manufacturing Equipment</v>
      </c>
      <c r="B1080">
        <v>6948445</v>
      </c>
      <c r="C1080">
        <v>6975850</v>
      </c>
      <c r="E1080" t="s">
        <v>603</v>
      </c>
      <c r="H1080" t="s">
        <v>136</v>
      </c>
      <c r="I1080">
        <v>373962.17627729999</v>
      </c>
      <c r="J1080">
        <v>0</v>
      </c>
      <c r="K1080">
        <v>3.3919999999999999</v>
      </c>
      <c r="L1080">
        <v>0</v>
      </c>
      <c r="M1080">
        <v>85.594214187769211</v>
      </c>
      <c r="N1080">
        <v>0</v>
      </c>
      <c r="O1080">
        <v>0.034792740377944761</v>
      </c>
      <c r="P1080">
        <v>0.0016793835001666668</v>
      </c>
      <c r="Q1080">
        <v>0.008833900876899229</v>
      </c>
      <c r="R1080">
        <v>2750000.0079800002</v>
      </c>
      <c r="S1080">
        <v>0</v>
      </c>
      <c r="T1080">
        <v>0</v>
      </c>
      <c r="V1080">
        <v>5400</v>
      </c>
      <c r="W1080">
        <v>10</v>
      </c>
      <c r="X1080">
        <v>85</v>
      </c>
      <c r="Y1080">
        <v>4</v>
      </c>
      <c r="Z1080">
        <v>4</v>
      </c>
      <c r="AA1080">
        <v>5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1</v>
      </c>
      <c r="AJ1080">
        <v>0</v>
      </c>
      <c r="AK1080">
        <v>0</v>
      </c>
      <c r="AL1080">
        <v>80</v>
      </c>
      <c r="AM1080">
        <v>53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70</v>
      </c>
      <c r="AU1080">
        <v>0</v>
      </c>
      <c r="AV1080">
        <v>0</v>
      </c>
    </row>
    <row r="1081" spans="1:48" ht="12.75">
      <c r="A1081" s="2" t="str">
        <f>HYPERLINK("https://ibp.a2mac1.com/costing(costing:projects/details/8191/equipment/6948446)","Manufacturing Equipment")</f>
        <v>Manufacturing Equipment</v>
      </c>
      <c r="B1081">
        <v>6948446</v>
      </c>
      <c r="C1081">
        <v>6975851</v>
      </c>
      <c r="E1081" t="s">
        <v>603</v>
      </c>
      <c r="H1081" t="s">
        <v>136</v>
      </c>
      <c r="I1081">
        <v>373962.17627729999</v>
      </c>
      <c r="J1081">
        <v>0</v>
      </c>
      <c r="K1081">
        <v>3.3919999999999999</v>
      </c>
      <c r="L1081">
        <v>0</v>
      </c>
      <c r="M1081">
        <v>85.594214187769211</v>
      </c>
      <c r="N1081">
        <v>0</v>
      </c>
      <c r="O1081">
        <v>0.0061760980770597029</v>
      </c>
      <c r="P1081">
        <v>0.00029810923466666665</v>
      </c>
      <c r="Q1081">
        <v>0.008833900876899229</v>
      </c>
      <c r="R1081">
        <v>2750000.0079800002</v>
      </c>
      <c r="S1081">
        <v>0</v>
      </c>
      <c r="T1081">
        <v>0</v>
      </c>
      <c r="V1081">
        <v>5400</v>
      </c>
      <c r="W1081">
        <v>10</v>
      </c>
      <c r="X1081">
        <v>85</v>
      </c>
      <c r="Y1081">
        <v>4</v>
      </c>
      <c r="Z1081">
        <v>4</v>
      </c>
      <c r="AA1081">
        <v>5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80</v>
      </c>
      <c r="AM1081">
        <v>53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70</v>
      </c>
      <c r="AU1081">
        <v>0</v>
      </c>
      <c r="AV1081">
        <v>0</v>
      </c>
    </row>
    <row r="1082" spans="1:48" ht="12.75">
      <c r="A1082" s="2" t="str">
        <f>HYPERLINK("https://ibp.a2mac1.com/costing(costing:projects/details/8191/equipment/6948447)","Manufacturing Equipment")</f>
        <v>Manufacturing Equipment</v>
      </c>
      <c r="B1082">
        <v>6948447</v>
      </c>
      <c r="C1082">
        <v>6975852</v>
      </c>
      <c r="E1082" t="s">
        <v>603</v>
      </c>
      <c r="H1082" t="s">
        <v>136</v>
      </c>
      <c r="I1082">
        <v>373962.17573865002</v>
      </c>
      <c r="J1082">
        <v>0</v>
      </c>
      <c r="K1082">
        <v>3.3919999999999999</v>
      </c>
      <c r="L1082">
        <v>0</v>
      </c>
      <c r="M1082">
        <v>85.594214069133713</v>
      </c>
      <c r="N1082">
        <v>0</v>
      </c>
      <c r="O1082">
        <v>0.017987861848334199</v>
      </c>
      <c r="P1082">
        <v>0.00086824199833333338</v>
      </c>
      <c r="Q1082">
        <v>0.0044169504331110178</v>
      </c>
      <c r="R1082">
        <v>2750000.0039900001</v>
      </c>
      <c r="S1082">
        <v>0</v>
      </c>
      <c r="T1082">
        <v>0</v>
      </c>
      <c r="V1082">
        <v>5400</v>
      </c>
      <c r="W1082">
        <v>10</v>
      </c>
      <c r="X1082">
        <v>85</v>
      </c>
      <c r="Y1082">
        <v>4</v>
      </c>
      <c r="Z1082">
        <v>4</v>
      </c>
      <c r="AA1082">
        <v>5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80</v>
      </c>
      <c r="AM1082">
        <v>53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70</v>
      </c>
      <c r="AU1082">
        <v>0</v>
      </c>
      <c r="AV1082">
        <v>0</v>
      </c>
    </row>
    <row r="1083" spans="1:48" ht="12.75">
      <c r="A1083" s="2" t="str">
        <f>HYPERLINK("https://ibp.a2mac1.com/costing(costing:projects/details/8191/equipment/6948448)","Manufacturing Equipment")</f>
        <v>Manufacturing Equipment</v>
      </c>
      <c r="B1083">
        <v>6948448</v>
      </c>
      <c r="C1083">
        <v>6975853</v>
      </c>
      <c r="E1083" t="s">
        <v>603</v>
      </c>
      <c r="H1083" t="s">
        <v>136</v>
      </c>
      <c r="I1083">
        <v>373962.17573865002</v>
      </c>
      <c r="J1083">
        <v>0</v>
      </c>
      <c r="K1083">
        <v>3.3919999999999999</v>
      </c>
      <c r="L1083">
        <v>0</v>
      </c>
      <c r="M1083">
        <v>85.594214069133713</v>
      </c>
      <c r="N1083">
        <v>0</v>
      </c>
      <c r="O1083">
        <v>0.0051629954403089968</v>
      </c>
      <c r="P1083">
        <v>0.00024920857833333332</v>
      </c>
      <c r="Q1083">
        <v>0.0044169504331110178</v>
      </c>
      <c r="R1083">
        <v>2750000.0039900001</v>
      </c>
      <c r="S1083">
        <v>0</v>
      </c>
      <c r="T1083">
        <v>0</v>
      </c>
      <c r="V1083">
        <v>5400</v>
      </c>
      <c r="W1083">
        <v>10</v>
      </c>
      <c r="X1083">
        <v>85</v>
      </c>
      <c r="Y1083">
        <v>4</v>
      </c>
      <c r="Z1083">
        <v>4</v>
      </c>
      <c r="AA1083">
        <v>5</v>
      </c>
      <c r="AB1083">
        <v>0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80</v>
      </c>
      <c r="AM1083">
        <v>53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70</v>
      </c>
      <c r="AU1083">
        <v>0</v>
      </c>
      <c r="AV1083">
        <v>0</v>
      </c>
    </row>
    <row r="1084" spans="1:48" ht="12.75">
      <c r="A1084" s="2" t="str">
        <f>HYPERLINK("https://ibp.a2mac1.com/costing(costing:projects/details/8191/equipment/6948449)","Manufacturing Equipment")</f>
        <v>Manufacturing Equipment</v>
      </c>
      <c r="B1084">
        <v>6948449</v>
      </c>
      <c r="C1084">
        <v>6975854</v>
      </c>
      <c r="E1084" t="s">
        <v>603</v>
      </c>
      <c r="H1084" t="s">
        <v>136</v>
      </c>
      <c r="I1084">
        <v>373962.17573865002</v>
      </c>
      <c r="J1084">
        <v>0</v>
      </c>
      <c r="K1084">
        <v>3.3919999999999999</v>
      </c>
      <c r="L1084">
        <v>0</v>
      </c>
      <c r="M1084">
        <v>85.594214069133713</v>
      </c>
      <c r="N1084">
        <v>0</v>
      </c>
      <c r="O1084">
        <v>0.020651743999530237</v>
      </c>
      <c r="P1084">
        <v>0.00099682283699999998</v>
      </c>
      <c r="Q1084">
        <v>0.0044169504331110178</v>
      </c>
      <c r="R1084">
        <v>2750000.0039900001</v>
      </c>
      <c r="S1084">
        <v>0</v>
      </c>
      <c r="T1084">
        <v>0</v>
      </c>
      <c r="V1084">
        <v>5400</v>
      </c>
      <c r="W1084">
        <v>10</v>
      </c>
      <c r="X1084">
        <v>85</v>
      </c>
      <c r="Y1084">
        <v>4</v>
      </c>
      <c r="Z1084">
        <v>4</v>
      </c>
      <c r="AA1084">
        <v>5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1</v>
      </c>
      <c r="AJ1084">
        <v>0</v>
      </c>
      <c r="AK1084">
        <v>0</v>
      </c>
      <c r="AL1084">
        <v>80</v>
      </c>
      <c r="AM1084">
        <v>53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70</v>
      </c>
      <c r="AU1084">
        <v>0</v>
      </c>
      <c r="AV1084">
        <v>0</v>
      </c>
    </row>
    <row r="1085" spans="1:48" ht="12.75">
      <c r="A1085" s="2" t="str">
        <f>HYPERLINK("https://ibp.a2mac1.com/costing(costing:projects/details/8191/equipment/6948450)","Manufacturing Equipment")</f>
        <v>Manufacturing Equipment</v>
      </c>
      <c r="B1085">
        <v>6948450</v>
      </c>
      <c r="C1085">
        <v>6975855</v>
      </c>
      <c r="E1085" t="s">
        <v>603</v>
      </c>
      <c r="H1085" t="s">
        <v>136</v>
      </c>
      <c r="I1085">
        <v>373962.17627729999</v>
      </c>
      <c r="J1085">
        <v>0</v>
      </c>
      <c r="K1085">
        <v>3.3919999999999999</v>
      </c>
      <c r="L1085">
        <v>0</v>
      </c>
      <c r="M1085">
        <v>85.594214187769211</v>
      </c>
      <c r="N1085">
        <v>0</v>
      </c>
      <c r="O1085">
        <v>0.071951685254769179</v>
      </c>
      <c r="P1085">
        <v>0.0034729794696666668</v>
      </c>
      <c r="Q1085">
        <v>0.008833900876899229</v>
      </c>
      <c r="R1085">
        <v>2750000.0079800002</v>
      </c>
      <c r="S1085">
        <v>0</v>
      </c>
      <c r="T1085">
        <v>0</v>
      </c>
      <c r="V1085">
        <v>5400</v>
      </c>
      <c r="W1085">
        <v>10</v>
      </c>
      <c r="X1085">
        <v>85</v>
      </c>
      <c r="Y1085">
        <v>4</v>
      </c>
      <c r="Z1085">
        <v>4</v>
      </c>
      <c r="AA1085">
        <v>5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80</v>
      </c>
      <c r="AM1085">
        <v>53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70</v>
      </c>
      <c r="AU1085">
        <v>0</v>
      </c>
      <c r="AV1085">
        <v>0</v>
      </c>
    </row>
    <row r="1086" spans="1:48" ht="12.75">
      <c r="A1086" s="2" t="str">
        <f>HYPERLINK("https://ibp.a2mac1.com/costing(costing:projects/details/8191/equipment/6948451)","Manufacturing Equipment")</f>
        <v>Manufacturing Equipment</v>
      </c>
      <c r="B1086">
        <v>6948451</v>
      </c>
      <c r="C1086">
        <v>6975859</v>
      </c>
      <c r="E1086" t="s">
        <v>603</v>
      </c>
      <c r="H1086" t="s">
        <v>136</v>
      </c>
      <c r="I1086">
        <v>373962.17573865002</v>
      </c>
      <c r="J1086">
        <v>0</v>
      </c>
      <c r="K1086">
        <v>3.3919999999999999</v>
      </c>
      <c r="L1086">
        <v>0</v>
      </c>
      <c r="M1086">
        <v>85.594214069133713</v>
      </c>
      <c r="N1086">
        <v>0</v>
      </c>
      <c r="O1086">
        <v>0.017987861848334199</v>
      </c>
      <c r="P1086">
        <v>0.00086824199833333338</v>
      </c>
      <c r="Q1086">
        <v>0.0044169504331110178</v>
      </c>
      <c r="R1086">
        <v>2750000.0039900001</v>
      </c>
      <c r="S1086">
        <v>0</v>
      </c>
      <c r="T1086">
        <v>0</v>
      </c>
      <c r="V1086">
        <v>5400</v>
      </c>
      <c r="W1086">
        <v>10</v>
      </c>
      <c r="X1086">
        <v>85</v>
      </c>
      <c r="Y1086">
        <v>4</v>
      </c>
      <c r="Z1086">
        <v>4</v>
      </c>
      <c r="AA1086">
        <v>5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80</v>
      </c>
      <c r="AM1086">
        <v>53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70</v>
      </c>
      <c r="AU1086">
        <v>0</v>
      </c>
      <c r="AV1086">
        <v>0</v>
      </c>
    </row>
    <row r="1087" spans="1:48" ht="12.75">
      <c r="A1087" s="2" t="str">
        <f>HYPERLINK("https://ibp.a2mac1.com/costing(costing:projects/details/8191/equipment/6948535)","Manufacturing Equipment")</f>
        <v>Manufacturing Equipment</v>
      </c>
      <c r="B1087">
        <v>6948535</v>
      </c>
      <c r="C1087">
        <v>6975916</v>
      </c>
      <c r="E1087" t="s">
        <v>603</v>
      </c>
      <c r="H1087" t="s">
        <v>136</v>
      </c>
      <c r="I1087">
        <v>373962.17573865002</v>
      </c>
      <c r="J1087">
        <v>0</v>
      </c>
      <c r="K1087">
        <v>3.3919999999999999</v>
      </c>
      <c r="L1087">
        <v>0</v>
      </c>
      <c r="M1087">
        <v>85.594214069133713</v>
      </c>
      <c r="N1087">
        <v>0</v>
      </c>
      <c r="O1087">
        <v>3.3893002482831203</v>
      </c>
      <c r="P1087">
        <v>0.16359547595666668</v>
      </c>
      <c r="Q1087">
        <v>0.0044169504331110178</v>
      </c>
      <c r="R1087">
        <v>2750000.0039900001</v>
      </c>
      <c r="S1087">
        <v>0</v>
      </c>
      <c r="T1087">
        <v>0</v>
      </c>
      <c r="V1087">
        <v>5400</v>
      </c>
      <c r="W1087">
        <v>10</v>
      </c>
      <c r="X1087">
        <v>85</v>
      </c>
      <c r="Y1087">
        <v>4</v>
      </c>
      <c r="Z1087">
        <v>4</v>
      </c>
      <c r="AA1087">
        <v>5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80</v>
      </c>
      <c r="AM1087">
        <v>53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70</v>
      </c>
      <c r="AU1087">
        <v>0</v>
      </c>
      <c r="AV1087">
        <v>0</v>
      </c>
    </row>
    <row r="1088" spans="1:48" ht="12.75">
      <c r="A1088" s="2" t="str">
        <f>HYPERLINK("https://ibp.a2mac1.com/costing(costing:projects/details/8191/equipment/6948536)","Manufacturing Equipment")</f>
        <v>Manufacturing Equipment</v>
      </c>
      <c r="B1088">
        <v>6948536</v>
      </c>
      <c r="C1088">
        <v>6975917</v>
      </c>
      <c r="E1088" t="s">
        <v>603</v>
      </c>
      <c r="H1088" t="s">
        <v>136</v>
      </c>
      <c r="I1088">
        <v>373962.17573865002</v>
      </c>
      <c r="J1088">
        <v>0</v>
      </c>
      <c r="K1088">
        <v>3.3919999999999999</v>
      </c>
      <c r="L1088">
        <v>0</v>
      </c>
      <c r="M1088">
        <v>85.594214069133713</v>
      </c>
      <c r="N1088">
        <v>0</v>
      </c>
      <c r="O1088">
        <v>0.097769753258762249</v>
      </c>
      <c r="P1088">
        <v>0.0047191715536666666</v>
      </c>
      <c r="Q1088">
        <v>0.0044169504331110178</v>
      </c>
      <c r="R1088">
        <v>2750000.0039900001</v>
      </c>
      <c r="S1088">
        <v>0</v>
      </c>
      <c r="T1088">
        <v>0</v>
      </c>
      <c r="V1088">
        <v>5400</v>
      </c>
      <c r="W1088">
        <v>10</v>
      </c>
      <c r="X1088">
        <v>85</v>
      </c>
      <c r="Y1088">
        <v>4</v>
      </c>
      <c r="Z1088">
        <v>4</v>
      </c>
      <c r="AA1088">
        <v>5</v>
      </c>
      <c r="AB1088">
        <v>0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80</v>
      </c>
      <c r="AM1088">
        <v>53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70</v>
      </c>
      <c r="AU1088">
        <v>0</v>
      </c>
      <c r="AV1088">
        <v>0</v>
      </c>
    </row>
    <row r="1089" spans="1:48" ht="12.75">
      <c r="A1089" s="2" t="str">
        <f>HYPERLINK("https://ibp.a2mac1.com/costing(costing:projects/details/8191/equipment/6948537)","Manufacturing Equipment")</f>
        <v>Manufacturing Equipment</v>
      </c>
      <c r="B1089">
        <v>6948537</v>
      </c>
      <c r="C1089">
        <v>6975918</v>
      </c>
      <c r="E1089" t="s">
        <v>603</v>
      </c>
      <c r="H1089" t="s">
        <v>136</v>
      </c>
      <c r="I1089">
        <v>373962.17573865002</v>
      </c>
      <c r="J1089">
        <v>0</v>
      </c>
      <c r="K1089">
        <v>3.3919999999999999</v>
      </c>
      <c r="L1089">
        <v>0</v>
      </c>
      <c r="M1089">
        <v>85.594214069133713</v>
      </c>
      <c r="N1089">
        <v>0</v>
      </c>
      <c r="O1089">
        <v>0.071951685155042536</v>
      </c>
      <c r="P1089">
        <v>0.0034729794696666668</v>
      </c>
      <c r="Q1089">
        <v>0.0044169504331110178</v>
      </c>
      <c r="R1089">
        <v>2750000.0039900001</v>
      </c>
      <c r="S1089">
        <v>0</v>
      </c>
      <c r="T1089">
        <v>0</v>
      </c>
      <c r="V1089">
        <v>5400</v>
      </c>
      <c r="W1089">
        <v>10</v>
      </c>
      <c r="X1089">
        <v>85</v>
      </c>
      <c r="Y1089">
        <v>4</v>
      </c>
      <c r="Z1089">
        <v>4</v>
      </c>
      <c r="AA1089">
        <v>5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80</v>
      </c>
      <c r="AM1089">
        <v>53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70</v>
      </c>
      <c r="AU1089">
        <v>0</v>
      </c>
      <c r="AV1089">
        <v>0</v>
      </c>
    </row>
    <row r="1090" spans="1:48" ht="12.75">
      <c r="A1090" s="2" t="str">
        <f>HYPERLINK("https://ibp.a2mac1.com/costing(costing:projects/details/8191/equipment/6948538)","Manufacturing Equipment")</f>
        <v>Manufacturing Equipment</v>
      </c>
      <c r="B1090">
        <v>6948538</v>
      </c>
      <c r="C1090">
        <v>6975919</v>
      </c>
      <c r="E1090" t="s">
        <v>603</v>
      </c>
      <c r="H1090" t="s">
        <v>136</v>
      </c>
      <c r="I1090">
        <v>373962.17573865002</v>
      </c>
      <c r="J1090">
        <v>0</v>
      </c>
      <c r="K1090">
        <v>3.3919999999999999</v>
      </c>
      <c r="L1090">
        <v>0</v>
      </c>
      <c r="M1090">
        <v>85.594214069133713</v>
      </c>
      <c r="N1090">
        <v>0</v>
      </c>
      <c r="O1090">
        <v>0.15984553044216698</v>
      </c>
      <c r="P1090">
        <v>0.0077154585656666668</v>
      </c>
      <c r="Q1090">
        <v>0.0044169504331110178</v>
      </c>
      <c r="R1090">
        <v>2750000.0039900001</v>
      </c>
      <c r="S1090">
        <v>0</v>
      </c>
      <c r="T1090">
        <v>0</v>
      </c>
      <c r="V1090">
        <v>5400</v>
      </c>
      <c r="W1090">
        <v>10</v>
      </c>
      <c r="X1090">
        <v>85</v>
      </c>
      <c r="Y1090">
        <v>4</v>
      </c>
      <c r="Z1090">
        <v>4</v>
      </c>
      <c r="AA1090">
        <v>5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80</v>
      </c>
      <c r="AM1090">
        <v>53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70</v>
      </c>
      <c r="AU1090">
        <v>0</v>
      </c>
      <c r="AV1090">
        <v>0</v>
      </c>
    </row>
    <row r="1091" spans="1:48" ht="12.75">
      <c r="A1091" s="2" t="str">
        <f>HYPERLINK("https://ibp.a2mac1.com/costing(costing:projects/details/8191/equipment/6948539)","Manufacturing Equipment")</f>
        <v>Manufacturing Equipment</v>
      </c>
      <c r="B1091">
        <v>6948539</v>
      </c>
      <c r="C1091">
        <v>6975920</v>
      </c>
      <c r="E1091" t="s">
        <v>603</v>
      </c>
      <c r="H1091" t="s">
        <v>136</v>
      </c>
      <c r="I1091">
        <v>373962.17573865002</v>
      </c>
      <c r="J1091">
        <v>0</v>
      </c>
      <c r="K1091">
        <v>3.3919999999999999</v>
      </c>
      <c r="L1091">
        <v>0</v>
      </c>
      <c r="M1091">
        <v>85.594214069133713</v>
      </c>
      <c r="N1091">
        <v>0</v>
      </c>
      <c r="O1091">
        <v>0.097769753258762249</v>
      </c>
      <c r="P1091">
        <v>0.0047191715536666666</v>
      </c>
      <c r="Q1091">
        <v>0.0044169504331110178</v>
      </c>
      <c r="R1091">
        <v>2750000.0039900001</v>
      </c>
      <c r="S1091">
        <v>0</v>
      </c>
      <c r="T1091">
        <v>0</v>
      </c>
      <c r="V1091">
        <v>5400</v>
      </c>
      <c r="W1091">
        <v>10</v>
      </c>
      <c r="X1091">
        <v>85</v>
      </c>
      <c r="Y1091">
        <v>4</v>
      </c>
      <c r="Z1091">
        <v>4</v>
      </c>
      <c r="AA1091">
        <v>5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80</v>
      </c>
      <c r="AM1091">
        <v>53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70</v>
      </c>
      <c r="AU1091">
        <v>0</v>
      </c>
      <c r="AV1091">
        <v>0</v>
      </c>
    </row>
    <row r="1092" spans="1:48" ht="12.75">
      <c r="A1092" s="2" t="str">
        <f>HYPERLINK("https://ibp.a2mac1.com/costing(costing:projects/details/8191/equipment/6948540)","Manufacturing Equipment")</f>
        <v>Manufacturing Equipment</v>
      </c>
      <c r="B1092">
        <v>6948540</v>
      </c>
      <c r="C1092">
        <v>6975921</v>
      </c>
      <c r="E1092" t="s">
        <v>603</v>
      </c>
      <c r="H1092" t="s">
        <v>136</v>
      </c>
      <c r="I1092">
        <v>373962.17573865002</v>
      </c>
      <c r="J1092">
        <v>0</v>
      </c>
      <c r="K1092">
        <v>3.3919999999999999</v>
      </c>
      <c r="L1092">
        <v>0</v>
      </c>
      <c r="M1092">
        <v>85.594214069133713</v>
      </c>
      <c r="N1092">
        <v>0</v>
      </c>
      <c r="O1092">
        <v>0.13917072355717924</v>
      </c>
      <c r="P1092">
        <v>0.0067175225243333329</v>
      </c>
      <c r="Q1092">
        <v>0.0044169504331110178</v>
      </c>
      <c r="R1092">
        <v>2750000.0039900001</v>
      </c>
      <c r="S1092">
        <v>0</v>
      </c>
      <c r="T1092">
        <v>0</v>
      </c>
      <c r="V1092">
        <v>5400</v>
      </c>
      <c r="W1092">
        <v>10</v>
      </c>
      <c r="X1092">
        <v>85</v>
      </c>
      <c r="Y1092">
        <v>4</v>
      </c>
      <c r="Z1092">
        <v>4</v>
      </c>
      <c r="AA1092">
        <v>5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80</v>
      </c>
      <c r="AM1092">
        <v>53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70</v>
      </c>
      <c r="AU1092">
        <v>0</v>
      </c>
      <c r="AV1092">
        <v>0</v>
      </c>
    </row>
    <row r="1093" spans="1:48" ht="12.75">
      <c r="A1093" s="2" t="str">
        <f>HYPERLINK("https://ibp.a2mac1.com/costing(costing:projects/details/8191/equipment/6948541)","Manufacturing Equipment")</f>
        <v>Manufacturing Equipment</v>
      </c>
      <c r="B1093">
        <v>6948541</v>
      </c>
      <c r="C1093">
        <v>6975922</v>
      </c>
      <c r="E1093" t="s">
        <v>603</v>
      </c>
      <c r="H1093" t="s">
        <v>136</v>
      </c>
      <c r="I1093">
        <v>373962.17573865002</v>
      </c>
      <c r="J1093">
        <v>0</v>
      </c>
      <c r="K1093">
        <v>3.3919999999999999</v>
      </c>
      <c r="L1093">
        <v>0</v>
      </c>
      <c r="M1093">
        <v>85.594214069133713</v>
      </c>
      <c r="N1093">
        <v>0</v>
      </c>
      <c r="O1093">
        <v>0.034792740329721246</v>
      </c>
      <c r="P1093">
        <v>0.0016793835001666668</v>
      </c>
      <c r="Q1093">
        <v>0.0044169504331110178</v>
      </c>
      <c r="R1093">
        <v>2750000.0039900001</v>
      </c>
      <c r="S1093">
        <v>0</v>
      </c>
      <c r="T1093">
        <v>0</v>
      </c>
      <c r="V1093">
        <v>5400</v>
      </c>
      <c r="W1093">
        <v>10</v>
      </c>
      <c r="X1093">
        <v>85</v>
      </c>
      <c r="Y1093">
        <v>4</v>
      </c>
      <c r="Z1093">
        <v>4</v>
      </c>
      <c r="AA1093">
        <v>5</v>
      </c>
      <c r="AB1093">
        <v>0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80</v>
      </c>
      <c r="AM1093">
        <v>53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70</v>
      </c>
      <c r="AU1093">
        <v>0</v>
      </c>
      <c r="AV1093">
        <v>0</v>
      </c>
    </row>
    <row r="1094" spans="1:48" ht="12.75">
      <c r="A1094" s="2" t="str">
        <f>HYPERLINK("https://ibp.a2mac1.com/costing(costing:projects/details/8191/equipment/6948542)","Manufacturing Equipment")</f>
        <v>Manufacturing Equipment</v>
      </c>
      <c r="B1094">
        <v>6948542</v>
      </c>
      <c r="C1094">
        <v>6975923</v>
      </c>
      <c r="E1094" t="s">
        <v>603</v>
      </c>
      <c r="H1094" t="s">
        <v>136</v>
      </c>
      <c r="I1094">
        <v>373962.17573865002</v>
      </c>
      <c r="J1094">
        <v>0</v>
      </c>
      <c r="K1094">
        <v>3.3919999999999999</v>
      </c>
      <c r="L1094">
        <v>0</v>
      </c>
      <c r="M1094">
        <v>85.594214069133713</v>
      </c>
      <c r="N1094">
        <v>0</v>
      </c>
      <c r="O1094">
        <v>0.034792740329721246</v>
      </c>
      <c r="P1094">
        <v>0.0016793835001666668</v>
      </c>
      <c r="Q1094">
        <v>0.0044169504331110178</v>
      </c>
      <c r="R1094">
        <v>2750000.0039900001</v>
      </c>
      <c r="S1094">
        <v>0</v>
      </c>
      <c r="T1094">
        <v>0</v>
      </c>
      <c r="V1094">
        <v>5400</v>
      </c>
      <c r="W1094">
        <v>10</v>
      </c>
      <c r="X1094">
        <v>85</v>
      </c>
      <c r="Y1094">
        <v>4</v>
      </c>
      <c r="Z1094">
        <v>4</v>
      </c>
      <c r="AA1094">
        <v>5</v>
      </c>
      <c r="AB1094">
        <v>0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80</v>
      </c>
      <c r="AM1094">
        <v>53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70</v>
      </c>
      <c r="AU1094">
        <v>0</v>
      </c>
      <c r="AV1094">
        <v>0</v>
      </c>
    </row>
    <row r="1095" spans="1:48" ht="12.75">
      <c r="A1095" s="2" t="str">
        <f>HYPERLINK("https://ibp.a2mac1.com/costing(costing:projects/details/8191/equipment/6948543)","Manufacturing Equipment")</f>
        <v>Manufacturing Equipment</v>
      </c>
      <c r="B1095">
        <v>6948543</v>
      </c>
      <c r="C1095">
        <v>6975924</v>
      </c>
      <c r="E1095" t="s">
        <v>603</v>
      </c>
      <c r="H1095" t="s">
        <v>136</v>
      </c>
      <c r="I1095">
        <v>373962.17573865002</v>
      </c>
      <c r="J1095">
        <v>0</v>
      </c>
      <c r="K1095">
        <v>3.3919999999999999</v>
      </c>
      <c r="L1095">
        <v>0</v>
      </c>
      <c r="M1095">
        <v>85.594214069133713</v>
      </c>
      <c r="N1095">
        <v>0</v>
      </c>
      <c r="O1095">
        <v>0.017987861848334199</v>
      </c>
      <c r="P1095">
        <v>0.00086824199833333338</v>
      </c>
      <c r="Q1095">
        <v>0.0044169504331110178</v>
      </c>
      <c r="R1095">
        <v>2750000.0039900001</v>
      </c>
      <c r="S1095">
        <v>0</v>
      </c>
      <c r="T1095">
        <v>0</v>
      </c>
      <c r="V1095">
        <v>5400</v>
      </c>
      <c r="W1095">
        <v>10</v>
      </c>
      <c r="X1095">
        <v>85</v>
      </c>
      <c r="Y1095">
        <v>4</v>
      </c>
      <c r="Z1095">
        <v>4</v>
      </c>
      <c r="AA1095">
        <v>5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80</v>
      </c>
      <c r="AM1095">
        <v>53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70</v>
      </c>
      <c r="AU1095">
        <v>0</v>
      </c>
      <c r="AV1095">
        <v>0</v>
      </c>
    </row>
    <row r="1096" spans="1:48" ht="12.75">
      <c r="A1096" s="2" t="str">
        <f>HYPERLINK("https://ibp.a2mac1.com/costing(costing:projects/details/8191/equipment/6948544)","Manufacturing Equipment")</f>
        <v>Manufacturing Equipment</v>
      </c>
      <c r="B1096">
        <v>6948544</v>
      </c>
      <c r="C1096">
        <v>6975925</v>
      </c>
      <c r="E1096" t="s">
        <v>603</v>
      </c>
      <c r="H1096" t="s">
        <v>136</v>
      </c>
      <c r="I1096">
        <v>373962.17573865002</v>
      </c>
      <c r="J1096">
        <v>0</v>
      </c>
      <c r="K1096">
        <v>3.3919999999999999</v>
      </c>
      <c r="L1096">
        <v>0</v>
      </c>
      <c r="M1096">
        <v>85.594214069133713</v>
      </c>
      <c r="N1096">
        <v>0</v>
      </c>
      <c r="O1096">
        <v>0.017987861848334199</v>
      </c>
      <c r="P1096">
        <v>0.00086824199833333338</v>
      </c>
      <c r="Q1096">
        <v>0.0044169504331110178</v>
      </c>
      <c r="R1096">
        <v>2750000.0039900001</v>
      </c>
      <c r="S1096">
        <v>0</v>
      </c>
      <c r="T1096">
        <v>0</v>
      </c>
      <c r="V1096">
        <v>5400</v>
      </c>
      <c r="W1096">
        <v>10</v>
      </c>
      <c r="X1096">
        <v>85</v>
      </c>
      <c r="Y1096">
        <v>4</v>
      </c>
      <c r="Z1096">
        <v>4</v>
      </c>
      <c r="AA1096">
        <v>5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80</v>
      </c>
      <c r="AM1096">
        <v>53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70</v>
      </c>
      <c r="AU1096">
        <v>0</v>
      </c>
      <c r="AV1096">
        <v>0</v>
      </c>
    </row>
    <row r="1097" spans="1:48" ht="12.75">
      <c r="A1097" s="2" t="str">
        <f>HYPERLINK("https://ibp.a2mac1.com/costing(costing:projects/details/8191/equipment/6948545)","Manufacturing Equipment")</f>
        <v>Manufacturing Equipment</v>
      </c>
      <c r="B1097">
        <v>6948545</v>
      </c>
      <c r="C1097">
        <v>6975926</v>
      </c>
      <c r="E1097" t="s">
        <v>603</v>
      </c>
      <c r="H1097" t="s">
        <v>136</v>
      </c>
      <c r="I1097">
        <v>373962.17573865002</v>
      </c>
      <c r="J1097">
        <v>0</v>
      </c>
      <c r="K1097">
        <v>3.3919999999999999</v>
      </c>
      <c r="L1097">
        <v>0</v>
      </c>
      <c r="M1097">
        <v>85.594214069133713</v>
      </c>
      <c r="N1097">
        <v>0</v>
      </c>
      <c r="O1097">
        <v>0.071951685155042536</v>
      </c>
      <c r="P1097">
        <v>0.0034729794696666668</v>
      </c>
      <c r="Q1097">
        <v>0.0044169504331110178</v>
      </c>
      <c r="R1097">
        <v>2750000.0039900001</v>
      </c>
      <c r="S1097">
        <v>0</v>
      </c>
      <c r="T1097">
        <v>0</v>
      </c>
      <c r="V1097">
        <v>5400</v>
      </c>
      <c r="W1097">
        <v>10</v>
      </c>
      <c r="X1097">
        <v>85</v>
      </c>
      <c r="Y1097">
        <v>4</v>
      </c>
      <c r="Z1097">
        <v>4</v>
      </c>
      <c r="AA1097">
        <v>5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80</v>
      </c>
      <c r="AM1097">
        <v>53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70</v>
      </c>
      <c r="AU1097">
        <v>0</v>
      </c>
      <c r="AV1097">
        <v>0</v>
      </c>
    </row>
    <row r="1098" spans="1:48" ht="12.75">
      <c r="A1098" s="2" t="str">
        <f>HYPERLINK("https://ibp.a2mac1.com/costing(costing:projects/details/8191/equipment/6948546)","Manufacturing Equipment")</f>
        <v>Manufacturing Equipment</v>
      </c>
      <c r="B1098">
        <v>6948546</v>
      </c>
      <c r="C1098">
        <v>6975927</v>
      </c>
      <c r="E1098" t="s">
        <v>603</v>
      </c>
      <c r="H1098" t="s">
        <v>136</v>
      </c>
      <c r="I1098">
        <v>373962.17573865002</v>
      </c>
      <c r="J1098">
        <v>0</v>
      </c>
      <c r="K1098">
        <v>3.3919999999999999</v>
      </c>
      <c r="L1098">
        <v>0</v>
      </c>
      <c r="M1098">
        <v>85.594214069133713</v>
      </c>
      <c r="N1098">
        <v>0</v>
      </c>
      <c r="O1098">
        <v>0.0061760980684994931</v>
      </c>
      <c r="P1098">
        <v>0.00029810923466666665</v>
      </c>
      <c r="Q1098">
        <v>0.0044169504331110178</v>
      </c>
      <c r="R1098">
        <v>2750000.0039900001</v>
      </c>
      <c r="S1098">
        <v>0</v>
      </c>
      <c r="T1098">
        <v>0</v>
      </c>
      <c r="V1098">
        <v>5400</v>
      </c>
      <c r="W1098">
        <v>10</v>
      </c>
      <c r="X1098">
        <v>85</v>
      </c>
      <c r="Y1098">
        <v>4</v>
      </c>
      <c r="Z1098">
        <v>4</v>
      </c>
      <c r="AA1098">
        <v>5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80</v>
      </c>
      <c r="AM1098">
        <v>53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70</v>
      </c>
      <c r="AU1098">
        <v>0</v>
      </c>
      <c r="AV1098">
        <v>0</v>
      </c>
    </row>
    <row r="1099" spans="1:48" ht="12.75">
      <c r="A1099" s="2" t="str">
        <f>HYPERLINK("https://ibp.a2mac1.com/costing(costing:projects/details/8191/equipment/6948547)","Manufacturing Equipment")</f>
        <v>Manufacturing Equipment</v>
      </c>
      <c r="B1099">
        <v>6948547</v>
      </c>
      <c r="C1099">
        <v>6975928</v>
      </c>
      <c r="E1099" t="s">
        <v>603</v>
      </c>
      <c r="H1099" t="s">
        <v>136</v>
      </c>
      <c r="I1099">
        <v>373962.17573865002</v>
      </c>
      <c r="J1099">
        <v>0</v>
      </c>
      <c r="K1099">
        <v>3.3919999999999999</v>
      </c>
      <c r="L1099">
        <v>0</v>
      </c>
      <c r="M1099">
        <v>85.594214069133713</v>
      </c>
      <c r="N1099">
        <v>0</v>
      </c>
      <c r="O1099">
        <v>0.0051629954403089968</v>
      </c>
      <c r="P1099">
        <v>0.00024920857833333332</v>
      </c>
      <c r="Q1099">
        <v>0.0044169504331110178</v>
      </c>
      <c r="R1099">
        <v>2750000.0039900001</v>
      </c>
      <c r="S1099">
        <v>0</v>
      </c>
      <c r="T1099">
        <v>0</v>
      </c>
      <c r="V1099">
        <v>5400</v>
      </c>
      <c r="W1099">
        <v>10</v>
      </c>
      <c r="X1099">
        <v>85</v>
      </c>
      <c r="Y1099">
        <v>4</v>
      </c>
      <c r="Z1099">
        <v>4</v>
      </c>
      <c r="AA1099">
        <v>5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80</v>
      </c>
      <c r="AM1099">
        <v>53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70</v>
      </c>
      <c r="AU1099">
        <v>0</v>
      </c>
      <c r="AV1099">
        <v>0</v>
      </c>
    </row>
    <row r="1100" spans="1:48" ht="12.75">
      <c r="A1100" s="2" t="str">
        <f>HYPERLINK("https://ibp.a2mac1.com/costing(costing:projects/details/8191/equipment/6948548)","Manufacturing Equipment")</f>
        <v>Manufacturing Equipment</v>
      </c>
      <c r="B1100">
        <v>6948548</v>
      </c>
      <c r="C1100">
        <v>6975929</v>
      </c>
      <c r="E1100" t="s">
        <v>603</v>
      </c>
      <c r="H1100" t="s">
        <v>136</v>
      </c>
      <c r="I1100">
        <v>373962.17573865002</v>
      </c>
      <c r="J1100">
        <v>0</v>
      </c>
      <c r="K1100">
        <v>3.3919999999999999</v>
      </c>
      <c r="L1100">
        <v>0</v>
      </c>
      <c r="M1100">
        <v>85.594214069133713</v>
      </c>
      <c r="N1100">
        <v>0</v>
      </c>
      <c r="O1100">
        <v>0.0061760980684994931</v>
      </c>
      <c r="P1100">
        <v>0.00029810923466666665</v>
      </c>
      <c r="Q1100">
        <v>0.0044169504331110178</v>
      </c>
      <c r="R1100">
        <v>2750000.0039900001</v>
      </c>
      <c r="S1100">
        <v>0</v>
      </c>
      <c r="T1100">
        <v>0</v>
      </c>
      <c r="V1100">
        <v>5400</v>
      </c>
      <c r="W1100">
        <v>10</v>
      </c>
      <c r="X1100">
        <v>85</v>
      </c>
      <c r="Y1100">
        <v>4</v>
      </c>
      <c r="Z1100">
        <v>4</v>
      </c>
      <c r="AA1100">
        <v>5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1</v>
      </c>
      <c r="AJ1100">
        <v>0</v>
      </c>
      <c r="AK1100">
        <v>0</v>
      </c>
      <c r="AL1100">
        <v>80</v>
      </c>
      <c r="AM1100">
        <v>53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70</v>
      </c>
      <c r="AU1100">
        <v>0</v>
      </c>
      <c r="AV1100">
        <v>0</v>
      </c>
    </row>
    <row r="1101" spans="1:48" ht="12.75">
      <c r="A1101" s="2" t="str">
        <f>HYPERLINK("https://ibp.a2mac1.com/costing(costing:projects/details/8191/equipment/6948549)","Manufacturing Equipment")</f>
        <v>Manufacturing Equipment</v>
      </c>
      <c r="B1101">
        <v>6948549</v>
      </c>
      <c r="C1101">
        <v>6975930</v>
      </c>
      <c r="E1101" t="s">
        <v>603</v>
      </c>
      <c r="H1101" t="s">
        <v>136</v>
      </c>
      <c r="I1101">
        <v>373962.17573865002</v>
      </c>
      <c r="J1101">
        <v>0</v>
      </c>
      <c r="K1101">
        <v>3.3919999999999999</v>
      </c>
      <c r="L1101">
        <v>0</v>
      </c>
      <c r="M1101">
        <v>85.594214069133713</v>
      </c>
      <c r="N1101">
        <v>0</v>
      </c>
      <c r="O1101">
        <v>0.017987861848334199</v>
      </c>
      <c r="P1101">
        <v>0.00086824199833333338</v>
      </c>
      <c r="Q1101">
        <v>0.0044169504331110178</v>
      </c>
      <c r="R1101">
        <v>2750000.0039900001</v>
      </c>
      <c r="S1101">
        <v>0</v>
      </c>
      <c r="T1101">
        <v>0</v>
      </c>
      <c r="V1101">
        <v>5400</v>
      </c>
      <c r="W1101">
        <v>10</v>
      </c>
      <c r="X1101">
        <v>85</v>
      </c>
      <c r="Y1101">
        <v>4</v>
      </c>
      <c r="Z1101">
        <v>4</v>
      </c>
      <c r="AA1101">
        <v>5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80</v>
      </c>
      <c r="AM1101">
        <v>53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70</v>
      </c>
      <c r="AU1101">
        <v>0</v>
      </c>
      <c r="AV1101">
        <v>0</v>
      </c>
    </row>
    <row r="1102" spans="1:48" ht="12.75">
      <c r="A1102" s="2" t="str">
        <f>HYPERLINK("https://ibp.a2mac1.com/costing(costing:projects/details/8191/equipment/6948550)","Manufacturing Equipment")</f>
        <v>Manufacturing Equipment</v>
      </c>
      <c r="B1102">
        <v>6948550</v>
      </c>
      <c r="C1102">
        <v>6975931</v>
      </c>
      <c r="E1102" t="s">
        <v>603</v>
      </c>
      <c r="H1102" t="s">
        <v>136</v>
      </c>
      <c r="I1102">
        <v>373962.17573865002</v>
      </c>
      <c r="J1102">
        <v>0</v>
      </c>
      <c r="K1102">
        <v>3.3919999999999999</v>
      </c>
      <c r="L1102">
        <v>0</v>
      </c>
      <c r="M1102">
        <v>85.594214069133713</v>
      </c>
      <c r="N1102">
        <v>0</v>
      </c>
      <c r="O1102">
        <v>0.0061760980684994931</v>
      </c>
      <c r="P1102">
        <v>0.00029810923466666665</v>
      </c>
      <c r="Q1102">
        <v>0.0044169504331110178</v>
      </c>
      <c r="R1102">
        <v>2750000.0039900001</v>
      </c>
      <c r="S1102">
        <v>0</v>
      </c>
      <c r="T1102">
        <v>0</v>
      </c>
      <c r="V1102">
        <v>5400</v>
      </c>
      <c r="W1102">
        <v>10</v>
      </c>
      <c r="X1102">
        <v>85</v>
      </c>
      <c r="Y1102">
        <v>4</v>
      </c>
      <c r="Z1102">
        <v>4</v>
      </c>
      <c r="AA1102">
        <v>5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80</v>
      </c>
      <c r="AM1102">
        <v>53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70</v>
      </c>
      <c r="AU1102">
        <v>0</v>
      </c>
      <c r="AV1102">
        <v>0</v>
      </c>
    </row>
    <row r="1103" spans="1:48" ht="12.75">
      <c r="A1103" s="2" t="str">
        <f>HYPERLINK("https://ibp.a2mac1.com/costing(costing:projects/details/8191/equipment/6948551)","Manufacturing Equipment")</f>
        <v>Manufacturing Equipment</v>
      </c>
      <c r="B1103">
        <v>6948551</v>
      </c>
      <c r="C1103">
        <v>6975932</v>
      </c>
      <c r="E1103" t="s">
        <v>603</v>
      </c>
      <c r="H1103" t="s">
        <v>136</v>
      </c>
      <c r="I1103">
        <v>373962.17573865002</v>
      </c>
      <c r="J1103">
        <v>0</v>
      </c>
      <c r="K1103">
        <v>3.3919999999999999</v>
      </c>
      <c r="L1103">
        <v>0</v>
      </c>
      <c r="M1103">
        <v>85.594214069133713</v>
      </c>
      <c r="N1103">
        <v>0</v>
      </c>
      <c r="O1103">
        <v>1.0016812691314994</v>
      </c>
      <c r="P1103">
        <v>0.048349367709000002</v>
      </c>
      <c r="Q1103">
        <v>0.0044169504331110178</v>
      </c>
      <c r="R1103">
        <v>2750000.0039900001</v>
      </c>
      <c r="S1103">
        <v>0</v>
      </c>
      <c r="T1103">
        <v>0</v>
      </c>
      <c r="V1103">
        <v>5400</v>
      </c>
      <c r="W1103">
        <v>10</v>
      </c>
      <c r="X1103">
        <v>85</v>
      </c>
      <c r="Y1103">
        <v>4</v>
      </c>
      <c r="Z1103">
        <v>4</v>
      </c>
      <c r="AA1103">
        <v>5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80</v>
      </c>
      <c r="AM1103">
        <v>53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70</v>
      </c>
      <c r="AU1103">
        <v>0</v>
      </c>
      <c r="AV1103">
        <v>0</v>
      </c>
    </row>
    <row r="1104" spans="1:48" ht="12.75">
      <c r="A1104" s="2" t="str">
        <f>HYPERLINK("https://ibp.a2mac1.com/costing(costing:projects/details/8191/equipment/6948552)","Manufacturing Equipment")</f>
        <v>Manufacturing Equipment</v>
      </c>
      <c r="B1104">
        <v>6948552</v>
      </c>
      <c r="C1104">
        <v>6975933</v>
      </c>
      <c r="E1104" t="s">
        <v>603</v>
      </c>
      <c r="H1104" t="s">
        <v>136</v>
      </c>
      <c r="I1104">
        <v>373962.17573865002</v>
      </c>
      <c r="J1104">
        <v>0</v>
      </c>
      <c r="K1104">
        <v>3.3919999999999999</v>
      </c>
      <c r="L1104">
        <v>0</v>
      </c>
      <c r="M1104">
        <v>85.594214069133713</v>
      </c>
      <c r="N1104">
        <v>0</v>
      </c>
      <c r="O1104">
        <v>0.034792740329721246</v>
      </c>
      <c r="P1104">
        <v>0.0016793835001666668</v>
      </c>
      <c r="Q1104">
        <v>0.0044169504331110178</v>
      </c>
      <c r="R1104">
        <v>2750000.0039900001</v>
      </c>
      <c r="S1104">
        <v>0</v>
      </c>
      <c r="T1104">
        <v>0</v>
      </c>
      <c r="V1104">
        <v>5400</v>
      </c>
      <c r="W1104">
        <v>10</v>
      </c>
      <c r="X1104">
        <v>85</v>
      </c>
      <c r="Y1104">
        <v>4</v>
      </c>
      <c r="Z1104">
        <v>4</v>
      </c>
      <c r="AA1104">
        <v>5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1</v>
      </c>
      <c r="AJ1104">
        <v>0</v>
      </c>
      <c r="AK1104">
        <v>0</v>
      </c>
      <c r="AL1104">
        <v>80</v>
      </c>
      <c r="AM1104">
        <v>53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70</v>
      </c>
      <c r="AU1104">
        <v>0</v>
      </c>
      <c r="AV1104">
        <v>0</v>
      </c>
    </row>
    <row r="1105" spans="1:48" ht="12.75">
      <c r="A1105" s="2" t="str">
        <f>HYPERLINK("https://ibp.a2mac1.com/costing(costing:projects/details/8191/equipment/6948553)","Manufacturing Equipment")</f>
        <v>Manufacturing Equipment</v>
      </c>
      <c r="B1105">
        <v>6948553</v>
      </c>
      <c r="C1105">
        <v>6975934</v>
      </c>
      <c r="E1105" t="s">
        <v>603</v>
      </c>
      <c r="H1105" t="s">
        <v>136</v>
      </c>
      <c r="I1105">
        <v>373962.17573865002</v>
      </c>
      <c r="J1105">
        <v>0</v>
      </c>
      <c r="K1105">
        <v>3.3919999999999999</v>
      </c>
      <c r="L1105">
        <v>0</v>
      </c>
      <c r="M1105">
        <v>85.594214069133713</v>
      </c>
      <c r="N1105">
        <v>0</v>
      </c>
      <c r="O1105">
        <v>1.0016812691314994</v>
      </c>
      <c r="P1105">
        <v>0.048349367709000002</v>
      </c>
      <c r="Q1105">
        <v>0.0044169504331110178</v>
      </c>
      <c r="R1105">
        <v>2750000.0039900001</v>
      </c>
      <c r="S1105">
        <v>0</v>
      </c>
      <c r="T1105">
        <v>0</v>
      </c>
      <c r="V1105">
        <v>5400</v>
      </c>
      <c r="W1105">
        <v>10</v>
      </c>
      <c r="X1105">
        <v>85</v>
      </c>
      <c r="Y1105">
        <v>4</v>
      </c>
      <c r="Z1105">
        <v>4</v>
      </c>
      <c r="AA1105">
        <v>5</v>
      </c>
      <c r="AB1105">
        <v>0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1</v>
      </c>
      <c r="AJ1105">
        <v>0</v>
      </c>
      <c r="AK1105">
        <v>0</v>
      </c>
      <c r="AL1105">
        <v>80</v>
      </c>
      <c r="AM1105">
        <v>53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70</v>
      </c>
      <c r="AU1105">
        <v>0</v>
      </c>
      <c r="AV1105">
        <v>0</v>
      </c>
    </row>
    <row r="1106" spans="1:48" ht="12.75">
      <c r="A1106" s="2" t="str">
        <f>HYPERLINK("https://ibp.a2mac1.com/costing(costing:projects/details/8191/equipment/6948554)","Manufacturing Equipment")</f>
        <v>Manufacturing Equipment</v>
      </c>
      <c r="B1106">
        <v>6948554</v>
      </c>
      <c r="C1106">
        <v>6975935</v>
      </c>
      <c r="E1106" t="s">
        <v>603</v>
      </c>
      <c r="H1106" t="s">
        <v>136</v>
      </c>
      <c r="I1106">
        <v>373962.17573865002</v>
      </c>
      <c r="J1106">
        <v>0</v>
      </c>
      <c r="K1106">
        <v>3.3919999999999999</v>
      </c>
      <c r="L1106">
        <v>0</v>
      </c>
      <c r="M1106">
        <v>85.594214069133713</v>
      </c>
      <c r="N1106">
        <v>0</v>
      </c>
      <c r="O1106">
        <v>0.034792740329721246</v>
      </c>
      <c r="P1106">
        <v>0.0016793835001666668</v>
      </c>
      <c r="Q1106">
        <v>0.0044169504331110178</v>
      </c>
      <c r="R1106">
        <v>2750000.0039900001</v>
      </c>
      <c r="S1106">
        <v>0</v>
      </c>
      <c r="T1106">
        <v>0</v>
      </c>
      <c r="V1106">
        <v>5400</v>
      </c>
      <c r="W1106">
        <v>10</v>
      </c>
      <c r="X1106">
        <v>85</v>
      </c>
      <c r="Y1106">
        <v>4</v>
      </c>
      <c r="Z1106">
        <v>4</v>
      </c>
      <c r="AA1106">
        <v>5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1</v>
      </c>
      <c r="AJ1106">
        <v>0</v>
      </c>
      <c r="AK1106">
        <v>0</v>
      </c>
      <c r="AL1106">
        <v>80</v>
      </c>
      <c r="AM1106">
        <v>53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70</v>
      </c>
      <c r="AU1106">
        <v>0</v>
      </c>
      <c r="AV1106">
        <v>0</v>
      </c>
    </row>
    <row r="1107" spans="1:48" ht="12.75">
      <c r="A1107" s="2" t="str">
        <f>HYPERLINK("https://ibp.a2mac1.com/costing(costing:projects/details/8191/equipment/6948555)","Manufacturing Equipment")</f>
        <v>Manufacturing Equipment</v>
      </c>
      <c r="B1107">
        <v>6948555</v>
      </c>
      <c r="C1107">
        <v>6975936</v>
      </c>
      <c r="E1107" t="s">
        <v>603</v>
      </c>
      <c r="H1107" t="s">
        <v>136</v>
      </c>
      <c r="I1107">
        <v>373962.17573865002</v>
      </c>
      <c r="J1107">
        <v>0</v>
      </c>
      <c r="K1107">
        <v>3.3919999999999999</v>
      </c>
      <c r="L1107">
        <v>0</v>
      </c>
      <c r="M1107">
        <v>85.594214069133713</v>
      </c>
      <c r="N1107">
        <v>0</v>
      </c>
      <c r="O1107">
        <v>0.024442497755116997</v>
      </c>
      <c r="P1107">
        <v>0.0011797957575</v>
      </c>
      <c r="Q1107">
        <v>0.0044169504331110178</v>
      </c>
      <c r="R1107">
        <v>2750000.0039900001</v>
      </c>
      <c r="S1107">
        <v>0</v>
      </c>
      <c r="T1107">
        <v>0</v>
      </c>
      <c r="V1107">
        <v>5400</v>
      </c>
      <c r="W1107">
        <v>10</v>
      </c>
      <c r="X1107">
        <v>85</v>
      </c>
      <c r="Y1107">
        <v>4</v>
      </c>
      <c r="Z1107">
        <v>4</v>
      </c>
      <c r="AA1107">
        <v>5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80</v>
      </c>
      <c r="AM1107">
        <v>53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70</v>
      </c>
      <c r="AU1107">
        <v>0</v>
      </c>
      <c r="AV1107">
        <v>0</v>
      </c>
    </row>
    <row r="1108" spans="1:48" ht="12.75">
      <c r="A1108" s="2" t="str">
        <f>HYPERLINK("https://ibp.a2mac1.com/costing(costing:projects/details/8191/equipment/6948556)","Manufacturing Equipment")</f>
        <v>Manufacturing Equipment</v>
      </c>
      <c r="B1108">
        <v>6948556</v>
      </c>
      <c r="C1108">
        <v>6975937</v>
      </c>
      <c r="E1108" t="s">
        <v>603</v>
      </c>
      <c r="H1108" t="s">
        <v>136</v>
      </c>
      <c r="I1108">
        <v>373962.17573865002</v>
      </c>
      <c r="J1108">
        <v>0</v>
      </c>
      <c r="K1108">
        <v>3.3919999999999999</v>
      </c>
      <c r="L1108">
        <v>0</v>
      </c>
      <c r="M1108">
        <v>85.594214069133713</v>
      </c>
      <c r="N1108">
        <v>0</v>
      </c>
      <c r="O1108">
        <v>0.034792740329721246</v>
      </c>
      <c r="P1108">
        <v>0.0016793835001666668</v>
      </c>
      <c r="Q1108">
        <v>0.0044169504331110178</v>
      </c>
      <c r="R1108">
        <v>2750000.0039900001</v>
      </c>
      <c r="S1108">
        <v>0</v>
      </c>
      <c r="T1108">
        <v>0</v>
      </c>
      <c r="V1108">
        <v>5400</v>
      </c>
      <c r="W1108">
        <v>10</v>
      </c>
      <c r="X1108">
        <v>85</v>
      </c>
      <c r="Y1108">
        <v>4</v>
      </c>
      <c r="Z1108">
        <v>4</v>
      </c>
      <c r="AA1108">
        <v>5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80</v>
      </c>
      <c r="AM1108">
        <v>53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70</v>
      </c>
      <c r="AU1108">
        <v>0</v>
      </c>
      <c r="AV1108">
        <v>0</v>
      </c>
    </row>
    <row r="1109" spans="1:48" ht="12.75">
      <c r="A1109" s="2" t="str">
        <f>HYPERLINK("https://ibp.a2mac1.com/costing(costing:projects/details/8191/equipment/6948557)","Manufacturing Equipment")</f>
        <v>Manufacturing Equipment</v>
      </c>
      <c r="B1109">
        <v>6948557</v>
      </c>
      <c r="C1109">
        <v>6975938</v>
      </c>
      <c r="E1109" t="s">
        <v>603</v>
      </c>
      <c r="H1109" t="s">
        <v>136</v>
      </c>
      <c r="I1109">
        <v>373962.17573865002</v>
      </c>
      <c r="J1109">
        <v>0</v>
      </c>
      <c r="K1109">
        <v>3.3919999999999999</v>
      </c>
      <c r="L1109">
        <v>0</v>
      </c>
      <c r="M1109">
        <v>85.594214069133713</v>
      </c>
      <c r="N1109">
        <v>0</v>
      </c>
      <c r="O1109">
        <v>0.034792740329721246</v>
      </c>
      <c r="P1109">
        <v>0.0016793835001666668</v>
      </c>
      <c r="Q1109">
        <v>0.0044169504331110178</v>
      </c>
      <c r="R1109">
        <v>2750000.0039900001</v>
      </c>
      <c r="S1109">
        <v>0</v>
      </c>
      <c r="T1109">
        <v>0</v>
      </c>
      <c r="V1109">
        <v>5400</v>
      </c>
      <c r="W1109">
        <v>10</v>
      </c>
      <c r="X1109">
        <v>85</v>
      </c>
      <c r="Y1109">
        <v>4</v>
      </c>
      <c r="Z1109">
        <v>4</v>
      </c>
      <c r="AA1109">
        <v>5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80</v>
      </c>
      <c r="AM1109">
        <v>53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70</v>
      </c>
      <c r="AU1109">
        <v>0</v>
      </c>
      <c r="AV1109">
        <v>0</v>
      </c>
    </row>
    <row r="1110" spans="1:48" ht="12.75">
      <c r="A1110" s="2" t="str">
        <f>HYPERLINK("https://ibp.a2mac1.com/costing(costing:projects/details/8191/equipment/6948558)","Manufacturing Equipment")</f>
        <v>Manufacturing Equipment</v>
      </c>
      <c r="B1110">
        <v>6948558</v>
      </c>
      <c r="C1110">
        <v>6975939</v>
      </c>
      <c r="E1110" t="s">
        <v>603</v>
      </c>
      <c r="H1110" t="s">
        <v>136</v>
      </c>
      <c r="I1110">
        <v>373962.17573865002</v>
      </c>
      <c r="J1110">
        <v>0</v>
      </c>
      <c r="K1110">
        <v>3.3919999999999999</v>
      </c>
      <c r="L1110">
        <v>0</v>
      </c>
      <c r="M1110">
        <v>85.594214069133713</v>
      </c>
      <c r="N1110">
        <v>0</v>
      </c>
      <c r="O1110">
        <v>0.044971913357040101</v>
      </c>
      <c r="P1110">
        <v>0.0021707140210000002</v>
      </c>
      <c r="Q1110">
        <v>0.0044169504331110178</v>
      </c>
      <c r="R1110">
        <v>2750000.0039900001</v>
      </c>
      <c r="S1110">
        <v>0</v>
      </c>
      <c r="T1110">
        <v>0</v>
      </c>
      <c r="V1110">
        <v>5400</v>
      </c>
      <c r="W1110">
        <v>10</v>
      </c>
      <c r="X1110">
        <v>85</v>
      </c>
      <c r="Y1110">
        <v>4</v>
      </c>
      <c r="Z1110">
        <v>4</v>
      </c>
      <c r="AA1110">
        <v>5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80</v>
      </c>
      <c r="AM1110">
        <v>53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70</v>
      </c>
      <c r="AU1110">
        <v>0</v>
      </c>
      <c r="AV1110">
        <v>0</v>
      </c>
    </row>
    <row r="1111" spans="1:48" ht="12.75">
      <c r="A1111" s="2" t="str">
        <f>HYPERLINK("https://ibp.a2mac1.com/costing(costing:projects/details/8191/equipment/6948559)","Manufacturing Equipment")</f>
        <v>Manufacturing Equipment</v>
      </c>
      <c r="B1111">
        <v>6948559</v>
      </c>
      <c r="C1111">
        <v>6975940</v>
      </c>
      <c r="E1111" t="s">
        <v>603</v>
      </c>
      <c r="H1111" t="s">
        <v>136</v>
      </c>
      <c r="I1111">
        <v>373962.17573865002</v>
      </c>
      <c r="J1111">
        <v>0</v>
      </c>
      <c r="K1111">
        <v>3.3919999999999999</v>
      </c>
      <c r="L1111">
        <v>0</v>
      </c>
      <c r="M1111">
        <v>85.594214069133713</v>
      </c>
      <c r="N1111">
        <v>0</v>
      </c>
      <c r="O1111">
        <v>0.13917072355717924</v>
      </c>
      <c r="P1111">
        <v>0.0067175225243333329</v>
      </c>
      <c r="Q1111">
        <v>0.0044169504331110178</v>
      </c>
      <c r="R1111">
        <v>2750000.0039900001</v>
      </c>
      <c r="S1111">
        <v>0</v>
      </c>
      <c r="T1111">
        <v>0</v>
      </c>
      <c r="V1111">
        <v>5400</v>
      </c>
      <c r="W1111">
        <v>10</v>
      </c>
      <c r="X1111">
        <v>85</v>
      </c>
      <c r="Y1111">
        <v>4</v>
      </c>
      <c r="Z1111">
        <v>4</v>
      </c>
      <c r="AA1111">
        <v>5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80</v>
      </c>
      <c r="AM1111">
        <v>53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70</v>
      </c>
      <c r="AU1111">
        <v>0</v>
      </c>
      <c r="AV1111">
        <v>0</v>
      </c>
    </row>
    <row r="1112" spans="1:48" ht="12.75">
      <c r="A1112" s="2" t="str">
        <f>HYPERLINK("https://ibp.a2mac1.com/costing(costing:projects/details/8191/equipment/6948560)","Manufacturing Equipment")</f>
        <v>Manufacturing Equipment</v>
      </c>
      <c r="B1112">
        <v>6948560</v>
      </c>
      <c r="C1112">
        <v>6975941</v>
      </c>
      <c r="E1112" t="s">
        <v>603</v>
      </c>
      <c r="H1112" t="s">
        <v>136</v>
      </c>
      <c r="I1112">
        <v>373962.17573865002</v>
      </c>
      <c r="J1112">
        <v>0</v>
      </c>
      <c r="K1112">
        <v>3.3919999999999999</v>
      </c>
      <c r="L1112">
        <v>0</v>
      </c>
      <c r="M1112">
        <v>85.594214069133713</v>
      </c>
      <c r="N1112">
        <v>0</v>
      </c>
      <c r="O1112">
        <v>0.0061760980684994931</v>
      </c>
      <c r="P1112">
        <v>0.00029810923466666665</v>
      </c>
      <c r="Q1112">
        <v>0.0044169504331110178</v>
      </c>
      <c r="R1112">
        <v>2750000.0039900001</v>
      </c>
      <c r="S1112">
        <v>0</v>
      </c>
      <c r="T1112">
        <v>0</v>
      </c>
      <c r="V1112">
        <v>5400</v>
      </c>
      <c r="W1112">
        <v>10</v>
      </c>
      <c r="X1112">
        <v>85</v>
      </c>
      <c r="Y1112">
        <v>4</v>
      </c>
      <c r="Z1112">
        <v>4</v>
      </c>
      <c r="AA1112">
        <v>5</v>
      </c>
      <c r="AB1112">
        <v>0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1</v>
      </c>
      <c r="AJ1112">
        <v>0</v>
      </c>
      <c r="AK1112">
        <v>0</v>
      </c>
      <c r="AL1112">
        <v>80</v>
      </c>
      <c r="AM1112">
        <v>53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70</v>
      </c>
      <c r="AU1112">
        <v>0</v>
      </c>
      <c r="AV1112">
        <v>0</v>
      </c>
    </row>
    <row r="1113" spans="1:48" ht="12.75">
      <c r="A1113" s="2" t="str">
        <f>HYPERLINK("https://ibp.a2mac1.com/costing(costing:projects/details/8191/equipment/6948561)","Manufacturing Equipment")</f>
        <v>Manufacturing Equipment</v>
      </c>
      <c r="B1113">
        <v>6948561</v>
      </c>
      <c r="C1113">
        <v>6975942</v>
      </c>
      <c r="E1113" t="s">
        <v>603</v>
      </c>
      <c r="H1113" t="s">
        <v>136</v>
      </c>
      <c r="I1113">
        <v>373962.17573865002</v>
      </c>
      <c r="J1113">
        <v>0</v>
      </c>
      <c r="K1113">
        <v>3.3919999999999999</v>
      </c>
      <c r="L1113">
        <v>0</v>
      </c>
      <c r="M1113">
        <v>85.594214069133713</v>
      </c>
      <c r="N1113">
        <v>0</v>
      </c>
      <c r="O1113">
        <v>0.034792740329721246</v>
      </c>
      <c r="P1113">
        <v>0.0016793835001666668</v>
      </c>
      <c r="Q1113">
        <v>0.0044169504331110178</v>
      </c>
      <c r="R1113">
        <v>2750000.0039900001</v>
      </c>
      <c r="S1113">
        <v>0</v>
      </c>
      <c r="T1113">
        <v>0</v>
      </c>
      <c r="V1113">
        <v>5400</v>
      </c>
      <c r="W1113">
        <v>10</v>
      </c>
      <c r="X1113">
        <v>85</v>
      </c>
      <c r="Y1113">
        <v>4</v>
      </c>
      <c r="Z1113">
        <v>4</v>
      </c>
      <c r="AA1113">
        <v>5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80</v>
      </c>
      <c r="AM1113">
        <v>53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70</v>
      </c>
      <c r="AU1113">
        <v>0</v>
      </c>
      <c r="AV1113">
        <v>0</v>
      </c>
    </row>
    <row r="1114" spans="1:48" ht="12.75">
      <c r="A1114" s="2" t="str">
        <f>HYPERLINK("https://ibp.a2mac1.com/costing(costing:projects/details/8191/equipment/6948562)","Manufacturing Equipment")</f>
        <v>Manufacturing Equipment</v>
      </c>
      <c r="B1114">
        <v>6948562</v>
      </c>
      <c r="C1114">
        <v>6975943</v>
      </c>
      <c r="E1114" t="s">
        <v>603</v>
      </c>
      <c r="H1114" t="s">
        <v>136</v>
      </c>
      <c r="I1114">
        <v>373962.17573865002</v>
      </c>
      <c r="J1114">
        <v>0</v>
      </c>
      <c r="K1114">
        <v>3.3919999999999999</v>
      </c>
      <c r="L1114">
        <v>0</v>
      </c>
      <c r="M1114">
        <v>85.594214069133713</v>
      </c>
      <c r="N1114">
        <v>0</v>
      </c>
      <c r="O1114">
        <v>0.034792740329721246</v>
      </c>
      <c r="P1114">
        <v>0.0016793835001666668</v>
      </c>
      <c r="Q1114">
        <v>0.0044169504331110178</v>
      </c>
      <c r="R1114">
        <v>2750000.0039900001</v>
      </c>
      <c r="S1114">
        <v>0</v>
      </c>
      <c r="T1114">
        <v>0</v>
      </c>
      <c r="V1114">
        <v>5400</v>
      </c>
      <c r="W1114">
        <v>10</v>
      </c>
      <c r="X1114">
        <v>85</v>
      </c>
      <c r="Y1114">
        <v>4</v>
      </c>
      <c r="Z1114">
        <v>4</v>
      </c>
      <c r="AA1114">
        <v>5</v>
      </c>
      <c r="AB1114">
        <v>0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80</v>
      </c>
      <c r="AM1114">
        <v>53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70</v>
      </c>
      <c r="AU1114">
        <v>0</v>
      </c>
      <c r="AV1114">
        <v>0</v>
      </c>
    </row>
    <row r="1115" spans="1:48" ht="12.75">
      <c r="A1115" s="2" t="str">
        <f>HYPERLINK("https://ibp.a2mac1.com/costing(costing:projects/details/8191/equipment/6948563)","Manufacturing Equipment")</f>
        <v>Manufacturing Equipment</v>
      </c>
      <c r="B1115">
        <v>6948563</v>
      </c>
      <c r="C1115">
        <v>6975944</v>
      </c>
      <c r="E1115" t="s">
        <v>603</v>
      </c>
      <c r="H1115" t="s">
        <v>136</v>
      </c>
      <c r="I1115">
        <v>373962.17573865002</v>
      </c>
      <c r="J1115">
        <v>0</v>
      </c>
      <c r="K1115">
        <v>3.3919999999999999</v>
      </c>
      <c r="L1115">
        <v>0</v>
      </c>
      <c r="M1115">
        <v>85.594214069133713</v>
      </c>
      <c r="N1115">
        <v>0</v>
      </c>
      <c r="O1115">
        <v>0.25042025784244842</v>
      </c>
      <c r="P1115">
        <v>0.012087339058166667</v>
      </c>
      <c r="Q1115">
        <v>0.0044169504331110178</v>
      </c>
      <c r="R1115">
        <v>2750000.0039900001</v>
      </c>
      <c r="S1115">
        <v>0</v>
      </c>
      <c r="T1115">
        <v>0</v>
      </c>
      <c r="V1115">
        <v>5400</v>
      </c>
      <c r="W1115">
        <v>10</v>
      </c>
      <c r="X1115">
        <v>85</v>
      </c>
      <c r="Y1115">
        <v>4</v>
      </c>
      <c r="Z1115">
        <v>4</v>
      </c>
      <c r="AA1115">
        <v>5</v>
      </c>
      <c r="AB1115">
        <v>0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1</v>
      </c>
      <c r="AJ1115">
        <v>0</v>
      </c>
      <c r="AK1115">
        <v>0</v>
      </c>
      <c r="AL1115">
        <v>80</v>
      </c>
      <c r="AM1115">
        <v>53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70</v>
      </c>
      <c r="AU1115">
        <v>0</v>
      </c>
      <c r="AV1115">
        <v>0</v>
      </c>
    </row>
    <row r="1116" spans="1:48" ht="12.75">
      <c r="A1116" s="2" t="str">
        <f>HYPERLINK("https://ibp.a2mac1.com/costing(costing:projects/details/8191/equipment/6948564)","Manufacturing Equipment")</f>
        <v>Manufacturing Equipment</v>
      </c>
      <c r="B1116">
        <v>6948564</v>
      </c>
      <c r="C1116">
        <v>6975945</v>
      </c>
      <c r="E1116" t="s">
        <v>603</v>
      </c>
      <c r="H1116" t="s">
        <v>136</v>
      </c>
      <c r="I1116">
        <v>373962.17573865002</v>
      </c>
      <c r="J1116">
        <v>0</v>
      </c>
      <c r="K1116">
        <v>3.3919999999999999</v>
      </c>
      <c r="L1116">
        <v>0</v>
      </c>
      <c r="M1116">
        <v>85.594214069133713</v>
      </c>
      <c r="N1116">
        <v>0</v>
      </c>
      <c r="O1116">
        <v>0.1798876534281604</v>
      </c>
      <c r="P1116">
        <v>0.0086828560840000006</v>
      </c>
      <c r="Q1116">
        <v>0.0044169504331110178</v>
      </c>
      <c r="R1116">
        <v>2750000.0039900001</v>
      </c>
      <c r="S1116">
        <v>0</v>
      </c>
      <c r="T1116">
        <v>0</v>
      </c>
      <c r="V1116">
        <v>5400</v>
      </c>
      <c r="W1116">
        <v>10</v>
      </c>
      <c r="X1116">
        <v>85</v>
      </c>
      <c r="Y1116">
        <v>4</v>
      </c>
      <c r="Z1116">
        <v>4</v>
      </c>
      <c r="AA1116">
        <v>5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80</v>
      </c>
      <c r="AM1116">
        <v>53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70</v>
      </c>
      <c r="AU1116">
        <v>0</v>
      </c>
      <c r="AV1116">
        <v>0</v>
      </c>
    </row>
    <row r="1117" spans="1:48" ht="12.75">
      <c r="A1117" s="2" t="str">
        <f>HYPERLINK("https://ibp.a2mac1.com/costing(costing:projects/details/8191/equipment/6948565)","Manufacturing Equipment")</f>
        <v>Manufacturing Equipment</v>
      </c>
      <c r="B1117">
        <v>6948565</v>
      </c>
      <c r="C1117">
        <v>6975946</v>
      </c>
      <c r="E1117" t="s">
        <v>603</v>
      </c>
      <c r="H1117" t="s">
        <v>136</v>
      </c>
      <c r="I1117">
        <v>373962.17573865002</v>
      </c>
      <c r="J1117">
        <v>0</v>
      </c>
      <c r="K1117">
        <v>3.3919999999999999</v>
      </c>
      <c r="L1117">
        <v>0</v>
      </c>
      <c r="M1117">
        <v>85.594214069133713</v>
      </c>
      <c r="N1117">
        <v>0</v>
      </c>
      <c r="O1117">
        <v>0.034792740329721246</v>
      </c>
      <c r="P1117">
        <v>0.0016793835001666668</v>
      </c>
      <c r="Q1117">
        <v>0.0044169504331110178</v>
      </c>
      <c r="R1117">
        <v>2750000.0039900001</v>
      </c>
      <c r="S1117">
        <v>0</v>
      </c>
      <c r="T1117">
        <v>0</v>
      </c>
      <c r="V1117">
        <v>5400</v>
      </c>
      <c r="W1117">
        <v>10</v>
      </c>
      <c r="X1117">
        <v>85</v>
      </c>
      <c r="Y1117">
        <v>4</v>
      </c>
      <c r="Z1117">
        <v>4</v>
      </c>
      <c r="AA1117">
        <v>5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80</v>
      </c>
      <c r="AM1117">
        <v>53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70</v>
      </c>
      <c r="AU1117">
        <v>0</v>
      </c>
      <c r="AV1117">
        <v>0</v>
      </c>
    </row>
    <row r="1118" spans="1:48" ht="12.75">
      <c r="A1118" s="2" t="str">
        <f>HYPERLINK("https://ibp.a2mac1.com/costing(costing:projects/details/8191/equipment/6948566)","Manufacturing Equipment")</f>
        <v>Manufacturing Equipment</v>
      </c>
      <c r="B1118">
        <v>6948566</v>
      </c>
      <c r="C1118">
        <v>6975947</v>
      </c>
      <c r="E1118" t="s">
        <v>603</v>
      </c>
      <c r="H1118" t="s">
        <v>136</v>
      </c>
      <c r="I1118">
        <v>373962.17573865002</v>
      </c>
      <c r="J1118">
        <v>0</v>
      </c>
      <c r="K1118">
        <v>3.3919999999999999</v>
      </c>
      <c r="L1118">
        <v>0</v>
      </c>
      <c r="M1118">
        <v>85.594214069133713</v>
      </c>
      <c r="N1118">
        <v>0</v>
      </c>
      <c r="O1118">
        <v>0.034792740329721246</v>
      </c>
      <c r="P1118">
        <v>0.0016793835001666668</v>
      </c>
      <c r="Q1118">
        <v>0.0044169504331110178</v>
      </c>
      <c r="R1118">
        <v>2750000.0039900001</v>
      </c>
      <c r="S1118">
        <v>0</v>
      </c>
      <c r="T1118">
        <v>0</v>
      </c>
      <c r="V1118">
        <v>5400</v>
      </c>
      <c r="W1118">
        <v>10</v>
      </c>
      <c r="X1118">
        <v>85</v>
      </c>
      <c r="Y1118">
        <v>4</v>
      </c>
      <c r="Z1118">
        <v>4</v>
      </c>
      <c r="AA1118">
        <v>5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80</v>
      </c>
      <c r="AM1118">
        <v>53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70</v>
      </c>
      <c r="AU1118">
        <v>0</v>
      </c>
      <c r="AV1118">
        <v>0</v>
      </c>
    </row>
    <row r="1119" spans="1:48" ht="12.75">
      <c r="A1119" s="2" t="str">
        <f>HYPERLINK("https://ibp.a2mac1.com/costing(costing:projects/details/8191/equipment/6948567)","Manufacturing Equipment")</f>
        <v>Manufacturing Equipment</v>
      </c>
      <c r="B1119">
        <v>6948567</v>
      </c>
      <c r="C1119">
        <v>6975948</v>
      </c>
      <c r="E1119" t="s">
        <v>603</v>
      </c>
      <c r="H1119" t="s">
        <v>136</v>
      </c>
      <c r="I1119">
        <v>373962.17573865002</v>
      </c>
      <c r="J1119">
        <v>0</v>
      </c>
      <c r="K1119">
        <v>3.3919999999999999</v>
      </c>
      <c r="L1119">
        <v>0</v>
      </c>
      <c r="M1119">
        <v>85.594214069133713</v>
      </c>
      <c r="N1119">
        <v>0</v>
      </c>
      <c r="O1119">
        <v>0.017987861848334199</v>
      </c>
      <c r="P1119">
        <v>0.00086824199833333338</v>
      </c>
      <c r="Q1119">
        <v>0.0044169504331110178</v>
      </c>
      <c r="R1119">
        <v>2750000.0039900001</v>
      </c>
      <c r="S1119">
        <v>0</v>
      </c>
      <c r="T1119">
        <v>0</v>
      </c>
      <c r="V1119">
        <v>5400</v>
      </c>
      <c r="W1119">
        <v>10</v>
      </c>
      <c r="X1119">
        <v>85</v>
      </c>
      <c r="Y1119">
        <v>4</v>
      </c>
      <c r="Z1119">
        <v>4</v>
      </c>
      <c r="AA1119">
        <v>5</v>
      </c>
      <c r="AB1119">
        <v>0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80</v>
      </c>
      <c r="AM1119">
        <v>53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70</v>
      </c>
      <c r="AU1119">
        <v>0</v>
      </c>
      <c r="AV1119">
        <v>0</v>
      </c>
    </row>
    <row r="1120" spans="1:48" ht="12.75">
      <c r="A1120" s="2" t="str">
        <f>HYPERLINK("https://ibp.a2mac1.com/costing(costing:projects/details/8191/equipment/6948568)","Manufacturing Equipment")</f>
        <v>Manufacturing Equipment</v>
      </c>
      <c r="B1120">
        <v>6948568</v>
      </c>
      <c r="C1120">
        <v>6975949</v>
      </c>
      <c r="E1120" t="s">
        <v>603</v>
      </c>
      <c r="H1120" t="s">
        <v>136</v>
      </c>
      <c r="I1120">
        <v>373962.17573865002</v>
      </c>
      <c r="J1120">
        <v>0</v>
      </c>
      <c r="K1120">
        <v>3.3919999999999999</v>
      </c>
      <c r="L1120">
        <v>0</v>
      </c>
      <c r="M1120">
        <v>85.594214069133713</v>
      </c>
      <c r="N1120">
        <v>0</v>
      </c>
      <c r="O1120">
        <v>0.017987861848334199</v>
      </c>
      <c r="P1120">
        <v>0.00086824199833333338</v>
      </c>
      <c r="Q1120">
        <v>0.0044169504331110178</v>
      </c>
      <c r="R1120">
        <v>2750000.0039900001</v>
      </c>
      <c r="S1120">
        <v>0</v>
      </c>
      <c r="T1120">
        <v>0</v>
      </c>
      <c r="V1120">
        <v>5400</v>
      </c>
      <c r="W1120">
        <v>10</v>
      </c>
      <c r="X1120">
        <v>85</v>
      </c>
      <c r="Y1120">
        <v>4</v>
      </c>
      <c r="Z1120">
        <v>4</v>
      </c>
      <c r="AA1120">
        <v>5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80</v>
      </c>
      <c r="AM1120">
        <v>53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70</v>
      </c>
      <c r="AU1120">
        <v>0</v>
      </c>
      <c r="AV1120">
        <v>0</v>
      </c>
    </row>
    <row r="1121" spans="1:48" ht="12.75">
      <c r="A1121" s="2" t="str">
        <f>HYPERLINK("https://ibp.a2mac1.com/costing(costing:projects/details/8191/equipment/6948569)","Manufacturing Equipment")</f>
        <v>Manufacturing Equipment</v>
      </c>
      <c r="B1121">
        <v>6948569</v>
      </c>
      <c r="C1121">
        <v>6975950</v>
      </c>
      <c r="E1121" t="s">
        <v>603</v>
      </c>
      <c r="H1121" t="s">
        <v>136</v>
      </c>
      <c r="I1121">
        <v>373962.17573865002</v>
      </c>
      <c r="J1121">
        <v>0</v>
      </c>
      <c r="K1121">
        <v>3.3919999999999999</v>
      </c>
      <c r="L1121">
        <v>0</v>
      </c>
      <c r="M1121">
        <v>85.594214069133713</v>
      </c>
      <c r="N1121">
        <v>0</v>
      </c>
      <c r="O1121">
        <v>0.024442497755116997</v>
      </c>
      <c r="P1121">
        <v>0.0011797957575</v>
      </c>
      <c r="Q1121">
        <v>0.0044169504331110178</v>
      </c>
      <c r="R1121">
        <v>2750000.0039900001</v>
      </c>
      <c r="S1121">
        <v>0</v>
      </c>
      <c r="T1121">
        <v>0</v>
      </c>
      <c r="V1121">
        <v>5400</v>
      </c>
      <c r="W1121">
        <v>10</v>
      </c>
      <c r="X1121">
        <v>85</v>
      </c>
      <c r="Y1121">
        <v>4</v>
      </c>
      <c r="Z1121">
        <v>4</v>
      </c>
      <c r="AA1121">
        <v>5</v>
      </c>
      <c r="AB1121">
        <v>0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80</v>
      </c>
      <c r="AM1121">
        <v>53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70</v>
      </c>
      <c r="AU1121">
        <v>0</v>
      </c>
      <c r="AV1121">
        <v>0</v>
      </c>
    </row>
    <row r="1122" spans="1:48" ht="12.75">
      <c r="A1122" s="2" t="str">
        <f>HYPERLINK("https://ibp.a2mac1.com/costing(costing:projects/details/8191/equipment/6948570)","Manufacturing Equipment")</f>
        <v>Manufacturing Equipment</v>
      </c>
      <c r="B1122">
        <v>6948570</v>
      </c>
      <c r="C1122">
        <v>6975951</v>
      </c>
      <c r="E1122" t="s">
        <v>603</v>
      </c>
      <c r="H1122" t="s">
        <v>136</v>
      </c>
      <c r="I1122">
        <v>373962.17573865002</v>
      </c>
      <c r="J1122">
        <v>0</v>
      </c>
      <c r="K1122">
        <v>3.3919999999999999</v>
      </c>
      <c r="L1122">
        <v>0</v>
      </c>
      <c r="M1122">
        <v>85.594214069133713</v>
      </c>
      <c r="N1122">
        <v>0</v>
      </c>
      <c r="O1122">
        <v>0.017987861848334199</v>
      </c>
      <c r="P1122">
        <v>0.00086824199833333338</v>
      </c>
      <c r="Q1122">
        <v>0.0044169504331110178</v>
      </c>
      <c r="R1122">
        <v>2750000.0039900001</v>
      </c>
      <c r="S1122">
        <v>0</v>
      </c>
      <c r="T1122">
        <v>0</v>
      </c>
      <c r="V1122">
        <v>5400</v>
      </c>
      <c r="W1122">
        <v>10</v>
      </c>
      <c r="X1122">
        <v>85</v>
      </c>
      <c r="Y1122">
        <v>4</v>
      </c>
      <c r="Z1122">
        <v>4</v>
      </c>
      <c r="AA1122">
        <v>5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80</v>
      </c>
      <c r="AM1122">
        <v>53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70</v>
      </c>
      <c r="AU1122">
        <v>0</v>
      </c>
      <c r="AV1122">
        <v>0</v>
      </c>
    </row>
    <row r="1123" spans="1:48" ht="12.75">
      <c r="A1123" s="2" t="str">
        <f>HYPERLINK("https://ibp.a2mac1.com/costing(costing:projects/details/8191/equipment/6948571)","Manufacturing Equipment")</f>
        <v>Manufacturing Equipment</v>
      </c>
      <c r="B1123">
        <v>6948571</v>
      </c>
      <c r="C1123">
        <v>6975952</v>
      </c>
      <c r="E1123" t="s">
        <v>603</v>
      </c>
      <c r="H1123" t="s">
        <v>136</v>
      </c>
      <c r="I1123">
        <v>373962.17573865002</v>
      </c>
      <c r="J1123">
        <v>0</v>
      </c>
      <c r="K1123">
        <v>3.3919999999999999</v>
      </c>
      <c r="L1123">
        <v>0</v>
      </c>
      <c r="M1123">
        <v>85.594214069133713</v>
      </c>
      <c r="N1123">
        <v>0</v>
      </c>
      <c r="O1123">
        <v>0.0051629954403089968</v>
      </c>
      <c r="P1123">
        <v>0.00024920857833333332</v>
      </c>
      <c r="Q1123">
        <v>0.0044169504331110178</v>
      </c>
      <c r="R1123">
        <v>2750000.0039900001</v>
      </c>
      <c r="S1123">
        <v>0</v>
      </c>
      <c r="T1123">
        <v>0</v>
      </c>
      <c r="V1123">
        <v>5400</v>
      </c>
      <c r="W1123">
        <v>10</v>
      </c>
      <c r="X1123">
        <v>85</v>
      </c>
      <c r="Y1123">
        <v>4</v>
      </c>
      <c r="Z1123">
        <v>4</v>
      </c>
      <c r="AA1123">
        <v>5</v>
      </c>
      <c r="AB1123">
        <v>0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80</v>
      </c>
      <c r="AM1123">
        <v>53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70</v>
      </c>
      <c r="AU1123">
        <v>0</v>
      </c>
      <c r="AV1123">
        <v>0</v>
      </c>
    </row>
    <row r="1124" spans="1:48" ht="12.75">
      <c r="A1124" s="2" t="str">
        <f>HYPERLINK("https://ibp.a2mac1.com/costing(costing:projects/details/8191/equipment/6948572)","Manufacturing Equipment")</f>
        <v>Manufacturing Equipment</v>
      </c>
      <c r="B1124">
        <v>6948572</v>
      </c>
      <c r="C1124">
        <v>6975953</v>
      </c>
      <c r="E1124" t="s">
        <v>603</v>
      </c>
      <c r="H1124" t="s">
        <v>136</v>
      </c>
      <c r="I1124">
        <v>373962.17573865002</v>
      </c>
      <c r="J1124">
        <v>0</v>
      </c>
      <c r="K1124">
        <v>3.3919999999999999</v>
      </c>
      <c r="L1124">
        <v>0</v>
      </c>
      <c r="M1124">
        <v>85.594214069133713</v>
      </c>
      <c r="N1124">
        <v>0</v>
      </c>
      <c r="O1124">
        <v>0.23914143692604695</v>
      </c>
      <c r="P1124">
        <v>0.011542930495666667</v>
      </c>
      <c r="Q1124">
        <v>0.0044169504331110178</v>
      </c>
      <c r="R1124">
        <v>2750000.0039900001</v>
      </c>
      <c r="S1124">
        <v>0</v>
      </c>
      <c r="T1124">
        <v>0</v>
      </c>
      <c r="V1124">
        <v>5400</v>
      </c>
      <c r="W1124">
        <v>10</v>
      </c>
      <c r="X1124">
        <v>85</v>
      </c>
      <c r="Y1124">
        <v>4</v>
      </c>
      <c r="Z1124">
        <v>4</v>
      </c>
      <c r="AA1124">
        <v>5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80</v>
      </c>
      <c r="AM1124">
        <v>53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70</v>
      </c>
      <c r="AU1124">
        <v>0</v>
      </c>
      <c r="AV1124">
        <v>0</v>
      </c>
    </row>
    <row r="1125" spans="1:48" ht="12.75">
      <c r="A1125" s="2" t="str">
        <f>HYPERLINK("https://ibp.a2mac1.com/costing(costing:projects/details/8191/equipment/6948573)","Manufacturing Equipment")</f>
        <v>Manufacturing Equipment</v>
      </c>
      <c r="B1125">
        <v>6948573</v>
      </c>
      <c r="C1125">
        <v>6975954</v>
      </c>
      <c r="E1125" t="s">
        <v>603</v>
      </c>
      <c r="H1125" t="s">
        <v>136</v>
      </c>
      <c r="I1125">
        <v>373962.17573865002</v>
      </c>
      <c r="J1125">
        <v>0</v>
      </c>
      <c r="K1125">
        <v>3.3919999999999999</v>
      </c>
      <c r="L1125">
        <v>0</v>
      </c>
      <c r="M1125">
        <v>85.594214069133713</v>
      </c>
      <c r="N1125">
        <v>0</v>
      </c>
      <c r="O1125">
        <v>0.024442497755116997</v>
      </c>
      <c r="P1125">
        <v>0.0011797957575</v>
      </c>
      <c r="Q1125">
        <v>0.0044169504331110178</v>
      </c>
      <c r="R1125">
        <v>2750000.0039900001</v>
      </c>
      <c r="S1125">
        <v>0</v>
      </c>
      <c r="T1125">
        <v>0</v>
      </c>
      <c r="V1125">
        <v>5400</v>
      </c>
      <c r="W1125">
        <v>10</v>
      </c>
      <c r="X1125">
        <v>85</v>
      </c>
      <c r="Y1125">
        <v>4</v>
      </c>
      <c r="Z1125">
        <v>4</v>
      </c>
      <c r="AA1125">
        <v>5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1</v>
      </c>
      <c r="AJ1125">
        <v>0</v>
      </c>
      <c r="AK1125">
        <v>0</v>
      </c>
      <c r="AL1125">
        <v>80</v>
      </c>
      <c r="AM1125">
        <v>53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70</v>
      </c>
      <c r="AU1125">
        <v>0</v>
      </c>
      <c r="AV1125">
        <v>0</v>
      </c>
    </row>
    <row r="1126" spans="1:48" ht="12.75">
      <c r="A1126" s="2" t="str">
        <f>HYPERLINK("https://ibp.a2mac1.com/costing(costing:projects/details/8191/equipment/6948574)","Manufacturing Equipment")</f>
        <v>Manufacturing Equipment</v>
      </c>
      <c r="B1126">
        <v>6948574</v>
      </c>
      <c r="C1126">
        <v>6975955</v>
      </c>
      <c r="E1126" t="s">
        <v>603</v>
      </c>
      <c r="H1126" t="s">
        <v>136</v>
      </c>
      <c r="I1126">
        <v>373962.17573865002</v>
      </c>
      <c r="J1126">
        <v>0</v>
      </c>
      <c r="K1126">
        <v>3.3919999999999999</v>
      </c>
      <c r="L1126">
        <v>0</v>
      </c>
      <c r="M1126">
        <v>85.594214069133713</v>
      </c>
      <c r="N1126">
        <v>0</v>
      </c>
      <c r="O1126">
        <v>0.039961323170115311</v>
      </c>
      <c r="P1126">
        <v>0.0019288617723333334</v>
      </c>
      <c r="Q1126">
        <v>0.0044169504331110178</v>
      </c>
      <c r="R1126">
        <v>2750000.0039900001</v>
      </c>
      <c r="S1126">
        <v>0</v>
      </c>
      <c r="T1126">
        <v>0</v>
      </c>
      <c r="V1126">
        <v>5400</v>
      </c>
      <c r="W1126">
        <v>10</v>
      </c>
      <c r="X1126">
        <v>85</v>
      </c>
      <c r="Y1126">
        <v>4</v>
      </c>
      <c r="Z1126">
        <v>4</v>
      </c>
      <c r="AA1126">
        <v>5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80</v>
      </c>
      <c r="AM1126">
        <v>53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70</v>
      </c>
      <c r="AU1126">
        <v>0</v>
      </c>
      <c r="AV1126">
        <v>0</v>
      </c>
    </row>
    <row r="1127" spans="1:48" ht="12.75">
      <c r="A1127" s="2" t="str">
        <f>HYPERLINK("https://ibp.a2mac1.com/costing(costing:projects/details/8191/equipment/6948575)","Manufacturing Equipment")</f>
        <v>Manufacturing Equipment</v>
      </c>
      <c r="B1127">
        <v>6948575</v>
      </c>
      <c r="C1127">
        <v>6975956</v>
      </c>
      <c r="E1127" t="s">
        <v>603</v>
      </c>
      <c r="H1127" t="s">
        <v>136</v>
      </c>
      <c r="I1127">
        <v>373962.17573865002</v>
      </c>
      <c r="J1127">
        <v>0</v>
      </c>
      <c r="K1127">
        <v>3.3919999999999999</v>
      </c>
      <c r="L1127">
        <v>0</v>
      </c>
      <c r="M1127">
        <v>85.594214069133713</v>
      </c>
      <c r="N1127">
        <v>0</v>
      </c>
      <c r="O1127">
        <v>0.034792740329721246</v>
      </c>
      <c r="P1127">
        <v>0.0016793835001666668</v>
      </c>
      <c r="Q1127">
        <v>0.0044169504331110178</v>
      </c>
      <c r="R1127">
        <v>2750000.0039900001</v>
      </c>
      <c r="S1127">
        <v>0</v>
      </c>
      <c r="T1127">
        <v>0</v>
      </c>
      <c r="V1127">
        <v>5400</v>
      </c>
      <c r="W1127">
        <v>10</v>
      </c>
      <c r="X1127">
        <v>85</v>
      </c>
      <c r="Y1127">
        <v>4</v>
      </c>
      <c r="Z1127">
        <v>4</v>
      </c>
      <c r="AA1127">
        <v>5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1</v>
      </c>
      <c r="AJ1127">
        <v>0</v>
      </c>
      <c r="AK1127">
        <v>0</v>
      </c>
      <c r="AL1127">
        <v>80</v>
      </c>
      <c r="AM1127">
        <v>53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70</v>
      </c>
      <c r="AU1127">
        <v>0</v>
      </c>
      <c r="AV1127">
        <v>0</v>
      </c>
    </row>
    <row r="1128" spans="1:48" ht="12.75">
      <c r="A1128" s="2" t="str">
        <f>HYPERLINK("https://ibp.a2mac1.com/costing(costing:projects/details/8191/equipment/6948576)","Manufacturing Equipment")</f>
        <v>Manufacturing Equipment</v>
      </c>
      <c r="B1128">
        <v>6948576</v>
      </c>
      <c r="C1128">
        <v>6975957</v>
      </c>
      <c r="E1128" t="s">
        <v>603</v>
      </c>
      <c r="H1128" t="s">
        <v>136</v>
      </c>
      <c r="I1128">
        <v>373962.17573865002</v>
      </c>
      <c r="J1128">
        <v>0</v>
      </c>
      <c r="K1128">
        <v>3.3919999999999999</v>
      </c>
      <c r="L1128">
        <v>0</v>
      </c>
      <c r="M1128">
        <v>85.594214069133713</v>
      </c>
      <c r="N1128">
        <v>0</v>
      </c>
      <c r="O1128">
        <v>0.1798876534281604</v>
      </c>
      <c r="P1128">
        <v>0.0086828560840000006</v>
      </c>
      <c r="Q1128">
        <v>0.0044169504331110178</v>
      </c>
      <c r="R1128">
        <v>2750000.0039900001</v>
      </c>
      <c r="S1128">
        <v>0</v>
      </c>
      <c r="T1128">
        <v>0</v>
      </c>
      <c r="V1128">
        <v>5400</v>
      </c>
      <c r="W1128">
        <v>10</v>
      </c>
      <c r="X1128">
        <v>85</v>
      </c>
      <c r="Y1128">
        <v>4</v>
      </c>
      <c r="Z1128">
        <v>4</v>
      </c>
      <c r="AA1128">
        <v>5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80</v>
      </c>
      <c r="AM1128">
        <v>53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70</v>
      </c>
      <c r="AU1128">
        <v>0</v>
      </c>
      <c r="AV1128">
        <v>0</v>
      </c>
    </row>
    <row r="1129" spans="1:48" ht="12.75">
      <c r="A1129" s="2" t="str">
        <f>HYPERLINK("https://ibp.a2mac1.com/costing(costing:projects/details/8191/equipment/6948577)","Manufacturing Equipment")</f>
        <v>Manufacturing Equipment</v>
      </c>
      <c r="B1129">
        <v>6948577</v>
      </c>
      <c r="C1129">
        <v>6975958</v>
      </c>
      <c r="E1129" t="s">
        <v>603</v>
      </c>
      <c r="H1129" t="s">
        <v>136</v>
      </c>
      <c r="I1129">
        <v>373962.17573865002</v>
      </c>
      <c r="J1129">
        <v>0</v>
      </c>
      <c r="K1129">
        <v>3.3919999999999999</v>
      </c>
      <c r="L1129">
        <v>0</v>
      </c>
      <c r="M1129">
        <v>85.594214069133713</v>
      </c>
      <c r="N1129">
        <v>0</v>
      </c>
      <c r="O1129">
        <v>0.034792740329721246</v>
      </c>
      <c r="P1129">
        <v>0.0016793835001666668</v>
      </c>
      <c r="Q1129">
        <v>0.0044169504331110178</v>
      </c>
      <c r="R1129">
        <v>2750000.0039900001</v>
      </c>
      <c r="S1129">
        <v>0</v>
      </c>
      <c r="T1129">
        <v>0</v>
      </c>
      <c r="V1129">
        <v>5400</v>
      </c>
      <c r="W1129">
        <v>10</v>
      </c>
      <c r="X1129">
        <v>85</v>
      </c>
      <c r="Y1129">
        <v>4</v>
      </c>
      <c r="Z1129">
        <v>4</v>
      </c>
      <c r="AA1129">
        <v>5</v>
      </c>
      <c r="AB1129">
        <v>0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80</v>
      </c>
      <c r="AM1129">
        <v>53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70</v>
      </c>
      <c r="AU1129">
        <v>0</v>
      </c>
      <c r="AV1129">
        <v>0</v>
      </c>
    </row>
    <row r="1130" spans="1:48" ht="12.75">
      <c r="A1130" s="2" t="str">
        <f>HYPERLINK("https://ibp.a2mac1.com/costing(costing:projects/details/8191/equipment/6948578)","Manufacturing Equipment")</f>
        <v>Manufacturing Equipment</v>
      </c>
      <c r="B1130">
        <v>6948578</v>
      </c>
      <c r="C1130">
        <v>6975959</v>
      </c>
      <c r="E1130" t="s">
        <v>603</v>
      </c>
      <c r="H1130" t="s">
        <v>136</v>
      </c>
      <c r="I1130">
        <v>373962.17573865002</v>
      </c>
      <c r="J1130">
        <v>0</v>
      </c>
      <c r="K1130">
        <v>3.3919999999999999</v>
      </c>
      <c r="L1130">
        <v>0</v>
      </c>
      <c r="M1130">
        <v>85.594214069133713</v>
      </c>
      <c r="N1130">
        <v>0</v>
      </c>
      <c r="O1130">
        <v>0.034792740329721246</v>
      </c>
      <c r="P1130">
        <v>0.0016793835001666668</v>
      </c>
      <c r="Q1130">
        <v>0.0044169504331110178</v>
      </c>
      <c r="R1130">
        <v>2750000.0039900001</v>
      </c>
      <c r="S1130">
        <v>0</v>
      </c>
      <c r="T1130">
        <v>0</v>
      </c>
      <c r="V1130">
        <v>5400</v>
      </c>
      <c r="W1130">
        <v>10</v>
      </c>
      <c r="X1130">
        <v>85</v>
      </c>
      <c r="Y1130">
        <v>4</v>
      </c>
      <c r="Z1130">
        <v>4</v>
      </c>
      <c r="AA1130">
        <v>5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1</v>
      </c>
      <c r="AJ1130">
        <v>0</v>
      </c>
      <c r="AK1130">
        <v>0</v>
      </c>
      <c r="AL1130">
        <v>80</v>
      </c>
      <c r="AM1130">
        <v>53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70</v>
      </c>
      <c r="AU1130">
        <v>0</v>
      </c>
      <c r="AV1130">
        <v>0</v>
      </c>
    </row>
    <row r="1131" spans="1:48" ht="12.75">
      <c r="A1131" s="2" t="str">
        <f>HYPERLINK("https://ibp.a2mac1.com/costing(costing:projects/details/8191/equipment/6948579)","Manufacturing Equipment")</f>
        <v>Manufacturing Equipment</v>
      </c>
      <c r="B1131">
        <v>6948579</v>
      </c>
      <c r="C1131">
        <v>6975960</v>
      </c>
      <c r="E1131" t="s">
        <v>603</v>
      </c>
      <c r="H1131" t="s">
        <v>136</v>
      </c>
      <c r="I1131">
        <v>373962.17573865002</v>
      </c>
      <c r="J1131">
        <v>0</v>
      </c>
      <c r="K1131">
        <v>3.3919999999999999</v>
      </c>
      <c r="L1131">
        <v>0</v>
      </c>
      <c r="M1131">
        <v>85.594214069133713</v>
      </c>
      <c r="N1131">
        <v>0</v>
      </c>
      <c r="O1131">
        <v>0.034792740329721246</v>
      </c>
      <c r="P1131">
        <v>0.0016793835001666668</v>
      </c>
      <c r="Q1131">
        <v>0.0044169504331110178</v>
      </c>
      <c r="R1131">
        <v>2750000.0039900001</v>
      </c>
      <c r="S1131">
        <v>0</v>
      </c>
      <c r="T1131">
        <v>0</v>
      </c>
      <c r="V1131">
        <v>5400</v>
      </c>
      <c r="W1131">
        <v>10</v>
      </c>
      <c r="X1131">
        <v>85</v>
      </c>
      <c r="Y1131">
        <v>4</v>
      </c>
      <c r="Z1131">
        <v>4</v>
      </c>
      <c r="AA1131">
        <v>5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1</v>
      </c>
      <c r="AJ1131">
        <v>0</v>
      </c>
      <c r="AK1131">
        <v>0</v>
      </c>
      <c r="AL1131">
        <v>80</v>
      </c>
      <c r="AM1131">
        <v>53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70</v>
      </c>
      <c r="AU1131">
        <v>0</v>
      </c>
      <c r="AV1131">
        <v>0</v>
      </c>
    </row>
    <row r="1132" spans="1:48" ht="12.75">
      <c r="A1132" s="2" t="str">
        <f>HYPERLINK("https://ibp.a2mac1.com/costing(costing:projects/details/8191/equipment/6948580)","Manufacturing Equipment")</f>
        <v>Manufacturing Equipment</v>
      </c>
      <c r="B1132">
        <v>6948580</v>
      </c>
      <c r="C1132">
        <v>6975961</v>
      </c>
      <c r="E1132" t="s">
        <v>603</v>
      </c>
      <c r="H1132" t="s">
        <v>136</v>
      </c>
      <c r="I1132">
        <v>373962.17573865002</v>
      </c>
      <c r="J1132">
        <v>0</v>
      </c>
      <c r="K1132">
        <v>3.3919999999999999</v>
      </c>
      <c r="L1132">
        <v>0</v>
      </c>
      <c r="M1132">
        <v>85.594214069133713</v>
      </c>
      <c r="N1132">
        <v>0</v>
      </c>
      <c r="O1132">
        <v>0.024442497755116997</v>
      </c>
      <c r="P1132">
        <v>0.0011797957575</v>
      </c>
      <c r="Q1132">
        <v>0.0044169504331110178</v>
      </c>
      <c r="R1132">
        <v>2750000.0039900001</v>
      </c>
      <c r="S1132">
        <v>0</v>
      </c>
      <c r="T1132">
        <v>0</v>
      </c>
      <c r="V1132">
        <v>5400</v>
      </c>
      <c r="W1132">
        <v>10</v>
      </c>
      <c r="X1132">
        <v>85</v>
      </c>
      <c r="Y1132">
        <v>4</v>
      </c>
      <c r="Z1132">
        <v>4</v>
      </c>
      <c r="AA1132">
        <v>5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80</v>
      </c>
      <c r="AM1132">
        <v>53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70</v>
      </c>
      <c r="AU1132">
        <v>0</v>
      </c>
      <c r="AV1132">
        <v>0</v>
      </c>
    </row>
    <row r="1133" spans="1:48" ht="12.75">
      <c r="A1133" s="2" t="str">
        <f>HYPERLINK("https://ibp.a2mac1.com/costing(costing:projects/details/8191/equipment/6948581)","Manufacturing Equipment")</f>
        <v>Manufacturing Equipment</v>
      </c>
      <c r="B1133">
        <v>6948581</v>
      </c>
      <c r="C1133">
        <v>6975962</v>
      </c>
      <c r="E1133" t="s">
        <v>603</v>
      </c>
      <c r="H1133" t="s">
        <v>136</v>
      </c>
      <c r="I1133">
        <v>373962.17573865002</v>
      </c>
      <c r="J1133">
        <v>0</v>
      </c>
      <c r="K1133">
        <v>3.3919999999999999</v>
      </c>
      <c r="L1133">
        <v>0</v>
      </c>
      <c r="M1133">
        <v>85.594214069133713</v>
      </c>
      <c r="N1133">
        <v>0</v>
      </c>
      <c r="O1133">
        <v>0.024442497755116997</v>
      </c>
      <c r="P1133">
        <v>0.0011797957575</v>
      </c>
      <c r="Q1133">
        <v>0.0044169504331110178</v>
      </c>
      <c r="R1133">
        <v>2750000.0039900001</v>
      </c>
      <c r="S1133">
        <v>0</v>
      </c>
      <c r="T1133">
        <v>0</v>
      </c>
      <c r="V1133">
        <v>5400</v>
      </c>
      <c r="W1133">
        <v>10</v>
      </c>
      <c r="X1133">
        <v>85</v>
      </c>
      <c r="Y1133">
        <v>4</v>
      </c>
      <c r="Z1133">
        <v>4</v>
      </c>
      <c r="AA1133">
        <v>5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80</v>
      </c>
      <c r="AM1133">
        <v>53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70</v>
      </c>
      <c r="AU1133">
        <v>0</v>
      </c>
      <c r="AV1133">
        <v>0</v>
      </c>
    </row>
    <row r="1134" spans="1:48" ht="12.75">
      <c r="A1134" s="2" t="str">
        <f>HYPERLINK("https://ibp.a2mac1.com/costing(costing:projects/details/8191/equipment/6948582)","Manufacturing Equipment")</f>
        <v>Manufacturing Equipment</v>
      </c>
      <c r="B1134">
        <v>6948582</v>
      </c>
      <c r="C1134">
        <v>6975963</v>
      </c>
      <c r="E1134" t="s">
        <v>603</v>
      </c>
      <c r="H1134" t="s">
        <v>136</v>
      </c>
      <c r="I1134">
        <v>373962.17573865002</v>
      </c>
      <c r="J1134">
        <v>0</v>
      </c>
      <c r="K1134">
        <v>3.3919999999999999</v>
      </c>
      <c r="L1134">
        <v>0</v>
      </c>
      <c r="M1134">
        <v>85.594214069133713</v>
      </c>
      <c r="N1134">
        <v>0</v>
      </c>
      <c r="O1134">
        <v>0.034792740329721246</v>
      </c>
      <c r="P1134">
        <v>0.0016793835001666668</v>
      </c>
      <c r="Q1134">
        <v>0.0044169504331110178</v>
      </c>
      <c r="R1134">
        <v>2750000.0039900001</v>
      </c>
      <c r="S1134">
        <v>0</v>
      </c>
      <c r="T1134">
        <v>0</v>
      </c>
      <c r="V1134">
        <v>5400</v>
      </c>
      <c r="W1134">
        <v>10</v>
      </c>
      <c r="X1134">
        <v>85</v>
      </c>
      <c r="Y1134">
        <v>4</v>
      </c>
      <c r="Z1134">
        <v>4</v>
      </c>
      <c r="AA1134">
        <v>5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80</v>
      </c>
      <c r="AM1134">
        <v>53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70</v>
      </c>
      <c r="AU1134">
        <v>0</v>
      </c>
      <c r="AV1134">
        <v>0</v>
      </c>
    </row>
    <row r="1135" spans="1:48" ht="12.75">
      <c r="A1135" s="2" t="str">
        <f>HYPERLINK("https://ibp.a2mac1.com/costing(costing:projects/details/8191/equipment/6948583)","Manufacturing Equipment")</f>
        <v>Manufacturing Equipment</v>
      </c>
      <c r="B1135">
        <v>6948583</v>
      </c>
      <c r="C1135">
        <v>6975964</v>
      </c>
      <c r="E1135" t="s">
        <v>603</v>
      </c>
      <c r="H1135" t="s">
        <v>136</v>
      </c>
      <c r="I1135">
        <v>373962.17573865002</v>
      </c>
      <c r="J1135">
        <v>0</v>
      </c>
      <c r="K1135">
        <v>3.3919999999999999</v>
      </c>
      <c r="L1135">
        <v>0</v>
      </c>
      <c r="M1135">
        <v>85.594214069133713</v>
      </c>
      <c r="N1135">
        <v>0</v>
      </c>
      <c r="O1135">
        <v>0.0061760980684994931</v>
      </c>
      <c r="P1135">
        <v>0.00029810923466666665</v>
      </c>
      <c r="Q1135">
        <v>0.0044169504331110178</v>
      </c>
      <c r="R1135">
        <v>2750000.0039900001</v>
      </c>
      <c r="S1135">
        <v>0</v>
      </c>
      <c r="T1135">
        <v>0</v>
      </c>
      <c r="V1135">
        <v>5400</v>
      </c>
      <c r="W1135">
        <v>10</v>
      </c>
      <c r="X1135">
        <v>85</v>
      </c>
      <c r="Y1135">
        <v>4</v>
      </c>
      <c r="Z1135">
        <v>4</v>
      </c>
      <c r="AA1135">
        <v>5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80</v>
      </c>
      <c r="AM1135">
        <v>53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70</v>
      </c>
      <c r="AU1135">
        <v>0</v>
      </c>
      <c r="AV1135">
        <v>0</v>
      </c>
    </row>
    <row r="1136" spans="1:48" ht="12.75">
      <c r="A1136" s="2" t="str">
        <f>HYPERLINK("https://ibp.a2mac1.com/costing(costing:projects/details/8191/equipment/6948584)","Manufacturing Equipment")</f>
        <v>Manufacturing Equipment</v>
      </c>
      <c r="B1136">
        <v>6948584</v>
      </c>
      <c r="C1136">
        <v>6975965</v>
      </c>
      <c r="E1136" t="s">
        <v>603</v>
      </c>
      <c r="H1136" t="s">
        <v>136</v>
      </c>
      <c r="I1136">
        <v>373962.17573865002</v>
      </c>
      <c r="J1136">
        <v>0</v>
      </c>
      <c r="K1136">
        <v>3.3919999999999999</v>
      </c>
      <c r="L1136">
        <v>0</v>
      </c>
      <c r="M1136">
        <v>85.594214069133713</v>
      </c>
      <c r="N1136">
        <v>0</v>
      </c>
      <c r="O1136">
        <v>0.039961323170115311</v>
      </c>
      <c r="P1136">
        <v>0.0019288617723333334</v>
      </c>
      <c r="Q1136">
        <v>0.0044169504331110178</v>
      </c>
      <c r="R1136">
        <v>2750000.0039900001</v>
      </c>
      <c r="S1136">
        <v>0</v>
      </c>
      <c r="T1136">
        <v>0</v>
      </c>
      <c r="V1136">
        <v>5400</v>
      </c>
      <c r="W1136">
        <v>10</v>
      </c>
      <c r="X1136">
        <v>85</v>
      </c>
      <c r="Y1136">
        <v>4</v>
      </c>
      <c r="Z1136">
        <v>4</v>
      </c>
      <c r="AA1136">
        <v>5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80</v>
      </c>
      <c r="AM1136">
        <v>53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70</v>
      </c>
      <c r="AU1136">
        <v>0</v>
      </c>
      <c r="AV1136">
        <v>0</v>
      </c>
    </row>
    <row r="1137" spans="1:48" ht="12.75">
      <c r="A1137" s="2" t="str">
        <f>HYPERLINK("https://ibp.a2mac1.com/costing(costing:projects/details/8191/equipment/6948585)","Manufacturing Equipment")</f>
        <v>Manufacturing Equipment</v>
      </c>
      <c r="B1137">
        <v>6948585</v>
      </c>
      <c r="C1137">
        <v>6975966</v>
      </c>
      <c r="E1137" t="s">
        <v>603</v>
      </c>
      <c r="H1137" t="s">
        <v>136</v>
      </c>
      <c r="I1137">
        <v>373962.17573865002</v>
      </c>
      <c r="J1137">
        <v>0</v>
      </c>
      <c r="K1137">
        <v>3.3919999999999999</v>
      </c>
      <c r="L1137">
        <v>0</v>
      </c>
      <c r="M1137">
        <v>85.594214069133713</v>
      </c>
      <c r="N1137">
        <v>0</v>
      </c>
      <c r="O1137">
        <v>0.034792740329721246</v>
      </c>
      <c r="P1137">
        <v>0.0016793835001666668</v>
      </c>
      <c r="Q1137">
        <v>0.0044169504331110178</v>
      </c>
      <c r="R1137">
        <v>2750000.0039900001</v>
      </c>
      <c r="S1137">
        <v>0</v>
      </c>
      <c r="T1137">
        <v>0</v>
      </c>
      <c r="V1137">
        <v>5400</v>
      </c>
      <c r="W1137">
        <v>10</v>
      </c>
      <c r="X1137">
        <v>85</v>
      </c>
      <c r="Y1137">
        <v>4</v>
      </c>
      <c r="Z1137">
        <v>4</v>
      </c>
      <c r="AA1137">
        <v>5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1</v>
      </c>
      <c r="AJ1137">
        <v>0</v>
      </c>
      <c r="AK1137">
        <v>0</v>
      </c>
      <c r="AL1137">
        <v>80</v>
      </c>
      <c r="AM1137">
        <v>53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70</v>
      </c>
      <c r="AU1137">
        <v>0</v>
      </c>
      <c r="AV1137">
        <v>0</v>
      </c>
    </row>
    <row r="1138" spans="1:48" ht="12.75">
      <c r="A1138" s="2" t="str">
        <f>HYPERLINK("https://ibp.a2mac1.com/costing(costing:projects/details/8191/equipment/6948586)","Manufacturing Equipment")</f>
        <v>Manufacturing Equipment</v>
      </c>
      <c r="B1138">
        <v>6948586</v>
      </c>
      <c r="C1138">
        <v>6975967</v>
      </c>
      <c r="E1138" t="s">
        <v>603</v>
      </c>
      <c r="H1138" t="s">
        <v>136</v>
      </c>
      <c r="I1138">
        <v>373962.17573865002</v>
      </c>
      <c r="J1138">
        <v>0</v>
      </c>
      <c r="K1138">
        <v>3.3919999999999999</v>
      </c>
      <c r="L1138">
        <v>0</v>
      </c>
      <c r="M1138">
        <v>85.594214069133713</v>
      </c>
      <c r="N1138">
        <v>0</v>
      </c>
      <c r="O1138">
        <v>0.024442497755116997</v>
      </c>
      <c r="P1138">
        <v>0.0011797957575</v>
      </c>
      <c r="Q1138">
        <v>0.0044169504331110178</v>
      </c>
      <c r="R1138">
        <v>2750000.0039900001</v>
      </c>
      <c r="S1138">
        <v>0</v>
      </c>
      <c r="T1138">
        <v>0</v>
      </c>
      <c r="V1138">
        <v>5400</v>
      </c>
      <c r="W1138">
        <v>10</v>
      </c>
      <c r="X1138">
        <v>85</v>
      </c>
      <c r="Y1138">
        <v>4</v>
      </c>
      <c r="Z1138">
        <v>4</v>
      </c>
      <c r="AA1138">
        <v>5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80</v>
      </c>
      <c r="AM1138">
        <v>53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70</v>
      </c>
      <c r="AU1138">
        <v>0</v>
      </c>
      <c r="AV1138">
        <v>0</v>
      </c>
    </row>
    <row r="1139" spans="1:48" ht="12.75">
      <c r="A1139" s="2" t="str">
        <f>HYPERLINK("https://ibp.a2mac1.com/costing(costing:projects/details/8191/equipment/6948587)","Manufacturing Equipment")</f>
        <v>Manufacturing Equipment</v>
      </c>
      <c r="B1139">
        <v>6948587</v>
      </c>
      <c r="C1139">
        <v>6975968</v>
      </c>
      <c r="E1139" t="s">
        <v>603</v>
      </c>
      <c r="H1139" t="s">
        <v>136</v>
      </c>
      <c r="I1139">
        <v>373962.17573865002</v>
      </c>
      <c r="J1139">
        <v>0</v>
      </c>
      <c r="K1139">
        <v>3.3919999999999999</v>
      </c>
      <c r="L1139">
        <v>0</v>
      </c>
      <c r="M1139">
        <v>85.594214069133713</v>
      </c>
      <c r="N1139">
        <v>0</v>
      </c>
      <c r="O1139">
        <v>0.25042025784244842</v>
      </c>
      <c r="P1139">
        <v>0.012087339058166667</v>
      </c>
      <c r="Q1139">
        <v>0.0044169504331110178</v>
      </c>
      <c r="R1139">
        <v>2750000.0039900001</v>
      </c>
      <c r="S1139">
        <v>0</v>
      </c>
      <c r="T1139">
        <v>0</v>
      </c>
      <c r="V1139">
        <v>5400</v>
      </c>
      <c r="W1139">
        <v>10</v>
      </c>
      <c r="X1139">
        <v>85</v>
      </c>
      <c r="Y1139">
        <v>4</v>
      </c>
      <c r="Z1139">
        <v>4</v>
      </c>
      <c r="AA1139">
        <v>5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80</v>
      </c>
      <c r="AM1139">
        <v>53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70</v>
      </c>
      <c r="AU1139">
        <v>0</v>
      </c>
      <c r="AV1139">
        <v>0</v>
      </c>
    </row>
    <row r="1140" spans="1:48" ht="12.75">
      <c r="A1140" s="2" t="str">
        <f>HYPERLINK("https://ibp.a2mac1.com/costing(costing:projects/details/8191/equipment/6948588)","Manufacturing Equipment")</f>
        <v>Manufacturing Equipment</v>
      </c>
      <c r="B1140">
        <v>6948588</v>
      </c>
      <c r="C1140">
        <v>6975969</v>
      </c>
      <c r="E1140" t="s">
        <v>603</v>
      </c>
      <c r="H1140" t="s">
        <v>136</v>
      </c>
      <c r="I1140">
        <v>373962.17573865002</v>
      </c>
      <c r="J1140">
        <v>0</v>
      </c>
      <c r="K1140">
        <v>3.3919999999999999</v>
      </c>
      <c r="L1140">
        <v>0</v>
      </c>
      <c r="M1140">
        <v>85.594214069133713</v>
      </c>
      <c r="N1140">
        <v>0</v>
      </c>
      <c r="O1140">
        <v>0.034792740329721246</v>
      </c>
      <c r="P1140">
        <v>0.0016793835001666668</v>
      </c>
      <c r="Q1140">
        <v>0.0044169504331110178</v>
      </c>
      <c r="R1140">
        <v>2750000.0039900001</v>
      </c>
      <c r="S1140">
        <v>0</v>
      </c>
      <c r="T1140">
        <v>0</v>
      </c>
      <c r="V1140">
        <v>5400</v>
      </c>
      <c r="W1140">
        <v>10</v>
      </c>
      <c r="X1140">
        <v>85</v>
      </c>
      <c r="Y1140">
        <v>4</v>
      </c>
      <c r="Z1140">
        <v>4</v>
      </c>
      <c r="AA1140">
        <v>5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1</v>
      </c>
      <c r="AJ1140">
        <v>0</v>
      </c>
      <c r="AK1140">
        <v>0</v>
      </c>
      <c r="AL1140">
        <v>80</v>
      </c>
      <c r="AM1140">
        <v>53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70</v>
      </c>
      <c r="AU1140">
        <v>0</v>
      </c>
      <c r="AV1140">
        <v>0</v>
      </c>
    </row>
    <row r="1141" spans="1:48" ht="12.75">
      <c r="A1141" s="2" t="str">
        <f>HYPERLINK("https://ibp.a2mac1.com/costing(costing:projects/details/8191/equipment/6948589)","Manufacturing Equipment")</f>
        <v>Manufacturing Equipment</v>
      </c>
      <c r="B1141">
        <v>6948589</v>
      </c>
      <c r="C1141">
        <v>6975970</v>
      </c>
      <c r="E1141" t="s">
        <v>603</v>
      </c>
      <c r="H1141" t="s">
        <v>136</v>
      </c>
      <c r="I1141">
        <v>373962.17573865002</v>
      </c>
      <c r="J1141">
        <v>0</v>
      </c>
      <c r="K1141">
        <v>3.3919999999999999</v>
      </c>
      <c r="L1141">
        <v>0</v>
      </c>
      <c r="M1141">
        <v>85.594214069133713</v>
      </c>
      <c r="N1141">
        <v>0</v>
      </c>
      <c r="O1141">
        <v>0.13917072355717924</v>
      </c>
      <c r="P1141">
        <v>0.0067175225243333329</v>
      </c>
      <c r="Q1141">
        <v>0.0044169504331110178</v>
      </c>
      <c r="R1141">
        <v>2750000.0039900001</v>
      </c>
      <c r="S1141">
        <v>0</v>
      </c>
      <c r="T1141">
        <v>0</v>
      </c>
      <c r="V1141">
        <v>5400</v>
      </c>
      <c r="W1141">
        <v>10</v>
      </c>
      <c r="X1141">
        <v>85</v>
      </c>
      <c r="Y1141">
        <v>4</v>
      </c>
      <c r="Z1141">
        <v>4</v>
      </c>
      <c r="AA1141">
        <v>5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80</v>
      </c>
      <c r="AM1141">
        <v>53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70</v>
      </c>
      <c r="AU1141">
        <v>0</v>
      </c>
      <c r="AV1141">
        <v>0</v>
      </c>
    </row>
    <row r="1142" spans="1:48" ht="12.75">
      <c r="A1142" s="2" t="str">
        <f>HYPERLINK("https://ibp.a2mac1.com/costing(costing:projects/details/8191/equipment/6948590)","Manufacturing Equipment")</f>
        <v>Manufacturing Equipment</v>
      </c>
      <c r="B1142">
        <v>6948590</v>
      </c>
      <c r="C1142">
        <v>6975971</v>
      </c>
      <c r="E1142" t="s">
        <v>603</v>
      </c>
      <c r="H1142" t="s">
        <v>136</v>
      </c>
      <c r="I1142">
        <v>373962.17573865002</v>
      </c>
      <c r="J1142">
        <v>0</v>
      </c>
      <c r="K1142">
        <v>3.3919999999999999</v>
      </c>
      <c r="L1142">
        <v>0</v>
      </c>
      <c r="M1142">
        <v>85.594214069133713</v>
      </c>
      <c r="N1142">
        <v>0</v>
      </c>
      <c r="O1142">
        <v>0.13917072355717924</v>
      </c>
      <c r="P1142">
        <v>0.0067175225243333329</v>
      </c>
      <c r="Q1142">
        <v>0.0044169504331110178</v>
      </c>
      <c r="R1142">
        <v>2750000.0039900001</v>
      </c>
      <c r="S1142">
        <v>0</v>
      </c>
      <c r="T1142">
        <v>0</v>
      </c>
      <c r="V1142">
        <v>5400</v>
      </c>
      <c r="W1142">
        <v>10</v>
      </c>
      <c r="X1142">
        <v>85</v>
      </c>
      <c r="Y1142">
        <v>4</v>
      </c>
      <c r="Z1142">
        <v>4</v>
      </c>
      <c r="AA1142">
        <v>5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1</v>
      </c>
      <c r="AJ1142">
        <v>0</v>
      </c>
      <c r="AK1142">
        <v>0</v>
      </c>
      <c r="AL1142">
        <v>80</v>
      </c>
      <c r="AM1142">
        <v>53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70</v>
      </c>
      <c r="AU1142">
        <v>0</v>
      </c>
      <c r="AV1142">
        <v>0</v>
      </c>
    </row>
    <row r="1143" spans="1:48" ht="12.75">
      <c r="A1143" s="2" t="str">
        <f>HYPERLINK("https://ibp.a2mac1.com/costing(costing:projects/details/8191/equipment/6948740)","Manufacturing Equipment")</f>
        <v>Manufacturing Equipment</v>
      </c>
      <c r="B1143">
        <v>6948740</v>
      </c>
      <c r="C1143">
        <v>6976146</v>
      </c>
      <c r="E1143" t="s">
        <v>603</v>
      </c>
      <c r="H1143" t="s">
        <v>136</v>
      </c>
      <c r="I1143">
        <v>373962.17573865002</v>
      </c>
      <c r="J1143">
        <v>0</v>
      </c>
      <c r="K1143">
        <v>3.3919999999999999</v>
      </c>
      <c r="L1143">
        <v>0</v>
      </c>
      <c r="M1143">
        <v>85.594214069133713</v>
      </c>
      <c r="N1143">
        <v>0</v>
      </c>
      <c r="O1143">
        <v>0.034792740329721246</v>
      </c>
      <c r="P1143">
        <v>0.0016793835001666668</v>
      </c>
      <c r="Q1143">
        <v>0.0044169504331110178</v>
      </c>
      <c r="R1143">
        <v>2750000.0039900001</v>
      </c>
      <c r="S1143">
        <v>0</v>
      </c>
      <c r="T1143">
        <v>0</v>
      </c>
      <c r="V1143">
        <v>5400</v>
      </c>
      <c r="W1143">
        <v>10</v>
      </c>
      <c r="X1143">
        <v>85</v>
      </c>
      <c r="Y1143">
        <v>4</v>
      </c>
      <c r="Z1143">
        <v>4</v>
      </c>
      <c r="AA1143">
        <v>5</v>
      </c>
      <c r="AB1143">
        <v>0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80</v>
      </c>
      <c r="AM1143">
        <v>53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70</v>
      </c>
      <c r="AU1143">
        <v>0</v>
      </c>
      <c r="AV1143">
        <v>0</v>
      </c>
    </row>
    <row r="1144" spans="1:48" ht="12.75">
      <c r="A1144" s="2" t="str">
        <f>HYPERLINK("https://ibp.a2mac1.com/costing(costing:projects/details/8191/equipment/6948741)","Manufacturing Equipment")</f>
        <v>Manufacturing Equipment</v>
      </c>
      <c r="B1144">
        <v>6948741</v>
      </c>
      <c r="C1144">
        <v>6976147</v>
      </c>
      <c r="E1144" t="s">
        <v>603</v>
      </c>
      <c r="H1144" t="s">
        <v>136</v>
      </c>
      <c r="I1144">
        <v>373962.17573865002</v>
      </c>
      <c r="J1144">
        <v>0</v>
      </c>
      <c r="K1144">
        <v>3.3919999999999999</v>
      </c>
      <c r="L1144">
        <v>0</v>
      </c>
      <c r="M1144">
        <v>85.594214069133713</v>
      </c>
      <c r="N1144">
        <v>0</v>
      </c>
      <c r="O1144">
        <v>0.13917072355717924</v>
      </c>
      <c r="P1144">
        <v>0.0067175225243333329</v>
      </c>
      <c r="Q1144">
        <v>0.0044169504331110178</v>
      </c>
      <c r="R1144">
        <v>2750000.0039900001</v>
      </c>
      <c r="S1144">
        <v>0</v>
      </c>
      <c r="T1144">
        <v>0</v>
      </c>
      <c r="V1144">
        <v>5400</v>
      </c>
      <c r="W1144">
        <v>10</v>
      </c>
      <c r="X1144">
        <v>85</v>
      </c>
      <c r="Y1144">
        <v>4</v>
      </c>
      <c r="Z1144">
        <v>4</v>
      </c>
      <c r="AA1144">
        <v>5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80</v>
      </c>
      <c r="AM1144">
        <v>53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70</v>
      </c>
      <c r="AU1144">
        <v>0</v>
      </c>
      <c r="AV1144">
        <v>0</v>
      </c>
    </row>
    <row r="1145" spans="1:48" ht="12.75">
      <c r="A1145" s="2" t="str">
        <f>HYPERLINK("https://ibp.a2mac1.com/costing(costing:projects/details/8191/equipment/6948742)","Manufacturing Equipment")</f>
        <v>Manufacturing Equipment</v>
      </c>
      <c r="B1145">
        <v>6948742</v>
      </c>
      <c r="C1145">
        <v>6976148</v>
      </c>
      <c r="E1145" t="s">
        <v>603</v>
      </c>
      <c r="H1145" t="s">
        <v>136</v>
      </c>
      <c r="I1145">
        <v>373962.17573865002</v>
      </c>
      <c r="J1145">
        <v>0</v>
      </c>
      <c r="K1145">
        <v>3.3919999999999999</v>
      </c>
      <c r="L1145">
        <v>0</v>
      </c>
      <c r="M1145">
        <v>85.594214069133713</v>
      </c>
      <c r="N1145">
        <v>0</v>
      </c>
      <c r="O1145">
        <v>0.044971913357040101</v>
      </c>
      <c r="P1145">
        <v>0.0021707140210000002</v>
      </c>
      <c r="Q1145">
        <v>0.0044169504331110178</v>
      </c>
      <c r="R1145">
        <v>2750000.0039900001</v>
      </c>
      <c r="S1145">
        <v>0</v>
      </c>
      <c r="T1145">
        <v>0</v>
      </c>
      <c r="V1145">
        <v>5400</v>
      </c>
      <c r="W1145">
        <v>10</v>
      </c>
      <c r="X1145">
        <v>85</v>
      </c>
      <c r="Y1145">
        <v>4</v>
      </c>
      <c r="Z1145">
        <v>4</v>
      </c>
      <c r="AA1145">
        <v>5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1</v>
      </c>
      <c r="AJ1145">
        <v>0</v>
      </c>
      <c r="AK1145">
        <v>0</v>
      </c>
      <c r="AL1145">
        <v>80</v>
      </c>
      <c r="AM1145">
        <v>53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70</v>
      </c>
      <c r="AU1145">
        <v>0</v>
      </c>
      <c r="AV1145">
        <v>0</v>
      </c>
    </row>
    <row r="1146" spans="1:48" ht="12.75">
      <c r="A1146" s="2" t="str">
        <f>HYPERLINK("https://ibp.a2mac1.com/costing(costing:projects/details/8191/equipment/6948743)","Manufacturing Equipment")</f>
        <v>Manufacturing Equipment</v>
      </c>
      <c r="B1146">
        <v>6948743</v>
      </c>
      <c r="C1146">
        <v>6976149</v>
      </c>
      <c r="E1146" t="s">
        <v>603</v>
      </c>
      <c r="H1146" t="s">
        <v>136</v>
      </c>
      <c r="I1146">
        <v>373962.17573865002</v>
      </c>
      <c r="J1146">
        <v>0</v>
      </c>
      <c r="K1146">
        <v>3.3919999999999999</v>
      </c>
      <c r="L1146">
        <v>0</v>
      </c>
      <c r="M1146">
        <v>85.594214069133713</v>
      </c>
      <c r="N1146">
        <v>0</v>
      </c>
      <c r="O1146">
        <v>0.13917072355717924</v>
      </c>
      <c r="P1146">
        <v>0.0067175225243333329</v>
      </c>
      <c r="Q1146">
        <v>0.0044169504331110178</v>
      </c>
      <c r="R1146">
        <v>2750000.0039900001</v>
      </c>
      <c r="S1146">
        <v>0</v>
      </c>
      <c r="T1146">
        <v>0</v>
      </c>
      <c r="V1146">
        <v>5400</v>
      </c>
      <c r="W1146">
        <v>10</v>
      </c>
      <c r="X1146">
        <v>85</v>
      </c>
      <c r="Y1146">
        <v>4</v>
      </c>
      <c r="Z1146">
        <v>4</v>
      </c>
      <c r="AA1146">
        <v>5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80</v>
      </c>
      <c r="AM1146">
        <v>53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70</v>
      </c>
      <c r="AU1146">
        <v>0</v>
      </c>
      <c r="AV1146">
        <v>0</v>
      </c>
    </row>
    <row r="1147" spans="1:48" ht="12.75">
      <c r="A1147" s="2" t="str">
        <f>HYPERLINK("https://ibp.a2mac1.com/costing(costing:projects/details/8191/equipment/6948744)","Manufacturing Equipment")</f>
        <v>Manufacturing Equipment</v>
      </c>
      <c r="B1147">
        <v>6948744</v>
      </c>
      <c r="C1147">
        <v>6976150</v>
      </c>
      <c r="E1147" t="s">
        <v>603</v>
      </c>
      <c r="H1147" t="s">
        <v>136</v>
      </c>
      <c r="I1147">
        <v>373962.17573865002</v>
      </c>
      <c r="J1147">
        <v>0</v>
      </c>
      <c r="K1147">
        <v>3.3919999999999999</v>
      </c>
      <c r="L1147">
        <v>0</v>
      </c>
      <c r="M1147">
        <v>85.594214069133713</v>
      </c>
      <c r="N1147">
        <v>0</v>
      </c>
      <c r="O1147">
        <v>0.13917072355717924</v>
      </c>
      <c r="P1147">
        <v>0.0067175225243333329</v>
      </c>
      <c r="Q1147">
        <v>0.0044169504331110178</v>
      </c>
      <c r="R1147">
        <v>2750000.0039900001</v>
      </c>
      <c r="S1147">
        <v>0</v>
      </c>
      <c r="T1147">
        <v>0</v>
      </c>
      <c r="V1147">
        <v>5400</v>
      </c>
      <c r="W1147">
        <v>10</v>
      </c>
      <c r="X1147">
        <v>85</v>
      </c>
      <c r="Y1147">
        <v>4</v>
      </c>
      <c r="Z1147">
        <v>4</v>
      </c>
      <c r="AA1147">
        <v>5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80</v>
      </c>
      <c r="AM1147">
        <v>53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70</v>
      </c>
      <c r="AU1147">
        <v>0</v>
      </c>
      <c r="AV1147">
        <v>0</v>
      </c>
    </row>
    <row r="1148" spans="1:48" ht="12.75">
      <c r="A1148" s="2" t="str">
        <f>HYPERLINK("https://ibp.a2mac1.com/costing(costing:projects/details/8191/equipment/6948745)","Manufacturing Equipment")</f>
        <v>Manufacturing Equipment</v>
      </c>
      <c r="B1148">
        <v>6948745</v>
      </c>
      <c r="C1148">
        <v>6976151</v>
      </c>
      <c r="E1148" t="s">
        <v>603</v>
      </c>
      <c r="H1148" t="s">
        <v>136</v>
      </c>
      <c r="I1148">
        <v>373962.17573865002</v>
      </c>
      <c r="J1148">
        <v>0</v>
      </c>
      <c r="K1148">
        <v>3.3919999999999999</v>
      </c>
      <c r="L1148">
        <v>0</v>
      </c>
      <c r="M1148">
        <v>85.594214069133713</v>
      </c>
      <c r="N1148">
        <v>0</v>
      </c>
      <c r="O1148">
        <v>0.097769753258762249</v>
      </c>
      <c r="P1148">
        <v>0.0047191715536666666</v>
      </c>
      <c r="Q1148">
        <v>0.0044169504331110178</v>
      </c>
      <c r="R1148">
        <v>2750000.0039900001</v>
      </c>
      <c r="S1148">
        <v>0</v>
      </c>
      <c r="T1148">
        <v>0</v>
      </c>
      <c r="V1148">
        <v>5400</v>
      </c>
      <c r="W1148">
        <v>10</v>
      </c>
      <c r="X1148">
        <v>85</v>
      </c>
      <c r="Y1148">
        <v>4</v>
      </c>
      <c r="Z1148">
        <v>4</v>
      </c>
      <c r="AA1148">
        <v>5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80</v>
      </c>
      <c r="AM1148">
        <v>53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70</v>
      </c>
      <c r="AU1148">
        <v>0</v>
      </c>
      <c r="AV1148">
        <v>0</v>
      </c>
    </row>
    <row r="1149" spans="1:48" ht="12.75">
      <c r="A1149" s="2" t="str">
        <f>HYPERLINK("https://ibp.a2mac1.com/costing(costing:projects/details/8191/equipment/6948591)","Manufacturing Equipment")</f>
        <v>Manufacturing Equipment</v>
      </c>
      <c r="B1149">
        <v>6948591</v>
      </c>
      <c r="C1149">
        <v>6975972</v>
      </c>
      <c r="E1149" t="s">
        <v>603</v>
      </c>
      <c r="H1149" t="s">
        <v>136</v>
      </c>
      <c r="I1149">
        <v>373962.17573865002</v>
      </c>
      <c r="J1149">
        <v>0</v>
      </c>
      <c r="K1149">
        <v>3.3919999999999999</v>
      </c>
      <c r="L1149">
        <v>0</v>
      </c>
      <c r="M1149">
        <v>85.594214069133713</v>
      </c>
      <c r="N1149">
        <v>0</v>
      </c>
      <c r="O1149">
        <v>0.034792740329721246</v>
      </c>
      <c r="P1149">
        <v>0.0016793835001666668</v>
      </c>
      <c r="Q1149">
        <v>0.0044169504331110178</v>
      </c>
      <c r="R1149">
        <v>2750000.0039900001</v>
      </c>
      <c r="S1149">
        <v>0</v>
      </c>
      <c r="T1149">
        <v>0</v>
      </c>
      <c r="V1149">
        <v>5400</v>
      </c>
      <c r="W1149">
        <v>10</v>
      </c>
      <c r="X1149">
        <v>85</v>
      </c>
      <c r="Y1149">
        <v>4</v>
      </c>
      <c r="Z1149">
        <v>4</v>
      </c>
      <c r="AA1149">
        <v>5</v>
      </c>
      <c r="AB1149">
        <v>0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80</v>
      </c>
      <c r="AM1149">
        <v>53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70</v>
      </c>
      <c r="AU1149">
        <v>0</v>
      </c>
      <c r="AV1149">
        <v>0</v>
      </c>
    </row>
    <row r="1150" spans="1:48" ht="12.75">
      <c r="A1150" s="2" t="str">
        <f>HYPERLINK("https://ibp.a2mac1.com/costing(costing:projects/details/8191/equipment/6948592)","Manufacturing Equipment")</f>
        <v>Manufacturing Equipment</v>
      </c>
      <c r="B1150">
        <v>6948592</v>
      </c>
      <c r="C1150">
        <v>6975973</v>
      </c>
      <c r="E1150" t="s">
        <v>603</v>
      </c>
      <c r="H1150" t="s">
        <v>136</v>
      </c>
      <c r="I1150">
        <v>373962.17573865002</v>
      </c>
      <c r="J1150">
        <v>0</v>
      </c>
      <c r="K1150">
        <v>3.3919999999999999</v>
      </c>
      <c r="L1150">
        <v>0</v>
      </c>
      <c r="M1150">
        <v>85.594214069133713</v>
      </c>
      <c r="N1150">
        <v>0</v>
      </c>
      <c r="O1150">
        <v>0.25042025784244842</v>
      </c>
      <c r="P1150">
        <v>0.012087339058166667</v>
      </c>
      <c r="Q1150">
        <v>0.0044169504331110178</v>
      </c>
      <c r="R1150">
        <v>2750000.0039900001</v>
      </c>
      <c r="S1150">
        <v>0</v>
      </c>
      <c r="T1150">
        <v>0</v>
      </c>
      <c r="V1150">
        <v>5400</v>
      </c>
      <c r="W1150">
        <v>10</v>
      </c>
      <c r="X1150">
        <v>85</v>
      </c>
      <c r="Y1150">
        <v>4</v>
      </c>
      <c r="Z1150">
        <v>4</v>
      </c>
      <c r="AA1150">
        <v>5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1</v>
      </c>
      <c r="AJ1150">
        <v>0</v>
      </c>
      <c r="AK1150">
        <v>0</v>
      </c>
      <c r="AL1150">
        <v>80</v>
      </c>
      <c r="AM1150">
        <v>53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70</v>
      </c>
      <c r="AU1150">
        <v>0</v>
      </c>
      <c r="AV1150">
        <v>0</v>
      </c>
    </row>
    <row r="1151" spans="1:48" ht="12.75">
      <c r="A1151" s="2" t="str">
        <f>HYPERLINK("https://ibp.a2mac1.com/costing(costing:projects/details/8191/equipment/6948593)","Manufacturing Equipment")</f>
        <v>Manufacturing Equipment</v>
      </c>
      <c r="B1151">
        <v>6948593</v>
      </c>
      <c r="C1151">
        <v>6975974</v>
      </c>
      <c r="E1151" t="s">
        <v>603</v>
      </c>
      <c r="H1151" t="s">
        <v>136</v>
      </c>
      <c r="I1151">
        <v>373962.17573865002</v>
      </c>
      <c r="J1151">
        <v>0</v>
      </c>
      <c r="K1151">
        <v>3.3919999999999999</v>
      </c>
      <c r="L1151">
        <v>0</v>
      </c>
      <c r="M1151">
        <v>85.594214069133713</v>
      </c>
      <c r="N1151">
        <v>0</v>
      </c>
      <c r="O1151">
        <v>0.039961323170115311</v>
      </c>
      <c r="P1151">
        <v>0.0019288617723333334</v>
      </c>
      <c r="Q1151">
        <v>0.0044169504331110178</v>
      </c>
      <c r="R1151">
        <v>2750000.0039900001</v>
      </c>
      <c r="S1151">
        <v>0</v>
      </c>
      <c r="T1151">
        <v>0</v>
      </c>
      <c r="V1151">
        <v>5400</v>
      </c>
      <c r="W1151">
        <v>10</v>
      </c>
      <c r="X1151">
        <v>85</v>
      </c>
      <c r="Y1151">
        <v>4</v>
      </c>
      <c r="Z1151">
        <v>4</v>
      </c>
      <c r="AA1151">
        <v>5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80</v>
      </c>
      <c r="AM1151">
        <v>53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70</v>
      </c>
      <c r="AU1151">
        <v>0</v>
      </c>
      <c r="AV1151">
        <v>0</v>
      </c>
    </row>
    <row r="1152" spans="1:48" ht="12.75">
      <c r="A1152" s="2" t="str">
        <f>HYPERLINK("https://ibp.a2mac1.com/costing(costing:projects/details/8191/equipment/6948594)","Manufacturing Equipment")</f>
        <v>Manufacturing Equipment</v>
      </c>
      <c r="B1152">
        <v>6948594</v>
      </c>
      <c r="C1152">
        <v>6975975</v>
      </c>
      <c r="E1152" t="s">
        <v>603</v>
      </c>
      <c r="H1152" t="s">
        <v>136</v>
      </c>
      <c r="I1152">
        <v>373962.17573865002</v>
      </c>
      <c r="J1152">
        <v>0</v>
      </c>
      <c r="K1152">
        <v>3.3919999999999999</v>
      </c>
      <c r="L1152">
        <v>0</v>
      </c>
      <c r="M1152">
        <v>85.594214069133713</v>
      </c>
      <c r="N1152">
        <v>0</v>
      </c>
      <c r="O1152">
        <v>0.034792740329721246</v>
      </c>
      <c r="P1152">
        <v>0.0016793835001666668</v>
      </c>
      <c r="Q1152">
        <v>0.0044169504331110178</v>
      </c>
      <c r="R1152">
        <v>2750000.0039900001</v>
      </c>
      <c r="S1152">
        <v>0</v>
      </c>
      <c r="T1152">
        <v>0</v>
      </c>
      <c r="V1152">
        <v>5400</v>
      </c>
      <c r="W1152">
        <v>10</v>
      </c>
      <c r="X1152">
        <v>85</v>
      </c>
      <c r="Y1152">
        <v>4</v>
      </c>
      <c r="Z1152">
        <v>4</v>
      </c>
      <c r="AA1152">
        <v>5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80</v>
      </c>
      <c r="AM1152">
        <v>53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70</v>
      </c>
      <c r="AU1152">
        <v>0</v>
      </c>
      <c r="AV1152">
        <v>0</v>
      </c>
    </row>
    <row r="1153" spans="1:48" ht="12.75">
      <c r="A1153" s="2" t="str">
        <f>HYPERLINK("https://ibp.a2mac1.com/costing(costing:projects/details/8191/equipment/6948595)","Manufacturing Equipment")</f>
        <v>Manufacturing Equipment</v>
      </c>
      <c r="B1153">
        <v>6948595</v>
      </c>
      <c r="C1153">
        <v>6975976</v>
      </c>
      <c r="E1153" t="s">
        <v>603</v>
      </c>
      <c r="H1153" t="s">
        <v>136</v>
      </c>
      <c r="I1153">
        <v>373962.17573865002</v>
      </c>
      <c r="J1153">
        <v>0</v>
      </c>
      <c r="K1153">
        <v>3.3919999999999999</v>
      </c>
      <c r="L1153">
        <v>0</v>
      </c>
      <c r="M1153">
        <v>85.594214069133713</v>
      </c>
      <c r="N1153">
        <v>0</v>
      </c>
      <c r="O1153">
        <v>0.034792740329721246</v>
      </c>
      <c r="P1153">
        <v>0.0016793835001666668</v>
      </c>
      <c r="Q1153">
        <v>0.0044169504331110178</v>
      </c>
      <c r="R1153">
        <v>2750000.0039900001</v>
      </c>
      <c r="S1153">
        <v>0</v>
      </c>
      <c r="T1153">
        <v>0</v>
      </c>
      <c r="V1153">
        <v>5400</v>
      </c>
      <c r="W1153">
        <v>10</v>
      </c>
      <c r="X1153">
        <v>85</v>
      </c>
      <c r="Y1153">
        <v>4</v>
      </c>
      <c r="Z1153">
        <v>4</v>
      </c>
      <c r="AA1153">
        <v>5</v>
      </c>
      <c r="AB1153">
        <v>0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80</v>
      </c>
      <c r="AM1153">
        <v>53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70</v>
      </c>
      <c r="AU1153">
        <v>0</v>
      </c>
      <c r="AV1153">
        <v>0</v>
      </c>
    </row>
    <row r="1154" spans="1:48" ht="12.75">
      <c r="A1154" s="2" t="str">
        <f>HYPERLINK("https://ibp.a2mac1.com/costing(costing:projects/details/8191/equipment/6948596)","Manufacturing Equipment")</f>
        <v>Manufacturing Equipment</v>
      </c>
      <c r="B1154">
        <v>6948596</v>
      </c>
      <c r="C1154">
        <v>6975977</v>
      </c>
      <c r="E1154" t="s">
        <v>603</v>
      </c>
      <c r="H1154" t="s">
        <v>136</v>
      </c>
      <c r="I1154">
        <v>373962.17573865002</v>
      </c>
      <c r="J1154">
        <v>0</v>
      </c>
      <c r="K1154">
        <v>3.3919999999999999</v>
      </c>
      <c r="L1154">
        <v>0</v>
      </c>
      <c r="M1154">
        <v>85.594214069133713</v>
      </c>
      <c r="N1154">
        <v>0</v>
      </c>
      <c r="O1154">
        <v>0.25042025784244842</v>
      </c>
      <c r="P1154">
        <v>0.012087339058166667</v>
      </c>
      <c r="Q1154">
        <v>0.0044169504331110178</v>
      </c>
      <c r="R1154">
        <v>2750000.0039900001</v>
      </c>
      <c r="S1154">
        <v>0</v>
      </c>
      <c r="T1154">
        <v>0</v>
      </c>
      <c r="V1154">
        <v>5400</v>
      </c>
      <c r="W1154">
        <v>10</v>
      </c>
      <c r="X1154">
        <v>85</v>
      </c>
      <c r="Y1154">
        <v>4</v>
      </c>
      <c r="Z1154">
        <v>4</v>
      </c>
      <c r="AA1154">
        <v>5</v>
      </c>
      <c r="AB1154">
        <v>0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80</v>
      </c>
      <c r="AM1154">
        <v>53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70</v>
      </c>
      <c r="AU1154">
        <v>0</v>
      </c>
      <c r="AV1154">
        <v>0</v>
      </c>
    </row>
    <row r="1155" spans="1:48" ht="12.75">
      <c r="A1155" s="2" t="str">
        <f>HYPERLINK("https://ibp.a2mac1.com/costing(costing:projects/details/8191/equipment/6948597)","Manufacturing Equipment")</f>
        <v>Manufacturing Equipment</v>
      </c>
      <c r="B1155">
        <v>6948597</v>
      </c>
      <c r="C1155">
        <v>6975978</v>
      </c>
      <c r="E1155" t="s">
        <v>603</v>
      </c>
      <c r="H1155" t="s">
        <v>136</v>
      </c>
      <c r="I1155">
        <v>373962.17573865002</v>
      </c>
      <c r="J1155">
        <v>0</v>
      </c>
      <c r="K1155">
        <v>3.3919999999999999</v>
      </c>
      <c r="L1155">
        <v>0</v>
      </c>
      <c r="M1155">
        <v>85.594214069133713</v>
      </c>
      <c r="N1155">
        <v>0</v>
      </c>
      <c r="O1155">
        <v>0.034792740329721246</v>
      </c>
      <c r="P1155">
        <v>0.0016793835001666668</v>
      </c>
      <c r="Q1155">
        <v>0.0044169504331110178</v>
      </c>
      <c r="R1155">
        <v>2750000.0039900001</v>
      </c>
      <c r="S1155">
        <v>0</v>
      </c>
      <c r="T1155">
        <v>0</v>
      </c>
      <c r="V1155">
        <v>5400</v>
      </c>
      <c r="W1155">
        <v>10</v>
      </c>
      <c r="X1155">
        <v>85</v>
      </c>
      <c r="Y1155">
        <v>4</v>
      </c>
      <c r="Z1155">
        <v>4</v>
      </c>
      <c r="AA1155">
        <v>5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1</v>
      </c>
      <c r="AJ1155">
        <v>0</v>
      </c>
      <c r="AK1155">
        <v>0</v>
      </c>
      <c r="AL1155">
        <v>80</v>
      </c>
      <c r="AM1155">
        <v>53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70</v>
      </c>
      <c r="AU1155">
        <v>0</v>
      </c>
      <c r="AV1155">
        <v>0</v>
      </c>
    </row>
    <row r="1156" spans="1:48" ht="12.75">
      <c r="A1156" s="2" t="str">
        <f>HYPERLINK("https://ibp.a2mac1.com/costing(costing:projects/details/8191/equipment/6948598)","Manufacturing Equipment")</f>
        <v>Manufacturing Equipment</v>
      </c>
      <c r="B1156">
        <v>6948598</v>
      </c>
      <c r="C1156">
        <v>6975979</v>
      </c>
      <c r="E1156" t="s">
        <v>603</v>
      </c>
      <c r="H1156" t="s">
        <v>136</v>
      </c>
      <c r="I1156">
        <v>373962.17573865002</v>
      </c>
      <c r="J1156">
        <v>0</v>
      </c>
      <c r="K1156">
        <v>3.3919999999999999</v>
      </c>
      <c r="L1156">
        <v>0</v>
      </c>
      <c r="M1156">
        <v>85.594214069133713</v>
      </c>
      <c r="N1156">
        <v>0</v>
      </c>
      <c r="O1156">
        <v>0.017987861848334199</v>
      </c>
      <c r="P1156">
        <v>0.00086824199833333338</v>
      </c>
      <c r="Q1156">
        <v>0.0044169504331110178</v>
      </c>
      <c r="R1156">
        <v>2750000.0039900001</v>
      </c>
      <c r="S1156">
        <v>0</v>
      </c>
      <c r="T1156">
        <v>0</v>
      </c>
      <c r="V1156">
        <v>5400</v>
      </c>
      <c r="W1156">
        <v>10</v>
      </c>
      <c r="X1156">
        <v>85</v>
      </c>
      <c r="Y1156">
        <v>4</v>
      </c>
      <c r="Z1156">
        <v>4</v>
      </c>
      <c r="AA1156">
        <v>5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80</v>
      </c>
      <c r="AM1156">
        <v>53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70</v>
      </c>
      <c r="AU1156">
        <v>0</v>
      </c>
      <c r="AV1156">
        <v>0</v>
      </c>
    </row>
    <row r="1157" spans="1:48" ht="12.75">
      <c r="A1157" s="2" t="str">
        <f>HYPERLINK("https://ibp.a2mac1.com/costing(costing:projects/details/8191/equipment/6948599)","Manufacturing Equipment")</f>
        <v>Manufacturing Equipment</v>
      </c>
      <c r="B1157">
        <v>6948599</v>
      </c>
      <c r="C1157">
        <v>6975980</v>
      </c>
      <c r="E1157" t="s">
        <v>603</v>
      </c>
      <c r="H1157" t="s">
        <v>136</v>
      </c>
      <c r="I1157">
        <v>373962.17573865002</v>
      </c>
      <c r="J1157">
        <v>0</v>
      </c>
      <c r="K1157">
        <v>3.3919999999999999</v>
      </c>
      <c r="L1157">
        <v>0</v>
      </c>
      <c r="M1157">
        <v>85.594214069133713</v>
      </c>
      <c r="N1157">
        <v>0</v>
      </c>
      <c r="O1157">
        <v>0.034792740329721246</v>
      </c>
      <c r="P1157">
        <v>0.0016793835001666668</v>
      </c>
      <c r="Q1157">
        <v>0.0044169504331110178</v>
      </c>
      <c r="R1157">
        <v>2750000.0039900001</v>
      </c>
      <c r="S1157">
        <v>0</v>
      </c>
      <c r="T1157">
        <v>0</v>
      </c>
      <c r="V1157">
        <v>5400</v>
      </c>
      <c r="W1157">
        <v>10</v>
      </c>
      <c r="X1157">
        <v>85</v>
      </c>
      <c r="Y1157">
        <v>4</v>
      </c>
      <c r="Z1157">
        <v>4</v>
      </c>
      <c r="AA1157">
        <v>5</v>
      </c>
      <c r="AB1157">
        <v>0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1</v>
      </c>
      <c r="AJ1157">
        <v>0</v>
      </c>
      <c r="AK1157">
        <v>0</v>
      </c>
      <c r="AL1157">
        <v>80</v>
      </c>
      <c r="AM1157">
        <v>53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70</v>
      </c>
      <c r="AU1157">
        <v>0</v>
      </c>
      <c r="AV1157">
        <v>0</v>
      </c>
    </row>
    <row r="1158" spans="1:48" ht="12.75">
      <c r="A1158" s="2" t="str">
        <f>HYPERLINK("https://ibp.a2mac1.com/costing(costing:projects/details/8191/equipment/6948600)","Manufacturing Equipment")</f>
        <v>Manufacturing Equipment</v>
      </c>
      <c r="B1158">
        <v>6948600</v>
      </c>
      <c r="C1158">
        <v>6975992</v>
      </c>
      <c r="E1158" t="s">
        <v>603</v>
      </c>
      <c r="H1158" t="s">
        <v>136</v>
      </c>
      <c r="I1158">
        <v>373962.17573865002</v>
      </c>
      <c r="J1158">
        <v>0</v>
      </c>
      <c r="K1158">
        <v>3.3919999999999999</v>
      </c>
      <c r="L1158">
        <v>0</v>
      </c>
      <c r="M1158">
        <v>85.594214069133713</v>
      </c>
      <c r="N1158">
        <v>0</v>
      </c>
      <c r="O1158">
        <v>0.034792740329721246</v>
      </c>
      <c r="P1158">
        <v>0.0016793835001666668</v>
      </c>
      <c r="Q1158">
        <v>0.0044169504331110178</v>
      </c>
      <c r="R1158">
        <v>2750000.0039900001</v>
      </c>
      <c r="S1158">
        <v>0</v>
      </c>
      <c r="T1158">
        <v>0</v>
      </c>
      <c r="V1158">
        <v>5400</v>
      </c>
      <c r="W1158">
        <v>10</v>
      </c>
      <c r="X1158">
        <v>85</v>
      </c>
      <c r="Y1158">
        <v>4</v>
      </c>
      <c r="Z1158">
        <v>4</v>
      </c>
      <c r="AA1158">
        <v>5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80</v>
      </c>
      <c r="AM1158">
        <v>53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70</v>
      </c>
      <c r="AU1158">
        <v>0</v>
      </c>
      <c r="AV1158">
        <v>0</v>
      </c>
    </row>
    <row r="1159" spans="1:48" ht="12.75">
      <c r="A1159" s="2" t="str">
        <f>HYPERLINK("https://ibp.a2mac1.com/costing(costing:projects/details/8191/equipment/6948601)","Manufacturing Equipment")</f>
        <v>Manufacturing Equipment</v>
      </c>
      <c r="B1159">
        <v>6948601</v>
      </c>
      <c r="C1159">
        <v>6975993</v>
      </c>
      <c r="E1159" t="s">
        <v>603</v>
      </c>
      <c r="H1159" t="s">
        <v>136</v>
      </c>
      <c r="I1159">
        <v>373962.17573865002</v>
      </c>
      <c r="J1159">
        <v>0</v>
      </c>
      <c r="K1159">
        <v>3.3919999999999999</v>
      </c>
      <c r="L1159">
        <v>0</v>
      </c>
      <c r="M1159">
        <v>85.594214069133713</v>
      </c>
      <c r="N1159">
        <v>0</v>
      </c>
      <c r="O1159">
        <v>0.034792740329721246</v>
      </c>
      <c r="P1159">
        <v>0.0016793835001666668</v>
      </c>
      <c r="Q1159">
        <v>0.0044169504331110178</v>
      </c>
      <c r="R1159">
        <v>2750000.0039900001</v>
      </c>
      <c r="S1159">
        <v>0</v>
      </c>
      <c r="T1159">
        <v>0</v>
      </c>
      <c r="V1159">
        <v>5400</v>
      </c>
      <c r="W1159">
        <v>10</v>
      </c>
      <c r="X1159">
        <v>85</v>
      </c>
      <c r="Y1159">
        <v>4</v>
      </c>
      <c r="Z1159">
        <v>4</v>
      </c>
      <c r="AA1159">
        <v>5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80</v>
      </c>
      <c r="AM1159">
        <v>53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70</v>
      </c>
      <c r="AU1159">
        <v>0</v>
      </c>
      <c r="AV1159">
        <v>0</v>
      </c>
    </row>
    <row r="1160" spans="1:48" ht="12.75">
      <c r="A1160" s="2" t="str">
        <f>HYPERLINK("https://ibp.a2mac1.com/costing(costing:projects/details/8191/equipment/6948602)","Manufacturing Equipment")</f>
        <v>Manufacturing Equipment</v>
      </c>
      <c r="B1160">
        <v>6948602</v>
      </c>
      <c r="C1160">
        <v>6975994</v>
      </c>
      <c r="E1160" t="s">
        <v>603</v>
      </c>
      <c r="H1160" t="s">
        <v>136</v>
      </c>
      <c r="I1160">
        <v>373962.17573865002</v>
      </c>
      <c r="J1160">
        <v>0</v>
      </c>
      <c r="K1160">
        <v>3.3919999999999999</v>
      </c>
      <c r="L1160">
        <v>0</v>
      </c>
      <c r="M1160">
        <v>85.594214069133713</v>
      </c>
      <c r="N1160">
        <v>0</v>
      </c>
      <c r="O1160">
        <v>0.034792740329721246</v>
      </c>
      <c r="P1160">
        <v>0.0016793835001666668</v>
      </c>
      <c r="Q1160">
        <v>0.0044169504331110178</v>
      </c>
      <c r="R1160">
        <v>2750000.0039900001</v>
      </c>
      <c r="S1160">
        <v>0</v>
      </c>
      <c r="T1160">
        <v>0</v>
      </c>
      <c r="V1160">
        <v>5400</v>
      </c>
      <c r="W1160">
        <v>10</v>
      </c>
      <c r="X1160">
        <v>85</v>
      </c>
      <c r="Y1160">
        <v>4</v>
      </c>
      <c r="Z1160">
        <v>4</v>
      </c>
      <c r="AA1160">
        <v>5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1</v>
      </c>
      <c r="AJ1160">
        <v>0</v>
      </c>
      <c r="AK1160">
        <v>0</v>
      </c>
      <c r="AL1160">
        <v>80</v>
      </c>
      <c r="AM1160">
        <v>53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70</v>
      </c>
      <c r="AU1160">
        <v>0</v>
      </c>
      <c r="AV1160">
        <v>0</v>
      </c>
    </row>
    <row r="1161" spans="1:48" ht="12.75">
      <c r="A1161" s="2" t="str">
        <f>HYPERLINK("https://ibp.a2mac1.com/costing(costing:projects/details/8191/equipment/6948603)","Manufacturing Equipment")</f>
        <v>Manufacturing Equipment</v>
      </c>
      <c r="B1161">
        <v>6948603</v>
      </c>
      <c r="C1161">
        <v>6975995</v>
      </c>
      <c r="E1161" t="s">
        <v>603</v>
      </c>
      <c r="H1161" t="s">
        <v>136</v>
      </c>
      <c r="I1161">
        <v>373962.17573865002</v>
      </c>
      <c r="J1161">
        <v>0</v>
      </c>
      <c r="K1161">
        <v>3.3919999999999999</v>
      </c>
      <c r="L1161">
        <v>0</v>
      </c>
      <c r="M1161">
        <v>85.594214069133713</v>
      </c>
      <c r="N1161">
        <v>0</v>
      </c>
      <c r="O1161">
        <v>0.024442497755116997</v>
      </c>
      <c r="P1161">
        <v>0.0011797957575</v>
      </c>
      <c r="Q1161">
        <v>0.0044169504331110178</v>
      </c>
      <c r="R1161">
        <v>2750000.0039900001</v>
      </c>
      <c r="S1161">
        <v>0</v>
      </c>
      <c r="T1161">
        <v>0</v>
      </c>
      <c r="V1161">
        <v>5400</v>
      </c>
      <c r="W1161">
        <v>10</v>
      </c>
      <c r="X1161">
        <v>85</v>
      </c>
      <c r="Y1161">
        <v>4</v>
      </c>
      <c r="Z1161">
        <v>4</v>
      </c>
      <c r="AA1161">
        <v>5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80</v>
      </c>
      <c r="AM1161">
        <v>53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70</v>
      </c>
      <c r="AU1161">
        <v>0</v>
      </c>
      <c r="AV1161">
        <v>0</v>
      </c>
    </row>
    <row r="1162" spans="1:48" ht="12.75">
      <c r="A1162" s="2" t="str">
        <f>HYPERLINK("https://ibp.a2mac1.com/costing(costing:projects/details/8191/equipment/6948604)","Manufacturing Equipment")</f>
        <v>Manufacturing Equipment</v>
      </c>
      <c r="B1162">
        <v>6948604</v>
      </c>
      <c r="C1162">
        <v>6975996</v>
      </c>
      <c r="E1162" t="s">
        <v>603</v>
      </c>
      <c r="H1162" t="s">
        <v>136</v>
      </c>
      <c r="I1162">
        <v>373962.17573865002</v>
      </c>
      <c r="J1162">
        <v>0</v>
      </c>
      <c r="K1162">
        <v>3.3919999999999999</v>
      </c>
      <c r="L1162">
        <v>0</v>
      </c>
      <c r="M1162">
        <v>85.594214069133713</v>
      </c>
      <c r="N1162">
        <v>0</v>
      </c>
      <c r="O1162">
        <v>0.034792740329721246</v>
      </c>
      <c r="P1162">
        <v>0.0016793835001666668</v>
      </c>
      <c r="Q1162">
        <v>0.0044169504331110178</v>
      </c>
      <c r="R1162">
        <v>2750000.0039900001</v>
      </c>
      <c r="S1162">
        <v>0</v>
      </c>
      <c r="T1162">
        <v>0</v>
      </c>
      <c r="V1162">
        <v>5400</v>
      </c>
      <c r="W1162">
        <v>10</v>
      </c>
      <c r="X1162">
        <v>85</v>
      </c>
      <c r="Y1162">
        <v>4</v>
      </c>
      <c r="Z1162">
        <v>4</v>
      </c>
      <c r="AA1162">
        <v>5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1</v>
      </c>
      <c r="AJ1162">
        <v>0</v>
      </c>
      <c r="AK1162">
        <v>0</v>
      </c>
      <c r="AL1162">
        <v>80</v>
      </c>
      <c r="AM1162">
        <v>53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70</v>
      </c>
      <c r="AU1162">
        <v>0</v>
      </c>
      <c r="AV1162">
        <v>0</v>
      </c>
    </row>
    <row r="1163" spans="1:48" ht="12.75">
      <c r="A1163" s="2" t="str">
        <f>HYPERLINK("https://ibp.a2mac1.com/costing(costing:projects/details/8191/equipment/6948605)","Manufacturing Equipment")</f>
        <v>Manufacturing Equipment</v>
      </c>
      <c r="B1163">
        <v>6948605</v>
      </c>
      <c r="C1163">
        <v>6975997</v>
      </c>
      <c r="E1163" t="s">
        <v>603</v>
      </c>
      <c r="H1163" t="s">
        <v>136</v>
      </c>
      <c r="I1163">
        <v>373962.17573865002</v>
      </c>
      <c r="J1163">
        <v>0</v>
      </c>
      <c r="K1163">
        <v>3.3919999999999999</v>
      </c>
      <c r="L1163">
        <v>0</v>
      </c>
      <c r="M1163">
        <v>85.594214069133713</v>
      </c>
      <c r="N1163">
        <v>0</v>
      </c>
      <c r="O1163">
        <v>0.017987861848334199</v>
      </c>
      <c r="P1163">
        <v>0.00086824199833333338</v>
      </c>
      <c r="Q1163">
        <v>0.0044169504331110178</v>
      </c>
      <c r="R1163">
        <v>2750000.0039900001</v>
      </c>
      <c r="S1163">
        <v>0</v>
      </c>
      <c r="T1163">
        <v>0</v>
      </c>
      <c r="V1163">
        <v>5400</v>
      </c>
      <c r="W1163">
        <v>10</v>
      </c>
      <c r="X1163">
        <v>85</v>
      </c>
      <c r="Y1163">
        <v>4</v>
      </c>
      <c r="Z1163">
        <v>4</v>
      </c>
      <c r="AA1163">
        <v>5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80</v>
      </c>
      <c r="AM1163">
        <v>53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70</v>
      </c>
      <c r="AU1163">
        <v>0</v>
      </c>
      <c r="AV1163">
        <v>0</v>
      </c>
    </row>
    <row r="1164" spans="1:48" ht="12.75">
      <c r="A1164" s="2" t="str">
        <f>HYPERLINK("https://ibp.a2mac1.com/costing(costing:projects/details/8191/equipment/6948606)","Manufacturing Equipment")</f>
        <v>Manufacturing Equipment</v>
      </c>
      <c r="B1164">
        <v>6948606</v>
      </c>
      <c r="C1164">
        <v>6975998</v>
      </c>
      <c r="E1164" t="s">
        <v>603</v>
      </c>
      <c r="H1164" t="s">
        <v>136</v>
      </c>
      <c r="I1164">
        <v>373962.17573865002</v>
      </c>
      <c r="J1164">
        <v>0</v>
      </c>
      <c r="K1164">
        <v>3.3919999999999999</v>
      </c>
      <c r="L1164">
        <v>0</v>
      </c>
      <c r="M1164">
        <v>85.594214069133713</v>
      </c>
      <c r="N1164">
        <v>0</v>
      </c>
      <c r="O1164">
        <v>0.13136334242554551</v>
      </c>
      <c r="P1164">
        <v>0.0063406741666666667</v>
      </c>
      <c r="Q1164">
        <v>0.0044169504331110178</v>
      </c>
      <c r="R1164">
        <v>2750000.0039900001</v>
      </c>
      <c r="S1164">
        <v>0</v>
      </c>
      <c r="T1164">
        <v>0</v>
      </c>
      <c r="V1164">
        <v>5400</v>
      </c>
      <c r="W1164">
        <v>10</v>
      </c>
      <c r="X1164">
        <v>85</v>
      </c>
      <c r="Y1164">
        <v>4</v>
      </c>
      <c r="Z1164">
        <v>4</v>
      </c>
      <c r="AA1164">
        <v>5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80</v>
      </c>
      <c r="AM1164">
        <v>53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70</v>
      </c>
      <c r="AU1164">
        <v>0</v>
      </c>
      <c r="AV1164">
        <v>0</v>
      </c>
    </row>
    <row r="1165" spans="1:48" ht="12.75">
      <c r="A1165" s="2" t="str">
        <f>HYPERLINK("https://ibp.a2mac1.com/costing(costing:projects/details/8191/equipment/6948607)","Manufacturing Equipment")</f>
        <v>Manufacturing Equipment</v>
      </c>
      <c r="B1165">
        <v>6948607</v>
      </c>
      <c r="C1165">
        <v>6975999</v>
      </c>
      <c r="E1165" t="s">
        <v>603</v>
      </c>
      <c r="H1165" t="s">
        <v>136</v>
      </c>
      <c r="I1165">
        <v>373962.17573865002</v>
      </c>
      <c r="J1165">
        <v>0</v>
      </c>
      <c r="K1165">
        <v>3.3919999999999999</v>
      </c>
      <c r="L1165">
        <v>0</v>
      </c>
      <c r="M1165">
        <v>85.594214069133713</v>
      </c>
      <c r="N1165">
        <v>0</v>
      </c>
      <c r="O1165">
        <v>0.024442497755116997</v>
      </c>
      <c r="P1165">
        <v>0.0011797957575</v>
      </c>
      <c r="Q1165">
        <v>0.0044169504331110178</v>
      </c>
      <c r="R1165">
        <v>2750000.0039900001</v>
      </c>
      <c r="S1165">
        <v>0</v>
      </c>
      <c r="T1165">
        <v>0</v>
      </c>
      <c r="V1165">
        <v>5400</v>
      </c>
      <c r="W1165">
        <v>10</v>
      </c>
      <c r="X1165">
        <v>85</v>
      </c>
      <c r="Y1165">
        <v>4</v>
      </c>
      <c r="Z1165">
        <v>4</v>
      </c>
      <c r="AA1165">
        <v>5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1</v>
      </c>
      <c r="AJ1165">
        <v>0</v>
      </c>
      <c r="AK1165">
        <v>0</v>
      </c>
      <c r="AL1165">
        <v>80</v>
      </c>
      <c r="AM1165">
        <v>53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70</v>
      </c>
      <c r="AU1165">
        <v>0</v>
      </c>
      <c r="AV1165">
        <v>0</v>
      </c>
    </row>
    <row r="1166" spans="1:48" ht="12.75">
      <c r="A1166" s="2" t="str">
        <f>HYPERLINK("https://ibp.a2mac1.com/costing(costing:projects/details/8191/equipment/6948608)","Manufacturing Equipment")</f>
        <v>Manufacturing Equipment</v>
      </c>
      <c r="B1166">
        <v>6948608</v>
      </c>
      <c r="C1166">
        <v>6976000</v>
      </c>
      <c r="E1166" t="s">
        <v>603</v>
      </c>
      <c r="H1166" t="s">
        <v>136</v>
      </c>
      <c r="I1166">
        <v>373962.17573865002</v>
      </c>
      <c r="J1166">
        <v>0</v>
      </c>
      <c r="K1166">
        <v>3.3919999999999999</v>
      </c>
      <c r="L1166">
        <v>0</v>
      </c>
      <c r="M1166">
        <v>85.594214069133713</v>
      </c>
      <c r="N1166">
        <v>0</v>
      </c>
      <c r="O1166">
        <v>0.024442497755116997</v>
      </c>
      <c r="P1166">
        <v>0.0011797957575</v>
      </c>
      <c r="Q1166">
        <v>0.0044169504331110178</v>
      </c>
      <c r="R1166">
        <v>2750000.0039900001</v>
      </c>
      <c r="S1166">
        <v>0</v>
      </c>
      <c r="T1166">
        <v>0</v>
      </c>
      <c r="V1166">
        <v>5400</v>
      </c>
      <c r="W1166">
        <v>10</v>
      </c>
      <c r="X1166">
        <v>85</v>
      </c>
      <c r="Y1166">
        <v>4</v>
      </c>
      <c r="Z1166">
        <v>4</v>
      </c>
      <c r="AA1166">
        <v>5</v>
      </c>
      <c r="AB1166">
        <v>0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80</v>
      </c>
      <c r="AM1166">
        <v>53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70</v>
      </c>
      <c r="AU1166">
        <v>0</v>
      </c>
      <c r="AV1166">
        <v>0</v>
      </c>
    </row>
    <row r="1167" spans="1:48" ht="12.75">
      <c r="A1167" s="2" t="str">
        <f>HYPERLINK("https://ibp.a2mac1.com/costing(costing:projects/details/8191/equipment/6948609)","Manufacturing Equipment")</f>
        <v>Manufacturing Equipment</v>
      </c>
      <c r="B1167">
        <v>6948609</v>
      </c>
      <c r="C1167">
        <v>6976001</v>
      </c>
      <c r="E1167" t="s">
        <v>603</v>
      </c>
      <c r="H1167" t="s">
        <v>136</v>
      </c>
      <c r="I1167">
        <v>373962.17573865002</v>
      </c>
      <c r="J1167">
        <v>0</v>
      </c>
      <c r="K1167">
        <v>3.3919999999999999</v>
      </c>
      <c r="L1167">
        <v>0</v>
      </c>
      <c r="M1167">
        <v>85.594214069133713</v>
      </c>
      <c r="N1167">
        <v>0</v>
      </c>
      <c r="O1167">
        <v>0.034792740329721246</v>
      </c>
      <c r="P1167">
        <v>0.0016793835001666668</v>
      </c>
      <c r="Q1167">
        <v>0.0044169504331110178</v>
      </c>
      <c r="R1167">
        <v>2750000.0039900001</v>
      </c>
      <c r="S1167">
        <v>0</v>
      </c>
      <c r="T1167">
        <v>0</v>
      </c>
      <c r="V1167">
        <v>5400</v>
      </c>
      <c r="W1167">
        <v>10</v>
      </c>
      <c r="X1167">
        <v>85</v>
      </c>
      <c r="Y1167">
        <v>4</v>
      </c>
      <c r="Z1167">
        <v>4</v>
      </c>
      <c r="AA1167">
        <v>5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80</v>
      </c>
      <c r="AM1167">
        <v>53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70</v>
      </c>
      <c r="AU1167">
        <v>0</v>
      </c>
      <c r="AV1167">
        <v>0</v>
      </c>
    </row>
    <row r="1168" spans="1:48" ht="12.75">
      <c r="A1168" s="2" t="str">
        <f>HYPERLINK("https://ibp.a2mac1.com/costing(costing:projects/details/8191/equipment/6948610)","Manufacturing Equipment")</f>
        <v>Manufacturing Equipment</v>
      </c>
      <c r="B1168">
        <v>6948610</v>
      </c>
      <c r="C1168">
        <v>6976002</v>
      </c>
      <c r="E1168" t="s">
        <v>603</v>
      </c>
      <c r="H1168" t="s">
        <v>136</v>
      </c>
      <c r="I1168">
        <v>373962.17573865002</v>
      </c>
      <c r="J1168">
        <v>0</v>
      </c>
      <c r="K1168">
        <v>3.3919999999999999</v>
      </c>
      <c r="L1168">
        <v>0</v>
      </c>
      <c r="M1168">
        <v>85.594214069133713</v>
      </c>
      <c r="N1168">
        <v>0</v>
      </c>
      <c r="O1168">
        <v>0.52545336970218204</v>
      </c>
      <c r="P1168">
        <v>0.025362696666666667</v>
      </c>
      <c r="Q1168">
        <v>0.0044169504331110178</v>
      </c>
      <c r="R1168">
        <v>2750000.0039900001</v>
      </c>
      <c r="S1168">
        <v>0</v>
      </c>
      <c r="T1168">
        <v>0</v>
      </c>
      <c r="V1168">
        <v>5400</v>
      </c>
      <c r="W1168">
        <v>10</v>
      </c>
      <c r="X1168">
        <v>85</v>
      </c>
      <c r="Y1168">
        <v>4</v>
      </c>
      <c r="Z1168">
        <v>4</v>
      </c>
      <c r="AA1168">
        <v>5</v>
      </c>
      <c r="AB1168">
        <v>0</v>
      </c>
      <c r="AC1168">
        <v>0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80</v>
      </c>
      <c r="AM1168">
        <v>53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70</v>
      </c>
      <c r="AU1168">
        <v>0</v>
      </c>
      <c r="AV1168">
        <v>0</v>
      </c>
    </row>
    <row r="1169" spans="1:48" ht="12.75">
      <c r="A1169" s="2" t="str">
        <f>HYPERLINK("https://ibp.a2mac1.com/costing(costing:projects/details/8191/equipment/6948611)","Manufacturing Equipment")</f>
        <v>Manufacturing Equipment</v>
      </c>
      <c r="B1169">
        <v>6948611</v>
      </c>
      <c r="C1169">
        <v>6976003</v>
      </c>
      <c r="E1169" t="s">
        <v>603</v>
      </c>
      <c r="H1169" t="s">
        <v>136</v>
      </c>
      <c r="I1169">
        <v>373962.17573865002</v>
      </c>
      <c r="J1169">
        <v>0</v>
      </c>
      <c r="K1169">
        <v>3.3919999999999999</v>
      </c>
      <c r="L1169">
        <v>0</v>
      </c>
      <c r="M1169">
        <v>85.594214069133713</v>
      </c>
      <c r="N1169">
        <v>0</v>
      </c>
      <c r="O1169">
        <v>0.52545336970218204</v>
      </c>
      <c r="P1169">
        <v>0.025362696666666667</v>
      </c>
      <c r="Q1169">
        <v>0.0044169504331110178</v>
      </c>
      <c r="R1169">
        <v>2750000.0039900001</v>
      </c>
      <c r="S1169">
        <v>0</v>
      </c>
      <c r="T1169">
        <v>0</v>
      </c>
      <c r="V1169">
        <v>5400</v>
      </c>
      <c r="W1169">
        <v>10</v>
      </c>
      <c r="X1169">
        <v>85</v>
      </c>
      <c r="Y1169">
        <v>4</v>
      </c>
      <c r="Z1169">
        <v>4</v>
      </c>
      <c r="AA1169">
        <v>5</v>
      </c>
      <c r="AB1169">
        <v>0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80</v>
      </c>
      <c r="AM1169">
        <v>53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70</v>
      </c>
      <c r="AU1169">
        <v>0</v>
      </c>
      <c r="AV1169">
        <v>0</v>
      </c>
    </row>
    <row r="1170" spans="1:48" ht="12.75">
      <c r="A1170" s="2" t="str">
        <f>HYPERLINK("https://ibp.a2mac1.com/costing(costing:projects/details/8191/equipment/6948612)","Manufacturing Equipment")</f>
        <v>Manufacturing Equipment</v>
      </c>
      <c r="B1170">
        <v>6948612</v>
      </c>
      <c r="C1170">
        <v>6976004</v>
      </c>
      <c r="E1170" t="s">
        <v>603</v>
      </c>
      <c r="H1170" t="s">
        <v>136</v>
      </c>
      <c r="I1170">
        <v>373962.17627729999</v>
      </c>
      <c r="J1170">
        <v>0</v>
      </c>
      <c r="K1170">
        <v>3.3919999999999999</v>
      </c>
      <c r="L1170">
        <v>0</v>
      </c>
      <c r="M1170">
        <v>85.594214187769211</v>
      </c>
      <c r="N1170">
        <v>0</v>
      </c>
      <c r="O1170">
        <v>0.28844132701259662</v>
      </c>
      <c r="P1170">
        <v>0.013922548212333333</v>
      </c>
      <c r="Q1170">
        <v>0.008833900876899229</v>
      </c>
      <c r="R1170">
        <v>2750000.0079800002</v>
      </c>
      <c r="S1170">
        <v>0</v>
      </c>
      <c r="T1170">
        <v>0</v>
      </c>
      <c r="V1170">
        <v>5400</v>
      </c>
      <c r="W1170">
        <v>10</v>
      </c>
      <c r="X1170">
        <v>85</v>
      </c>
      <c r="Y1170">
        <v>4</v>
      </c>
      <c r="Z1170">
        <v>4</v>
      </c>
      <c r="AA1170">
        <v>5</v>
      </c>
      <c r="AB1170">
        <v>0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1</v>
      </c>
      <c r="AJ1170">
        <v>0</v>
      </c>
      <c r="AK1170">
        <v>0</v>
      </c>
      <c r="AL1170">
        <v>80</v>
      </c>
      <c r="AM1170">
        <v>53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70</v>
      </c>
      <c r="AU1170">
        <v>0</v>
      </c>
      <c r="AV1170">
        <v>0</v>
      </c>
    </row>
    <row r="1171" spans="1:48" ht="12.75">
      <c r="A1171" s="2" t="str">
        <f>HYPERLINK("https://ibp.a2mac1.com/costing(costing:projects/details/8191/equipment/6948746)","Manufacturing Equipment")</f>
        <v>Manufacturing Equipment</v>
      </c>
      <c r="B1171">
        <v>6948746</v>
      </c>
      <c r="C1171">
        <v>6976152</v>
      </c>
      <c r="E1171" t="s">
        <v>603</v>
      </c>
      <c r="H1171" t="s">
        <v>136</v>
      </c>
      <c r="I1171">
        <v>373962.17627729999</v>
      </c>
      <c r="J1171">
        <v>0</v>
      </c>
      <c r="K1171">
        <v>3.3919999999999999</v>
      </c>
      <c r="L1171">
        <v>0</v>
      </c>
      <c r="M1171">
        <v>85.594214187769211</v>
      </c>
      <c r="N1171">
        <v>0</v>
      </c>
      <c r="O1171">
        <v>0.034792740377944761</v>
      </c>
      <c r="P1171">
        <v>0.0016793835001666668</v>
      </c>
      <c r="Q1171">
        <v>0.008833900876899229</v>
      </c>
      <c r="R1171">
        <v>2750000.0079800002</v>
      </c>
      <c r="S1171">
        <v>0</v>
      </c>
      <c r="T1171">
        <v>0</v>
      </c>
      <c r="V1171">
        <v>5400</v>
      </c>
      <c r="W1171">
        <v>10</v>
      </c>
      <c r="X1171">
        <v>85</v>
      </c>
      <c r="Y1171">
        <v>4</v>
      </c>
      <c r="Z1171">
        <v>4</v>
      </c>
      <c r="AA1171">
        <v>5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80</v>
      </c>
      <c r="AM1171">
        <v>53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70</v>
      </c>
      <c r="AU1171">
        <v>0</v>
      </c>
      <c r="AV1171">
        <v>0</v>
      </c>
    </row>
    <row r="1172" spans="1:48" ht="12.75">
      <c r="A1172" s="2" t="str">
        <f>HYPERLINK("https://ibp.a2mac1.com/costing(costing:projects/details/8191/equipment/6948747)","Manufacturing Equipment")</f>
        <v>Manufacturing Equipment</v>
      </c>
      <c r="B1172">
        <v>6948747</v>
      </c>
      <c r="C1172">
        <v>6976153</v>
      </c>
      <c r="E1172" t="s">
        <v>603</v>
      </c>
      <c r="H1172" t="s">
        <v>136</v>
      </c>
      <c r="I1172">
        <v>373962.17573865002</v>
      </c>
      <c r="J1172">
        <v>0</v>
      </c>
      <c r="K1172">
        <v>3.3919999999999999</v>
      </c>
      <c r="L1172">
        <v>0</v>
      </c>
      <c r="M1172">
        <v>85.594214069133713</v>
      </c>
      <c r="N1172">
        <v>0</v>
      </c>
      <c r="O1172">
        <v>0.034792740329721246</v>
      </c>
      <c r="P1172">
        <v>0.0016793835001666668</v>
      </c>
      <c r="Q1172">
        <v>0.0044169504331110178</v>
      </c>
      <c r="R1172">
        <v>2750000.0039900001</v>
      </c>
      <c r="S1172">
        <v>0</v>
      </c>
      <c r="T1172">
        <v>0</v>
      </c>
      <c r="V1172">
        <v>5400</v>
      </c>
      <c r="W1172">
        <v>10</v>
      </c>
      <c r="X1172">
        <v>85</v>
      </c>
      <c r="Y1172">
        <v>4</v>
      </c>
      <c r="Z1172">
        <v>4</v>
      </c>
      <c r="AA1172">
        <v>5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80</v>
      </c>
      <c r="AM1172">
        <v>53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70</v>
      </c>
      <c r="AU1172">
        <v>0</v>
      </c>
      <c r="AV1172">
        <v>0</v>
      </c>
    </row>
    <row r="1173" spans="1:48" ht="12.75">
      <c r="A1173" s="2" t="str">
        <f>HYPERLINK("https://ibp.a2mac1.com/costing(costing:projects/details/8191/equipment/6948614)","Manufacturing Equipment")</f>
        <v>Manufacturing Equipment</v>
      </c>
      <c r="B1173">
        <v>6948614</v>
      </c>
      <c r="C1173">
        <v>6976005</v>
      </c>
      <c r="E1173" t="s">
        <v>603</v>
      </c>
      <c r="H1173" t="s">
        <v>136</v>
      </c>
      <c r="I1173">
        <v>373962.17573865002</v>
      </c>
      <c r="J1173">
        <v>0</v>
      </c>
      <c r="K1173">
        <v>3.3919999999999999</v>
      </c>
      <c r="L1173">
        <v>0</v>
      </c>
      <c r="M1173">
        <v>85.594214069133713</v>
      </c>
      <c r="N1173">
        <v>0</v>
      </c>
      <c r="O1173">
        <v>0.25042025784244842</v>
      </c>
      <c r="P1173">
        <v>0.012087339058166667</v>
      </c>
      <c r="Q1173">
        <v>0.0044169504331110178</v>
      </c>
      <c r="R1173">
        <v>2750000.0039900001</v>
      </c>
      <c r="S1173">
        <v>0</v>
      </c>
      <c r="T1173">
        <v>0</v>
      </c>
      <c r="V1173">
        <v>5400</v>
      </c>
      <c r="W1173">
        <v>10</v>
      </c>
      <c r="X1173">
        <v>85</v>
      </c>
      <c r="Y1173">
        <v>4</v>
      </c>
      <c r="Z1173">
        <v>4</v>
      </c>
      <c r="AA1173">
        <v>5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1</v>
      </c>
      <c r="AJ1173">
        <v>0</v>
      </c>
      <c r="AK1173">
        <v>0</v>
      </c>
      <c r="AL1173">
        <v>80</v>
      </c>
      <c r="AM1173">
        <v>53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70</v>
      </c>
      <c r="AU1173">
        <v>0</v>
      </c>
      <c r="AV1173">
        <v>0</v>
      </c>
    </row>
    <row r="1174" spans="1:48" ht="12.75">
      <c r="A1174" s="2" t="str">
        <f>HYPERLINK("https://ibp.a2mac1.com/costing(costing:projects/details/8191/equipment/6948615)","Manufacturing Equipment")</f>
        <v>Manufacturing Equipment</v>
      </c>
      <c r="B1174">
        <v>6948615</v>
      </c>
      <c r="C1174">
        <v>6976006</v>
      </c>
      <c r="E1174" t="s">
        <v>603</v>
      </c>
      <c r="H1174" t="s">
        <v>136</v>
      </c>
      <c r="I1174">
        <v>373962.17573865002</v>
      </c>
      <c r="J1174">
        <v>0</v>
      </c>
      <c r="K1174">
        <v>3.3919999999999999</v>
      </c>
      <c r="L1174">
        <v>0</v>
      </c>
      <c r="M1174">
        <v>85.594214069133713</v>
      </c>
      <c r="N1174">
        <v>0</v>
      </c>
      <c r="O1174">
        <v>0.034792740329721246</v>
      </c>
      <c r="P1174">
        <v>0.0016793835001666668</v>
      </c>
      <c r="Q1174">
        <v>0.0044169504331110178</v>
      </c>
      <c r="R1174">
        <v>2750000.0039900001</v>
      </c>
      <c r="S1174">
        <v>0</v>
      </c>
      <c r="T1174">
        <v>0</v>
      </c>
      <c r="V1174">
        <v>5400</v>
      </c>
      <c r="W1174">
        <v>10</v>
      </c>
      <c r="X1174">
        <v>85</v>
      </c>
      <c r="Y1174">
        <v>4</v>
      </c>
      <c r="Z1174">
        <v>4</v>
      </c>
      <c r="AA1174">
        <v>5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80</v>
      </c>
      <c r="AM1174">
        <v>53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70</v>
      </c>
      <c r="AU1174">
        <v>0</v>
      </c>
      <c r="AV1174">
        <v>0</v>
      </c>
    </row>
    <row r="1175" spans="1:48" ht="12.75">
      <c r="A1175" s="2" t="str">
        <f>HYPERLINK("https://ibp.a2mac1.com/costing(costing:projects/details/8191/equipment/6948616)","Manufacturing Equipment")</f>
        <v>Manufacturing Equipment</v>
      </c>
      <c r="B1175">
        <v>6948616</v>
      </c>
      <c r="C1175">
        <v>6976007</v>
      </c>
      <c r="E1175" t="s">
        <v>603</v>
      </c>
      <c r="H1175" t="s">
        <v>136</v>
      </c>
      <c r="I1175">
        <v>373962.17573865002</v>
      </c>
      <c r="J1175">
        <v>0</v>
      </c>
      <c r="K1175">
        <v>3.3919999999999999</v>
      </c>
      <c r="L1175">
        <v>0</v>
      </c>
      <c r="M1175">
        <v>85.594214069133713</v>
      </c>
      <c r="N1175">
        <v>0</v>
      </c>
      <c r="O1175">
        <v>0.034792740329721246</v>
      </c>
      <c r="P1175">
        <v>0.0016793835001666668</v>
      </c>
      <c r="Q1175">
        <v>0.0044169504331110178</v>
      </c>
      <c r="R1175">
        <v>2750000.0039900001</v>
      </c>
      <c r="S1175">
        <v>0</v>
      </c>
      <c r="T1175">
        <v>0</v>
      </c>
      <c r="V1175">
        <v>5400</v>
      </c>
      <c r="W1175">
        <v>10</v>
      </c>
      <c r="X1175">
        <v>85</v>
      </c>
      <c r="Y1175">
        <v>4</v>
      </c>
      <c r="Z1175">
        <v>4</v>
      </c>
      <c r="AA1175">
        <v>5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80</v>
      </c>
      <c r="AM1175">
        <v>53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70</v>
      </c>
      <c r="AU1175">
        <v>0</v>
      </c>
      <c r="AV1175">
        <v>0</v>
      </c>
    </row>
    <row r="1176" spans="1:48" ht="12.75">
      <c r="A1176" s="2" t="str">
        <f>HYPERLINK("https://ibp.a2mac1.com/costing(costing:projects/details/8191/equipment/6948617)","Manufacturing Equipment")</f>
        <v>Manufacturing Equipment</v>
      </c>
      <c r="B1176">
        <v>6948617</v>
      </c>
      <c r="C1176">
        <v>6976008</v>
      </c>
      <c r="E1176" t="s">
        <v>603</v>
      </c>
      <c r="H1176" t="s">
        <v>136</v>
      </c>
      <c r="I1176">
        <v>373962.17627729999</v>
      </c>
      <c r="J1176">
        <v>0</v>
      </c>
      <c r="K1176">
        <v>3.3919999999999999</v>
      </c>
      <c r="L1176">
        <v>0</v>
      </c>
      <c r="M1176">
        <v>85.594214187769211</v>
      </c>
      <c r="N1176">
        <v>0</v>
      </c>
      <c r="O1176">
        <v>2.6448276940015116</v>
      </c>
      <c r="P1176">
        <v>0.12766111383699999</v>
      </c>
      <c r="Q1176">
        <v>0.008833900876899229</v>
      </c>
      <c r="R1176">
        <v>2750000.0079800002</v>
      </c>
      <c r="S1176">
        <v>0</v>
      </c>
      <c r="T1176">
        <v>0</v>
      </c>
      <c r="V1176">
        <v>5400</v>
      </c>
      <c r="W1176">
        <v>10</v>
      </c>
      <c r="X1176">
        <v>85</v>
      </c>
      <c r="Y1176">
        <v>4</v>
      </c>
      <c r="Z1176">
        <v>4</v>
      </c>
      <c r="AA1176">
        <v>5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80</v>
      </c>
      <c r="AM1176">
        <v>53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70</v>
      </c>
      <c r="AU1176">
        <v>0</v>
      </c>
      <c r="AV1176">
        <v>0</v>
      </c>
    </row>
    <row r="1177" spans="1:48" ht="12.75">
      <c r="A1177" s="2" t="str">
        <f>HYPERLINK("https://ibp.a2mac1.com/costing(costing:projects/details/8191/equipment/6948618)","Manufacturing Equipment")</f>
        <v>Manufacturing Equipment</v>
      </c>
      <c r="B1177">
        <v>6948618</v>
      </c>
      <c r="C1177">
        <v>6976009</v>
      </c>
      <c r="E1177" t="s">
        <v>603</v>
      </c>
      <c r="H1177" t="s">
        <v>136</v>
      </c>
      <c r="I1177">
        <v>373962.17573865002</v>
      </c>
      <c r="J1177">
        <v>0</v>
      </c>
      <c r="K1177">
        <v>3.3919999999999999</v>
      </c>
      <c r="L1177">
        <v>0</v>
      </c>
      <c r="M1177">
        <v>85.594214069133713</v>
      </c>
      <c r="N1177">
        <v>0</v>
      </c>
      <c r="O1177">
        <v>0.25042025784244842</v>
      </c>
      <c r="P1177">
        <v>0.012087339058166667</v>
      </c>
      <c r="Q1177">
        <v>0.0044169504331110178</v>
      </c>
      <c r="R1177">
        <v>2750000.0039900001</v>
      </c>
      <c r="S1177">
        <v>0</v>
      </c>
      <c r="T1177">
        <v>0</v>
      </c>
      <c r="V1177">
        <v>5400</v>
      </c>
      <c r="W1177">
        <v>10</v>
      </c>
      <c r="X1177">
        <v>85</v>
      </c>
      <c r="Y1177">
        <v>4</v>
      </c>
      <c r="Z1177">
        <v>4</v>
      </c>
      <c r="AA1177">
        <v>5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80</v>
      </c>
      <c r="AM1177">
        <v>53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70</v>
      </c>
      <c r="AU1177">
        <v>0</v>
      </c>
      <c r="AV1177">
        <v>0</v>
      </c>
    </row>
    <row r="1178" spans="1:48" ht="12.75">
      <c r="A1178" s="2" t="str">
        <f>HYPERLINK("https://ibp.a2mac1.com/costing(costing:projects/details/8191/equipment/6948619)","Manufacturing Equipment")</f>
        <v>Manufacturing Equipment</v>
      </c>
      <c r="B1178">
        <v>6948619</v>
      </c>
      <c r="C1178">
        <v>6976010</v>
      </c>
      <c r="E1178" t="s">
        <v>603</v>
      </c>
      <c r="H1178" t="s">
        <v>136</v>
      </c>
      <c r="I1178">
        <v>373962.17627729999</v>
      </c>
      <c r="J1178">
        <v>0</v>
      </c>
      <c r="K1178">
        <v>3.3919999999999999</v>
      </c>
      <c r="L1178">
        <v>0</v>
      </c>
      <c r="M1178">
        <v>85.594214187769211</v>
      </c>
      <c r="N1178">
        <v>0</v>
      </c>
      <c r="O1178">
        <v>0.2504202581895365</v>
      </c>
      <c r="P1178">
        <v>0.012087339058166667</v>
      </c>
      <c r="Q1178">
        <v>0.008833900876899229</v>
      </c>
      <c r="R1178">
        <v>2750000.0079800002</v>
      </c>
      <c r="S1178">
        <v>0</v>
      </c>
      <c r="T1178">
        <v>0</v>
      </c>
      <c r="V1178">
        <v>5400</v>
      </c>
      <c r="W1178">
        <v>10</v>
      </c>
      <c r="X1178">
        <v>85</v>
      </c>
      <c r="Y1178">
        <v>4</v>
      </c>
      <c r="Z1178">
        <v>4</v>
      </c>
      <c r="AA1178">
        <v>5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80</v>
      </c>
      <c r="AM1178">
        <v>53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70</v>
      </c>
      <c r="AU1178">
        <v>0</v>
      </c>
      <c r="AV1178">
        <v>0</v>
      </c>
    </row>
    <row r="1179" spans="1:48" ht="12.75">
      <c r="A1179" s="2" t="str">
        <f>HYPERLINK("https://ibp.a2mac1.com/costing(costing:projects/details/8191/equipment/6948620)","Manufacturing Equipment")</f>
        <v>Manufacturing Equipment</v>
      </c>
      <c r="B1179">
        <v>6948620</v>
      </c>
      <c r="C1179">
        <v>6976011</v>
      </c>
      <c r="E1179" t="s">
        <v>603</v>
      </c>
      <c r="H1179" t="s">
        <v>136</v>
      </c>
      <c r="I1179">
        <v>373962.17573865002</v>
      </c>
      <c r="J1179">
        <v>0</v>
      </c>
      <c r="K1179">
        <v>3.3919999999999999</v>
      </c>
      <c r="L1179">
        <v>0</v>
      </c>
      <c r="M1179">
        <v>85.594214069133713</v>
      </c>
      <c r="N1179">
        <v>0</v>
      </c>
      <c r="O1179">
        <v>0.024704392273997972</v>
      </c>
      <c r="P1179">
        <v>0.0011924369386666666</v>
      </c>
      <c r="Q1179">
        <v>0.0044169504331110178</v>
      </c>
      <c r="R1179">
        <v>2750000.0039900001</v>
      </c>
      <c r="S1179">
        <v>0</v>
      </c>
      <c r="T1179">
        <v>0</v>
      </c>
      <c r="V1179">
        <v>5400</v>
      </c>
      <c r="W1179">
        <v>10</v>
      </c>
      <c r="X1179">
        <v>85</v>
      </c>
      <c r="Y1179">
        <v>4</v>
      </c>
      <c r="Z1179">
        <v>4</v>
      </c>
      <c r="AA1179">
        <v>5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1</v>
      </c>
      <c r="AJ1179">
        <v>0</v>
      </c>
      <c r="AK1179">
        <v>0</v>
      </c>
      <c r="AL1179">
        <v>80</v>
      </c>
      <c r="AM1179">
        <v>53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70</v>
      </c>
      <c r="AU1179">
        <v>0</v>
      </c>
      <c r="AV1179">
        <v>0</v>
      </c>
    </row>
    <row r="1180" spans="1:48" ht="12.75">
      <c r="A1180" s="2" t="str">
        <f>HYPERLINK("https://ibp.a2mac1.com/costing(costing:projects/details/8191/equipment/6948621)","Manufacturing Equipment")</f>
        <v>Manufacturing Equipment</v>
      </c>
      <c r="B1180">
        <v>6948621</v>
      </c>
      <c r="C1180">
        <v>6976012</v>
      </c>
      <c r="E1180" t="s">
        <v>603</v>
      </c>
      <c r="H1180" t="s">
        <v>136</v>
      </c>
      <c r="I1180">
        <v>373962.17573865002</v>
      </c>
      <c r="J1180">
        <v>0</v>
      </c>
      <c r="K1180">
        <v>3.3919999999999999</v>
      </c>
      <c r="L1180">
        <v>0</v>
      </c>
      <c r="M1180">
        <v>85.594214069133713</v>
      </c>
      <c r="N1180">
        <v>0</v>
      </c>
      <c r="O1180">
        <v>0.017987861848334199</v>
      </c>
      <c r="P1180">
        <v>0.00086824199833333338</v>
      </c>
      <c r="Q1180">
        <v>0.0044169504331110178</v>
      </c>
      <c r="R1180">
        <v>2750000.0039900001</v>
      </c>
      <c r="S1180">
        <v>0</v>
      </c>
      <c r="T1180">
        <v>0</v>
      </c>
      <c r="V1180">
        <v>5400</v>
      </c>
      <c r="W1180">
        <v>10</v>
      </c>
      <c r="X1180">
        <v>85</v>
      </c>
      <c r="Y1180">
        <v>4</v>
      </c>
      <c r="Z1180">
        <v>4</v>
      </c>
      <c r="AA1180">
        <v>5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80</v>
      </c>
      <c r="AM1180">
        <v>53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70</v>
      </c>
      <c r="AU1180">
        <v>0</v>
      </c>
      <c r="AV1180">
        <v>0</v>
      </c>
    </row>
    <row r="1181" spans="1:48" ht="12.75">
      <c r="A1181" s="2" t="str">
        <f>HYPERLINK("https://ibp.a2mac1.com/costing(costing:projects/details/8191/equipment/6948622)","Manufacturing Equipment")</f>
        <v>Manufacturing Equipment</v>
      </c>
      <c r="B1181">
        <v>6948622</v>
      </c>
      <c r="C1181">
        <v>6976013</v>
      </c>
      <c r="E1181" t="s">
        <v>603</v>
      </c>
      <c r="H1181" t="s">
        <v>136</v>
      </c>
      <c r="I1181">
        <v>373962.17627729999</v>
      </c>
      <c r="J1181">
        <v>0</v>
      </c>
      <c r="K1181">
        <v>3.3919999999999999</v>
      </c>
      <c r="L1181">
        <v>0</v>
      </c>
      <c r="M1181">
        <v>85.594214187769211</v>
      </c>
      <c r="N1181">
        <v>0</v>
      </c>
      <c r="O1181">
        <v>0.15984553066371646</v>
      </c>
      <c r="P1181">
        <v>0.0077154585656666668</v>
      </c>
      <c r="Q1181">
        <v>0.008833900876899229</v>
      </c>
      <c r="R1181">
        <v>2750000.0079800002</v>
      </c>
      <c r="S1181">
        <v>0</v>
      </c>
      <c r="T1181">
        <v>0</v>
      </c>
      <c r="V1181">
        <v>5400</v>
      </c>
      <c r="W1181">
        <v>10</v>
      </c>
      <c r="X1181">
        <v>85</v>
      </c>
      <c r="Y1181">
        <v>4</v>
      </c>
      <c r="Z1181">
        <v>4</v>
      </c>
      <c r="AA1181">
        <v>5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>
        <v>80</v>
      </c>
      <c r="AM1181">
        <v>53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70</v>
      </c>
      <c r="AU1181">
        <v>0</v>
      </c>
      <c r="AV1181">
        <v>0</v>
      </c>
    </row>
    <row r="1182" spans="1:48" ht="12.75">
      <c r="A1182" s="2" t="str">
        <f>HYPERLINK("https://ibp.a2mac1.com/costing(costing:projects/details/8191/equipment/6948623)","Manufacturing Equipment")</f>
        <v>Manufacturing Equipment</v>
      </c>
      <c r="B1182">
        <v>6948623</v>
      </c>
      <c r="C1182">
        <v>6976014</v>
      </c>
      <c r="E1182" t="s">
        <v>603</v>
      </c>
      <c r="H1182" t="s">
        <v>136</v>
      </c>
      <c r="I1182">
        <v>373962.17573865002</v>
      </c>
      <c r="J1182">
        <v>0</v>
      </c>
      <c r="K1182">
        <v>3.3919999999999999</v>
      </c>
      <c r="L1182">
        <v>0</v>
      </c>
      <c r="M1182">
        <v>85.594214069133713</v>
      </c>
      <c r="N1182">
        <v>0</v>
      </c>
      <c r="O1182">
        <v>0.034792740329721246</v>
      </c>
      <c r="P1182">
        <v>0.0016793835001666668</v>
      </c>
      <c r="Q1182">
        <v>0.0044169504331110178</v>
      </c>
      <c r="R1182">
        <v>2750000.0039900001</v>
      </c>
      <c r="S1182">
        <v>0</v>
      </c>
      <c r="T1182">
        <v>0</v>
      </c>
      <c r="V1182">
        <v>5400</v>
      </c>
      <c r="W1182">
        <v>10</v>
      </c>
      <c r="X1182">
        <v>85</v>
      </c>
      <c r="Y1182">
        <v>4</v>
      </c>
      <c r="Z1182">
        <v>4</v>
      </c>
      <c r="AA1182">
        <v>5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80</v>
      </c>
      <c r="AM1182">
        <v>53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70</v>
      </c>
      <c r="AU1182">
        <v>0</v>
      </c>
      <c r="AV1182">
        <v>0</v>
      </c>
    </row>
    <row r="1183" spans="1:48" ht="12.75">
      <c r="A1183" s="2" t="str">
        <f>HYPERLINK("https://ibp.a2mac1.com/costing(costing:projects/details/8191/equipment/6948624)","Manufacturing Equipment")</f>
        <v>Manufacturing Equipment</v>
      </c>
      <c r="B1183">
        <v>6948624</v>
      </c>
      <c r="C1183">
        <v>6976015</v>
      </c>
      <c r="E1183" t="s">
        <v>603</v>
      </c>
      <c r="H1183" t="s">
        <v>136</v>
      </c>
      <c r="I1183">
        <v>373962.17627729999</v>
      </c>
      <c r="J1183">
        <v>0</v>
      </c>
      <c r="K1183">
        <v>3.3919999999999999</v>
      </c>
      <c r="L1183">
        <v>0</v>
      </c>
      <c r="M1183">
        <v>85.594214187769211</v>
      </c>
      <c r="N1183">
        <v>0</v>
      </c>
      <c r="O1183">
        <v>0.017987861873265776</v>
      </c>
      <c r="P1183">
        <v>0.00086824199833333338</v>
      </c>
      <c r="Q1183">
        <v>0.008833900876899229</v>
      </c>
      <c r="R1183">
        <v>2750000.0079800002</v>
      </c>
      <c r="S1183">
        <v>0</v>
      </c>
      <c r="T1183">
        <v>0</v>
      </c>
      <c r="V1183">
        <v>5400</v>
      </c>
      <c r="W1183">
        <v>10</v>
      </c>
      <c r="X1183">
        <v>85</v>
      </c>
      <c r="Y1183">
        <v>4</v>
      </c>
      <c r="Z1183">
        <v>4</v>
      </c>
      <c r="AA1183">
        <v>5</v>
      </c>
      <c r="AB1183">
        <v>0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80</v>
      </c>
      <c r="AM1183">
        <v>53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70</v>
      </c>
      <c r="AU1183">
        <v>0</v>
      </c>
      <c r="AV1183">
        <v>0</v>
      </c>
    </row>
    <row r="1184" spans="1:48" ht="12.75">
      <c r="A1184" s="2" t="str">
        <f>HYPERLINK("https://ibp.a2mac1.com/costing(costing:projects/details/8191/equipment/6948625)","Manufacturing Equipment")</f>
        <v>Manufacturing Equipment</v>
      </c>
      <c r="B1184">
        <v>6948625</v>
      </c>
      <c r="C1184">
        <v>6976016</v>
      </c>
      <c r="E1184" t="s">
        <v>603</v>
      </c>
      <c r="H1184" t="s">
        <v>136</v>
      </c>
      <c r="I1184">
        <v>373962.17627729999</v>
      </c>
      <c r="J1184">
        <v>0</v>
      </c>
      <c r="K1184">
        <v>3.3919999999999999</v>
      </c>
      <c r="L1184">
        <v>0</v>
      </c>
      <c r="M1184">
        <v>85.594214187769211</v>
      </c>
      <c r="N1184">
        <v>0</v>
      </c>
      <c r="O1184">
        <v>0.034792740377944761</v>
      </c>
      <c r="P1184">
        <v>0.0016793835001666668</v>
      </c>
      <c r="Q1184">
        <v>0.008833900876899229</v>
      </c>
      <c r="R1184">
        <v>2750000.0079800002</v>
      </c>
      <c r="S1184">
        <v>0</v>
      </c>
      <c r="T1184">
        <v>0</v>
      </c>
      <c r="V1184">
        <v>5400</v>
      </c>
      <c r="W1184">
        <v>10</v>
      </c>
      <c r="X1184">
        <v>85</v>
      </c>
      <c r="Y1184">
        <v>4</v>
      </c>
      <c r="Z1184">
        <v>4</v>
      </c>
      <c r="AA1184">
        <v>5</v>
      </c>
      <c r="AB1184">
        <v>0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80</v>
      </c>
      <c r="AM1184">
        <v>53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70</v>
      </c>
      <c r="AU1184">
        <v>0</v>
      </c>
      <c r="AV1184">
        <v>0</v>
      </c>
    </row>
    <row r="1185" spans="1:48" ht="12.75">
      <c r="A1185" s="2" t="str">
        <f>HYPERLINK("https://ibp.a2mac1.com/costing(costing:projects/details/8191/equipment/6948626)","Manufacturing Equipment")</f>
        <v>Manufacturing Equipment</v>
      </c>
      <c r="B1185">
        <v>6948626</v>
      </c>
      <c r="C1185">
        <v>6976017</v>
      </c>
      <c r="E1185" t="s">
        <v>603</v>
      </c>
      <c r="H1185" t="s">
        <v>136</v>
      </c>
      <c r="I1185">
        <v>373962.17573865002</v>
      </c>
      <c r="J1185">
        <v>0</v>
      </c>
      <c r="K1185">
        <v>3.3919999999999999</v>
      </c>
      <c r="L1185">
        <v>0</v>
      </c>
      <c r="M1185">
        <v>85.594214069133713</v>
      </c>
      <c r="N1185">
        <v>0</v>
      </c>
      <c r="O1185">
        <v>0.017987861848334199</v>
      </c>
      <c r="P1185">
        <v>0.00086824199833333338</v>
      </c>
      <c r="Q1185">
        <v>0.0044169504331110178</v>
      </c>
      <c r="R1185">
        <v>2750000.0039900001</v>
      </c>
      <c r="S1185">
        <v>0</v>
      </c>
      <c r="T1185">
        <v>0</v>
      </c>
      <c r="V1185">
        <v>5400</v>
      </c>
      <c r="W1185">
        <v>10</v>
      </c>
      <c r="X1185">
        <v>85</v>
      </c>
      <c r="Y1185">
        <v>4</v>
      </c>
      <c r="Z1185">
        <v>4</v>
      </c>
      <c r="AA1185">
        <v>5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80</v>
      </c>
      <c r="AM1185">
        <v>53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70</v>
      </c>
      <c r="AU1185">
        <v>0</v>
      </c>
      <c r="AV1185">
        <v>0</v>
      </c>
    </row>
    <row r="1186" spans="1:48" ht="12.75">
      <c r="A1186" s="2" t="str">
        <f>HYPERLINK("https://ibp.a2mac1.com/costing(costing:projects/details/8191/equipment/6948627)","Manufacturing Equipment")</f>
        <v>Manufacturing Equipment</v>
      </c>
      <c r="B1186">
        <v>6948627</v>
      </c>
      <c r="C1186">
        <v>6976018</v>
      </c>
      <c r="E1186" t="s">
        <v>603</v>
      </c>
      <c r="H1186" t="s">
        <v>136</v>
      </c>
      <c r="I1186">
        <v>373962.17627729999</v>
      </c>
      <c r="J1186">
        <v>0</v>
      </c>
      <c r="K1186">
        <v>3.3919999999999999</v>
      </c>
      <c r="L1186">
        <v>0</v>
      </c>
      <c r="M1186">
        <v>85.594214187769211</v>
      </c>
      <c r="N1186">
        <v>0</v>
      </c>
      <c r="O1186">
        <v>0.2504202581895365</v>
      </c>
      <c r="P1186">
        <v>0.012087339058166667</v>
      </c>
      <c r="Q1186">
        <v>0.008833900876899229</v>
      </c>
      <c r="R1186">
        <v>2750000.0079800002</v>
      </c>
      <c r="S1186">
        <v>0</v>
      </c>
      <c r="T1186">
        <v>0</v>
      </c>
      <c r="V1186">
        <v>5400</v>
      </c>
      <c r="W1186">
        <v>10</v>
      </c>
      <c r="X1186">
        <v>85</v>
      </c>
      <c r="Y1186">
        <v>4</v>
      </c>
      <c r="Z1186">
        <v>4</v>
      </c>
      <c r="AA1186">
        <v>5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80</v>
      </c>
      <c r="AM1186">
        <v>53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70</v>
      </c>
      <c r="AU1186">
        <v>0</v>
      </c>
      <c r="AV1186">
        <v>0</v>
      </c>
    </row>
    <row r="1187" spans="1:48" ht="12.75">
      <c r="A1187" s="2" t="str">
        <f>HYPERLINK("https://ibp.a2mac1.com/costing(costing:projects/details/8191/equipment/6948628)","Manufacturing Equipment")</f>
        <v>Manufacturing Equipment</v>
      </c>
      <c r="B1187">
        <v>6948628</v>
      </c>
      <c r="C1187">
        <v>6976019</v>
      </c>
      <c r="E1187" t="s">
        <v>603</v>
      </c>
      <c r="H1187" t="s">
        <v>136</v>
      </c>
      <c r="I1187">
        <v>373962.17573865002</v>
      </c>
      <c r="J1187">
        <v>0</v>
      </c>
      <c r="K1187">
        <v>3.3919999999999999</v>
      </c>
      <c r="L1187">
        <v>0</v>
      </c>
      <c r="M1187">
        <v>85.594214069133713</v>
      </c>
      <c r="N1187">
        <v>0</v>
      </c>
      <c r="O1187">
        <v>0.017987861848334199</v>
      </c>
      <c r="P1187">
        <v>0.00086824199833333338</v>
      </c>
      <c r="Q1187">
        <v>0.0044169504331110178</v>
      </c>
      <c r="R1187">
        <v>2750000.0039900001</v>
      </c>
      <c r="S1187">
        <v>0</v>
      </c>
      <c r="T1187">
        <v>0</v>
      </c>
      <c r="V1187">
        <v>5400</v>
      </c>
      <c r="W1187">
        <v>10</v>
      </c>
      <c r="X1187">
        <v>85</v>
      </c>
      <c r="Y1187">
        <v>4</v>
      </c>
      <c r="Z1187">
        <v>4</v>
      </c>
      <c r="AA1187">
        <v>5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80</v>
      </c>
      <c r="AM1187">
        <v>53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70</v>
      </c>
      <c r="AU1187">
        <v>0</v>
      </c>
      <c r="AV1187">
        <v>0</v>
      </c>
    </row>
    <row r="1188" spans="1:48" ht="12.75">
      <c r="A1188" s="2" t="str">
        <f>HYPERLINK("https://ibp.a2mac1.com/costing(costing:projects/details/8191/equipment/6948629)","Manufacturing Equipment")</f>
        <v>Manufacturing Equipment</v>
      </c>
      <c r="B1188">
        <v>6948629</v>
      </c>
      <c r="C1188">
        <v>6976020</v>
      </c>
      <c r="E1188" t="s">
        <v>603</v>
      </c>
      <c r="H1188" t="s">
        <v>136</v>
      </c>
      <c r="I1188">
        <v>373962.17573865002</v>
      </c>
      <c r="J1188">
        <v>0</v>
      </c>
      <c r="K1188">
        <v>3.3919999999999999</v>
      </c>
      <c r="L1188">
        <v>0</v>
      </c>
      <c r="M1188">
        <v>85.594214069133713</v>
      </c>
      <c r="N1188">
        <v>0</v>
      </c>
      <c r="O1188">
        <v>0.0061760980684994931</v>
      </c>
      <c r="P1188">
        <v>0.00029810923466666665</v>
      </c>
      <c r="Q1188">
        <v>0.0044169504331110178</v>
      </c>
      <c r="R1188">
        <v>2750000.0039900001</v>
      </c>
      <c r="S1188">
        <v>0</v>
      </c>
      <c r="T1188">
        <v>0</v>
      </c>
      <c r="V1188">
        <v>5400</v>
      </c>
      <c r="W1188">
        <v>10</v>
      </c>
      <c r="X1188">
        <v>85</v>
      </c>
      <c r="Y1188">
        <v>4</v>
      </c>
      <c r="Z1188">
        <v>4</v>
      </c>
      <c r="AA1188">
        <v>5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80</v>
      </c>
      <c r="AM1188">
        <v>53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70</v>
      </c>
      <c r="AU1188">
        <v>0</v>
      </c>
      <c r="AV1188">
        <v>0</v>
      </c>
    </row>
    <row r="1189" spans="1:48" ht="12.75">
      <c r="A1189" s="2" t="str">
        <f>HYPERLINK("https://ibp.a2mac1.com/costing(costing:projects/details/8191/equipment/6948630)","Manufacturing Equipment")</f>
        <v>Manufacturing Equipment</v>
      </c>
      <c r="B1189">
        <v>6948630</v>
      </c>
      <c r="C1189">
        <v>6976021</v>
      </c>
      <c r="E1189" t="s">
        <v>603</v>
      </c>
      <c r="H1189" t="s">
        <v>136</v>
      </c>
      <c r="I1189">
        <v>373962.17573865002</v>
      </c>
      <c r="J1189">
        <v>0</v>
      </c>
      <c r="K1189">
        <v>3.3919999999999999</v>
      </c>
      <c r="L1189">
        <v>0</v>
      </c>
      <c r="M1189">
        <v>85.594214069133713</v>
      </c>
      <c r="N1189">
        <v>0</v>
      </c>
      <c r="O1189">
        <v>0.017987861848334199</v>
      </c>
      <c r="P1189">
        <v>0.00086824199833333338</v>
      </c>
      <c r="Q1189">
        <v>0.0044169504331110178</v>
      </c>
      <c r="R1189">
        <v>2750000.0039900001</v>
      </c>
      <c r="S1189">
        <v>0</v>
      </c>
      <c r="T1189">
        <v>0</v>
      </c>
      <c r="V1189">
        <v>5400</v>
      </c>
      <c r="W1189">
        <v>10</v>
      </c>
      <c r="X1189">
        <v>85</v>
      </c>
      <c r="Y1189">
        <v>4</v>
      </c>
      <c r="Z1189">
        <v>4</v>
      </c>
      <c r="AA1189">
        <v>5</v>
      </c>
      <c r="AB1189">
        <v>0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80</v>
      </c>
      <c r="AM1189">
        <v>53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70</v>
      </c>
      <c r="AU1189">
        <v>0</v>
      </c>
      <c r="AV1189">
        <v>0</v>
      </c>
    </row>
    <row r="1190" spans="1:48" ht="12.75">
      <c r="A1190" s="2" t="str">
        <f>HYPERLINK("https://ibp.a2mac1.com/costing(costing:projects/details/8191/equipment/6948631)","Manufacturing Equipment")</f>
        <v>Manufacturing Equipment</v>
      </c>
      <c r="B1190">
        <v>6948631</v>
      </c>
      <c r="C1190">
        <v>6976022</v>
      </c>
      <c r="E1190" t="s">
        <v>603</v>
      </c>
      <c r="H1190" t="s">
        <v>136</v>
      </c>
      <c r="I1190">
        <v>373962.17573865002</v>
      </c>
      <c r="J1190">
        <v>0</v>
      </c>
      <c r="K1190">
        <v>3.3919999999999999</v>
      </c>
      <c r="L1190">
        <v>0</v>
      </c>
      <c r="M1190">
        <v>85.594214069133713</v>
      </c>
      <c r="N1190">
        <v>0</v>
      </c>
      <c r="O1190">
        <v>0.0061760980684994931</v>
      </c>
      <c r="P1190">
        <v>0.00029810923466666665</v>
      </c>
      <c r="Q1190">
        <v>0.0044169504331110178</v>
      </c>
      <c r="R1190">
        <v>2750000.0039900001</v>
      </c>
      <c r="S1190">
        <v>0</v>
      </c>
      <c r="T1190">
        <v>0</v>
      </c>
      <c r="V1190">
        <v>5400</v>
      </c>
      <c r="W1190">
        <v>10</v>
      </c>
      <c r="X1190">
        <v>85</v>
      </c>
      <c r="Y1190">
        <v>4</v>
      </c>
      <c r="Z1190">
        <v>4</v>
      </c>
      <c r="AA1190">
        <v>5</v>
      </c>
      <c r="AB1190">
        <v>0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80</v>
      </c>
      <c r="AM1190">
        <v>53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70</v>
      </c>
      <c r="AU1190">
        <v>0</v>
      </c>
      <c r="AV1190">
        <v>0</v>
      </c>
    </row>
    <row r="1191" spans="1:48" ht="12.75">
      <c r="A1191" s="2" t="str">
        <f>HYPERLINK("https://ibp.a2mac1.com/costing(costing:projects/details/8191/equipment/6948632)","Manufacturing Equipment")</f>
        <v>Manufacturing Equipment</v>
      </c>
      <c r="B1191">
        <v>6948632</v>
      </c>
      <c r="C1191">
        <v>6976023</v>
      </c>
      <c r="E1191" t="s">
        <v>603</v>
      </c>
      <c r="H1191" t="s">
        <v>136</v>
      </c>
      <c r="I1191">
        <v>373962.17627729999</v>
      </c>
      <c r="J1191">
        <v>0</v>
      </c>
      <c r="K1191">
        <v>3.3919999999999999</v>
      </c>
      <c r="L1191">
        <v>0</v>
      </c>
      <c r="M1191">
        <v>85.594214187769211</v>
      </c>
      <c r="N1191">
        <v>0</v>
      </c>
      <c r="O1191">
        <v>0.024442497788994842</v>
      </c>
      <c r="P1191">
        <v>0.0011797957575</v>
      </c>
      <c r="Q1191">
        <v>0.008833900876899229</v>
      </c>
      <c r="R1191">
        <v>2750000.0079800002</v>
      </c>
      <c r="S1191">
        <v>0</v>
      </c>
      <c r="T1191">
        <v>0</v>
      </c>
      <c r="V1191">
        <v>5400</v>
      </c>
      <c r="W1191">
        <v>10</v>
      </c>
      <c r="X1191">
        <v>85</v>
      </c>
      <c r="Y1191">
        <v>4</v>
      </c>
      <c r="Z1191">
        <v>4</v>
      </c>
      <c r="AA1191">
        <v>5</v>
      </c>
      <c r="AB1191">
        <v>0</v>
      </c>
      <c r="AC1191">
        <v>0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80</v>
      </c>
      <c r="AM1191">
        <v>53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70</v>
      </c>
      <c r="AU1191">
        <v>0</v>
      </c>
      <c r="AV1191">
        <v>0</v>
      </c>
    </row>
    <row r="1192" spans="1:48" ht="12.75">
      <c r="A1192" s="2" t="str">
        <f>HYPERLINK("https://ibp.a2mac1.com/costing(costing:projects/details/8191/equipment/6948633)","Manufacturing Equipment")</f>
        <v>Manufacturing Equipment</v>
      </c>
      <c r="B1192">
        <v>6948633</v>
      </c>
      <c r="C1192">
        <v>6976024</v>
      </c>
      <c r="E1192" t="s">
        <v>603</v>
      </c>
      <c r="H1192" t="s">
        <v>136</v>
      </c>
      <c r="I1192">
        <v>373962.17627729999</v>
      </c>
      <c r="J1192">
        <v>0</v>
      </c>
      <c r="K1192">
        <v>3.3919999999999999</v>
      </c>
      <c r="L1192">
        <v>0</v>
      </c>
      <c r="M1192">
        <v>85.594214187769211</v>
      </c>
      <c r="N1192">
        <v>0</v>
      </c>
      <c r="O1192">
        <v>0.2504202581895365</v>
      </c>
      <c r="P1192">
        <v>0.012087339058166667</v>
      </c>
      <c r="Q1192">
        <v>0.008833900876899229</v>
      </c>
      <c r="R1192">
        <v>2750000.0079800002</v>
      </c>
      <c r="S1192">
        <v>0</v>
      </c>
      <c r="T1192">
        <v>0</v>
      </c>
      <c r="V1192">
        <v>5400</v>
      </c>
      <c r="W1192">
        <v>10</v>
      </c>
      <c r="X1192">
        <v>85</v>
      </c>
      <c r="Y1192">
        <v>4</v>
      </c>
      <c r="Z1192">
        <v>4</v>
      </c>
      <c r="AA1192">
        <v>5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80</v>
      </c>
      <c r="AM1192">
        <v>53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70</v>
      </c>
      <c r="AU1192">
        <v>0</v>
      </c>
      <c r="AV1192">
        <v>0</v>
      </c>
    </row>
    <row r="1193" spans="1:48" ht="12.75">
      <c r="A1193" s="2" t="str">
        <f>HYPERLINK("https://ibp.a2mac1.com/costing(costing:projects/details/8191/equipment/6948634)","Manufacturing Equipment")</f>
        <v>Manufacturing Equipment</v>
      </c>
      <c r="B1193">
        <v>6948634</v>
      </c>
      <c r="C1193">
        <v>6976025</v>
      </c>
      <c r="E1193" t="s">
        <v>603</v>
      </c>
      <c r="H1193" t="s">
        <v>136</v>
      </c>
      <c r="I1193">
        <v>373962.17573865002</v>
      </c>
      <c r="J1193">
        <v>0</v>
      </c>
      <c r="K1193">
        <v>3.3919999999999999</v>
      </c>
      <c r="L1193">
        <v>0</v>
      </c>
      <c r="M1193">
        <v>85.594214069133713</v>
      </c>
      <c r="N1193">
        <v>0</v>
      </c>
      <c r="O1193">
        <v>0.13917072355717924</v>
      </c>
      <c r="P1193">
        <v>0.0067175225243333329</v>
      </c>
      <c r="Q1193">
        <v>0.0044169504331110178</v>
      </c>
      <c r="R1193">
        <v>2750000.0039900001</v>
      </c>
      <c r="S1193">
        <v>0</v>
      </c>
      <c r="T1193">
        <v>0</v>
      </c>
      <c r="V1193">
        <v>5400</v>
      </c>
      <c r="W1193">
        <v>10</v>
      </c>
      <c r="X1193">
        <v>85</v>
      </c>
      <c r="Y1193">
        <v>4</v>
      </c>
      <c r="Z1193">
        <v>4</v>
      </c>
      <c r="AA1193">
        <v>5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80</v>
      </c>
      <c r="AM1193">
        <v>53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70</v>
      </c>
      <c r="AU1193">
        <v>0</v>
      </c>
      <c r="AV1193">
        <v>0</v>
      </c>
    </row>
    <row r="1194" spans="1:48" ht="12.75">
      <c r="A1194" s="2" t="str">
        <f>HYPERLINK("https://ibp.a2mac1.com/costing(costing:projects/details/8191/equipment/6948635)","Manufacturing Equipment")</f>
        <v>Manufacturing Equipment</v>
      </c>
      <c r="B1194">
        <v>6948635</v>
      </c>
      <c r="C1194">
        <v>6976026</v>
      </c>
      <c r="E1194" t="s">
        <v>603</v>
      </c>
      <c r="H1194" t="s">
        <v>136</v>
      </c>
      <c r="I1194">
        <v>373962.17573865002</v>
      </c>
      <c r="J1194">
        <v>0</v>
      </c>
      <c r="K1194">
        <v>3.3919999999999999</v>
      </c>
      <c r="L1194">
        <v>0</v>
      </c>
      <c r="M1194">
        <v>85.594214069133713</v>
      </c>
      <c r="N1194">
        <v>0</v>
      </c>
      <c r="O1194">
        <v>0.024704392273997972</v>
      </c>
      <c r="P1194">
        <v>0.0011924369386666666</v>
      </c>
      <c r="Q1194">
        <v>0.0044169504331110178</v>
      </c>
      <c r="R1194">
        <v>2750000.0039900001</v>
      </c>
      <c r="S1194">
        <v>0</v>
      </c>
      <c r="T1194">
        <v>0</v>
      </c>
      <c r="V1194">
        <v>5400</v>
      </c>
      <c r="W1194">
        <v>10</v>
      </c>
      <c r="X1194">
        <v>85</v>
      </c>
      <c r="Y1194">
        <v>4</v>
      </c>
      <c r="Z1194">
        <v>4</v>
      </c>
      <c r="AA1194">
        <v>5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80</v>
      </c>
      <c r="AM1194">
        <v>53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70</v>
      </c>
      <c r="AU1194">
        <v>0</v>
      </c>
      <c r="AV1194">
        <v>0</v>
      </c>
    </row>
    <row r="1195" spans="1:48" ht="12.75">
      <c r="A1195" s="2" t="str">
        <f>HYPERLINK("https://ibp.a2mac1.com/costing(costing:projects/details/8191/equipment/6948636)","Manufacturing Equipment")</f>
        <v>Manufacturing Equipment</v>
      </c>
      <c r="B1195">
        <v>6948636</v>
      </c>
      <c r="C1195">
        <v>6976027</v>
      </c>
      <c r="E1195" t="s">
        <v>603</v>
      </c>
      <c r="H1195" t="s">
        <v>136</v>
      </c>
      <c r="I1195">
        <v>373962.17573865002</v>
      </c>
      <c r="J1195">
        <v>0</v>
      </c>
      <c r="K1195">
        <v>3.3919999999999999</v>
      </c>
      <c r="L1195">
        <v>0</v>
      </c>
      <c r="M1195">
        <v>85.594214069133713</v>
      </c>
      <c r="N1195">
        <v>0</v>
      </c>
      <c r="O1195">
        <v>0.13917072355717924</v>
      </c>
      <c r="P1195">
        <v>0.0067175225243333329</v>
      </c>
      <c r="Q1195">
        <v>0.0044169504331110178</v>
      </c>
      <c r="R1195">
        <v>2750000.0039900001</v>
      </c>
      <c r="S1195">
        <v>0</v>
      </c>
      <c r="T1195">
        <v>0</v>
      </c>
      <c r="V1195">
        <v>5400</v>
      </c>
      <c r="W1195">
        <v>10</v>
      </c>
      <c r="X1195">
        <v>85</v>
      </c>
      <c r="Y1195">
        <v>4</v>
      </c>
      <c r="Z1195">
        <v>4</v>
      </c>
      <c r="AA1195">
        <v>5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80</v>
      </c>
      <c r="AM1195">
        <v>53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70</v>
      </c>
      <c r="AU1195">
        <v>0</v>
      </c>
      <c r="AV1195">
        <v>0</v>
      </c>
    </row>
    <row r="1196" spans="1:48" ht="12.75">
      <c r="A1196" s="2" t="str">
        <f>HYPERLINK("https://ibp.a2mac1.com/costing(costing:projects/details/8191/equipment/6948637)","Manufacturing Equipment")</f>
        <v>Manufacturing Equipment</v>
      </c>
      <c r="B1196">
        <v>6948637</v>
      </c>
      <c r="C1196">
        <v>6976028</v>
      </c>
      <c r="E1196" t="s">
        <v>603</v>
      </c>
      <c r="H1196" t="s">
        <v>136</v>
      </c>
      <c r="I1196">
        <v>373962.17627729999</v>
      </c>
      <c r="J1196">
        <v>0</v>
      </c>
      <c r="K1196">
        <v>3.3919999999999999</v>
      </c>
      <c r="L1196">
        <v>0</v>
      </c>
      <c r="M1196">
        <v>85.594214187769211</v>
      </c>
      <c r="N1196">
        <v>0</v>
      </c>
      <c r="O1196">
        <v>0.13917072375007294</v>
      </c>
      <c r="P1196">
        <v>0.0067175225243333329</v>
      </c>
      <c r="Q1196">
        <v>0.008833900876899229</v>
      </c>
      <c r="R1196">
        <v>2750000.0079800002</v>
      </c>
      <c r="S1196">
        <v>0</v>
      </c>
      <c r="T1196">
        <v>0</v>
      </c>
      <c r="V1196">
        <v>5400</v>
      </c>
      <c r="W1196">
        <v>10</v>
      </c>
      <c r="X1196">
        <v>85</v>
      </c>
      <c r="Y1196">
        <v>4</v>
      </c>
      <c r="Z1196">
        <v>4</v>
      </c>
      <c r="AA1196">
        <v>5</v>
      </c>
      <c r="AB1196">
        <v>0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80</v>
      </c>
      <c r="AM1196">
        <v>53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70</v>
      </c>
      <c r="AU1196">
        <v>0</v>
      </c>
      <c r="AV1196">
        <v>0</v>
      </c>
    </row>
    <row r="1197" spans="1:48" ht="12.75">
      <c r="A1197" s="2" t="str">
        <f>HYPERLINK("https://ibp.a2mac1.com/costing(costing:projects/details/8191/equipment/6948638)","Manufacturing Equipment")</f>
        <v>Manufacturing Equipment</v>
      </c>
      <c r="B1197">
        <v>6948638</v>
      </c>
      <c r="C1197">
        <v>6976029</v>
      </c>
      <c r="E1197" t="s">
        <v>603</v>
      </c>
      <c r="H1197" t="s">
        <v>136</v>
      </c>
      <c r="I1197">
        <v>373962.17627729999</v>
      </c>
      <c r="J1197">
        <v>0</v>
      </c>
      <c r="K1197">
        <v>3.3919999999999999</v>
      </c>
      <c r="L1197">
        <v>0</v>
      </c>
      <c r="M1197">
        <v>85.594214187769211</v>
      </c>
      <c r="N1197">
        <v>0</v>
      </c>
      <c r="O1197">
        <v>0.097769753394273295</v>
      </c>
      <c r="P1197">
        <v>0.0047191715536666666</v>
      </c>
      <c r="Q1197">
        <v>0.008833900876899229</v>
      </c>
      <c r="R1197">
        <v>2750000.0079800002</v>
      </c>
      <c r="S1197">
        <v>0</v>
      </c>
      <c r="T1197">
        <v>0</v>
      </c>
      <c r="V1197">
        <v>5400</v>
      </c>
      <c r="W1197">
        <v>10</v>
      </c>
      <c r="X1197">
        <v>85</v>
      </c>
      <c r="Y1197">
        <v>4</v>
      </c>
      <c r="Z1197">
        <v>4</v>
      </c>
      <c r="AA1197">
        <v>5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80</v>
      </c>
      <c r="AM1197">
        <v>53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70</v>
      </c>
      <c r="AU1197">
        <v>0</v>
      </c>
      <c r="AV1197">
        <v>0</v>
      </c>
    </row>
    <row r="1198" spans="1:48" ht="12.75">
      <c r="A1198" s="2" t="str">
        <f>HYPERLINK("https://ibp.a2mac1.com/costing(costing:projects/details/8191/equipment/6948639)","Manufacturing Equipment")</f>
        <v>Manufacturing Equipment</v>
      </c>
      <c r="B1198">
        <v>6948639</v>
      </c>
      <c r="C1198">
        <v>6976030</v>
      </c>
      <c r="E1198" t="s">
        <v>603</v>
      </c>
      <c r="H1198" t="s">
        <v>136</v>
      </c>
      <c r="I1198">
        <v>373962.17573865002</v>
      </c>
      <c r="J1198">
        <v>0</v>
      </c>
      <c r="K1198">
        <v>3.3919999999999999</v>
      </c>
      <c r="L1198">
        <v>0</v>
      </c>
      <c r="M1198">
        <v>85.594214069133713</v>
      </c>
      <c r="N1198">
        <v>0</v>
      </c>
      <c r="O1198">
        <v>0.071951685155042536</v>
      </c>
      <c r="P1198">
        <v>0.0034729794696666668</v>
      </c>
      <c r="Q1198">
        <v>0.0044169504331110178</v>
      </c>
      <c r="R1198">
        <v>2750000.0039900001</v>
      </c>
      <c r="S1198">
        <v>0</v>
      </c>
      <c r="T1198">
        <v>0</v>
      </c>
      <c r="V1198">
        <v>5400</v>
      </c>
      <c r="W1198">
        <v>10</v>
      </c>
      <c r="X1198">
        <v>85</v>
      </c>
      <c r="Y1198">
        <v>4</v>
      </c>
      <c r="Z1198">
        <v>4</v>
      </c>
      <c r="AA1198">
        <v>5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80</v>
      </c>
      <c r="AM1198">
        <v>53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70</v>
      </c>
      <c r="AU1198">
        <v>0</v>
      </c>
      <c r="AV1198">
        <v>0</v>
      </c>
    </row>
    <row r="1199" spans="1:48" ht="12.75">
      <c r="A1199" s="2" t="str">
        <f>HYPERLINK("https://ibp.a2mac1.com/costing(costing:projects/details/8191/equipment/6948640)","Manufacturing Equipment")</f>
        <v>Manufacturing Equipment</v>
      </c>
      <c r="B1199">
        <v>6948640</v>
      </c>
      <c r="C1199">
        <v>6976031</v>
      </c>
      <c r="E1199" t="s">
        <v>603</v>
      </c>
      <c r="H1199" t="s">
        <v>136</v>
      </c>
      <c r="I1199">
        <v>373962.17627729999</v>
      </c>
      <c r="J1199">
        <v>0</v>
      </c>
      <c r="K1199">
        <v>3.3919999999999999</v>
      </c>
      <c r="L1199">
        <v>0</v>
      </c>
      <c r="M1199">
        <v>85.594214187769211</v>
      </c>
      <c r="N1199">
        <v>0</v>
      </c>
      <c r="O1199">
        <v>0.13917072375007294</v>
      </c>
      <c r="P1199">
        <v>0.0067175225243333329</v>
      </c>
      <c r="Q1199">
        <v>0.008833900876899229</v>
      </c>
      <c r="R1199">
        <v>2750000.0079800002</v>
      </c>
      <c r="S1199">
        <v>0</v>
      </c>
      <c r="T1199">
        <v>0</v>
      </c>
      <c r="V1199">
        <v>5400</v>
      </c>
      <c r="W1199">
        <v>10</v>
      </c>
      <c r="X1199">
        <v>85</v>
      </c>
      <c r="Y1199">
        <v>4</v>
      </c>
      <c r="Z1199">
        <v>4</v>
      </c>
      <c r="AA1199">
        <v>5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80</v>
      </c>
      <c r="AM1199">
        <v>53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70</v>
      </c>
      <c r="AU1199">
        <v>0</v>
      </c>
      <c r="AV1199">
        <v>0</v>
      </c>
    </row>
    <row r="1200" spans="1:48" ht="12.75">
      <c r="A1200" s="2" t="str">
        <f>HYPERLINK("https://ibp.a2mac1.com/costing(costing:projects/details/8191/equipment/6948641)","Manufacturing Equipment")</f>
        <v>Manufacturing Equipment</v>
      </c>
      <c r="B1200">
        <v>6948641</v>
      </c>
      <c r="C1200">
        <v>6976032</v>
      </c>
      <c r="E1200" t="s">
        <v>603</v>
      </c>
      <c r="H1200" t="s">
        <v>136</v>
      </c>
      <c r="I1200">
        <v>373962.17573865002</v>
      </c>
      <c r="J1200">
        <v>0</v>
      </c>
      <c r="K1200">
        <v>3.3919999999999999</v>
      </c>
      <c r="L1200">
        <v>0</v>
      </c>
      <c r="M1200">
        <v>85.594214069133713</v>
      </c>
      <c r="N1200">
        <v>0</v>
      </c>
      <c r="O1200">
        <v>0.25042025784244842</v>
      </c>
      <c r="P1200">
        <v>0.012087339058166667</v>
      </c>
      <c r="Q1200">
        <v>0.0044169504331110178</v>
      </c>
      <c r="R1200">
        <v>2750000.0039900001</v>
      </c>
      <c r="S1200">
        <v>0</v>
      </c>
      <c r="T1200">
        <v>0</v>
      </c>
      <c r="V1200">
        <v>5400</v>
      </c>
      <c r="W1200">
        <v>10</v>
      </c>
      <c r="X1200">
        <v>85</v>
      </c>
      <c r="Y1200">
        <v>4</v>
      </c>
      <c r="Z1200">
        <v>4</v>
      </c>
      <c r="AA1200">
        <v>5</v>
      </c>
      <c r="AB1200">
        <v>0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80</v>
      </c>
      <c r="AM1200">
        <v>53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70</v>
      </c>
      <c r="AU1200">
        <v>0</v>
      </c>
      <c r="AV1200">
        <v>0</v>
      </c>
    </row>
    <row r="1201" spans="1:48" ht="12.75">
      <c r="A1201" s="2" t="str">
        <f>HYPERLINK("https://ibp.a2mac1.com/costing(costing:projects/details/8191/equipment/6948642)","Manufacturing Equipment")</f>
        <v>Manufacturing Equipment</v>
      </c>
      <c r="B1201">
        <v>6948642</v>
      </c>
      <c r="C1201">
        <v>6976033</v>
      </c>
      <c r="E1201" t="s">
        <v>603</v>
      </c>
      <c r="H1201" t="s">
        <v>136</v>
      </c>
      <c r="I1201">
        <v>373962.17573865002</v>
      </c>
      <c r="J1201">
        <v>0</v>
      </c>
      <c r="K1201">
        <v>3.3919999999999999</v>
      </c>
      <c r="L1201">
        <v>0</v>
      </c>
      <c r="M1201">
        <v>85.594214069133713</v>
      </c>
      <c r="N1201">
        <v>0</v>
      </c>
      <c r="O1201">
        <v>0.25042025784244842</v>
      </c>
      <c r="P1201">
        <v>0.012087339058166667</v>
      </c>
      <c r="Q1201">
        <v>0.0044169504331110178</v>
      </c>
      <c r="R1201">
        <v>2750000.0039900001</v>
      </c>
      <c r="S1201">
        <v>0</v>
      </c>
      <c r="T1201">
        <v>0</v>
      </c>
      <c r="V1201">
        <v>5400</v>
      </c>
      <c r="W1201">
        <v>10</v>
      </c>
      <c r="X1201">
        <v>85</v>
      </c>
      <c r="Y1201">
        <v>4</v>
      </c>
      <c r="Z1201">
        <v>4</v>
      </c>
      <c r="AA1201">
        <v>5</v>
      </c>
      <c r="AB1201">
        <v>0</v>
      </c>
      <c r="AC1201">
        <v>0</v>
      </c>
      <c r="AD1201">
        <v>0</v>
      </c>
      <c r="AE1201">
        <v>0</v>
      </c>
      <c r="AF1201">
        <v>1</v>
      </c>
      <c r="AG1201">
        <v>0</v>
      </c>
      <c r="AH1201">
        <v>0</v>
      </c>
      <c r="AI1201">
        <v>1</v>
      </c>
      <c r="AJ1201">
        <v>0</v>
      </c>
      <c r="AK1201">
        <v>0</v>
      </c>
      <c r="AL1201">
        <v>80</v>
      </c>
      <c r="AM1201">
        <v>53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70</v>
      </c>
      <c r="AU1201">
        <v>0</v>
      </c>
      <c r="AV1201">
        <v>0</v>
      </c>
    </row>
    <row r="1202" spans="1:48" ht="12.75">
      <c r="A1202" s="2" t="str">
        <f>HYPERLINK("https://ibp.a2mac1.com/costing(costing:projects/details/8191/equipment/6948643)","Manufacturing Equipment")</f>
        <v>Manufacturing Equipment</v>
      </c>
      <c r="B1202">
        <v>6948643</v>
      </c>
      <c r="C1202">
        <v>6976034</v>
      </c>
      <c r="E1202" t="s">
        <v>603</v>
      </c>
      <c r="H1202" t="s">
        <v>136</v>
      </c>
      <c r="I1202">
        <v>373962.17573865002</v>
      </c>
      <c r="J1202">
        <v>0</v>
      </c>
      <c r="K1202">
        <v>3.3919999999999999</v>
      </c>
      <c r="L1202">
        <v>0</v>
      </c>
      <c r="M1202">
        <v>85.594214069133713</v>
      </c>
      <c r="N1202">
        <v>0</v>
      </c>
      <c r="O1202">
        <v>0.25042025784244842</v>
      </c>
      <c r="P1202">
        <v>0.012087339058166667</v>
      </c>
      <c r="Q1202">
        <v>0.0044169504331110178</v>
      </c>
      <c r="R1202">
        <v>2750000.0039900001</v>
      </c>
      <c r="S1202">
        <v>0</v>
      </c>
      <c r="T1202">
        <v>0</v>
      </c>
      <c r="V1202">
        <v>5400</v>
      </c>
      <c r="W1202">
        <v>10</v>
      </c>
      <c r="X1202">
        <v>85</v>
      </c>
      <c r="Y1202">
        <v>4</v>
      </c>
      <c r="Z1202">
        <v>4</v>
      </c>
      <c r="AA1202">
        <v>5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80</v>
      </c>
      <c r="AM1202">
        <v>53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70</v>
      </c>
      <c r="AU1202">
        <v>0</v>
      </c>
      <c r="AV1202">
        <v>0</v>
      </c>
    </row>
    <row r="1203" spans="1:48" ht="12.75">
      <c r="A1203" s="2" t="str">
        <f>HYPERLINK("https://ibp.a2mac1.com/costing(costing:projects/details/8191/equipment/6948644)","Manufacturing Equipment")</f>
        <v>Manufacturing Equipment</v>
      </c>
      <c r="B1203">
        <v>6948644</v>
      </c>
      <c r="C1203">
        <v>6976035</v>
      </c>
      <c r="E1203" t="s">
        <v>603</v>
      </c>
      <c r="H1203" t="s">
        <v>136</v>
      </c>
      <c r="I1203">
        <v>373962.17573865002</v>
      </c>
      <c r="J1203">
        <v>0</v>
      </c>
      <c r="K1203">
        <v>3.3919999999999999</v>
      </c>
      <c r="L1203">
        <v>0</v>
      </c>
      <c r="M1203">
        <v>85.594214069133713</v>
      </c>
      <c r="N1203">
        <v>0</v>
      </c>
      <c r="O1203">
        <v>0.13917072355717924</v>
      </c>
      <c r="P1203">
        <v>0.0067175225243333329</v>
      </c>
      <c r="Q1203">
        <v>0.0044169504331110178</v>
      </c>
      <c r="R1203">
        <v>2750000.0039900001</v>
      </c>
      <c r="S1203">
        <v>0</v>
      </c>
      <c r="T1203">
        <v>0</v>
      </c>
      <c r="V1203">
        <v>5400</v>
      </c>
      <c r="W1203">
        <v>10</v>
      </c>
      <c r="X1203">
        <v>85</v>
      </c>
      <c r="Y1203">
        <v>4</v>
      </c>
      <c r="Z1203">
        <v>4</v>
      </c>
      <c r="AA1203">
        <v>5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1</v>
      </c>
      <c r="AJ1203">
        <v>0</v>
      </c>
      <c r="AK1203">
        <v>0</v>
      </c>
      <c r="AL1203">
        <v>80</v>
      </c>
      <c r="AM1203">
        <v>53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70</v>
      </c>
      <c r="AU1203">
        <v>0</v>
      </c>
      <c r="AV1203">
        <v>0</v>
      </c>
    </row>
    <row r="1204" spans="1:48" ht="12.75">
      <c r="A1204" s="2" t="str">
        <f>HYPERLINK("https://ibp.a2mac1.com/costing(costing:projects/details/8191/equipment/6948645)","Manufacturing Equipment")</f>
        <v>Manufacturing Equipment</v>
      </c>
      <c r="B1204">
        <v>6948645</v>
      </c>
      <c r="C1204">
        <v>6976036</v>
      </c>
      <c r="E1204" t="s">
        <v>603</v>
      </c>
      <c r="H1204" t="s">
        <v>136</v>
      </c>
      <c r="I1204">
        <v>373962.17573865002</v>
      </c>
      <c r="J1204">
        <v>0</v>
      </c>
      <c r="K1204">
        <v>3.3919999999999999</v>
      </c>
      <c r="L1204">
        <v>0</v>
      </c>
      <c r="M1204">
        <v>85.594214069133713</v>
      </c>
      <c r="N1204">
        <v>0</v>
      </c>
      <c r="O1204">
        <v>0.13917072355717924</v>
      </c>
      <c r="P1204">
        <v>0.0067175225243333329</v>
      </c>
      <c r="Q1204">
        <v>0.0044169504331110178</v>
      </c>
      <c r="R1204">
        <v>2750000.0039900001</v>
      </c>
      <c r="S1204">
        <v>0</v>
      </c>
      <c r="T1204">
        <v>0</v>
      </c>
      <c r="V1204">
        <v>5400</v>
      </c>
      <c r="W1204">
        <v>10</v>
      </c>
      <c r="X1204">
        <v>85</v>
      </c>
      <c r="Y1204">
        <v>4</v>
      </c>
      <c r="Z1204">
        <v>4</v>
      </c>
      <c r="AA1204">
        <v>5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80</v>
      </c>
      <c r="AM1204">
        <v>53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70</v>
      </c>
      <c r="AU1204">
        <v>0</v>
      </c>
      <c r="AV1204">
        <v>0</v>
      </c>
    </row>
    <row r="1205" spans="1:48" ht="12.75">
      <c r="A1205" s="2" t="str">
        <f>HYPERLINK("https://ibp.a2mac1.com/costing(costing:projects/details/8191/equipment/6948646)","Manufacturing Equipment")</f>
        <v>Manufacturing Equipment</v>
      </c>
      <c r="B1205">
        <v>6948646</v>
      </c>
      <c r="C1205">
        <v>6976037</v>
      </c>
      <c r="E1205" t="s">
        <v>603</v>
      </c>
      <c r="H1205" t="s">
        <v>136</v>
      </c>
      <c r="I1205">
        <v>373962.17573865002</v>
      </c>
      <c r="J1205">
        <v>0</v>
      </c>
      <c r="K1205">
        <v>3.3919999999999999</v>
      </c>
      <c r="L1205">
        <v>0</v>
      </c>
      <c r="M1205">
        <v>85.594214069133713</v>
      </c>
      <c r="N1205">
        <v>0</v>
      </c>
      <c r="O1205">
        <v>1.0074051444356671</v>
      </c>
      <c r="P1205">
        <v>0.048625648957666669</v>
      </c>
      <c r="Q1205">
        <v>0.0044169504331110178</v>
      </c>
      <c r="R1205">
        <v>2750000.0039900001</v>
      </c>
      <c r="S1205">
        <v>0</v>
      </c>
      <c r="T1205">
        <v>0</v>
      </c>
      <c r="V1205">
        <v>5400</v>
      </c>
      <c r="W1205">
        <v>10</v>
      </c>
      <c r="X1205">
        <v>85</v>
      </c>
      <c r="Y1205">
        <v>4</v>
      </c>
      <c r="Z1205">
        <v>4</v>
      </c>
      <c r="AA1205">
        <v>5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80</v>
      </c>
      <c r="AM1205">
        <v>53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70</v>
      </c>
      <c r="AU1205">
        <v>0</v>
      </c>
      <c r="AV1205">
        <v>0</v>
      </c>
    </row>
    <row r="1206" spans="1:48" ht="12.75">
      <c r="A1206" s="2" t="str">
        <f>HYPERLINK("https://ibp.a2mac1.com/costing(costing:projects/details/8191/equipment/6948647)","Manufacturing Equipment")</f>
        <v>Manufacturing Equipment</v>
      </c>
      <c r="B1206">
        <v>6948647</v>
      </c>
      <c r="C1206">
        <v>6976038</v>
      </c>
      <c r="E1206" t="s">
        <v>603</v>
      </c>
      <c r="H1206" t="s">
        <v>136</v>
      </c>
      <c r="I1206">
        <v>373962.17573865002</v>
      </c>
      <c r="J1206">
        <v>0</v>
      </c>
      <c r="K1206">
        <v>3.3919999999999999</v>
      </c>
      <c r="L1206">
        <v>0</v>
      </c>
      <c r="M1206">
        <v>85.594214069133713</v>
      </c>
      <c r="N1206">
        <v>0</v>
      </c>
      <c r="O1206">
        <v>0.024704392273997972</v>
      </c>
      <c r="P1206">
        <v>0.0011924369386666666</v>
      </c>
      <c r="Q1206">
        <v>0.0044169504331110178</v>
      </c>
      <c r="R1206">
        <v>2750000.0039900001</v>
      </c>
      <c r="S1206">
        <v>0</v>
      </c>
      <c r="T1206">
        <v>0</v>
      </c>
      <c r="V1206">
        <v>5400</v>
      </c>
      <c r="W1206">
        <v>10</v>
      </c>
      <c r="X1206">
        <v>85</v>
      </c>
      <c r="Y1206">
        <v>4</v>
      </c>
      <c r="Z1206">
        <v>4</v>
      </c>
      <c r="AA1206">
        <v>5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80</v>
      </c>
      <c r="AM1206">
        <v>53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70</v>
      </c>
      <c r="AU1206">
        <v>0</v>
      </c>
      <c r="AV1206">
        <v>0</v>
      </c>
    </row>
    <row r="1207" spans="1:48" ht="12.75">
      <c r="A1207" s="2" t="str">
        <f>HYPERLINK("https://ibp.a2mac1.com/costing(costing:projects/details/8191/equipment/6948648)","Manufacturing Equipment")</f>
        <v>Manufacturing Equipment</v>
      </c>
      <c r="B1207">
        <v>6948648</v>
      </c>
      <c r="C1207">
        <v>6976039</v>
      </c>
      <c r="E1207" t="s">
        <v>603</v>
      </c>
      <c r="H1207" t="s">
        <v>136</v>
      </c>
      <c r="I1207">
        <v>373962.17573865002</v>
      </c>
      <c r="J1207">
        <v>0</v>
      </c>
      <c r="K1207">
        <v>3.3919999999999999</v>
      </c>
      <c r="L1207">
        <v>0</v>
      </c>
      <c r="M1207">
        <v>85.594214069133713</v>
      </c>
      <c r="N1207">
        <v>0</v>
      </c>
      <c r="O1207">
        <v>0.024442497755116997</v>
      </c>
      <c r="P1207">
        <v>0.0011797957575</v>
      </c>
      <c r="Q1207">
        <v>0.0044169504331110178</v>
      </c>
      <c r="R1207">
        <v>2750000.0039900001</v>
      </c>
      <c r="S1207">
        <v>0</v>
      </c>
      <c r="T1207">
        <v>0</v>
      </c>
      <c r="V1207">
        <v>5400</v>
      </c>
      <c r="W1207">
        <v>10</v>
      </c>
      <c r="X1207">
        <v>85</v>
      </c>
      <c r="Y1207">
        <v>4</v>
      </c>
      <c r="Z1207">
        <v>4</v>
      </c>
      <c r="AA1207">
        <v>5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80</v>
      </c>
      <c r="AM1207">
        <v>53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70</v>
      </c>
      <c r="AU1207">
        <v>0</v>
      </c>
      <c r="AV1207">
        <v>0</v>
      </c>
    </row>
    <row r="1208" spans="1:48" ht="12.75">
      <c r="A1208" s="2" t="str">
        <f>HYPERLINK("https://ibp.a2mac1.com/costing(costing:projects/details/8191/equipment/6948649)","Manufacturing Equipment")</f>
        <v>Manufacturing Equipment</v>
      </c>
      <c r="B1208">
        <v>6948649</v>
      </c>
      <c r="C1208">
        <v>6976040</v>
      </c>
      <c r="E1208" t="s">
        <v>603</v>
      </c>
      <c r="H1208" t="s">
        <v>136</v>
      </c>
      <c r="I1208">
        <v>373962.17573865002</v>
      </c>
      <c r="J1208">
        <v>0</v>
      </c>
      <c r="K1208">
        <v>3.3919999999999999</v>
      </c>
      <c r="L1208">
        <v>0</v>
      </c>
      <c r="M1208">
        <v>85.594214069133713</v>
      </c>
      <c r="N1208">
        <v>0</v>
      </c>
      <c r="O1208">
        <v>0.017987861848334199</v>
      </c>
      <c r="P1208">
        <v>0.00086824199833333338</v>
      </c>
      <c r="Q1208">
        <v>0.0044169504331110178</v>
      </c>
      <c r="R1208">
        <v>2750000.0039900001</v>
      </c>
      <c r="S1208">
        <v>0</v>
      </c>
      <c r="T1208">
        <v>0</v>
      </c>
      <c r="V1208">
        <v>5400</v>
      </c>
      <c r="W1208">
        <v>10</v>
      </c>
      <c r="X1208">
        <v>85</v>
      </c>
      <c r="Y1208">
        <v>4</v>
      </c>
      <c r="Z1208">
        <v>4</v>
      </c>
      <c r="AA1208">
        <v>5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80</v>
      </c>
      <c r="AM1208">
        <v>53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70</v>
      </c>
      <c r="AU1208">
        <v>0</v>
      </c>
      <c r="AV1208">
        <v>0</v>
      </c>
    </row>
    <row r="1209" spans="1:48" ht="12.75">
      <c r="A1209" s="2" t="str">
        <f>HYPERLINK("https://ibp.a2mac1.com/costing(costing:projects/details/8191/equipment/6948675)","Manufacturing Equipment")</f>
        <v>Manufacturing Equipment</v>
      </c>
      <c r="B1209">
        <v>6948675</v>
      </c>
      <c r="C1209">
        <v>6976041</v>
      </c>
      <c r="E1209" t="s">
        <v>603</v>
      </c>
      <c r="H1209" t="s">
        <v>136</v>
      </c>
      <c r="I1209">
        <v>373962.17573865002</v>
      </c>
      <c r="J1209">
        <v>0</v>
      </c>
      <c r="K1209">
        <v>3.3919999999999999</v>
      </c>
      <c r="L1209">
        <v>0</v>
      </c>
      <c r="M1209">
        <v>85.594214069133713</v>
      </c>
      <c r="N1209">
        <v>0</v>
      </c>
      <c r="O1209">
        <v>0.017987861848334199</v>
      </c>
      <c r="P1209">
        <v>0.00086824199833333338</v>
      </c>
      <c r="Q1209">
        <v>0.0044169504331110178</v>
      </c>
      <c r="R1209">
        <v>2750000.0039900001</v>
      </c>
      <c r="S1209">
        <v>0</v>
      </c>
      <c r="T1209">
        <v>0</v>
      </c>
      <c r="V1209">
        <v>5400</v>
      </c>
      <c r="W1209">
        <v>10</v>
      </c>
      <c r="X1209">
        <v>85</v>
      </c>
      <c r="Y1209">
        <v>4</v>
      </c>
      <c r="Z1209">
        <v>4</v>
      </c>
      <c r="AA1209">
        <v>5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80</v>
      </c>
      <c r="AM1209">
        <v>53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70</v>
      </c>
      <c r="AU1209">
        <v>0</v>
      </c>
      <c r="AV1209">
        <v>0</v>
      </c>
    </row>
    <row r="1210" spans="1:48" ht="12.75">
      <c r="A1210" s="2" t="str">
        <f>HYPERLINK("https://ibp.a2mac1.com/costing(costing:projects/details/8191/equipment/6948676)","Manufacturing Equipment")</f>
        <v>Manufacturing Equipment</v>
      </c>
      <c r="B1210">
        <v>6948676</v>
      </c>
      <c r="C1210">
        <v>6976042</v>
      </c>
      <c r="E1210" t="s">
        <v>603</v>
      </c>
      <c r="H1210" t="s">
        <v>136</v>
      </c>
      <c r="I1210">
        <v>373962.17573865002</v>
      </c>
      <c r="J1210">
        <v>0</v>
      </c>
      <c r="K1210">
        <v>3.3919999999999999</v>
      </c>
      <c r="L1210">
        <v>0</v>
      </c>
      <c r="M1210">
        <v>85.594214069133713</v>
      </c>
      <c r="N1210">
        <v>0</v>
      </c>
      <c r="O1210">
        <v>0.0061760980684994931</v>
      </c>
      <c r="P1210">
        <v>0.00029810923466666665</v>
      </c>
      <c r="Q1210">
        <v>0.0044169504331110178</v>
      </c>
      <c r="R1210">
        <v>2750000.0039900001</v>
      </c>
      <c r="S1210">
        <v>0</v>
      </c>
      <c r="T1210">
        <v>0</v>
      </c>
      <c r="V1210">
        <v>5400</v>
      </c>
      <c r="W1210">
        <v>10</v>
      </c>
      <c r="X1210">
        <v>85</v>
      </c>
      <c r="Y1210">
        <v>4</v>
      </c>
      <c r="Z1210">
        <v>4</v>
      </c>
      <c r="AA1210">
        <v>5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80</v>
      </c>
      <c r="AM1210">
        <v>53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70</v>
      </c>
      <c r="AU1210">
        <v>0</v>
      </c>
      <c r="AV1210">
        <v>0</v>
      </c>
    </row>
    <row r="1211" spans="1:48" ht="12.75">
      <c r="A1211" s="2" t="str">
        <f>HYPERLINK("https://ibp.a2mac1.com/costing(costing:projects/details/8191/equipment/6948677)","Manufacturing Equipment")</f>
        <v>Manufacturing Equipment</v>
      </c>
      <c r="B1211">
        <v>6948677</v>
      </c>
      <c r="C1211">
        <v>6976043</v>
      </c>
      <c r="E1211" t="s">
        <v>603</v>
      </c>
      <c r="H1211" t="s">
        <v>136</v>
      </c>
      <c r="I1211">
        <v>373962.17573865002</v>
      </c>
      <c r="J1211">
        <v>0</v>
      </c>
      <c r="K1211">
        <v>3.3919999999999999</v>
      </c>
      <c r="L1211">
        <v>0</v>
      </c>
      <c r="M1211">
        <v>85.594214069133713</v>
      </c>
      <c r="N1211">
        <v>0</v>
      </c>
      <c r="O1211">
        <v>0.017987861848334199</v>
      </c>
      <c r="P1211">
        <v>0.00086824199833333338</v>
      </c>
      <c r="Q1211">
        <v>0.0044169504331110178</v>
      </c>
      <c r="R1211">
        <v>2750000.0039900001</v>
      </c>
      <c r="S1211">
        <v>0</v>
      </c>
      <c r="T1211">
        <v>0</v>
      </c>
      <c r="V1211">
        <v>5400</v>
      </c>
      <c r="W1211">
        <v>10</v>
      </c>
      <c r="X1211">
        <v>85</v>
      </c>
      <c r="Y1211">
        <v>4</v>
      </c>
      <c r="Z1211">
        <v>4</v>
      </c>
      <c r="AA1211">
        <v>5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1</v>
      </c>
      <c r="AJ1211">
        <v>0</v>
      </c>
      <c r="AK1211">
        <v>0</v>
      </c>
      <c r="AL1211">
        <v>80</v>
      </c>
      <c r="AM1211">
        <v>53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70</v>
      </c>
      <c r="AU1211">
        <v>0</v>
      </c>
      <c r="AV1211">
        <v>0</v>
      </c>
    </row>
    <row r="1212" spans="1:48" ht="12.75">
      <c r="A1212" s="2" t="str">
        <f>HYPERLINK("https://ibp.a2mac1.com/costing(costing:projects/details/8191/equipment/6948678)","Manufacturing Equipment")</f>
        <v>Manufacturing Equipment</v>
      </c>
      <c r="B1212">
        <v>6948678</v>
      </c>
      <c r="C1212">
        <v>6976044</v>
      </c>
      <c r="E1212" t="s">
        <v>603</v>
      </c>
      <c r="H1212" t="s">
        <v>136</v>
      </c>
      <c r="I1212">
        <v>373962.17573865002</v>
      </c>
      <c r="J1212">
        <v>0</v>
      </c>
      <c r="K1212">
        <v>3.3919999999999999</v>
      </c>
      <c r="L1212">
        <v>0</v>
      </c>
      <c r="M1212">
        <v>85.594214069133713</v>
      </c>
      <c r="N1212">
        <v>0</v>
      </c>
      <c r="O1212">
        <v>0.034792740329721246</v>
      </c>
      <c r="P1212">
        <v>0.0016793835001666668</v>
      </c>
      <c r="Q1212">
        <v>0.0044169504331110178</v>
      </c>
      <c r="R1212">
        <v>2750000.0039900001</v>
      </c>
      <c r="S1212">
        <v>0</v>
      </c>
      <c r="T1212">
        <v>0</v>
      </c>
      <c r="V1212">
        <v>5400</v>
      </c>
      <c r="W1212">
        <v>10</v>
      </c>
      <c r="X1212">
        <v>85</v>
      </c>
      <c r="Y1212">
        <v>4</v>
      </c>
      <c r="Z1212">
        <v>4</v>
      </c>
      <c r="AA1212">
        <v>5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80</v>
      </c>
      <c r="AM1212">
        <v>53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70</v>
      </c>
      <c r="AU1212">
        <v>0</v>
      </c>
      <c r="AV1212">
        <v>0</v>
      </c>
    </row>
    <row r="1213" spans="1:48" ht="12.75">
      <c r="A1213" s="2" t="str">
        <f>HYPERLINK("https://ibp.a2mac1.com/costing(costing:projects/details/8191/equipment/6948679)","Manufacturing Equipment")</f>
        <v>Manufacturing Equipment</v>
      </c>
      <c r="B1213">
        <v>6948679</v>
      </c>
      <c r="C1213">
        <v>6976045</v>
      </c>
      <c r="E1213" t="s">
        <v>603</v>
      </c>
      <c r="H1213" t="s">
        <v>136</v>
      </c>
      <c r="I1213">
        <v>373962.17573865002</v>
      </c>
      <c r="J1213">
        <v>0</v>
      </c>
      <c r="K1213">
        <v>3.3919999999999999</v>
      </c>
      <c r="L1213">
        <v>0</v>
      </c>
      <c r="M1213">
        <v>85.594214069133713</v>
      </c>
      <c r="N1213">
        <v>0</v>
      </c>
      <c r="O1213">
        <v>0.017987861848334199</v>
      </c>
      <c r="P1213">
        <v>0.00086824199833333338</v>
      </c>
      <c r="Q1213">
        <v>0.0044169504331110178</v>
      </c>
      <c r="R1213">
        <v>2750000.0039900001</v>
      </c>
      <c r="S1213">
        <v>0</v>
      </c>
      <c r="T1213">
        <v>0</v>
      </c>
      <c r="V1213">
        <v>5400</v>
      </c>
      <c r="W1213">
        <v>10</v>
      </c>
      <c r="X1213">
        <v>85</v>
      </c>
      <c r="Y1213">
        <v>4</v>
      </c>
      <c r="Z1213">
        <v>4</v>
      </c>
      <c r="AA1213">
        <v>5</v>
      </c>
      <c r="AB1213">
        <v>0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80</v>
      </c>
      <c r="AM1213">
        <v>53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70</v>
      </c>
      <c r="AU1213">
        <v>0</v>
      </c>
      <c r="AV1213">
        <v>0</v>
      </c>
    </row>
    <row r="1214" spans="1:48" ht="12.75">
      <c r="A1214" s="2" t="str">
        <f>HYPERLINK("https://ibp.a2mac1.com/costing(costing:projects/details/8191/equipment/6948680)","Manufacturing Equipment")</f>
        <v>Manufacturing Equipment</v>
      </c>
      <c r="B1214">
        <v>6948680</v>
      </c>
      <c r="C1214">
        <v>6976046</v>
      </c>
      <c r="E1214" t="s">
        <v>603</v>
      </c>
      <c r="H1214" t="s">
        <v>136</v>
      </c>
      <c r="I1214">
        <v>373962.17573865002</v>
      </c>
      <c r="J1214">
        <v>0</v>
      </c>
      <c r="K1214">
        <v>3.3919999999999999</v>
      </c>
      <c r="L1214">
        <v>0</v>
      </c>
      <c r="M1214">
        <v>85.594214069133713</v>
      </c>
      <c r="N1214">
        <v>0</v>
      </c>
      <c r="O1214">
        <v>0.017987861848334199</v>
      </c>
      <c r="P1214">
        <v>0.00086824199833333338</v>
      </c>
      <c r="Q1214">
        <v>0.0044169504331110178</v>
      </c>
      <c r="R1214">
        <v>2750000.0039900001</v>
      </c>
      <c r="S1214">
        <v>0</v>
      </c>
      <c r="T1214">
        <v>0</v>
      </c>
      <c r="V1214">
        <v>5400</v>
      </c>
      <c r="W1214">
        <v>10</v>
      </c>
      <c r="X1214">
        <v>85</v>
      </c>
      <c r="Y1214">
        <v>4</v>
      </c>
      <c r="Z1214">
        <v>4</v>
      </c>
      <c r="AA1214">
        <v>5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80</v>
      </c>
      <c r="AM1214">
        <v>53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70</v>
      </c>
      <c r="AU1214">
        <v>0</v>
      </c>
      <c r="AV1214">
        <v>0</v>
      </c>
    </row>
    <row r="1215" spans="1:48" ht="12.75">
      <c r="A1215" s="2" t="str">
        <f>HYPERLINK("https://ibp.a2mac1.com/costing(costing:projects/details/8191/equipment/6948681)","Manufacturing Equipment")</f>
        <v>Manufacturing Equipment</v>
      </c>
      <c r="B1215">
        <v>6948681</v>
      </c>
      <c r="C1215">
        <v>6976047</v>
      </c>
      <c r="E1215" t="s">
        <v>603</v>
      </c>
      <c r="H1215" t="s">
        <v>136</v>
      </c>
      <c r="I1215">
        <v>373962.17573865002</v>
      </c>
      <c r="J1215">
        <v>0</v>
      </c>
      <c r="K1215">
        <v>3.3919999999999999</v>
      </c>
      <c r="L1215">
        <v>0</v>
      </c>
      <c r="M1215">
        <v>85.594214069133713</v>
      </c>
      <c r="N1215">
        <v>0</v>
      </c>
      <c r="O1215">
        <v>0.15984553044216698</v>
      </c>
      <c r="P1215">
        <v>0.0077154585656666668</v>
      </c>
      <c r="Q1215">
        <v>0.0044169504331110178</v>
      </c>
      <c r="R1215">
        <v>2750000.0039900001</v>
      </c>
      <c r="S1215">
        <v>0</v>
      </c>
      <c r="T1215">
        <v>0</v>
      </c>
      <c r="V1215">
        <v>5400</v>
      </c>
      <c r="W1215">
        <v>10</v>
      </c>
      <c r="X1215">
        <v>85</v>
      </c>
      <c r="Y1215">
        <v>4</v>
      </c>
      <c r="Z1215">
        <v>4</v>
      </c>
      <c r="AA1215">
        <v>5</v>
      </c>
      <c r="AB1215">
        <v>0</v>
      </c>
      <c r="AC1215">
        <v>0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80</v>
      </c>
      <c r="AM1215">
        <v>53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70</v>
      </c>
      <c r="AU1215">
        <v>0</v>
      </c>
      <c r="AV1215">
        <v>0</v>
      </c>
    </row>
    <row r="1216" spans="1:48" ht="12.75">
      <c r="A1216" s="2" t="str">
        <f>HYPERLINK("https://ibp.a2mac1.com/costing(costing:projects/details/8191/equipment/6948682)","Manufacturing Equipment")</f>
        <v>Manufacturing Equipment</v>
      </c>
      <c r="B1216">
        <v>6948682</v>
      </c>
      <c r="C1216">
        <v>6976048</v>
      </c>
      <c r="E1216" t="s">
        <v>603</v>
      </c>
      <c r="H1216" t="s">
        <v>136</v>
      </c>
      <c r="I1216">
        <v>373962.17573865002</v>
      </c>
      <c r="J1216">
        <v>0</v>
      </c>
      <c r="K1216">
        <v>3.3919999999999999</v>
      </c>
      <c r="L1216">
        <v>0</v>
      </c>
      <c r="M1216">
        <v>85.594214069133713</v>
      </c>
      <c r="N1216">
        <v>0</v>
      </c>
      <c r="O1216">
        <v>0.039961323170115311</v>
      </c>
      <c r="P1216">
        <v>0.0019288617723333334</v>
      </c>
      <c r="Q1216">
        <v>0.0044169504331110178</v>
      </c>
      <c r="R1216">
        <v>2750000.0039900001</v>
      </c>
      <c r="S1216">
        <v>0</v>
      </c>
      <c r="T1216">
        <v>0</v>
      </c>
      <c r="V1216">
        <v>5400</v>
      </c>
      <c r="W1216">
        <v>10</v>
      </c>
      <c r="X1216">
        <v>85</v>
      </c>
      <c r="Y1216">
        <v>4</v>
      </c>
      <c r="Z1216">
        <v>4</v>
      </c>
      <c r="AA1216">
        <v>5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>
        <v>80</v>
      </c>
      <c r="AM1216">
        <v>53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70</v>
      </c>
      <c r="AU1216">
        <v>0</v>
      </c>
      <c r="AV1216">
        <v>0</v>
      </c>
    </row>
    <row r="1217" spans="1:48" ht="12.75">
      <c r="A1217" s="2" t="str">
        <f>HYPERLINK("https://ibp.a2mac1.com/costing(costing:projects/details/8191/equipment/6948683)","Manufacturing Equipment")</f>
        <v>Manufacturing Equipment</v>
      </c>
      <c r="B1217">
        <v>6948683</v>
      </c>
      <c r="C1217">
        <v>6976049</v>
      </c>
      <c r="E1217" t="s">
        <v>603</v>
      </c>
      <c r="H1217" t="s">
        <v>136</v>
      </c>
      <c r="I1217">
        <v>373962.17573865002</v>
      </c>
      <c r="J1217">
        <v>0</v>
      </c>
      <c r="K1217">
        <v>3.3919999999999999</v>
      </c>
      <c r="L1217">
        <v>0</v>
      </c>
      <c r="M1217">
        <v>85.594214069133713</v>
      </c>
      <c r="N1217">
        <v>0</v>
      </c>
      <c r="O1217">
        <v>0.13917072355717924</v>
      </c>
      <c r="P1217">
        <v>0.0067175225243333329</v>
      </c>
      <c r="Q1217">
        <v>0.0044169504331110178</v>
      </c>
      <c r="R1217">
        <v>2750000.0039900001</v>
      </c>
      <c r="S1217">
        <v>0</v>
      </c>
      <c r="T1217">
        <v>0</v>
      </c>
      <c r="V1217">
        <v>5400</v>
      </c>
      <c r="W1217">
        <v>10</v>
      </c>
      <c r="X1217">
        <v>85</v>
      </c>
      <c r="Y1217">
        <v>4</v>
      </c>
      <c r="Z1217">
        <v>4</v>
      </c>
      <c r="AA1217">
        <v>5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80</v>
      </c>
      <c r="AM1217">
        <v>53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70</v>
      </c>
      <c r="AU1217">
        <v>0</v>
      </c>
      <c r="AV1217">
        <v>0</v>
      </c>
    </row>
    <row r="1218" spans="1:48" ht="12.75">
      <c r="A1218" s="2" t="str">
        <f>HYPERLINK("https://ibp.a2mac1.com/costing(costing:projects/details/8191/equipment/6948684)","Manufacturing Equipment")</f>
        <v>Manufacturing Equipment</v>
      </c>
      <c r="B1218">
        <v>6948684</v>
      </c>
      <c r="C1218">
        <v>6976050</v>
      </c>
      <c r="E1218" t="s">
        <v>603</v>
      </c>
      <c r="H1218" t="s">
        <v>136</v>
      </c>
      <c r="I1218">
        <v>373962.17573865002</v>
      </c>
      <c r="J1218">
        <v>0</v>
      </c>
      <c r="K1218">
        <v>3.3919999999999999</v>
      </c>
      <c r="L1218">
        <v>0</v>
      </c>
      <c r="M1218">
        <v>85.594214069133713</v>
      </c>
      <c r="N1218">
        <v>0</v>
      </c>
      <c r="O1218">
        <v>0.13917072355717924</v>
      </c>
      <c r="P1218">
        <v>0.0067175225243333329</v>
      </c>
      <c r="Q1218">
        <v>0.0044169504331110178</v>
      </c>
      <c r="R1218">
        <v>2750000.0039900001</v>
      </c>
      <c r="S1218">
        <v>0</v>
      </c>
      <c r="T1218">
        <v>0</v>
      </c>
      <c r="V1218">
        <v>5400</v>
      </c>
      <c r="W1218">
        <v>10</v>
      </c>
      <c r="X1218">
        <v>85</v>
      </c>
      <c r="Y1218">
        <v>4</v>
      </c>
      <c r="Z1218">
        <v>4</v>
      </c>
      <c r="AA1218">
        <v>5</v>
      </c>
      <c r="AB1218">
        <v>0</v>
      </c>
      <c r="AC1218">
        <v>0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>
        <v>1</v>
      </c>
      <c r="AJ1218">
        <v>0</v>
      </c>
      <c r="AK1218">
        <v>0</v>
      </c>
      <c r="AL1218">
        <v>80</v>
      </c>
      <c r="AM1218">
        <v>53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70</v>
      </c>
      <c r="AU1218">
        <v>0</v>
      </c>
      <c r="AV1218">
        <v>0</v>
      </c>
    </row>
    <row r="1219" spans="1:48" ht="12.75">
      <c r="A1219" s="2" t="str">
        <f>HYPERLINK("https://ibp.a2mac1.com/costing(costing:projects/details/8191/equipment/6948685)","Manufacturing Equipment")</f>
        <v>Manufacturing Equipment</v>
      </c>
      <c r="B1219">
        <v>6948685</v>
      </c>
      <c r="C1219">
        <v>6976051</v>
      </c>
      <c r="E1219" t="s">
        <v>603</v>
      </c>
      <c r="H1219" t="s">
        <v>136</v>
      </c>
      <c r="I1219">
        <v>373962.17573865002</v>
      </c>
      <c r="J1219">
        <v>0</v>
      </c>
      <c r="K1219">
        <v>3.3919999999999999</v>
      </c>
      <c r="L1219">
        <v>0</v>
      </c>
      <c r="M1219">
        <v>85.594214069133713</v>
      </c>
      <c r="N1219">
        <v>0</v>
      </c>
      <c r="O1219">
        <v>0.024704392273997972</v>
      </c>
      <c r="P1219">
        <v>0.0011924369386666666</v>
      </c>
      <c r="Q1219">
        <v>0.0044169504331110178</v>
      </c>
      <c r="R1219">
        <v>2750000.0039900001</v>
      </c>
      <c r="S1219">
        <v>0</v>
      </c>
      <c r="T1219">
        <v>0</v>
      </c>
      <c r="V1219">
        <v>5400</v>
      </c>
      <c r="W1219">
        <v>10</v>
      </c>
      <c r="X1219">
        <v>85</v>
      </c>
      <c r="Y1219">
        <v>4</v>
      </c>
      <c r="Z1219">
        <v>4</v>
      </c>
      <c r="AA1219">
        <v>5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80</v>
      </c>
      <c r="AM1219">
        <v>53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70</v>
      </c>
      <c r="AU1219">
        <v>0</v>
      </c>
      <c r="AV1219">
        <v>0</v>
      </c>
    </row>
    <row r="1220" spans="1:48" ht="12.75">
      <c r="A1220" s="2" t="str">
        <f>HYPERLINK("https://ibp.a2mac1.com/costing(costing:projects/details/8191/equipment/6948686)","Manufacturing Equipment")</f>
        <v>Manufacturing Equipment</v>
      </c>
      <c r="B1220">
        <v>6948686</v>
      </c>
      <c r="C1220">
        <v>6976052</v>
      </c>
      <c r="E1220" t="s">
        <v>603</v>
      </c>
      <c r="H1220" t="s">
        <v>136</v>
      </c>
      <c r="I1220">
        <v>373962.17573865002</v>
      </c>
      <c r="J1220">
        <v>0</v>
      </c>
      <c r="K1220">
        <v>3.3919999999999999</v>
      </c>
      <c r="L1220">
        <v>0</v>
      </c>
      <c r="M1220">
        <v>85.594214069133713</v>
      </c>
      <c r="N1220">
        <v>0</v>
      </c>
      <c r="O1220">
        <v>0.024704392273997972</v>
      </c>
      <c r="P1220">
        <v>0.0011924369386666666</v>
      </c>
      <c r="Q1220">
        <v>0.0044169504331110178</v>
      </c>
      <c r="R1220">
        <v>2750000.0039900001</v>
      </c>
      <c r="S1220">
        <v>0</v>
      </c>
      <c r="T1220">
        <v>0</v>
      </c>
      <c r="V1220">
        <v>5400</v>
      </c>
      <c r="W1220">
        <v>10</v>
      </c>
      <c r="X1220">
        <v>85</v>
      </c>
      <c r="Y1220">
        <v>4</v>
      </c>
      <c r="Z1220">
        <v>4</v>
      </c>
      <c r="AA1220">
        <v>5</v>
      </c>
      <c r="AB1220">
        <v>0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80</v>
      </c>
      <c r="AM1220">
        <v>53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70</v>
      </c>
      <c r="AU1220">
        <v>0</v>
      </c>
      <c r="AV1220">
        <v>0</v>
      </c>
    </row>
    <row r="1221" spans="1:48" ht="12.75">
      <c r="A1221" s="2" t="str">
        <f>HYPERLINK("https://ibp.a2mac1.com/costing(costing:projects/details/8191/equipment/6948687)","Manufacturing Equipment")</f>
        <v>Manufacturing Equipment</v>
      </c>
      <c r="B1221">
        <v>6948687</v>
      </c>
      <c r="C1221">
        <v>6976053</v>
      </c>
      <c r="E1221" t="s">
        <v>603</v>
      </c>
      <c r="H1221" t="s">
        <v>136</v>
      </c>
      <c r="I1221">
        <v>373962.17573865002</v>
      </c>
      <c r="J1221">
        <v>0</v>
      </c>
      <c r="K1221">
        <v>3.3919999999999999</v>
      </c>
      <c r="L1221">
        <v>0</v>
      </c>
      <c r="M1221">
        <v>85.594214069133713</v>
      </c>
      <c r="N1221">
        <v>0</v>
      </c>
      <c r="O1221">
        <v>0.017987861848334199</v>
      </c>
      <c r="P1221">
        <v>0.00086824199833333338</v>
      </c>
      <c r="Q1221">
        <v>0.0044169504331110178</v>
      </c>
      <c r="R1221">
        <v>2750000.0039900001</v>
      </c>
      <c r="S1221">
        <v>0</v>
      </c>
      <c r="T1221">
        <v>0</v>
      </c>
      <c r="V1221">
        <v>5400</v>
      </c>
      <c r="W1221">
        <v>10</v>
      </c>
      <c r="X1221">
        <v>85</v>
      </c>
      <c r="Y1221">
        <v>4</v>
      </c>
      <c r="Z1221">
        <v>4</v>
      </c>
      <c r="AA1221">
        <v>5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80</v>
      </c>
      <c r="AM1221">
        <v>53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70</v>
      </c>
      <c r="AU1221">
        <v>0</v>
      </c>
      <c r="AV1221">
        <v>0</v>
      </c>
    </row>
    <row r="1222" spans="1:48" ht="12.75">
      <c r="A1222" s="2" t="str">
        <f>HYPERLINK("https://ibp.a2mac1.com/costing(costing:projects/details/8191/equipment/6948688)","Manufacturing Equipment")</f>
        <v>Manufacturing Equipment</v>
      </c>
      <c r="B1222">
        <v>6948688</v>
      </c>
      <c r="C1222">
        <v>6976054</v>
      </c>
      <c r="E1222" t="s">
        <v>603</v>
      </c>
      <c r="H1222" t="s">
        <v>136</v>
      </c>
      <c r="I1222">
        <v>373962.17573865002</v>
      </c>
      <c r="J1222">
        <v>0</v>
      </c>
      <c r="K1222">
        <v>3.3919999999999999</v>
      </c>
      <c r="L1222">
        <v>0</v>
      </c>
      <c r="M1222">
        <v>85.594214069133713</v>
      </c>
      <c r="N1222">
        <v>0</v>
      </c>
      <c r="O1222">
        <v>0.017987861848334199</v>
      </c>
      <c r="P1222">
        <v>0.00086824199833333338</v>
      </c>
      <c r="Q1222">
        <v>0.0044169504331110178</v>
      </c>
      <c r="R1222">
        <v>2750000.0039900001</v>
      </c>
      <c r="S1222">
        <v>0</v>
      </c>
      <c r="T1222">
        <v>0</v>
      </c>
      <c r="V1222">
        <v>5400</v>
      </c>
      <c r="W1222">
        <v>10</v>
      </c>
      <c r="X1222">
        <v>85</v>
      </c>
      <c r="Y1222">
        <v>4</v>
      </c>
      <c r="Z1222">
        <v>4</v>
      </c>
      <c r="AA1222">
        <v>5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80</v>
      </c>
      <c r="AM1222">
        <v>53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70</v>
      </c>
      <c r="AU1222">
        <v>0</v>
      </c>
      <c r="AV1222">
        <v>0</v>
      </c>
    </row>
    <row r="1223" spans="1:48" ht="12.75">
      <c r="A1223" s="2" t="str">
        <f>HYPERLINK("https://ibp.a2mac1.com/costing(costing:projects/details/8191/equipment/6948689)","Manufacturing Equipment")</f>
        <v>Manufacturing Equipment</v>
      </c>
      <c r="B1223">
        <v>6948689</v>
      </c>
      <c r="C1223">
        <v>6976055</v>
      </c>
      <c r="E1223" t="s">
        <v>603</v>
      </c>
      <c r="H1223" t="s">
        <v>136</v>
      </c>
      <c r="I1223">
        <v>373962.17573865002</v>
      </c>
      <c r="J1223">
        <v>0</v>
      </c>
      <c r="K1223">
        <v>3.3919999999999999</v>
      </c>
      <c r="L1223">
        <v>0</v>
      </c>
      <c r="M1223">
        <v>85.594214069133713</v>
      </c>
      <c r="N1223">
        <v>0</v>
      </c>
      <c r="O1223">
        <v>0.054033487486492386</v>
      </c>
      <c r="P1223">
        <v>0.0026081000370000002</v>
      </c>
      <c r="Q1223">
        <v>0.0044169504331110178</v>
      </c>
      <c r="R1223">
        <v>2750000.0039900001</v>
      </c>
      <c r="S1223">
        <v>0</v>
      </c>
      <c r="T1223">
        <v>0</v>
      </c>
      <c r="V1223">
        <v>5400</v>
      </c>
      <c r="W1223">
        <v>10</v>
      </c>
      <c r="X1223">
        <v>85</v>
      </c>
      <c r="Y1223">
        <v>4</v>
      </c>
      <c r="Z1223">
        <v>4</v>
      </c>
      <c r="AA1223">
        <v>5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80</v>
      </c>
      <c r="AM1223">
        <v>53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70</v>
      </c>
      <c r="AU1223">
        <v>0</v>
      </c>
      <c r="AV1223">
        <v>0</v>
      </c>
    </row>
    <row r="1224" spans="1:48" ht="12.75">
      <c r="A1224" s="2" t="str">
        <f>HYPERLINK("https://ibp.a2mac1.com/costing(costing:projects/details/8191/equipment/6948690)","Manufacturing Equipment")</f>
        <v>Manufacturing Equipment</v>
      </c>
      <c r="B1224">
        <v>6948690</v>
      </c>
      <c r="C1224">
        <v>6976056</v>
      </c>
      <c r="E1224" t="s">
        <v>603</v>
      </c>
      <c r="H1224" t="s">
        <v>136</v>
      </c>
      <c r="I1224">
        <v>373962.17573865002</v>
      </c>
      <c r="J1224">
        <v>0</v>
      </c>
      <c r="K1224">
        <v>3.3919999999999999</v>
      </c>
      <c r="L1224">
        <v>0</v>
      </c>
      <c r="M1224">
        <v>85.594214069133713</v>
      </c>
      <c r="N1224">
        <v>0</v>
      </c>
      <c r="O1224">
        <v>0.0051629954403089968</v>
      </c>
      <c r="P1224">
        <v>0.00024920857833333332</v>
      </c>
      <c r="Q1224">
        <v>0.0044169504331110178</v>
      </c>
      <c r="R1224">
        <v>2750000.0039900001</v>
      </c>
      <c r="S1224">
        <v>0</v>
      </c>
      <c r="T1224">
        <v>0</v>
      </c>
      <c r="V1224">
        <v>5400</v>
      </c>
      <c r="W1224">
        <v>10</v>
      </c>
      <c r="X1224">
        <v>85</v>
      </c>
      <c r="Y1224">
        <v>4</v>
      </c>
      <c r="Z1224">
        <v>4</v>
      </c>
      <c r="AA1224">
        <v>5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80</v>
      </c>
      <c r="AM1224">
        <v>53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70</v>
      </c>
      <c r="AU1224">
        <v>0</v>
      </c>
      <c r="AV1224">
        <v>0</v>
      </c>
    </row>
    <row r="1225" spans="1:48" ht="12.75">
      <c r="A1225" s="2" t="str">
        <f>HYPERLINK("https://ibp.a2mac1.com/costing(costing:projects/details/8191/equipment/6948691)","Manufacturing Equipment")</f>
        <v>Manufacturing Equipment</v>
      </c>
      <c r="B1225">
        <v>6948691</v>
      </c>
      <c r="C1225">
        <v>6976057</v>
      </c>
      <c r="E1225" t="s">
        <v>603</v>
      </c>
      <c r="H1225" t="s">
        <v>136</v>
      </c>
      <c r="I1225">
        <v>373962.17573865002</v>
      </c>
      <c r="J1225">
        <v>0</v>
      </c>
      <c r="K1225">
        <v>3.3919999999999999</v>
      </c>
      <c r="L1225">
        <v>0</v>
      </c>
      <c r="M1225">
        <v>85.594214069133713</v>
      </c>
      <c r="N1225">
        <v>0</v>
      </c>
      <c r="O1225">
        <v>0.0061760980684994931</v>
      </c>
      <c r="P1225">
        <v>0.00029810923466666665</v>
      </c>
      <c r="Q1225">
        <v>0.0044169504331110178</v>
      </c>
      <c r="R1225">
        <v>2750000.0039900001</v>
      </c>
      <c r="S1225">
        <v>0</v>
      </c>
      <c r="T1225">
        <v>0</v>
      </c>
      <c r="V1225">
        <v>5400</v>
      </c>
      <c r="W1225">
        <v>10</v>
      </c>
      <c r="X1225">
        <v>85</v>
      </c>
      <c r="Y1225">
        <v>4</v>
      </c>
      <c r="Z1225">
        <v>4</v>
      </c>
      <c r="AA1225">
        <v>5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80</v>
      </c>
      <c r="AM1225">
        <v>53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70</v>
      </c>
      <c r="AU1225">
        <v>0</v>
      </c>
      <c r="AV1225">
        <v>0</v>
      </c>
    </row>
    <row r="1226" spans="1:48" ht="12.75">
      <c r="A1226" s="2" t="str">
        <f>HYPERLINK("https://ibp.a2mac1.com/costing(costing:projects/details/8191/equipment/6948692)","Manufacturing Equipment")</f>
        <v>Manufacturing Equipment</v>
      </c>
      <c r="B1226">
        <v>6948692</v>
      </c>
      <c r="C1226">
        <v>6976058</v>
      </c>
      <c r="E1226" t="s">
        <v>603</v>
      </c>
      <c r="H1226" t="s">
        <v>136</v>
      </c>
      <c r="I1226">
        <v>373962.17573865002</v>
      </c>
      <c r="J1226">
        <v>0</v>
      </c>
      <c r="K1226">
        <v>3.3919999999999999</v>
      </c>
      <c r="L1226">
        <v>0</v>
      </c>
      <c r="M1226">
        <v>85.594214069133713</v>
      </c>
      <c r="N1226">
        <v>0</v>
      </c>
      <c r="O1226">
        <v>0.034792740329721246</v>
      </c>
      <c r="P1226">
        <v>0.0016793835001666668</v>
      </c>
      <c r="Q1226">
        <v>0.0044169504331110178</v>
      </c>
      <c r="R1226">
        <v>2750000.0039900001</v>
      </c>
      <c r="S1226">
        <v>0</v>
      </c>
      <c r="T1226">
        <v>0</v>
      </c>
      <c r="V1226">
        <v>5400</v>
      </c>
      <c r="W1226">
        <v>10</v>
      </c>
      <c r="X1226">
        <v>85</v>
      </c>
      <c r="Y1226">
        <v>4</v>
      </c>
      <c r="Z1226">
        <v>4</v>
      </c>
      <c r="AA1226">
        <v>5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80</v>
      </c>
      <c r="AM1226">
        <v>53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70</v>
      </c>
      <c r="AU1226">
        <v>0</v>
      </c>
      <c r="AV1226">
        <v>0</v>
      </c>
    </row>
    <row r="1227" spans="1:48" ht="12.75">
      <c r="A1227" s="2" t="str">
        <f>HYPERLINK("https://ibp.a2mac1.com/costing(costing:projects/details/8191/equipment/6948693)","Manufacturing Equipment")</f>
        <v>Manufacturing Equipment</v>
      </c>
      <c r="B1227">
        <v>6948693</v>
      </c>
      <c r="C1227">
        <v>6976059</v>
      </c>
      <c r="E1227" t="s">
        <v>603</v>
      </c>
      <c r="H1227" t="s">
        <v>136</v>
      </c>
      <c r="I1227">
        <v>373962.17573865002</v>
      </c>
      <c r="J1227">
        <v>0</v>
      </c>
      <c r="K1227">
        <v>3.3919999999999999</v>
      </c>
      <c r="L1227">
        <v>0</v>
      </c>
      <c r="M1227">
        <v>85.594214069133713</v>
      </c>
      <c r="N1227">
        <v>0</v>
      </c>
      <c r="O1227">
        <v>0.039961323170115311</v>
      </c>
      <c r="P1227">
        <v>0.0019288617723333334</v>
      </c>
      <c r="Q1227">
        <v>0.0044169504331110178</v>
      </c>
      <c r="R1227">
        <v>2750000.0039900001</v>
      </c>
      <c r="S1227">
        <v>0</v>
      </c>
      <c r="T1227">
        <v>0</v>
      </c>
      <c r="V1227">
        <v>5400</v>
      </c>
      <c r="W1227">
        <v>10</v>
      </c>
      <c r="X1227">
        <v>85</v>
      </c>
      <c r="Y1227">
        <v>4</v>
      </c>
      <c r="Z1227">
        <v>4</v>
      </c>
      <c r="AA1227">
        <v>5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80</v>
      </c>
      <c r="AM1227">
        <v>53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70</v>
      </c>
      <c r="AU1227">
        <v>0</v>
      </c>
      <c r="AV1227">
        <v>0</v>
      </c>
    </row>
    <row r="1228" spans="1:48" ht="12.75">
      <c r="A1228" s="2" t="str">
        <f>HYPERLINK("https://ibp.a2mac1.com/costing(costing:projects/details/8191/equipment/6948694)","Manufacturing Equipment")</f>
        <v>Manufacturing Equipment</v>
      </c>
      <c r="B1228">
        <v>6948694</v>
      </c>
      <c r="C1228">
        <v>6976060</v>
      </c>
      <c r="E1228" t="s">
        <v>603</v>
      </c>
      <c r="H1228" t="s">
        <v>136</v>
      </c>
      <c r="I1228">
        <v>373962.17573865002</v>
      </c>
      <c r="J1228">
        <v>0</v>
      </c>
      <c r="K1228">
        <v>3.3919999999999999</v>
      </c>
      <c r="L1228">
        <v>0</v>
      </c>
      <c r="M1228">
        <v>85.594214069133713</v>
      </c>
      <c r="N1228">
        <v>0</v>
      </c>
      <c r="O1228">
        <v>0.52545336970218204</v>
      </c>
      <c r="P1228">
        <v>0.025362696666666667</v>
      </c>
      <c r="Q1228">
        <v>0.0044169504331110178</v>
      </c>
      <c r="R1228">
        <v>2750000.0039900001</v>
      </c>
      <c r="S1228">
        <v>0</v>
      </c>
      <c r="T1228">
        <v>0</v>
      </c>
      <c r="V1228">
        <v>5400</v>
      </c>
      <c r="W1228">
        <v>10</v>
      </c>
      <c r="X1228">
        <v>85</v>
      </c>
      <c r="Y1228">
        <v>4</v>
      </c>
      <c r="Z1228">
        <v>4</v>
      </c>
      <c r="AA1228">
        <v>5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1</v>
      </c>
      <c r="AJ1228">
        <v>0</v>
      </c>
      <c r="AK1228">
        <v>0</v>
      </c>
      <c r="AL1228">
        <v>80</v>
      </c>
      <c r="AM1228">
        <v>53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70</v>
      </c>
      <c r="AU1228">
        <v>0</v>
      </c>
      <c r="AV1228">
        <v>0</v>
      </c>
    </row>
    <row r="1229" spans="1:48" ht="12.75">
      <c r="A1229" s="2" t="str">
        <f>HYPERLINK("https://ibp.a2mac1.com/costing(costing:projects/details/8191/equipment/6948695)","Manufacturing Equipment")</f>
        <v>Manufacturing Equipment</v>
      </c>
      <c r="B1229">
        <v>6948695</v>
      </c>
      <c r="C1229">
        <v>6976061</v>
      </c>
      <c r="E1229" t="s">
        <v>603</v>
      </c>
      <c r="H1229" t="s">
        <v>136</v>
      </c>
      <c r="I1229">
        <v>373962.17573865002</v>
      </c>
      <c r="J1229">
        <v>0</v>
      </c>
      <c r="K1229">
        <v>3.3919999999999999</v>
      </c>
      <c r="L1229">
        <v>0</v>
      </c>
      <c r="M1229">
        <v>85.594214069133713</v>
      </c>
      <c r="N1229">
        <v>0</v>
      </c>
      <c r="O1229">
        <v>0.017987861848334199</v>
      </c>
      <c r="P1229">
        <v>0.00086824199833333338</v>
      </c>
      <c r="Q1229">
        <v>0.0044169504331110178</v>
      </c>
      <c r="R1229">
        <v>2750000.0039900001</v>
      </c>
      <c r="S1229">
        <v>0</v>
      </c>
      <c r="T1229">
        <v>0</v>
      </c>
      <c r="V1229">
        <v>5400</v>
      </c>
      <c r="W1229">
        <v>10</v>
      </c>
      <c r="X1229">
        <v>85</v>
      </c>
      <c r="Y1229">
        <v>4</v>
      </c>
      <c r="Z1229">
        <v>4</v>
      </c>
      <c r="AA1229">
        <v>5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80</v>
      </c>
      <c r="AM1229">
        <v>53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70</v>
      </c>
      <c r="AU1229">
        <v>0</v>
      </c>
      <c r="AV1229">
        <v>0</v>
      </c>
    </row>
    <row r="1230" spans="1:48" ht="12.75">
      <c r="A1230" s="2" t="str">
        <f>HYPERLINK("https://ibp.a2mac1.com/costing(costing:projects/details/8191/equipment/6948696)","Manufacturing Equipment")</f>
        <v>Manufacturing Equipment</v>
      </c>
      <c r="B1230">
        <v>6948696</v>
      </c>
      <c r="C1230">
        <v>6976062</v>
      </c>
      <c r="E1230" t="s">
        <v>603</v>
      </c>
      <c r="H1230" t="s">
        <v>136</v>
      </c>
      <c r="I1230">
        <v>373962.17573865002</v>
      </c>
      <c r="J1230">
        <v>0</v>
      </c>
      <c r="K1230">
        <v>3.3919999999999999</v>
      </c>
      <c r="L1230">
        <v>0</v>
      </c>
      <c r="M1230">
        <v>85.594214069133713</v>
      </c>
      <c r="N1230">
        <v>0</v>
      </c>
      <c r="O1230">
        <v>0.017987861848334199</v>
      </c>
      <c r="P1230">
        <v>0.00086824199833333338</v>
      </c>
      <c r="Q1230">
        <v>0.0044169504331110178</v>
      </c>
      <c r="R1230">
        <v>2750000.0039900001</v>
      </c>
      <c r="S1230">
        <v>0</v>
      </c>
      <c r="T1230">
        <v>0</v>
      </c>
      <c r="V1230">
        <v>5400</v>
      </c>
      <c r="W1230">
        <v>10</v>
      </c>
      <c r="X1230">
        <v>85</v>
      </c>
      <c r="Y1230">
        <v>4</v>
      </c>
      <c r="Z1230">
        <v>4</v>
      </c>
      <c r="AA1230">
        <v>5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80</v>
      </c>
      <c r="AM1230">
        <v>53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70</v>
      </c>
      <c r="AU1230">
        <v>0</v>
      </c>
      <c r="AV1230">
        <v>0</v>
      </c>
    </row>
    <row r="1231" spans="1:48" ht="12.75">
      <c r="A1231" s="2" t="str">
        <f>HYPERLINK("https://ibp.a2mac1.com/costing(costing:projects/details/8191/equipment/6948748)","Manufacturing Equipment")</f>
        <v>Manufacturing Equipment</v>
      </c>
      <c r="B1231">
        <v>6948748</v>
      </c>
      <c r="C1231">
        <v>6976154</v>
      </c>
      <c r="E1231" t="s">
        <v>603</v>
      </c>
      <c r="H1231" t="s">
        <v>136</v>
      </c>
      <c r="I1231">
        <v>373962.17627729999</v>
      </c>
      <c r="J1231">
        <v>0</v>
      </c>
      <c r="K1231">
        <v>3.3919999999999999</v>
      </c>
      <c r="L1231">
        <v>0</v>
      </c>
      <c r="M1231">
        <v>85.594214187769211</v>
      </c>
      <c r="N1231">
        <v>0</v>
      </c>
      <c r="O1231">
        <v>0.23914143725750231</v>
      </c>
      <c r="P1231">
        <v>0.011542930495666667</v>
      </c>
      <c r="Q1231">
        <v>0.008833900876899229</v>
      </c>
      <c r="R1231">
        <v>2750000.0079800002</v>
      </c>
      <c r="S1231">
        <v>0</v>
      </c>
      <c r="T1231">
        <v>0</v>
      </c>
      <c r="V1231">
        <v>5400</v>
      </c>
      <c r="W1231">
        <v>10</v>
      </c>
      <c r="X1231">
        <v>85</v>
      </c>
      <c r="Y1231">
        <v>4</v>
      </c>
      <c r="Z1231">
        <v>4</v>
      </c>
      <c r="AA1231">
        <v>5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1</v>
      </c>
      <c r="AJ1231">
        <v>0</v>
      </c>
      <c r="AK1231">
        <v>0</v>
      </c>
      <c r="AL1231">
        <v>80</v>
      </c>
      <c r="AM1231">
        <v>53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70</v>
      </c>
      <c r="AU1231">
        <v>0</v>
      </c>
      <c r="AV1231">
        <v>0</v>
      </c>
    </row>
    <row r="1232" spans="1:48" ht="12.75">
      <c r="A1232" s="2" t="str">
        <f>HYPERLINK("https://ibp.a2mac1.com/costing(costing:projects/details/8191/equipment/6948749)","Manufacturing Equipment")</f>
        <v>Manufacturing Equipment</v>
      </c>
      <c r="B1232">
        <v>6948749</v>
      </c>
      <c r="C1232">
        <v>6976155</v>
      </c>
      <c r="E1232" t="s">
        <v>603</v>
      </c>
      <c r="H1232" t="s">
        <v>136</v>
      </c>
      <c r="I1232">
        <v>373962.17573865002</v>
      </c>
      <c r="J1232">
        <v>0</v>
      </c>
      <c r="K1232">
        <v>3.3919999999999999</v>
      </c>
      <c r="L1232">
        <v>0</v>
      </c>
      <c r="M1232">
        <v>85.594214069133713</v>
      </c>
      <c r="N1232">
        <v>0</v>
      </c>
      <c r="O1232">
        <v>0.034792740329721246</v>
      </c>
      <c r="P1232">
        <v>0.0016793835001666668</v>
      </c>
      <c r="Q1232">
        <v>0.0044169504331110178</v>
      </c>
      <c r="R1232">
        <v>2750000.0039900001</v>
      </c>
      <c r="S1232">
        <v>0</v>
      </c>
      <c r="T1232">
        <v>0</v>
      </c>
      <c r="V1232">
        <v>5400</v>
      </c>
      <c r="W1232">
        <v>10</v>
      </c>
      <c r="X1232">
        <v>85</v>
      </c>
      <c r="Y1232">
        <v>4</v>
      </c>
      <c r="Z1232">
        <v>4</v>
      </c>
      <c r="AA1232">
        <v>5</v>
      </c>
      <c r="AB1232">
        <v>0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80</v>
      </c>
      <c r="AM1232">
        <v>53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70</v>
      </c>
      <c r="AU1232">
        <v>0</v>
      </c>
      <c r="AV1232">
        <v>0</v>
      </c>
    </row>
    <row r="1233" spans="1:48" ht="12.75">
      <c r="A1233" s="2" t="str">
        <f>HYPERLINK("https://ibp.a2mac1.com/costing(costing:projects/details/8191/equipment/6948750)","Manufacturing Equipment")</f>
        <v>Manufacturing Equipment</v>
      </c>
      <c r="B1233">
        <v>6948750</v>
      </c>
      <c r="C1233">
        <v>6976156</v>
      </c>
      <c r="E1233" t="s">
        <v>603</v>
      </c>
      <c r="H1233" t="s">
        <v>136</v>
      </c>
      <c r="I1233">
        <v>373962.17573865002</v>
      </c>
      <c r="J1233">
        <v>0</v>
      </c>
      <c r="K1233">
        <v>3.3919999999999999</v>
      </c>
      <c r="L1233">
        <v>0</v>
      </c>
      <c r="M1233">
        <v>85.594214069133713</v>
      </c>
      <c r="N1233">
        <v>0</v>
      </c>
      <c r="O1233">
        <v>0.034792740329721246</v>
      </c>
      <c r="P1233">
        <v>0.0016793835001666668</v>
      </c>
      <c r="Q1233">
        <v>0.0044169504331110178</v>
      </c>
      <c r="R1233">
        <v>2750000.0039900001</v>
      </c>
      <c r="S1233">
        <v>0</v>
      </c>
      <c r="T1233">
        <v>0</v>
      </c>
      <c r="V1233">
        <v>5400</v>
      </c>
      <c r="W1233">
        <v>10</v>
      </c>
      <c r="X1233">
        <v>85</v>
      </c>
      <c r="Y1233">
        <v>4</v>
      </c>
      <c r="Z1233">
        <v>4</v>
      </c>
      <c r="AA1233">
        <v>5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80</v>
      </c>
      <c r="AM1233">
        <v>53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70</v>
      </c>
      <c r="AU1233">
        <v>0</v>
      </c>
      <c r="AV1233">
        <v>0</v>
      </c>
    </row>
    <row r="1234" spans="1:48" ht="12.75">
      <c r="A1234" s="2" t="str">
        <f>HYPERLINK("https://ibp.a2mac1.com/costing(costing:projects/details/8191/equipment/6948751)","Manufacturing Equipment")</f>
        <v>Manufacturing Equipment</v>
      </c>
      <c r="B1234">
        <v>6948751</v>
      </c>
      <c r="C1234">
        <v>6976157</v>
      </c>
      <c r="E1234" t="s">
        <v>603</v>
      </c>
      <c r="H1234" t="s">
        <v>136</v>
      </c>
      <c r="I1234">
        <v>373962.17627729999</v>
      </c>
      <c r="J1234">
        <v>0</v>
      </c>
      <c r="K1234">
        <v>3.3919999999999999</v>
      </c>
      <c r="L1234">
        <v>0</v>
      </c>
      <c r="M1234">
        <v>85.594214187769211</v>
      </c>
      <c r="N1234">
        <v>0</v>
      </c>
      <c r="O1234">
        <v>0.45207297508388539</v>
      </c>
      <c r="P1234">
        <v>0.02182075591</v>
      </c>
      <c r="Q1234">
        <v>0.008833900876899229</v>
      </c>
      <c r="R1234">
        <v>2750000.0079800002</v>
      </c>
      <c r="S1234">
        <v>0</v>
      </c>
      <c r="T1234">
        <v>0</v>
      </c>
      <c r="V1234">
        <v>5400</v>
      </c>
      <c r="W1234">
        <v>10</v>
      </c>
      <c r="X1234">
        <v>85</v>
      </c>
      <c r="Y1234">
        <v>4</v>
      </c>
      <c r="Z1234">
        <v>4</v>
      </c>
      <c r="AA1234">
        <v>5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80</v>
      </c>
      <c r="AM1234">
        <v>53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70</v>
      </c>
      <c r="AU1234">
        <v>0</v>
      </c>
      <c r="AV1234">
        <v>0</v>
      </c>
    </row>
    <row r="1235" spans="1:48" ht="12.75">
      <c r="A1235" s="2" t="str">
        <f>HYPERLINK("https://ibp.a2mac1.com/costing(costing:projects/details/8191/equipment/6948752)","Manufacturing Equipment")</f>
        <v>Manufacturing Equipment</v>
      </c>
      <c r="B1235">
        <v>6948752</v>
      </c>
      <c r="C1235">
        <v>6976158</v>
      </c>
      <c r="E1235" t="s">
        <v>603</v>
      </c>
      <c r="H1235" t="s">
        <v>136</v>
      </c>
      <c r="I1235">
        <v>373962.17573865002</v>
      </c>
      <c r="J1235">
        <v>0</v>
      </c>
      <c r="K1235">
        <v>3.3919999999999999</v>
      </c>
      <c r="L1235">
        <v>0</v>
      </c>
      <c r="M1235">
        <v>85.594214069133713</v>
      </c>
      <c r="N1235">
        <v>0</v>
      </c>
      <c r="O1235">
        <v>0.15984553044216698</v>
      </c>
      <c r="P1235">
        <v>0.0077154585656666668</v>
      </c>
      <c r="Q1235">
        <v>0.0044169504331110178</v>
      </c>
      <c r="R1235">
        <v>2750000.0039900001</v>
      </c>
      <c r="S1235">
        <v>0</v>
      </c>
      <c r="T1235">
        <v>0</v>
      </c>
      <c r="V1235">
        <v>5400</v>
      </c>
      <c r="W1235">
        <v>10</v>
      </c>
      <c r="X1235">
        <v>85</v>
      </c>
      <c r="Y1235">
        <v>4</v>
      </c>
      <c r="Z1235">
        <v>4</v>
      </c>
      <c r="AA1235">
        <v>5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80</v>
      </c>
      <c r="AM1235">
        <v>53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70</v>
      </c>
      <c r="AU1235">
        <v>0</v>
      </c>
      <c r="AV1235">
        <v>0</v>
      </c>
    </row>
    <row r="1236" spans="1:48" ht="12.75">
      <c r="A1236" s="2" t="str">
        <f>HYPERLINK("https://ibp.a2mac1.com/costing(costing:projects/details/8191/equipment/6948753)","Manufacturing Equipment")</f>
        <v>Manufacturing Equipment</v>
      </c>
      <c r="B1236">
        <v>6948753</v>
      </c>
      <c r="C1236">
        <v>6976159</v>
      </c>
      <c r="E1236" t="s">
        <v>603</v>
      </c>
      <c r="H1236" t="s">
        <v>136</v>
      </c>
      <c r="I1236">
        <v>373962.17627729999</v>
      </c>
      <c r="J1236">
        <v>0</v>
      </c>
      <c r="K1236">
        <v>3.3919999999999999</v>
      </c>
      <c r="L1236">
        <v>0</v>
      </c>
      <c r="M1236">
        <v>85.594214187769211</v>
      </c>
      <c r="N1236">
        <v>0</v>
      </c>
      <c r="O1236">
        <v>0.15984553066371646</v>
      </c>
      <c r="P1236">
        <v>0.0077154585656666668</v>
      </c>
      <c r="Q1236">
        <v>0.008833900876899229</v>
      </c>
      <c r="R1236">
        <v>2750000.0079800002</v>
      </c>
      <c r="S1236">
        <v>0</v>
      </c>
      <c r="T1236">
        <v>0</v>
      </c>
      <c r="V1236">
        <v>5400</v>
      </c>
      <c r="W1236">
        <v>10</v>
      </c>
      <c r="X1236">
        <v>85</v>
      </c>
      <c r="Y1236">
        <v>4</v>
      </c>
      <c r="Z1236">
        <v>4</v>
      </c>
      <c r="AA1236">
        <v>5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1</v>
      </c>
      <c r="AJ1236">
        <v>0</v>
      </c>
      <c r="AK1236">
        <v>0</v>
      </c>
      <c r="AL1236">
        <v>80</v>
      </c>
      <c r="AM1236">
        <v>53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70</v>
      </c>
      <c r="AU1236">
        <v>0</v>
      </c>
      <c r="AV1236">
        <v>0</v>
      </c>
    </row>
    <row r="1237" spans="1:48" ht="12.75">
      <c r="A1237" s="2" t="str">
        <f>HYPERLINK("https://ibp.a2mac1.com/costing(costing:projects/details/8191/equipment/6948754)","Manufacturing Equipment")</f>
        <v>Manufacturing Equipment</v>
      </c>
      <c r="B1237">
        <v>6948754</v>
      </c>
      <c r="C1237">
        <v>6976160</v>
      </c>
      <c r="E1237" t="s">
        <v>603</v>
      </c>
      <c r="H1237" t="s">
        <v>136</v>
      </c>
      <c r="I1237">
        <v>373962.17573865002</v>
      </c>
      <c r="J1237">
        <v>0</v>
      </c>
      <c r="K1237">
        <v>3.3919999999999999</v>
      </c>
      <c r="L1237">
        <v>0</v>
      </c>
      <c r="M1237">
        <v>85.594214069133713</v>
      </c>
      <c r="N1237">
        <v>0</v>
      </c>
      <c r="O1237">
        <v>0.024442497755116997</v>
      </c>
      <c r="P1237">
        <v>0.0011797957575</v>
      </c>
      <c r="Q1237">
        <v>0.0044169504331110178</v>
      </c>
      <c r="R1237">
        <v>2750000.0039900001</v>
      </c>
      <c r="S1237">
        <v>0</v>
      </c>
      <c r="T1237">
        <v>0</v>
      </c>
      <c r="V1237">
        <v>5400</v>
      </c>
      <c r="W1237">
        <v>10</v>
      </c>
      <c r="X1237">
        <v>85</v>
      </c>
      <c r="Y1237">
        <v>4</v>
      </c>
      <c r="Z1237">
        <v>4</v>
      </c>
      <c r="AA1237">
        <v>5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80</v>
      </c>
      <c r="AM1237">
        <v>53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70</v>
      </c>
      <c r="AU1237">
        <v>0</v>
      </c>
      <c r="AV1237">
        <v>0</v>
      </c>
    </row>
    <row r="1238" spans="1:48" ht="12.75">
      <c r="A1238" s="2" t="str">
        <f>HYPERLINK("https://ibp.a2mac1.com/costing(costing:projects/details/8191/equipment/6948697)","Manufacturing Equipment")</f>
        <v>Manufacturing Equipment</v>
      </c>
      <c r="B1238">
        <v>6948697</v>
      </c>
      <c r="C1238">
        <v>6976063</v>
      </c>
      <c r="E1238" t="s">
        <v>603</v>
      </c>
      <c r="H1238" t="s">
        <v>136</v>
      </c>
      <c r="I1238">
        <v>373962.17573865002</v>
      </c>
      <c r="J1238">
        <v>0</v>
      </c>
      <c r="K1238">
        <v>3.3919999999999999</v>
      </c>
      <c r="L1238">
        <v>0</v>
      </c>
      <c r="M1238">
        <v>85.594214069133713</v>
      </c>
      <c r="N1238">
        <v>0</v>
      </c>
      <c r="O1238">
        <v>0.25042025784244842</v>
      </c>
      <c r="P1238">
        <v>0.012087339058166667</v>
      </c>
      <c r="Q1238">
        <v>0.0044169504331110178</v>
      </c>
      <c r="R1238">
        <v>2750000.0039900001</v>
      </c>
      <c r="S1238">
        <v>0</v>
      </c>
      <c r="T1238">
        <v>0</v>
      </c>
      <c r="V1238">
        <v>5400</v>
      </c>
      <c r="W1238">
        <v>10</v>
      </c>
      <c r="X1238">
        <v>85</v>
      </c>
      <c r="Y1238">
        <v>4</v>
      </c>
      <c r="Z1238">
        <v>4</v>
      </c>
      <c r="AA1238">
        <v>5</v>
      </c>
      <c r="AB1238">
        <v>0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80</v>
      </c>
      <c r="AM1238">
        <v>53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70</v>
      </c>
      <c r="AU1238">
        <v>0</v>
      </c>
      <c r="AV1238">
        <v>0</v>
      </c>
    </row>
    <row r="1239" spans="1:48" ht="12.75">
      <c r="A1239" s="2" t="str">
        <f>HYPERLINK("https://ibp.a2mac1.com/costing(costing:projects/details/8191/equipment/6948698)","Manufacturing Equipment")</f>
        <v>Manufacturing Equipment</v>
      </c>
      <c r="B1239">
        <v>6948698</v>
      </c>
      <c r="C1239">
        <v>6976064</v>
      </c>
      <c r="E1239" t="s">
        <v>603</v>
      </c>
      <c r="H1239" t="s">
        <v>136</v>
      </c>
      <c r="I1239">
        <v>373962.17573865002</v>
      </c>
      <c r="J1239">
        <v>0</v>
      </c>
      <c r="K1239">
        <v>3.3919999999999999</v>
      </c>
      <c r="L1239">
        <v>0</v>
      </c>
      <c r="M1239">
        <v>85.594214069133713</v>
      </c>
      <c r="N1239">
        <v>0</v>
      </c>
      <c r="O1239">
        <v>0.044971913357040101</v>
      </c>
      <c r="P1239">
        <v>0.0021707140210000002</v>
      </c>
      <c r="Q1239">
        <v>0.0044169504331110178</v>
      </c>
      <c r="R1239">
        <v>2750000.0039900001</v>
      </c>
      <c r="S1239">
        <v>0</v>
      </c>
      <c r="T1239">
        <v>0</v>
      </c>
      <c r="V1239">
        <v>5400</v>
      </c>
      <c r="W1239">
        <v>10</v>
      </c>
      <c r="X1239">
        <v>85</v>
      </c>
      <c r="Y1239">
        <v>4</v>
      </c>
      <c r="Z1239">
        <v>4</v>
      </c>
      <c r="AA1239">
        <v>5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80</v>
      </c>
      <c r="AM1239">
        <v>53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70</v>
      </c>
      <c r="AU1239">
        <v>0</v>
      </c>
      <c r="AV1239">
        <v>0</v>
      </c>
    </row>
    <row r="1240" spans="1:48" ht="12.75">
      <c r="A1240" s="2" t="str">
        <f>HYPERLINK("https://ibp.a2mac1.com/costing(costing:projects/details/8191/equipment/6948699)","Manufacturing Equipment")</f>
        <v>Manufacturing Equipment</v>
      </c>
      <c r="B1240">
        <v>6948699</v>
      </c>
      <c r="C1240">
        <v>6976065</v>
      </c>
      <c r="E1240" t="s">
        <v>603</v>
      </c>
      <c r="H1240" t="s">
        <v>136</v>
      </c>
      <c r="I1240">
        <v>373962.17573865002</v>
      </c>
      <c r="J1240">
        <v>0</v>
      </c>
      <c r="K1240">
        <v>3.3919999999999999</v>
      </c>
      <c r="L1240">
        <v>0</v>
      </c>
      <c r="M1240">
        <v>85.594214069133713</v>
      </c>
      <c r="N1240">
        <v>0</v>
      </c>
      <c r="O1240">
        <v>0.034792740329721246</v>
      </c>
      <c r="P1240">
        <v>0.0016793835001666668</v>
      </c>
      <c r="Q1240">
        <v>0.0044169504331110178</v>
      </c>
      <c r="R1240">
        <v>2750000.0039900001</v>
      </c>
      <c r="S1240">
        <v>0</v>
      </c>
      <c r="T1240">
        <v>0</v>
      </c>
      <c r="V1240">
        <v>5400</v>
      </c>
      <c r="W1240">
        <v>10</v>
      </c>
      <c r="X1240">
        <v>85</v>
      </c>
      <c r="Y1240">
        <v>4</v>
      </c>
      <c r="Z1240">
        <v>4</v>
      </c>
      <c r="AA1240">
        <v>5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80</v>
      </c>
      <c r="AM1240">
        <v>53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70</v>
      </c>
      <c r="AU1240">
        <v>0</v>
      </c>
      <c r="AV1240">
        <v>0</v>
      </c>
    </row>
    <row r="1241" spans="1:48" ht="12.75">
      <c r="A1241" s="2" t="str">
        <f>HYPERLINK("https://ibp.a2mac1.com/costing(costing:projects/details/8191/equipment/6948700)","Manufacturing Equipment")</f>
        <v>Manufacturing Equipment</v>
      </c>
      <c r="B1241">
        <v>6948700</v>
      </c>
      <c r="C1241">
        <v>6976066</v>
      </c>
      <c r="E1241" t="s">
        <v>603</v>
      </c>
      <c r="H1241" t="s">
        <v>136</v>
      </c>
      <c r="I1241">
        <v>373962.17573865002</v>
      </c>
      <c r="J1241">
        <v>0</v>
      </c>
      <c r="K1241">
        <v>3.3919999999999999</v>
      </c>
      <c r="L1241">
        <v>0</v>
      </c>
      <c r="M1241">
        <v>85.594214069133713</v>
      </c>
      <c r="N1241">
        <v>0</v>
      </c>
      <c r="O1241">
        <v>0.034792740329721246</v>
      </c>
      <c r="P1241">
        <v>0.0016793835001666668</v>
      </c>
      <c r="Q1241">
        <v>0.0044169504331110178</v>
      </c>
      <c r="R1241">
        <v>2750000.0039900001</v>
      </c>
      <c r="S1241">
        <v>0</v>
      </c>
      <c r="T1241">
        <v>0</v>
      </c>
      <c r="V1241">
        <v>5400</v>
      </c>
      <c r="W1241">
        <v>10</v>
      </c>
      <c r="X1241">
        <v>85</v>
      </c>
      <c r="Y1241">
        <v>4</v>
      </c>
      <c r="Z1241">
        <v>4</v>
      </c>
      <c r="AA1241">
        <v>5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80</v>
      </c>
      <c r="AM1241">
        <v>53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70</v>
      </c>
      <c r="AU1241">
        <v>0</v>
      </c>
      <c r="AV1241">
        <v>0</v>
      </c>
    </row>
    <row r="1242" spans="1:48" ht="12.75">
      <c r="A1242" s="2" t="str">
        <f>HYPERLINK("https://ibp.a2mac1.com/costing(costing:projects/details/8191/equipment/6948701)","Manufacturing Equipment")</f>
        <v>Manufacturing Equipment</v>
      </c>
      <c r="B1242">
        <v>6948701</v>
      </c>
      <c r="C1242">
        <v>6976067</v>
      </c>
      <c r="E1242" t="s">
        <v>603</v>
      </c>
      <c r="H1242" t="s">
        <v>136</v>
      </c>
      <c r="I1242">
        <v>373962.17573865002</v>
      </c>
      <c r="J1242">
        <v>0</v>
      </c>
      <c r="K1242">
        <v>3.3919999999999999</v>
      </c>
      <c r="L1242">
        <v>0</v>
      </c>
      <c r="M1242">
        <v>85.594214069133713</v>
      </c>
      <c r="N1242">
        <v>0</v>
      </c>
      <c r="O1242">
        <v>0.034792740329721246</v>
      </c>
      <c r="P1242">
        <v>0.0016793835001666668</v>
      </c>
      <c r="Q1242">
        <v>0.0044169504331110178</v>
      </c>
      <c r="R1242">
        <v>2750000.0039900001</v>
      </c>
      <c r="S1242">
        <v>0</v>
      </c>
      <c r="T1242">
        <v>0</v>
      </c>
      <c r="V1242">
        <v>5400</v>
      </c>
      <c r="W1242">
        <v>10</v>
      </c>
      <c r="X1242">
        <v>85</v>
      </c>
      <c r="Y1242">
        <v>4</v>
      </c>
      <c r="Z1242">
        <v>4</v>
      </c>
      <c r="AA1242">
        <v>5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80</v>
      </c>
      <c r="AM1242">
        <v>53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70</v>
      </c>
      <c r="AU1242">
        <v>0</v>
      </c>
      <c r="AV1242">
        <v>0</v>
      </c>
    </row>
    <row r="1243" spans="1:48" ht="12.75">
      <c r="A1243" s="2" t="str">
        <f>HYPERLINK("https://ibp.a2mac1.com/costing(costing:projects/details/8191/equipment/6948702)","Manufacturing Equipment")</f>
        <v>Manufacturing Equipment</v>
      </c>
      <c r="B1243">
        <v>6948702</v>
      </c>
      <c r="C1243">
        <v>6976068</v>
      </c>
      <c r="E1243" t="s">
        <v>603</v>
      </c>
      <c r="H1243" t="s">
        <v>136</v>
      </c>
      <c r="I1243">
        <v>373962.17573865002</v>
      </c>
      <c r="J1243">
        <v>0</v>
      </c>
      <c r="K1243">
        <v>3.3919999999999999</v>
      </c>
      <c r="L1243">
        <v>0</v>
      </c>
      <c r="M1243">
        <v>85.594214069133713</v>
      </c>
      <c r="N1243">
        <v>0</v>
      </c>
      <c r="O1243">
        <v>0.034792740329721246</v>
      </c>
      <c r="P1243">
        <v>0.0016793835001666668</v>
      </c>
      <c r="Q1243">
        <v>0.0044169504331110178</v>
      </c>
      <c r="R1243">
        <v>2750000.0039900001</v>
      </c>
      <c r="S1243">
        <v>0</v>
      </c>
      <c r="T1243">
        <v>0</v>
      </c>
      <c r="V1243">
        <v>5400</v>
      </c>
      <c r="W1243">
        <v>10</v>
      </c>
      <c r="X1243">
        <v>85</v>
      </c>
      <c r="Y1243">
        <v>4</v>
      </c>
      <c r="Z1243">
        <v>4</v>
      </c>
      <c r="AA1243">
        <v>5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>
        <v>80</v>
      </c>
      <c r="AM1243">
        <v>53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70</v>
      </c>
      <c r="AU1243">
        <v>0</v>
      </c>
      <c r="AV1243">
        <v>0</v>
      </c>
    </row>
    <row r="1244" spans="1:48" ht="12.75">
      <c r="A1244" s="2" t="str">
        <f>HYPERLINK("https://ibp.a2mac1.com/costing(costing:projects/details/8191/equipment/6948703)","Manufacturing Equipment")</f>
        <v>Manufacturing Equipment</v>
      </c>
      <c r="B1244">
        <v>6948703</v>
      </c>
      <c r="C1244">
        <v>6976069</v>
      </c>
      <c r="E1244" t="s">
        <v>603</v>
      </c>
      <c r="H1244" t="s">
        <v>136</v>
      </c>
      <c r="I1244">
        <v>373962.17573865002</v>
      </c>
      <c r="J1244">
        <v>0</v>
      </c>
      <c r="K1244">
        <v>3.3919999999999999</v>
      </c>
      <c r="L1244">
        <v>0</v>
      </c>
      <c r="M1244">
        <v>85.594214069133713</v>
      </c>
      <c r="N1244">
        <v>0</v>
      </c>
      <c r="O1244">
        <v>0.034792740329721246</v>
      </c>
      <c r="P1244">
        <v>0.0016793835001666668</v>
      </c>
      <c r="Q1244">
        <v>0.0044169504331110178</v>
      </c>
      <c r="R1244">
        <v>2750000.0039900001</v>
      </c>
      <c r="S1244">
        <v>0</v>
      </c>
      <c r="T1244">
        <v>0</v>
      </c>
      <c r="V1244">
        <v>5400</v>
      </c>
      <c r="W1244">
        <v>10</v>
      </c>
      <c r="X1244">
        <v>85</v>
      </c>
      <c r="Y1244">
        <v>4</v>
      </c>
      <c r="Z1244">
        <v>4</v>
      </c>
      <c r="AA1244">
        <v>5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>
        <v>80</v>
      </c>
      <c r="AM1244">
        <v>53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70</v>
      </c>
      <c r="AU1244">
        <v>0</v>
      </c>
      <c r="AV1244">
        <v>0</v>
      </c>
    </row>
    <row r="1245" spans="1:48" ht="12.75">
      <c r="A1245" s="2" t="str">
        <f>HYPERLINK("https://ibp.a2mac1.com/costing(costing:projects/details/8191/equipment/6948704)","Manufacturing Equipment")</f>
        <v>Manufacturing Equipment</v>
      </c>
      <c r="B1245">
        <v>6948704</v>
      </c>
      <c r="C1245">
        <v>6976070</v>
      </c>
      <c r="E1245" t="s">
        <v>603</v>
      </c>
      <c r="H1245" t="s">
        <v>136</v>
      </c>
      <c r="I1245">
        <v>373962.17573865002</v>
      </c>
      <c r="J1245">
        <v>0</v>
      </c>
      <c r="K1245">
        <v>3.3919999999999999</v>
      </c>
      <c r="L1245">
        <v>0</v>
      </c>
      <c r="M1245">
        <v>85.594214069133713</v>
      </c>
      <c r="N1245">
        <v>0</v>
      </c>
      <c r="O1245">
        <v>0.034792740329721246</v>
      </c>
      <c r="P1245">
        <v>0.0016793835001666668</v>
      </c>
      <c r="Q1245">
        <v>0.0044169504331110178</v>
      </c>
      <c r="R1245">
        <v>2750000.0039900001</v>
      </c>
      <c r="S1245">
        <v>0</v>
      </c>
      <c r="T1245">
        <v>0</v>
      </c>
      <c r="V1245">
        <v>5400</v>
      </c>
      <c r="W1245">
        <v>10</v>
      </c>
      <c r="X1245">
        <v>85</v>
      </c>
      <c r="Y1245">
        <v>4</v>
      </c>
      <c r="Z1245">
        <v>4</v>
      </c>
      <c r="AA1245">
        <v>5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80</v>
      </c>
      <c r="AM1245">
        <v>53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70</v>
      </c>
      <c r="AU1245">
        <v>0</v>
      </c>
      <c r="AV1245">
        <v>0</v>
      </c>
    </row>
    <row r="1246" spans="1:48" ht="12.75">
      <c r="A1246" s="2" t="str">
        <f>HYPERLINK("https://ibp.a2mac1.com/costing(costing:projects/details/8191/equipment/6948705)","Manufacturing Equipment")</f>
        <v>Manufacturing Equipment</v>
      </c>
      <c r="B1246">
        <v>6948705</v>
      </c>
      <c r="C1246">
        <v>6976071</v>
      </c>
      <c r="E1246" t="s">
        <v>603</v>
      </c>
      <c r="H1246" t="s">
        <v>136</v>
      </c>
      <c r="I1246">
        <v>373962.17573865002</v>
      </c>
      <c r="J1246">
        <v>0</v>
      </c>
      <c r="K1246">
        <v>3.3919999999999999</v>
      </c>
      <c r="L1246">
        <v>0</v>
      </c>
      <c r="M1246">
        <v>85.594214069133713</v>
      </c>
      <c r="N1246">
        <v>0</v>
      </c>
      <c r="O1246">
        <v>0.034792740329721246</v>
      </c>
      <c r="P1246">
        <v>0.0016793835001666668</v>
      </c>
      <c r="Q1246">
        <v>0.0044169504331110178</v>
      </c>
      <c r="R1246">
        <v>2750000.0039900001</v>
      </c>
      <c r="S1246">
        <v>0</v>
      </c>
      <c r="T1246">
        <v>0</v>
      </c>
      <c r="V1246">
        <v>5400</v>
      </c>
      <c r="W1246">
        <v>10</v>
      </c>
      <c r="X1246">
        <v>85</v>
      </c>
      <c r="Y1246">
        <v>4</v>
      </c>
      <c r="Z1246">
        <v>4</v>
      </c>
      <c r="AA1246">
        <v>5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80</v>
      </c>
      <c r="AM1246">
        <v>53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70</v>
      </c>
      <c r="AU1246">
        <v>0</v>
      </c>
      <c r="AV1246">
        <v>0</v>
      </c>
    </row>
    <row r="1247" spans="1:48" ht="12.75">
      <c r="A1247" s="2" t="str">
        <f>HYPERLINK("https://ibp.a2mac1.com/costing(costing:projects/details/8191/equipment/6948706)","Manufacturing Equipment")</f>
        <v>Manufacturing Equipment</v>
      </c>
      <c r="B1247">
        <v>6948706</v>
      </c>
      <c r="C1247">
        <v>6976072</v>
      </c>
      <c r="E1247" t="s">
        <v>603</v>
      </c>
      <c r="H1247" t="s">
        <v>136</v>
      </c>
      <c r="I1247">
        <v>373962.17573865002</v>
      </c>
      <c r="J1247">
        <v>0</v>
      </c>
      <c r="K1247">
        <v>3.3919999999999999</v>
      </c>
      <c r="L1247">
        <v>0</v>
      </c>
      <c r="M1247">
        <v>85.594214069133713</v>
      </c>
      <c r="N1247">
        <v>0</v>
      </c>
      <c r="O1247">
        <v>0.034792740329721246</v>
      </c>
      <c r="P1247">
        <v>0.0016793835001666668</v>
      </c>
      <c r="Q1247">
        <v>0.0044169504331110178</v>
      </c>
      <c r="R1247">
        <v>2750000.0039900001</v>
      </c>
      <c r="S1247">
        <v>0</v>
      </c>
      <c r="T1247">
        <v>0</v>
      </c>
      <c r="V1247">
        <v>5400</v>
      </c>
      <c r="W1247">
        <v>10</v>
      </c>
      <c r="X1247">
        <v>85</v>
      </c>
      <c r="Y1247">
        <v>4</v>
      </c>
      <c r="Z1247">
        <v>4</v>
      </c>
      <c r="AA1247">
        <v>5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80</v>
      </c>
      <c r="AM1247">
        <v>53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70</v>
      </c>
      <c r="AU1247">
        <v>0</v>
      </c>
      <c r="AV1247">
        <v>0</v>
      </c>
    </row>
    <row r="1248" spans="1:48" ht="12.75">
      <c r="A1248" s="2" t="str">
        <f>HYPERLINK("https://ibp.a2mac1.com/costing(costing:projects/details/8191/equipment/6948707)","Manufacturing Equipment")</f>
        <v>Manufacturing Equipment</v>
      </c>
      <c r="B1248">
        <v>6948707</v>
      </c>
      <c r="C1248">
        <v>6976073</v>
      </c>
      <c r="E1248" t="s">
        <v>603</v>
      </c>
      <c r="H1248" t="s">
        <v>136</v>
      </c>
      <c r="I1248">
        <v>373962.17573865002</v>
      </c>
      <c r="J1248">
        <v>0</v>
      </c>
      <c r="K1248">
        <v>3.3919999999999999</v>
      </c>
      <c r="L1248">
        <v>0</v>
      </c>
      <c r="M1248">
        <v>85.594214069133713</v>
      </c>
      <c r="N1248">
        <v>0</v>
      </c>
      <c r="O1248">
        <v>0.034792740329721246</v>
      </c>
      <c r="P1248">
        <v>0.0016793835001666668</v>
      </c>
      <c r="Q1248">
        <v>0.0044169504331110178</v>
      </c>
      <c r="R1248">
        <v>2750000.0039900001</v>
      </c>
      <c r="S1248">
        <v>0</v>
      </c>
      <c r="T1248">
        <v>0</v>
      </c>
      <c r="V1248">
        <v>5400</v>
      </c>
      <c r="W1248">
        <v>10</v>
      </c>
      <c r="X1248">
        <v>85</v>
      </c>
      <c r="Y1248">
        <v>4</v>
      </c>
      <c r="Z1248">
        <v>4</v>
      </c>
      <c r="AA1248">
        <v>5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80</v>
      </c>
      <c r="AM1248">
        <v>53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70</v>
      </c>
      <c r="AU1248">
        <v>0</v>
      </c>
      <c r="AV1248">
        <v>0</v>
      </c>
    </row>
    <row r="1249" spans="1:48" ht="12.75">
      <c r="A1249" s="2" t="str">
        <f>HYPERLINK("https://ibp.a2mac1.com/costing(costing:projects/details/8191/equipment/6948708)","Manufacturing Equipment")</f>
        <v>Manufacturing Equipment</v>
      </c>
      <c r="B1249">
        <v>6948708</v>
      </c>
      <c r="C1249">
        <v>6976074</v>
      </c>
      <c r="E1249" t="s">
        <v>603</v>
      </c>
      <c r="H1249" t="s">
        <v>136</v>
      </c>
      <c r="I1249">
        <v>373962.17573865002</v>
      </c>
      <c r="J1249">
        <v>0</v>
      </c>
      <c r="K1249">
        <v>3.3919999999999999</v>
      </c>
      <c r="L1249">
        <v>0</v>
      </c>
      <c r="M1249">
        <v>85.594214069133713</v>
      </c>
      <c r="N1249">
        <v>0</v>
      </c>
      <c r="O1249">
        <v>0.024442497755116997</v>
      </c>
      <c r="P1249">
        <v>0.0011797957575</v>
      </c>
      <c r="Q1249">
        <v>0.0044169504331110178</v>
      </c>
      <c r="R1249">
        <v>2750000.0039900001</v>
      </c>
      <c r="S1249">
        <v>0</v>
      </c>
      <c r="T1249">
        <v>0</v>
      </c>
      <c r="V1249">
        <v>5400</v>
      </c>
      <c r="W1249">
        <v>10</v>
      </c>
      <c r="X1249">
        <v>85</v>
      </c>
      <c r="Y1249">
        <v>4</v>
      </c>
      <c r="Z1249">
        <v>4</v>
      </c>
      <c r="AA1249">
        <v>5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80</v>
      </c>
      <c r="AM1249">
        <v>53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70</v>
      </c>
      <c r="AU1249">
        <v>0</v>
      </c>
      <c r="AV1249">
        <v>0</v>
      </c>
    </row>
    <row r="1250" spans="1:48" ht="12.75">
      <c r="A1250" s="2" t="str">
        <f>HYPERLINK("https://ibp.a2mac1.com/costing(costing:projects/details/8191/equipment/6948709)","Manufacturing Equipment")</f>
        <v>Manufacturing Equipment</v>
      </c>
      <c r="B1250">
        <v>6948709</v>
      </c>
      <c r="C1250">
        <v>6976075</v>
      </c>
      <c r="E1250" t="s">
        <v>603</v>
      </c>
      <c r="H1250" t="s">
        <v>136</v>
      </c>
      <c r="I1250">
        <v>373962.17573865002</v>
      </c>
      <c r="J1250">
        <v>0</v>
      </c>
      <c r="K1250">
        <v>3.3919999999999999</v>
      </c>
      <c r="L1250">
        <v>0</v>
      </c>
      <c r="M1250">
        <v>85.594214069133713</v>
      </c>
      <c r="N1250">
        <v>0</v>
      </c>
      <c r="O1250">
        <v>0.017987861848334199</v>
      </c>
      <c r="P1250">
        <v>0.00086824199833333338</v>
      </c>
      <c r="Q1250">
        <v>0.0044169504331110178</v>
      </c>
      <c r="R1250">
        <v>2750000.0039900001</v>
      </c>
      <c r="S1250">
        <v>0</v>
      </c>
      <c r="T1250">
        <v>0</v>
      </c>
      <c r="V1250">
        <v>5400</v>
      </c>
      <c r="W1250">
        <v>10</v>
      </c>
      <c r="X1250">
        <v>85</v>
      </c>
      <c r="Y1250">
        <v>4</v>
      </c>
      <c r="Z1250">
        <v>4</v>
      </c>
      <c r="AA1250">
        <v>5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80</v>
      </c>
      <c r="AM1250">
        <v>53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70</v>
      </c>
      <c r="AU1250">
        <v>0</v>
      </c>
      <c r="AV1250">
        <v>0</v>
      </c>
    </row>
    <row r="1251" spans="1:48" ht="12.75">
      <c r="A1251" s="2" t="str">
        <f>HYPERLINK("https://ibp.a2mac1.com/costing(costing:projects/details/8191/equipment/6948710)","Manufacturing Equipment")</f>
        <v>Manufacturing Equipment</v>
      </c>
      <c r="B1251">
        <v>6948710</v>
      </c>
      <c r="C1251">
        <v>6976076</v>
      </c>
      <c r="E1251" t="s">
        <v>603</v>
      </c>
      <c r="H1251" t="s">
        <v>136</v>
      </c>
      <c r="I1251">
        <v>373962.17573865002</v>
      </c>
      <c r="J1251">
        <v>0</v>
      </c>
      <c r="K1251">
        <v>3.3919999999999999</v>
      </c>
      <c r="L1251">
        <v>0</v>
      </c>
      <c r="M1251">
        <v>85.594214069133713</v>
      </c>
      <c r="N1251">
        <v>0</v>
      </c>
      <c r="O1251">
        <v>0.024442497755116997</v>
      </c>
      <c r="P1251">
        <v>0.0011797957575</v>
      </c>
      <c r="Q1251">
        <v>0.0044169504331110178</v>
      </c>
      <c r="R1251">
        <v>2750000.0039900001</v>
      </c>
      <c r="S1251">
        <v>0</v>
      </c>
      <c r="T1251">
        <v>0</v>
      </c>
      <c r="V1251">
        <v>5400</v>
      </c>
      <c r="W1251">
        <v>10</v>
      </c>
      <c r="X1251">
        <v>85</v>
      </c>
      <c r="Y1251">
        <v>4</v>
      </c>
      <c r="Z1251">
        <v>4</v>
      </c>
      <c r="AA1251">
        <v>5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80</v>
      </c>
      <c r="AM1251">
        <v>53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70</v>
      </c>
      <c r="AU1251">
        <v>0</v>
      </c>
      <c r="AV1251">
        <v>0</v>
      </c>
    </row>
    <row r="1252" spans="1:48" ht="12.75">
      <c r="A1252" s="2" t="str">
        <f>HYPERLINK("https://ibp.a2mac1.com/costing(costing:projects/details/8191/equipment/6948711)","Manufacturing Equipment")</f>
        <v>Manufacturing Equipment</v>
      </c>
      <c r="B1252">
        <v>6948711</v>
      </c>
      <c r="C1252">
        <v>6976077</v>
      </c>
      <c r="E1252" t="s">
        <v>603</v>
      </c>
      <c r="H1252" t="s">
        <v>136</v>
      </c>
      <c r="I1252">
        <v>373962.17573865002</v>
      </c>
      <c r="J1252">
        <v>0</v>
      </c>
      <c r="K1252">
        <v>3.3919999999999999</v>
      </c>
      <c r="L1252">
        <v>0</v>
      </c>
      <c r="M1252">
        <v>85.594214069133713</v>
      </c>
      <c r="N1252">
        <v>0</v>
      </c>
      <c r="O1252">
        <v>0.039961323170115311</v>
      </c>
      <c r="P1252">
        <v>0.0019288617723333334</v>
      </c>
      <c r="Q1252">
        <v>0.0044169504331110178</v>
      </c>
      <c r="R1252">
        <v>2750000.0039900001</v>
      </c>
      <c r="S1252">
        <v>0</v>
      </c>
      <c r="T1252">
        <v>0</v>
      </c>
      <c r="V1252">
        <v>5400</v>
      </c>
      <c r="W1252">
        <v>10</v>
      </c>
      <c r="X1252">
        <v>85</v>
      </c>
      <c r="Y1252">
        <v>4</v>
      </c>
      <c r="Z1252">
        <v>4</v>
      </c>
      <c r="AA1252">
        <v>5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80</v>
      </c>
      <c r="AM1252">
        <v>53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70</v>
      </c>
      <c r="AU1252">
        <v>0</v>
      </c>
      <c r="AV1252">
        <v>0</v>
      </c>
    </row>
    <row r="1253" spans="1:48" ht="12.75">
      <c r="A1253" s="2" t="str">
        <f>HYPERLINK("https://ibp.a2mac1.com/costing(costing:projects/details/8191/equipment/6948712)","Manufacturing Equipment")</f>
        <v>Manufacturing Equipment</v>
      </c>
      <c r="B1253">
        <v>6948712</v>
      </c>
      <c r="C1253">
        <v>6976078</v>
      </c>
      <c r="E1253" t="s">
        <v>603</v>
      </c>
      <c r="H1253" t="s">
        <v>136</v>
      </c>
      <c r="I1253">
        <v>373962.17573865002</v>
      </c>
      <c r="J1253">
        <v>0</v>
      </c>
      <c r="K1253">
        <v>3.3919999999999999</v>
      </c>
      <c r="L1253">
        <v>0</v>
      </c>
      <c r="M1253">
        <v>85.594214069133713</v>
      </c>
      <c r="N1253">
        <v>0</v>
      </c>
      <c r="O1253">
        <v>0.034792740329721246</v>
      </c>
      <c r="P1253">
        <v>0.0016793835001666668</v>
      </c>
      <c r="Q1253">
        <v>0.0044169504331110178</v>
      </c>
      <c r="R1253">
        <v>2750000.0039900001</v>
      </c>
      <c r="S1253">
        <v>0</v>
      </c>
      <c r="T1253">
        <v>0</v>
      </c>
      <c r="V1253">
        <v>5400</v>
      </c>
      <c r="W1253">
        <v>10</v>
      </c>
      <c r="X1253">
        <v>85</v>
      </c>
      <c r="Y1253">
        <v>4</v>
      </c>
      <c r="Z1253">
        <v>4</v>
      </c>
      <c r="AA1253">
        <v>5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1</v>
      </c>
      <c r="AJ1253">
        <v>0</v>
      </c>
      <c r="AK1253">
        <v>0</v>
      </c>
      <c r="AL1253">
        <v>80</v>
      </c>
      <c r="AM1253">
        <v>53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70</v>
      </c>
      <c r="AU1253">
        <v>0</v>
      </c>
      <c r="AV1253">
        <v>0</v>
      </c>
    </row>
    <row r="1254" spans="1:48" ht="12.75">
      <c r="A1254" s="2" t="str">
        <f>HYPERLINK("https://ibp.a2mac1.com/costing(costing:projects/details/8191/equipment/6948717)","Manufacturing Equipment")</f>
        <v>Manufacturing Equipment</v>
      </c>
      <c r="B1254">
        <v>6948717</v>
      </c>
      <c r="C1254">
        <v>6976079</v>
      </c>
      <c r="E1254" t="s">
        <v>603</v>
      </c>
      <c r="H1254" t="s">
        <v>136</v>
      </c>
      <c r="I1254">
        <v>373962.17573865002</v>
      </c>
      <c r="J1254">
        <v>0</v>
      </c>
      <c r="K1254">
        <v>3.3919999999999999</v>
      </c>
      <c r="L1254">
        <v>0</v>
      </c>
      <c r="M1254">
        <v>85.594214069133713</v>
      </c>
      <c r="N1254">
        <v>0</v>
      </c>
      <c r="O1254">
        <v>0.034792740329721246</v>
      </c>
      <c r="P1254">
        <v>0.0016793835001666668</v>
      </c>
      <c r="Q1254">
        <v>0.0044169504331110178</v>
      </c>
      <c r="R1254">
        <v>2750000.0039900001</v>
      </c>
      <c r="S1254">
        <v>0</v>
      </c>
      <c r="T1254">
        <v>0</v>
      </c>
      <c r="V1254">
        <v>5400</v>
      </c>
      <c r="W1254">
        <v>10</v>
      </c>
      <c r="X1254">
        <v>85</v>
      </c>
      <c r="Y1254">
        <v>4</v>
      </c>
      <c r="Z1254">
        <v>4</v>
      </c>
      <c r="AA1254">
        <v>5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80</v>
      </c>
      <c r="AM1254">
        <v>53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70</v>
      </c>
      <c r="AU1254">
        <v>0</v>
      </c>
      <c r="AV1254">
        <v>0</v>
      </c>
    </row>
    <row r="1255" spans="1:48" ht="12.75">
      <c r="A1255" s="2" t="str">
        <f>HYPERLINK("https://ibp.a2mac1.com/costing(costing:projects/details/8191/equipment/6948718)","Manufacturing Equipment")</f>
        <v>Manufacturing Equipment</v>
      </c>
      <c r="B1255">
        <v>6948718</v>
      </c>
      <c r="C1255">
        <v>6976080</v>
      </c>
      <c r="E1255" t="s">
        <v>603</v>
      </c>
      <c r="H1255" t="s">
        <v>136</v>
      </c>
      <c r="I1255">
        <v>373962.17573865002</v>
      </c>
      <c r="J1255">
        <v>0</v>
      </c>
      <c r="K1255">
        <v>3.3919999999999999</v>
      </c>
      <c r="L1255">
        <v>0</v>
      </c>
      <c r="M1255">
        <v>85.594214069133713</v>
      </c>
      <c r="N1255">
        <v>0</v>
      </c>
      <c r="O1255">
        <v>0.13136334242554551</v>
      </c>
      <c r="P1255">
        <v>0.0063406741666666667</v>
      </c>
      <c r="Q1255">
        <v>0.0044169504331110178</v>
      </c>
      <c r="R1255">
        <v>2750000.0039900001</v>
      </c>
      <c r="S1255">
        <v>0</v>
      </c>
      <c r="T1255">
        <v>0</v>
      </c>
      <c r="V1255">
        <v>5400</v>
      </c>
      <c r="W1255">
        <v>10</v>
      </c>
      <c r="X1255">
        <v>85</v>
      </c>
      <c r="Y1255">
        <v>4</v>
      </c>
      <c r="Z1255">
        <v>4</v>
      </c>
      <c r="AA1255">
        <v>5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1</v>
      </c>
      <c r="AJ1255">
        <v>0</v>
      </c>
      <c r="AK1255">
        <v>0</v>
      </c>
      <c r="AL1255">
        <v>80</v>
      </c>
      <c r="AM1255">
        <v>53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70</v>
      </c>
      <c r="AU1255">
        <v>0</v>
      </c>
      <c r="AV1255">
        <v>0</v>
      </c>
    </row>
    <row r="1256" spans="1:48" ht="12.75">
      <c r="A1256" s="2" t="str">
        <f>HYPERLINK("https://ibp.a2mac1.com/costing(costing:projects/details/8191/equipment/6948719)","Manufacturing Equipment")</f>
        <v>Manufacturing Equipment</v>
      </c>
      <c r="B1256">
        <v>6948719</v>
      </c>
      <c r="C1256">
        <v>6976081</v>
      </c>
      <c r="E1256" t="s">
        <v>603</v>
      </c>
      <c r="H1256" t="s">
        <v>136</v>
      </c>
      <c r="I1256">
        <v>373962.17573865002</v>
      </c>
      <c r="J1256">
        <v>0</v>
      </c>
      <c r="K1256">
        <v>3.3919999999999999</v>
      </c>
      <c r="L1256">
        <v>0</v>
      </c>
      <c r="M1256">
        <v>85.594214069133713</v>
      </c>
      <c r="N1256">
        <v>0</v>
      </c>
      <c r="O1256">
        <v>0.034792740329721246</v>
      </c>
      <c r="P1256">
        <v>0.0016793835001666668</v>
      </c>
      <c r="Q1256">
        <v>0.0044169504331110178</v>
      </c>
      <c r="R1256">
        <v>2750000.0039900001</v>
      </c>
      <c r="S1256">
        <v>0</v>
      </c>
      <c r="T1256">
        <v>0</v>
      </c>
      <c r="V1256">
        <v>5400</v>
      </c>
      <c r="W1256">
        <v>10</v>
      </c>
      <c r="X1256">
        <v>85</v>
      </c>
      <c r="Y1256">
        <v>4</v>
      </c>
      <c r="Z1256">
        <v>4</v>
      </c>
      <c r="AA1256">
        <v>5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80</v>
      </c>
      <c r="AM1256">
        <v>53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70</v>
      </c>
      <c r="AU1256">
        <v>0</v>
      </c>
      <c r="AV1256">
        <v>0</v>
      </c>
    </row>
    <row r="1257" spans="1:48" ht="12.75">
      <c r="A1257" s="2" t="str">
        <f>HYPERLINK("https://ibp.a2mac1.com/costing(costing:projects/details/8191/equipment/6948720)","Manufacturing Equipment")</f>
        <v>Manufacturing Equipment</v>
      </c>
      <c r="B1257">
        <v>6948720</v>
      </c>
      <c r="C1257">
        <v>6976082</v>
      </c>
      <c r="E1257" t="s">
        <v>603</v>
      </c>
      <c r="H1257" t="s">
        <v>136</v>
      </c>
      <c r="I1257">
        <v>373962.17573865002</v>
      </c>
      <c r="J1257">
        <v>0</v>
      </c>
      <c r="K1257">
        <v>3.3919999999999999</v>
      </c>
      <c r="L1257">
        <v>0</v>
      </c>
      <c r="M1257">
        <v>85.594214069133713</v>
      </c>
      <c r="N1257">
        <v>0</v>
      </c>
      <c r="O1257">
        <v>0.034792740329721246</v>
      </c>
      <c r="P1257">
        <v>0.0016793835001666668</v>
      </c>
      <c r="Q1257">
        <v>0.0044169504331110178</v>
      </c>
      <c r="R1257">
        <v>2750000.0039900001</v>
      </c>
      <c r="S1257">
        <v>0</v>
      </c>
      <c r="T1257">
        <v>0</v>
      </c>
      <c r="V1257">
        <v>5400</v>
      </c>
      <c r="W1257">
        <v>10</v>
      </c>
      <c r="X1257">
        <v>85</v>
      </c>
      <c r="Y1257">
        <v>4</v>
      </c>
      <c r="Z1257">
        <v>4</v>
      </c>
      <c r="AA1257">
        <v>5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80</v>
      </c>
      <c r="AM1257">
        <v>53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70</v>
      </c>
      <c r="AU1257">
        <v>0</v>
      </c>
      <c r="AV1257">
        <v>0</v>
      </c>
    </row>
    <row r="1258" spans="1:48" ht="12.75">
      <c r="A1258" s="2" t="str">
        <f>HYPERLINK("https://ibp.a2mac1.com/costing(costing:projects/details/8191/equipment/6948721)","Manufacturing Equipment")</f>
        <v>Manufacturing Equipment</v>
      </c>
      <c r="B1258">
        <v>6948721</v>
      </c>
      <c r="C1258">
        <v>6976083</v>
      </c>
      <c r="E1258" t="s">
        <v>603</v>
      </c>
      <c r="H1258" t="s">
        <v>136</v>
      </c>
      <c r="I1258">
        <v>373962.17573865002</v>
      </c>
      <c r="J1258">
        <v>0</v>
      </c>
      <c r="K1258">
        <v>3.3919999999999999</v>
      </c>
      <c r="L1258">
        <v>0</v>
      </c>
      <c r="M1258">
        <v>85.594214069133713</v>
      </c>
      <c r="N1258">
        <v>0</v>
      </c>
      <c r="O1258">
        <v>0.017987861848334199</v>
      </c>
      <c r="P1258">
        <v>0.00086824199833333338</v>
      </c>
      <c r="Q1258">
        <v>0.0044169504331110178</v>
      </c>
      <c r="R1258">
        <v>2750000.0039900001</v>
      </c>
      <c r="S1258">
        <v>0</v>
      </c>
      <c r="T1258">
        <v>0</v>
      </c>
      <c r="V1258">
        <v>5400</v>
      </c>
      <c r="W1258">
        <v>10</v>
      </c>
      <c r="X1258">
        <v>85</v>
      </c>
      <c r="Y1258">
        <v>4</v>
      </c>
      <c r="Z1258">
        <v>4</v>
      </c>
      <c r="AA1258">
        <v>5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80</v>
      </c>
      <c r="AM1258">
        <v>53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70</v>
      </c>
      <c r="AU1258">
        <v>0</v>
      </c>
      <c r="AV1258">
        <v>0</v>
      </c>
    </row>
    <row r="1259" spans="1:48" ht="12.75">
      <c r="A1259" s="2" t="str">
        <f>HYPERLINK("https://ibp.a2mac1.com/costing(costing:projects/details/8191/equipment/6948722)","Manufacturing Equipment")</f>
        <v>Manufacturing Equipment</v>
      </c>
      <c r="B1259">
        <v>6948722</v>
      </c>
      <c r="C1259">
        <v>6976084</v>
      </c>
      <c r="E1259" t="s">
        <v>603</v>
      </c>
      <c r="H1259" t="s">
        <v>136</v>
      </c>
      <c r="I1259">
        <v>373962.17573865002</v>
      </c>
      <c r="J1259">
        <v>0</v>
      </c>
      <c r="K1259">
        <v>3.3919999999999999</v>
      </c>
      <c r="L1259">
        <v>0</v>
      </c>
      <c r="M1259">
        <v>85.594214069133713</v>
      </c>
      <c r="N1259">
        <v>0</v>
      </c>
      <c r="O1259">
        <v>0.017987861848334199</v>
      </c>
      <c r="P1259">
        <v>0.00086824199833333338</v>
      </c>
      <c r="Q1259">
        <v>0.0044169504331110178</v>
      </c>
      <c r="R1259">
        <v>2750000.0039900001</v>
      </c>
      <c r="S1259">
        <v>0</v>
      </c>
      <c r="T1259">
        <v>0</v>
      </c>
      <c r="V1259">
        <v>5400</v>
      </c>
      <c r="W1259">
        <v>10</v>
      </c>
      <c r="X1259">
        <v>85</v>
      </c>
      <c r="Y1259">
        <v>4</v>
      </c>
      <c r="Z1259">
        <v>4</v>
      </c>
      <c r="AA1259">
        <v>5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80</v>
      </c>
      <c r="AM1259">
        <v>53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70</v>
      </c>
      <c r="AU1259">
        <v>0</v>
      </c>
      <c r="AV1259">
        <v>0</v>
      </c>
    </row>
    <row r="1260" spans="1:48" ht="12.75">
      <c r="A1260" s="2" t="str">
        <f>HYPERLINK("https://ibp.a2mac1.com/costing(costing:projects/details/8191/equipment/6948723)","Manufacturing Equipment")</f>
        <v>Manufacturing Equipment</v>
      </c>
      <c r="B1260">
        <v>6948723</v>
      </c>
      <c r="C1260">
        <v>6976085</v>
      </c>
      <c r="E1260" t="s">
        <v>603</v>
      </c>
      <c r="H1260" t="s">
        <v>136</v>
      </c>
      <c r="I1260">
        <v>373962.17573865002</v>
      </c>
      <c r="J1260">
        <v>0</v>
      </c>
      <c r="K1260">
        <v>3.3919999999999999</v>
      </c>
      <c r="L1260">
        <v>0</v>
      </c>
      <c r="M1260">
        <v>85.594214069133713</v>
      </c>
      <c r="N1260">
        <v>0</v>
      </c>
      <c r="O1260">
        <v>0.0051629954403089968</v>
      </c>
      <c r="P1260">
        <v>0.00024920857833333332</v>
      </c>
      <c r="Q1260">
        <v>0.0044169504331110178</v>
      </c>
      <c r="R1260">
        <v>2750000.0039900001</v>
      </c>
      <c r="S1260">
        <v>0</v>
      </c>
      <c r="T1260">
        <v>0</v>
      </c>
      <c r="V1260">
        <v>5400</v>
      </c>
      <c r="W1260">
        <v>10</v>
      </c>
      <c r="X1260">
        <v>85</v>
      </c>
      <c r="Y1260">
        <v>4</v>
      </c>
      <c r="Z1260">
        <v>4</v>
      </c>
      <c r="AA1260">
        <v>5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80</v>
      </c>
      <c r="AM1260">
        <v>53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70</v>
      </c>
      <c r="AU1260">
        <v>0</v>
      </c>
      <c r="AV1260">
        <v>0</v>
      </c>
    </row>
    <row r="1261" spans="1:48" ht="12.75">
      <c r="A1261" s="2" t="str">
        <f>HYPERLINK("https://ibp.a2mac1.com/costing(costing:projects/details/8191/equipment/6948755)","Manufacturing Equipment")</f>
        <v>Manufacturing Equipment</v>
      </c>
      <c r="B1261">
        <v>6948755</v>
      </c>
      <c r="C1261">
        <v>6976161</v>
      </c>
      <c r="E1261" t="s">
        <v>603</v>
      </c>
      <c r="H1261" t="s">
        <v>136</v>
      </c>
      <c r="I1261">
        <v>373962.17627729999</v>
      </c>
      <c r="J1261">
        <v>0</v>
      </c>
      <c r="K1261">
        <v>3.3919999999999999</v>
      </c>
      <c r="L1261">
        <v>0</v>
      </c>
      <c r="M1261">
        <v>85.594214187769211</v>
      </c>
      <c r="N1261">
        <v>0</v>
      </c>
      <c r="O1261">
        <v>0.059785299873949059</v>
      </c>
      <c r="P1261">
        <v>0.0028857297548333335</v>
      </c>
      <c r="Q1261">
        <v>0.008833900876899229</v>
      </c>
      <c r="R1261">
        <v>2750000.0079800002</v>
      </c>
      <c r="S1261">
        <v>0</v>
      </c>
      <c r="T1261">
        <v>0</v>
      </c>
      <c r="V1261">
        <v>5400</v>
      </c>
      <c r="W1261">
        <v>10</v>
      </c>
      <c r="X1261">
        <v>85</v>
      </c>
      <c r="Y1261">
        <v>4</v>
      </c>
      <c r="Z1261">
        <v>4</v>
      </c>
      <c r="AA1261">
        <v>5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80</v>
      </c>
      <c r="AM1261">
        <v>53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70</v>
      </c>
      <c r="AU1261">
        <v>0</v>
      </c>
      <c r="AV1261">
        <v>0</v>
      </c>
    </row>
    <row r="1262" spans="1:48" ht="12.75">
      <c r="A1262" s="2" t="str">
        <f>HYPERLINK("https://ibp.a2mac1.com/costing(costing:projects/details/8191/equipment/6948756)","Manufacturing Equipment")</f>
        <v>Manufacturing Equipment</v>
      </c>
      <c r="B1262">
        <v>6948756</v>
      </c>
      <c r="C1262">
        <v>6976162</v>
      </c>
      <c r="E1262" t="s">
        <v>603</v>
      </c>
      <c r="H1262" t="s">
        <v>136</v>
      </c>
      <c r="I1262">
        <v>373962.17573865002</v>
      </c>
      <c r="J1262">
        <v>0</v>
      </c>
      <c r="K1262">
        <v>3.3919999999999999</v>
      </c>
      <c r="L1262">
        <v>0</v>
      </c>
      <c r="M1262">
        <v>85.594214069133713</v>
      </c>
      <c r="N1262">
        <v>0</v>
      </c>
      <c r="O1262">
        <v>0.0061760980684994931</v>
      </c>
      <c r="P1262">
        <v>0.00029810923466666665</v>
      </c>
      <c r="Q1262">
        <v>0.0044169504331110178</v>
      </c>
      <c r="R1262">
        <v>2750000.0039900001</v>
      </c>
      <c r="S1262">
        <v>0</v>
      </c>
      <c r="T1262">
        <v>0</v>
      </c>
      <c r="V1262">
        <v>5400</v>
      </c>
      <c r="W1262">
        <v>10</v>
      </c>
      <c r="X1262">
        <v>85</v>
      </c>
      <c r="Y1262">
        <v>4</v>
      </c>
      <c r="Z1262">
        <v>4</v>
      </c>
      <c r="AA1262">
        <v>5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80</v>
      </c>
      <c r="AM1262">
        <v>53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70</v>
      </c>
      <c r="AU1262">
        <v>0</v>
      </c>
      <c r="AV1262">
        <v>0</v>
      </c>
    </row>
    <row r="1263" spans="1:48" ht="12.75">
      <c r="A1263" s="2" t="str">
        <f>HYPERLINK("https://ibp.a2mac1.com/costing(costing:projects/details/8191/equipment/6948757)","Manufacturing Equipment")</f>
        <v>Manufacturing Equipment</v>
      </c>
      <c r="B1263">
        <v>6948757</v>
      </c>
      <c r="C1263">
        <v>6976163</v>
      </c>
      <c r="E1263" t="s">
        <v>603</v>
      </c>
      <c r="H1263" t="s">
        <v>136</v>
      </c>
      <c r="I1263">
        <v>373962.17573865002</v>
      </c>
      <c r="J1263">
        <v>0</v>
      </c>
      <c r="K1263">
        <v>3.3919999999999999</v>
      </c>
      <c r="L1263">
        <v>0</v>
      </c>
      <c r="M1263">
        <v>85.594214069133713</v>
      </c>
      <c r="N1263">
        <v>0</v>
      </c>
      <c r="O1263">
        <v>0.0061760980684994931</v>
      </c>
      <c r="P1263">
        <v>0.00029810923466666665</v>
      </c>
      <c r="Q1263">
        <v>0.0044169504331110178</v>
      </c>
      <c r="R1263">
        <v>2750000.0039900001</v>
      </c>
      <c r="S1263">
        <v>0</v>
      </c>
      <c r="T1263">
        <v>0</v>
      </c>
      <c r="V1263">
        <v>5400</v>
      </c>
      <c r="W1263">
        <v>10</v>
      </c>
      <c r="X1263">
        <v>85</v>
      </c>
      <c r="Y1263">
        <v>4</v>
      </c>
      <c r="Z1263">
        <v>4</v>
      </c>
      <c r="AA1263">
        <v>5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80</v>
      </c>
      <c r="AM1263">
        <v>53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70</v>
      </c>
      <c r="AU1263">
        <v>0</v>
      </c>
      <c r="AV1263">
        <v>0</v>
      </c>
    </row>
    <row r="1264" spans="1:48" ht="12.75">
      <c r="A1264" s="2" t="str">
        <f>HYPERLINK("https://ibp.a2mac1.com/costing(costing:projects/details/8191/equipment/6948758)","Manufacturing Equipment")</f>
        <v>Manufacturing Equipment</v>
      </c>
      <c r="B1264">
        <v>6948758</v>
      </c>
      <c r="C1264">
        <v>6976164</v>
      </c>
      <c r="E1264" t="s">
        <v>603</v>
      </c>
      <c r="H1264" t="s">
        <v>136</v>
      </c>
      <c r="I1264">
        <v>373962.17573865002</v>
      </c>
      <c r="J1264">
        <v>0</v>
      </c>
      <c r="K1264">
        <v>3.3919999999999999</v>
      </c>
      <c r="L1264">
        <v>0</v>
      </c>
      <c r="M1264">
        <v>85.594214069133713</v>
      </c>
      <c r="N1264">
        <v>0</v>
      </c>
      <c r="O1264">
        <v>0.054033487486492386</v>
      </c>
      <c r="P1264">
        <v>0.0026081000370000002</v>
      </c>
      <c r="Q1264">
        <v>0.0044169504331110178</v>
      </c>
      <c r="R1264">
        <v>2750000.0039900001</v>
      </c>
      <c r="S1264">
        <v>0</v>
      </c>
      <c r="T1264">
        <v>0</v>
      </c>
      <c r="V1264">
        <v>5400</v>
      </c>
      <c r="W1264">
        <v>10</v>
      </c>
      <c r="X1264">
        <v>85</v>
      </c>
      <c r="Y1264">
        <v>4</v>
      </c>
      <c r="Z1264">
        <v>4</v>
      </c>
      <c r="AA1264">
        <v>5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80</v>
      </c>
      <c r="AM1264">
        <v>53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70</v>
      </c>
      <c r="AU1264">
        <v>0</v>
      </c>
      <c r="AV1264">
        <v>0</v>
      </c>
    </row>
    <row r="1265" spans="1:48" ht="12.75">
      <c r="A1265" s="2" t="str">
        <f>HYPERLINK("https://ibp.a2mac1.com/costing(costing:projects/details/8191/equipment/6948759)","Manufacturing Equipment")</f>
        <v>Manufacturing Equipment</v>
      </c>
      <c r="B1265">
        <v>6948759</v>
      </c>
      <c r="C1265">
        <v>6976165</v>
      </c>
      <c r="E1265" t="s">
        <v>603</v>
      </c>
      <c r="H1265" t="s">
        <v>136</v>
      </c>
      <c r="I1265">
        <v>373962.17573865002</v>
      </c>
      <c r="J1265">
        <v>0</v>
      </c>
      <c r="K1265">
        <v>3.3919999999999999</v>
      </c>
      <c r="L1265">
        <v>0</v>
      </c>
      <c r="M1265">
        <v>85.594214069133713</v>
      </c>
      <c r="N1265">
        <v>0</v>
      </c>
      <c r="O1265">
        <v>0.054033487486492386</v>
      </c>
      <c r="P1265">
        <v>0.0026081000370000002</v>
      </c>
      <c r="Q1265">
        <v>0.0044169504331110178</v>
      </c>
      <c r="R1265">
        <v>2750000.0039900001</v>
      </c>
      <c r="S1265">
        <v>0</v>
      </c>
      <c r="T1265">
        <v>0</v>
      </c>
      <c r="V1265">
        <v>5400</v>
      </c>
      <c r="W1265">
        <v>10</v>
      </c>
      <c r="X1265">
        <v>85</v>
      </c>
      <c r="Y1265">
        <v>4</v>
      </c>
      <c r="Z1265">
        <v>4</v>
      </c>
      <c r="AA1265">
        <v>5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1</v>
      </c>
      <c r="AJ1265">
        <v>0</v>
      </c>
      <c r="AK1265">
        <v>0</v>
      </c>
      <c r="AL1265">
        <v>80</v>
      </c>
      <c r="AM1265">
        <v>53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70</v>
      </c>
      <c r="AU1265">
        <v>0</v>
      </c>
      <c r="AV1265">
        <v>0</v>
      </c>
    </row>
    <row r="1266" spans="1:48" ht="12.75">
      <c r="A1266" s="2" t="str">
        <f>HYPERLINK("https://ibp.a2mac1.com/costing(costing:projects/details/8191/equipment/6948760)","Manufacturing Equipment")</f>
        <v>Manufacturing Equipment</v>
      </c>
      <c r="B1266">
        <v>6948760</v>
      </c>
      <c r="C1266">
        <v>6976166</v>
      </c>
      <c r="E1266" t="s">
        <v>603</v>
      </c>
      <c r="H1266" t="s">
        <v>136</v>
      </c>
      <c r="I1266">
        <v>373962.17627729999</v>
      </c>
      <c r="J1266">
        <v>0</v>
      </c>
      <c r="K1266">
        <v>3.3919999999999999</v>
      </c>
      <c r="L1266">
        <v>0</v>
      </c>
      <c r="M1266">
        <v>85.594214187769211</v>
      </c>
      <c r="N1266">
        <v>0</v>
      </c>
      <c r="O1266">
        <v>0.034792740377944761</v>
      </c>
      <c r="P1266">
        <v>0.0016793835001666668</v>
      </c>
      <c r="Q1266">
        <v>0.008833900876899229</v>
      </c>
      <c r="R1266">
        <v>2750000.0079800002</v>
      </c>
      <c r="S1266">
        <v>0</v>
      </c>
      <c r="T1266">
        <v>0</v>
      </c>
      <c r="V1266">
        <v>5400</v>
      </c>
      <c r="W1266">
        <v>10</v>
      </c>
      <c r="X1266">
        <v>85</v>
      </c>
      <c r="Y1266">
        <v>4</v>
      </c>
      <c r="Z1266">
        <v>4</v>
      </c>
      <c r="AA1266">
        <v>5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80</v>
      </c>
      <c r="AM1266">
        <v>53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70</v>
      </c>
      <c r="AU1266">
        <v>0</v>
      </c>
      <c r="AV1266">
        <v>0</v>
      </c>
    </row>
    <row r="1267" spans="1:48" ht="12.75">
      <c r="A1267" s="2" t="str">
        <f>HYPERLINK("https://ibp.a2mac1.com/costing(costing:projects/details/8191/equipment/6948761)","Manufacturing Equipment")</f>
        <v>Manufacturing Equipment</v>
      </c>
      <c r="B1267">
        <v>6948761</v>
      </c>
      <c r="C1267">
        <v>6976167</v>
      </c>
      <c r="E1267" t="s">
        <v>603</v>
      </c>
      <c r="H1267" t="s">
        <v>136</v>
      </c>
      <c r="I1267">
        <v>373962.17573865002</v>
      </c>
      <c r="J1267">
        <v>0</v>
      </c>
      <c r="K1267">
        <v>3.3919999999999999</v>
      </c>
      <c r="L1267">
        <v>0</v>
      </c>
      <c r="M1267">
        <v>85.594214069133713</v>
      </c>
      <c r="N1267">
        <v>0</v>
      </c>
      <c r="O1267">
        <v>0.15984553044216698</v>
      </c>
      <c r="P1267">
        <v>0.0077154585656666668</v>
      </c>
      <c r="Q1267">
        <v>0.0044169504331110178</v>
      </c>
      <c r="R1267">
        <v>2750000.0039900001</v>
      </c>
      <c r="S1267">
        <v>0</v>
      </c>
      <c r="T1267">
        <v>0</v>
      </c>
      <c r="V1267">
        <v>5400</v>
      </c>
      <c r="W1267">
        <v>10</v>
      </c>
      <c r="X1267">
        <v>85</v>
      </c>
      <c r="Y1267">
        <v>4</v>
      </c>
      <c r="Z1267">
        <v>4</v>
      </c>
      <c r="AA1267">
        <v>5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80</v>
      </c>
      <c r="AM1267">
        <v>53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70</v>
      </c>
      <c r="AU1267">
        <v>0</v>
      </c>
      <c r="AV1267">
        <v>0</v>
      </c>
    </row>
    <row r="1268" spans="1:48" ht="12.75">
      <c r="A1268" s="2" t="str">
        <f>HYPERLINK("https://ibp.a2mac1.com/costing(costing:projects/details/8191/equipment/6948762)","Manufacturing Equipment")</f>
        <v>Manufacturing Equipment</v>
      </c>
      <c r="B1268">
        <v>6948762</v>
      </c>
      <c r="C1268">
        <v>6976168</v>
      </c>
      <c r="E1268" t="s">
        <v>603</v>
      </c>
      <c r="H1268" t="s">
        <v>136</v>
      </c>
      <c r="I1268">
        <v>373962.17573865002</v>
      </c>
      <c r="J1268">
        <v>0</v>
      </c>
      <c r="K1268">
        <v>3.3919999999999999</v>
      </c>
      <c r="L1268">
        <v>0</v>
      </c>
      <c r="M1268">
        <v>85.594214069133713</v>
      </c>
      <c r="N1268">
        <v>0</v>
      </c>
      <c r="O1268">
        <v>0.024442497755116997</v>
      </c>
      <c r="P1268">
        <v>0.0011797957575</v>
      </c>
      <c r="Q1268">
        <v>0.0044169504331110178</v>
      </c>
      <c r="R1268">
        <v>2750000.0039900001</v>
      </c>
      <c r="S1268">
        <v>0</v>
      </c>
      <c r="T1268">
        <v>0</v>
      </c>
      <c r="V1268">
        <v>5400</v>
      </c>
      <c r="W1268">
        <v>10</v>
      </c>
      <c r="X1268">
        <v>85</v>
      </c>
      <c r="Y1268">
        <v>4</v>
      </c>
      <c r="Z1268">
        <v>4</v>
      </c>
      <c r="AA1268">
        <v>5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80</v>
      </c>
      <c r="AM1268">
        <v>53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70</v>
      </c>
      <c r="AU1268">
        <v>0</v>
      </c>
      <c r="AV1268">
        <v>0</v>
      </c>
    </row>
    <row r="1269" spans="1:48" ht="12.75">
      <c r="A1269" s="2" t="str">
        <f>HYPERLINK("https://ibp.a2mac1.com/costing(costing:projects/details/8191/equipment/6948763)","Manufacturing Equipment")</f>
        <v>Manufacturing Equipment</v>
      </c>
      <c r="B1269">
        <v>6948763</v>
      </c>
      <c r="C1269">
        <v>6976169</v>
      </c>
      <c r="E1269" t="s">
        <v>603</v>
      </c>
      <c r="H1269" t="s">
        <v>136</v>
      </c>
      <c r="I1269">
        <v>373962.17573865002</v>
      </c>
      <c r="J1269">
        <v>0</v>
      </c>
      <c r="K1269">
        <v>3.3919999999999999</v>
      </c>
      <c r="L1269">
        <v>0</v>
      </c>
      <c r="M1269">
        <v>85.594214069133713</v>
      </c>
      <c r="N1269">
        <v>0</v>
      </c>
      <c r="O1269">
        <v>0.024442497755116997</v>
      </c>
      <c r="P1269">
        <v>0.0011797957575</v>
      </c>
      <c r="Q1269">
        <v>0.0044169504331110178</v>
      </c>
      <c r="R1269">
        <v>2750000.0039900001</v>
      </c>
      <c r="S1269">
        <v>0</v>
      </c>
      <c r="T1269">
        <v>0</v>
      </c>
      <c r="V1269">
        <v>5400</v>
      </c>
      <c r="W1269">
        <v>10</v>
      </c>
      <c r="X1269">
        <v>85</v>
      </c>
      <c r="Y1269">
        <v>4</v>
      </c>
      <c r="Z1269">
        <v>4</v>
      </c>
      <c r="AA1269">
        <v>5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1</v>
      </c>
      <c r="AJ1269">
        <v>0</v>
      </c>
      <c r="AK1269">
        <v>0</v>
      </c>
      <c r="AL1269">
        <v>80</v>
      </c>
      <c r="AM1269">
        <v>53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70</v>
      </c>
      <c r="AU1269">
        <v>0</v>
      </c>
      <c r="AV1269">
        <v>0</v>
      </c>
    </row>
    <row r="1270" spans="1:48" ht="12.75">
      <c r="A1270" s="2" t="str">
        <f>HYPERLINK("https://ibp.a2mac1.com/costing(costing:projects/details/8191/equipment/6948764)","Manufacturing Equipment")</f>
        <v>Manufacturing Equipment</v>
      </c>
      <c r="B1270">
        <v>6948764</v>
      </c>
      <c r="C1270">
        <v>6976170</v>
      </c>
      <c r="E1270" t="s">
        <v>603</v>
      </c>
      <c r="H1270" t="s">
        <v>136</v>
      </c>
      <c r="I1270">
        <v>373962.17627729999</v>
      </c>
      <c r="J1270">
        <v>0</v>
      </c>
      <c r="K1270">
        <v>3.3919999999999999</v>
      </c>
      <c r="L1270">
        <v>0</v>
      </c>
      <c r="M1270">
        <v>85.594214187769211</v>
      </c>
      <c r="N1270">
        <v>0</v>
      </c>
      <c r="O1270">
        <v>0.034792740377944761</v>
      </c>
      <c r="P1270">
        <v>0.0016793835001666668</v>
      </c>
      <c r="Q1270">
        <v>0.008833900876899229</v>
      </c>
      <c r="R1270">
        <v>2750000.0079800002</v>
      </c>
      <c r="S1270">
        <v>0</v>
      </c>
      <c r="T1270">
        <v>0</v>
      </c>
      <c r="V1270">
        <v>5400</v>
      </c>
      <c r="W1270">
        <v>10</v>
      </c>
      <c r="X1270">
        <v>85</v>
      </c>
      <c r="Y1270">
        <v>4</v>
      </c>
      <c r="Z1270">
        <v>4</v>
      </c>
      <c r="AA1270">
        <v>5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80</v>
      </c>
      <c r="AM1270">
        <v>53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70</v>
      </c>
      <c r="AU1270">
        <v>0</v>
      </c>
      <c r="AV1270">
        <v>0</v>
      </c>
    </row>
    <row r="1271" spans="1:48" ht="12.75">
      <c r="A1271" s="2" t="str">
        <f>HYPERLINK("https://ibp.a2mac1.com/costing(costing:projects/details/8191/equipment/6948765)","Manufacturing Equipment")</f>
        <v>Manufacturing Equipment</v>
      </c>
      <c r="B1271">
        <v>6948765</v>
      </c>
      <c r="C1271">
        <v>6976171</v>
      </c>
      <c r="E1271" t="s">
        <v>603</v>
      </c>
      <c r="H1271" t="s">
        <v>136</v>
      </c>
      <c r="I1271">
        <v>373962.17573865002</v>
      </c>
      <c r="J1271">
        <v>0</v>
      </c>
      <c r="K1271">
        <v>3.3919999999999999</v>
      </c>
      <c r="L1271">
        <v>0</v>
      </c>
      <c r="M1271">
        <v>85.594214069133713</v>
      </c>
      <c r="N1271">
        <v>0</v>
      </c>
      <c r="O1271">
        <v>0.034792740329721246</v>
      </c>
      <c r="P1271">
        <v>0.0016793835001666668</v>
      </c>
      <c r="Q1271">
        <v>0.0044169504331110178</v>
      </c>
      <c r="R1271">
        <v>2750000.0039900001</v>
      </c>
      <c r="S1271">
        <v>0</v>
      </c>
      <c r="T1271">
        <v>0</v>
      </c>
      <c r="V1271">
        <v>5400</v>
      </c>
      <c r="W1271">
        <v>10</v>
      </c>
      <c r="X1271">
        <v>85</v>
      </c>
      <c r="Y1271">
        <v>4</v>
      </c>
      <c r="Z1271">
        <v>4</v>
      </c>
      <c r="AA1271">
        <v>5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80</v>
      </c>
      <c r="AM1271">
        <v>53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70</v>
      </c>
      <c r="AU1271">
        <v>0</v>
      </c>
      <c r="AV1271">
        <v>0</v>
      </c>
    </row>
    <row r="1272" spans="1:48" ht="12.75">
      <c r="A1272" s="2" t="str">
        <f>HYPERLINK("https://ibp.a2mac1.com/costing(costing:projects/details/8191/equipment/6948766)","Manufacturing Equipment")</f>
        <v>Manufacturing Equipment</v>
      </c>
      <c r="B1272">
        <v>6948766</v>
      </c>
      <c r="C1272">
        <v>6976172</v>
      </c>
      <c r="E1272" t="s">
        <v>603</v>
      </c>
      <c r="H1272" t="s">
        <v>136</v>
      </c>
      <c r="I1272">
        <v>373962.17573865002</v>
      </c>
      <c r="J1272">
        <v>0</v>
      </c>
      <c r="K1272">
        <v>3.3919999999999999</v>
      </c>
      <c r="L1272">
        <v>0</v>
      </c>
      <c r="M1272">
        <v>85.594214069133713</v>
      </c>
      <c r="N1272">
        <v>0</v>
      </c>
      <c r="O1272">
        <v>0.034792740329721246</v>
      </c>
      <c r="P1272">
        <v>0.0016793835001666668</v>
      </c>
      <c r="Q1272">
        <v>0.0044169504331110178</v>
      </c>
      <c r="R1272">
        <v>2750000.0039900001</v>
      </c>
      <c r="S1272">
        <v>0</v>
      </c>
      <c r="T1272">
        <v>0</v>
      </c>
      <c r="V1272">
        <v>5400</v>
      </c>
      <c r="W1272">
        <v>10</v>
      </c>
      <c r="X1272">
        <v>85</v>
      </c>
      <c r="Y1272">
        <v>4</v>
      </c>
      <c r="Z1272">
        <v>4</v>
      </c>
      <c r="AA1272">
        <v>5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80</v>
      </c>
      <c r="AM1272">
        <v>53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70</v>
      </c>
      <c r="AU1272">
        <v>0</v>
      </c>
      <c r="AV1272">
        <v>0</v>
      </c>
    </row>
    <row r="1273" spans="1:48" ht="12.75">
      <c r="A1273" s="2" t="str">
        <f>HYPERLINK("https://ibp.a2mac1.com/costing(costing:projects/details/8191/equipment/6948767)","Manufacturing Equipment")</f>
        <v>Manufacturing Equipment</v>
      </c>
      <c r="B1273">
        <v>6948767</v>
      </c>
      <c r="C1273">
        <v>6976173</v>
      </c>
      <c r="E1273" t="s">
        <v>603</v>
      </c>
      <c r="H1273" t="s">
        <v>136</v>
      </c>
      <c r="I1273">
        <v>373962.17573865002</v>
      </c>
      <c r="J1273">
        <v>0</v>
      </c>
      <c r="K1273">
        <v>3.3919999999999999</v>
      </c>
      <c r="L1273">
        <v>0</v>
      </c>
      <c r="M1273">
        <v>85.594214069133713</v>
      </c>
      <c r="N1273">
        <v>0</v>
      </c>
      <c r="O1273">
        <v>0.024442497755116997</v>
      </c>
      <c r="P1273">
        <v>0.0011797957575</v>
      </c>
      <c r="Q1273">
        <v>0.0044169504331110178</v>
      </c>
      <c r="R1273">
        <v>2750000.0039900001</v>
      </c>
      <c r="S1273">
        <v>0</v>
      </c>
      <c r="T1273">
        <v>0</v>
      </c>
      <c r="V1273">
        <v>5400</v>
      </c>
      <c r="W1273">
        <v>10</v>
      </c>
      <c r="X1273">
        <v>85</v>
      </c>
      <c r="Y1273">
        <v>4</v>
      </c>
      <c r="Z1273">
        <v>4</v>
      </c>
      <c r="AA1273">
        <v>5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1</v>
      </c>
      <c r="AJ1273">
        <v>0</v>
      </c>
      <c r="AK1273">
        <v>0</v>
      </c>
      <c r="AL1273">
        <v>80</v>
      </c>
      <c r="AM1273">
        <v>53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70</v>
      </c>
      <c r="AU1273">
        <v>0</v>
      </c>
      <c r="AV1273">
        <v>0</v>
      </c>
    </row>
    <row r="1274" spans="1:48" ht="12.75">
      <c r="A1274" s="2" t="str">
        <f>HYPERLINK("https://ibp.a2mac1.com/costing(costing:projects/details/8191/equipment/6948768)","Manufacturing Equipment")</f>
        <v>Manufacturing Equipment</v>
      </c>
      <c r="B1274">
        <v>6948768</v>
      </c>
      <c r="C1274">
        <v>6976174</v>
      </c>
      <c r="E1274" t="s">
        <v>603</v>
      </c>
      <c r="H1274" t="s">
        <v>136</v>
      </c>
      <c r="I1274">
        <v>373962.17573865002</v>
      </c>
      <c r="J1274">
        <v>0</v>
      </c>
      <c r="K1274">
        <v>3.3919999999999999</v>
      </c>
      <c r="L1274">
        <v>0</v>
      </c>
      <c r="M1274">
        <v>85.594214069133713</v>
      </c>
      <c r="N1274">
        <v>0</v>
      </c>
      <c r="O1274">
        <v>0.024442497755116997</v>
      </c>
      <c r="P1274">
        <v>0.0011797957575</v>
      </c>
      <c r="Q1274">
        <v>0.0044169504331110178</v>
      </c>
      <c r="R1274">
        <v>2750000.0039900001</v>
      </c>
      <c r="S1274">
        <v>0</v>
      </c>
      <c r="T1274">
        <v>0</v>
      </c>
      <c r="V1274">
        <v>5400</v>
      </c>
      <c r="W1274">
        <v>10</v>
      </c>
      <c r="X1274">
        <v>85</v>
      </c>
      <c r="Y1274">
        <v>4</v>
      </c>
      <c r="Z1274">
        <v>4</v>
      </c>
      <c r="AA1274">
        <v>5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1</v>
      </c>
      <c r="AJ1274">
        <v>0</v>
      </c>
      <c r="AK1274">
        <v>0</v>
      </c>
      <c r="AL1274">
        <v>80</v>
      </c>
      <c r="AM1274">
        <v>53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70</v>
      </c>
      <c r="AU1274">
        <v>0</v>
      </c>
      <c r="AV1274">
        <v>0</v>
      </c>
    </row>
    <row r="1275" spans="1:48" ht="12.75">
      <c r="A1275" s="2" t="str">
        <f>HYPERLINK("https://ibp.a2mac1.com/costing(costing:projects/details/8191/equipment/6948769)","Manufacturing Equipment")</f>
        <v>Manufacturing Equipment</v>
      </c>
      <c r="B1275">
        <v>6948769</v>
      </c>
      <c r="C1275">
        <v>6976175</v>
      </c>
      <c r="E1275" t="s">
        <v>603</v>
      </c>
      <c r="H1275" t="s">
        <v>136</v>
      </c>
      <c r="I1275">
        <v>373962.17573865002</v>
      </c>
      <c r="J1275">
        <v>0</v>
      </c>
      <c r="K1275">
        <v>3.3919999999999999</v>
      </c>
      <c r="L1275">
        <v>0</v>
      </c>
      <c r="M1275">
        <v>85.594214069133713</v>
      </c>
      <c r="N1275">
        <v>0</v>
      </c>
      <c r="O1275">
        <v>0.017987861848334199</v>
      </c>
      <c r="P1275">
        <v>0.00086824199833333338</v>
      </c>
      <c r="Q1275">
        <v>0.0044169504331110178</v>
      </c>
      <c r="R1275">
        <v>2750000.0039900001</v>
      </c>
      <c r="S1275">
        <v>0</v>
      </c>
      <c r="T1275">
        <v>0</v>
      </c>
      <c r="V1275">
        <v>5400</v>
      </c>
      <c r="W1275">
        <v>10</v>
      </c>
      <c r="X1275">
        <v>85</v>
      </c>
      <c r="Y1275">
        <v>4</v>
      </c>
      <c r="Z1275">
        <v>4</v>
      </c>
      <c r="AA1275">
        <v>5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80</v>
      </c>
      <c r="AM1275">
        <v>53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70</v>
      </c>
      <c r="AU1275">
        <v>0</v>
      </c>
      <c r="AV1275">
        <v>0</v>
      </c>
    </row>
    <row r="1276" spans="1:48" ht="12.75">
      <c r="A1276" s="2" t="str">
        <f>HYPERLINK("https://ibp.a2mac1.com/costing(costing:projects/details/8191/equipment/6948770)","Manufacturing Equipment")</f>
        <v>Manufacturing Equipment</v>
      </c>
      <c r="B1276">
        <v>6948770</v>
      </c>
      <c r="C1276">
        <v>6976176</v>
      </c>
      <c r="E1276" t="s">
        <v>603</v>
      </c>
      <c r="H1276" t="s">
        <v>136</v>
      </c>
      <c r="I1276">
        <v>373962.17573865002</v>
      </c>
      <c r="J1276">
        <v>0</v>
      </c>
      <c r="K1276">
        <v>3.3919999999999999</v>
      </c>
      <c r="L1276">
        <v>0</v>
      </c>
      <c r="M1276">
        <v>85.594214069133713</v>
      </c>
      <c r="N1276">
        <v>0</v>
      </c>
      <c r="O1276">
        <v>0.024442497755116997</v>
      </c>
      <c r="P1276">
        <v>0.0011797957575</v>
      </c>
      <c r="Q1276">
        <v>0.0044169504331110178</v>
      </c>
      <c r="R1276">
        <v>2750000.0039900001</v>
      </c>
      <c r="S1276">
        <v>0</v>
      </c>
      <c r="T1276">
        <v>0</v>
      </c>
      <c r="V1276">
        <v>5400</v>
      </c>
      <c r="W1276">
        <v>10</v>
      </c>
      <c r="X1276">
        <v>85</v>
      </c>
      <c r="Y1276">
        <v>4</v>
      </c>
      <c r="Z1276">
        <v>4</v>
      </c>
      <c r="AA1276">
        <v>5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80</v>
      </c>
      <c r="AM1276">
        <v>53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70</v>
      </c>
      <c r="AU1276">
        <v>0</v>
      </c>
      <c r="AV1276">
        <v>0</v>
      </c>
    </row>
    <row r="1277" spans="1:48" ht="12.75">
      <c r="A1277" s="2" t="str">
        <f>HYPERLINK("https://ibp.a2mac1.com/costing(costing:projects/details/8191/equipment/6948771)","Manufacturing Equipment")</f>
        <v>Manufacturing Equipment</v>
      </c>
      <c r="B1277">
        <v>6948771</v>
      </c>
      <c r="C1277">
        <v>6976177</v>
      </c>
      <c r="E1277" t="s">
        <v>603</v>
      </c>
      <c r="H1277" t="s">
        <v>136</v>
      </c>
      <c r="I1277">
        <v>373962.17627729999</v>
      </c>
      <c r="J1277">
        <v>0</v>
      </c>
      <c r="K1277">
        <v>3.3919999999999999</v>
      </c>
      <c r="L1277">
        <v>0</v>
      </c>
      <c r="M1277">
        <v>85.594214187769211</v>
      </c>
      <c r="N1277">
        <v>0</v>
      </c>
      <c r="O1277">
        <v>0.034792740377944761</v>
      </c>
      <c r="P1277">
        <v>0.0016793835001666668</v>
      </c>
      <c r="Q1277">
        <v>0.008833900876899229</v>
      </c>
      <c r="R1277">
        <v>2750000.0079800002</v>
      </c>
      <c r="S1277">
        <v>0</v>
      </c>
      <c r="T1277">
        <v>0</v>
      </c>
      <c r="V1277">
        <v>5400</v>
      </c>
      <c r="W1277">
        <v>10</v>
      </c>
      <c r="X1277">
        <v>85</v>
      </c>
      <c r="Y1277">
        <v>4</v>
      </c>
      <c r="Z1277">
        <v>4</v>
      </c>
      <c r="AA1277">
        <v>5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80</v>
      </c>
      <c r="AM1277">
        <v>53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70</v>
      </c>
      <c r="AU1277">
        <v>0</v>
      </c>
      <c r="AV1277">
        <v>0</v>
      </c>
    </row>
    <row r="1278" spans="1:48" ht="12.75">
      <c r="A1278" s="2" t="str">
        <f>HYPERLINK("https://ibp.a2mac1.com/costing(costing:projects/details/8191/equipment/6948772)","Manufacturing Equipment")</f>
        <v>Manufacturing Equipment</v>
      </c>
      <c r="B1278">
        <v>6948772</v>
      </c>
      <c r="C1278">
        <v>6976178</v>
      </c>
      <c r="E1278" t="s">
        <v>603</v>
      </c>
      <c r="H1278" t="s">
        <v>136</v>
      </c>
      <c r="I1278">
        <v>373962.17573865002</v>
      </c>
      <c r="J1278">
        <v>0</v>
      </c>
      <c r="K1278">
        <v>3.3919999999999999</v>
      </c>
      <c r="L1278">
        <v>0</v>
      </c>
      <c r="M1278">
        <v>85.594214069133713</v>
      </c>
      <c r="N1278">
        <v>0</v>
      </c>
      <c r="O1278">
        <v>0.024442497755116997</v>
      </c>
      <c r="P1278">
        <v>0.0011797957575</v>
      </c>
      <c r="Q1278">
        <v>0.0044169504331110178</v>
      </c>
      <c r="R1278">
        <v>2750000.0039900001</v>
      </c>
      <c r="S1278">
        <v>0</v>
      </c>
      <c r="T1278">
        <v>0</v>
      </c>
      <c r="V1278">
        <v>5400</v>
      </c>
      <c r="W1278">
        <v>10</v>
      </c>
      <c r="X1278">
        <v>85</v>
      </c>
      <c r="Y1278">
        <v>4</v>
      </c>
      <c r="Z1278">
        <v>4</v>
      </c>
      <c r="AA1278">
        <v>5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80</v>
      </c>
      <c r="AM1278">
        <v>53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70</v>
      </c>
      <c r="AU1278">
        <v>0</v>
      </c>
      <c r="AV1278">
        <v>0</v>
      </c>
    </row>
    <row r="1279" spans="1:48" ht="12.75">
      <c r="A1279" s="2" t="str">
        <f>HYPERLINK("https://ibp.a2mac1.com/costing(costing:projects/details/8191/equipment/6947832)","BIW Shop")</f>
        <v>BIW Shop</v>
      </c>
      <c r="B1279">
        <v>6947832</v>
      </c>
      <c r="C1279">
        <v>6975274</v>
      </c>
      <c r="E1279" t="s">
        <v>7186</v>
      </c>
      <c r="H1279" t="s">
        <v>136</v>
      </c>
      <c r="I1279">
        <v>83931309.855001271</v>
      </c>
      <c r="J1279">
        <v>0</v>
      </c>
      <c r="K1279">
        <v>613.40160000000003</v>
      </c>
      <c r="L1279">
        <v>0</v>
      </c>
      <c r="M1279">
        <v>14992.195194872544</v>
      </c>
      <c r="N1279">
        <v>0</v>
      </c>
      <c r="O1279">
        <v>195.73143726639154</v>
      </c>
      <c r="P1279">
        <v>10.619617099999999</v>
      </c>
      <c r="Q1279">
        <v>0.25144121658120905</v>
      </c>
      <c r="R1279">
        <v>401470520.09355998</v>
      </c>
      <c r="S1279">
        <v>0</v>
      </c>
      <c r="T1279">
        <v>0</v>
      </c>
      <c r="U1279" t="s">
        <v>7187</v>
      </c>
      <c r="V1279">
        <v>600</v>
      </c>
      <c r="W1279">
        <v>6</v>
      </c>
      <c r="X1279">
        <v>95</v>
      </c>
      <c r="Y1279">
        <v>4</v>
      </c>
      <c r="Z1279">
        <v>4</v>
      </c>
      <c r="AA1279">
        <v>4</v>
      </c>
      <c r="AB1279">
        <v>0</v>
      </c>
      <c r="AC1279">
        <v>71</v>
      </c>
      <c r="AD1279">
        <v>15</v>
      </c>
      <c r="AE1279">
        <v>2</v>
      </c>
      <c r="AF1279">
        <v>0</v>
      </c>
      <c r="AG1279">
        <v>0</v>
      </c>
      <c r="AH1279">
        <v>0</v>
      </c>
      <c r="AI1279">
        <v>5</v>
      </c>
      <c r="AJ1279">
        <v>2</v>
      </c>
      <c r="AK1279">
        <v>0</v>
      </c>
      <c r="AL1279">
        <v>100</v>
      </c>
      <c r="AM1279">
        <v>7626</v>
      </c>
      <c r="AN1279">
        <v>0</v>
      </c>
      <c r="AO1279">
        <v>0</v>
      </c>
      <c r="AP1279">
        <v>0</v>
      </c>
      <c r="AQ1279">
        <v>120</v>
      </c>
      <c r="AR1279">
        <v>0</v>
      </c>
      <c r="AS1279">
        <v>0</v>
      </c>
      <c r="AT1279">
        <v>76605</v>
      </c>
      <c r="AU1279">
        <v>0</v>
      </c>
      <c r="AV1279">
        <v>0</v>
      </c>
    </row>
    <row r="1280" spans="1:48" ht="12.75">
      <c r="A1280" s="2" t="str">
        <f>HYPERLINK("https://ibp.a2mac1.com/costing(costing:projects/details/8191/equipment/6947830)","No.03 - Injection Press - 80T - 30kW - 370x370 - Max Volume 260cm3 ")</f>
        <v xml:space="preserve">No.03 - Injection Press - 80T - 30kW - 370x370 - Max Volume 260cm3 </v>
      </c>
      <c r="B1280">
        <v>6947830</v>
      </c>
      <c r="C1280">
        <v>6975272</v>
      </c>
      <c r="E1280" t="s">
        <v>499</v>
      </c>
      <c r="H1280" t="s">
        <v>136</v>
      </c>
      <c r="I1280">
        <v>19639.85152</v>
      </c>
      <c r="J1280">
        <v>0</v>
      </c>
      <c r="K1280">
        <v>2.1332</v>
      </c>
      <c r="L1280">
        <v>0</v>
      </c>
      <c r="M1280">
        <v>6.2138575891996144</v>
      </c>
      <c r="N1280">
        <v>0</v>
      </c>
      <c r="O1280">
        <v>0.046741102825278685</v>
      </c>
      <c r="P1280">
        <v>0.00776932560525</v>
      </c>
      <c r="Q1280">
        <v>0.0037601205107039536</v>
      </c>
      <c r="R1280">
        <v>115000</v>
      </c>
      <c r="S1280">
        <v>0</v>
      </c>
      <c r="T1280">
        <v>0</v>
      </c>
      <c r="V1280">
        <v>7200</v>
      </c>
      <c r="W1280">
        <v>8</v>
      </c>
      <c r="X1280">
        <v>85</v>
      </c>
      <c r="Y1280">
        <v>3</v>
      </c>
      <c r="Z1280">
        <v>4</v>
      </c>
      <c r="AA1280">
        <v>5</v>
      </c>
      <c r="AB1280">
        <v>0</v>
      </c>
      <c r="AC1280">
        <v>0</v>
      </c>
      <c r="AD1280">
        <v>0</v>
      </c>
      <c r="AE1280">
        <v>0</v>
      </c>
      <c r="AF1280">
        <v>0.25</v>
      </c>
      <c r="AG1280">
        <v>0</v>
      </c>
      <c r="AH1280">
        <v>0</v>
      </c>
      <c r="AI1280">
        <v>2</v>
      </c>
      <c r="AJ1280">
        <v>0</v>
      </c>
      <c r="AK1280">
        <v>0</v>
      </c>
      <c r="AL1280">
        <v>93</v>
      </c>
      <c r="AM1280">
        <v>28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32</v>
      </c>
      <c r="AU1280">
        <v>0.05</v>
      </c>
      <c r="AV1280">
        <v>0</v>
      </c>
    </row>
    <row r="1281" spans="1:48" ht="12.75">
      <c r="A1281" s="2" t="str">
        <f>HYPERLINK("https://ibp.a2mac1.com/costing(costing:projects/details/8191/equipment/6947831)","No.03 - Injection Press - 80T - 30kW - 370x370 - Max Volume 260cm3 ")</f>
        <v xml:space="preserve">No.03 - Injection Press - 80T - 30kW - 370x370 - Max Volume 260cm3 </v>
      </c>
      <c r="B1281">
        <v>6947831</v>
      </c>
      <c r="C1281">
        <v>6975273</v>
      </c>
      <c r="E1281" t="s">
        <v>499</v>
      </c>
      <c r="H1281" t="s">
        <v>136</v>
      </c>
      <c r="I1281">
        <v>19639.85152</v>
      </c>
      <c r="J1281">
        <v>0</v>
      </c>
      <c r="K1281">
        <v>2.1332</v>
      </c>
      <c r="L1281">
        <v>0</v>
      </c>
      <c r="M1281">
        <v>6.2138575891996144</v>
      </c>
      <c r="N1281">
        <v>0</v>
      </c>
      <c r="O1281">
        <v>0.046741102825278685</v>
      </c>
      <c r="P1281">
        <v>0.00776932560525</v>
      </c>
      <c r="Q1281">
        <v>0.0037601205107039536</v>
      </c>
      <c r="R1281">
        <v>115000</v>
      </c>
      <c r="S1281">
        <v>0</v>
      </c>
      <c r="T1281">
        <v>0</v>
      </c>
      <c r="V1281">
        <v>7200</v>
      </c>
      <c r="W1281">
        <v>8</v>
      </c>
      <c r="X1281">
        <v>85</v>
      </c>
      <c r="Y1281">
        <v>3</v>
      </c>
      <c r="Z1281">
        <v>4</v>
      </c>
      <c r="AA1281">
        <v>5</v>
      </c>
      <c r="AB1281">
        <v>0</v>
      </c>
      <c r="AC1281">
        <v>0</v>
      </c>
      <c r="AD1281">
        <v>0</v>
      </c>
      <c r="AE1281">
        <v>0</v>
      </c>
      <c r="AF1281">
        <v>0.25</v>
      </c>
      <c r="AG1281">
        <v>0</v>
      </c>
      <c r="AH1281">
        <v>0</v>
      </c>
      <c r="AI1281">
        <v>2</v>
      </c>
      <c r="AJ1281">
        <v>0</v>
      </c>
      <c r="AK1281">
        <v>0</v>
      </c>
      <c r="AL1281">
        <v>93</v>
      </c>
      <c r="AM1281">
        <v>28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32</v>
      </c>
      <c r="AU1281">
        <v>0.05</v>
      </c>
      <c r="AV1281">
        <v>0</v>
      </c>
    </row>
    <row r="1282" spans="1:48" ht="12.75">
      <c r="A1282" s="2" t="str">
        <f>HYPERLINK("https://ibp.a2mac1.com/costing(costing:projects/details/8191/equipment/6948357)","Equipment (Stamping)")</f>
        <v>Equipment (Stamping)</v>
      </c>
      <c r="B1282">
        <v>6948357</v>
      </c>
      <c r="C1282">
        <v>6975752</v>
      </c>
      <c r="H1282" t="s">
        <v>136</v>
      </c>
      <c r="I1282">
        <v>373962.1752</v>
      </c>
      <c r="J1282">
        <v>0</v>
      </c>
      <c r="K1282">
        <v>3.3919999999999999</v>
      </c>
      <c r="L1282">
        <v>0</v>
      </c>
      <c r="M1282">
        <v>85.594213950498229</v>
      </c>
      <c r="N1282">
        <v>0</v>
      </c>
      <c r="O1282">
        <v>0.085594213950498238</v>
      </c>
      <c r="P1282">
        <v>0.0041314799999999999</v>
      </c>
      <c r="Q1282">
        <v>0.0049821612277724204</v>
      </c>
      <c r="R1282">
        <v>2750000</v>
      </c>
      <c r="S1282">
        <v>0</v>
      </c>
      <c r="T1282">
        <v>0</v>
      </c>
      <c r="V1282">
        <v>5400</v>
      </c>
      <c r="W1282">
        <v>10</v>
      </c>
      <c r="X1282">
        <v>85</v>
      </c>
      <c r="Y1282">
        <v>3</v>
      </c>
      <c r="Z1282">
        <v>4</v>
      </c>
      <c r="AA1282">
        <v>5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2</v>
      </c>
      <c r="AJ1282">
        <v>0</v>
      </c>
      <c r="AK1282">
        <v>0</v>
      </c>
      <c r="AL1282">
        <v>80</v>
      </c>
      <c r="AM1282">
        <v>53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70</v>
      </c>
      <c r="AU1282">
        <v>0</v>
      </c>
      <c r="AV1282">
        <v>0</v>
      </c>
    </row>
    <row r="1283" spans="1:48" ht="12.75">
      <c r="A1283" s="2" t="str">
        <f>HYPERLINK("https://ibp.a2mac1.com/costing(costing:projects/details/8191/equipment/6948358)","Equipment (Stamping)")</f>
        <v>Equipment (Stamping)</v>
      </c>
      <c r="B1283">
        <v>6948358</v>
      </c>
      <c r="C1283">
        <v>6975753</v>
      </c>
      <c r="H1283" t="s">
        <v>136</v>
      </c>
      <c r="I1283">
        <v>373962.1752</v>
      </c>
      <c r="J1283">
        <v>0</v>
      </c>
      <c r="K1283">
        <v>3.3919999999999999</v>
      </c>
      <c r="L1283">
        <v>0</v>
      </c>
      <c r="M1283">
        <v>85.594213950498229</v>
      </c>
      <c r="N1283">
        <v>0</v>
      </c>
      <c r="O1283">
        <v>0.042797106975249119</v>
      </c>
      <c r="P1283">
        <v>0.0020657399999999999</v>
      </c>
      <c r="Q1283">
        <v>0.0049821612277724204</v>
      </c>
      <c r="R1283">
        <v>2750000</v>
      </c>
      <c r="S1283">
        <v>0</v>
      </c>
      <c r="T1283">
        <v>0</v>
      </c>
      <c r="V1283">
        <v>5400</v>
      </c>
      <c r="W1283">
        <v>10</v>
      </c>
      <c r="X1283">
        <v>85</v>
      </c>
      <c r="Y1283">
        <v>3</v>
      </c>
      <c r="Z1283">
        <v>4</v>
      </c>
      <c r="AA1283">
        <v>5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2</v>
      </c>
      <c r="AJ1283">
        <v>0</v>
      </c>
      <c r="AK1283">
        <v>0</v>
      </c>
      <c r="AL1283">
        <v>80</v>
      </c>
      <c r="AM1283">
        <v>53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70</v>
      </c>
      <c r="AU1283">
        <v>0</v>
      </c>
      <c r="AV1283">
        <v>0</v>
      </c>
    </row>
    <row r="1284" spans="1:48" ht="12.75">
      <c r="A1284" s="2" t="str">
        <f>HYPERLINK("https://ibp.a2mac1.com/costing(costing:projects/details/8191/equipment/6948359)","Equipment (Stamping)")</f>
        <v>Equipment (Stamping)</v>
      </c>
      <c r="B1284">
        <v>6948359</v>
      </c>
      <c r="C1284">
        <v>6975754</v>
      </c>
      <c r="H1284" t="s">
        <v>136</v>
      </c>
      <c r="I1284">
        <v>373962.1752</v>
      </c>
      <c r="J1284">
        <v>0</v>
      </c>
      <c r="K1284">
        <v>3.3919999999999999</v>
      </c>
      <c r="L1284">
        <v>0</v>
      </c>
      <c r="M1284">
        <v>85.594213950498229</v>
      </c>
      <c r="N1284">
        <v>0</v>
      </c>
      <c r="O1284">
        <v>0.042797106975249119</v>
      </c>
      <c r="P1284">
        <v>0.0020657399999999999</v>
      </c>
      <c r="Q1284">
        <v>0.0049821612277724204</v>
      </c>
      <c r="R1284">
        <v>2750000</v>
      </c>
      <c r="S1284">
        <v>0</v>
      </c>
      <c r="T1284">
        <v>0</v>
      </c>
      <c r="V1284">
        <v>5400</v>
      </c>
      <c r="W1284">
        <v>10</v>
      </c>
      <c r="X1284">
        <v>85</v>
      </c>
      <c r="Y1284">
        <v>3</v>
      </c>
      <c r="Z1284">
        <v>4</v>
      </c>
      <c r="AA1284">
        <v>5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2</v>
      </c>
      <c r="AJ1284">
        <v>0</v>
      </c>
      <c r="AK1284">
        <v>0</v>
      </c>
      <c r="AL1284">
        <v>80</v>
      </c>
      <c r="AM1284">
        <v>53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70</v>
      </c>
      <c r="AU1284">
        <v>0</v>
      </c>
      <c r="AV1284">
        <v>0</v>
      </c>
    </row>
    <row r="1285" spans="1:48" ht="12.75">
      <c r="A1285" s="2" t="str">
        <f>HYPERLINK("https://ibp.a2mac1.com/costing(costing:projects/details/8191/equipment/6948360)","Equipment (Stamping)")</f>
        <v>Equipment (Stamping)</v>
      </c>
      <c r="B1285">
        <v>6948360</v>
      </c>
      <c r="C1285">
        <v>6975755</v>
      </c>
      <c r="H1285" t="s">
        <v>136</v>
      </c>
      <c r="I1285">
        <v>373962.1752</v>
      </c>
      <c r="J1285">
        <v>0</v>
      </c>
      <c r="K1285">
        <v>3.3919999999999999</v>
      </c>
      <c r="L1285">
        <v>0</v>
      </c>
      <c r="M1285">
        <v>85.594213950498229</v>
      </c>
      <c r="N1285">
        <v>0</v>
      </c>
      <c r="O1285">
        <v>0.042797106975249119</v>
      </c>
      <c r="P1285">
        <v>0.0020657399999999999</v>
      </c>
      <c r="Q1285">
        <v>0.0049821612277724204</v>
      </c>
      <c r="R1285">
        <v>2750000</v>
      </c>
      <c r="S1285">
        <v>0</v>
      </c>
      <c r="T1285">
        <v>0</v>
      </c>
      <c r="V1285">
        <v>5400</v>
      </c>
      <c r="W1285">
        <v>10</v>
      </c>
      <c r="X1285">
        <v>85</v>
      </c>
      <c r="Y1285">
        <v>3</v>
      </c>
      <c r="Z1285">
        <v>4</v>
      </c>
      <c r="AA1285">
        <v>5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2</v>
      </c>
      <c r="AJ1285">
        <v>0</v>
      </c>
      <c r="AK1285">
        <v>0</v>
      </c>
      <c r="AL1285">
        <v>80</v>
      </c>
      <c r="AM1285">
        <v>53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70</v>
      </c>
      <c r="AU1285">
        <v>0</v>
      </c>
      <c r="AV1285">
        <v>0</v>
      </c>
    </row>
    <row r="1286" spans="1:48" ht="12.75">
      <c r="A1286" s="2" t="str">
        <f>HYPERLINK("https://ibp.a2mac1.com/costing(costing:projects/details/8191/equipment/6948361)","Equipment (Stamping)")</f>
        <v>Equipment (Stamping)</v>
      </c>
      <c r="B1286">
        <v>6948361</v>
      </c>
      <c r="C1286">
        <v>6975756</v>
      </c>
      <c r="H1286" t="s">
        <v>136</v>
      </c>
      <c r="I1286">
        <v>373962.1752</v>
      </c>
      <c r="J1286">
        <v>0</v>
      </c>
      <c r="K1286">
        <v>3.3919999999999999</v>
      </c>
      <c r="L1286">
        <v>0</v>
      </c>
      <c r="M1286">
        <v>85.594213950498229</v>
      </c>
      <c r="N1286">
        <v>0</v>
      </c>
      <c r="O1286">
        <v>0.042797106975249119</v>
      </c>
      <c r="P1286">
        <v>0.0020657399999999999</v>
      </c>
      <c r="Q1286">
        <v>0.0049821612277724204</v>
      </c>
      <c r="R1286">
        <v>2750000</v>
      </c>
      <c r="S1286">
        <v>0</v>
      </c>
      <c r="T1286">
        <v>0</v>
      </c>
      <c r="V1286">
        <v>5400</v>
      </c>
      <c r="W1286">
        <v>10</v>
      </c>
      <c r="X1286">
        <v>85</v>
      </c>
      <c r="Y1286">
        <v>3</v>
      </c>
      <c r="Z1286">
        <v>4</v>
      </c>
      <c r="AA1286">
        <v>5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2</v>
      </c>
      <c r="AJ1286">
        <v>0</v>
      </c>
      <c r="AK1286">
        <v>0</v>
      </c>
      <c r="AL1286">
        <v>80</v>
      </c>
      <c r="AM1286">
        <v>53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70</v>
      </c>
      <c r="AU1286">
        <v>0</v>
      </c>
      <c r="AV1286">
        <v>0</v>
      </c>
    </row>
    <row r="1287" spans="1:48" ht="12.75">
      <c r="A1287" s="2" t="str">
        <f>HYPERLINK("https://ibp.a2mac1.com/costing(costing:projects/details/8191/equipment/6948362)","Equipment (Stamping)")</f>
        <v>Equipment (Stamping)</v>
      </c>
      <c r="B1287">
        <v>6948362</v>
      </c>
      <c r="C1287">
        <v>6975757</v>
      </c>
      <c r="H1287" t="s">
        <v>136</v>
      </c>
      <c r="I1287">
        <v>373962.1752</v>
      </c>
      <c r="J1287">
        <v>0</v>
      </c>
      <c r="K1287">
        <v>3.3919999999999999</v>
      </c>
      <c r="L1287">
        <v>0</v>
      </c>
      <c r="M1287">
        <v>85.594213950498229</v>
      </c>
      <c r="N1287">
        <v>0</v>
      </c>
      <c r="O1287">
        <v>0.042797106975249119</v>
      </c>
      <c r="P1287">
        <v>0.0020657399999999999</v>
      </c>
      <c r="Q1287">
        <v>0.0049821612277724204</v>
      </c>
      <c r="R1287">
        <v>2750000</v>
      </c>
      <c r="S1287">
        <v>0</v>
      </c>
      <c r="T1287">
        <v>0</v>
      </c>
      <c r="V1287">
        <v>5400</v>
      </c>
      <c r="W1287">
        <v>10</v>
      </c>
      <c r="X1287">
        <v>85</v>
      </c>
      <c r="Y1287">
        <v>3</v>
      </c>
      <c r="Z1287">
        <v>4</v>
      </c>
      <c r="AA1287">
        <v>5</v>
      </c>
      <c r="AB1287">
        <v>0</v>
      </c>
      <c r="AC1287">
        <v>0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2</v>
      </c>
      <c r="AJ1287">
        <v>0</v>
      </c>
      <c r="AK1287">
        <v>0</v>
      </c>
      <c r="AL1287">
        <v>80</v>
      </c>
      <c r="AM1287">
        <v>53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70</v>
      </c>
      <c r="AU1287">
        <v>0</v>
      </c>
      <c r="AV1287">
        <v>0</v>
      </c>
    </row>
    <row r="1288" spans="1:48" ht="12.75">
      <c r="A1288" s="2" t="str">
        <f>HYPERLINK("https://ibp.a2mac1.com/costing(costing:projects/details/8191/equipment/6947894)","No.01 - Progressive Press - 250T ")</f>
        <v xml:space="preserve">No.01 - Progressive Press - 250T </v>
      </c>
      <c r="B1288">
        <v>6947894</v>
      </c>
      <c r="C1288">
        <v>6975328</v>
      </c>
      <c r="E1288" t="s">
        <v>499</v>
      </c>
      <c r="H1288" t="s">
        <v>136</v>
      </c>
      <c r="I1288">
        <v>295789.00731428573</v>
      </c>
      <c r="J1288">
        <v>0</v>
      </c>
      <c r="K1288">
        <v>5.82</v>
      </c>
      <c r="L1288">
        <v>0</v>
      </c>
      <c r="M1288">
        <v>66.618618983331032</v>
      </c>
      <c r="N1288">
        <v>0</v>
      </c>
      <c r="O1288">
        <v>0.0158239575774545</v>
      </c>
      <c r="P1288">
        <v>0.00098135273966666668</v>
      </c>
      <c r="Q1288">
        <v>0.0011876828847499656</v>
      </c>
      <c r="R1288">
        <v>1650000</v>
      </c>
      <c r="S1288">
        <v>0</v>
      </c>
      <c r="T1288">
        <v>0</v>
      </c>
      <c r="V1288">
        <v>1800</v>
      </c>
      <c r="W1288">
        <v>7</v>
      </c>
      <c r="X1288">
        <v>85</v>
      </c>
      <c r="Y1288">
        <v>3</v>
      </c>
      <c r="Z1288">
        <v>4</v>
      </c>
      <c r="AA1288">
        <v>5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87</v>
      </c>
      <c r="AM1288">
        <v>75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60</v>
      </c>
      <c r="AU1288">
        <v>0.60</v>
      </c>
      <c r="AV1288">
        <v>0</v>
      </c>
    </row>
    <row r="1289" spans="1:48" ht="12.75">
      <c r="A1289" s="2" t="str">
        <f>HYPERLINK("https://ibp.a2mac1.com/costing(costing:projects/details/8191/equipment/6947895)","No.05 - Cleaning - Batch - 2000x2000x1200 - 500kg/batch - 3000kg/h ")</f>
        <v xml:space="preserve">No.05 - Cleaning - Batch - 2000x2000x1200 - 500kg/batch - 3000kg/h </v>
      </c>
      <c r="B1289">
        <v>6947895</v>
      </c>
      <c r="C1289">
        <v>6975329</v>
      </c>
      <c r="E1289" t="s">
        <v>499</v>
      </c>
      <c r="H1289" t="s">
        <v>136</v>
      </c>
      <c r="I1289">
        <v>36749.814400000003</v>
      </c>
      <c r="J1289">
        <v>0</v>
      </c>
      <c r="K1289">
        <v>7.60</v>
      </c>
      <c r="L1289">
        <v>0</v>
      </c>
      <c r="M1289">
        <v>15.274351398264224</v>
      </c>
      <c r="N1289">
        <v>0</v>
      </c>
      <c r="O1289">
        <v>0.042428753884067291</v>
      </c>
      <c r="P1289">
        <v>0.024368966666666665</v>
      </c>
      <c r="Q1289">
        <v>0</v>
      </c>
      <c r="R1289">
        <v>220000</v>
      </c>
      <c r="S1289">
        <v>0</v>
      </c>
      <c r="T1289">
        <v>0</v>
      </c>
      <c r="V1289">
        <v>0</v>
      </c>
      <c r="W1289">
        <v>8</v>
      </c>
      <c r="X1289">
        <v>85</v>
      </c>
      <c r="Y1289">
        <v>3</v>
      </c>
      <c r="Z1289">
        <v>4</v>
      </c>
      <c r="AA1289">
        <v>5</v>
      </c>
      <c r="AB1289">
        <v>0</v>
      </c>
      <c r="AC1289">
        <v>1</v>
      </c>
      <c r="AD1289">
        <v>0</v>
      </c>
      <c r="AE1289">
        <v>0</v>
      </c>
      <c r="AF1289">
        <v>0.10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100</v>
      </c>
      <c r="AM1289">
        <v>60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40</v>
      </c>
      <c r="AU1289">
        <v>2.80</v>
      </c>
      <c r="AV1289">
        <v>0</v>
      </c>
    </row>
    <row r="1290" spans="1:48" ht="12.75">
      <c r="A1290" s="2" t="str">
        <f>HYPERLINK("https://ibp.a2mac1.com/costing(costing:projects/details/8191/equipment/6947896)","Packaging ")</f>
        <v xml:space="preserve">Packaging </v>
      </c>
      <c r="B1290">
        <v>6947896</v>
      </c>
      <c r="C1290">
        <v>6975330</v>
      </c>
      <c r="E1290" t="s">
        <v>499</v>
      </c>
      <c r="H1290" t="s">
        <v>136</v>
      </c>
      <c r="I1290">
        <v>4437.4535999999998</v>
      </c>
      <c r="J1290">
        <v>0</v>
      </c>
      <c r="K1290">
        <v>0.10768</v>
      </c>
      <c r="L1290">
        <v>0</v>
      </c>
      <c r="M1290">
        <v>1.0619476952748312</v>
      </c>
      <c r="N1290">
        <v>0</v>
      </c>
      <c r="O1290">
        <v>0.0023598837672774028</v>
      </c>
      <c r="P1290">
        <v>0.027758133333333334</v>
      </c>
      <c r="Q1290">
        <v>0.00010216640771456123</v>
      </c>
      <c r="R1290">
        <v>30000</v>
      </c>
      <c r="S1290">
        <v>0</v>
      </c>
      <c r="T1290">
        <v>0</v>
      </c>
      <c r="V1290">
        <v>900</v>
      </c>
      <c r="W1290">
        <v>10</v>
      </c>
      <c r="X1290">
        <v>85</v>
      </c>
      <c r="Y1290">
        <v>3</v>
      </c>
      <c r="Z1290">
        <v>4</v>
      </c>
      <c r="AA1290">
        <v>5</v>
      </c>
      <c r="AB1290">
        <v>0</v>
      </c>
      <c r="AC1290">
        <v>1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50</v>
      </c>
      <c r="AM1290">
        <v>2</v>
      </c>
      <c r="AN1290">
        <v>0</v>
      </c>
      <c r="AO1290">
        <v>0</v>
      </c>
      <c r="AP1290">
        <v>0</v>
      </c>
      <c r="AQ1290">
        <v>1</v>
      </c>
      <c r="AR1290">
        <v>0</v>
      </c>
      <c r="AS1290">
        <v>0</v>
      </c>
      <c r="AT1290">
        <v>10</v>
      </c>
      <c r="AU1290">
        <v>0</v>
      </c>
      <c r="AV1290">
        <v>0</v>
      </c>
    </row>
    <row r="1291" spans="1:48" ht="12.75">
      <c r="A1291" s="2" t="str">
        <f>HYPERLINK("https://ibp.a2mac1.com/costing(costing:projects/details/8191/equipment/6947897)","No.12 - Injection Press - 800T - 160kW - 1120x1120 - Max Volume 5374cm3 ")</f>
        <v xml:space="preserve">No.12 - Injection Press - 800T - 160kW - 1120x1120 - Max Volume 5374cm3 </v>
      </c>
      <c r="B1291">
        <v>6947897</v>
      </c>
      <c r="C1291">
        <v>6975331</v>
      </c>
      <c r="E1291" t="s">
        <v>499</v>
      </c>
      <c r="H1291" t="s">
        <v>136</v>
      </c>
      <c r="I1291">
        <v>84939.331839999999</v>
      </c>
      <c r="J1291">
        <v>0</v>
      </c>
      <c r="K1291">
        <v>5.4992000000000001</v>
      </c>
      <c r="L1291">
        <v>0</v>
      </c>
      <c r="M1291">
        <v>23.136508235294119</v>
      </c>
      <c r="N1291">
        <v>0</v>
      </c>
      <c r="O1291">
        <v>0.21584903298149019</v>
      </c>
      <c r="P1291">
        <v>0.019272051636166666</v>
      </c>
      <c r="Q1291">
        <v>0.0072980673882352938</v>
      </c>
      <c r="R1291">
        <v>496000</v>
      </c>
      <c r="S1291">
        <v>0</v>
      </c>
      <c r="T1291">
        <v>0</v>
      </c>
      <c r="V1291">
        <v>14400</v>
      </c>
      <c r="W1291">
        <v>8</v>
      </c>
      <c r="X1291">
        <v>85</v>
      </c>
      <c r="Y1291">
        <v>3</v>
      </c>
      <c r="Z1291">
        <v>4</v>
      </c>
      <c r="AA1291">
        <v>5</v>
      </c>
      <c r="AB1291">
        <v>0</v>
      </c>
      <c r="AC1291">
        <v>0</v>
      </c>
      <c r="AD1291">
        <v>0</v>
      </c>
      <c r="AE1291">
        <v>0</v>
      </c>
      <c r="AF1291">
        <v>0.50</v>
      </c>
      <c r="AG1291">
        <v>0</v>
      </c>
      <c r="AH1291">
        <v>0</v>
      </c>
      <c r="AI1291">
        <v>3</v>
      </c>
      <c r="AJ1291">
        <v>0</v>
      </c>
      <c r="AK1291">
        <v>0</v>
      </c>
      <c r="AL1291">
        <v>92</v>
      </c>
      <c r="AM1291">
        <v>72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144</v>
      </c>
      <c r="AU1291">
        <v>0.20</v>
      </c>
      <c r="AV1291">
        <v>0</v>
      </c>
    </row>
    <row r="1292" spans="1:48" ht="12.75">
      <c r="A1292" s="2" t="str">
        <f>HYPERLINK("https://ibp.a2mac1.com/costing(costing:projects/details/8191/equipment/6947898)","Packaging")</f>
        <v>Packaging</v>
      </c>
      <c r="B1292">
        <v>6947898</v>
      </c>
      <c r="C1292">
        <v>6975332</v>
      </c>
      <c r="H1292" t="s">
        <v>136</v>
      </c>
      <c r="I1292">
        <v>4437.4535986499995</v>
      </c>
      <c r="J1292">
        <v>0</v>
      </c>
      <c r="K1292">
        <v>0.08</v>
      </c>
      <c r="L1292">
        <v>0</v>
      </c>
      <c r="M1292">
        <v>1.0342676949774992</v>
      </c>
      <c r="N1292">
        <v>0</v>
      </c>
      <c r="O1292">
        <v>0.012928346187218741</v>
      </c>
      <c r="P1292">
        <v>0.051643500000000002</v>
      </c>
      <c r="Q1292">
        <v>7.7570077123312437E-06</v>
      </c>
      <c r="R1292">
        <v>29999.99999</v>
      </c>
      <c r="S1292">
        <v>0</v>
      </c>
      <c r="T1292">
        <v>0</v>
      </c>
      <c r="V1292">
        <v>900</v>
      </c>
      <c r="W1292">
        <v>10</v>
      </c>
      <c r="X1292">
        <v>85</v>
      </c>
      <c r="Y1292">
        <v>3</v>
      </c>
      <c r="Z1292">
        <v>4</v>
      </c>
      <c r="AA1292">
        <v>5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50</v>
      </c>
      <c r="AM1292">
        <v>2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10</v>
      </c>
      <c r="AU1292">
        <v>0</v>
      </c>
      <c r="AV1292">
        <v>0</v>
      </c>
    </row>
    <row r="1293" spans="1:48" ht="12.75">
      <c r="A1293" s="2" t="str">
        <f>HYPERLINK("https://ibp.a2mac1.com/costing(costing:projects/details/8191/equipment/6947899)","No.01 - Progressive Press - 250T ")</f>
        <v xml:space="preserve">No.01 - Progressive Press - 250T </v>
      </c>
      <c r="B1293">
        <v>6947899</v>
      </c>
      <c r="C1293">
        <v>6975333</v>
      </c>
      <c r="E1293" t="s">
        <v>499</v>
      </c>
      <c r="H1293" t="s">
        <v>136</v>
      </c>
      <c r="I1293">
        <v>295789.00731428573</v>
      </c>
      <c r="J1293">
        <v>0</v>
      </c>
      <c r="K1293">
        <v>5.82</v>
      </c>
      <c r="L1293">
        <v>0</v>
      </c>
      <c r="M1293">
        <v>66.618618983331032</v>
      </c>
      <c r="N1293">
        <v>0</v>
      </c>
      <c r="O1293">
        <v>0.0158239575774545</v>
      </c>
      <c r="P1293">
        <v>0.00098135273966666668</v>
      </c>
      <c r="Q1293">
        <v>0.0011876828847499656</v>
      </c>
      <c r="R1293">
        <v>1650000</v>
      </c>
      <c r="S1293">
        <v>0</v>
      </c>
      <c r="T1293">
        <v>0</v>
      </c>
      <c r="V1293">
        <v>1800</v>
      </c>
      <c r="W1293">
        <v>7</v>
      </c>
      <c r="X1293">
        <v>85</v>
      </c>
      <c r="Y1293">
        <v>3</v>
      </c>
      <c r="Z1293">
        <v>4</v>
      </c>
      <c r="AA1293">
        <v>5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87</v>
      </c>
      <c r="AM1293">
        <v>75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60</v>
      </c>
      <c r="AU1293">
        <v>0.60</v>
      </c>
      <c r="AV1293">
        <v>0</v>
      </c>
    </row>
    <row r="1294" spans="1:48" ht="12.75">
      <c r="A1294" s="2" t="str">
        <f>HYPERLINK("https://ibp.a2mac1.com/costing(costing:projects/details/8191/equipment/6947900)","No.05 - Cleaning - Batch - 2000x2000x1200 - 500kg/batch - 3000kg/h ")</f>
        <v xml:space="preserve">No.05 - Cleaning - Batch - 2000x2000x1200 - 500kg/batch - 3000kg/h </v>
      </c>
      <c r="B1294">
        <v>6947900</v>
      </c>
      <c r="C1294">
        <v>6975334</v>
      </c>
      <c r="E1294" t="s">
        <v>499</v>
      </c>
      <c r="H1294" t="s">
        <v>136</v>
      </c>
      <c r="I1294">
        <v>36749.814400000003</v>
      </c>
      <c r="J1294">
        <v>0</v>
      </c>
      <c r="K1294">
        <v>7.60</v>
      </c>
      <c r="L1294">
        <v>0</v>
      </c>
      <c r="M1294">
        <v>15.274351398264224</v>
      </c>
      <c r="N1294">
        <v>0</v>
      </c>
      <c r="O1294">
        <v>0.042428753884067291</v>
      </c>
      <c r="P1294">
        <v>0.024368966666666665</v>
      </c>
      <c r="Q1294">
        <v>0</v>
      </c>
      <c r="R1294">
        <v>220000</v>
      </c>
      <c r="S1294">
        <v>0</v>
      </c>
      <c r="T1294">
        <v>0</v>
      </c>
      <c r="V1294">
        <v>0</v>
      </c>
      <c r="W1294">
        <v>8</v>
      </c>
      <c r="X1294">
        <v>85</v>
      </c>
      <c r="Y1294">
        <v>3</v>
      </c>
      <c r="Z1294">
        <v>4</v>
      </c>
      <c r="AA1294">
        <v>5</v>
      </c>
      <c r="AB1294">
        <v>0</v>
      </c>
      <c r="AC1294">
        <v>1</v>
      </c>
      <c r="AD1294">
        <v>0</v>
      </c>
      <c r="AE1294">
        <v>0</v>
      </c>
      <c r="AF1294">
        <v>0.10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100</v>
      </c>
      <c r="AM1294">
        <v>60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40</v>
      </c>
      <c r="AU1294">
        <v>2.80</v>
      </c>
      <c r="AV1294">
        <v>0</v>
      </c>
    </row>
    <row r="1295" spans="1:48" ht="12.75">
      <c r="A1295" s="2" t="str">
        <f>HYPERLINK("https://ibp.a2mac1.com/costing(costing:projects/details/8191/equipment/6947901)","Packaging ")</f>
        <v xml:space="preserve">Packaging </v>
      </c>
      <c r="B1295">
        <v>6947901</v>
      </c>
      <c r="C1295">
        <v>6975335</v>
      </c>
      <c r="E1295" t="s">
        <v>499</v>
      </c>
      <c r="H1295" t="s">
        <v>136</v>
      </c>
      <c r="I1295">
        <v>4437.4535999999998</v>
      </c>
      <c r="J1295">
        <v>0</v>
      </c>
      <c r="K1295">
        <v>0.10768</v>
      </c>
      <c r="L1295">
        <v>0</v>
      </c>
      <c r="M1295">
        <v>1.0619476952748312</v>
      </c>
      <c r="N1295">
        <v>0</v>
      </c>
      <c r="O1295">
        <v>0.0023598837672774028</v>
      </c>
      <c r="P1295">
        <v>0.027758133333333334</v>
      </c>
      <c r="Q1295">
        <v>0.00010216640771456123</v>
      </c>
      <c r="R1295">
        <v>30000</v>
      </c>
      <c r="S1295">
        <v>0</v>
      </c>
      <c r="T1295">
        <v>0</v>
      </c>
      <c r="V1295">
        <v>900</v>
      </c>
      <c r="W1295">
        <v>10</v>
      </c>
      <c r="X1295">
        <v>85</v>
      </c>
      <c r="Y1295">
        <v>3</v>
      </c>
      <c r="Z1295">
        <v>4</v>
      </c>
      <c r="AA1295">
        <v>5</v>
      </c>
      <c r="AB1295">
        <v>0</v>
      </c>
      <c r="AC1295">
        <v>1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50</v>
      </c>
      <c r="AM1295">
        <v>2</v>
      </c>
      <c r="AN1295">
        <v>0</v>
      </c>
      <c r="AO1295">
        <v>0</v>
      </c>
      <c r="AP1295">
        <v>0</v>
      </c>
      <c r="AQ1295">
        <v>1</v>
      </c>
      <c r="AR1295">
        <v>0</v>
      </c>
      <c r="AS1295">
        <v>0</v>
      </c>
      <c r="AT1295">
        <v>10</v>
      </c>
      <c r="AU1295">
        <v>0</v>
      </c>
      <c r="AV1295">
        <v>0</v>
      </c>
    </row>
    <row r="1296" spans="1:48" ht="12.75">
      <c r="A1296" s="2" t="str">
        <f>HYPERLINK("https://ibp.a2mac1.com/costing(costing:projects/details/8191/equipment/6947902)","No.01 - Progressive Press - 250T ")</f>
        <v xml:space="preserve">No.01 - Progressive Press - 250T </v>
      </c>
      <c r="B1296">
        <v>6947902</v>
      </c>
      <c r="C1296">
        <v>6975336</v>
      </c>
      <c r="E1296" t="s">
        <v>499</v>
      </c>
      <c r="H1296" t="s">
        <v>136</v>
      </c>
      <c r="I1296">
        <v>295789.00731428573</v>
      </c>
      <c r="J1296">
        <v>0</v>
      </c>
      <c r="K1296">
        <v>5.82</v>
      </c>
      <c r="L1296">
        <v>0</v>
      </c>
      <c r="M1296">
        <v>66.618618983331032</v>
      </c>
      <c r="N1296">
        <v>0</v>
      </c>
      <c r="O1296">
        <v>0.0158239575774545</v>
      </c>
      <c r="P1296">
        <v>0.00098135273966666668</v>
      </c>
      <c r="Q1296">
        <v>0.0011876828847499656</v>
      </c>
      <c r="R1296">
        <v>1650000</v>
      </c>
      <c r="S1296">
        <v>0</v>
      </c>
      <c r="T1296">
        <v>0</v>
      </c>
      <c r="V1296">
        <v>1800</v>
      </c>
      <c r="W1296">
        <v>7</v>
      </c>
      <c r="X1296">
        <v>85</v>
      </c>
      <c r="Y1296">
        <v>3</v>
      </c>
      <c r="Z1296">
        <v>4</v>
      </c>
      <c r="AA1296">
        <v>5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87</v>
      </c>
      <c r="AM1296">
        <v>75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60</v>
      </c>
      <c r="AU1296">
        <v>0.60</v>
      </c>
      <c r="AV1296">
        <v>0</v>
      </c>
    </row>
    <row r="1297" spans="1:48" ht="12.75">
      <c r="A1297" s="2" t="str">
        <f>HYPERLINK("https://ibp.a2mac1.com/costing(costing:projects/details/8191/equipment/6947903)","No.05 - Cleaning - Batch - 2000x2000x1200 - 500kg/batch - 3000kg/h ")</f>
        <v xml:space="preserve">No.05 - Cleaning - Batch - 2000x2000x1200 - 500kg/batch - 3000kg/h </v>
      </c>
      <c r="B1297">
        <v>6947903</v>
      </c>
      <c r="C1297">
        <v>6975337</v>
      </c>
      <c r="E1297" t="s">
        <v>499</v>
      </c>
      <c r="H1297" t="s">
        <v>136</v>
      </c>
      <c r="I1297">
        <v>36749.814400000003</v>
      </c>
      <c r="J1297">
        <v>0</v>
      </c>
      <c r="K1297">
        <v>7.60</v>
      </c>
      <c r="L1297">
        <v>0</v>
      </c>
      <c r="M1297">
        <v>15.274351398264224</v>
      </c>
      <c r="N1297">
        <v>0</v>
      </c>
      <c r="O1297">
        <v>0.042428753884067291</v>
      </c>
      <c r="P1297">
        <v>0.024368966666666665</v>
      </c>
      <c r="Q1297">
        <v>0</v>
      </c>
      <c r="R1297">
        <v>220000</v>
      </c>
      <c r="S1297">
        <v>0</v>
      </c>
      <c r="T1297">
        <v>0</v>
      </c>
      <c r="V1297">
        <v>0</v>
      </c>
      <c r="W1297">
        <v>8</v>
      </c>
      <c r="X1297">
        <v>85</v>
      </c>
      <c r="Y1297">
        <v>3</v>
      </c>
      <c r="Z1297">
        <v>4</v>
      </c>
      <c r="AA1297">
        <v>5</v>
      </c>
      <c r="AB1297">
        <v>0</v>
      </c>
      <c r="AC1297">
        <v>1</v>
      </c>
      <c r="AD1297">
        <v>0</v>
      </c>
      <c r="AE1297">
        <v>0</v>
      </c>
      <c r="AF1297">
        <v>0.10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100</v>
      </c>
      <c r="AM1297">
        <v>60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40</v>
      </c>
      <c r="AU1297">
        <v>2.80</v>
      </c>
      <c r="AV1297">
        <v>0</v>
      </c>
    </row>
    <row r="1298" spans="1:48" ht="12.75">
      <c r="A1298" s="2" t="str">
        <f>HYPERLINK("https://ibp.a2mac1.com/costing(costing:projects/details/8191/equipment/6947904)","Packaging ")</f>
        <v xml:space="preserve">Packaging </v>
      </c>
      <c r="B1298">
        <v>6947904</v>
      </c>
      <c r="C1298">
        <v>6975338</v>
      </c>
      <c r="E1298" t="s">
        <v>499</v>
      </c>
      <c r="H1298" t="s">
        <v>136</v>
      </c>
      <c r="I1298">
        <v>4437.4535999999998</v>
      </c>
      <c r="J1298">
        <v>0</v>
      </c>
      <c r="K1298">
        <v>0.10768</v>
      </c>
      <c r="L1298">
        <v>0</v>
      </c>
      <c r="M1298">
        <v>1.0619476952748312</v>
      </c>
      <c r="N1298">
        <v>0</v>
      </c>
      <c r="O1298">
        <v>0.0023598837672774028</v>
      </c>
      <c r="P1298">
        <v>0.027758133333333334</v>
      </c>
      <c r="Q1298">
        <v>0.00010216640771456123</v>
      </c>
      <c r="R1298">
        <v>30000</v>
      </c>
      <c r="S1298">
        <v>0</v>
      </c>
      <c r="T1298">
        <v>0</v>
      </c>
      <c r="V1298">
        <v>900</v>
      </c>
      <c r="W1298">
        <v>10</v>
      </c>
      <c r="X1298">
        <v>85</v>
      </c>
      <c r="Y1298">
        <v>3</v>
      </c>
      <c r="Z1298">
        <v>4</v>
      </c>
      <c r="AA1298">
        <v>5</v>
      </c>
      <c r="AB1298">
        <v>0</v>
      </c>
      <c r="AC1298">
        <v>1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50</v>
      </c>
      <c r="AM1298">
        <v>2</v>
      </c>
      <c r="AN1298">
        <v>0</v>
      </c>
      <c r="AO1298">
        <v>0</v>
      </c>
      <c r="AP1298">
        <v>0</v>
      </c>
      <c r="AQ1298">
        <v>1</v>
      </c>
      <c r="AR1298">
        <v>0</v>
      </c>
      <c r="AS1298">
        <v>0</v>
      </c>
      <c r="AT1298">
        <v>10</v>
      </c>
      <c r="AU1298">
        <v>0</v>
      </c>
      <c r="AV1298">
        <v>0</v>
      </c>
    </row>
    <row r="1299" spans="1:48" ht="12.75">
      <c r="A1299" s="2" t="str">
        <f>HYPERLINK("https://ibp.a2mac1.com/costing(costing:projects/details/8191/equipment/6947905)","No.11 - Injection Press - 630T - 122kW - 1000x1000 - Max Volume 3038cm3 ")</f>
        <v xml:space="preserve">No.11 - Injection Press - 630T - 122kW - 1000x1000 - Max Volume 3038cm3 </v>
      </c>
      <c r="B1299">
        <v>6947905</v>
      </c>
      <c r="C1299">
        <v>6975339</v>
      </c>
      <c r="E1299" t="s">
        <v>499</v>
      </c>
      <c r="H1299" t="s">
        <v>136</v>
      </c>
      <c r="I1299">
        <v>68339.480320000002</v>
      </c>
      <c r="J1299">
        <v>0</v>
      </c>
      <c r="K1299">
        <v>4.6159999999999997</v>
      </c>
      <c r="L1299">
        <v>0</v>
      </c>
      <c r="M1299">
        <v>18.813923548698167</v>
      </c>
      <c r="N1299">
        <v>0</v>
      </c>
      <c r="O1299">
        <v>0.15249860906441659</v>
      </c>
      <c r="P1299">
        <v>0.0083720568937500003</v>
      </c>
      <c r="Q1299">
        <v>0.0067793572258437801</v>
      </c>
      <c r="R1299">
        <v>400000</v>
      </c>
      <c r="S1299">
        <v>0</v>
      </c>
      <c r="T1299">
        <v>0</v>
      </c>
      <c r="V1299">
        <v>14400</v>
      </c>
      <c r="W1299">
        <v>8</v>
      </c>
      <c r="X1299">
        <v>85</v>
      </c>
      <c r="Y1299">
        <v>3</v>
      </c>
      <c r="Z1299">
        <v>4</v>
      </c>
      <c r="AA1299">
        <v>5</v>
      </c>
      <c r="AB1299">
        <v>0</v>
      </c>
      <c r="AC1299">
        <v>0</v>
      </c>
      <c r="AD1299">
        <v>0</v>
      </c>
      <c r="AE1299">
        <v>0</v>
      </c>
      <c r="AF1299">
        <v>0.25</v>
      </c>
      <c r="AG1299">
        <v>0</v>
      </c>
      <c r="AH1299">
        <v>0</v>
      </c>
      <c r="AI1299">
        <v>3</v>
      </c>
      <c r="AJ1299">
        <v>0</v>
      </c>
      <c r="AK1299">
        <v>0</v>
      </c>
      <c r="AL1299">
        <v>92</v>
      </c>
      <c r="AM1299">
        <v>60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112</v>
      </c>
      <c r="AU1299">
        <v>0.20</v>
      </c>
      <c r="AV1299">
        <v>0</v>
      </c>
    </row>
    <row r="1300" spans="1:48" ht="12.75">
      <c r="A1300" s="2" t="str">
        <f>HYPERLINK("https://ibp.a2mac1.com/costing(costing:projects/details/8191/equipment/6947906)","Packaging station")</f>
        <v>Packaging station</v>
      </c>
      <c r="B1300">
        <v>6947906</v>
      </c>
      <c r="C1300">
        <v>6975340</v>
      </c>
      <c r="H1300" t="s">
        <v>136</v>
      </c>
      <c r="I1300">
        <v>4437.4535999999998</v>
      </c>
      <c r="J1300">
        <v>0</v>
      </c>
      <c r="K1300">
        <v>0.16</v>
      </c>
      <c r="L1300">
        <v>0</v>
      </c>
      <c r="M1300">
        <v>1.1142676952748312</v>
      </c>
      <c r="N1300">
        <v>0</v>
      </c>
      <c r="O1300">
        <v>0.01392834619093539</v>
      </c>
      <c r="P1300">
        <v>0.051643500000000002</v>
      </c>
      <c r="Q1300">
        <v>0.00010255880771456124</v>
      </c>
      <c r="R1300">
        <v>30000</v>
      </c>
      <c r="S1300">
        <v>0</v>
      </c>
      <c r="T1300">
        <v>0</v>
      </c>
      <c r="V1300">
        <v>900</v>
      </c>
      <c r="W1300">
        <v>10</v>
      </c>
      <c r="X1300">
        <v>85</v>
      </c>
      <c r="Y1300">
        <v>3</v>
      </c>
      <c r="Z1300">
        <v>4</v>
      </c>
      <c r="AA1300">
        <v>5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100</v>
      </c>
      <c r="AM1300">
        <v>2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10</v>
      </c>
      <c r="AU1300">
        <v>0</v>
      </c>
      <c r="AV1300">
        <v>0</v>
      </c>
    </row>
    <row r="1301" spans="1:48" ht="12.75">
      <c r="A1301" s="2" t="str">
        <f>HYPERLINK("https://ibp.a2mac1.com/costing(costing:projects/details/8191/equipment/6947907)","No.12 - Injection Press - 800T - 160kW - 1120x1120 - Max Volume 5374cm3 ")</f>
        <v xml:space="preserve">No.12 - Injection Press - 800T - 160kW - 1120x1120 - Max Volume 5374cm3 </v>
      </c>
      <c r="B1301">
        <v>6947907</v>
      </c>
      <c r="C1301">
        <v>6975341</v>
      </c>
      <c r="E1301" t="s">
        <v>499</v>
      </c>
      <c r="H1301" t="s">
        <v>136</v>
      </c>
      <c r="I1301">
        <v>84939.331839999999</v>
      </c>
      <c r="J1301">
        <v>0</v>
      </c>
      <c r="K1301">
        <v>5.4992000000000001</v>
      </c>
      <c r="L1301">
        <v>0</v>
      </c>
      <c r="M1301">
        <v>23.136508235294119</v>
      </c>
      <c r="N1301">
        <v>0</v>
      </c>
      <c r="O1301">
        <v>0.20736474687545098</v>
      </c>
      <c r="P1301">
        <v>0.018514533301833332</v>
      </c>
      <c r="Q1301">
        <v>0.0072980673882352938</v>
      </c>
      <c r="R1301">
        <v>496000</v>
      </c>
      <c r="S1301">
        <v>0</v>
      </c>
      <c r="T1301">
        <v>0</v>
      </c>
      <c r="V1301">
        <v>14400</v>
      </c>
      <c r="W1301">
        <v>8</v>
      </c>
      <c r="X1301">
        <v>85</v>
      </c>
      <c r="Y1301">
        <v>3</v>
      </c>
      <c r="Z1301">
        <v>4</v>
      </c>
      <c r="AA1301">
        <v>5</v>
      </c>
      <c r="AB1301">
        <v>0</v>
      </c>
      <c r="AC1301">
        <v>0</v>
      </c>
      <c r="AD1301">
        <v>0</v>
      </c>
      <c r="AE1301">
        <v>0</v>
      </c>
      <c r="AF1301">
        <v>0.50</v>
      </c>
      <c r="AG1301">
        <v>0</v>
      </c>
      <c r="AH1301">
        <v>0</v>
      </c>
      <c r="AI1301">
        <v>3</v>
      </c>
      <c r="AJ1301">
        <v>0</v>
      </c>
      <c r="AK1301">
        <v>0</v>
      </c>
      <c r="AL1301">
        <v>92</v>
      </c>
      <c r="AM1301">
        <v>72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144</v>
      </c>
      <c r="AU1301">
        <v>0.20</v>
      </c>
      <c r="AV1301">
        <v>0</v>
      </c>
    </row>
    <row r="1302" spans="1:48" ht="12.75">
      <c r="A1302" s="2" t="str">
        <f>HYPERLINK("https://ibp.a2mac1.com/costing(costing:projects/details/8191/equipment/6947908)","Packaging")</f>
        <v>Packaging</v>
      </c>
      <c r="B1302">
        <v>6947908</v>
      </c>
      <c r="C1302">
        <v>6975342</v>
      </c>
      <c r="H1302" t="s">
        <v>136</v>
      </c>
      <c r="I1302">
        <v>4437.4535986499995</v>
      </c>
      <c r="J1302">
        <v>0</v>
      </c>
      <c r="K1302">
        <v>0.08</v>
      </c>
      <c r="L1302">
        <v>0</v>
      </c>
      <c r="M1302">
        <v>1.0342676949774992</v>
      </c>
      <c r="N1302">
        <v>0</v>
      </c>
      <c r="O1302">
        <v>0.0086188974581458272</v>
      </c>
      <c r="P1302">
        <v>0.034429000000000001</v>
      </c>
      <c r="Q1302">
        <v>7.7570077123312437E-06</v>
      </c>
      <c r="R1302">
        <v>29999.99999</v>
      </c>
      <c r="S1302">
        <v>0</v>
      </c>
      <c r="T1302">
        <v>0</v>
      </c>
      <c r="V1302">
        <v>900</v>
      </c>
      <c r="W1302">
        <v>10</v>
      </c>
      <c r="X1302">
        <v>85</v>
      </c>
      <c r="Y1302">
        <v>3</v>
      </c>
      <c r="Z1302">
        <v>4</v>
      </c>
      <c r="AA1302">
        <v>5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50</v>
      </c>
      <c r="AM1302">
        <v>2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10</v>
      </c>
      <c r="AU1302">
        <v>0</v>
      </c>
      <c r="AV1302">
        <v>0</v>
      </c>
    </row>
    <row r="1303" spans="1:48" ht="12.75">
      <c r="A1303" s="2" t="str">
        <f>HYPERLINK("https://ibp.a2mac1.com/costing(costing:projects/details/8191/equipment/6948363)","Equipment (Injection Molding)")</f>
        <v>Equipment (Injection Molding)</v>
      </c>
      <c r="B1303">
        <v>6948363</v>
      </c>
      <c r="C1303">
        <v>6975758</v>
      </c>
      <c r="H1303" t="s">
        <v>136</v>
      </c>
      <c r="I1303">
        <v>53180.255118000001</v>
      </c>
      <c r="J1303">
        <v>0</v>
      </c>
      <c r="K1303">
        <v>2.2601599999999999</v>
      </c>
      <c r="L1303">
        <v>0</v>
      </c>
      <c r="M1303">
        <v>13.077623053359048</v>
      </c>
      <c r="N1303">
        <v>0</v>
      </c>
      <c r="O1303">
        <v>0.21796038422265082</v>
      </c>
      <c r="P1303">
        <v>0.013895544399999999</v>
      </c>
      <c r="Q1303">
        <v>0.0017343848691377677</v>
      </c>
      <c r="R1303">
        <v>282520</v>
      </c>
      <c r="S1303">
        <v>0</v>
      </c>
      <c r="T1303">
        <v>0</v>
      </c>
      <c r="V1303">
        <v>2724.30</v>
      </c>
      <c r="W1303">
        <v>7</v>
      </c>
      <c r="X1303">
        <v>85</v>
      </c>
      <c r="Y1303">
        <v>3</v>
      </c>
      <c r="Z1303">
        <v>4</v>
      </c>
      <c r="AA1303">
        <v>5</v>
      </c>
      <c r="AB1303">
        <v>0</v>
      </c>
      <c r="AC1303">
        <v>0</v>
      </c>
      <c r="AD1303">
        <v>0</v>
      </c>
      <c r="AE1303">
        <v>0</v>
      </c>
      <c r="AF1303">
        <v>0.20180000000000001</v>
      </c>
      <c r="AG1303">
        <v>0</v>
      </c>
      <c r="AH1303">
        <v>0</v>
      </c>
      <c r="AI1303">
        <v>2</v>
      </c>
      <c r="AJ1303">
        <v>0</v>
      </c>
      <c r="AK1303">
        <v>0</v>
      </c>
      <c r="AL1303">
        <v>80</v>
      </c>
      <c r="AM1303">
        <v>35.315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75.675</v>
      </c>
      <c r="AU1303">
        <v>0</v>
      </c>
      <c r="AV1303">
        <v>0</v>
      </c>
    </row>
    <row r="1304" spans="1:48" ht="12.75">
      <c r="A1304" s="2" t="str">
        <f>HYPERLINK("https://ibp.a2mac1.com/costing(costing:projects/details/8191/equipment/6948364)","Equipment (Injection Molding)")</f>
        <v>Equipment (Injection Molding)</v>
      </c>
      <c r="B1304">
        <v>6948364</v>
      </c>
      <c r="C1304">
        <v>6975759</v>
      </c>
      <c r="H1304" t="s">
        <v>136</v>
      </c>
      <c r="I1304">
        <v>28408.481178000002</v>
      </c>
      <c r="J1304">
        <v>0</v>
      </c>
      <c r="K1304">
        <v>1.20736</v>
      </c>
      <c r="L1304">
        <v>0</v>
      </c>
      <c r="M1304">
        <v>6.985965139504982</v>
      </c>
      <c r="N1304">
        <v>0</v>
      </c>
      <c r="O1304">
        <v>0.11643275232508304</v>
      </c>
      <c r="P1304">
        <v>0.0074228923999999996</v>
      </c>
      <c r="Q1304">
        <v>0.00077874182685869339</v>
      </c>
      <c r="R1304">
        <v>150920</v>
      </c>
      <c r="S1304">
        <v>0</v>
      </c>
      <c r="T1304">
        <v>0</v>
      </c>
      <c r="V1304">
        <v>1455.30</v>
      </c>
      <c r="W1304">
        <v>7</v>
      </c>
      <c r="X1304">
        <v>85</v>
      </c>
      <c r="Y1304">
        <v>3</v>
      </c>
      <c r="Z1304">
        <v>4</v>
      </c>
      <c r="AA1304">
        <v>5</v>
      </c>
      <c r="AB1304">
        <v>0</v>
      </c>
      <c r="AC1304">
        <v>0</v>
      </c>
      <c r="AD1304">
        <v>0</v>
      </c>
      <c r="AE1304">
        <v>0</v>
      </c>
      <c r="AF1304">
        <v>0.10780000000000001</v>
      </c>
      <c r="AG1304">
        <v>0</v>
      </c>
      <c r="AH1304">
        <v>0</v>
      </c>
      <c r="AI1304">
        <v>2</v>
      </c>
      <c r="AJ1304">
        <v>0</v>
      </c>
      <c r="AK1304">
        <v>0</v>
      </c>
      <c r="AL1304">
        <v>80</v>
      </c>
      <c r="AM1304">
        <v>18.865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40.425</v>
      </c>
      <c r="AU1304">
        <v>0</v>
      </c>
      <c r="AV1304">
        <v>0</v>
      </c>
    </row>
    <row r="1305" spans="1:48" ht="12.75">
      <c r="A1305" s="2" t="str">
        <f>HYPERLINK("https://ibp.a2mac1.com/costing(costing:projects/details/8191/equipment/6948365)","Equipment (Injection Molding)")</f>
        <v>Equipment (Injection Molding)</v>
      </c>
      <c r="B1305">
        <v>6948365</v>
      </c>
      <c r="C1305">
        <v>6975760</v>
      </c>
      <c r="H1305" t="s">
        <v>136</v>
      </c>
      <c r="I1305">
        <v>11542.592538000001</v>
      </c>
      <c r="J1305">
        <v>0</v>
      </c>
      <c r="K1305">
        <v>0.49056</v>
      </c>
      <c r="L1305">
        <v>0</v>
      </c>
      <c r="M1305">
        <v>2.838453368370299</v>
      </c>
      <c r="N1305">
        <v>0</v>
      </c>
      <c r="O1305">
        <v>0.047307556139504985</v>
      </c>
      <c r="P1305">
        <v>0.0030159803999999998</v>
      </c>
      <c r="Q1305">
        <v>0.00013776764417264465</v>
      </c>
      <c r="R1305">
        <v>61320</v>
      </c>
      <c r="S1305">
        <v>0</v>
      </c>
      <c r="T1305">
        <v>0</v>
      </c>
      <c r="V1305">
        <v>591.30</v>
      </c>
      <c r="W1305">
        <v>7</v>
      </c>
      <c r="X1305">
        <v>85</v>
      </c>
      <c r="Y1305">
        <v>3</v>
      </c>
      <c r="Z1305">
        <v>4</v>
      </c>
      <c r="AA1305">
        <v>5</v>
      </c>
      <c r="AB1305">
        <v>0</v>
      </c>
      <c r="AC1305">
        <v>0</v>
      </c>
      <c r="AD1305">
        <v>0</v>
      </c>
      <c r="AE1305">
        <v>0</v>
      </c>
      <c r="AF1305">
        <v>0.043799999999999999</v>
      </c>
      <c r="AG1305">
        <v>0</v>
      </c>
      <c r="AH1305">
        <v>0</v>
      </c>
      <c r="AI1305">
        <v>2</v>
      </c>
      <c r="AJ1305">
        <v>0</v>
      </c>
      <c r="AK1305">
        <v>0</v>
      </c>
      <c r="AL1305">
        <v>80</v>
      </c>
      <c r="AM1305">
        <v>7.665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16.425</v>
      </c>
      <c r="AU1305">
        <v>0</v>
      </c>
      <c r="AV1305">
        <v>0</v>
      </c>
    </row>
    <row r="1306" spans="1:48" ht="12.75">
      <c r="A1306" s="2" t="str">
        <f>HYPERLINK("https://ibp.a2mac1.com/costing(costing:projects/details/8191/equipment/6948366)","Equipment (Injection Molding)")</f>
        <v>Equipment (Injection Molding)</v>
      </c>
      <c r="B1306">
        <v>6948366</v>
      </c>
      <c r="C1306">
        <v>6975761</v>
      </c>
      <c r="H1306" t="s">
        <v>136</v>
      </c>
      <c r="I1306">
        <v>1054.1180400000001</v>
      </c>
      <c r="J1306">
        <v>0</v>
      </c>
      <c r="K1306">
        <v>0.0448</v>
      </c>
      <c r="L1306">
        <v>0</v>
      </c>
      <c r="M1306">
        <v>0.25921948569591768</v>
      </c>
      <c r="N1306">
        <v>0</v>
      </c>
      <c r="O1306">
        <v>0.0043203247615986283</v>
      </c>
      <c r="P1306">
        <v>0.00027543199999999999</v>
      </c>
      <c r="Q1306">
        <v>2.2841729537126327E-05</v>
      </c>
      <c r="R1306">
        <v>5600</v>
      </c>
      <c r="S1306">
        <v>0</v>
      </c>
      <c r="T1306">
        <v>0</v>
      </c>
      <c r="V1306">
        <v>54</v>
      </c>
      <c r="W1306">
        <v>7</v>
      </c>
      <c r="X1306">
        <v>85</v>
      </c>
      <c r="Y1306">
        <v>3</v>
      </c>
      <c r="Z1306">
        <v>4</v>
      </c>
      <c r="AA1306">
        <v>5</v>
      </c>
      <c r="AB1306">
        <v>0</v>
      </c>
      <c r="AC1306">
        <v>0</v>
      </c>
      <c r="AD1306">
        <v>0</v>
      </c>
      <c r="AE1306">
        <v>0</v>
      </c>
      <c r="AF1306">
        <v>0.0040000000000000001</v>
      </c>
      <c r="AG1306">
        <v>0</v>
      </c>
      <c r="AH1306">
        <v>0</v>
      </c>
      <c r="AI1306">
        <v>2</v>
      </c>
      <c r="AJ1306">
        <v>0</v>
      </c>
      <c r="AK1306">
        <v>0</v>
      </c>
      <c r="AL1306">
        <v>80</v>
      </c>
      <c r="AM1306">
        <v>0.70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1.50</v>
      </c>
      <c r="AU1306">
        <v>0</v>
      </c>
      <c r="AV1306">
        <v>0</v>
      </c>
    </row>
    <row r="1307" spans="1:48" ht="12.75">
      <c r="A1307" s="2" t="str">
        <f>HYPERLINK("https://ibp.a2mac1.com/costing(costing:projects/details/8191/equipment/6948367)","Equipment (Injection Molding)")</f>
        <v>Equipment (Injection Molding)</v>
      </c>
      <c r="B1307">
        <v>6948367</v>
      </c>
      <c r="C1307">
        <v>6975762</v>
      </c>
      <c r="H1307" t="s">
        <v>136</v>
      </c>
      <c r="I1307">
        <v>12333.181068</v>
      </c>
      <c r="J1307">
        <v>0</v>
      </c>
      <c r="K1307">
        <v>0.52415999999999996</v>
      </c>
      <c r="L1307">
        <v>0</v>
      </c>
      <c r="M1307">
        <v>3.0328679826422373</v>
      </c>
      <c r="N1307">
        <v>0</v>
      </c>
      <c r="O1307">
        <v>0.050547799710703951</v>
      </c>
      <c r="P1307">
        <v>0.0032225544</v>
      </c>
      <c r="Q1307">
        <v>0.00014822737712861137</v>
      </c>
      <c r="R1307">
        <v>65520</v>
      </c>
      <c r="S1307">
        <v>0</v>
      </c>
      <c r="T1307">
        <v>0</v>
      </c>
      <c r="V1307">
        <v>631.80</v>
      </c>
      <c r="W1307">
        <v>7</v>
      </c>
      <c r="X1307">
        <v>85</v>
      </c>
      <c r="Y1307">
        <v>3</v>
      </c>
      <c r="Z1307">
        <v>4</v>
      </c>
      <c r="AA1307">
        <v>5</v>
      </c>
      <c r="AB1307">
        <v>0</v>
      </c>
      <c r="AC1307">
        <v>0</v>
      </c>
      <c r="AD1307">
        <v>0</v>
      </c>
      <c r="AE1307">
        <v>0</v>
      </c>
      <c r="AF1307">
        <v>0.046800000000000001</v>
      </c>
      <c r="AG1307">
        <v>0</v>
      </c>
      <c r="AH1307">
        <v>0</v>
      </c>
      <c r="AI1307">
        <v>2</v>
      </c>
      <c r="AJ1307">
        <v>0</v>
      </c>
      <c r="AK1307">
        <v>0</v>
      </c>
      <c r="AL1307">
        <v>80</v>
      </c>
      <c r="AM1307">
        <v>8.19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17.55</v>
      </c>
      <c r="AU1307">
        <v>0</v>
      </c>
      <c r="AV1307">
        <v>0</v>
      </c>
    </row>
    <row r="1308" spans="1:48" ht="12.75">
      <c r="A1308" s="2" t="str">
        <f>HYPERLINK("https://ibp.a2mac1.com/costing(costing:projects/details/8191/equipment/6948368)","DC machine - General")</f>
        <v>DC machine - General</v>
      </c>
      <c r="B1308">
        <v>6948368</v>
      </c>
      <c r="C1308">
        <v>6975763</v>
      </c>
      <c r="E1308" t="s">
        <v>659</v>
      </c>
      <c r="H1308" t="s">
        <v>136</v>
      </c>
      <c r="I1308">
        <v>116914.84457142858</v>
      </c>
      <c r="J1308">
        <v>0</v>
      </c>
      <c r="K1308">
        <v>3.60</v>
      </c>
      <c r="L1308">
        <v>0</v>
      </c>
      <c r="M1308">
        <v>27.497982091197134</v>
      </c>
      <c r="N1308">
        <v>0</v>
      </c>
      <c r="O1308">
        <v>0.75619450750792117</v>
      </c>
      <c r="P1308">
        <v>0.1136157</v>
      </c>
      <c r="Q1308">
        <v>0.011732166376415484</v>
      </c>
      <c r="R1308">
        <v>635568</v>
      </c>
      <c r="S1308">
        <v>0</v>
      </c>
      <c r="T1308">
        <v>0</v>
      </c>
      <c r="V1308">
        <v>10800</v>
      </c>
      <c r="W1308">
        <v>7</v>
      </c>
      <c r="X1308">
        <v>85</v>
      </c>
      <c r="Y1308">
        <v>3</v>
      </c>
      <c r="Z1308">
        <v>4</v>
      </c>
      <c r="AA1308">
        <v>5</v>
      </c>
      <c r="AB1308">
        <v>0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3</v>
      </c>
      <c r="AJ1308">
        <v>0</v>
      </c>
      <c r="AK1308">
        <v>0</v>
      </c>
      <c r="AL1308">
        <v>100</v>
      </c>
      <c r="AM1308">
        <v>45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100</v>
      </c>
      <c r="AU1308">
        <v>0</v>
      </c>
      <c r="AV1308">
        <v>0</v>
      </c>
    </row>
    <row r="1309" spans="1:48" ht="12.75">
      <c r="A1309" s="2" t="str">
        <f>HYPERLINK("https://ibp.a2mac1.com/costing(costing:projects/details/8191/equipment/6948369)","Equipment (Injection Molding)")</f>
        <v>Equipment (Injection Molding)</v>
      </c>
      <c r="B1309">
        <v>6948369</v>
      </c>
      <c r="C1309">
        <v>6975764</v>
      </c>
      <c r="H1309" t="s">
        <v>136</v>
      </c>
      <c r="I1309">
        <v>1133.1768930000001</v>
      </c>
      <c r="J1309">
        <v>0</v>
      </c>
      <c r="K1309">
        <v>0.048160000000000001</v>
      </c>
      <c r="L1309">
        <v>0</v>
      </c>
      <c r="M1309">
        <v>0.27866094712311151</v>
      </c>
      <c r="N1309">
        <v>0</v>
      </c>
      <c r="O1309">
        <v>0.0046443491187185253</v>
      </c>
      <c r="P1309">
        <v>0.0002960894</v>
      </c>
      <c r="Q1309">
        <v>1.2286834433170805E-05</v>
      </c>
      <c r="R1309">
        <v>6020</v>
      </c>
      <c r="S1309">
        <v>0</v>
      </c>
      <c r="T1309">
        <v>0</v>
      </c>
      <c r="V1309">
        <v>58.05</v>
      </c>
      <c r="W1309">
        <v>7</v>
      </c>
      <c r="X1309">
        <v>85</v>
      </c>
      <c r="Y1309">
        <v>3</v>
      </c>
      <c r="Z1309">
        <v>4</v>
      </c>
      <c r="AA1309">
        <v>5</v>
      </c>
      <c r="AB1309">
        <v>0</v>
      </c>
      <c r="AC1309">
        <v>0</v>
      </c>
      <c r="AD1309">
        <v>0</v>
      </c>
      <c r="AE1309">
        <v>0</v>
      </c>
      <c r="AF1309">
        <v>0.0043</v>
      </c>
      <c r="AG1309">
        <v>0</v>
      </c>
      <c r="AH1309">
        <v>0</v>
      </c>
      <c r="AI1309">
        <v>2</v>
      </c>
      <c r="AJ1309">
        <v>0</v>
      </c>
      <c r="AK1309">
        <v>0</v>
      </c>
      <c r="AL1309">
        <v>80</v>
      </c>
      <c r="AM1309">
        <v>0.7525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1.6125</v>
      </c>
      <c r="AU1309">
        <v>0</v>
      </c>
      <c r="AV1309">
        <v>0</v>
      </c>
    </row>
    <row r="1310" spans="1:48" ht="12.75">
      <c r="A1310" s="2" t="str">
        <f>HYPERLINK("https://ibp.a2mac1.com/costing(costing:projects/details/8191/equipment/6948370)","Equipment (Injection Molding)")</f>
        <v>Equipment (Injection Molding)</v>
      </c>
      <c r="B1310">
        <v>6948370</v>
      </c>
      <c r="C1310">
        <v>6975765</v>
      </c>
      <c r="H1310" t="s">
        <v>136</v>
      </c>
      <c r="I1310">
        <v>6087.5316810000004</v>
      </c>
      <c r="J1310">
        <v>0</v>
      </c>
      <c r="K1310">
        <v>0.25872000000000001</v>
      </c>
      <c r="L1310">
        <v>0</v>
      </c>
      <c r="M1310">
        <v>1.4969925298939248</v>
      </c>
      <c r="N1310">
        <v>0</v>
      </c>
      <c r="O1310">
        <v>0.02494987549823208</v>
      </c>
      <c r="P1310">
        <v>0.0015906198</v>
      </c>
      <c r="Q1310">
        <v>6.9172156737061841E-05</v>
      </c>
      <c r="R1310">
        <v>32340</v>
      </c>
      <c r="S1310">
        <v>0</v>
      </c>
      <c r="T1310">
        <v>0</v>
      </c>
      <c r="V1310">
        <v>311.85</v>
      </c>
      <c r="W1310">
        <v>7</v>
      </c>
      <c r="X1310">
        <v>85</v>
      </c>
      <c r="Y1310">
        <v>3</v>
      </c>
      <c r="Z1310">
        <v>4</v>
      </c>
      <c r="AA1310">
        <v>5</v>
      </c>
      <c r="AB1310">
        <v>0</v>
      </c>
      <c r="AC1310">
        <v>0</v>
      </c>
      <c r="AD1310">
        <v>0</v>
      </c>
      <c r="AE1310">
        <v>0</v>
      </c>
      <c r="AF1310">
        <v>0.023099999999999999</v>
      </c>
      <c r="AG1310">
        <v>0</v>
      </c>
      <c r="AH1310">
        <v>0</v>
      </c>
      <c r="AI1310">
        <v>2</v>
      </c>
      <c r="AJ1310">
        <v>0</v>
      </c>
      <c r="AK1310">
        <v>0</v>
      </c>
      <c r="AL1310">
        <v>80</v>
      </c>
      <c r="AM1310">
        <v>4.0425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8.6625</v>
      </c>
      <c r="AU1310">
        <v>0</v>
      </c>
      <c r="AV1310">
        <v>0</v>
      </c>
    </row>
    <row r="1311" spans="1:48" ht="12.75">
      <c r="A1311" s="2" t="str">
        <f>HYPERLINK("https://ibp.a2mac1.com/costing(costing:projects/details/8191/equipment/6948371)","Equipment (Injection Molding)")</f>
        <v>Equipment (Injection Molding)</v>
      </c>
      <c r="B1311">
        <v>6948371</v>
      </c>
      <c r="C1311">
        <v>6975766</v>
      </c>
      <c r="H1311" t="s">
        <v>136</v>
      </c>
      <c r="I1311">
        <v>89336.503890000007</v>
      </c>
      <c r="J1311">
        <v>0</v>
      </c>
      <c r="K1311">
        <v>3.7968000000000002</v>
      </c>
      <c r="L1311">
        <v>0</v>
      </c>
      <c r="M1311">
        <v>21.968851412729027</v>
      </c>
      <c r="N1311">
        <v>0</v>
      </c>
      <c r="O1311">
        <v>0.36614752354548374</v>
      </c>
      <c r="P1311">
        <v>0.023342861999999999</v>
      </c>
      <c r="Q1311">
        <v>0.0035917387535059067</v>
      </c>
      <c r="R1311">
        <v>474600</v>
      </c>
      <c r="S1311">
        <v>0</v>
      </c>
      <c r="T1311">
        <v>0</v>
      </c>
      <c r="V1311">
        <v>4576.50</v>
      </c>
      <c r="W1311">
        <v>7</v>
      </c>
      <c r="X1311">
        <v>85</v>
      </c>
      <c r="Y1311">
        <v>3</v>
      </c>
      <c r="Z1311">
        <v>4</v>
      </c>
      <c r="AA1311">
        <v>5</v>
      </c>
      <c r="AB1311">
        <v>0</v>
      </c>
      <c r="AC1311">
        <v>0</v>
      </c>
      <c r="AD1311">
        <v>0</v>
      </c>
      <c r="AE1311">
        <v>0</v>
      </c>
      <c r="AF1311">
        <v>0.33900000000000002</v>
      </c>
      <c r="AG1311">
        <v>0</v>
      </c>
      <c r="AH1311">
        <v>0</v>
      </c>
      <c r="AI1311">
        <v>2</v>
      </c>
      <c r="AJ1311">
        <v>0</v>
      </c>
      <c r="AK1311">
        <v>0</v>
      </c>
      <c r="AL1311">
        <v>80</v>
      </c>
      <c r="AM1311">
        <v>59.325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127.125</v>
      </c>
      <c r="AU1311">
        <v>0</v>
      </c>
      <c r="AV1311">
        <v>0</v>
      </c>
    </row>
    <row r="1312" spans="1:48" ht="12.75">
      <c r="A1312" s="2" t="str">
        <f>HYPERLINK("https://ibp.a2mac1.com/costing(costing:projects/details/8191/equipment/6948115)","DC machine - General")</f>
        <v>DC machine - General</v>
      </c>
      <c r="B1312">
        <v>6948115</v>
      </c>
      <c r="C1312">
        <v>6975524</v>
      </c>
      <c r="E1312" t="s">
        <v>659</v>
      </c>
      <c r="H1312" t="s">
        <v>136</v>
      </c>
      <c r="I1312">
        <v>116914.84457142858</v>
      </c>
      <c r="J1312">
        <v>0</v>
      </c>
      <c r="K1312">
        <v>3.60</v>
      </c>
      <c r="L1312">
        <v>0</v>
      </c>
      <c r="M1312">
        <v>27.497982091197134</v>
      </c>
      <c r="N1312">
        <v>0</v>
      </c>
      <c r="O1312">
        <v>3.7351425673876109</v>
      </c>
      <c r="P1312">
        <v>0.56119269999999999</v>
      </c>
      <c r="Q1312">
        <v>0.011732166376415484</v>
      </c>
      <c r="R1312">
        <v>635568</v>
      </c>
      <c r="S1312">
        <v>0</v>
      </c>
      <c r="T1312">
        <v>0</v>
      </c>
      <c r="V1312">
        <v>10800</v>
      </c>
      <c r="W1312">
        <v>7</v>
      </c>
      <c r="X1312">
        <v>85</v>
      </c>
      <c r="Y1312">
        <v>3</v>
      </c>
      <c r="Z1312">
        <v>4</v>
      </c>
      <c r="AA1312">
        <v>5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3</v>
      </c>
      <c r="AJ1312">
        <v>0</v>
      </c>
      <c r="AK1312">
        <v>0</v>
      </c>
      <c r="AL1312">
        <v>100</v>
      </c>
      <c r="AM1312">
        <v>45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100</v>
      </c>
      <c r="AU1312">
        <v>0</v>
      </c>
      <c r="AV1312">
        <v>0</v>
      </c>
    </row>
    <row r="1313" spans="1:48" ht="12.75">
      <c r="A1313" s="2" t="str">
        <f>HYPERLINK("https://ibp.a2mac1.com/costing(costing:projects/details/8191/equipment/6948116)","DC machine - General")</f>
        <v>DC machine - General</v>
      </c>
      <c r="B1313">
        <v>6948116</v>
      </c>
      <c r="C1313">
        <v>6975525</v>
      </c>
      <c r="E1313" t="s">
        <v>659</v>
      </c>
      <c r="H1313" t="s">
        <v>136</v>
      </c>
      <c r="I1313">
        <v>116914.84457142858</v>
      </c>
      <c r="J1313">
        <v>0</v>
      </c>
      <c r="K1313">
        <v>3.60</v>
      </c>
      <c r="L1313">
        <v>0</v>
      </c>
      <c r="M1313">
        <v>27.497982091197134</v>
      </c>
      <c r="N1313">
        <v>0</v>
      </c>
      <c r="O1313">
        <v>0.52704465674794509</v>
      </c>
      <c r="P1313">
        <v>0.079186699999999999</v>
      </c>
      <c r="Q1313">
        <v>0.0058660831882077422</v>
      </c>
      <c r="R1313">
        <v>635568</v>
      </c>
      <c r="S1313">
        <v>0</v>
      </c>
      <c r="T1313">
        <v>0</v>
      </c>
      <c r="V1313">
        <v>10800</v>
      </c>
      <c r="W1313">
        <v>7</v>
      </c>
      <c r="X1313">
        <v>85</v>
      </c>
      <c r="Y1313">
        <v>3</v>
      </c>
      <c r="Z1313">
        <v>4</v>
      </c>
      <c r="AA1313">
        <v>5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3</v>
      </c>
      <c r="AJ1313">
        <v>0</v>
      </c>
      <c r="AK1313">
        <v>0</v>
      </c>
      <c r="AL1313">
        <v>100</v>
      </c>
      <c r="AM1313">
        <v>45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100</v>
      </c>
      <c r="AU1313">
        <v>0</v>
      </c>
      <c r="AV1313">
        <v>0</v>
      </c>
    </row>
    <row r="1314" spans="1:48" ht="12.75">
      <c r="A1314" s="2" t="str">
        <f>HYPERLINK("https://ibp.a2mac1.com/costing(costing:projects/details/8191/equipment/6948117)","DC machine - General")</f>
        <v>DC machine - General</v>
      </c>
      <c r="B1314">
        <v>6948117</v>
      </c>
      <c r="C1314">
        <v>6975526</v>
      </c>
      <c r="E1314" t="s">
        <v>659</v>
      </c>
      <c r="H1314" t="s">
        <v>136</v>
      </c>
      <c r="I1314">
        <v>116914.84457142858</v>
      </c>
      <c r="J1314">
        <v>0</v>
      </c>
      <c r="K1314">
        <v>3.60</v>
      </c>
      <c r="L1314">
        <v>0</v>
      </c>
      <c r="M1314">
        <v>27.497982091197134</v>
      </c>
      <c r="N1314">
        <v>0</v>
      </c>
      <c r="O1314">
        <v>0.091659940303990453</v>
      </c>
      <c r="P1314">
        <v>0.0137716</v>
      </c>
      <c r="Q1314">
        <v>0.011732166376415484</v>
      </c>
      <c r="R1314">
        <v>635568</v>
      </c>
      <c r="S1314">
        <v>0</v>
      </c>
      <c r="T1314">
        <v>0</v>
      </c>
      <c r="V1314">
        <v>10800</v>
      </c>
      <c r="W1314">
        <v>7</v>
      </c>
      <c r="X1314">
        <v>85</v>
      </c>
      <c r="Y1314">
        <v>3</v>
      </c>
      <c r="Z1314">
        <v>4</v>
      </c>
      <c r="AA1314">
        <v>5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3</v>
      </c>
      <c r="AJ1314">
        <v>0</v>
      </c>
      <c r="AK1314">
        <v>0</v>
      </c>
      <c r="AL1314">
        <v>100</v>
      </c>
      <c r="AM1314">
        <v>45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100</v>
      </c>
      <c r="AU1314">
        <v>0</v>
      </c>
      <c r="AV1314">
        <v>0</v>
      </c>
    </row>
    <row r="1315" spans="1:48" ht="12.75">
      <c r="A1315" s="2" t="str">
        <f>HYPERLINK("https://ibp.a2mac1.com/costing(costing:projects/details/8191/equipment/6948118)","Dummy Machine (Wireharness production line)")</f>
        <v>Dummy Machine (Wireharness production line)</v>
      </c>
      <c r="B1315">
        <v>6948118</v>
      </c>
      <c r="C1315">
        <v>6975527</v>
      </c>
      <c r="H1315" t="s">
        <v>136</v>
      </c>
      <c r="I1315">
        <v>18664.599488571428</v>
      </c>
      <c r="J1315">
        <v>0</v>
      </c>
      <c r="K1315">
        <v>0.096320000000000003</v>
      </c>
      <c r="L1315">
        <v>0</v>
      </c>
      <c r="M1315">
        <v>3.815112106809937</v>
      </c>
      <c r="N1315">
        <v>0</v>
      </c>
      <c r="O1315">
        <v>0.20877141251154377</v>
      </c>
      <c r="P1315">
        <v>0.80282345543333333</v>
      </c>
      <c r="Q1315">
        <v>4.493884102430087E-05</v>
      </c>
      <c r="R1315">
        <v>89474.50</v>
      </c>
      <c r="S1315">
        <v>0</v>
      </c>
      <c r="T1315">
        <v>0</v>
      </c>
      <c r="V1315">
        <v>126</v>
      </c>
      <c r="W1315">
        <v>7</v>
      </c>
      <c r="X1315">
        <v>85</v>
      </c>
      <c r="Y1315">
        <v>3</v>
      </c>
      <c r="Z1315">
        <v>4</v>
      </c>
      <c r="AA1315">
        <v>5</v>
      </c>
      <c r="AB1315">
        <v>0</v>
      </c>
      <c r="AC1315">
        <v>0</v>
      </c>
      <c r="AD1315">
        <v>0</v>
      </c>
      <c r="AE1315">
        <v>0</v>
      </c>
      <c r="AF1315">
        <v>3.5510000000000002</v>
      </c>
      <c r="AG1315">
        <v>0</v>
      </c>
      <c r="AH1315">
        <v>0</v>
      </c>
      <c r="AI1315">
        <v>1.40</v>
      </c>
      <c r="AJ1315">
        <v>0</v>
      </c>
      <c r="AK1315">
        <v>0</v>
      </c>
      <c r="AL1315">
        <v>86</v>
      </c>
      <c r="AM1315">
        <v>1.40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71</v>
      </c>
      <c r="AU1315">
        <v>0</v>
      </c>
      <c r="AV1315">
        <v>0</v>
      </c>
    </row>
    <row r="1316" spans="1:48" ht="12.75">
      <c r="A1316" s="2" t="str">
        <f>HYPERLINK("https://ibp.a2mac1.com/costing(costing:projects/details/8191/equipment/6948119)","DC machine - General")</f>
        <v>DC machine - General</v>
      </c>
      <c r="B1316">
        <v>6948119</v>
      </c>
      <c r="C1316">
        <v>6975528</v>
      </c>
      <c r="E1316" t="s">
        <v>659</v>
      </c>
      <c r="H1316" t="s">
        <v>136</v>
      </c>
      <c r="I1316">
        <v>116914.84457142858</v>
      </c>
      <c r="J1316">
        <v>0</v>
      </c>
      <c r="K1316">
        <v>3.60</v>
      </c>
      <c r="L1316">
        <v>0</v>
      </c>
      <c r="M1316">
        <v>27.497982091197134</v>
      </c>
      <c r="N1316">
        <v>0</v>
      </c>
      <c r="O1316">
        <v>0.88604608960524101</v>
      </c>
      <c r="P1316">
        <v>0.13312546666666666</v>
      </c>
      <c r="Q1316">
        <v>0.011732166376415484</v>
      </c>
      <c r="R1316">
        <v>635568</v>
      </c>
      <c r="S1316">
        <v>0</v>
      </c>
      <c r="T1316">
        <v>0</v>
      </c>
      <c r="V1316">
        <v>10800</v>
      </c>
      <c r="W1316">
        <v>7</v>
      </c>
      <c r="X1316">
        <v>85</v>
      </c>
      <c r="Y1316">
        <v>3</v>
      </c>
      <c r="Z1316">
        <v>4</v>
      </c>
      <c r="AA1316">
        <v>5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3</v>
      </c>
      <c r="AJ1316">
        <v>0</v>
      </c>
      <c r="AK1316">
        <v>0</v>
      </c>
      <c r="AL1316">
        <v>100</v>
      </c>
      <c r="AM1316">
        <v>45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100</v>
      </c>
      <c r="AU1316">
        <v>0</v>
      </c>
      <c r="AV1316">
        <v>0</v>
      </c>
    </row>
    <row r="1317" spans="1:48" ht="12.75">
      <c r="A1317" s="2" t="str">
        <f>HYPERLINK("https://ibp.a2mac1.com/costing(costing:projects/details/8191/equipment/6948120)","Equipment (Injection Molding)")</f>
        <v>Equipment (Injection Molding)</v>
      </c>
      <c r="B1317">
        <v>6948120</v>
      </c>
      <c r="C1317">
        <v>6975529</v>
      </c>
      <c r="H1317" t="s">
        <v>136</v>
      </c>
      <c r="I1317">
        <v>9434.3564580000002</v>
      </c>
      <c r="J1317">
        <v>0</v>
      </c>
      <c r="K1317">
        <v>0.40095999999999998</v>
      </c>
      <c r="L1317">
        <v>0</v>
      </c>
      <c r="M1317">
        <v>2.3200143969784635</v>
      </c>
      <c r="N1317">
        <v>0</v>
      </c>
      <c r="O1317">
        <v>0.038666906616307728</v>
      </c>
      <c r="P1317">
        <v>0.0024651164</v>
      </c>
      <c r="Q1317">
        <v>0.00022103318236766154</v>
      </c>
      <c r="R1317">
        <v>50120</v>
      </c>
      <c r="S1317">
        <v>0</v>
      </c>
      <c r="T1317">
        <v>0</v>
      </c>
      <c r="V1317">
        <v>483.30</v>
      </c>
      <c r="W1317">
        <v>7</v>
      </c>
      <c r="X1317">
        <v>85</v>
      </c>
      <c r="Y1317">
        <v>3</v>
      </c>
      <c r="Z1317">
        <v>4</v>
      </c>
      <c r="AA1317">
        <v>5</v>
      </c>
      <c r="AB1317">
        <v>0</v>
      </c>
      <c r="AC1317">
        <v>0</v>
      </c>
      <c r="AD1317">
        <v>0</v>
      </c>
      <c r="AE1317">
        <v>0</v>
      </c>
      <c r="AF1317">
        <v>0.035799999999999998</v>
      </c>
      <c r="AG1317">
        <v>0</v>
      </c>
      <c r="AH1317">
        <v>0</v>
      </c>
      <c r="AI1317">
        <v>2</v>
      </c>
      <c r="AJ1317">
        <v>0</v>
      </c>
      <c r="AK1317">
        <v>0</v>
      </c>
      <c r="AL1317">
        <v>80</v>
      </c>
      <c r="AM1317">
        <v>6.265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13.425</v>
      </c>
      <c r="AU1317">
        <v>0</v>
      </c>
      <c r="AV1317">
        <v>0</v>
      </c>
    </row>
    <row r="1318" spans="1:48" ht="12.75">
      <c r="A1318" s="2" t="str">
        <f>HYPERLINK("https://ibp.a2mac1.com/costing(costing:projects/details/8191/equipment/6948372)","Equipment (Injection Molding)")</f>
        <v>Equipment (Injection Molding)</v>
      </c>
      <c r="B1318">
        <v>6948372</v>
      </c>
      <c r="C1318">
        <v>6975767</v>
      </c>
      <c r="H1318" t="s">
        <v>136</v>
      </c>
      <c r="I1318">
        <v>42032.956845000001</v>
      </c>
      <c r="J1318">
        <v>0</v>
      </c>
      <c r="K1318">
        <v>1.7864</v>
      </c>
      <c r="L1318">
        <v>0</v>
      </c>
      <c r="M1318">
        <v>10.336376992124718</v>
      </c>
      <c r="N1318">
        <v>0</v>
      </c>
      <c r="O1318">
        <v>0.17227294986874531</v>
      </c>
      <c r="P1318">
        <v>0.010982851</v>
      </c>
      <c r="Q1318">
        <v>0.0012724579553048758</v>
      </c>
      <c r="R1318">
        <v>223300</v>
      </c>
      <c r="S1318">
        <v>0</v>
      </c>
      <c r="T1318">
        <v>0</v>
      </c>
      <c r="V1318">
        <v>2153.25</v>
      </c>
      <c r="W1318">
        <v>7</v>
      </c>
      <c r="X1318">
        <v>85</v>
      </c>
      <c r="Y1318">
        <v>3</v>
      </c>
      <c r="Z1318">
        <v>4</v>
      </c>
      <c r="AA1318">
        <v>5</v>
      </c>
      <c r="AB1318">
        <v>0</v>
      </c>
      <c r="AC1318">
        <v>0</v>
      </c>
      <c r="AD1318">
        <v>0</v>
      </c>
      <c r="AE1318">
        <v>0</v>
      </c>
      <c r="AF1318">
        <v>0.1595</v>
      </c>
      <c r="AG1318">
        <v>0</v>
      </c>
      <c r="AH1318">
        <v>0</v>
      </c>
      <c r="AI1318">
        <v>2</v>
      </c>
      <c r="AJ1318">
        <v>0</v>
      </c>
      <c r="AK1318">
        <v>0</v>
      </c>
      <c r="AL1318">
        <v>80</v>
      </c>
      <c r="AM1318">
        <v>27.9125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59.8125</v>
      </c>
      <c r="AU1318">
        <v>0</v>
      </c>
      <c r="AV1318">
        <v>0</v>
      </c>
    </row>
    <row r="1319" spans="1:48" ht="12.75">
      <c r="A1319" s="2" t="str">
        <f>HYPERLINK("https://ibp.a2mac1.com/costing(costing:projects/details/8191/equipment/6948373)","Equipment (Injection Molding)")</f>
        <v>Equipment (Injection Molding)</v>
      </c>
      <c r="B1319">
        <v>6948373</v>
      </c>
      <c r="C1319">
        <v>6975768</v>
      </c>
      <c r="H1319" t="s">
        <v>136</v>
      </c>
      <c r="I1319">
        <v>42032.956845000001</v>
      </c>
      <c r="J1319">
        <v>0</v>
      </c>
      <c r="K1319">
        <v>1.7864</v>
      </c>
      <c r="L1319">
        <v>0</v>
      </c>
      <c r="M1319">
        <v>10.336376992124718</v>
      </c>
      <c r="N1319">
        <v>0</v>
      </c>
      <c r="O1319">
        <v>0.17227294986874531</v>
      </c>
      <c r="P1319">
        <v>0.010982851</v>
      </c>
      <c r="Q1319">
        <v>0.0012724579553048758</v>
      </c>
      <c r="R1319">
        <v>223300</v>
      </c>
      <c r="S1319">
        <v>0</v>
      </c>
      <c r="T1319">
        <v>0</v>
      </c>
      <c r="V1319">
        <v>2153.25</v>
      </c>
      <c r="W1319">
        <v>7</v>
      </c>
      <c r="X1319">
        <v>85</v>
      </c>
      <c r="Y1319">
        <v>3</v>
      </c>
      <c r="Z1319">
        <v>4</v>
      </c>
      <c r="AA1319">
        <v>5</v>
      </c>
      <c r="AB1319">
        <v>0</v>
      </c>
      <c r="AC1319">
        <v>0</v>
      </c>
      <c r="AD1319">
        <v>0</v>
      </c>
      <c r="AE1319">
        <v>0</v>
      </c>
      <c r="AF1319">
        <v>0.1595</v>
      </c>
      <c r="AG1319">
        <v>0</v>
      </c>
      <c r="AH1319">
        <v>0</v>
      </c>
      <c r="AI1319">
        <v>2</v>
      </c>
      <c r="AJ1319">
        <v>0</v>
      </c>
      <c r="AK1319">
        <v>0</v>
      </c>
      <c r="AL1319">
        <v>80</v>
      </c>
      <c r="AM1319">
        <v>27.9125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59.8125</v>
      </c>
      <c r="AU1319">
        <v>0</v>
      </c>
      <c r="AV1319">
        <v>0</v>
      </c>
    </row>
    <row r="1320" spans="1:48" ht="12.75">
      <c r="A1320" s="2" t="str">
        <f>HYPERLINK("https://ibp.a2mac1.com/costing(costing:projects/details/8191/equipment/6948121)","EPP-EPS PressNo. 05 - 1800x1300")</f>
        <v>EPP-EPS PressNo. 05 - 1800x1300</v>
      </c>
      <c r="B1320">
        <v>6948121</v>
      </c>
      <c r="C1320">
        <v>6975530</v>
      </c>
      <c r="E1320" t="s">
        <v>603</v>
      </c>
      <c r="F1320" t="s">
        <v>9</v>
      </c>
      <c r="G1320" t="s">
        <v>9</v>
      </c>
      <c r="H1320" t="s">
        <v>136</v>
      </c>
      <c r="I1320">
        <v>49334.944320000002</v>
      </c>
      <c r="J1320">
        <v>0</v>
      </c>
      <c r="K1320">
        <v>2.1718799999999998</v>
      </c>
      <c r="L1320">
        <v>0</v>
      </c>
      <c r="M1320">
        <v>13.010025985213758</v>
      </c>
      <c r="N1320">
        <v>0</v>
      </c>
      <c r="O1320">
        <v>0.1638299568508399</v>
      </c>
      <c r="P1320">
        <v>0.052026044444444447</v>
      </c>
      <c r="Q1320">
        <v>0.0012821823591128254</v>
      </c>
      <c r="R1320">
        <v>362000</v>
      </c>
      <c r="S1320">
        <v>0</v>
      </c>
      <c r="T1320">
        <v>800000</v>
      </c>
      <c r="U1320" t="s">
        <v>9</v>
      </c>
      <c r="V1320">
        <v>3600</v>
      </c>
      <c r="W1320">
        <v>10</v>
      </c>
      <c r="X1320">
        <v>85</v>
      </c>
      <c r="Y1320">
        <v>3</v>
      </c>
      <c r="Z1320">
        <v>4</v>
      </c>
      <c r="AA1320">
        <v>5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100</v>
      </c>
      <c r="AM1320">
        <v>18.50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</v>
      </c>
      <c r="AT1320">
        <v>12</v>
      </c>
      <c r="AU1320">
        <v>0</v>
      </c>
      <c r="AV1320">
        <v>0</v>
      </c>
    </row>
    <row r="1321" spans="1:48" ht="12.75">
      <c r="A1321" s="2" t="str">
        <f>HYPERLINK("https://ibp.a2mac1.com/costing(costing:projects/details/8191/equipment/6948122)","EPP-EPS Foaming - Steam Facility")</f>
        <v>EPP-EPS Foaming - Steam Facility</v>
      </c>
      <c r="B1321">
        <v>6948122</v>
      </c>
      <c r="C1321">
        <v>6975531</v>
      </c>
      <c r="E1321" t="s">
        <v>603</v>
      </c>
      <c r="F1321" t="s">
        <v>9</v>
      </c>
      <c r="G1321" t="s">
        <v>9</v>
      </c>
      <c r="H1321" t="s">
        <v>136</v>
      </c>
      <c r="I1321">
        <v>40021.770600000003</v>
      </c>
      <c r="J1321">
        <v>0</v>
      </c>
      <c r="K1321">
        <v>1.9958800000000001</v>
      </c>
      <c r="L1321">
        <v>0</v>
      </c>
      <c r="M1321">
        <v>10.75862037287046</v>
      </c>
      <c r="N1321">
        <v>0</v>
      </c>
      <c r="O1321">
        <v>0.00996168553043561</v>
      </c>
      <c r="P1321">
        <v>0.0038254444444444442</v>
      </c>
      <c r="Q1321">
        <v>0.0013991316223722276</v>
      </c>
      <c r="R1321">
        <v>290000</v>
      </c>
      <c r="S1321">
        <v>0</v>
      </c>
      <c r="T1321">
        <v>800000</v>
      </c>
      <c r="U1321" t="s">
        <v>9</v>
      </c>
      <c r="V1321">
        <v>3600</v>
      </c>
      <c r="W1321">
        <v>10</v>
      </c>
      <c r="X1321">
        <v>85</v>
      </c>
      <c r="Y1321">
        <v>3</v>
      </c>
      <c r="Z1321">
        <v>4</v>
      </c>
      <c r="AA1321">
        <v>5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100</v>
      </c>
      <c r="AM1321">
        <v>16.30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</v>
      </c>
      <c r="AT1321">
        <v>22.50</v>
      </c>
      <c r="AU1321">
        <v>0</v>
      </c>
      <c r="AV1321">
        <v>0</v>
      </c>
    </row>
    <row r="1322" spans="1:48" ht="12.75">
      <c r="A1322" s="2" t="str">
        <f>HYPERLINK("https://ibp.a2mac1.com/costing(costing:projects/details/8191/equipment/6948123)","DC machine - General")</f>
        <v>DC machine - General</v>
      </c>
      <c r="B1322">
        <v>6948123</v>
      </c>
      <c r="C1322">
        <v>6975532</v>
      </c>
      <c r="E1322" t="s">
        <v>659</v>
      </c>
      <c r="H1322" t="s">
        <v>136</v>
      </c>
      <c r="I1322">
        <v>116914.84456431429</v>
      </c>
      <c r="J1322">
        <v>0</v>
      </c>
      <c r="K1322">
        <v>3.60</v>
      </c>
      <c r="L1322">
        <v>0</v>
      </c>
      <c r="M1322">
        <v>27.497982089732286</v>
      </c>
      <c r="N1322">
        <v>0</v>
      </c>
      <c r="O1322">
        <v>22.533068656863957</v>
      </c>
      <c r="P1322">
        <v>3.3855183333333332</v>
      </c>
      <c r="Q1322">
        <v>0.011732166376151812</v>
      </c>
      <c r="R1322">
        <v>635567.99996000004</v>
      </c>
      <c r="S1322">
        <v>0</v>
      </c>
      <c r="T1322">
        <v>0</v>
      </c>
      <c r="V1322">
        <v>10800</v>
      </c>
      <c r="W1322">
        <v>7</v>
      </c>
      <c r="X1322">
        <v>85</v>
      </c>
      <c r="Y1322">
        <v>3</v>
      </c>
      <c r="Z1322">
        <v>4</v>
      </c>
      <c r="AA1322">
        <v>5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3</v>
      </c>
      <c r="AJ1322">
        <v>0</v>
      </c>
      <c r="AK1322">
        <v>0</v>
      </c>
      <c r="AL1322">
        <v>100</v>
      </c>
      <c r="AM1322">
        <v>45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100</v>
      </c>
      <c r="AU1322">
        <v>0</v>
      </c>
      <c r="AV1322">
        <v>0</v>
      </c>
    </row>
    <row r="1323" spans="1:48" ht="12.75">
      <c r="A1323" s="2" t="str">
        <f>HYPERLINK("https://ibp.a2mac1.com/costing(costing:projects/details/8191/equipment/6948124)","Equipment (Injection Molding)")</f>
        <v>Equipment (Injection Molding)</v>
      </c>
      <c r="B1323">
        <v>6948124</v>
      </c>
      <c r="C1323">
        <v>6975533</v>
      </c>
      <c r="H1323" t="s">
        <v>136</v>
      </c>
      <c r="I1323">
        <v>3636.707238</v>
      </c>
      <c r="J1323">
        <v>0</v>
      </c>
      <c r="K1323">
        <v>0.15456</v>
      </c>
      <c r="L1323">
        <v>0</v>
      </c>
      <c r="M1323">
        <v>0.89430722565091614</v>
      </c>
      <c r="N1323">
        <v>0</v>
      </c>
      <c r="O1323">
        <v>0.014905120427515269</v>
      </c>
      <c r="P1323">
        <v>0.00095024040000000001</v>
      </c>
      <c r="Q1323">
        <v>8.0775914335646094E-05</v>
      </c>
      <c r="R1323">
        <v>19320</v>
      </c>
      <c r="S1323">
        <v>0</v>
      </c>
      <c r="T1323">
        <v>0</v>
      </c>
      <c r="V1323">
        <v>186.30</v>
      </c>
      <c r="W1323">
        <v>7</v>
      </c>
      <c r="X1323">
        <v>85</v>
      </c>
      <c r="Y1323">
        <v>3</v>
      </c>
      <c r="Z1323">
        <v>4</v>
      </c>
      <c r="AA1323">
        <v>5</v>
      </c>
      <c r="AB1323">
        <v>0</v>
      </c>
      <c r="AC1323">
        <v>0</v>
      </c>
      <c r="AD1323">
        <v>0</v>
      </c>
      <c r="AE1323">
        <v>0</v>
      </c>
      <c r="AF1323">
        <v>0.0138</v>
      </c>
      <c r="AG1323">
        <v>0</v>
      </c>
      <c r="AH1323">
        <v>0</v>
      </c>
      <c r="AI1323">
        <v>2</v>
      </c>
      <c r="AJ1323">
        <v>0</v>
      </c>
      <c r="AK1323">
        <v>0</v>
      </c>
      <c r="AL1323">
        <v>80</v>
      </c>
      <c r="AM1323">
        <v>2.415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5.175</v>
      </c>
      <c r="AU1323">
        <v>0</v>
      </c>
      <c r="AV1323">
        <v>0</v>
      </c>
    </row>
    <row r="1324" spans="1:48" ht="12.75">
      <c r="A1324" s="2" t="str">
        <f>HYPERLINK("https://ibp.a2mac1.com/costing(costing:projects/details/8191/equipment/6948125)","Equipment (Injection Molding)")</f>
        <v>Equipment (Injection Molding)</v>
      </c>
      <c r="B1324">
        <v>6948125</v>
      </c>
      <c r="C1324">
        <v>6975534</v>
      </c>
      <c r="H1324" t="s">
        <v>136</v>
      </c>
      <c r="I1324">
        <v>3636.707238</v>
      </c>
      <c r="J1324">
        <v>0</v>
      </c>
      <c r="K1324">
        <v>0.15456</v>
      </c>
      <c r="L1324">
        <v>0</v>
      </c>
      <c r="M1324">
        <v>0.89430722565091614</v>
      </c>
      <c r="N1324">
        <v>0</v>
      </c>
      <c r="O1324">
        <v>0.014905120427515269</v>
      </c>
      <c r="P1324">
        <v>0.00095024040000000001</v>
      </c>
      <c r="Q1324">
        <v>8.0775914335646094E-05</v>
      </c>
      <c r="R1324">
        <v>19320</v>
      </c>
      <c r="S1324">
        <v>0</v>
      </c>
      <c r="T1324">
        <v>0</v>
      </c>
      <c r="V1324">
        <v>186.30</v>
      </c>
      <c r="W1324">
        <v>7</v>
      </c>
      <c r="X1324">
        <v>85</v>
      </c>
      <c r="Y1324">
        <v>3</v>
      </c>
      <c r="Z1324">
        <v>4</v>
      </c>
      <c r="AA1324">
        <v>5</v>
      </c>
      <c r="AB1324">
        <v>0</v>
      </c>
      <c r="AC1324">
        <v>0</v>
      </c>
      <c r="AD1324">
        <v>0</v>
      </c>
      <c r="AE1324">
        <v>0</v>
      </c>
      <c r="AF1324">
        <v>0.0138</v>
      </c>
      <c r="AG1324">
        <v>0</v>
      </c>
      <c r="AH1324">
        <v>0</v>
      </c>
      <c r="AI1324">
        <v>2</v>
      </c>
      <c r="AJ1324">
        <v>0</v>
      </c>
      <c r="AK1324">
        <v>0</v>
      </c>
      <c r="AL1324">
        <v>80</v>
      </c>
      <c r="AM1324">
        <v>2.415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5.175</v>
      </c>
      <c r="AU1324">
        <v>0</v>
      </c>
      <c r="AV1324">
        <v>0</v>
      </c>
    </row>
    <row r="1325" spans="1:48" ht="12.75">
      <c r="A1325" s="2" t="str">
        <f>HYPERLINK("https://ibp.a2mac1.com/costing(costing:projects/details/8191/equipment/6948374)","Equipment (Injection Molding)")</f>
        <v>Equipment (Injection Molding)</v>
      </c>
      <c r="B1325">
        <v>6948374</v>
      </c>
      <c r="C1325">
        <v>6975769</v>
      </c>
      <c r="H1325" t="s">
        <v>136</v>
      </c>
      <c r="I1325">
        <v>23875.773605999999</v>
      </c>
      <c r="J1325">
        <v>0</v>
      </c>
      <c r="K1325">
        <v>1.0147200000000001</v>
      </c>
      <c r="L1325">
        <v>0</v>
      </c>
      <c r="M1325">
        <v>5.8713213510125364</v>
      </c>
      <c r="N1325">
        <v>0</v>
      </c>
      <c r="O1325">
        <v>0.097855355850208936</v>
      </c>
      <c r="P1325">
        <v>0.0062385347999999998</v>
      </c>
      <c r="Q1325">
        <v>0.00063176787054039052</v>
      </c>
      <c r="R1325">
        <v>126840</v>
      </c>
      <c r="S1325">
        <v>0</v>
      </c>
      <c r="T1325">
        <v>0</v>
      </c>
      <c r="V1325">
        <v>1223.10</v>
      </c>
      <c r="W1325">
        <v>7</v>
      </c>
      <c r="X1325">
        <v>85</v>
      </c>
      <c r="Y1325">
        <v>3</v>
      </c>
      <c r="Z1325">
        <v>4</v>
      </c>
      <c r="AA1325">
        <v>5</v>
      </c>
      <c r="AB1325">
        <v>0</v>
      </c>
      <c r="AC1325">
        <v>0</v>
      </c>
      <c r="AD1325">
        <v>0</v>
      </c>
      <c r="AE1325">
        <v>0</v>
      </c>
      <c r="AF1325">
        <v>0.0906</v>
      </c>
      <c r="AG1325">
        <v>0</v>
      </c>
      <c r="AH1325">
        <v>0</v>
      </c>
      <c r="AI1325">
        <v>2</v>
      </c>
      <c r="AJ1325">
        <v>0</v>
      </c>
      <c r="AK1325">
        <v>0</v>
      </c>
      <c r="AL1325">
        <v>80</v>
      </c>
      <c r="AM1325">
        <v>15.855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33.975</v>
      </c>
      <c r="AU1325">
        <v>0</v>
      </c>
      <c r="AV1325">
        <v>0</v>
      </c>
    </row>
    <row r="1326" spans="1:48" ht="12.75">
      <c r="A1326" s="2" t="str">
        <f>HYPERLINK("https://ibp.a2mac1.com/costing(costing:projects/details/8191/equipment/6948375)","Equipment (Injection Molding)")</f>
        <v>Equipment (Injection Molding)</v>
      </c>
      <c r="B1326">
        <v>6948375</v>
      </c>
      <c r="C1326">
        <v>6975770</v>
      </c>
      <c r="H1326" t="s">
        <v>136</v>
      </c>
      <c r="I1326">
        <v>79744.029725999993</v>
      </c>
      <c r="J1326">
        <v>0</v>
      </c>
      <c r="K1326">
        <v>3.3891200000000001</v>
      </c>
      <c r="L1326">
        <v>0</v>
      </c>
      <c r="M1326">
        <v>19.609954092896174</v>
      </c>
      <c r="N1326">
        <v>0</v>
      </c>
      <c r="O1326">
        <v>0.32683256821493623</v>
      </c>
      <c r="P1326">
        <v>0.0208364308</v>
      </c>
      <c r="Q1326">
        <v>0.0030454716052148363</v>
      </c>
      <c r="R1326">
        <v>423640</v>
      </c>
      <c r="S1326">
        <v>0</v>
      </c>
      <c r="T1326">
        <v>0</v>
      </c>
      <c r="V1326">
        <v>4085.10</v>
      </c>
      <c r="W1326">
        <v>7</v>
      </c>
      <c r="X1326">
        <v>85</v>
      </c>
      <c r="Y1326">
        <v>3</v>
      </c>
      <c r="Z1326">
        <v>4</v>
      </c>
      <c r="AA1326">
        <v>5</v>
      </c>
      <c r="AB1326">
        <v>0</v>
      </c>
      <c r="AC1326">
        <v>0</v>
      </c>
      <c r="AD1326">
        <v>0</v>
      </c>
      <c r="AE1326">
        <v>0</v>
      </c>
      <c r="AF1326">
        <v>0.30259999999999998</v>
      </c>
      <c r="AG1326">
        <v>0</v>
      </c>
      <c r="AH1326">
        <v>0</v>
      </c>
      <c r="AI1326">
        <v>2</v>
      </c>
      <c r="AJ1326">
        <v>0</v>
      </c>
      <c r="AK1326">
        <v>0</v>
      </c>
      <c r="AL1326">
        <v>80</v>
      </c>
      <c r="AM1326">
        <v>52.955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113.475</v>
      </c>
      <c r="AU1326">
        <v>0</v>
      </c>
      <c r="AV1326">
        <v>0</v>
      </c>
    </row>
    <row r="1327" spans="1:48" ht="12.75">
      <c r="A1327" s="2" t="str">
        <f>HYPERLINK("https://ibp.a2mac1.com/costing(costing:projects/details/8191/equipment/6948126)","No.17 - Injection Press - 4000T - 230kW - 2300x1800 - Max Volume 40818cm3 ")</f>
        <v xml:space="preserve">No.17 - Injection Press - 4000T - 230kW - 2300x1800 - Max Volume 40818cm3 </v>
      </c>
      <c r="B1327">
        <v>6948126</v>
      </c>
      <c r="C1327">
        <v>6975535</v>
      </c>
      <c r="E1327" t="s">
        <v>499</v>
      </c>
      <c r="H1327" t="s">
        <v>136</v>
      </c>
      <c r="I1327">
        <v>382996.288</v>
      </c>
      <c r="J1327">
        <v>0</v>
      </c>
      <c r="K1327">
        <v>19.207999999999998</v>
      </c>
      <c r="L1327">
        <v>0</v>
      </c>
      <c r="M1327">
        <v>98.442376084860172</v>
      </c>
      <c r="N1327">
        <v>0</v>
      </c>
      <c r="O1327">
        <v>1.2214587830066217</v>
      </c>
      <c r="P1327">
        <v>0.025631403535333334</v>
      </c>
      <c r="Q1327">
        <v>0.049004314590549665</v>
      </c>
      <c r="R1327">
        <v>2200000</v>
      </c>
      <c r="S1327">
        <v>0</v>
      </c>
      <c r="T1327">
        <v>0</v>
      </c>
      <c r="V1327">
        <v>21600</v>
      </c>
      <c r="W1327">
        <v>8</v>
      </c>
      <c r="X1327">
        <v>85</v>
      </c>
      <c r="Y1327">
        <v>3</v>
      </c>
      <c r="Z1327">
        <v>4</v>
      </c>
      <c r="AA1327">
        <v>5</v>
      </c>
      <c r="AB1327">
        <v>0</v>
      </c>
      <c r="AC1327">
        <v>0</v>
      </c>
      <c r="AD1327">
        <v>0</v>
      </c>
      <c r="AE1327">
        <v>0</v>
      </c>
      <c r="AF1327">
        <v>0.50</v>
      </c>
      <c r="AG1327">
        <v>0</v>
      </c>
      <c r="AH1327">
        <v>0</v>
      </c>
      <c r="AI1327">
        <v>3</v>
      </c>
      <c r="AJ1327">
        <v>0</v>
      </c>
      <c r="AK1327">
        <v>0</v>
      </c>
      <c r="AL1327">
        <v>90</v>
      </c>
      <c r="AM1327">
        <v>264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800</v>
      </c>
      <c r="AU1327">
        <v>0.20</v>
      </c>
      <c r="AV1327">
        <v>0</v>
      </c>
    </row>
    <row r="1328" spans="1:48" ht="12.75">
      <c r="A1328" s="2" t="str">
        <f>HYPERLINK("https://ibp.a2mac1.com/costing(costing:projects/details/8191/equipment/6948127)","DC machine - General")</f>
        <v>DC machine - General</v>
      </c>
      <c r="B1328">
        <v>6948127</v>
      </c>
      <c r="C1328">
        <v>6975536</v>
      </c>
      <c r="E1328" t="s">
        <v>659</v>
      </c>
      <c r="H1328" t="s">
        <v>136</v>
      </c>
      <c r="I1328">
        <v>116914.84457142858</v>
      </c>
      <c r="J1328">
        <v>0</v>
      </c>
      <c r="K1328">
        <v>3.60</v>
      </c>
      <c r="L1328">
        <v>0</v>
      </c>
      <c r="M1328">
        <v>27.497982091197134</v>
      </c>
      <c r="N1328">
        <v>0</v>
      </c>
      <c r="O1328">
        <v>0.80966280601858232</v>
      </c>
      <c r="P1328">
        <v>0.12164913333333334</v>
      </c>
      <c r="Q1328">
        <v>0.011732166376415484</v>
      </c>
      <c r="R1328">
        <v>635568</v>
      </c>
      <c r="S1328">
        <v>0</v>
      </c>
      <c r="T1328">
        <v>0</v>
      </c>
      <c r="V1328">
        <v>10800</v>
      </c>
      <c r="W1328">
        <v>7</v>
      </c>
      <c r="X1328">
        <v>85</v>
      </c>
      <c r="Y1328">
        <v>3</v>
      </c>
      <c r="Z1328">
        <v>4</v>
      </c>
      <c r="AA1328">
        <v>5</v>
      </c>
      <c r="AB1328">
        <v>0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3</v>
      </c>
      <c r="AJ1328">
        <v>0</v>
      </c>
      <c r="AK1328">
        <v>0</v>
      </c>
      <c r="AL1328">
        <v>100</v>
      </c>
      <c r="AM1328">
        <v>45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100</v>
      </c>
      <c r="AU1328">
        <v>0</v>
      </c>
      <c r="AV1328">
        <v>0</v>
      </c>
    </row>
    <row r="1329" spans="1:48" ht="12.75">
      <c r="A1329" s="2" t="str">
        <f>HYPERLINK("https://ibp.a2mac1.com/costing(costing:projects/details/8191/equipment/6948128)","DC machine - General")</f>
        <v>DC machine - General</v>
      </c>
      <c r="B1329">
        <v>6948128</v>
      </c>
      <c r="C1329">
        <v>6975537</v>
      </c>
      <c r="E1329" t="s">
        <v>659</v>
      </c>
      <c r="H1329" t="s">
        <v>136</v>
      </c>
      <c r="I1329">
        <v>116914.84457142858</v>
      </c>
      <c r="J1329">
        <v>0</v>
      </c>
      <c r="K1329">
        <v>3.60</v>
      </c>
      <c r="L1329">
        <v>0</v>
      </c>
      <c r="M1329">
        <v>27.497982091197134</v>
      </c>
      <c r="N1329">
        <v>0</v>
      </c>
      <c r="O1329">
        <v>0.80966280601858232</v>
      </c>
      <c r="P1329">
        <v>0.12164913333333334</v>
      </c>
      <c r="Q1329">
        <v>0.011732166376415484</v>
      </c>
      <c r="R1329">
        <v>635568</v>
      </c>
      <c r="S1329">
        <v>0</v>
      </c>
      <c r="T1329">
        <v>0</v>
      </c>
      <c r="V1329">
        <v>10800</v>
      </c>
      <c r="W1329">
        <v>7</v>
      </c>
      <c r="X1329">
        <v>85</v>
      </c>
      <c r="Y1329">
        <v>3</v>
      </c>
      <c r="Z1329">
        <v>4</v>
      </c>
      <c r="AA1329">
        <v>5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3</v>
      </c>
      <c r="AJ1329">
        <v>0</v>
      </c>
      <c r="AK1329">
        <v>0</v>
      </c>
      <c r="AL1329">
        <v>100</v>
      </c>
      <c r="AM1329">
        <v>45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100</v>
      </c>
      <c r="AU1329">
        <v>0</v>
      </c>
      <c r="AV1329">
        <v>0</v>
      </c>
    </row>
    <row r="1330" spans="1:48" ht="12.75">
      <c r="A1330" s="2" t="str">
        <f>HYPERLINK("https://ibp.a2mac1.com/costing(costing:projects/details/8191/equipment/6948129)","Equipment (Injection Molding)")</f>
        <v>Equipment (Injection Molding)</v>
      </c>
      <c r="B1330">
        <v>6948129</v>
      </c>
      <c r="C1330">
        <v>6975538</v>
      </c>
      <c r="H1330" t="s">
        <v>136</v>
      </c>
      <c r="I1330">
        <v>263.52951000000002</v>
      </c>
      <c r="J1330">
        <v>0</v>
      </c>
      <c r="K1330">
        <v>0.0112</v>
      </c>
      <c r="L1330">
        <v>0</v>
      </c>
      <c r="M1330">
        <v>0.064804871423979421</v>
      </c>
      <c r="N1330">
        <v>0</v>
      </c>
      <c r="O1330">
        <v>0.0010800811903996571</v>
      </c>
      <c r="P1330">
        <v>6.8857999999999997E-05</v>
      </c>
      <c r="Q1330">
        <v>5.6666890960703958E-06</v>
      </c>
      <c r="R1330">
        <v>1400</v>
      </c>
      <c r="S1330">
        <v>0</v>
      </c>
      <c r="T1330">
        <v>0</v>
      </c>
      <c r="V1330">
        <v>13.50</v>
      </c>
      <c r="W1330">
        <v>7</v>
      </c>
      <c r="X1330">
        <v>85</v>
      </c>
      <c r="Y1330">
        <v>3</v>
      </c>
      <c r="Z1330">
        <v>4</v>
      </c>
      <c r="AA1330">
        <v>5</v>
      </c>
      <c r="AB1330">
        <v>0</v>
      </c>
      <c r="AC1330">
        <v>0</v>
      </c>
      <c r="AD1330">
        <v>0</v>
      </c>
      <c r="AE1330">
        <v>0</v>
      </c>
      <c r="AF1330">
        <v>0.001</v>
      </c>
      <c r="AG1330">
        <v>0</v>
      </c>
      <c r="AH1330">
        <v>0</v>
      </c>
      <c r="AI1330">
        <v>2</v>
      </c>
      <c r="AJ1330">
        <v>0</v>
      </c>
      <c r="AK1330">
        <v>0</v>
      </c>
      <c r="AL1330">
        <v>80</v>
      </c>
      <c r="AM1330">
        <v>0.175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0.375</v>
      </c>
      <c r="AU1330">
        <v>0</v>
      </c>
      <c r="AV1330">
        <v>0</v>
      </c>
    </row>
    <row r="1331" spans="1:48" ht="12.75">
      <c r="A1331" s="2" t="str">
        <f>HYPERLINK("https://ibp.a2mac1.com/costing(costing:projects/details/8191/equipment/6948130)","Equipment (Injection Molding)")</f>
        <v>Equipment (Injection Molding)</v>
      </c>
      <c r="B1331">
        <v>6948130</v>
      </c>
      <c r="C1331">
        <v>6975539</v>
      </c>
      <c r="H1331" t="s">
        <v>136</v>
      </c>
      <c r="I1331">
        <v>105.411804</v>
      </c>
      <c r="J1331">
        <v>0</v>
      </c>
      <c r="K1331">
        <v>0.0044799999999999996</v>
      </c>
      <c r="L1331">
        <v>0</v>
      </c>
      <c r="M1331">
        <v>0.02592194856959177</v>
      </c>
      <c r="N1331">
        <v>0</v>
      </c>
      <c r="O1331">
        <v>0.00043203247615986284</v>
      </c>
      <c r="P1331">
        <v>2.7543200000000001E-05</v>
      </c>
      <c r="Q1331">
        <v>2.2631761753712633E-06</v>
      </c>
      <c r="R1331">
        <v>560</v>
      </c>
      <c r="S1331">
        <v>0</v>
      </c>
      <c r="T1331">
        <v>0</v>
      </c>
      <c r="V1331">
        <v>5.40</v>
      </c>
      <c r="W1331">
        <v>7</v>
      </c>
      <c r="X1331">
        <v>85</v>
      </c>
      <c r="Y1331">
        <v>3</v>
      </c>
      <c r="Z1331">
        <v>4</v>
      </c>
      <c r="AA1331">
        <v>5</v>
      </c>
      <c r="AB1331">
        <v>0</v>
      </c>
      <c r="AC1331">
        <v>0</v>
      </c>
      <c r="AD1331">
        <v>0</v>
      </c>
      <c r="AE1331">
        <v>0</v>
      </c>
      <c r="AF1331">
        <v>0.00040000000000000002</v>
      </c>
      <c r="AG1331">
        <v>0</v>
      </c>
      <c r="AH1331">
        <v>0</v>
      </c>
      <c r="AI1331">
        <v>2</v>
      </c>
      <c r="AJ1331">
        <v>0</v>
      </c>
      <c r="AK1331">
        <v>0</v>
      </c>
      <c r="AL1331">
        <v>80</v>
      </c>
      <c r="AM1331">
        <v>0.07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0.15</v>
      </c>
      <c r="AU1331">
        <v>0</v>
      </c>
      <c r="AV1331">
        <v>0</v>
      </c>
    </row>
    <row r="1332" spans="1:48" ht="12.75">
      <c r="A1332" s="2" t="str">
        <f>HYPERLINK("https://ibp.a2mac1.com/costing(costing:projects/details/8191/equipment/6948131)","Equipment (Injection Molding)")</f>
        <v>Equipment (Injection Molding)</v>
      </c>
      <c r="B1332">
        <v>6948131</v>
      </c>
      <c r="C1332">
        <v>6975540</v>
      </c>
      <c r="H1332" t="s">
        <v>136</v>
      </c>
      <c r="I1332">
        <v>11384.474832</v>
      </c>
      <c r="J1332">
        <v>0</v>
      </c>
      <c r="K1332">
        <v>0.48383999999999999</v>
      </c>
      <c r="L1332">
        <v>0</v>
      </c>
      <c r="M1332">
        <v>2.7995704455159114</v>
      </c>
      <c r="N1332">
        <v>0</v>
      </c>
      <c r="O1332">
        <v>0.046659507425265187</v>
      </c>
      <c r="P1332">
        <v>0.0029746655999999998</v>
      </c>
      <c r="Q1332">
        <v>0.00027138289033041467</v>
      </c>
      <c r="R1332">
        <v>60480</v>
      </c>
      <c r="S1332">
        <v>0</v>
      </c>
      <c r="T1332">
        <v>0</v>
      </c>
      <c r="V1332">
        <v>583.20</v>
      </c>
      <c r="W1332">
        <v>7</v>
      </c>
      <c r="X1332">
        <v>85</v>
      </c>
      <c r="Y1332">
        <v>3</v>
      </c>
      <c r="Z1332">
        <v>4</v>
      </c>
      <c r="AA1332">
        <v>5</v>
      </c>
      <c r="AB1332">
        <v>0</v>
      </c>
      <c r="AC1332">
        <v>0</v>
      </c>
      <c r="AD1332">
        <v>0</v>
      </c>
      <c r="AE1332">
        <v>0</v>
      </c>
      <c r="AF1332">
        <v>0.043200000000000002</v>
      </c>
      <c r="AG1332">
        <v>0</v>
      </c>
      <c r="AH1332">
        <v>0</v>
      </c>
      <c r="AI1332">
        <v>2</v>
      </c>
      <c r="AJ1332">
        <v>0</v>
      </c>
      <c r="AK1332">
        <v>0</v>
      </c>
      <c r="AL1332">
        <v>80</v>
      </c>
      <c r="AM1332">
        <v>7.56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16.20</v>
      </c>
      <c r="AU1332">
        <v>0</v>
      </c>
      <c r="AV1332">
        <v>0</v>
      </c>
    </row>
    <row r="1333" spans="1:48" ht="12.75">
      <c r="A1333" s="2" t="str">
        <f>HYPERLINK("https://ibp.a2mac1.com/costing(costing:projects/details/8191/equipment/6948132)","Equipment (Injection Molding)")</f>
        <v>Equipment (Injection Molding)</v>
      </c>
      <c r="B1333">
        <v>6948132</v>
      </c>
      <c r="C1333">
        <v>6975541</v>
      </c>
      <c r="H1333" t="s">
        <v>136</v>
      </c>
      <c r="I1333">
        <v>11120.945322</v>
      </c>
      <c r="J1333">
        <v>0</v>
      </c>
      <c r="K1333">
        <v>0.47264</v>
      </c>
      <c r="L1333">
        <v>0</v>
      </c>
      <c r="M1333">
        <v>2.7347655740919317</v>
      </c>
      <c r="N1333">
        <v>0</v>
      </c>
      <c r="O1333">
        <v>0.045579426234865529</v>
      </c>
      <c r="P1333">
        <v>0.0029058076</v>
      </c>
      <c r="Q1333">
        <v>0.00026448555672600288</v>
      </c>
      <c r="R1333">
        <v>59080</v>
      </c>
      <c r="S1333">
        <v>0</v>
      </c>
      <c r="T1333">
        <v>0</v>
      </c>
      <c r="V1333">
        <v>569.70</v>
      </c>
      <c r="W1333">
        <v>7</v>
      </c>
      <c r="X1333">
        <v>85</v>
      </c>
      <c r="Y1333">
        <v>3</v>
      </c>
      <c r="Z1333">
        <v>4</v>
      </c>
      <c r="AA1333">
        <v>5</v>
      </c>
      <c r="AB1333">
        <v>0</v>
      </c>
      <c r="AC1333">
        <v>0</v>
      </c>
      <c r="AD1333">
        <v>0</v>
      </c>
      <c r="AE1333">
        <v>0</v>
      </c>
      <c r="AF1333">
        <v>0.042200000000000001</v>
      </c>
      <c r="AG1333">
        <v>0</v>
      </c>
      <c r="AH1333">
        <v>0</v>
      </c>
      <c r="AI1333">
        <v>2</v>
      </c>
      <c r="AJ1333">
        <v>0</v>
      </c>
      <c r="AK1333">
        <v>0</v>
      </c>
      <c r="AL1333">
        <v>80</v>
      </c>
      <c r="AM1333">
        <v>7.385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15.825</v>
      </c>
      <c r="AU1333">
        <v>0</v>
      </c>
      <c r="AV1333">
        <v>0</v>
      </c>
    </row>
    <row r="1334" spans="1:48" ht="12.75">
      <c r="A1334" s="2" t="str">
        <f>HYPERLINK("https://ibp.a2mac1.com/costing(costing:projects/details/8191/equipment/6948140)","Equipment (Injection Molding)")</f>
        <v>Equipment (Injection Molding)</v>
      </c>
      <c r="B1334">
        <v>6948140</v>
      </c>
      <c r="C1334">
        <v>6975542</v>
      </c>
      <c r="H1334" t="s">
        <v>136</v>
      </c>
      <c r="I1334">
        <v>8064.0030059999999</v>
      </c>
      <c r="J1334">
        <v>0</v>
      </c>
      <c r="K1334">
        <v>0.34272000000000002</v>
      </c>
      <c r="L1334">
        <v>0</v>
      </c>
      <c r="M1334">
        <v>1.9830290655737706</v>
      </c>
      <c r="N1334">
        <v>0</v>
      </c>
      <c r="O1334">
        <v>0.033050484426229508</v>
      </c>
      <c r="P1334">
        <v>0.0021070548</v>
      </c>
      <c r="Q1334">
        <v>0.0001866076599164754</v>
      </c>
      <c r="R1334">
        <v>42840</v>
      </c>
      <c r="S1334">
        <v>0</v>
      </c>
      <c r="T1334">
        <v>0</v>
      </c>
      <c r="V1334">
        <v>413.10</v>
      </c>
      <c r="W1334">
        <v>7</v>
      </c>
      <c r="X1334">
        <v>85</v>
      </c>
      <c r="Y1334">
        <v>3</v>
      </c>
      <c r="Z1334">
        <v>4</v>
      </c>
      <c r="AA1334">
        <v>5</v>
      </c>
      <c r="AB1334">
        <v>0</v>
      </c>
      <c r="AC1334">
        <v>0</v>
      </c>
      <c r="AD1334">
        <v>0</v>
      </c>
      <c r="AE1334">
        <v>0</v>
      </c>
      <c r="AF1334">
        <v>0.030599999999999999</v>
      </c>
      <c r="AG1334">
        <v>0</v>
      </c>
      <c r="AH1334">
        <v>0</v>
      </c>
      <c r="AI1334">
        <v>2</v>
      </c>
      <c r="AJ1334">
        <v>0</v>
      </c>
      <c r="AK1334">
        <v>0</v>
      </c>
      <c r="AL1334">
        <v>80</v>
      </c>
      <c r="AM1334">
        <v>5.355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11.475</v>
      </c>
      <c r="AU1334">
        <v>0</v>
      </c>
      <c r="AV1334">
        <v>0</v>
      </c>
    </row>
    <row r="1335" spans="1:48" ht="12.75">
      <c r="A1335" s="2" t="str">
        <f>HYPERLINK("https://ibp.a2mac1.com/costing(costing:projects/details/8191/equipment/6948141)","Equipment (Injection Molding)")</f>
        <v>Equipment (Injection Molding)</v>
      </c>
      <c r="B1335">
        <v>6948141</v>
      </c>
      <c r="C1335">
        <v>6975543</v>
      </c>
      <c r="H1335" t="s">
        <v>136</v>
      </c>
      <c r="I1335">
        <v>8011.2971040000002</v>
      </c>
      <c r="J1335">
        <v>0</v>
      </c>
      <c r="K1335">
        <v>0.34048</v>
      </c>
      <c r="L1335">
        <v>0</v>
      </c>
      <c r="M1335">
        <v>1.9700680912889745</v>
      </c>
      <c r="N1335">
        <v>0</v>
      </c>
      <c r="O1335">
        <v>0.032834468188149578</v>
      </c>
      <c r="P1335">
        <v>0.0020932832000000001</v>
      </c>
      <c r="Q1335">
        <v>0.00018529934894441659</v>
      </c>
      <c r="R1335">
        <v>42560</v>
      </c>
      <c r="S1335">
        <v>0</v>
      </c>
      <c r="T1335">
        <v>0</v>
      </c>
      <c r="V1335">
        <v>410.40</v>
      </c>
      <c r="W1335">
        <v>7</v>
      </c>
      <c r="X1335">
        <v>85</v>
      </c>
      <c r="Y1335">
        <v>3</v>
      </c>
      <c r="Z1335">
        <v>4</v>
      </c>
      <c r="AA1335">
        <v>5</v>
      </c>
      <c r="AB1335">
        <v>0</v>
      </c>
      <c r="AC1335">
        <v>0</v>
      </c>
      <c r="AD1335">
        <v>0</v>
      </c>
      <c r="AE1335">
        <v>0</v>
      </c>
      <c r="AF1335">
        <v>0.0304</v>
      </c>
      <c r="AG1335">
        <v>0</v>
      </c>
      <c r="AH1335">
        <v>0</v>
      </c>
      <c r="AI1335">
        <v>2</v>
      </c>
      <c r="AJ1335">
        <v>0</v>
      </c>
      <c r="AK1335">
        <v>0</v>
      </c>
      <c r="AL1335">
        <v>80</v>
      </c>
      <c r="AM1335">
        <v>5.32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11.40</v>
      </c>
      <c r="AU1335">
        <v>0</v>
      </c>
      <c r="AV1335">
        <v>0</v>
      </c>
    </row>
    <row r="1336" spans="1:48" ht="12.75">
      <c r="A1336" s="2" t="str">
        <f>HYPERLINK("https://ibp.a2mac1.com/costing(costing:projects/details/8191/equipment/6948376)","DC machine - General")</f>
        <v>DC machine - General</v>
      </c>
      <c r="B1336">
        <v>6948376</v>
      </c>
      <c r="C1336">
        <v>6975771</v>
      </c>
      <c r="E1336" t="s">
        <v>659</v>
      </c>
      <c r="H1336" t="s">
        <v>136</v>
      </c>
      <c r="I1336">
        <v>126379.58462078571</v>
      </c>
      <c r="J1336">
        <v>0</v>
      </c>
      <c r="K1336">
        <v>3.60</v>
      </c>
      <c r="L1336">
        <v>0</v>
      </c>
      <c r="M1336">
        <v>29.446794425552188</v>
      </c>
      <c r="N1336">
        <v>0</v>
      </c>
      <c r="O1336">
        <v>1.0224581397761177</v>
      </c>
      <c r="P1336">
        <v>0.14345416666666666</v>
      </c>
      <c r="Q1336">
        <v>0.012082952596599394</v>
      </c>
      <c r="R1336">
        <v>688783.40590000001</v>
      </c>
      <c r="S1336">
        <v>0</v>
      </c>
      <c r="T1336">
        <v>0</v>
      </c>
      <c r="V1336">
        <v>10800</v>
      </c>
      <c r="W1336">
        <v>7</v>
      </c>
      <c r="X1336">
        <v>85</v>
      </c>
      <c r="Y1336">
        <v>3</v>
      </c>
      <c r="Z1336">
        <v>4</v>
      </c>
      <c r="AA1336">
        <v>5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3</v>
      </c>
      <c r="AJ1336">
        <v>0</v>
      </c>
      <c r="AK1336">
        <v>0</v>
      </c>
      <c r="AL1336">
        <v>100</v>
      </c>
      <c r="AM1336">
        <v>45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100</v>
      </c>
      <c r="AU1336">
        <v>0</v>
      </c>
      <c r="AV1336">
        <v>0</v>
      </c>
    </row>
    <row r="1337" spans="1:48" ht="12.75">
      <c r="A1337" s="2" t="str">
        <f>HYPERLINK("https://ibp.a2mac1.com/costing(costing:projects/details/8191/equipment/6948377)","DC machine - General")</f>
        <v>DC machine - General</v>
      </c>
      <c r="B1337">
        <v>6948377</v>
      </c>
      <c r="C1337">
        <v>6975772</v>
      </c>
      <c r="E1337" t="s">
        <v>659</v>
      </c>
      <c r="H1337" t="s">
        <v>136</v>
      </c>
      <c r="I1337">
        <v>126379.58462078571</v>
      </c>
      <c r="J1337">
        <v>0</v>
      </c>
      <c r="K1337">
        <v>3.60</v>
      </c>
      <c r="L1337">
        <v>0</v>
      </c>
      <c r="M1337">
        <v>29.446794425552188</v>
      </c>
      <c r="N1337">
        <v>0</v>
      </c>
      <c r="O1337">
        <v>1.0224581397761177</v>
      </c>
      <c r="P1337">
        <v>0.14345416666666666</v>
      </c>
      <c r="Q1337">
        <v>0.012082952596599394</v>
      </c>
      <c r="R1337">
        <v>688783.40590000001</v>
      </c>
      <c r="S1337">
        <v>0</v>
      </c>
      <c r="T1337">
        <v>0</v>
      </c>
      <c r="V1337">
        <v>10800</v>
      </c>
      <c r="W1337">
        <v>7</v>
      </c>
      <c r="X1337">
        <v>85</v>
      </c>
      <c r="Y1337">
        <v>3</v>
      </c>
      <c r="Z1337">
        <v>4</v>
      </c>
      <c r="AA1337">
        <v>5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3</v>
      </c>
      <c r="AJ1337">
        <v>0</v>
      </c>
      <c r="AK1337">
        <v>0</v>
      </c>
      <c r="AL1337">
        <v>100</v>
      </c>
      <c r="AM1337">
        <v>45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100</v>
      </c>
      <c r="AU1337">
        <v>0</v>
      </c>
      <c r="AV1337">
        <v>0</v>
      </c>
    </row>
    <row r="1338" spans="1:48" ht="12.75">
      <c r="A1338" s="2" t="str">
        <f>HYPERLINK("https://ibp.a2mac1.com/costing(costing:projects/details/8191/equipment/6948142)","Equipment (Injection Molding)")</f>
        <v>Equipment (Injection Molding)</v>
      </c>
      <c r="B1338">
        <v>6948142</v>
      </c>
      <c r="C1338">
        <v>6975544</v>
      </c>
      <c r="H1338" t="s">
        <v>136</v>
      </c>
      <c r="I1338">
        <v>6113.8846320000002</v>
      </c>
      <c r="J1338">
        <v>0</v>
      </c>
      <c r="K1338">
        <v>0.25984000000000002</v>
      </c>
      <c r="L1338">
        <v>0</v>
      </c>
      <c r="M1338">
        <v>1.5034730170363226</v>
      </c>
      <c r="N1338">
        <v>0</v>
      </c>
      <c r="O1338">
        <v>0.025057883617272046</v>
      </c>
      <c r="P1338">
        <v>0.0015975055999999999</v>
      </c>
      <c r="Q1338">
        <v>6.9488517374464799E-05</v>
      </c>
      <c r="R1338">
        <v>32480</v>
      </c>
      <c r="S1338">
        <v>0</v>
      </c>
      <c r="T1338">
        <v>0</v>
      </c>
      <c r="V1338">
        <v>313.20</v>
      </c>
      <c r="W1338">
        <v>7</v>
      </c>
      <c r="X1338">
        <v>85</v>
      </c>
      <c r="Y1338">
        <v>3</v>
      </c>
      <c r="Z1338">
        <v>4</v>
      </c>
      <c r="AA1338">
        <v>5</v>
      </c>
      <c r="AB1338">
        <v>0</v>
      </c>
      <c r="AC1338">
        <v>0</v>
      </c>
      <c r="AD1338">
        <v>0</v>
      </c>
      <c r="AE1338">
        <v>0</v>
      </c>
      <c r="AF1338">
        <v>0.023199999999999998</v>
      </c>
      <c r="AG1338">
        <v>0</v>
      </c>
      <c r="AH1338">
        <v>0</v>
      </c>
      <c r="AI1338">
        <v>2</v>
      </c>
      <c r="AJ1338">
        <v>0</v>
      </c>
      <c r="AK1338">
        <v>0</v>
      </c>
      <c r="AL1338">
        <v>80</v>
      </c>
      <c r="AM1338">
        <v>4.06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8.70</v>
      </c>
      <c r="AU1338">
        <v>0</v>
      </c>
      <c r="AV1338">
        <v>0</v>
      </c>
    </row>
    <row r="1339" spans="1:48" ht="12.75">
      <c r="A1339" s="2" t="str">
        <f>HYPERLINK("https://ibp.a2mac1.com/costing(costing:projects/details/8191/equipment/6947909)","DC machine - General")</f>
        <v>DC machine - General</v>
      </c>
      <c r="B1339">
        <v>6947909</v>
      </c>
      <c r="C1339">
        <v>6975343</v>
      </c>
      <c r="E1339" t="s">
        <v>659</v>
      </c>
      <c r="H1339" t="s">
        <v>136</v>
      </c>
      <c r="I1339">
        <v>116914.84456431429</v>
      </c>
      <c r="J1339">
        <v>0</v>
      </c>
      <c r="K1339">
        <v>3.60</v>
      </c>
      <c r="L1339">
        <v>0</v>
      </c>
      <c r="M1339">
        <v>27.497982089732286</v>
      </c>
      <c r="N1339">
        <v>0</v>
      </c>
      <c r="O1339">
        <v>23.029560000150791</v>
      </c>
      <c r="P1339">
        <v>3.4601145</v>
      </c>
      <c r="Q1339">
        <v>0.011732166376151812</v>
      </c>
      <c r="R1339">
        <v>635567.99996000004</v>
      </c>
      <c r="S1339">
        <v>0</v>
      </c>
      <c r="T1339">
        <v>0</v>
      </c>
      <c r="V1339">
        <v>10800</v>
      </c>
      <c r="W1339">
        <v>7</v>
      </c>
      <c r="X1339">
        <v>85</v>
      </c>
      <c r="Y1339">
        <v>3</v>
      </c>
      <c r="Z1339">
        <v>4</v>
      </c>
      <c r="AA1339">
        <v>5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3</v>
      </c>
      <c r="AJ1339">
        <v>0</v>
      </c>
      <c r="AK1339">
        <v>0</v>
      </c>
      <c r="AL1339">
        <v>100</v>
      </c>
      <c r="AM1339">
        <v>45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100</v>
      </c>
      <c r="AU1339">
        <v>0</v>
      </c>
      <c r="AV1339">
        <v>0</v>
      </c>
    </row>
    <row r="1340" spans="1:48" ht="12.75">
      <c r="A1340" s="2" t="str">
        <f>HYPERLINK("https://ibp.a2mac1.com/costing(costing:projects/details/8191/equipment/6947910)","Dummy Machine (PCBA+Final Assembly Line)")</f>
        <v>Dummy Machine (PCBA+Final Assembly Line)</v>
      </c>
      <c r="B1340">
        <v>6947910</v>
      </c>
      <c r="C1340">
        <v>6975344</v>
      </c>
      <c r="F1340" t="s">
        <v>559</v>
      </c>
      <c r="H1340" t="s">
        <v>136</v>
      </c>
      <c r="I1340">
        <v>79501.662769714283</v>
      </c>
      <c r="J1340">
        <v>0</v>
      </c>
      <c r="K1340">
        <v>0.28895999999999999</v>
      </c>
      <c r="L1340">
        <v>0</v>
      </c>
      <c r="M1340">
        <v>16.624578413647427</v>
      </c>
      <c r="N1340">
        <v>0</v>
      </c>
      <c r="O1340">
        <v>3.463453836176547</v>
      </c>
      <c r="P1340">
        <v>0.60250749999999997</v>
      </c>
      <c r="Q1340">
        <v>5.7409879240942279E-05</v>
      </c>
      <c r="R1340">
        <v>442771.10</v>
      </c>
      <c r="S1340">
        <v>0</v>
      </c>
      <c r="T1340">
        <v>0</v>
      </c>
      <c r="V1340">
        <v>216</v>
      </c>
      <c r="W1340">
        <v>7</v>
      </c>
      <c r="X1340">
        <v>85</v>
      </c>
      <c r="Y1340">
        <v>3</v>
      </c>
      <c r="Z1340">
        <v>4</v>
      </c>
      <c r="AA1340">
        <v>5</v>
      </c>
      <c r="AB1340">
        <v>0</v>
      </c>
      <c r="AC1340">
        <v>0</v>
      </c>
      <c r="AD1340">
        <v>0</v>
      </c>
      <c r="AE1340">
        <v>0</v>
      </c>
      <c r="AF1340">
        <v>0.70</v>
      </c>
      <c r="AG1340">
        <v>0</v>
      </c>
      <c r="AH1340">
        <v>0</v>
      </c>
      <c r="AI1340">
        <v>0.20</v>
      </c>
      <c r="AJ1340">
        <v>0</v>
      </c>
      <c r="AK1340">
        <v>0</v>
      </c>
      <c r="AL1340">
        <v>86</v>
      </c>
      <c r="AM1340">
        <v>4.20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19.40</v>
      </c>
      <c r="AU1340">
        <v>0</v>
      </c>
      <c r="AV1340">
        <v>0</v>
      </c>
    </row>
    <row r="1341" spans="1:48" ht="12.75">
      <c r="A1341" s="2" t="str">
        <f>HYPERLINK("https://ibp.a2mac1.com/costing(costing:projects/details/8191/equipment/6948143)","Equipment (Injection Molding)")</f>
        <v>Equipment (Injection Molding)</v>
      </c>
      <c r="B1341">
        <v>6948143</v>
      </c>
      <c r="C1341">
        <v>6975545</v>
      </c>
      <c r="H1341" t="s">
        <v>136</v>
      </c>
      <c r="I1341">
        <v>395.294265</v>
      </c>
      <c r="J1341">
        <v>0</v>
      </c>
      <c r="K1341">
        <v>0.016799999999999999</v>
      </c>
      <c r="L1341">
        <v>0</v>
      </c>
      <c r="M1341">
        <v>0.097207307135969145</v>
      </c>
      <c r="N1341">
        <v>0</v>
      </c>
      <c r="O1341">
        <v>0.0016201217855994856</v>
      </c>
      <c r="P1341">
        <v>0.000103287</v>
      </c>
      <c r="Q1341">
        <v>4.2554847330791948E-06</v>
      </c>
      <c r="R1341">
        <v>2100</v>
      </c>
      <c r="S1341">
        <v>0</v>
      </c>
      <c r="T1341">
        <v>0</v>
      </c>
      <c r="V1341">
        <v>20.25</v>
      </c>
      <c r="W1341">
        <v>7</v>
      </c>
      <c r="X1341">
        <v>85</v>
      </c>
      <c r="Y1341">
        <v>3</v>
      </c>
      <c r="Z1341">
        <v>4</v>
      </c>
      <c r="AA1341">
        <v>5</v>
      </c>
      <c r="AB1341">
        <v>0</v>
      </c>
      <c r="AC1341">
        <v>0</v>
      </c>
      <c r="AD1341">
        <v>0</v>
      </c>
      <c r="AE1341">
        <v>0</v>
      </c>
      <c r="AF1341">
        <v>0.0015</v>
      </c>
      <c r="AG1341">
        <v>0</v>
      </c>
      <c r="AH1341">
        <v>0</v>
      </c>
      <c r="AI1341">
        <v>2</v>
      </c>
      <c r="AJ1341">
        <v>0</v>
      </c>
      <c r="AK1341">
        <v>0</v>
      </c>
      <c r="AL1341">
        <v>80</v>
      </c>
      <c r="AM1341">
        <v>0.2625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0.5625</v>
      </c>
      <c r="AU1341">
        <v>0</v>
      </c>
      <c r="AV1341">
        <v>0</v>
      </c>
    </row>
    <row r="1342" spans="1:48" ht="12.75">
      <c r="A1342" s="2" t="str">
        <f>HYPERLINK("https://ibp.a2mac1.com/costing(costing:projects/details/8191/equipment/6948144)","Dummy Machine (PCBA+Final Assembly Line)")</f>
        <v>Dummy Machine (PCBA+Final Assembly Line)</v>
      </c>
      <c r="B1342">
        <v>6948144</v>
      </c>
      <c r="C1342">
        <v>6975551</v>
      </c>
      <c r="F1342" t="s">
        <v>559</v>
      </c>
      <c r="H1342" t="s">
        <v>136</v>
      </c>
      <c r="I1342">
        <v>79501.662769714283</v>
      </c>
      <c r="J1342">
        <v>0</v>
      </c>
      <c r="K1342">
        <v>0.28895999999999999</v>
      </c>
      <c r="L1342">
        <v>0</v>
      </c>
      <c r="M1342">
        <v>16.624578413647427</v>
      </c>
      <c r="N1342">
        <v>0</v>
      </c>
      <c r="O1342">
        <v>1.1083052275764951</v>
      </c>
      <c r="P1342">
        <v>0.19280240000000001</v>
      </c>
      <c r="Q1342">
        <v>3.4445927544565365E-05</v>
      </c>
      <c r="R1342">
        <v>442771.10</v>
      </c>
      <c r="S1342">
        <v>0</v>
      </c>
      <c r="T1342">
        <v>0</v>
      </c>
      <c r="V1342">
        <v>216</v>
      </c>
      <c r="W1342">
        <v>7</v>
      </c>
      <c r="X1342">
        <v>85</v>
      </c>
      <c r="Y1342">
        <v>3</v>
      </c>
      <c r="Z1342">
        <v>4</v>
      </c>
      <c r="AA1342">
        <v>5</v>
      </c>
      <c r="AB1342">
        <v>0</v>
      </c>
      <c r="AC1342">
        <v>0</v>
      </c>
      <c r="AD1342">
        <v>0</v>
      </c>
      <c r="AE1342">
        <v>0</v>
      </c>
      <c r="AF1342">
        <v>0.70</v>
      </c>
      <c r="AG1342">
        <v>0</v>
      </c>
      <c r="AH1342">
        <v>0</v>
      </c>
      <c r="AI1342">
        <v>0.20</v>
      </c>
      <c r="AJ1342">
        <v>0</v>
      </c>
      <c r="AK1342">
        <v>0</v>
      </c>
      <c r="AL1342">
        <v>86</v>
      </c>
      <c r="AM1342">
        <v>4.20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19.40</v>
      </c>
      <c r="AU1342">
        <v>0</v>
      </c>
      <c r="AV1342">
        <v>0</v>
      </c>
    </row>
    <row r="1343" spans="1:48" ht="12.75">
      <c r="A1343" s="2" t="str">
        <f>HYPERLINK("https://ibp.a2mac1.com/costing(costing:projects/details/8191/equipment/6947911)","Dummy Machine (PCBA+Final Assembly Line)")</f>
        <v>Dummy Machine (PCBA+Final Assembly Line)</v>
      </c>
      <c r="B1343">
        <v>6947911</v>
      </c>
      <c r="C1343">
        <v>6975345</v>
      </c>
      <c r="F1343" t="s">
        <v>559</v>
      </c>
      <c r="H1343" t="s">
        <v>136</v>
      </c>
      <c r="I1343">
        <v>79501.662769714283</v>
      </c>
      <c r="J1343">
        <v>0</v>
      </c>
      <c r="K1343">
        <v>0.28895999999999999</v>
      </c>
      <c r="L1343">
        <v>0</v>
      </c>
      <c r="M1343">
        <v>16.624578413647427</v>
      </c>
      <c r="N1343">
        <v>0</v>
      </c>
      <c r="O1343">
        <v>2.3551486086000519</v>
      </c>
      <c r="P1343">
        <v>0.40970509999999999</v>
      </c>
      <c r="Q1343">
        <v>3.4445927544565365E-05</v>
      </c>
      <c r="R1343">
        <v>442771.10</v>
      </c>
      <c r="S1343">
        <v>0</v>
      </c>
      <c r="T1343">
        <v>0</v>
      </c>
      <c r="V1343">
        <v>216</v>
      </c>
      <c r="W1343">
        <v>7</v>
      </c>
      <c r="X1343">
        <v>85</v>
      </c>
      <c r="Y1343">
        <v>3</v>
      </c>
      <c r="Z1343">
        <v>4</v>
      </c>
      <c r="AA1343">
        <v>5</v>
      </c>
      <c r="AB1343">
        <v>0</v>
      </c>
      <c r="AC1343">
        <v>0</v>
      </c>
      <c r="AD1343">
        <v>0</v>
      </c>
      <c r="AE1343">
        <v>0</v>
      </c>
      <c r="AF1343">
        <v>0.70</v>
      </c>
      <c r="AG1343">
        <v>0</v>
      </c>
      <c r="AH1343">
        <v>0</v>
      </c>
      <c r="AI1343">
        <v>0.20</v>
      </c>
      <c r="AJ1343">
        <v>0</v>
      </c>
      <c r="AK1343">
        <v>0</v>
      </c>
      <c r="AL1343">
        <v>86</v>
      </c>
      <c r="AM1343">
        <v>4.20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19.40</v>
      </c>
      <c r="AU1343">
        <v>0</v>
      </c>
      <c r="AV1343">
        <v>0</v>
      </c>
    </row>
    <row r="1344" spans="1:48" ht="12.75">
      <c r="A1344" s="2" t="str">
        <f>HYPERLINK("https://ibp.a2mac1.com/costing(costing:projects/details/8191/equipment/6947913)","Dummy Machine (PCBA+Final Assembly Line)")</f>
        <v>Dummy Machine (PCBA+Final Assembly Line)</v>
      </c>
      <c r="B1344">
        <v>6947913</v>
      </c>
      <c r="C1344">
        <v>6975346</v>
      </c>
      <c r="F1344" t="s">
        <v>559</v>
      </c>
      <c r="H1344" t="s">
        <v>136</v>
      </c>
      <c r="I1344">
        <v>79501.662769714283</v>
      </c>
      <c r="J1344">
        <v>0</v>
      </c>
      <c r="K1344">
        <v>0.28895999999999999</v>
      </c>
      <c r="L1344">
        <v>0</v>
      </c>
      <c r="M1344">
        <v>16.624578413647427</v>
      </c>
      <c r="N1344">
        <v>0</v>
      </c>
      <c r="O1344">
        <v>1.6624578413647426</v>
      </c>
      <c r="P1344">
        <v>0.28920360000000001</v>
      </c>
      <c r="Q1344">
        <v>6.889185508913073E-05</v>
      </c>
      <c r="R1344">
        <v>442771.10</v>
      </c>
      <c r="S1344">
        <v>0</v>
      </c>
      <c r="T1344">
        <v>0</v>
      </c>
      <c r="V1344">
        <v>216</v>
      </c>
      <c r="W1344">
        <v>7</v>
      </c>
      <c r="X1344">
        <v>85</v>
      </c>
      <c r="Y1344">
        <v>3</v>
      </c>
      <c r="Z1344">
        <v>4</v>
      </c>
      <c r="AA1344">
        <v>5</v>
      </c>
      <c r="AB1344">
        <v>0</v>
      </c>
      <c r="AC1344">
        <v>0</v>
      </c>
      <c r="AD1344">
        <v>0</v>
      </c>
      <c r="AE1344">
        <v>0</v>
      </c>
      <c r="AF1344">
        <v>0.70</v>
      </c>
      <c r="AG1344">
        <v>0</v>
      </c>
      <c r="AH1344">
        <v>0</v>
      </c>
      <c r="AI1344">
        <v>0.20</v>
      </c>
      <c r="AJ1344">
        <v>0</v>
      </c>
      <c r="AK1344">
        <v>0</v>
      </c>
      <c r="AL1344">
        <v>86</v>
      </c>
      <c r="AM1344">
        <v>4.20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19.40</v>
      </c>
      <c r="AU1344">
        <v>0</v>
      </c>
      <c r="AV1344">
        <v>0</v>
      </c>
    </row>
    <row r="1345" spans="1:48" ht="12.75">
      <c r="A1345" s="2" t="str">
        <f>HYPERLINK("https://ibp.a2mac1.com/costing(costing:projects/details/8191/equipment/6947914)","Dummy Machine (PCBA+Final Assembly Line)")</f>
        <v>Dummy Machine (PCBA+Final Assembly Line)</v>
      </c>
      <c r="B1345">
        <v>6947914</v>
      </c>
      <c r="C1345">
        <v>6975347</v>
      </c>
      <c r="F1345" t="s">
        <v>559</v>
      </c>
      <c r="H1345" t="s">
        <v>136</v>
      </c>
      <c r="I1345">
        <v>79501.662769714283</v>
      </c>
      <c r="J1345">
        <v>0</v>
      </c>
      <c r="K1345">
        <v>0.28895999999999999</v>
      </c>
      <c r="L1345">
        <v>0</v>
      </c>
      <c r="M1345">
        <v>16.624578413647427</v>
      </c>
      <c r="N1345">
        <v>0</v>
      </c>
      <c r="O1345">
        <v>0.50797322930589361</v>
      </c>
      <c r="P1345">
        <v>0.088367766666666667</v>
      </c>
      <c r="Q1345">
        <v>6.889185508913073E-05</v>
      </c>
      <c r="R1345">
        <v>442771.10</v>
      </c>
      <c r="S1345">
        <v>0</v>
      </c>
      <c r="T1345">
        <v>0</v>
      </c>
      <c r="V1345">
        <v>216</v>
      </c>
      <c r="W1345">
        <v>7</v>
      </c>
      <c r="X1345">
        <v>85</v>
      </c>
      <c r="Y1345">
        <v>3</v>
      </c>
      <c r="Z1345">
        <v>4</v>
      </c>
      <c r="AA1345">
        <v>5</v>
      </c>
      <c r="AB1345">
        <v>0</v>
      </c>
      <c r="AC1345">
        <v>0</v>
      </c>
      <c r="AD1345">
        <v>0</v>
      </c>
      <c r="AE1345">
        <v>0</v>
      </c>
      <c r="AF1345">
        <v>0.70</v>
      </c>
      <c r="AG1345">
        <v>0</v>
      </c>
      <c r="AH1345">
        <v>0</v>
      </c>
      <c r="AI1345">
        <v>0.20</v>
      </c>
      <c r="AJ1345">
        <v>0</v>
      </c>
      <c r="AK1345">
        <v>0</v>
      </c>
      <c r="AL1345">
        <v>86</v>
      </c>
      <c r="AM1345">
        <v>4.20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19.40</v>
      </c>
      <c r="AU1345">
        <v>0</v>
      </c>
      <c r="AV1345">
        <v>0</v>
      </c>
    </row>
    <row r="1346" spans="1:48" ht="12.75">
      <c r="A1346" s="2" t="str">
        <f>HYPERLINK("https://ibp.a2mac1.com/costing(costing:projects/details/8191/equipment/6947915)","Dummy Machine (PCBA+Final Assembly Line)")</f>
        <v>Dummy Machine (PCBA+Final Assembly Line)</v>
      </c>
      <c r="B1346">
        <v>6947915</v>
      </c>
      <c r="C1346">
        <v>6975348</v>
      </c>
      <c r="F1346" t="s">
        <v>559</v>
      </c>
      <c r="H1346" t="s">
        <v>136</v>
      </c>
      <c r="I1346">
        <v>79501.662769714283</v>
      </c>
      <c r="J1346">
        <v>0</v>
      </c>
      <c r="K1346">
        <v>0.28895999999999999</v>
      </c>
      <c r="L1346">
        <v>0</v>
      </c>
      <c r="M1346">
        <v>16.624578413647427</v>
      </c>
      <c r="N1346">
        <v>0</v>
      </c>
      <c r="O1346">
        <v>1.131394919817672</v>
      </c>
      <c r="P1346">
        <v>0.19681911666666665</v>
      </c>
      <c r="Q1346">
        <v>3.4445927544565365E-05</v>
      </c>
      <c r="R1346">
        <v>442771.10</v>
      </c>
      <c r="S1346">
        <v>0</v>
      </c>
      <c r="T1346">
        <v>0</v>
      </c>
      <c r="V1346">
        <v>216</v>
      </c>
      <c r="W1346">
        <v>7</v>
      </c>
      <c r="X1346">
        <v>85</v>
      </c>
      <c r="Y1346">
        <v>3</v>
      </c>
      <c r="Z1346">
        <v>4</v>
      </c>
      <c r="AA1346">
        <v>5</v>
      </c>
      <c r="AB1346">
        <v>0</v>
      </c>
      <c r="AC1346">
        <v>0</v>
      </c>
      <c r="AD1346">
        <v>0</v>
      </c>
      <c r="AE1346">
        <v>0</v>
      </c>
      <c r="AF1346">
        <v>0.70</v>
      </c>
      <c r="AG1346">
        <v>0</v>
      </c>
      <c r="AH1346">
        <v>0</v>
      </c>
      <c r="AI1346">
        <v>0.20</v>
      </c>
      <c r="AJ1346">
        <v>0</v>
      </c>
      <c r="AK1346">
        <v>0</v>
      </c>
      <c r="AL1346">
        <v>86</v>
      </c>
      <c r="AM1346">
        <v>4.20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19.40</v>
      </c>
      <c r="AU1346">
        <v>0</v>
      </c>
      <c r="AV1346">
        <v>0</v>
      </c>
    </row>
    <row r="1347" spans="1:48" ht="12.75">
      <c r="A1347" s="2" t="str">
        <f>HYPERLINK("https://ibp.a2mac1.com/costing(costing:projects/details/8191/equipment/6948145)","Equipment (Stamping)")</f>
        <v>Equipment (Stamping)</v>
      </c>
      <c r="B1347">
        <v>6948145</v>
      </c>
      <c r="C1347">
        <v>6975552</v>
      </c>
      <c r="H1347" t="s">
        <v>136</v>
      </c>
      <c r="I1347">
        <v>1636.4929356857142</v>
      </c>
      <c r="J1347">
        <v>0</v>
      </c>
      <c r="K1347">
        <v>0.073120000000000004</v>
      </c>
      <c r="L1347">
        <v>0</v>
      </c>
      <c r="M1347">
        <v>0.40407755957661751</v>
      </c>
      <c r="N1347">
        <v>0</v>
      </c>
      <c r="O1347">
        <v>0.003367312996471813</v>
      </c>
      <c r="P1347">
        <v>0.00039352347000000003</v>
      </c>
      <c r="Q1347">
        <v>0.0017497084207089772</v>
      </c>
      <c r="R1347">
        <v>8454.50</v>
      </c>
      <c r="S1347">
        <v>0</v>
      </c>
      <c r="T1347">
        <v>0</v>
      </c>
      <c r="V1347">
        <v>4113</v>
      </c>
      <c r="W1347">
        <v>7</v>
      </c>
      <c r="X1347">
        <v>85</v>
      </c>
      <c r="Y1347">
        <v>3</v>
      </c>
      <c r="Z1347">
        <v>4</v>
      </c>
      <c r="AA1347">
        <v>5</v>
      </c>
      <c r="AB1347">
        <v>0</v>
      </c>
      <c r="AC1347">
        <v>0</v>
      </c>
      <c r="AD1347">
        <v>0</v>
      </c>
      <c r="AE1347">
        <v>0</v>
      </c>
      <c r="AF1347">
        <v>0.011429999999999999</v>
      </c>
      <c r="AG1347">
        <v>0</v>
      </c>
      <c r="AH1347">
        <v>0</v>
      </c>
      <c r="AI1347">
        <v>2</v>
      </c>
      <c r="AJ1347">
        <v>0</v>
      </c>
      <c r="AK1347">
        <v>0</v>
      </c>
      <c r="AL1347">
        <v>80</v>
      </c>
      <c r="AM1347">
        <v>1.1425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3.4275</v>
      </c>
      <c r="AU1347">
        <v>0</v>
      </c>
      <c r="AV1347">
        <v>0</v>
      </c>
    </row>
    <row r="1348" spans="1:48" ht="12.75">
      <c r="A1348" s="2" t="str">
        <f>HYPERLINK("https://ibp.a2mac1.com/costing(costing:projects/details/8191/equipment/6948146)","Equipment (Stamping)")</f>
        <v>Equipment (Stamping)</v>
      </c>
      <c r="B1348">
        <v>6948146</v>
      </c>
      <c r="C1348">
        <v>6975553</v>
      </c>
      <c r="H1348" t="s">
        <v>136</v>
      </c>
      <c r="I1348">
        <v>2123.5017743142857</v>
      </c>
      <c r="J1348">
        <v>0</v>
      </c>
      <c r="K1348">
        <v>0.094880000000000006</v>
      </c>
      <c r="L1348">
        <v>0</v>
      </c>
      <c r="M1348">
        <v>0.52432821187950585</v>
      </c>
      <c r="N1348">
        <v>0</v>
      </c>
      <c r="O1348">
        <v>0.0043694017656625492</v>
      </c>
      <c r="P1348">
        <v>0.00051058207000000003</v>
      </c>
      <c r="Q1348">
        <v>0.0022811056904466819</v>
      </c>
      <c r="R1348">
        <v>10970.50</v>
      </c>
      <c r="S1348">
        <v>0</v>
      </c>
      <c r="T1348">
        <v>0</v>
      </c>
      <c r="V1348">
        <v>5337</v>
      </c>
      <c r="W1348">
        <v>7</v>
      </c>
      <c r="X1348">
        <v>85</v>
      </c>
      <c r="Y1348">
        <v>3</v>
      </c>
      <c r="Z1348">
        <v>4</v>
      </c>
      <c r="AA1348">
        <v>5</v>
      </c>
      <c r="AB1348">
        <v>0</v>
      </c>
      <c r="AC1348">
        <v>0</v>
      </c>
      <c r="AD1348">
        <v>0</v>
      </c>
      <c r="AE1348">
        <v>0</v>
      </c>
      <c r="AF1348">
        <v>0.014829999999999999</v>
      </c>
      <c r="AG1348">
        <v>0</v>
      </c>
      <c r="AH1348">
        <v>0</v>
      </c>
      <c r="AI1348">
        <v>2</v>
      </c>
      <c r="AJ1348">
        <v>0</v>
      </c>
      <c r="AK1348">
        <v>0</v>
      </c>
      <c r="AL1348">
        <v>80</v>
      </c>
      <c r="AM1348">
        <v>1.4825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4.4475</v>
      </c>
      <c r="AU1348">
        <v>0</v>
      </c>
      <c r="AV1348">
        <v>0</v>
      </c>
    </row>
    <row r="1349" spans="1:48" ht="12.75">
      <c r="A1349" s="2" t="str">
        <f>HYPERLINK("https://ibp.a2mac1.com/costing(costing:projects/details/8191/equipment/6947916)","Dummy Machine (PCBA+Final Assembly Line)")</f>
        <v>Dummy Machine (PCBA+Final Assembly Line)</v>
      </c>
      <c r="B1349">
        <v>6947916</v>
      </c>
      <c r="C1349">
        <v>6975349</v>
      </c>
      <c r="F1349" t="s">
        <v>559</v>
      </c>
      <c r="H1349" t="s">
        <v>136</v>
      </c>
      <c r="I1349">
        <v>79501.662769714283</v>
      </c>
      <c r="J1349">
        <v>0</v>
      </c>
      <c r="K1349">
        <v>0.28895999999999999</v>
      </c>
      <c r="L1349">
        <v>0</v>
      </c>
      <c r="M1349">
        <v>16.624578413647427</v>
      </c>
      <c r="N1349">
        <v>0</v>
      </c>
      <c r="O1349">
        <v>1.2468433810235571</v>
      </c>
      <c r="P1349">
        <v>0.2169027</v>
      </c>
      <c r="Q1349">
        <v>6.889185508913073E-05</v>
      </c>
      <c r="R1349">
        <v>442771.10</v>
      </c>
      <c r="S1349">
        <v>0</v>
      </c>
      <c r="T1349">
        <v>0</v>
      </c>
      <c r="V1349">
        <v>216</v>
      </c>
      <c r="W1349">
        <v>7</v>
      </c>
      <c r="X1349">
        <v>85</v>
      </c>
      <c r="Y1349">
        <v>3</v>
      </c>
      <c r="Z1349">
        <v>4</v>
      </c>
      <c r="AA1349">
        <v>5</v>
      </c>
      <c r="AB1349">
        <v>0</v>
      </c>
      <c r="AC1349">
        <v>0</v>
      </c>
      <c r="AD1349">
        <v>0</v>
      </c>
      <c r="AE1349">
        <v>0</v>
      </c>
      <c r="AF1349">
        <v>0.70</v>
      </c>
      <c r="AG1349">
        <v>0</v>
      </c>
      <c r="AH1349">
        <v>0</v>
      </c>
      <c r="AI1349">
        <v>0.20</v>
      </c>
      <c r="AJ1349">
        <v>0</v>
      </c>
      <c r="AK1349">
        <v>0</v>
      </c>
      <c r="AL1349">
        <v>86</v>
      </c>
      <c r="AM1349">
        <v>4.20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19.40</v>
      </c>
      <c r="AU1349">
        <v>0</v>
      </c>
      <c r="AV1349">
        <v>0</v>
      </c>
    </row>
    <row r="1350" spans="1:48" ht="12.75">
      <c r="A1350" s="2" t="str">
        <f>HYPERLINK("https://ibp.a2mac1.com/costing(costing:projects/details/8191/equipment/6947917)","Equipment (Stamping)")</f>
        <v>Equipment (Stamping)</v>
      </c>
      <c r="B1350">
        <v>6947917</v>
      </c>
      <c r="C1350">
        <v>6975350</v>
      </c>
      <c r="H1350" t="s">
        <v>136</v>
      </c>
      <c r="I1350">
        <v>3727.7661839142856</v>
      </c>
      <c r="J1350">
        <v>0</v>
      </c>
      <c r="K1350">
        <v>0.16656000000000001</v>
      </c>
      <c r="L1350">
        <v>0</v>
      </c>
      <c r="M1350">
        <v>0.92044800770078528</v>
      </c>
      <c r="N1350">
        <v>0</v>
      </c>
      <c r="O1350">
        <v>0.00255680002139107</v>
      </c>
      <c r="P1350">
        <v>0.00029872895666666668</v>
      </c>
      <c r="Q1350">
        <v>0.0040662909084024776</v>
      </c>
      <c r="R1350">
        <v>19258.50</v>
      </c>
      <c r="S1350">
        <v>0</v>
      </c>
      <c r="T1350">
        <v>0</v>
      </c>
      <c r="V1350">
        <v>9369</v>
      </c>
      <c r="W1350">
        <v>7</v>
      </c>
      <c r="X1350">
        <v>85</v>
      </c>
      <c r="Y1350">
        <v>3</v>
      </c>
      <c r="Z1350">
        <v>4</v>
      </c>
      <c r="AA1350">
        <v>5</v>
      </c>
      <c r="AB1350">
        <v>0</v>
      </c>
      <c r="AC1350">
        <v>0</v>
      </c>
      <c r="AD1350">
        <v>0</v>
      </c>
      <c r="AE1350">
        <v>0</v>
      </c>
      <c r="AF1350">
        <v>0.026030000000000001</v>
      </c>
      <c r="AG1350">
        <v>0</v>
      </c>
      <c r="AH1350">
        <v>0</v>
      </c>
      <c r="AI1350">
        <v>2</v>
      </c>
      <c r="AJ1350">
        <v>0</v>
      </c>
      <c r="AK1350">
        <v>0</v>
      </c>
      <c r="AL1350">
        <v>80</v>
      </c>
      <c r="AM1350">
        <v>2.6025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7.8075</v>
      </c>
      <c r="AU1350">
        <v>0</v>
      </c>
      <c r="AV1350">
        <v>0</v>
      </c>
    </row>
    <row r="1351" spans="1:48" ht="12.75">
      <c r="A1351" s="2" t="str">
        <f>HYPERLINK("https://ibp.a2mac1.com/costing(costing:projects/details/8191/equipment/6947918)","Equipment (Stamping)")</f>
        <v>Equipment (Stamping)</v>
      </c>
      <c r="B1351">
        <v>6947918</v>
      </c>
      <c r="C1351">
        <v>6975351</v>
      </c>
      <c r="H1351" t="s">
        <v>136</v>
      </c>
      <c r="I1351">
        <v>3727.7661839142856</v>
      </c>
      <c r="J1351">
        <v>0</v>
      </c>
      <c r="K1351">
        <v>0.16656000000000001</v>
      </c>
      <c r="L1351">
        <v>0</v>
      </c>
      <c r="M1351">
        <v>0.92044800770078528</v>
      </c>
      <c r="N1351">
        <v>0</v>
      </c>
      <c r="O1351">
        <v>0.0038352000320866051</v>
      </c>
      <c r="P1351">
        <v>0.00044809343499999999</v>
      </c>
      <c r="Q1351">
        <v>0.0040662909084024776</v>
      </c>
      <c r="R1351">
        <v>19258.50</v>
      </c>
      <c r="S1351">
        <v>0</v>
      </c>
      <c r="T1351">
        <v>0</v>
      </c>
      <c r="V1351">
        <v>9369</v>
      </c>
      <c r="W1351">
        <v>7</v>
      </c>
      <c r="X1351">
        <v>85</v>
      </c>
      <c r="Y1351">
        <v>3</v>
      </c>
      <c r="Z1351">
        <v>4</v>
      </c>
      <c r="AA1351">
        <v>5</v>
      </c>
      <c r="AB1351">
        <v>0</v>
      </c>
      <c r="AC1351">
        <v>0</v>
      </c>
      <c r="AD1351">
        <v>0</v>
      </c>
      <c r="AE1351">
        <v>0</v>
      </c>
      <c r="AF1351">
        <v>0.026030000000000001</v>
      </c>
      <c r="AG1351">
        <v>0</v>
      </c>
      <c r="AH1351">
        <v>0</v>
      </c>
      <c r="AI1351">
        <v>2</v>
      </c>
      <c r="AJ1351">
        <v>0</v>
      </c>
      <c r="AK1351">
        <v>0</v>
      </c>
      <c r="AL1351">
        <v>80</v>
      </c>
      <c r="AM1351">
        <v>2.6025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7.8075</v>
      </c>
      <c r="AU1351">
        <v>0</v>
      </c>
      <c r="AV1351">
        <v>0</v>
      </c>
    </row>
    <row r="1352" spans="1:48" ht="12.75">
      <c r="A1352" s="2" t="str">
        <f>HYPERLINK("https://ibp.a2mac1.com/costing(costing:projects/details/8191/equipment/6948147)","Rubber Extrusion machine")</f>
        <v>Rubber Extrusion machine</v>
      </c>
      <c r="B1352">
        <v>6948147</v>
      </c>
      <c r="C1352">
        <v>6975554</v>
      </c>
      <c r="E1352" t="s">
        <v>603</v>
      </c>
      <c r="H1352" t="s">
        <v>136</v>
      </c>
      <c r="I1352">
        <v>127372.68</v>
      </c>
      <c r="J1352">
        <v>0</v>
      </c>
      <c r="K1352">
        <v>8.80</v>
      </c>
      <c r="L1352">
        <v>0</v>
      </c>
      <c r="M1352">
        <v>35.700141433622626</v>
      </c>
      <c r="N1352">
        <v>0</v>
      </c>
      <c r="O1352">
        <v>0.049583529768920317</v>
      </c>
      <c r="P1352">
        <v>0.011476333333333333</v>
      </c>
      <c r="Q1352">
        <v>0.0014478114430086788</v>
      </c>
      <c r="R1352">
        <v>800000</v>
      </c>
      <c r="S1352">
        <v>0</v>
      </c>
      <c r="T1352">
        <v>0</v>
      </c>
      <c r="V1352">
        <v>1800</v>
      </c>
      <c r="W1352">
        <v>10</v>
      </c>
      <c r="X1352">
        <v>85</v>
      </c>
      <c r="Y1352">
        <v>3</v>
      </c>
      <c r="Z1352">
        <v>4</v>
      </c>
      <c r="AA1352">
        <v>5</v>
      </c>
      <c r="AB1352">
        <v>0</v>
      </c>
      <c r="AC1352">
        <v>0</v>
      </c>
      <c r="AD1352">
        <v>0</v>
      </c>
      <c r="AE1352">
        <v>0</v>
      </c>
      <c r="AF1352">
        <v>2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100</v>
      </c>
      <c r="AM1352">
        <v>110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500</v>
      </c>
      <c r="AU1352">
        <v>0</v>
      </c>
      <c r="AV1352">
        <v>0</v>
      </c>
    </row>
    <row r="1353" spans="1:48" ht="12.75">
      <c r="A1353" s="2" t="str">
        <f>HYPERLINK("https://ibp.a2mac1.com/costing(costing:projects/details/8191/equipment/6948148)","No.02 - Injection Press - 60T - 25kW - 320x320 - Max Volume 164cm3 ")</f>
        <v xml:space="preserve">No.02 - Injection Press - 60T - 25kW - 320x320 - Max Volume 164cm3 </v>
      </c>
      <c r="B1353">
        <v>6948148</v>
      </c>
      <c r="C1353">
        <v>6975555</v>
      </c>
      <c r="E1353" t="s">
        <v>499</v>
      </c>
      <c r="H1353" t="s">
        <v>136</v>
      </c>
      <c r="I1353">
        <v>16929.888640000001</v>
      </c>
      <c r="J1353">
        <v>0</v>
      </c>
      <c r="K1353">
        <v>1.9124000000000001</v>
      </c>
      <c r="L1353">
        <v>0</v>
      </c>
      <c r="M1353">
        <v>5.4369722661523623</v>
      </c>
      <c r="N1353">
        <v>0</v>
      </c>
      <c r="O1353">
        <v>0.016555097264010287</v>
      </c>
      <c r="P1353">
        <v>0.0031449973393333332</v>
      </c>
      <c r="Q1353">
        <v>0.0036668942719382835</v>
      </c>
      <c r="R1353">
        <v>100000</v>
      </c>
      <c r="S1353">
        <v>0</v>
      </c>
      <c r="T1353">
        <v>0</v>
      </c>
      <c r="V1353">
        <v>7200</v>
      </c>
      <c r="W1353">
        <v>8</v>
      </c>
      <c r="X1353">
        <v>85</v>
      </c>
      <c r="Y1353">
        <v>3</v>
      </c>
      <c r="Z1353">
        <v>4</v>
      </c>
      <c r="AA1353">
        <v>5</v>
      </c>
      <c r="AB1353">
        <v>0</v>
      </c>
      <c r="AC1353">
        <v>0</v>
      </c>
      <c r="AD1353">
        <v>0</v>
      </c>
      <c r="AE1353">
        <v>0</v>
      </c>
      <c r="AF1353">
        <v>0.25</v>
      </c>
      <c r="AG1353">
        <v>0</v>
      </c>
      <c r="AH1353">
        <v>0</v>
      </c>
      <c r="AI1353">
        <v>2</v>
      </c>
      <c r="AJ1353">
        <v>0</v>
      </c>
      <c r="AK1353">
        <v>0</v>
      </c>
      <c r="AL1353">
        <v>97</v>
      </c>
      <c r="AM1353">
        <v>24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24</v>
      </c>
      <c r="AU1353">
        <v>0.05</v>
      </c>
      <c r="AV1353">
        <v>0</v>
      </c>
    </row>
    <row r="1354" spans="1:48" ht="12.75">
      <c r="A1354" s="2" t="str">
        <f>HYPERLINK("https://ibp.a2mac1.com/costing(costing:projects/details/8191/equipment/6948149)","Packaging")</f>
        <v>Packaging</v>
      </c>
      <c r="B1354">
        <v>6948149</v>
      </c>
      <c r="C1354">
        <v>6975556</v>
      </c>
      <c r="H1354" t="s">
        <v>136</v>
      </c>
      <c r="I1354">
        <v>4437.4535986499995</v>
      </c>
      <c r="J1354">
        <v>0</v>
      </c>
      <c r="K1354">
        <v>0.08</v>
      </c>
      <c r="L1354">
        <v>0</v>
      </c>
      <c r="M1354">
        <v>1.0342676949774992</v>
      </c>
      <c r="N1354">
        <v>0</v>
      </c>
      <c r="O1354">
        <v>0.0086188974581458272</v>
      </c>
      <c r="P1354">
        <v>0.034429000000000001</v>
      </c>
      <c r="Q1354">
        <v>1.5514015424662487E-05</v>
      </c>
      <c r="R1354">
        <v>29999.99999</v>
      </c>
      <c r="S1354">
        <v>0</v>
      </c>
      <c r="T1354">
        <v>0</v>
      </c>
      <c r="V1354">
        <v>900</v>
      </c>
      <c r="W1354">
        <v>10</v>
      </c>
      <c r="X1354">
        <v>85</v>
      </c>
      <c r="Y1354">
        <v>3</v>
      </c>
      <c r="Z1354">
        <v>4</v>
      </c>
      <c r="AA1354">
        <v>5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50</v>
      </c>
      <c r="AM1354">
        <v>2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10</v>
      </c>
      <c r="AU1354">
        <v>0</v>
      </c>
      <c r="AV1354">
        <v>0</v>
      </c>
    </row>
    <row r="1355" spans="1:48" ht="12.75">
      <c r="A1355" s="2" t="str">
        <f>HYPERLINK("https://ibp.a2mac1.com/costing(costing:projects/details/8191/equipment/6948150)","No.01 - Injection Press - 40T - 18kW - 270x270 - Max Volume 128cm3 ")</f>
        <v xml:space="preserve">No.01 - Injection Press - 40T - 18kW - 270x270 - Max Volume 128cm3 </v>
      </c>
      <c r="B1355">
        <v>6948150</v>
      </c>
      <c r="C1355">
        <v>6975557</v>
      </c>
      <c r="E1355" t="s">
        <v>499</v>
      </c>
      <c r="H1355" t="s">
        <v>136</v>
      </c>
      <c r="I1355">
        <v>13574.9072</v>
      </c>
      <c r="J1355">
        <v>0</v>
      </c>
      <c r="K1355">
        <v>1.6020000000000001</v>
      </c>
      <c r="L1355">
        <v>0</v>
      </c>
      <c r="M1355">
        <v>4.4266395371263263</v>
      </c>
      <c r="N1355">
        <v>0</v>
      </c>
      <c r="O1355">
        <v>0.011803732695514839</v>
      </c>
      <c r="P1355">
        <v>0.0027541708076666668</v>
      </c>
      <c r="Q1355">
        <v>0.0035456543444551589</v>
      </c>
      <c r="R1355">
        <v>80000</v>
      </c>
      <c r="S1355">
        <v>0</v>
      </c>
      <c r="T1355">
        <v>0</v>
      </c>
      <c r="V1355">
        <v>7200</v>
      </c>
      <c r="W1355">
        <v>8</v>
      </c>
      <c r="X1355">
        <v>85</v>
      </c>
      <c r="Y1355">
        <v>3</v>
      </c>
      <c r="Z1355">
        <v>4</v>
      </c>
      <c r="AA1355">
        <v>5</v>
      </c>
      <c r="AB1355">
        <v>0</v>
      </c>
      <c r="AC1355">
        <v>0</v>
      </c>
      <c r="AD1355">
        <v>0</v>
      </c>
      <c r="AE1355">
        <v>0</v>
      </c>
      <c r="AF1355">
        <v>0.25</v>
      </c>
      <c r="AG1355">
        <v>0</v>
      </c>
      <c r="AH1355">
        <v>0</v>
      </c>
      <c r="AI1355">
        <v>2</v>
      </c>
      <c r="AJ1355">
        <v>0</v>
      </c>
      <c r="AK1355">
        <v>0</v>
      </c>
      <c r="AL1355">
        <v>97</v>
      </c>
      <c r="AM1355">
        <v>20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20</v>
      </c>
      <c r="AU1355">
        <v>0.05</v>
      </c>
      <c r="AV1355">
        <v>0</v>
      </c>
    </row>
    <row r="1356" spans="1:48" ht="12.75">
      <c r="A1356" s="2" t="str">
        <f>HYPERLINK("https://ibp.a2mac1.com/costing(costing:projects/details/8191/equipment/6948151)","Packaging")</f>
        <v>Packaging</v>
      </c>
      <c r="B1356">
        <v>6948151</v>
      </c>
      <c r="C1356">
        <v>6975558</v>
      </c>
      <c r="H1356" t="s">
        <v>136</v>
      </c>
      <c r="I1356">
        <v>4437.4535986499995</v>
      </c>
      <c r="J1356">
        <v>0</v>
      </c>
      <c r="K1356">
        <v>0.08</v>
      </c>
      <c r="L1356">
        <v>0</v>
      </c>
      <c r="M1356">
        <v>1.0342676949774992</v>
      </c>
      <c r="N1356">
        <v>0</v>
      </c>
      <c r="O1356">
        <v>0.0086188974581458272</v>
      </c>
      <c r="P1356">
        <v>0.034429000000000001</v>
      </c>
      <c r="Q1356">
        <v>1.5514015424662487E-05</v>
      </c>
      <c r="R1356">
        <v>29999.99999</v>
      </c>
      <c r="S1356">
        <v>0</v>
      </c>
      <c r="T1356">
        <v>0</v>
      </c>
      <c r="V1356">
        <v>900</v>
      </c>
      <c r="W1356">
        <v>10</v>
      </c>
      <c r="X1356">
        <v>85</v>
      </c>
      <c r="Y1356">
        <v>3</v>
      </c>
      <c r="Z1356">
        <v>4</v>
      </c>
      <c r="AA1356">
        <v>5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50</v>
      </c>
      <c r="AM1356">
        <v>2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10</v>
      </c>
      <c r="AU1356">
        <v>0</v>
      </c>
      <c r="AV1356">
        <v>0</v>
      </c>
    </row>
    <row r="1357" spans="1:48" ht="12.75">
      <c r="A1357" s="2" t="str">
        <f>HYPERLINK("https://ibp.a2mac1.com/costing(costing:projects/details/8191/equipment/6948152)","Equipment (Injection Molding)")</f>
        <v>Equipment (Injection Molding)</v>
      </c>
      <c r="B1357">
        <v>6948152</v>
      </c>
      <c r="C1357">
        <v>6975559</v>
      </c>
      <c r="H1357" t="s">
        <v>136</v>
      </c>
      <c r="I1357">
        <v>79.058852999999999</v>
      </c>
      <c r="J1357">
        <v>0</v>
      </c>
      <c r="K1357">
        <v>0.0033600000000000001</v>
      </c>
      <c r="L1357">
        <v>0</v>
      </c>
      <c r="M1357">
        <v>0.019441461427193829</v>
      </c>
      <c r="N1357">
        <v>0</v>
      </c>
      <c r="O1357">
        <v>0.00016201217855994857</v>
      </c>
      <c r="P1357">
        <v>1.03287E-05</v>
      </c>
      <c r="Q1357">
        <v>1.6969446986463356E-06</v>
      </c>
      <c r="R1357">
        <v>420</v>
      </c>
      <c r="S1357">
        <v>0</v>
      </c>
      <c r="T1357">
        <v>0</v>
      </c>
      <c r="V1357">
        <v>4.05</v>
      </c>
      <c r="W1357">
        <v>7</v>
      </c>
      <c r="X1357">
        <v>85</v>
      </c>
      <c r="Y1357">
        <v>3</v>
      </c>
      <c r="Z1357">
        <v>4</v>
      </c>
      <c r="AA1357">
        <v>5</v>
      </c>
      <c r="AB1357">
        <v>0</v>
      </c>
      <c r="AC1357">
        <v>0</v>
      </c>
      <c r="AD1357">
        <v>0</v>
      </c>
      <c r="AE1357">
        <v>0</v>
      </c>
      <c r="AF1357">
        <v>0.00029999999999999997</v>
      </c>
      <c r="AG1357">
        <v>0</v>
      </c>
      <c r="AH1357">
        <v>0</v>
      </c>
      <c r="AI1357">
        <v>2</v>
      </c>
      <c r="AJ1357">
        <v>0</v>
      </c>
      <c r="AK1357">
        <v>0</v>
      </c>
      <c r="AL1357">
        <v>80</v>
      </c>
      <c r="AM1357">
        <v>0.0525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0.1125</v>
      </c>
      <c r="AU1357">
        <v>0</v>
      </c>
      <c r="AV1357">
        <v>0</v>
      </c>
    </row>
    <row r="1358" spans="1:48" ht="12.75">
      <c r="A1358" s="2" t="str">
        <f>HYPERLINK("https://ibp.a2mac1.com/costing(costing:projects/details/8191/equipment/6947919)","Dummy Machine (PCBA+Final Assembly Line)")</f>
        <v>Dummy Machine (PCBA+Final Assembly Line)</v>
      </c>
      <c r="B1358">
        <v>6947919</v>
      </c>
      <c r="C1358">
        <v>6975352</v>
      </c>
      <c r="F1358" t="s">
        <v>559</v>
      </c>
      <c r="H1358" t="s">
        <v>136</v>
      </c>
      <c r="I1358">
        <v>79501.662769714283</v>
      </c>
      <c r="J1358">
        <v>0</v>
      </c>
      <c r="K1358">
        <v>0.28895999999999999</v>
      </c>
      <c r="L1358">
        <v>0</v>
      </c>
      <c r="M1358">
        <v>16.624578413647427</v>
      </c>
      <c r="N1358">
        <v>0</v>
      </c>
      <c r="O1358">
        <v>0.5772423060294245</v>
      </c>
      <c r="P1358">
        <v>0.10041791666666666</v>
      </c>
      <c r="Q1358">
        <v>6.889185508913073E-05</v>
      </c>
      <c r="R1358">
        <v>442771.10</v>
      </c>
      <c r="S1358">
        <v>0</v>
      </c>
      <c r="T1358">
        <v>0</v>
      </c>
      <c r="V1358">
        <v>216</v>
      </c>
      <c r="W1358">
        <v>7</v>
      </c>
      <c r="X1358">
        <v>85</v>
      </c>
      <c r="Y1358">
        <v>3</v>
      </c>
      <c r="Z1358">
        <v>4</v>
      </c>
      <c r="AA1358">
        <v>5</v>
      </c>
      <c r="AB1358">
        <v>0</v>
      </c>
      <c r="AC1358">
        <v>0</v>
      </c>
      <c r="AD1358">
        <v>0</v>
      </c>
      <c r="AE1358">
        <v>0</v>
      </c>
      <c r="AF1358">
        <v>0.70</v>
      </c>
      <c r="AG1358">
        <v>0</v>
      </c>
      <c r="AH1358">
        <v>0</v>
      </c>
      <c r="AI1358">
        <v>0.20</v>
      </c>
      <c r="AJ1358">
        <v>0</v>
      </c>
      <c r="AK1358">
        <v>0</v>
      </c>
      <c r="AL1358">
        <v>86</v>
      </c>
      <c r="AM1358">
        <v>4.20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19.40</v>
      </c>
      <c r="AU1358">
        <v>0</v>
      </c>
      <c r="AV1358">
        <v>0</v>
      </c>
    </row>
    <row r="1359" spans="1:48" ht="12.75">
      <c r="A1359" s="2" t="str">
        <f>HYPERLINK("https://ibp.a2mac1.com/costing(costing:projects/details/8191/equipment/6947920)","Equipment (Injection Molding)")</f>
        <v>Equipment (Injection Molding)</v>
      </c>
      <c r="B1359">
        <v>6947920</v>
      </c>
      <c r="C1359">
        <v>6975353</v>
      </c>
      <c r="H1359" t="s">
        <v>136</v>
      </c>
      <c r="I1359">
        <v>474.35311799999999</v>
      </c>
      <c r="J1359">
        <v>0</v>
      </c>
      <c r="K1359">
        <v>0.020160000000000001</v>
      </c>
      <c r="L1359">
        <v>0</v>
      </c>
      <c r="M1359">
        <v>0.11664876856316297</v>
      </c>
      <c r="N1359">
        <v>0</v>
      </c>
      <c r="O1359">
        <v>0.0019441461427193829</v>
      </c>
      <c r="P1359">
        <v>0.00012394439999999999</v>
      </c>
      <c r="Q1359">
        <v>1.0221037151268081E-05</v>
      </c>
      <c r="R1359">
        <v>2520</v>
      </c>
      <c r="S1359">
        <v>0</v>
      </c>
      <c r="T1359">
        <v>0</v>
      </c>
      <c r="V1359">
        <v>24.30</v>
      </c>
      <c r="W1359">
        <v>7</v>
      </c>
      <c r="X1359">
        <v>85</v>
      </c>
      <c r="Y1359">
        <v>3</v>
      </c>
      <c r="Z1359">
        <v>4</v>
      </c>
      <c r="AA1359">
        <v>5</v>
      </c>
      <c r="AB1359">
        <v>0</v>
      </c>
      <c r="AC1359">
        <v>0</v>
      </c>
      <c r="AD1359">
        <v>0</v>
      </c>
      <c r="AE1359">
        <v>0</v>
      </c>
      <c r="AF1359">
        <v>0.0018</v>
      </c>
      <c r="AG1359">
        <v>0</v>
      </c>
      <c r="AH1359">
        <v>0</v>
      </c>
      <c r="AI1359">
        <v>2</v>
      </c>
      <c r="AJ1359">
        <v>0</v>
      </c>
      <c r="AK1359">
        <v>0</v>
      </c>
      <c r="AL1359">
        <v>80</v>
      </c>
      <c r="AM1359">
        <v>0.315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0.675</v>
      </c>
      <c r="AU1359">
        <v>0</v>
      </c>
      <c r="AV1359">
        <v>0</v>
      </c>
    </row>
    <row r="1360" spans="1:48" ht="12.75">
      <c r="A1360" s="2" t="str">
        <f>HYPERLINK("https://ibp.a2mac1.com/costing(costing:projects/details/8191/equipment/6947921)","Equipment (Injection Molding)")</f>
        <v>Equipment (Injection Molding)</v>
      </c>
      <c r="B1360">
        <v>6947921</v>
      </c>
      <c r="C1360">
        <v>6975354</v>
      </c>
      <c r="H1360" t="s">
        <v>136</v>
      </c>
      <c r="I1360">
        <v>9381.6505560000005</v>
      </c>
      <c r="J1360">
        <v>0</v>
      </c>
      <c r="K1360">
        <v>0.39872000000000002</v>
      </c>
      <c r="L1360">
        <v>0</v>
      </c>
      <c r="M1360">
        <v>2.3070534226936674</v>
      </c>
      <c r="N1360">
        <v>0</v>
      </c>
      <c r="O1360">
        <v>0.038450890378227791</v>
      </c>
      <c r="P1360">
        <v>0.0024513448000000001</v>
      </c>
      <c r="Q1360">
        <v>0.00021969454271577628</v>
      </c>
      <c r="R1360">
        <v>49840</v>
      </c>
      <c r="S1360">
        <v>0</v>
      </c>
      <c r="T1360">
        <v>0</v>
      </c>
      <c r="V1360">
        <v>480.60</v>
      </c>
      <c r="W1360">
        <v>7</v>
      </c>
      <c r="X1360">
        <v>85</v>
      </c>
      <c r="Y1360">
        <v>3</v>
      </c>
      <c r="Z1360">
        <v>4</v>
      </c>
      <c r="AA1360">
        <v>5</v>
      </c>
      <c r="AB1360">
        <v>0</v>
      </c>
      <c r="AC1360">
        <v>0</v>
      </c>
      <c r="AD1360">
        <v>0</v>
      </c>
      <c r="AE1360">
        <v>0</v>
      </c>
      <c r="AF1360">
        <v>0.0356</v>
      </c>
      <c r="AG1360">
        <v>0</v>
      </c>
      <c r="AH1360">
        <v>0</v>
      </c>
      <c r="AI1360">
        <v>2</v>
      </c>
      <c r="AJ1360">
        <v>0</v>
      </c>
      <c r="AK1360">
        <v>0</v>
      </c>
      <c r="AL1360">
        <v>80</v>
      </c>
      <c r="AM1360">
        <v>6.23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13.35</v>
      </c>
      <c r="AU1360">
        <v>0</v>
      </c>
      <c r="AV1360">
        <v>0</v>
      </c>
    </row>
    <row r="1361" spans="1:48" ht="12.75">
      <c r="A1361" s="2" t="str">
        <f>HYPERLINK("https://ibp.a2mac1.com/costing(costing:projects/details/8191/equipment/6947922)","Equipment (Injection Molding)")</f>
        <v>Equipment (Injection Molding)</v>
      </c>
      <c r="B1361">
        <v>6947922</v>
      </c>
      <c r="C1361">
        <v>6975355</v>
      </c>
      <c r="H1361" t="s">
        <v>136</v>
      </c>
      <c r="I1361">
        <v>2635.2950999999998</v>
      </c>
      <c r="J1361">
        <v>0</v>
      </c>
      <c r="K1361">
        <v>0.112</v>
      </c>
      <c r="L1361">
        <v>0</v>
      </c>
      <c r="M1361">
        <v>0.64804871423979427</v>
      </c>
      <c r="N1361">
        <v>0</v>
      </c>
      <c r="O1361">
        <v>0.010800811903996571</v>
      </c>
      <c r="P1361">
        <v>0.00068858000000000005</v>
      </c>
      <c r="Q1361">
        <v>5.7979189607039537E-05</v>
      </c>
      <c r="R1361">
        <v>14000</v>
      </c>
      <c r="S1361">
        <v>0</v>
      </c>
      <c r="T1361">
        <v>0</v>
      </c>
      <c r="V1361">
        <v>135</v>
      </c>
      <c r="W1361">
        <v>7</v>
      </c>
      <c r="X1361">
        <v>85</v>
      </c>
      <c r="Y1361">
        <v>3</v>
      </c>
      <c r="Z1361">
        <v>4</v>
      </c>
      <c r="AA1361">
        <v>5</v>
      </c>
      <c r="AB1361">
        <v>0</v>
      </c>
      <c r="AC1361">
        <v>0</v>
      </c>
      <c r="AD1361">
        <v>0</v>
      </c>
      <c r="AE1361">
        <v>0</v>
      </c>
      <c r="AF1361">
        <v>0.01</v>
      </c>
      <c r="AG1361">
        <v>0</v>
      </c>
      <c r="AH1361">
        <v>0</v>
      </c>
      <c r="AI1361">
        <v>2</v>
      </c>
      <c r="AJ1361">
        <v>0</v>
      </c>
      <c r="AK1361">
        <v>0</v>
      </c>
      <c r="AL1361">
        <v>80</v>
      </c>
      <c r="AM1361">
        <v>1.75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3.75</v>
      </c>
      <c r="AU1361">
        <v>0</v>
      </c>
      <c r="AV1361">
        <v>0</v>
      </c>
    </row>
    <row r="1362" spans="1:48" ht="12.75">
      <c r="A1362" s="2" t="str">
        <f>HYPERLINK("https://ibp.a2mac1.com/costing(costing:projects/details/8191/equipment/6947923)","Equipment (Injection Molding)")</f>
        <v>Equipment (Injection Molding)</v>
      </c>
      <c r="B1362">
        <v>6947923</v>
      </c>
      <c r="C1362">
        <v>6975356</v>
      </c>
      <c r="H1362" t="s">
        <v>136</v>
      </c>
      <c r="I1362">
        <v>2477.1773939999998</v>
      </c>
      <c r="J1362">
        <v>0</v>
      </c>
      <c r="K1362">
        <v>0.10528</v>
      </c>
      <c r="L1362">
        <v>0</v>
      </c>
      <c r="M1362">
        <v>0.60916579138540661</v>
      </c>
      <c r="N1362">
        <v>0</v>
      </c>
      <c r="O1362">
        <v>0.010152763189756777</v>
      </c>
      <c r="P1362">
        <v>0.00064726520000000002</v>
      </c>
      <c r="Q1362">
        <v>5.4418200848780132E-05</v>
      </c>
      <c r="R1362">
        <v>13160</v>
      </c>
      <c r="S1362">
        <v>0</v>
      </c>
      <c r="T1362">
        <v>0</v>
      </c>
      <c r="V1362">
        <v>126.90</v>
      </c>
      <c r="W1362">
        <v>7</v>
      </c>
      <c r="X1362">
        <v>85</v>
      </c>
      <c r="Y1362">
        <v>3</v>
      </c>
      <c r="Z1362">
        <v>4</v>
      </c>
      <c r="AA1362">
        <v>5</v>
      </c>
      <c r="AB1362">
        <v>0</v>
      </c>
      <c r="AC1362">
        <v>0</v>
      </c>
      <c r="AD1362">
        <v>0</v>
      </c>
      <c r="AE1362">
        <v>0</v>
      </c>
      <c r="AF1362">
        <v>0.0094000000000000004</v>
      </c>
      <c r="AG1362">
        <v>0</v>
      </c>
      <c r="AH1362">
        <v>0</v>
      </c>
      <c r="AI1362">
        <v>2</v>
      </c>
      <c r="AJ1362">
        <v>0</v>
      </c>
      <c r="AK1362">
        <v>0</v>
      </c>
      <c r="AL1362">
        <v>80</v>
      </c>
      <c r="AM1362">
        <v>1.645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3.525</v>
      </c>
      <c r="AU1362">
        <v>0</v>
      </c>
      <c r="AV1362">
        <v>0</v>
      </c>
    </row>
    <row r="1363" spans="1:48" ht="12.75">
      <c r="A1363" s="2" t="str">
        <f>HYPERLINK("https://ibp.a2mac1.com/costing(costing:projects/details/8191/equipment/6947924)","Equipment (Injection Molding)")</f>
        <v>Equipment (Injection Molding)</v>
      </c>
      <c r="B1363">
        <v>6947924</v>
      </c>
      <c r="C1363">
        <v>6975357</v>
      </c>
      <c r="H1363" t="s">
        <v>136</v>
      </c>
      <c r="I1363">
        <v>421.64721600000001</v>
      </c>
      <c r="J1363">
        <v>0</v>
      </c>
      <c r="K1363">
        <v>0.017919999999999998</v>
      </c>
      <c r="L1363">
        <v>0</v>
      </c>
      <c r="M1363">
        <v>0.10368779427836708</v>
      </c>
      <c r="N1363">
        <v>0</v>
      </c>
      <c r="O1363">
        <v>0.0017281299046394514</v>
      </c>
      <c r="P1363">
        <v>0.0001101728</v>
      </c>
      <c r="Q1363">
        <v>9.0807004059402123E-06</v>
      </c>
      <c r="R1363">
        <v>2240</v>
      </c>
      <c r="S1363">
        <v>0</v>
      </c>
      <c r="T1363">
        <v>0</v>
      </c>
      <c r="V1363">
        <v>21.60</v>
      </c>
      <c r="W1363">
        <v>7</v>
      </c>
      <c r="X1363">
        <v>85</v>
      </c>
      <c r="Y1363">
        <v>3</v>
      </c>
      <c r="Z1363">
        <v>4</v>
      </c>
      <c r="AA1363">
        <v>5</v>
      </c>
      <c r="AB1363">
        <v>0</v>
      </c>
      <c r="AC1363">
        <v>0</v>
      </c>
      <c r="AD1363">
        <v>0</v>
      </c>
      <c r="AE1363">
        <v>0</v>
      </c>
      <c r="AF1363">
        <v>0.0016000000000000001</v>
      </c>
      <c r="AG1363">
        <v>0</v>
      </c>
      <c r="AH1363">
        <v>0</v>
      </c>
      <c r="AI1363">
        <v>2</v>
      </c>
      <c r="AJ1363">
        <v>0</v>
      </c>
      <c r="AK1363">
        <v>0</v>
      </c>
      <c r="AL1363">
        <v>80</v>
      </c>
      <c r="AM1363">
        <v>0.28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0.60</v>
      </c>
      <c r="AU1363">
        <v>0</v>
      </c>
      <c r="AV1363">
        <v>0</v>
      </c>
    </row>
    <row r="1364" spans="1:48" ht="12.75">
      <c r="A1364" s="2" t="str">
        <f>HYPERLINK("https://ibp.a2mac1.com/costing(costing:projects/details/8191/equipment/6947925)","Equipment (Injection Molding)")</f>
        <v>Equipment (Injection Molding)</v>
      </c>
      <c r="B1364">
        <v>6947925</v>
      </c>
      <c r="C1364">
        <v>6975358</v>
      </c>
      <c r="H1364" t="s">
        <v>136</v>
      </c>
      <c r="I1364">
        <v>1721.7261325928571</v>
      </c>
      <c r="J1364">
        <v>0</v>
      </c>
      <c r="K1364">
        <v>0.073173119999999994</v>
      </c>
      <c r="L1364">
        <v>0</v>
      </c>
      <c r="M1364">
        <v>0.42339161342540294</v>
      </c>
      <c r="N1364">
        <v>0</v>
      </c>
      <c r="O1364">
        <v>0.0070565268904233822</v>
      </c>
      <c r="P1364">
        <v>0.00044964274000000001</v>
      </c>
      <c r="Q1364">
        <v>3.7549491271735344E-05</v>
      </c>
      <c r="R1364">
        <v>9146.6666700000005</v>
      </c>
      <c r="S1364">
        <v>0</v>
      </c>
      <c r="T1364">
        <v>0</v>
      </c>
      <c r="V1364">
        <v>88.20</v>
      </c>
      <c r="W1364">
        <v>7</v>
      </c>
      <c r="X1364">
        <v>85</v>
      </c>
      <c r="Y1364">
        <v>3</v>
      </c>
      <c r="Z1364">
        <v>4</v>
      </c>
      <c r="AA1364">
        <v>5</v>
      </c>
      <c r="AB1364">
        <v>0</v>
      </c>
      <c r="AC1364">
        <v>0</v>
      </c>
      <c r="AD1364">
        <v>0</v>
      </c>
      <c r="AE1364">
        <v>0</v>
      </c>
      <c r="AF1364">
        <v>0.0065300000000000002</v>
      </c>
      <c r="AG1364">
        <v>0</v>
      </c>
      <c r="AH1364">
        <v>0</v>
      </c>
      <c r="AI1364">
        <v>2</v>
      </c>
      <c r="AJ1364">
        <v>0</v>
      </c>
      <c r="AK1364">
        <v>0</v>
      </c>
      <c r="AL1364">
        <v>80</v>
      </c>
      <c r="AM1364">
        <v>1.14333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2.45</v>
      </c>
      <c r="AU1364">
        <v>0</v>
      </c>
      <c r="AV1364">
        <v>0</v>
      </c>
    </row>
    <row r="1365" spans="1:48" ht="12.75">
      <c r="A1365" s="2" t="str">
        <f>HYPERLINK("https://ibp.a2mac1.com/costing(costing:projects/details/8191/equipment/6947926)","Equipment (Injection Molding)")</f>
        <v>Equipment (Injection Molding)</v>
      </c>
      <c r="B1365">
        <v>6947926</v>
      </c>
      <c r="C1365">
        <v>6975358</v>
      </c>
      <c r="H1365" t="s">
        <v>136</v>
      </c>
      <c r="I1365">
        <v>1721.7261325928571</v>
      </c>
      <c r="J1365">
        <v>0</v>
      </c>
      <c r="K1365">
        <v>0.073173119999999994</v>
      </c>
      <c r="L1365">
        <v>0</v>
      </c>
      <c r="M1365">
        <v>0.42339161342540294</v>
      </c>
      <c r="N1365">
        <v>0</v>
      </c>
      <c r="O1365">
        <v>0.0070565268904233822</v>
      </c>
      <c r="P1365">
        <v>0.00044964274000000001</v>
      </c>
      <c r="Q1365">
        <v>3.7549491271735344E-05</v>
      </c>
      <c r="R1365">
        <v>9146.6666700000005</v>
      </c>
      <c r="S1365">
        <v>0</v>
      </c>
      <c r="T1365">
        <v>0</v>
      </c>
      <c r="V1365">
        <v>88.20</v>
      </c>
      <c r="W1365">
        <v>7</v>
      </c>
      <c r="X1365">
        <v>85</v>
      </c>
      <c r="Y1365">
        <v>3</v>
      </c>
      <c r="Z1365">
        <v>4</v>
      </c>
      <c r="AA1365">
        <v>5</v>
      </c>
      <c r="AB1365">
        <v>0</v>
      </c>
      <c r="AC1365">
        <v>0</v>
      </c>
      <c r="AD1365">
        <v>0</v>
      </c>
      <c r="AE1365">
        <v>0</v>
      </c>
      <c r="AF1365">
        <v>0.0065300000000000002</v>
      </c>
      <c r="AG1365">
        <v>0</v>
      </c>
      <c r="AH1365">
        <v>0</v>
      </c>
      <c r="AI1365">
        <v>2</v>
      </c>
      <c r="AJ1365">
        <v>0</v>
      </c>
      <c r="AK1365">
        <v>0</v>
      </c>
      <c r="AL1365">
        <v>80</v>
      </c>
      <c r="AM1365">
        <v>1.14333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2.45</v>
      </c>
      <c r="AU1365">
        <v>0</v>
      </c>
      <c r="AV1365">
        <v>0</v>
      </c>
    </row>
    <row r="1366" spans="1:48" ht="12.75">
      <c r="A1366" s="2" t="str">
        <f>HYPERLINK("https://ibp.a2mac1.com/costing(costing:projects/details/8191/equipment/6947927)","Equipment (Standard Process)")</f>
        <v>Equipment (Standard Process)</v>
      </c>
      <c r="B1366">
        <v>6947927</v>
      </c>
      <c r="C1366">
        <v>6975358</v>
      </c>
      <c r="H1366" t="s">
        <v>136</v>
      </c>
      <c r="I1366">
        <v>2999.9261314071427</v>
      </c>
      <c r="J1366">
        <v>0</v>
      </c>
      <c r="K1366">
        <v>0.073173119999999994</v>
      </c>
      <c r="L1366">
        <v>0</v>
      </c>
      <c r="M1366">
        <v>0.68657601262409884</v>
      </c>
      <c r="N1366">
        <v>0</v>
      </c>
      <c r="O1366">
        <v>0.01144293354373498</v>
      </c>
      <c r="P1366">
        <v>0.00067480839999999997</v>
      </c>
      <c r="Q1366">
        <v>3.7936372338557424E-05</v>
      </c>
      <c r="R1366">
        <v>16333.333329999999</v>
      </c>
      <c r="S1366">
        <v>0</v>
      </c>
      <c r="T1366">
        <v>0</v>
      </c>
      <c r="V1366">
        <v>88.20</v>
      </c>
      <c r="W1366">
        <v>7</v>
      </c>
      <c r="X1366">
        <v>85</v>
      </c>
      <c r="Y1366">
        <v>3</v>
      </c>
      <c r="Z1366">
        <v>4</v>
      </c>
      <c r="AA1366">
        <v>5</v>
      </c>
      <c r="AB1366">
        <v>0</v>
      </c>
      <c r="AC1366">
        <v>0</v>
      </c>
      <c r="AD1366">
        <v>0</v>
      </c>
      <c r="AE1366">
        <v>0</v>
      </c>
      <c r="AF1366">
        <v>0.0097999999999999997</v>
      </c>
      <c r="AG1366">
        <v>0</v>
      </c>
      <c r="AH1366">
        <v>0</v>
      </c>
      <c r="AI1366">
        <v>2</v>
      </c>
      <c r="AJ1366">
        <v>0</v>
      </c>
      <c r="AK1366">
        <v>0</v>
      </c>
      <c r="AL1366">
        <v>80</v>
      </c>
      <c r="AM1366">
        <v>1.14333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2.45</v>
      </c>
      <c r="AU1366">
        <v>0</v>
      </c>
      <c r="AV1366">
        <v>0</v>
      </c>
    </row>
    <row r="1367" spans="1:48" ht="12.75">
      <c r="A1367" s="2" t="str">
        <f>HYPERLINK("https://ibp.a2mac1.com/costing(costing:projects/details/8191/equipment/6947928)","Equipment (Injection Molding)")</f>
        <v>Equipment (Injection Molding)</v>
      </c>
      <c r="B1367">
        <v>6947928</v>
      </c>
      <c r="C1367">
        <v>6975359</v>
      </c>
      <c r="H1367" t="s">
        <v>136</v>
      </c>
      <c r="I1367">
        <v>237.176559</v>
      </c>
      <c r="J1367">
        <v>0</v>
      </c>
      <c r="K1367">
        <v>0.01008</v>
      </c>
      <c r="L1367">
        <v>0</v>
      </c>
      <c r="M1367">
        <v>0.058324384281581487</v>
      </c>
      <c r="N1367">
        <v>0</v>
      </c>
      <c r="O1367">
        <v>0.00097207307135969143</v>
      </c>
      <c r="P1367">
        <v>6.1972199999999996E-05</v>
      </c>
      <c r="Q1367">
        <v>2.5493539439085102E-06</v>
      </c>
      <c r="R1367">
        <v>1260</v>
      </c>
      <c r="S1367">
        <v>0</v>
      </c>
      <c r="T1367">
        <v>0</v>
      </c>
      <c r="V1367">
        <v>12.15</v>
      </c>
      <c r="W1367">
        <v>7</v>
      </c>
      <c r="X1367">
        <v>85</v>
      </c>
      <c r="Y1367">
        <v>3</v>
      </c>
      <c r="Z1367">
        <v>4</v>
      </c>
      <c r="AA1367">
        <v>5</v>
      </c>
      <c r="AB1367">
        <v>0</v>
      </c>
      <c r="AC1367">
        <v>0</v>
      </c>
      <c r="AD1367">
        <v>0</v>
      </c>
      <c r="AE1367">
        <v>0</v>
      </c>
      <c r="AF1367">
        <v>0.00089999999999999998</v>
      </c>
      <c r="AG1367">
        <v>0</v>
      </c>
      <c r="AH1367">
        <v>0</v>
      </c>
      <c r="AI1367">
        <v>2</v>
      </c>
      <c r="AJ1367">
        <v>0</v>
      </c>
      <c r="AK1367">
        <v>0</v>
      </c>
      <c r="AL1367">
        <v>80</v>
      </c>
      <c r="AM1367">
        <v>0.1575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0.3375</v>
      </c>
      <c r="AU1367">
        <v>0</v>
      </c>
      <c r="AV1367">
        <v>0</v>
      </c>
    </row>
    <row r="1368" spans="1:48" ht="12.75">
      <c r="A1368" s="2" t="str">
        <f>HYPERLINK("https://ibp.a2mac1.com/costing(costing:projects/details/8191/equipment/6947929)","Equipment (Standard Process)")</f>
        <v>Equipment (Standard Process)</v>
      </c>
      <c r="B1368">
        <v>6947929</v>
      </c>
      <c r="C1368">
        <v>6975359</v>
      </c>
      <c r="H1368" t="s">
        <v>136</v>
      </c>
      <c r="I1368">
        <v>413.25513042857142</v>
      </c>
      <c r="J1368">
        <v>0</v>
      </c>
      <c r="K1368">
        <v>0.01008</v>
      </c>
      <c r="L1368">
        <v>0</v>
      </c>
      <c r="M1368">
        <v>0.094579378082380497</v>
      </c>
      <c r="N1368">
        <v>0</v>
      </c>
      <c r="O1368">
        <v>0.0015763229680396749</v>
      </c>
      <c r="P1368">
        <v>9.2958299999999994E-05</v>
      </c>
      <c r="Q1368">
        <v>2.5530247620308411E-06</v>
      </c>
      <c r="R1368">
        <v>2250</v>
      </c>
      <c r="S1368">
        <v>0</v>
      </c>
      <c r="T1368">
        <v>0</v>
      </c>
      <c r="V1368">
        <v>12.15</v>
      </c>
      <c r="W1368">
        <v>7</v>
      </c>
      <c r="X1368">
        <v>85</v>
      </c>
      <c r="Y1368">
        <v>3</v>
      </c>
      <c r="Z1368">
        <v>4</v>
      </c>
      <c r="AA1368">
        <v>5</v>
      </c>
      <c r="AB1368">
        <v>0</v>
      </c>
      <c r="AC1368">
        <v>0</v>
      </c>
      <c r="AD1368">
        <v>0</v>
      </c>
      <c r="AE1368">
        <v>0</v>
      </c>
      <c r="AF1368">
        <v>0.0013500000000000001</v>
      </c>
      <c r="AG1368">
        <v>0</v>
      </c>
      <c r="AH1368">
        <v>0</v>
      </c>
      <c r="AI1368">
        <v>2</v>
      </c>
      <c r="AJ1368">
        <v>0</v>
      </c>
      <c r="AK1368">
        <v>0</v>
      </c>
      <c r="AL1368">
        <v>80</v>
      </c>
      <c r="AM1368">
        <v>0.1575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0.3375</v>
      </c>
      <c r="AU1368">
        <v>0</v>
      </c>
      <c r="AV1368">
        <v>0</v>
      </c>
    </row>
    <row r="1369" spans="1:48" ht="12.75">
      <c r="A1369" s="2" t="str">
        <f>HYPERLINK("https://ibp.a2mac1.com/costing(costing:projects/details/8191/equipment/6947930)","Equipment (Injection Molding)")</f>
        <v>Equipment (Injection Molding)</v>
      </c>
      <c r="B1369">
        <v>6947930</v>
      </c>
      <c r="C1369">
        <v>6975360</v>
      </c>
      <c r="H1369" t="s">
        <v>136</v>
      </c>
      <c r="I1369">
        <v>632.47082399999999</v>
      </c>
      <c r="J1369">
        <v>0</v>
      </c>
      <c r="K1369">
        <v>0.026880000000000001</v>
      </c>
      <c r="L1369">
        <v>0</v>
      </c>
      <c r="M1369">
        <v>0.15553169141755063</v>
      </c>
      <c r="N1369">
        <v>0</v>
      </c>
      <c r="O1369">
        <v>0.0025921948569591772</v>
      </c>
      <c r="P1369">
        <v>0.0001652592</v>
      </c>
      <c r="Q1369">
        <v>1.3649046313365477E-05</v>
      </c>
      <c r="R1369">
        <v>3360</v>
      </c>
      <c r="S1369">
        <v>0</v>
      </c>
      <c r="T1369">
        <v>0</v>
      </c>
      <c r="V1369">
        <v>32.40</v>
      </c>
      <c r="W1369">
        <v>7</v>
      </c>
      <c r="X1369">
        <v>85</v>
      </c>
      <c r="Y1369">
        <v>3</v>
      </c>
      <c r="Z1369">
        <v>4</v>
      </c>
      <c r="AA1369">
        <v>5</v>
      </c>
      <c r="AB1369">
        <v>0</v>
      </c>
      <c r="AC1369">
        <v>0</v>
      </c>
      <c r="AD1369">
        <v>0</v>
      </c>
      <c r="AE1369">
        <v>0</v>
      </c>
      <c r="AF1369">
        <v>0.0023999999999999998</v>
      </c>
      <c r="AG1369">
        <v>0</v>
      </c>
      <c r="AH1369">
        <v>0</v>
      </c>
      <c r="AI1369">
        <v>2</v>
      </c>
      <c r="AJ1369">
        <v>0</v>
      </c>
      <c r="AK1369">
        <v>0</v>
      </c>
      <c r="AL1369">
        <v>80</v>
      </c>
      <c r="AM1369">
        <v>0.42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0.90</v>
      </c>
      <c r="AU1369">
        <v>0</v>
      </c>
      <c r="AV1369">
        <v>0</v>
      </c>
    </row>
    <row r="1370" spans="1:48" ht="12.75">
      <c r="A1370" s="2" t="str">
        <f>HYPERLINK("https://ibp.a2mac1.com/costing(costing:projects/details/8191/equipment/6947931)","Equipment (Injection Molding)")</f>
        <v>Equipment (Injection Molding)</v>
      </c>
      <c r="B1370">
        <v>6947931</v>
      </c>
      <c r="C1370">
        <v>6975361</v>
      </c>
      <c r="H1370" t="s">
        <v>136</v>
      </c>
      <c r="I1370">
        <v>737.88262799999995</v>
      </c>
      <c r="J1370">
        <v>0</v>
      </c>
      <c r="K1370">
        <v>0.031359999999999999</v>
      </c>
      <c r="L1370">
        <v>0</v>
      </c>
      <c r="M1370">
        <v>0.1814536399871424</v>
      </c>
      <c r="N1370">
        <v>0</v>
      </c>
      <c r="O1370">
        <v>0.0030242273331190402</v>
      </c>
      <c r="P1370">
        <v>0.0001928024</v>
      </c>
      <c r="Q1370">
        <v>7.9701090965959505E-06</v>
      </c>
      <c r="R1370">
        <v>3920</v>
      </c>
      <c r="S1370">
        <v>0</v>
      </c>
      <c r="T1370">
        <v>0</v>
      </c>
      <c r="V1370">
        <v>37.80</v>
      </c>
      <c r="W1370">
        <v>7</v>
      </c>
      <c r="X1370">
        <v>85</v>
      </c>
      <c r="Y1370">
        <v>3</v>
      </c>
      <c r="Z1370">
        <v>4</v>
      </c>
      <c r="AA1370">
        <v>5</v>
      </c>
      <c r="AB1370">
        <v>0</v>
      </c>
      <c r="AC1370">
        <v>0</v>
      </c>
      <c r="AD1370">
        <v>0</v>
      </c>
      <c r="AE1370">
        <v>0</v>
      </c>
      <c r="AF1370">
        <v>0.0028</v>
      </c>
      <c r="AG1370">
        <v>0</v>
      </c>
      <c r="AH1370">
        <v>0</v>
      </c>
      <c r="AI1370">
        <v>2</v>
      </c>
      <c r="AJ1370">
        <v>0</v>
      </c>
      <c r="AK1370">
        <v>0</v>
      </c>
      <c r="AL1370">
        <v>80</v>
      </c>
      <c r="AM1370">
        <v>0.49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1.05</v>
      </c>
      <c r="AU1370">
        <v>0</v>
      </c>
      <c r="AV1370">
        <v>0</v>
      </c>
    </row>
  </sheetData>
  <mergeCells count="6">
    <mergeCell ref="A1:H2"/>
    <mergeCell ref="I1:Q2"/>
    <mergeCell ref="R1:AA2"/>
    <mergeCell ref="AB1:AK2"/>
    <mergeCell ref="AL1:AU2"/>
    <mergeCell ref="AV1:AV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4565a6-0971-45d1-870c-1c7691f361b2}">
  <dimension ref="A1:AP1346"/>
  <sheetViews>
    <sheetView workbookViewId="0" topLeftCell="A1"/>
  </sheetViews>
  <sheetFormatPr defaultRowHeight="12.75"/>
  <cols>
    <col min="1" max="1" width="6.57142857142857" customWidth="1"/>
    <col min="2" max="2" width="11.4285714285714" customWidth="1"/>
    <col min="3" max="3" width="3.14285714285714" customWidth="1"/>
    <col min="4" max="4" width="18.2857142857143" customWidth="1"/>
    <col min="5" max="5" width="16.4285714285714" customWidth="1"/>
    <col min="6" max="6" width="19.4285714285714" customWidth="1"/>
    <col min="7" max="7" width="20.2857142857143" customWidth="1"/>
    <col min="8" max="8" width="16.8571428571429" customWidth="1"/>
    <col min="9" max="10" width="10.4285714285714" customWidth="1"/>
    <col min="11" max="11" width="20.8571428571429" customWidth="1"/>
    <col min="12" max="12" width="21.7142857142857" customWidth="1"/>
    <col min="13" max="13" width="23" customWidth="1"/>
    <col min="14" max="14" width="21.1428571428571" customWidth="1"/>
    <col min="15" max="16" width="9.28571428571429" customWidth="1"/>
    <col min="17" max="18" width="10.5714285714286" customWidth="1"/>
    <col min="19" max="20" width="10.4285714285714" customWidth="1"/>
    <col min="21" max="21" width="13" customWidth="1"/>
    <col min="22" max="22" width="21.7142857142857" customWidth="1"/>
    <col min="23" max="23" width="25.5714285714286" customWidth="1"/>
    <col min="24" max="24" width="24.7142857142857" customWidth="1"/>
    <col min="25" max="25" width="24" customWidth="1"/>
    <col min="26" max="26" width="27" customWidth="1"/>
    <col min="27" max="27" width="13.4285714285714" customWidth="1"/>
    <col min="28" max="28" width="14.7142857142857" customWidth="1"/>
    <col min="29" max="29" width="14.8571428571429" customWidth="1"/>
    <col min="30" max="30" width="26.7142857142857" customWidth="1"/>
    <col min="31" max="31" width="35.5714285714286" customWidth="1"/>
    <col min="32" max="32" width="31.8571428571429" customWidth="1"/>
    <col min="33" max="33" width="20.7142857142857" customWidth="1"/>
    <col min="34" max="34" width="10.4285714285714" customWidth="1"/>
    <col min="35" max="35" width="16.5714285714286" customWidth="1"/>
    <col min="36" max="36" width="12" customWidth="1"/>
    <col min="37" max="38" width="12.4285714285714" customWidth="1"/>
    <col min="39" max="40" width="12.8571428571429" customWidth="1"/>
    <col min="41" max="41" width="17" customWidth="1"/>
    <col min="42" max="42" width="31.1428571428571" customWidth="1"/>
  </cols>
  <sheetData>
    <row r="1" spans="1:42" ht="12.75">
      <c r="A1" s="1" t="s">
        <v>16</v>
      </c>
      <c r="B1" s="1"/>
      <c r="C1" s="1"/>
      <c r="D1" s="1"/>
      <c r="E1" s="1" t="s">
        <v>17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 t="s">
        <v>191</v>
      </c>
      <c r="W1" s="1"/>
      <c r="X1" s="1"/>
      <c r="Y1" s="1"/>
      <c r="Z1" s="1"/>
      <c r="AA1" s="1" t="s">
        <v>192</v>
      </c>
      <c r="AB1" s="1"/>
      <c r="AC1" s="1"/>
      <c r="AD1" s="1"/>
      <c r="AE1" s="1"/>
      <c r="AF1" s="1"/>
      <c r="AG1" s="1"/>
      <c r="AH1" s="1"/>
      <c r="AI1" s="1"/>
      <c r="AJ1" s="1"/>
      <c r="AK1" s="1" t="s">
        <v>66</v>
      </c>
      <c r="AL1" s="1"/>
      <c r="AM1" s="1"/>
      <c r="AN1" s="1"/>
      <c r="AO1" s="1"/>
      <c r="AP1" s="1"/>
    </row>
    <row r="2" spans="1:42" ht="12.75">
      <c r="A2" s="3"/>
      <c r="B2" s="3"/>
      <c r="C2" s="3"/>
      <c r="D2" s="3"/>
      <c r="E2" s="3" t="s">
        <v>24</v>
      </c>
      <c r="F2" s="3"/>
      <c r="G2" s="3"/>
      <c r="H2" s="3"/>
      <c r="I2" s="3"/>
      <c r="J2" s="3"/>
      <c r="K2" s="3"/>
      <c r="L2" s="3" t="s">
        <v>27</v>
      </c>
      <c r="M2" s="3"/>
      <c r="N2" s="3" t="s">
        <v>28</v>
      </c>
      <c r="O2" s="3" t="s">
        <v>35</v>
      </c>
      <c r="P2" s="3"/>
      <c r="Q2" s="3"/>
      <c r="R2" s="3"/>
      <c r="S2" s="3"/>
      <c r="T2" s="3"/>
      <c r="U2" s="3" t="s">
        <v>36</v>
      </c>
      <c r="V2" s="3" t="s">
        <v>24</v>
      </c>
      <c r="W2" s="3"/>
      <c r="X2" s="3"/>
      <c r="Y2" s="3" t="s">
        <v>27</v>
      </c>
      <c r="Z2" s="3" t="s">
        <v>36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12.75">
      <c r="A3" s="4" t="s">
        <v>4</v>
      </c>
      <c r="B3" s="4" t="s">
        <v>16</v>
      </c>
      <c r="C3" s="4" t="s">
        <v>14</v>
      </c>
      <c r="D3" s="4" t="s">
        <v>190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/>
      <c r="K3" s="4" t="s">
        <v>23</v>
      </c>
      <c r="L3" s="4" t="s">
        <v>25</v>
      </c>
      <c r="M3" s="4" t="s">
        <v>26</v>
      </c>
      <c r="N3" s="4" t="s">
        <v>29</v>
      </c>
      <c r="O3" s="4" t="s">
        <v>30</v>
      </c>
      <c r="P3" s="4"/>
      <c r="Q3" s="4" t="s">
        <v>31</v>
      </c>
      <c r="R3" s="4"/>
      <c r="S3" s="4" t="s">
        <v>32</v>
      </c>
      <c r="T3" s="4"/>
      <c r="U3" s="4" t="s">
        <v>37</v>
      </c>
      <c r="V3" s="4" t="s">
        <v>39</v>
      </c>
      <c r="W3" s="4" t="s">
        <v>40</v>
      </c>
      <c r="X3" s="4" t="s">
        <v>41</v>
      </c>
      <c r="Y3" s="4" t="s">
        <v>42</v>
      </c>
      <c r="Z3" s="4" t="s">
        <v>43</v>
      </c>
      <c r="AA3" s="4" t="s">
        <v>193</v>
      </c>
      <c r="AB3" s="4" t="s">
        <v>194</v>
      </c>
      <c r="AC3" s="4" t="s">
        <v>107</v>
      </c>
      <c r="AD3" s="4" t="s">
        <v>195</v>
      </c>
      <c r="AE3" s="4" t="s">
        <v>196</v>
      </c>
      <c r="AF3" s="4" t="s">
        <v>54</v>
      </c>
      <c r="AG3" s="4" t="s">
        <v>58</v>
      </c>
      <c r="AH3" s="4" t="s">
        <v>197</v>
      </c>
      <c r="AI3" s="4" t="s">
        <v>198</v>
      </c>
      <c r="AJ3" s="4" t="s">
        <v>65</v>
      </c>
      <c r="AK3" s="4" t="s">
        <v>67</v>
      </c>
      <c r="AL3" s="4"/>
      <c r="AM3" s="4" t="s">
        <v>68</v>
      </c>
      <c r="AN3" s="4"/>
      <c r="AO3" s="4" t="s">
        <v>70</v>
      </c>
      <c r="AP3" s="4" t="s">
        <v>71</v>
      </c>
    </row>
    <row r="4" spans="1:42" ht="12.75">
      <c r="A4" s="2" t="str">
        <f>HYPERLINK("https://ibp.a2mac1.com/costing(costing:projects/details/8191/process/6969755)","Process")</f>
        <v>Process</v>
      </c>
      <c r="C4">
        <v>6969755</v>
      </c>
      <c r="D4">
        <v>5380831</v>
      </c>
      <c r="E4">
        <v>1.8307419709090909</v>
      </c>
      <c r="F4">
        <v>0</v>
      </c>
      <c r="G4">
        <v>0</v>
      </c>
      <c r="H4">
        <v>0.0093194712000000002</v>
      </c>
      <c r="I4" t="s">
        <v>137</v>
      </c>
      <c r="J4">
        <v>0.064462745454545459</v>
      </c>
      <c r="K4">
        <v>1.9045241875636363</v>
      </c>
      <c r="L4">
        <v>0.037929543313487621</v>
      </c>
      <c r="M4">
        <v>0.22757725988092573</v>
      </c>
      <c r="N4">
        <v>2.1321014474445623</v>
      </c>
      <c r="O4" t="s">
        <v>138</v>
      </c>
      <c r="P4">
        <v>0.11427145125381818</v>
      </c>
      <c r="Q4" t="s">
        <v>138</v>
      </c>
      <c r="R4">
        <v>0.013654635592855544</v>
      </c>
      <c r="S4" t="s">
        <v>139</v>
      </c>
      <c r="T4">
        <v>0.25585217369334745</v>
      </c>
      <c r="U4">
        <v>2.5158797079845834</v>
      </c>
      <c r="V4">
        <v>0</v>
      </c>
      <c r="W4">
        <v>0</v>
      </c>
      <c r="X4">
        <v>0</v>
      </c>
      <c r="Y4">
        <v>0</v>
      </c>
      <c r="Z4">
        <v>0</v>
      </c>
      <c r="AA4">
        <v>60</v>
      </c>
      <c r="AB4">
        <v>1</v>
      </c>
      <c r="AC4">
        <v>0.50</v>
      </c>
      <c r="AD4">
        <v>0.50345253019720215</v>
      </c>
      <c r="AE4">
        <v>1800</v>
      </c>
      <c r="AF4">
        <v>200000</v>
      </c>
      <c r="AG4">
        <v>16666.666666666668</v>
      </c>
      <c r="AH4">
        <v>1</v>
      </c>
      <c r="AI4">
        <v>1</v>
      </c>
      <c r="AJ4" t="s">
        <v>136</v>
      </c>
      <c r="AK4" t="s">
        <v>137</v>
      </c>
      <c r="AL4">
        <v>0</v>
      </c>
      <c r="AM4" t="s">
        <v>137</v>
      </c>
      <c r="AN4">
        <v>0</v>
      </c>
    </row>
    <row r="5" spans="1:42" ht="12.75">
      <c r="A5" s="2" t="str">
        <f>HYPERLINK("https://ibp.a2mac1.com/costing(costing:projects/details/8191/process/6969811)","Pedal Box Assembly")</f>
        <v>Pedal Box Assembly</v>
      </c>
      <c r="C5">
        <v>6969811</v>
      </c>
      <c r="D5">
        <v>5380834</v>
      </c>
      <c r="E5">
        <v>1.24</v>
      </c>
      <c r="F5">
        <v>0</v>
      </c>
      <c r="G5">
        <v>0</v>
      </c>
      <c r="H5">
        <v>0</v>
      </c>
      <c r="I5" t="s">
        <v>74</v>
      </c>
      <c r="J5">
        <v>0</v>
      </c>
      <c r="K5">
        <v>1.24</v>
      </c>
      <c r="L5">
        <v>0</v>
      </c>
      <c r="M5">
        <v>0</v>
      </c>
      <c r="N5">
        <v>1.24</v>
      </c>
      <c r="O5" t="s">
        <v>74</v>
      </c>
      <c r="P5">
        <v>0</v>
      </c>
      <c r="Q5" t="s">
        <v>74</v>
      </c>
      <c r="R5">
        <v>0</v>
      </c>
      <c r="S5" t="s">
        <v>74</v>
      </c>
      <c r="T5">
        <v>0</v>
      </c>
      <c r="U5">
        <v>1.24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200000</v>
      </c>
      <c r="AG5">
        <v>10000</v>
      </c>
      <c r="AH5">
        <v>1</v>
      </c>
      <c r="AI5">
        <v>1</v>
      </c>
      <c r="AJ5" t="s">
        <v>79</v>
      </c>
      <c r="AK5" t="s">
        <v>74</v>
      </c>
      <c r="AL5">
        <v>0</v>
      </c>
      <c r="AM5" t="s">
        <v>74</v>
      </c>
      <c r="AN5">
        <v>0</v>
      </c>
      <c r="AO5">
        <v>1.24</v>
      </c>
      <c r="AP5">
        <v>0</v>
      </c>
    </row>
    <row r="6" spans="1:42" ht="12.75">
      <c r="A6" s="2" t="str">
        <f>HYPERLINK("https://ibp.a2mac1.com/costing(costing:projects/details/8191/process/6969812)","Process")</f>
        <v>Process</v>
      </c>
      <c r="C6">
        <v>6969812</v>
      </c>
      <c r="D6">
        <v>5380846</v>
      </c>
      <c r="E6">
        <v>9.4951453874444436</v>
      </c>
      <c r="F6">
        <v>0</v>
      </c>
      <c r="G6">
        <v>0</v>
      </c>
      <c r="H6">
        <v>0.049531376969555556</v>
      </c>
      <c r="I6" t="s">
        <v>137</v>
      </c>
      <c r="J6">
        <v>0.34260833872222224</v>
      </c>
      <c r="K6">
        <v>9.8872851031362217</v>
      </c>
      <c r="L6">
        <v>2.4629994830931672</v>
      </c>
      <c r="M6">
        <v>8.6204981908260851</v>
      </c>
      <c r="N6">
        <v>18.507783293962305</v>
      </c>
      <c r="O6" t="s">
        <v>138</v>
      </c>
      <c r="P6">
        <v>0.59323710618817338</v>
      </c>
      <c r="Q6" t="s">
        <v>138</v>
      </c>
      <c r="R6">
        <v>0.5172298914495651</v>
      </c>
      <c r="S6" t="s">
        <v>139</v>
      </c>
      <c r="T6">
        <v>2.2209339952754767</v>
      </c>
      <c r="U6">
        <v>21.839184286875522</v>
      </c>
      <c r="V6">
        <v>0</v>
      </c>
      <c r="W6">
        <v>0</v>
      </c>
      <c r="X6">
        <v>0</v>
      </c>
      <c r="Y6">
        <v>0</v>
      </c>
      <c r="Z6">
        <v>0</v>
      </c>
      <c r="AA6">
        <v>60</v>
      </c>
      <c r="AB6">
        <v>1</v>
      </c>
      <c r="AC6">
        <v>0.50</v>
      </c>
      <c r="AD6">
        <v>0.50345253019720215</v>
      </c>
      <c r="AE6">
        <v>1800</v>
      </c>
      <c r="AF6">
        <v>200000</v>
      </c>
      <c r="AG6">
        <v>16666.666666666668</v>
      </c>
      <c r="AH6">
        <v>1</v>
      </c>
      <c r="AI6">
        <v>1</v>
      </c>
      <c r="AJ6" t="s">
        <v>136</v>
      </c>
      <c r="AK6" t="s">
        <v>137</v>
      </c>
      <c r="AL6">
        <v>0</v>
      </c>
      <c r="AM6" t="s">
        <v>137</v>
      </c>
      <c r="AN6">
        <v>0</v>
      </c>
    </row>
    <row r="7" spans="1:42" ht="12.75">
      <c r="A7" s="2" t="str">
        <f>HYPERLINK("https://ibp.a2mac1.com/costing(costing:projects/details/8191/process/6969813)","Process")</f>
        <v>Process</v>
      </c>
      <c r="C7">
        <v>6969813</v>
      </c>
      <c r="D7">
        <v>5380847</v>
      </c>
      <c r="E7">
        <v>1.0687514250000001</v>
      </c>
      <c r="F7">
        <v>0</v>
      </c>
      <c r="G7">
        <v>0</v>
      </c>
      <c r="H7">
        <v>0.0054214357999999999</v>
      </c>
      <c r="I7" t="s">
        <v>137</v>
      </c>
      <c r="J7">
        <v>0.03750005</v>
      </c>
      <c r="K7">
        <v>1.1116729108000001</v>
      </c>
      <c r="L7">
        <v>0.03524321653334362</v>
      </c>
      <c r="M7">
        <v>0.21145929920006173</v>
      </c>
      <c r="N7">
        <v>1.3231322100000618</v>
      </c>
      <c r="O7" t="s">
        <v>138</v>
      </c>
      <c r="P7">
        <v>0.066700374647999994</v>
      </c>
      <c r="Q7" t="s">
        <v>138</v>
      </c>
      <c r="R7">
        <v>0.012687557952003704</v>
      </c>
      <c r="S7" t="s">
        <v>139</v>
      </c>
      <c r="T7">
        <v>0.15877586520000742</v>
      </c>
      <c r="U7">
        <v>1.5612960078000728</v>
      </c>
      <c r="V7">
        <v>0</v>
      </c>
      <c r="W7">
        <v>0</v>
      </c>
      <c r="X7">
        <v>0</v>
      </c>
      <c r="Y7">
        <v>0</v>
      </c>
      <c r="Z7">
        <v>0</v>
      </c>
      <c r="AA7">
        <v>60</v>
      </c>
      <c r="AB7">
        <v>1</v>
      </c>
      <c r="AC7">
        <v>0.50</v>
      </c>
      <c r="AD7">
        <v>0.50345253019720215</v>
      </c>
      <c r="AE7">
        <v>1800</v>
      </c>
      <c r="AF7">
        <v>200000</v>
      </c>
      <c r="AG7">
        <v>16666.666666666668</v>
      </c>
      <c r="AH7">
        <v>1</v>
      </c>
      <c r="AI7">
        <v>1</v>
      </c>
      <c r="AJ7" t="s">
        <v>136</v>
      </c>
      <c r="AK7" t="s">
        <v>137</v>
      </c>
      <c r="AL7">
        <v>0</v>
      </c>
      <c r="AM7" t="s">
        <v>137</v>
      </c>
      <c r="AN7">
        <v>0</v>
      </c>
    </row>
    <row r="8" spans="1:42" ht="12.75">
      <c r="A8" s="2" t="str">
        <f>HYPERLINK("https://ibp.a2mac1.com/costing(costing:projects/details/8191/process/6969939)","Process")</f>
        <v>Process</v>
      </c>
      <c r="C8">
        <v>6969939</v>
      </c>
      <c r="D8">
        <v>5380922</v>
      </c>
      <c r="E8">
        <v>66.22</v>
      </c>
      <c r="F8">
        <v>0</v>
      </c>
      <c r="G8">
        <v>0</v>
      </c>
      <c r="H8">
        <v>0.0013244000000000001</v>
      </c>
      <c r="I8" t="s">
        <v>137</v>
      </c>
      <c r="J8">
        <v>2.3176999999999999</v>
      </c>
      <c r="K8">
        <v>68.539024400000002</v>
      </c>
      <c r="L8">
        <v>2.2496724045900343</v>
      </c>
      <c r="M8">
        <v>7.8738534160651197</v>
      </c>
      <c r="N8">
        <v>76.412877816065119</v>
      </c>
      <c r="O8" t="s">
        <v>138</v>
      </c>
      <c r="P8">
        <v>4.112341464</v>
      </c>
      <c r="Q8" t="s">
        <v>138</v>
      </c>
      <c r="R8">
        <v>0.47243120496390717</v>
      </c>
      <c r="S8" t="s">
        <v>139</v>
      </c>
      <c r="T8">
        <v>9.1695453379278149</v>
      </c>
      <c r="U8">
        <v>90.167195822956842</v>
      </c>
      <c r="V8">
        <v>0</v>
      </c>
      <c r="W8">
        <v>0</v>
      </c>
      <c r="X8">
        <v>0</v>
      </c>
      <c r="Y8">
        <v>0</v>
      </c>
      <c r="Z8">
        <v>0</v>
      </c>
      <c r="AA8">
        <v>560</v>
      </c>
      <c r="AB8">
        <v>1</v>
      </c>
      <c r="AC8">
        <v>0</v>
      </c>
      <c r="AD8">
        <v>0.0019999600007999841</v>
      </c>
      <c r="AE8">
        <v>648000</v>
      </c>
      <c r="AF8">
        <v>200000</v>
      </c>
      <c r="AG8">
        <v>16666.666666666668</v>
      </c>
      <c r="AH8">
        <v>1</v>
      </c>
      <c r="AI8">
        <v>1</v>
      </c>
      <c r="AJ8" t="s">
        <v>136</v>
      </c>
      <c r="AK8" t="s">
        <v>137</v>
      </c>
      <c r="AL8">
        <v>0</v>
      </c>
      <c r="AM8" t="s">
        <v>137</v>
      </c>
      <c r="AN8">
        <v>0</v>
      </c>
    </row>
    <row r="9" spans="1:42" ht="12.75">
      <c r="A9" s="2" t="str">
        <f>HYPERLINK("https://ibp.a2mac1.com/costing(costing:projects/details/8191/process/6969935)","Process")</f>
        <v>Process</v>
      </c>
      <c r="C9">
        <v>6969935</v>
      </c>
      <c r="D9">
        <v>5380894</v>
      </c>
      <c r="E9">
        <v>53.935</v>
      </c>
      <c r="F9">
        <v>0</v>
      </c>
      <c r="G9">
        <v>0</v>
      </c>
      <c r="H9">
        <v>0.0010786999999999999</v>
      </c>
      <c r="I9" t="s">
        <v>137</v>
      </c>
      <c r="J9">
        <v>1.8877250000000001</v>
      </c>
      <c r="K9">
        <v>55.823803699999999</v>
      </c>
      <c r="L9">
        <v>3.4094425428727959</v>
      </c>
      <c r="M9">
        <v>11.933048900054786</v>
      </c>
      <c r="N9">
        <v>67.756852600054785</v>
      </c>
      <c r="O9" t="s">
        <v>138</v>
      </c>
      <c r="P9">
        <v>3.3494282219999998</v>
      </c>
      <c r="Q9" t="s">
        <v>138</v>
      </c>
      <c r="R9">
        <v>0.71598293400328716</v>
      </c>
      <c r="S9" t="s">
        <v>139</v>
      </c>
      <c r="T9">
        <v>8.1308223120065737</v>
      </c>
      <c r="U9">
        <v>79.95308606806465</v>
      </c>
      <c r="V9">
        <v>0</v>
      </c>
      <c r="W9">
        <v>0</v>
      </c>
      <c r="X9">
        <v>0</v>
      </c>
      <c r="Y9">
        <v>0</v>
      </c>
      <c r="Z9">
        <v>0</v>
      </c>
      <c r="AA9">
        <v>890</v>
      </c>
      <c r="AB9">
        <v>1</v>
      </c>
      <c r="AC9">
        <v>0</v>
      </c>
      <c r="AD9">
        <v>0.0019999600007999841</v>
      </c>
      <c r="AE9">
        <v>648000</v>
      </c>
      <c r="AF9">
        <v>200000</v>
      </c>
      <c r="AG9">
        <v>16666.666666666668</v>
      </c>
      <c r="AH9">
        <v>1</v>
      </c>
      <c r="AI9">
        <v>1</v>
      </c>
      <c r="AJ9" t="s">
        <v>136</v>
      </c>
      <c r="AK9" t="s">
        <v>137</v>
      </c>
      <c r="AL9">
        <v>0</v>
      </c>
      <c r="AM9" t="s">
        <v>137</v>
      </c>
      <c r="AN9">
        <v>0</v>
      </c>
    </row>
    <row r="10" spans="1:42" ht="12.75">
      <c r="A10" s="2" t="str">
        <f>HYPERLINK("https://ibp.a2mac1.com/costing(costing:projects/details/8191/process/6969940)","Process")</f>
        <v>Process</v>
      </c>
      <c r="C10">
        <v>6969940</v>
      </c>
      <c r="D10">
        <v>5380923</v>
      </c>
      <c r="E10">
        <v>6.18</v>
      </c>
      <c r="F10">
        <v>0</v>
      </c>
      <c r="G10">
        <v>0</v>
      </c>
      <c r="H10">
        <v>0.0001236</v>
      </c>
      <c r="I10" t="s">
        <v>137</v>
      </c>
      <c r="J10">
        <v>0.21629999999999999</v>
      </c>
      <c r="K10">
        <v>6.3964236000000003</v>
      </c>
      <c r="L10">
        <v>0.75581843102322921</v>
      </c>
      <c r="M10">
        <v>4.5349105861393753</v>
      </c>
      <c r="N10">
        <v>10.931334186139376</v>
      </c>
      <c r="O10" t="s">
        <v>138</v>
      </c>
      <c r="P10">
        <v>0.38378541599999999</v>
      </c>
      <c r="Q10" t="s">
        <v>138</v>
      </c>
      <c r="R10">
        <v>0.27209463516836252</v>
      </c>
      <c r="S10" t="s">
        <v>139</v>
      </c>
      <c r="T10">
        <v>1.3117601023367251</v>
      </c>
      <c r="U10">
        <v>12.898974339644463</v>
      </c>
      <c r="V10">
        <v>0</v>
      </c>
      <c r="W10">
        <v>0</v>
      </c>
      <c r="X10">
        <v>0</v>
      </c>
      <c r="Y10">
        <v>0</v>
      </c>
      <c r="Z10">
        <v>0</v>
      </c>
      <c r="AA10">
        <v>350</v>
      </c>
      <c r="AB10">
        <v>1</v>
      </c>
      <c r="AC10">
        <v>0</v>
      </c>
      <c r="AD10">
        <v>0.0019999600007999841</v>
      </c>
      <c r="AE10">
        <v>648000</v>
      </c>
      <c r="AF10">
        <v>200000</v>
      </c>
      <c r="AG10">
        <v>16666.666666666668</v>
      </c>
      <c r="AH10">
        <v>1</v>
      </c>
      <c r="AI10">
        <v>1</v>
      </c>
      <c r="AJ10" t="s">
        <v>136</v>
      </c>
      <c r="AK10" t="s">
        <v>137</v>
      </c>
      <c r="AL10">
        <v>0</v>
      </c>
      <c r="AM10" t="s">
        <v>137</v>
      </c>
      <c r="AN10">
        <v>0</v>
      </c>
    </row>
    <row r="11" spans="1:42" ht="12.75">
      <c r="A11" s="2" t="str">
        <f>HYPERLINK("https://ibp.a2mac1.com/costing(costing:projects/details/8191/process/6969941)","Process")</f>
        <v>Process</v>
      </c>
      <c r="C11">
        <v>6969941</v>
      </c>
      <c r="D11">
        <v>5380924</v>
      </c>
      <c r="E11">
        <v>2.17</v>
      </c>
      <c r="F11">
        <v>0</v>
      </c>
      <c r="G11">
        <v>0</v>
      </c>
      <c r="H11">
        <v>4.3399999999999998E-05</v>
      </c>
      <c r="I11" t="s">
        <v>137</v>
      </c>
      <c r="J11">
        <v>0.075950000000000004</v>
      </c>
      <c r="K11">
        <v>2.2459934000000001</v>
      </c>
      <c r="L11">
        <v>0.3252976978728101</v>
      </c>
      <c r="M11">
        <v>1.9517861872368605</v>
      </c>
      <c r="N11">
        <v>4.1977795872368606</v>
      </c>
      <c r="O11" t="s">
        <v>138</v>
      </c>
      <c r="P11">
        <v>0.13475960400000001</v>
      </c>
      <c r="Q11" t="s">
        <v>138</v>
      </c>
      <c r="R11">
        <v>0.11710717123421163</v>
      </c>
      <c r="S11" t="s">
        <v>139</v>
      </c>
      <c r="T11">
        <v>0.50373355046842327</v>
      </c>
      <c r="U11">
        <v>4.9533799129394955</v>
      </c>
      <c r="V11">
        <v>0</v>
      </c>
      <c r="W11">
        <v>0</v>
      </c>
      <c r="X11">
        <v>0</v>
      </c>
      <c r="Y11">
        <v>0</v>
      </c>
      <c r="Z11">
        <v>0</v>
      </c>
      <c r="AA11">
        <v>105</v>
      </c>
      <c r="AB11">
        <v>1</v>
      </c>
      <c r="AC11">
        <v>0</v>
      </c>
      <c r="AD11">
        <v>0.0019999600007999841</v>
      </c>
      <c r="AE11">
        <v>648000</v>
      </c>
      <c r="AF11">
        <v>200000</v>
      </c>
      <c r="AG11">
        <v>16666.666666666668</v>
      </c>
      <c r="AH11">
        <v>1</v>
      </c>
      <c r="AI11">
        <v>1</v>
      </c>
      <c r="AJ11" t="s">
        <v>136</v>
      </c>
      <c r="AK11" t="s">
        <v>137</v>
      </c>
      <c r="AL11">
        <v>0</v>
      </c>
      <c r="AM11" t="s">
        <v>137</v>
      </c>
      <c r="AN11">
        <v>0</v>
      </c>
    </row>
    <row r="12" spans="1:42" ht="12.75">
      <c r="A12" s="2" t="str">
        <f>HYPERLINK("https://ibp.a2mac1.com/costing(costing:projects/details/8191/process/6969937)","Caliper Assy")</f>
        <v>Caliper Assy</v>
      </c>
      <c r="C12">
        <v>6969937</v>
      </c>
      <c r="D12">
        <v>5380911</v>
      </c>
      <c r="E12">
        <v>3.93</v>
      </c>
      <c r="F12">
        <v>0</v>
      </c>
      <c r="G12">
        <v>0</v>
      </c>
      <c r="H12">
        <v>0</v>
      </c>
      <c r="I12" t="s">
        <v>74</v>
      </c>
      <c r="J12">
        <v>0</v>
      </c>
      <c r="K12">
        <v>3.93</v>
      </c>
      <c r="L12">
        <v>0</v>
      </c>
      <c r="M12">
        <v>0</v>
      </c>
      <c r="N12">
        <v>3.93</v>
      </c>
      <c r="O12" t="s">
        <v>74</v>
      </c>
      <c r="P12">
        <v>0</v>
      </c>
      <c r="Q12" t="s">
        <v>74</v>
      </c>
      <c r="R12">
        <v>0</v>
      </c>
      <c r="S12" t="s">
        <v>74</v>
      </c>
      <c r="T12">
        <v>0</v>
      </c>
      <c r="U12">
        <v>3.93</v>
      </c>
      <c r="V12">
        <v>0</v>
      </c>
      <c r="W12">
        <v>0</v>
      </c>
      <c r="X12">
        <v>0</v>
      </c>
      <c r="Y12">
        <v>0</v>
      </c>
      <c r="Z12">
        <v>0</v>
      </c>
      <c r="AA12">
        <v>3.93</v>
      </c>
      <c r="AB12">
        <v>1</v>
      </c>
      <c r="AC12">
        <v>0.10</v>
      </c>
      <c r="AD12">
        <v>0</v>
      </c>
      <c r="AE12">
        <v>0</v>
      </c>
      <c r="AF12">
        <v>200000</v>
      </c>
      <c r="AG12">
        <v>10000</v>
      </c>
      <c r="AH12">
        <v>1</v>
      </c>
      <c r="AI12">
        <v>1</v>
      </c>
      <c r="AJ12" t="s">
        <v>79</v>
      </c>
      <c r="AK12" t="s">
        <v>74</v>
      </c>
      <c r="AL12">
        <v>0</v>
      </c>
      <c r="AM12" t="s">
        <v>74</v>
      </c>
      <c r="AN12">
        <v>0</v>
      </c>
      <c r="AO12">
        <v>3.93</v>
      </c>
      <c r="AP12">
        <v>0</v>
      </c>
    </row>
    <row r="13" spans="1:42" ht="12.75">
      <c r="A13" s="2" t="str">
        <f>HYPERLINK("https://ibp.a2mac1.com/costing(costing:projects/details/8191/process/6969942)","Process")</f>
        <v>Process</v>
      </c>
      <c r="C13">
        <v>6969942</v>
      </c>
      <c r="D13">
        <v>5380928</v>
      </c>
      <c r="E13">
        <v>6.18</v>
      </c>
      <c r="F13">
        <v>0</v>
      </c>
      <c r="G13">
        <v>0</v>
      </c>
      <c r="H13">
        <v>0.0001236</v>
      </c>
      <c r="I13" t="s">
        <v>137</v>
      </c>
      <c r="J13">
        <v>0.21629999999999999</v>
      </c>
      <c r="K13">
        <v>6.3964236000000003</v>
      </c>
      <c r="L13">
        <v>0.75581843102322921</v>
      </c>
      <c r="M13">
        <v>4.5349105861393753</v>
      </c>
      <c r="N13">
        <v>10.931334186139376</v>
      </c>
      <c r="O13" t="s">
        <v>90</v>
      </c>
      <c r="P13">
        <v>0</v>
      </c>
      <c r="Q13" t="s">
        <v>90</v>
      </c>
      <c r="R13">
        <v>0</v>
      </c>
      <c r="S13" t="s">
        <v>90</v>
      </c>
      <c r="T13">
        <v>0</v>
      </c>
      <c r="U13">
        <v>10.931334186139376</v>
      </c>
      <c r="V13">
        <v>0</v>
      </c>
      <c r="W13">
        <v>0</v>
      </c>
      <c r="X13">
        <v>0</v>
      </c>
      <c r="Y13">
        <v>0</v>
      </c>
      <c r="Z13">
        <v>0</v>
      </c>
      <c r="AA13">
        <v>350</v>
      </c>
      <c r="AB13">
        <v>1</v>
      </c>
      <c r="AC13">
        <v>0</v>
      </c>
      <c r="AD13">
        <v>0.0019999600007999841</v>
      </c>
      <c r="AE13">
        <v>648000</v>
      </c>
      <c r="AF13">
        <v>200000</v>
      </c>
      <c r="AG13">
        <v>16666.666666666668</v>
      </c>
      <c r="AH13">
        <v>1</v>
      </c>
      <c r="AI13">
        <v>1</v>
      </c>
      <c r="AJ13" t="s">
        <v>136</v>
      </c>
      <c r="AK13" t="s">
        <v>137</v>
      </c>
      <c r="AL13">
        <v>0</v>
      </c>
      <c r="AM13" t="s">
        <v>137</v>
      </c>
      <c r="AN13">
        <v>0</v>
      </c>
    </row>
    <row r="14" spans="1:42" ht="12.75">
      <c r="A14" s="2" t="str">
        <f>HYPERLINK("https://ibp.a2mac1.com/costing(costing:projects/details/8191/process/6969943)","Process")</f>
        <v>Process</v>
      </c>
      <c r="C14">
        <v>6969943</v>
      </c>
      <c r="D14">
        <v>5380929</v>
      </c>
      <c r="E14">
        <v>2.17</v>
      </c>
      <c r="F14">
        <v>0</v>
      </c>
      <c r="G14">
        <v>0</v>
      </c>
      <c r="H14">
        <v>4.3399999999999998E-05</v>
      </c>
      <c r="I14" t="s">
        <v>137</v>
      </c>
      <c r="J14">
        <v>0.075950000000000004</v>
      </c>
      <c r="K14">
        <v>2.2459934000000001</v>
      </c>
      <c r="L14">
        <v>0.3252976978728101</v>
      </c>
      <c r="M14">
        <v>1.9517861872368605</v>
      </c>
      <c r="N14">
        <v>4.1977795872368606</v>
      </c>
      <c r="O14" t="s">
        <v>90</v>
      </c>
      <c r="P14">
        <v>0</v>
      </c>
      <c r="Q14" t="s">
        <v>90</v>
      </c>
      <c r="R14">
        <v>0</v>
      </c>
      <c r="S14" t="s">
        <v>90</v>
      </c>
      <c r="T14">
        <v>0</v>
      </c>
      <c r="U14">
        <v>4.1977795872368606</v>
      </c>
      <c r="V14">
        <v>0</v>
      </c>
      <c r="W14">
        <v>0</v>
      </c>
      <c r="X14">
        <v>0</v>
      </c>
      <c r="Y14">
        <v>0</v>
      </c>
      <c r="Z14">
        <v>0</v>
      </c>
      <c r="AA14">
        <v>105</v>
      </c>
      <c r="AB14">
        <v>1</v>
      </c>
      <c r="AC14">
        <v>0</v>
      </c>
      <c r="AD14">
        <v>0.0019999600007999841</v>
      </c>
      <c r="AE14">
        <v>648000</v>
      </c>
      <c r="AF14">
        <v>200000</v>
      </c>
      <c r="AG14">
        <v>16666.666666666668</v>
      </c>
      <c r="AH14">
        <v>1</v>
      </c>
      <c r="AI14">
        <v>1</v>
      </c>
      <c r="AJ14" t="s">
        <v>136</v>
      </c>
      <c r="AK14" t="s">
        <v>137</v>
      </c>
      <c r="AL14">
        <v>0</v>
      </c>
      <c r="AM14" t="s">
        <v>137</v>
      </c>
      <c r="AN14">
        <v>0</v>
      </c>
    </row>
    <row r="15" spans="1:42" ht="12.75">
      <c r="A15" s="2" t="str">
        <f>HYPERLINK("https://ibp.a2mac1.com/costing(costing:projects/details/8191/process/6969938)","Caliper Assy")</f>
        <v>Caliper Assy</v>
      </c>
      <c r="C15">
        <v>6969938</v>
      </c>
      <c r="D15">
        <v>5380913</v>
      </c>
      <c r="E15">
        <v>3.93</v>
      </c>
      <c r="F15">
        <v>0</v>
      </c>
      <c r="G15">
        <v>0</v>
      </c>
      <c r="H15">
        <v>0</v>
      </c>
      <c r="I15" t="s">
        <v>74</v>
      </c>
      <c r="J15">
        <v>0</v>
      </c>
      <c r="K15">
        <v>3.93</v>
      </c>
      <c r="L15">
        <v>0</v>
      </c>
      <c r="M15">
        <v>0</v>
      </c>
      <c r="N15">
        <v>3.93</v>
      </c>
      <c r="O15" t="s">
        <v>74</v>
      </c>
      <c r="P15">
        <v>0</v>
      </c>
      <c r="Q15" t="s">
        <v>74</v>
      </c>
      <c r="R15">
        <v>0</v>
      </c>
      <c r="S15" t="s">
        <v>74</v>
      </c>
      <c r="T15">
        <v>0</v>
      </c>
      <c r="U15">
        <v>3.93</v>
      </c>
      <c r="V15">
        <v>0</v>
      </c>
      <c r="W15">
        <v>0</v>
      </c>
      <c r="X15">
        <v>0</v>
      </c>
      <c r="Y15">
        <v>0</v>
      </c>
      <c r="Z15">
        <v>0</v>
      </c>
      <c r="AA15">
        <v>3.93</v>
      </c>
      <c r="AB15">
        <v>1</v>
      </c>
      <c r="AC15">
        <v>0.10</v>
      </c>
      <c r="AD15">
        <v>0</v>
      </c>
      <c r="AE15">
        <v>0</v>
      </c>
      <c r="AF15">
        <v>200000</v>
      </c>
      <c r="AG15">
        <v>10000</v>
      </c>
      <c r="AH15">
        <v>1</v>
      </c>
      <c r="AI15">
        <v>1</v>
      </c>
      <c r="AJ15" t="s">
        <v>79</v>
      </c>
      <c r="AK15" t="s">
        <v>74</v>
      </c>
      <c r="AL15">
        <v>0</v>
      </c>
      <c r="AM15" t="s">
        <v>74</v>
      </c>
      <c r="AN15">
        <v>0</v>
      </c>
      <c r="AO15">
        <v>3.93</v>
      </c>
      <c r="AP15">
        <v>0</v>
      </c>
    </row>
    <row r="16" spans="1:42" ht="12.75">
      <c r="A16" s="2" t="str">
        <f>HYPERLINK("https://ibp.a2mac1.com/costing(costing:projects/details/8191/process/6969936)","Process")</f>
        <v>Process</v>
      </c>
      <c r="C16">
        <v>6969936</v>
      </c>
      <c r="D16">
        <v>5380907</v>
      </c>
      <c r="E16">
        <v>9.78</v>
      </c>
      <c r="F16">
        <v>0</v>
      </c>
      <c r="G16">
        <v>0</v>
      </c>
      <c r="H16">
        <v>0.00019560000000000001</v>
      </c>
      <c r="I16" t="s">
        <v>137</v>
      </c>
      <c r="J16">
        <v>0.34229999999999999</v>
      </c>
      <c r="K16">
        <v>10.122495600000001</v>
      </c>
      <c r="L16">
        <v>2.1097260469818679</v>
      </c>
      <c r="M16">
        <v>12.658356281891207</v>
      </c>
      <c r="N16">
        <v>22.780851881891206</v>
      </c>
      <c r="O16" t="s">
        <v>138</v>
      </c>
      <c r="P16">
        <v>0.60734973599999997</v>
      </c>
      <c r="Q16" t="s">
        <v>138</v>
      </c>
      <c r="R16">
        <v>0.75950137691347241</v>
      </c>
      <c r="S16" t="s">
        <v>139</v>
      </c>
      <c r="T16">
        <v>2.7337022258269448</v>
      </c>
      <c r="U16">
        <v>26.881405220631624</v>
      </c>
      <c r="V16">
        <v>0</v>
      </c>
      <c r="W16">
        <v>0</v>
      </c>
      <c r="X16">
        <v>0</v>
      </c>
      <c r="Y16">
        <v>0</v>
      </c>
      <c r="Z16">
        <v>0</v>
      </c>
      <c r="AA16">
        <v>800</v>
      </c>
      <c r="AB16">
        <v>1</v>
      </c>
      <c r="AC16">
        <v>0</v>
      </c>
      <c r="AD16">
        <v>0.0019999600007999841</v>
      </c>
      <c r="AE16">
        <v>6480000</v>
      </c>
      <c r="AF16">
        <v>400000</v>
      </c>
      <c r="AG16">
        <v>33333.333333333336</v>
      </c>
      <c r="AH16">
        <v>1</v>
      </c>
      <c r="AI16">
        <v>1</v>
      </c>
      <c r="AJ16" t="s">
        <v>136</v>
      </c>
      <c r="AK16" t="s">
        <v>137</v>
      </c>
      <c r="AL16">
        <v>0</v>
      </c>
      <c r="AM16" t="s">
        <v>137</v>
      </c>
      <c r="AN16">
        <v>0</v>
      </c>
    </row>
    <row r="17" spans="1:42" ht="12.75">
      <c r="A17" s="2" t="str">
        <f>HYPERLINK("https://ibp.a2mac1.com/costing(costing:projects/details/8191/process/6969999)","Process")</f>
        <v>Process</v>
      </c>
      <c r="C17">
        <v>6969999</v>
      </c>
      <c r="D17">
        <v>5380956</v>
      </c>
      <c r="E17">
        <v>4.47</v>
      </c>
      <c r="F17">
        <v>0</v>
      </c>
      <c r="G17">
        <v>0</v>
      </c>
      <c r="H17">
        <v>8.9400000000000005E-05</v>
      </c>
      <c r="I17" t="s">
        <v>137</v>
      </c>
      <c r="J17">
        <v>0.15645000000000001</v>
      </c>
      <c r="K17">
        <v>4.6265394000000004</v>
      </c>
      <c r="L17">
        <v>0.3339785284554494</v>
      </c>
      <c r="M17">
        <v>2.0038711707326962</v>
      </c>
      <c r="N17">
        <v>6.6304105707326961</v>
      </c>
      <c r="O17" t="s">
        <v>138</v>
      </c>
      <c r="P17">
        <v>0.27759236399999998</v>
      </c>
      <c r="Q17" t="s">
        <v>138</v>
      </c>
      <c r="R17">
        <v>0.12023227024396178</v>
      </c>
      <c r="S17" t="s">
        <v>139</v>
      </c>
      <c r="T17">
        <v>0.79564926848792361</v>
      </c>
      <c r="U17">
        <v>7.8238844734645818</v>
      </c>
      <c r="V17">
        <v>0</v>
      </c>
      <c r="W17">
        <v>0</v>
      </c>
      <c r="X17">
        <v>0</v>
      </c>
      <c r="Y17">
        <v>0</v>
      </c>
      <c r="Z17">
        <v>0</v>
      </c>
      <c r="AA17">
        <v>150</v>
      </c>
      <c r="AB17">
        <v>1</v>
      </c>
      <c r="AC17">
        <v>0</v>
      </c>
      <c r="AD17">
        <v>0.0019999600007999841</v>
      </c>
      <c r="AE17">
        <v>648000</v>
      </c>
      <c r="AF17">
        <v>400000</v>
      </c>
      <c r="AG17">
        <v>33333.333333333336</v>
      </c>
      <c r="AH17">
        <v>1</v>
      </c>
      <c r="AI17">
        <v>1</v>
      </c>
      <c r="AJ17" t="s">
        <v>136</v>
      </c>
      <c r="AK17" t="s">
        <v>137</v>
      </c>
      <c r="AL17">
        <v>0</v>
      </c>
      <c r="AM17" t="s">
        <v>137</v>
      </c>
      <c r="AN17">
        <v>0</v>
      </c>
    </row>
    <row r="18" spans="1:42" ht="12.75">
      <c r="A18" s="2" t="str">
        <f>HYPERLINK("https://ibp.a2mac1.com/costing(costing:projects/details/8191/process/6969945)","Shoe Assy")</f>
        <v>Shoe Assy</v>
      </c>
      <c r="C18">
        <v>6969945</v>
      </c>
      <c r="D18">
        <v>5380935</v>
      </c>
      <c r="E18">
        <v>1.40</v>
      </c>
      <c r="F18">
        <v>0</v>
      </c>
      <c r="G18">
        <v>0</v>
      </c>
      <c r="H18">
        <v>0</v>
      </c>
      <c r="I18" t="s">
        <v>74</v>
      </c>
      <c r="J18">
        <v>0</v>
      </c>
      <c r="K18">
        <v>1.40</v>
      </c>
      <c r="L18">
        <v>0</v>
      </c>
      <c r="M18">
        <v>0</v>
      </c>
      <c r="N18">
        <v>1.40</v>
      </c>
      <c r="O18" t="s">
        <v>74</v>
      </c>
      <c r="P18">
        <v>0</v>
      </c>
      <c r="Q18" t="s">
        <v>74</v>
      </c>
      <c r="R18">
        <v>0</v>
      </c>
      <c r="S18" t="s">
        <v>74</v>
      </c>
      <c r="T18">
        <v>0</v>
      </c>
      <c r="U18">
        <v>1.40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0.10</v>
      </c>
      <c r="AD18">
        <v>0</v>
      </c>
      <c r="AE18">
        <v>0</v>
      </c>
      <c r="AF18">
        <v>400000</v>
      </c>
      <c r="AG18">
        <v>20000</v>
      </c>
      <c r="AH18">
        <v>1</v>
      </c>
      <c r="AI18">
        <v>1</v>
      </c>
      <c r="AJ18" t="s">
        <v>79</v>
      </c>
      <c r="AK18" t="s">
        <v>74</v>
      </c>
      <c r="AL18">
        <v>0</v>
      </c>
      <c r="AM18" t="s">
        <v>74</v>
      </c>
      <c r="AN18">
        <v>0</v>
      </c>
      <c r="AO18">
        <v>1.40</v>
      </c>
      <c r="AP18">
        <v>0</v>
      </c>
    </row>
    <row r="19" spans="1:42" ht="12.75">
      <c r="A19" s="2" t="str">
        <f>HYPERLINK("https://ibp.a2mac1.com/costing(costing:projects/details/8191/process/6969944)","Process")</f>
        <v>Process</v>
      </c>
      <c r="C19">
        <v>6969944</v>
      </c>
      <c r="D19">
        <v>5380931</v>
      </c>
      <c r="E19">
        <v>7.91</v>
      </c>
      <c r="F19">
        <v>0</v>
      </c>
      <c r="G19">
        <v>0</v>
      </c>
      <c r="H19">
        <v>0.0001582</v>
      </c>
      <c r="I19" t="s">
        <v>137</v>
      </c>
      <c r="J19">
        <v>0.27684999999999998</v>
      </c>
      <c r="K19">
        <v>8.1870081999999993</v>
      </c>
      <c r="L19">
        <v>0.77328539901710158</v>
      </c>
      <c r="M19">
        <v>4.6397123941026095</v>
      </c>
      <c r="N19">
        <v>12.826720594102609</v>
      </c>
      <c r="O19" t="s">
        <v>138</v>
      </c>
      <c r="P19">
        <v>0.49122049200000001</v>
      </c>
      <c r="Q19" t="s">
        <v>138</v>
      </c>
      <c r="R19">
        <v>0.27838274364615656</v>
      </c>
      <c r="S19" t="s">
        <v>139</v>
      </c>
      <c r="T19">
        <v>1.5392064712923132</v>
      </c>
      <c r="U19">
        <v>15.135530301041079</v>
      </c>
      <c r="V19">
        <v>0</v>
      </c>
      <c r="W19">
        <v>0</v>
      </c>
      <c r="X19">
        <v>0</v>
      </c>
      <c r="Y19">
        <v>0</v>
      </c>
      <c r="Z19">
        <v>0</v>
      </c>
      <c r="AA19">
        <v>400</v>
      </c>
      <c r="AB19">
        <v>1</v>
      </c>
      <c r="AC19">
        <v>0</v>
      </c>
      <c r="AD19">
        <v>0.0019999600007999841</v>
      </c>
      <c r="AE19">
        <v>648000</v>
      </c>
      <c r="AF19">
        <v>400000</v>
      </c>
      <c r="AG19">
        <v>33333.333333333336</v>
      </c>
      <c r="AH19">
        <v>1</v>
      </c>
      <c r="AI19">
        <v>1</v>
      </c>
      <c r="AJ19" t="s">
        <v>136</v>
      </c>
      <c r="AK19" t="s">
        <v>137</v>
      </c>
      <c r="AL19">
        <v>0</v>
      </c>
      <c r="AM19" t="s">
        <v>137</v>
      </c>
      <c r="AN19">
        <v>0</v>
      </c>
    </row>
    <row r="20" spans="1:42" ht="12.75">
      <c r="A20" s="2" t="str">
        <f>HYPERLINK("https://ibp.a2mac1.com/costing(costing:projects/details/8191/process/6970060)","Process")</f>
        <v>Process</v>
      </c>
      <c r="C20">
        <v>6970060</v>
      </c>
      <c r="D20">
        <v>5381059</v>
      </c>
      <c r="E20">
        <v>9.5370399999999993</v>
      </c>
      <c r="F20">
        <v>0</v>
      </c>
      <c r="G20">
        <v>0</v>
      </c>
      <c r="H20">
        <v>0.00019074080000000001</v>
      </c>
      <c r="I20" t="s">
        <v>137</v>
      </c>
      <c r="J20">
        <v>0.33379639999999999</v>
      </c>
      <c r="K20">
        <v>9.8710271408000008</v>
      </c>
      <c r="L20">
        <v>4.1315907198514052</v>
      </c>
      <c r="M20">
        <v>14.460567519479918</v>
      </c>
      <c r="N20">
        <v>24.331594660279919</v>
      </c>
      <c r="O20" t="s">
        <v>138</v>
      </c>
      <c r="P20">
        <v>0.59226162844800001</v>
      </c>
      <c r="Q20" t="s">
        <v>138</v>
      </c>
      <c r="R20">
        <v>0.86763405116879511</v>
      </c>
      <c r="S20" t="s">
        <v>139</v>
      </c>
      <c r="T20">
        <v>2.91979135923359</v>
      </c>
      <c r="U20">
        <v>28.711281699130303</v>
      </c>
      <c r="V20">
        <v>0</v>
      </c>
      <c r="W20">
        <v>0</v>
      </c>
      <c r="X20">
        <v>0</v>
      </c>
      <c r="Y20">
        <v>0</v>
      </c>
      <c r="Z20">
        <v>0</v>
      </c>
      <c r="AA20">
        <v>775</v>
      </c>
      <c r="AB20">
        <v>1</v>
      </c>
      <c r="AC20">
        <v>0</v>
      </c>
      <c r="AD20">
        <v>0.0019999600007999841</v>
      </c>
      <c r="AE20">
        <v>6480000</v>
      </c>
      <c r="AF20">
        <v>400000</v>
      </c>
      <c r="AG20">
        <v>33333.333333333336</v>
      </c>
      <c r="AH20">
        <v>1</v>
      </c>
      <c r="AI20">
        <v>1</v>
      </c>
      <c r="AJ20" t="s">
        <v>383</v>
      </c>
      <c r="AK20" t="s">
        <v>137</v>
      </c>
      <c r="AL20">
        <v>0</v>
      </c>
      <c r="AM20" t="s">
        <v>137</v>
      </c>
      <c r="AN20">
        <v>0</v>
      </c>
    </row>
    <row r="21" spans="1:42" ht="12.75">
      <c r="A21" s="2" t="str">
        <f>HYPERLINK("https://ibp.a2mac1.com/costing(costing:projects/details/8191/process/6970053)","Process")</f>
        <v>Process</v>
      </c>
      <c r="C21">
        <v>6970053</v>
      </c>
      <c r="D21">
        <v>5381004</v>
      </c>
      <c r="E21">
        <v>0</v>
      </c>
      <c r="F21">
        <v>0</v>
      </c>
      <c r="G21">
        <v>0</v>
      </c>
      <c r="H21">
        <v>0</v>
      </c>
      <c r="I21" t="s">
        <v>137</v>
      </c>
      <c r="J21">
        <v>0</v>
      </c>
      <c r="K21">
        <v>0</v>
      </c>
      <c r="L21">
        <v>1.0218654951314383</v>
      </c>
      <c r="M21">
        <v>3.5765292329600342</v>
      </c>
      <c r="N21">
        <v>3.5765292329600342</v>
      </c>
      <c r="O21" t="s">
        <v>90</v>
      </c>
      <c r="P21">
        <v>0</v>
      </c>
      <c r="Q21" t="s">
        <v>90</v>
      </c>
      <c r="R21">
        <v>0</v>
      </c>
      <c r="S21" t="s">
        <v>90</v>
      </c>
      <c r="T21">
        <v>0</v>
      </c>
      <c r="U21">
        <v>3.5765292329600342</v>
      </c>
      <c r="V21">
        <v>0</v>
      </c>
      <c r="W21">
        <v>0</v>
      </c>
      <c r="X21">
        <v>0</v>
      </c>
      <c r="Y21">
        <v>0</v>
      </c>
      <c r="Z21">
        <v>0</v>
      </c>
      <c r="AA21">
        <v>224</v>
      </c>
      <c r="AB21">
        <v>1</v>
      </c>
      <c r="AC21">
        <v>0</v>
      </c>
      <c r="AD21">
        <v>0</v>
      </c>
      <c r="AE21">
        <v>648000</v>
      </c>
      <c r="AF21">
        <v>400000</v>
      </c>
      <c r="AG21">
        <v>20000</v>
      </c>
      <c r="AH21">
        <v>1</v>
      </c>
      <c r="AI21">
        <v>1</v>
      </c>
      <c r="AJ21" t="s">
        <v>79</v>
      </c>
      <c r="AK21" t="s">
        <v>137</v>
      </c>
      <c r="AL21">
        <v>0</v>
      </c>
      <c r="AM21" t="s">
        <v>137</v>
      </c>
      <c r="AN21">
        <v>0</v>
      </c>
      <c r="AP21">
        <v>0</v>
      </c>
    </row>
    <row r="22" spans="1:42" ht="12.75">
      <c r="A22" s="2" t="str">
        <f>HYPERLINK("https://ibp.a2mac1.com/costing(costing:projects/details/8191/process/6970061)","Process")</f>
        <v>Process</v>
      </c>
      <c r="C22">
        <v>6970061</v>
      </c>
      <c r="D22">
        <v>5381070</v>
      </c>
      <c r="E22">
        <v>5.60</v>
      </c>
      <c r="F22">
        <v>0</v>
      </c>
      <c r="G22">
        <v>0</v>
      </c>
      <c r="H22">
        <v>0.000112</v>
      </c>
      <c r="I22" t="s">
        <v>137</v>
      </c>
      <c r="J22">
        <v>0.19600000000000001</v>
      </c>
      <c r="K22">
        <v>5.7961119999999999</v>
      </c>
      <c r="L22">
        <v>3.5868502003549563</v>
      </c>
      <c r="M22">
        <v>12.553975701242347</v>
      </c>
      <c r="N22">
        <v>18.350087701242348</v>
      </c>
      <c r="O22" t="s">
        <v>138</v>
      </c>
      <c r="P22">
        <v>0.34776671999999997</v>
      </c>
      <c r="Q22" t="s">
        <v>138</v>
      </c>
      <c r="R22">
        <v>0.75323854207454088</v>
      </c>
      <c r="S22" t="s">
        <v>139</v>
      </c>
      <c r="T22">
        <v>2.2020105241490815</v>
      </c>
      <c r="U22">
        <v>21.65310348746597</v>
      </c>
      <c r="V22">
        <v>0</v>
      </c>
      <c r="W22">
        <v>0</v>
      </c>
      <c r="X22">
        <v>0</v>
      </c>
      <c r="Y22">
        <v>0</v>
      </c>
      <c r="Z22">
        <v>0</v>
      </c>
      <c r="AA22">
        <v>620</v>
      </c>
      <c r="AB22">
        <v>1</v>
      </c>
      <c r="AC22">
        <v>0</v>
      </c>
      <c r="AD22">
        <v>0.0019999600007999841</v>
      </c>
      <c r="AE22">
        <v>6480000</v>
      </c>
      <c r="AF22">
        <v>400000</v>
      </c>
      <c r="AG22">
        <v>33333.333333333336</v>
      </c>
      <c r="AH22">
        <v>1</v>
      </c>
      <c r="AI22">
        <v>1</v>
      </c>
      <c r="AJ22" t="s">
        <v>383</v>
      </c>
      <c r="AK22" t="s">
        <v>137</v>
      </c>
      <c r="AL22">
        <v>0</v>
      </c>
      <c r="AM22" t="s">
        <v>137</v>
      </c>
      <c r="AN22">
        <v>0</v>
      </c>
    </row>
    <row r="23" spans="1:42" ht="12.75">
      <c r="A23" s="2" t="str">
        <f>HYPERLINK("https://ibp.a2mac1.com/costing(costing:projects/details/8191/process/6970054)","Process")</f>
        <v>Process</v>
      </c>
      <c r="C23">
        <v>6970054</v>
      </c>
      <c r="D23">
        <v>5381005</v>
      </c>
      <c r="E23">
        <v>2.37</v>
      </c>
      <c r="F23">
        <v>0</v>
      </c>
      <c r="G23">
        <v>0</v>
      </c>
      <c r="H23">
        <v>0</v>
      </c>
      <c r="I23" t="s">
        <v>74</v>
      </c>
      <c r="J23">
        <v>0</v>
      </c>
      <c r="K23">
        <v>2.37</v>
      </c>
      <c r="L23">
        <v>0</v>
      </c>
      <c r="M23">
        <v>0</v>
      </c>
      <c r="N23">
        <v>2.37</v>
      </c>
      <c r="O23" t="s">
        <v>74</v>
      </c>
      <c r="P23">
        <v>0</v>
      </c>
      <c r="Q23" t="s">
        <v>74</v>
      </c>
      <c r="R23">
        <v>0</v>
      </c>
      <c r="S23" t="s">
        <v>74</v>
      </c>
      <c r="T23">
        <v>0</v>
      </c>
      <c r="U23">
        <v>2.37</v>
      </c>
      <c r="V23">
        <v>0</v>
      </c>
      <c r="W23">
        <v>0</v>
      </c>
      <c r="X23">
        <v>0</v>
      </c>
      <c r="Y23">
        <v>0</v>
      </c>
      <c r="Z23">
        <v>0</v>
      </c>
      <c r="AA23">
        <v>197</v>
      </c>
      <c r="AB23">
        <v>1</v>
      </c>
      <c r="AC23">
        <v>0</v>
      </c>
      <c r="AD23">
        <v>0</v>
      </c>
      <c r="AE23">
        <v>648000</v>
      </c>
      <c r="AF23">
        <v>400000</v>
      </c>
      <c r="AG23">
        <v>20000</v>
      </c>
      <c r="AH23">
        <v>1</v>
      </c>
      <c r="AI23">
        <v>1</v>
      </c>
      <c r="AJ23" t="s">
        <v>79</v>
      </c>
      <c r="AK23" t="s">
        <v>74</v>
      </c>
      <c r="AL23">
        <v>0</v>
      </c>
      <c r="AM23" t="s">
        <v>74</v>
      </c>
      <c r="AN23">
        <v>0</v>
      </c>
      <c r="AO23">
        <v>2.37</v>
      </c>
      <c r="AP23">
        <v>0</v>
      </c>
    </row>
    <row r="24" spans="1:42" ht="12.75">
      <c r="A24" s="2" t="str">
        <f>HYPERLINK("https://ibp.a2mac1.com/costing(costing:projects/details/8191/process/6970068)","Process")</f>
        <v>Process</v>
      </c>
      <c r="C24">
        <v>6970068</v>
      </c>
      <c r="D24">
        <v>5381096</v>
      </c>
      <c r="E24">
        <v>12.82</v>
      </c>
      <c r="F24">
        <v>0</v>
      </c>
      <c r="G24">
        <v>0</v>
      </c>
      <c r="H24">
        <v>0.0002564</v>
      </c>
      <c r="I24" t="s">
        <v>137</v>
      </c>
      <c r="J24">
        <v>0.44869999999999999</v>
      </c>
      <c r="K24">
        <v>13.2689564</v>
      </c>
      <c r="L24">
        <v>0.56252340797610223</v>
      </c>
      <c r="M24">
        <v>1.968831927916358</v>
      </c>
      <c r="N24">
        <v>15.237788327916357</v>
      </c>
      <c r="O24" t="s">
        <v>138</v>
      </c>
      <c r="P24">
        <v>0.796137384</v>
      </c>
      <c r="Q24" t="s">
        <v>138</v>
      </c>
      <c r="R24">
        <v>0.11812991567498148</v>
      </c>
      <c r="S24" t="s">
        <v>139</v>
      </c>
      <c r="T24">
        <v>1.8285345993499629</v>
      </c>
      <c r="U24">
        <v>17.980590226941302</v>
      </c>
      <c r="V24">
        <v>0</v>
      </c>
      <c r="W24">
        <v>0</v>
      </c>
      <c r="X24">
        <v>0</v>
      </c>
      <c r="Y24">
        <v>0</v>
      </c>
      <c r="Z24">
        <v>0</v>
      </c>
      <c r="AA24">
        <v>120</v>
      </c>
      <c r="AB24">
        <v>1</v>
      </c>
      <c r="AC24">
        <v>0</v>
      </c>
      <c r="AD24">
        <v>0.0019999600007999841</v>
      </c>
      <c r="AE24">
        <v>648000</v>
      </c>
      <c r="AF24">
        <v>400000</v>
      </c>
      <c r="AG24">
        <v>33333.333333333336</v>
      </c>
      <c r="AH24">
        <v>1</v>
      </c>
      <c r="AI24">
        <v>1</v>
      </c>
      <c r="AJ24" t="s">
        <v>383</v>
      </c>
      <c r="AK24" t="s">
        <v>137</v>
      </c>
      <c r="AL24">
        <v>0</v>
      </c>
      <c r="AM24" t="s">
        <v>137</v>
      </c>
      <c r="AN24">
        <v>0</v>
      </c>
    </row>
    <row r="25" spans="1:42" ht="12.75">
      <c r="A25" s="2" t="str">
        <f>HYPERLINK("https://ibp.a2mac1.com/costing(costing:projects/details/8191/process/6970069)","Process")</f>
        <v>Process</v>
      </c>
      <c r="C25">
        <v>6970069</v>
      </c>
      <c r="D25">
        <v>5381097</v>
      </c>
      <c r="E25">
        <v>11.34</v>
      </c>
      <c r="F25">
        <v>0</v>
      </c>
      <c r="G25">
        <v>0</v>
      </c>
      <c r="H25">
        <v>0.00022680000000000001</v>
      </c>
      <c r="I25" t="s">
        <v>137</v>
      </c>
      <c r="J25">
        <v>0.39689999999999998</v>
      </c>
      <c r="K25">
        <v>11.7371268</v>
      </c>
      <c r="L25">
        <v>0.80874586914781499</v>
      </c>
      <c r="M25">
        <v>2.8306105420173524</v>
      </c>
      <c r="N25">
        <v>14.567737342017352</v>
      </c>
      <c r="O25" t="s">
        <v>138</v>
      </c>
      <c r="P25">
        <v>0.70422760799999995</v>
      </c>
      <c r="Q25" t="s">
        <v>138</v>
      </c>
      <c r="R25">
        <v>0.16983663252104114</v>
      </c>
      <c r="S25" t="s">
        <v>139</v>
      </c>
      <c r="T25">
        <v>1.7481284810420823</v>
      </c>
      <c r="U25">
        <v>17.189930063580476</v>
      </c>
      <c r="V25">
        <v>0</v>
      </c>
      <c r="W25">
        <v>0</v>
      </c>
      <c r="X25">
        <v>0</v>
      </c>
      <c r="Y25">
        <v>0</v>
      </c>
      <c r="Z25">
        <v>0</v>
      </c>
      <c r="AA25">
        <v>150</v>
      </c>
      <c r="AB25">
        <v>1</v>
      </c>
      <c r="AC25">
        <v>0</v>
      </c>
      <c r="AD25">
        <v>0.0019999600007999841</v>
      </c>
      <c r="AE25">
        <v>648000</v>
      </c>
      <c r="AF25">
        <v>200000</v>
      </c>
      <c r="AG25">
        <v>16666.666666666668</v>
      </c>
      <c r="AH25">
        <v>1</v>
      </c>
      <c r="AI25">
        <v>1</v>
      </c>
      <c r="AJ25" t="s">
        <v>136</v>
      </c>
      <c r="AK25" t="s">
        <v>137</v>
      </c>
      <c r="AL25">
        <v>0</v>
      </c>
      <c r="AM25" t="s">
        <v>137</v>
      </c>
      <c r="AN25">
        <v>0</v>
      </c>
    </row>
    <row r="26" spans="1:42" ht="12.75">
      <c r="A26" s="2" t="str">
        <f>HYPERLINK("https://ibp.a2mac1.com/costing(costing:projects/details/8191/process/6970070)","Process")</f>
        <v>Process</v>
      </c>
      <c r="C26">
        <v>6970070</v>
      </c>
      <c r="D26">
        <v>5381099</v>
      </c>
      <c r="E26">
        <v>11.518000000000001</v>
      </c>
      <c r="F26">
        <v>0</v>
      </c>
      <c r="G26">
        <v>0</v>
      </c>
      <c r="H26">
        <v>0.00023036000000000001</v>
      </c>
      <c r="I26" t="s">
        <v>90</v>
      </c>
      <c r="J26">
        <v>0</v>
      </c>
      <c r="K26">
        <v>11.51823036</v>
      </c>
      <c r="L26">
        <v>0</v>
      </c>
      <c r="M26">
        <v>10.109323364347686</v>
      </c>
      <c r="N26">
        <v>21.627553724347688</v>
      </c>
      <c r="O26" t="s">
        <v>90</v>
      </c>
      <c r="P26">
        <v>0</v>
      </c>
      <c r="Q26" t="s">
        <v>90</v>
      </c>
      <c r="R26">
        <v>0</v>
      </c>
      <c r="S26" t="s">
        <v>90</v>
      </c>
      <c r="T26">
        <v>0</v>
      </c>
      <c r="U26">
        <v>21.627553724347688</v>
      </c>
      <c r="V26">
        <v>0</v>
      </c>
      <c r="W26">
        <v>0</v>
      </c>
      <c r="X26">
        <v>0</v>
      </c>
      <c r="Y26">
        <v>0</v>
      </c>
      <c r="Z26">
        <v>0</v>
      </c>
      <c r="AA26">
        <v>750</v>
      </c>
      <c r="AB26">
        <v>1</v>
      </c>
      <c r="AC26">
        <v>0</v>
      </c>
      <c r="AD26">
        <v>0.0019999600007999841</v>
      </c>
      <c r="AE26">
        <v>6480000</v>
      </c>
      <c r="AF26">
        <v>400000</v>
      </c>
      <c r="AG26">
        <v>33333.333333333336</v>
      </c>
      <c r="AH26">
        <v>1</v>
      </c>
      <c r="AI26">
        <v>1</v>
      </c>
      <c r="AJ26" t="s">
        <v>383</v>
      </c>
      <c r="AK26" t="s">
        <v>90</v>
      </c>
      <c r="AL26">
        <v>0</v>
      </c>
      <c r="AM26" t="s">
        <v>90</v>
      </c>
      <c r="AN26">
        <v>0</v>
      </c>
    </row>
    <row r="27" spans="1:42" ht="12.75">
      <c r="A27" s="2" t="str">
        <f>HYPERLINK("https://ibp.a2mac1.com/costing(costing:projects/details/8191/process/6970071)","Process")</f>
        <v>Process</v>
      </c>
      <c r="C27">
        <v>6970071</v>
      </c>
      <c r="D27">
        <v>5381100</v>
      </c>
      <c r="E27">
        <v>8.14</v>
      </c>
      <c r="F27">
        <v>0</v>
      </c>
      <c r="G27">
        <v>0</v>
      </c>
      <c r="H27">
        <v>0.0001628</v>
      </c>
      <c r="I27" t="s">
        <v>137</v>
      </c>
      <c r="J27">
        <v>0.28489999999999999</v>
      </c>
      <c r="K27">
        <v>8.4250627999999992</v>
      </c>
      <c r="L27">
        <v>2.883959207456313</v>
      </c>
      <c r="M27">
        <v>10.093857226097095</v>
      </c>
      <c r="N27">
        <v>18.518920026097096</v>
      </c>
      <c r="O27" t="s">
        <v>138</v>
      </c>
      <c r="P27">
        <v>0.50550376799999996</v>
      </c>
      <c r="Q27" t="s">
        <v>138</v>
      </c>
      <c r="R27">
        <v>0.60563143356582572</v>
      </c>
      <c r="S27" t="s">
        <v>139</v>
      </c>
      <c r="T27">
        <v>2.2222704031316516</v>
      </c>
      <c r="U27">
        <v>21.852325630794571</v>
      </c>
      <c r="V27">
        <v>0</v>
      </c>
      <c r="W27">
        <v>0</v>
      </c>
      <c r="X27">
        <v>0</v>
      </c>
      <c r="Y27">
        <v>0</v>
      </c>
      <c r="Z27">
        <v>0</v>
      </c>
      <c r="AA27">
        <v>420</v>
      </c>
      <c r="AB27">
        <v>1</v>
      </c>
      <c r="AC27">
        <v>0</v>
      </c>
      <c r="AD27">
        <v>0.0019999600007999841</v>
      </c>
      <c r="AE27">
        <v>6480000</v>
      </c>
      <c r="AF27">
        <v>400000</v>
      </c>
      <c r="AG27">
        <v>33333.333333333336</v>
      </c>
      <c r="AH27">
        <v>1</v>
      </c>
      <c r="AI27">
        <v>1</v>
      </c>
      <c r="AJ27" t="s">
        <v>383</v>
      </c>
      <c r="AK27" t="s">
        <v>137</v>
      </c>
      <c r="AL27">
        <v>0</v>
      </c>
      <c r="AM27" t="s">
        <v>137</v>
      </c>
      <c r="AN27">
        <v>0</v>
      </c>
    </row>
    <row r="28" spans="1:42" ht="12.75">
      <c r="A28" s="2" t="str">
        <f>HYPERLINK("https://ibp.a2mac1.com/costing(costing:projects/details/8191/process/6970072)","Process")</f>
        <v>Process</v>
      </c>
      <c r="C28">
        <v>6970072</v>
      </c>
      <c r="D28">
        <v>5381101</v>
      </c>
      <c r="E28">
        <v>36.16</v>
      </c>
      <c r="F28">
        <v>0</v>
      </c>
      <c r="G28">
        <v>0</v>
      </c>
      <c r="H28">
        <v>0.00072320000000000001</v>
      </c>
      <c r="I28" t="s">
        <v>137</v>
      </c>
      <c r="J28">
        <v>1.2656000000000001</v>
      </c>
      <c r="K28">
        <v>37.426323199999999</v>
      </c>
      <c r="L28">
        <v>2.2601434512587666</v>
      </c>
      <c r="M28">
        <v>13.560860707552601</v>
      </c>
      <c r="N28">
        <v>50.987183907552598</v>
      </c>
      <c r="O28" t="s">
        <v>138</v>
      </c>
      <c r="P28">
        <v>2.2455793919999998</v>
      </c>
      <c r="Q28" t="s">
        <v>138</v>
      </c>
      <c r="R28">
        <v>0.81365164245315602</v>
      </c>
      <c r="S28" t="s">
        <v>139</v>
      </c>
      <c r="T28">
        <v>6.1184620689063118</v>
      </c>
      <c r="U28">
        <v>60.164877010912072</v>
      </c>
      <c r="V28">
        <v>0</v>
      </c>
      <c r="W28">
        <v>0</v>
      </c>
      <c r="X28">
        <v>0</v>
      </c>
      <c r="Y28">
        <v>0</v>
      </c>
      <c r="Z28">
        <v>0</v>
      </c>
      <c r="AA28">
        <v>485</v>
      </c>
      <c r="AB28">
        <v>1</v>
      </c>
      <c r="AC28">
        <v>0</v>
      </c>
      <c r="AD28">
        <v>0.0019999600007999841</v>
      </c>
      <c r="AE28">
        <v>6480000</v>
      </c>
      <c r="AF28">
        <v>200000</v>
      </c>
      <c r="AG28">
        <v>16666.666666666668</v>
      </c>
      <c r="AH28">
        <v>1</v>
      </c>
      <c r="AI28">
        <v>1</v>
      </c>
      <c r="AJ28" t="s">
        <v>136</v>
      </c>
      <c r="AK28" t="s">
        <v>137</v>
      </c>
      <c r="AL28">
        <v>0</v>
      </c>
      <c r="AM28" t="s">
        <v>137</v>
      </c>
      <c r="AN28">
        <v>0</v>
      </c>
    </row>
    <row r="29" spans="1:42" ht="12.75">
      <c r="A29" s="2" t="str">
        <f>HYPERLINK("https://ibp.a2mac1.com/costing(costing:projects/details/8191/process/6970062)","Assembly")</f>
        <v>Assembly</v>
      </c>
      <c r="C29">
        <v>6970062</v>
      </c>
      <c r="D29">
        <v>5381083</v>
      </c>
      <c r="E29">
        <v>0</v>
      </c>
      <c r="F29">
        <v>0</v>
      </c>
      <c r="G29">
        <v>0</v>
      </c>
      <c r="H29">
        <v>0</v>
      </c>
      <c r="I29" t="s">
        <v>137</v>
      </c>
      <c r="J29">
        <v>0</v>
      </c>
      <c r="K29">
        <v>0</v>
      </c>
      <c r="L29">
        <v>15.932579232975218</v>
      </c>
      <c r="M29">
        <v>55.764027315413266</v>
      </c>
      <c r="N29">
        <v>55.764027315413266</v>
      </c>
      <c r="O29" t="s">
        <v>90</v>
      </c>
      <c r="P29">
        <v>0</v>
      </c>
      <c r="Q29" t="s">
        <v>90</v>
      </c>
      <c r="R29">
        <v>0</v>
      </c>
      <c r="S29" t="s">
        <v>90</v>
      </c>
      <c r="T29">
        <v>0</v>
      </c>
      <c r="U29">
        <v>55.764027315413266</v>
      </c>
      <c r="V29">
        <v>0</v>
      </c>
      <c r="W29">
        <v>0</v>
      </c>
      <c r="X29">
        <v>0</v>
      </c>
      <c r="Y29">
        <v>0</v>
      </c>
      <c r="Z29">
        <v>0</v>
      </c>
      <c r="AA29">
        <v>4400</v>
      </c>
      <c r="AB29">
        <v>1</v>
      </c>
      <c r="AC29">
        <v>0</v>
      </c>
      <c r="AD29">
        <v>0</v>
      </c>
      <c r="AE29">
        <v>648000</v>
      </c>
      <c r="AF29">
        <v>200000</v>
      </c>
      <c r="AG29">
        <v>10000</v>
      </c>
      <c r="AH29">
        <v>1</v>
      </c>
      <c r="AI29">
        <v>1</v>
      </c>
      <c r="AJ29" t="s">
        <v>79</v>
      </c>
      <c r="AK29" t="s">
        <v>137</v>
      </c>
      <c r="AL29">
        <v>0</v>
      </c>
      <c r="AM29" t="s">
        <v>137</v>
      </c>
      <c r="AN29">
        <v>0</v>
      </c>
      <c r="AP29">
        <v>0</v>
      </c>
    </row>
    <row r="30" spans="1:42" ht="12.75">
      <c r="A30" s="2" t="str">
        <f>HYPERLINK("https://ibp.a2mac1.com/costing(costing:projects/details/8191/process/6970073)","Process")</f>
        <v>Process</v>
      </c>
      <c r="C30">
        <v>6970073</v>
      </c>
      <c r="D30">
        <v>5381102</v>
      </c>
      <c r="E30">
        <v>5.0679999999999996</v>
      </c>
      <c r="F30">
        <v>0</v>
      </c>
      <c r="G30">
        <v>0</v>
      </c>
      <c r="H30">
        <v>0.00010136000000000001</v>
      </c>
      <c r="I30" t="s">
        <v>137</v>
      </c>
      <c r="J30">
        <v>0.17738000000000001</v>
      </c>
      <c r="K30">
        <v>5.2454813600000003</v>
      </c>
      <c r="L30">
        <v>0.84367980513555962</v>
      </c>
      <c r="M30">
        <v>2.952879317974459</v>
      </c>
      <c r="N30">
        <v>8.198360677974458</v>
      </c>
      <c r="O30" t="s">
        <v>138</v>
      </c>
      <c r="P30">
        <v>0.31472888160000001</v>
      </c>
      <c r="Q30" t="s">
        <v>138</v>
      </c>
      <c r="R30">
        <v>0.17717275907846752</v>
      </c>
      <c r="S30" t="s">
        <v>139</v>
      </c>
      <c r="T30">
        <v>0.98380328135693507</v>
      </c>
      <c r="U30">
        <v>9.674065600009861</v>
      </c>
      <c r="V30">
        <v>0</v>
      </c>
      <c r="W30">
        <v>0</v>
      </c>
      <c r="X30">
        <v>0</v>
      </c>
      <c r="Y30">
        <v>0</v>
      </c>
      <c r="Z30">
        <v>0</v>
      </c>
      <c r="AA30">
        <v>200</v>
      </c>
      <c r="AB30">
        <v>1</v>
      </c>
      <c r="AC30">
        <v>0</v>
      </c>
      <c r="AD30">
        <v>0.0019999600007999841</v>
      </c>
      <c r="AE30">
        <v>648000</v>
      </c>
      <c r="AF30">
        <v>400000</v>
      </c>
      <c r="AG30">
        <v>33333.333333333336</v>
      </c>
      <c r="AH30">
        <v>1</v>
      </c>
      <c r="AI30">
        <v>1</v>
      </c>
      <c r="AJ30" t="s">
        <v>136</v>
      </c>
      <c r="AK30" t="s">
        <v>137</v>
      </c>
      <c r="AL30">
        <v>0</v>
      </c>
      <c r="AM30" t="s">
        <v>137</v>
      </c>
      <c r="AN30">
        <v>0</v>
      </c>
    </row>
    <row r="31" spans="1:42" ht="12.75">
      <c r="A31" s="2" t="str">
        <f>HYPERLINK("https://ibp.a2mac1.com/costing(costing:projects/details/8191/process/6970074)","Process")</f>
        <v>Process</v>
      </c>
      <c r="C31">
        <v>6970074</v>
      </c>
      <c r="D31">
        <v>5381103</v>
      </c>
      <c r="E31">
        <v>9.2170000000000005</v>
      </c>
      <c r="F31">
        <v>0</v>
      </c>
      <c r="G31">
        <v>0</v>
      </c>
      <c r="H31">
        <v>0.00018433999999999999</v>
      </c>
      <c r="I31" t="s">
        <v>137</v>
      </c>
      <c r="J31">
        <v>0.32259500000000002</v>
      </c>
      <c r="K31">
        <v>9.5397793400000008</v>
      </c>
      <c r="L31">
        <v>1.0194025533602205</v>
      </c>
      <c r="M31">
        <v>3.5679089367607721</v>
      </c>
      <c r="N31">
        <v>13.107688276760772</v>
      </c>
      <c r="O31" t="s">
        <v>138</v>
      </c>
      <c r="P31">
        <v>0.57238676040000003</v>
      </c>
      <c r="Q31" t="s">
        <v>138</v>
      </c>
      <c r="R31">
        <v>0.21407453620564632</v>
      </c>
      <c r="S31" t="s">
        <v>139</v>
      </c>
      <c r="T31">
        <v>1.5729225932112927</v>
      </c>
      <c r="U31">
        <v>15.467072166577712</v>
      </c>
      <c r="V31">
        <v>0</v>
      </c>
      <c r="W31">
        <v>0</v>
      </c>
      <c r="X31">
        <v>0</v>
      </c>
      <c r="Y31">
        <v>0</v>
      </c>
      <c r="Z31">
        <v>0</v>
      </c>
      <c r="AA31">
        <v>250</v>
      </c>
      <c r="AB31">
        <v>1</v>
      </c>
      <c r="AC31">
        <v>0</v>
      </c>
      <c r="AD31">
        <v>0.0019999600007999841</v>
      </c>
      <c r="AE31">
        <v>648000</v>
      </c>
      <c r="AF31">
        <v>400000</v>
      </c>
      <c r="AG31">
        <v>33333.333333333336</v>
      </c>
      <c r="AH31">
        <v>1</v>
      </c>
      <c r="AI31">
        <v>1</v>
      </c>
      <c r="AJ31" t="s">
        <v>136</v>
      </c>
      <c r="AK31" t="s">
        <v>137</v>
      </c>
      <c r="AL31">
        <v>0</v>
      </c>
      <c r="AM31" t="s">
        <v>137</v>
      </c>
      <c r="AN31">
        <v>0</v>
      </c>
    </row>
    <row r="32" spans="1:42" ht="12.75">
      <c r="A32" s="2" t="str">
        <f>HYPERLINK("https://ibp.a2mac1.com/costing(costing:projects/details/8191/process/6970075)","Process")</f>
        <v>Process</v>
      </c>
      <c r="C32">
        <v>6970075</v>
      </c>
      <c r="D32">
        <v>5381107</v>
      </c>
      <c r="E32">
        <v>4.85</v>
      </c>
      <c r="F32">
        <v>0</v>
      </c>
      <c r="G32">
        <v>0</v>
      </c>
      <c r="H32">
        <v>9.7E-05</v>
      </c>
      <c r="I32" t="s">
        <v>137</v>
      </c>
      <c r="J32">
        <v>0.16975000000000001</v>
      </c>
      <c r="K32">
        <v>5.0198470000000004</v>
      </c>
      <c r="L32">
        <v>1.4764923124015263</v>
      </c>
      <c r="M32">
        <v>5.1677230934053417</v>
      </c>
      <c r="N32">
        <v>10.187570093405341</v>
      </c>
      <c r="O32" t="s">
        <v>138</v>
      </c>
      <c r="P32">
        <v>0.30119082000000003</v>
      </c>
      <c r="Q32" t="s">
        <v>138</v>
      </c>
      <c r="R32">
        <v>0.31006338560432051</v>
      </c>
      <c r="S32" t="s">
        <v>139</v>
      </c>
      <c r="T32">
        <v>1.2225084112086411</v>
      </c>
      <c r="U32">
        <v>12.021332710218303</v>
      </c>
      <c r="V32">
        <v>0</v>
      </c>
      <c r="W32">
        <v>0</v>
      </c>
      <c r="X32">
        <v>0</v>
      </c>
      <c r="Y32">
        <v>0</v>
      </c>
      <c r="Z32">
        <v>0</v>
      </c>
      <c r="AA32">
        <v>340</v>
      </c>
      <c r="AB32">
        <v>1</v>
      </c>
      <c r="AC32">
        <v>0</v>
      </c>
      <c r="AD32">
        <v>0.0019999600007999841</v>
      </c>
      <c r="AE32">
        <v>648000</v>
      </c>
      <c r="AF32">
        <v>200000</v>
      </c>
      <c r="AG32">
        <v>16666.666666666668</v>
      </c>
      <c r="AH32">
        <v>1</v>
      </c>
      <c r="AI32">
        <v>1</v>
      </c>
      <c r="AJ32" t="s">
        <v>136</v>
      </c>
      <c r="AK32" t="s">
        <v>137</v>
      </c>
      <c r="AL32">
        <v>0</v>
      </c>
      <c r="AM32" t="s">
        <v>137</v>
      </c>
      <c r="AN32">
        <v>0</v>
      </c>
    </row>
    <row r="33" spans="1:42" ht="12.75">
      <c r="A33" s="2" t="str">
        <f>HYPERLINK("https://ibp.a2mac1.com/costing(costing:projects/details/8191/process/6970076)","Process")</f>
        <v>Process</v>
      </c>
      <c r="C33">
        <v>6970076</v>
      </c>
      <c r="D33">
        <v>5381111</v>
      </c>
      <c r="E33">
        <v>88.26</v>
      </c>
      <c r="F33">
        <v>0</v>
      </c>
      <c r="G33">
        <v>0</v>
      </c>
      <c r="H33">
        <v>0.0017652</v>
      </c>
      <c r="I33" t="s">
        <v>137</v>
      </c>
      <c r="J33">
        <v>3.0891000000000002</v>
      </c>
      <c r="K33">
        <v>91.350865200000001</v>
      </c>
      <c r="L33">
        <v>12.829866756972118</v>
      </c>
      <c r="M33">
        <v>76.979200541832711</v>
      </c>
      <c r="N33">
        <v>168.33006574183273</v>
      </c>
      <c r="O33" t="s">
        <v>90</v>
      </c>
      <c r="P33">
        <v>0</v>
      </c>
      <c r="Q33" t="s">
        <v>90</v>
      </c>
      <c r="R33">
        <v>0</v>
      </c>
      <c r="S33" t="s">
        <v>90</v>
      </c>
      <c r="T33">
        <v>0</v>
      </c>
      <c r="U33">
        <v>168.33006574183273</v>
      </c>
      <c r="V33">
        <v>0</v>
      </c>
      <c r="W33">
        <v>0</v>
      </c>
      <c r="X33">
        <v>0</v>
      </c>
      <c r="Y33">
        <v>0</v>
      </c>
      <c r="Z33">
        <v>0</v>
      </c>
      <c r="AA33">
        <v>6500</v>
      </c>
      <c r="AB33">
        <v>1</v>
      </c>
      <c r="AC33">
        <v>0</v>
      </c>
      <c r="AD33">
        <v>0.0019999600007999841</v>
      </c>
      <c r="AE33">
        <v>6480000</v>
      </c>
      <c r="AF33">
        <v>200000</v>
      </c>
      <c r="AG33">
        <v>16666.666666666668</v>
      </c>
      <c r="AH33">
        <v>1</v>
      </c>
      <c r="AI33">
        <v>1</v>
      </c>
      <c r="AJ33" t="s">
        <v>136</v>
      </c>
      <c r="AK33" t="s">
        <v>137</v>
      </c>
      <c r="AL33">
        <v>0</v>
      </c>
      <c r="AM33" t="s">
        <v>137</v>
      </c>
      <c r="AN33">
        <v>0</v>
      </c>
    </row>
    <row r="34" spans="1:42" ht="12.75">
      <c r="A34" s="2" t="str">
        <f>HYPERLINK("https://ibp.a2mac1.com/costing(costing:projects/details/8191/process/6970064)","Assembly")</f>
        <v>Assembly</v>
      </c>
      <c r="C34">
        <v>6970064</v>
      </c>
      <c r="D34">
        <v>5381088</v>
      </c>
      <c r="E34">
        <v>0</v>
      </c>
      <c r="F34">
        <v>0</v>
      </c>
      <c r="G34">
        <v>0</v>
      </c>
      <c r="H34">
        <v>0</v>
      </c>
      <c r="I34" t="s">
        <v>137</v>
      </c>
      <c r="J34">
        <v>0</v>
      </c>
      <c r="K34">
        <v>0</v>
      </c>
      <c r="L34">
        <v>24.021982272964443</v>
      </c>
      <c r="M34">
        <v>84.076937955375556</v>
      </c>
      <c r="N34">
        <v>84.076937955375556</v>
      </c>
      <c r="O34" t="s">
        <v>90</v>
      </c>
      <c r="P34">
        <v>0</v>
      </c>
      <c r="Q34" t="s">
        <v>90</v>
      </c>
      <c r="R34">
        <v>0</v>
      </c>
      <c r="S34" t="s">
        <v>90</v>
      </c>
      <c r="T34">
        <v>0</v>
      </c>
      <c r="U34">
        <v>84.076937955375556</v>
      </c>
      <c r="V34">
        <v>0</v>
      </c>
      <c r="W34">
        <v>0</v>
      </c>
      <c r="X34">
        <v>0</v>
      </c>
      <c r="Y34">
        <v>0</v>
      </c>
      <c r="Z34">
        <v>0</v>
      </c>
      <c r="AA34">
        <v>5500</v>
      </c>
      <c r="AB34">
        <v>1</v>
      </c>
      <c r="AC34">
        <v>0</v>
      </c>
      <c r="AD34">
        <v>0</v>
      </c>
      <c r="AE34">
        <v>6480000</v>
      </c>
      <c r="AF34">
        <v>200000</v>
      </c>
      <c r="AG34">
        <v>10000</v>
      </c>
      <c r="AH34">
        <v>1</v>
      </c>
      <c r="AI34">
        <v>1</v>
      </c>
      <c r="AJ34" t="s">
        <v>79</v>
      </c>
      <c r="AK34" t="s">
        <v>137</v>
      </c>
      <c r="AL34">
        <v>0</v>
      </c>
      <c r="AM34" t="s">
        <v>137</v>
      </c>
      <c r="AN34">
        <v>0</v>
      </c>
      <c r="AP34">
        <v>0</v>
      </c>
    </row>
    <row r="35" spans="1:42" ht="12.75">
      <c r="A35" s="2" t="str">
        <f>HYPERLINK("https://ibp.a2mac1.com/costing(costing:projects/details/8191/process/6970063)","Process [2]")</f>
        <v>Process [2]</v>
      </c>
      <c r="C35">
        <v>6970063</v>
      </c>
      <c r="D35">
        <v>5381084</v>
      </c>
      <c r="E35">
        <v>8.23</v>
      </c>
      <c r="F35">
        <v>0</v>
      </c>
      <c r="G35">
        <v>0</v>
      </c>
      <c r="H35">
        <v>0.00016459999999999999</v>
      </c>
      <c r="I35" t="s">
        <v>137</v>
      </c>
      <c r="J35">
        <v>0.28804999999999997</v>
      </c>
      <c r="K35">
        <v>8.5182146000000003</v>
      </c>
      <c r="L35">
        <v>2.919103757101245</v>
      </c>
      <c r="M35">
        <v>10.216863149854358</v>
      </c>
      <c r="N35">
        <v>18.735077749854359</v>
      </c>
      <c r="O35" t="s">
        <v>138</v>
      </c>
      <c r="P35">
        <v>0.51109287599999997</v>
      </c>
      <c r="Q35" t="s">
        <v>138</v>
      </c>
      <c r="R35">
        <v>0.61301178899126152</v>
      </c>
      <c r="S35" t="s">
        <v>139</v>
      </c>
      <c r="T35">
        <v>2.2482093299825228</v>
      </c>
      <c r="U35">
        <v>22.107391744828142</v>
      </c>
      <c r="V35">
        <v>0</v>
      </c>
      <c r="W35">
        <v>0</v>
      </c>
      <c r="X35">
        <v>0</v>
      </c>
      <c r="Y35">
        <v>0</v>
      </c>
      <c r="Z35">
        <v>0</v>
      </c>
      <c r="AA35">
        <v>430</v>
      </c>
      <c r="AB35">
        <v>1</v>
      </c>
      <c r="AC35">
        <v>0</v>
      </c>
      <c r="AD35">
        <v>0.0019999600007999841</v>
      </c>
      <c r="AE35">
        <v>6480000</v>
      </c>
      <c r="AF35">
        <v>400000</v>
      </c>
      <c r="AG35">
        <v>33333.333333333336</v>
      </c>
      <c r="AH35">
        <v>1</v>
      </c>
      <c r="AI35">
        <v>1</v>
      </c>
      <c r="AJ35" t="s">
        <v>383</v>
      </c>
      <c r="AK35" t="s">
        <v>137</v>
      </c>
      <c r="AL35">
        <v>0</v>
      </c>
      <c r="AM35" t="s">
        <v>137</v>
      </c>
      <c r="AN35">
        <v>0</v>
      </c>
    </row>
    <row r="36" spans="1:42" ht="12.75">
      <c r="A36" s="2" t="str">
        <f>HYPERLINK("https://ibp.a2mac1.com/costing(costing:projects/details/8191/process/6970065)","Process [2]")</f>
        <v>Process [2]</v>
      </c>
      <c r="C36">
        <v>6970065</v>
      </c>
      <c r="D36">
        <v>5381089</v>
      </c>
      <c r="E36">
        <v>19.71</v>
      </c>
      <c r="F36">
        <v>0</v>
      </c>
      <c r="G36">
        <v>0</v>
      </c>
      <c r="H36">
        <v>0.00039419999999999999</v>
      </c>
      <c r="I36" t="s">
        <v>137</v>
      </c>
      <c r="J36">
        <v>0.68984999999999996</v>
      </c>
      <c r="K36">
        <v>20.400244199999999</v>
      </c>
      <c r="L36">
        <v>0.55373727056486921</v>
      </c>
      <c r="M36">
        <v>3.3224236233892155</v>
      </c>
      <c r="N36">
        <v>23.722667823389216</v>
      </c>
      <c r="O36" t="s">
        <v>138</v>
      </c>
      <c r="P36">
        <v>1.2240146519999999</v>
      </c>
      <c r="Q36" t="s">
        <v>138</v>
      </c>
      <c r="R36">
        <v>0.19934541740335293</v>
      </c>
      <c r="S36" t="s">
        <v>139</v>
      </c>
      <c r="T36">
        <v>2.846720138806706</v>
      </c>
      <c r="U36">
        <v>27.992748031599273</v>
      </c>
      <c r="V36">
        <v>0</v>
      </c>
      <c r="W36">
        <v>0</v>
      </c>
      <c r="X36">
        <v>0</v>
      </c>
      <c r="Y36">
        <v>0</v>
      </c>
      <c r="Z36">
        <v>0</v>
      </c>
      <c r="AA36">
        <v>235</v>
      </c>
      <c r="AB36">
        <v>1</v>
      </c>
      <c r="AC36">
        <v>0</v>
      </c>
      <c r="AD36">
        <v>0.0019999600007999841</v>
      </c>
      <c r="AE36">
        <v>648000</v>
      </c>
      <c r="AF36">
        <v>200000</v>
      </c>
      <c r="AG36">
        <v>16666.666666666668</v>
      </c>
      <c r="AH36">
        <v>1</v>
      </c>
      <c r="AI36">
        <v>1</v>
      </c>
      <c r="AJ36" t="s">
        <v>383</v>
      </c>
      <c r="AK36" t="s">
        <v>137</v>
      </c>
      <c r="AL36">
        <v>0</v>
      </c>
      <c r="AM36" t="s">
        <v>137</v>
      </c>
      <c r="AN36">
        <v>0</v>
      </c>
    </row>
    <row r="37" spans="1:42" ht="12.75">
      <c r="A37" s="2" t="str">
        <f>HYPERLINK("https://ibp.a2mac1.com/costing(costing:projects/details/8191/process/6970066)","Process")</f>
        <v>Process</v>
      </c>
      <c r="C37">
        <v>6970066</v>
      </c>
      <c r="D37">
        <v>5381090</v>
      </c>
      <c r="E37">
        <v>19.71</v>
      </c>
      <c r="F37">
        <v>0</v>
      </c>
      <c r="G37">
        <v>0</v>
      </c>
      <c r="H37">
        <v>0.00039419999999999999</v>
      </c>
      <c r="I37" t="s">
        <v>137</v>
      </c>
      <c r="J37">
        <v>0.68984999999999996</v>
      </c>
      <c r="K37">
        <v>20.400244199999999</v>
      </c>
      <c r="L37">
        <v>0.55373727056486921</v>
      </c>
      <c r="M37">
        <v>3.3224236233892155</v>
      </c>
      <c r="N37">
        <v>23.722667823389216</v>
      </c>
      <c r="O37" t="s">
        <v>138</v>
      </c>
      <c r="P37">
        <v>1.2240146519999999</v>
      </c>
      <c r="Q37" t="s">
        <v>138</v>
      </c>
      <c r="R37">
        <v>0.19934541740335293</v>
      </c>
      <c r="S37" t="s">
        <v>139</v>
      </c>
      <c r="T37">
        <v>2.846720138806706</v>
      </c>
      <c r="U37">
        <v>27.992748031599273</v>
      </c>
      <c r="V37">
        <v>0</v>
      </c>
      <c r="W37">
        <v>0</v>
      </c>
      <c r="X37">
        <v>0</v>
      </c>
      <c r="Y37">
        <v>0</v>
      </c>
      <c r="Z37">
        <v>0</v>
      </c>
      <c r="AA37">
        <v>235</v>
      </c>
      <c r="AB37">
        <v>1</v>
      </c>
      <c r="AC37">
        <v>0</v>
      </c>
      <c r="AD37">
        <v>0.0019999600007999841</v>
      </c>
      <c r="AE37">
        <v>648000</v>
      </c>
      <c r="AF37">
        <v>200000</v>
      </c>
      <c r="AG37">
        <v>16666.666666666668</v>
      </c>
      <c r="AH37">
        <v>1</v>
      </c>
      <c r="AI37">
        <v>1</v>
      </c>
      <c r="AJ37" t="s">
        <v>383</v>
      </c>
      <c r="AK37" t="s">
        <v>137</v>
      </c>
      <c r="AL37">
        <v>0</v>
      </c>
      <c r="AM37" t="s">
        <v>137</v>
      </c>
      <c r="AN37">
        <v>0</v>
      </c>
    </row>
    <row r="38" spans="1:42" ht="12.75">
      <c r="A38" s="2" t="str">
        <f>HYPERLINK("https://ibp.a2mac1.com/costing(costing:projects/details/8191/process/6970067)","Process")</f>
        <v>Process</v>
      </c>
      <c r="C38">
        <v>6970067</v>
      </c>
      <c r="D38">
        <v>5381091</v>
      </c>
      <c r="E38">
        <v>66.38</v>
      </c>
      <c r="F38">
        <v>0</v>
      </c>
      <c r="G38">
        <v>0</v>
      </c>
      <c r="H38">
        <v>0.00033189999999999999</v>
      </c>
      <c r="I38" t="s">
        <v>137</v>
      </c>
      <c r="J38">
        <v>2.3233000000000001</v>
      </c>
      <c r="K38">
        <v>68.703631900000005</v>
      </c>
      <c r="L38">
        <v>2.1970279316970305</v>
      </c>
      <c r="M38">
        <v>13.182167590182182</v>
      </c>
      <c r="N38">
        <v>81.88579949018218</v>
      </c>
      <c r="O38" t="s">
        <v>138</v>
      </c>
      <c r="P38">
        <v>4.1222179140000001</v>
      </c>
      <c r="Q38" t="s">
        <v>138</v>
      </c>
      <c r="R38">
        <v>0.79093005541093098</v>
      </c>
      <c r="S38" t="s">
        <v>139</v>
      </c>
      <c r="T38">
        <v>9.8262959388218611</v>
      </c>
      <c r="U38">
        <v>96.62524339841498</v>
      </c>
      <c r="V38">
        <v>0</v>
      </c>
      <c r="W38">
        <v>0</v>
      </c>
      <c r="X38">
        <v>0</v>
      </c>
      <c r="Y38">
        <v>0</v>
      </c>
      <c r="Z38">
        <v>0</v>
      </c>
      <c r="AA38">
        <v>1050</v>
      </c>
      <c r="AB38">
        <v>1</v>
      </c>
      <c r="AC38">
        <v>0</v>
      </c>
      <c r="AD38">
        <v>0.0004999975000124999</v>
      </c>
      <c r="AE38">
        <v>6480000</v>
      </c>
      <c r="AF38">
        <v>800000</v>
      </c>
      <c r="AG38">
        <v>66666.666666666672</v>
      </c>
      <c r="AH38">
        <v>1</v>
      </c>
      <c r="AI38">
        <v>1</v>
      </c>
      <c r="AJ38" t="s">
        <v>136</v>
      </c>
      <c r="AK38" t="s">
        <v>137</v>
      </c>
      <c r="AL38">
        <v>0</v>
      </c>
      <c r="AM38" t="s">
        <v>137</v>
      </c>
      <c r="AN38">
        <v>0</v>
      </c>
    </row>
    <row r="39" spans="1:42" ht="12.75">
      <c r="A39" s="2" t="str">
        <f>HYPERLINK("https://ibp.a2mac1.com/costing(costing:projects/details/8191/process/6970311)","Injection molding")</f>
        <v>Injection molding</v>
      </c>
      <c r="B39" t="s">
        <v>500</v>
      </c>
      <c r="C39">
        <v>6970311</v>
      </c>
      <c r="D39">
        <v>5381529</v>
      </c>
      <c r="E39">
        <v>0.34972024180964351</v>
      </c>
      <c r="F39">
        <v>0</v>
      </c>
      <c r="G39">
        <v>0</v>
      </c>
      <c r="H39">
        <v>0.0071482955266872839</v>
      </c>
      <c r="I39" t="s">
        <v>137</v>
      </c>
      <c r="J39">
        <v>0.012252220540355286</v>
      </c>
      <c r="K39">
        <v>0.36912075787668608</v>
      </c>
      <c r="L39">
        <v>0.01107852139341906</v>
      </c>
      <c r="M39">
        <v>0.066471128360514359</v>
      </c>
      <c r="N39">
        <v>0.43559188623720041</v>
      </c>
      <c r="O39" t="s">
        <v>138</v>
      </c>
      <c r="P39">
        <v>0.022147245472601162</v>
      </c>
      <c r="Q39" t="s">
        <v>138</v>
      </c>
      <c r="R39">
        <v>0.0039882677016308621</v>
      </c>
      <c r="S39" t="s">
        <v>139</v>
      </c>
      <c r="T39">
        <v>0.052271026348464047</v>
      </c>
      <c r="U39">
        <v>0.51399842575989652</v>
      </c>
      <c r="V39">
        <v>0</v>
      </c>
      <c r="W39">
        <v>0</v>
      </c>
      <c r="X39">
        <v>0</v>
      </c>
      <c r="Y39">
        <v>0</v>
      </c>
      <c r="Z39">
        <v>0</v>
      </c>
      <c r="AA39">
        <v>23.687709999999999</v>
      </c>
      <c r="AB39">
        <v>2</v>
      </c>
      <c r="AC39">
        <v>2</v>
      </c>
      <c r="AD39">
        <v>2.001136786813273</v>
      </c>
      <c r="AE39">
        <v>10800</v>
      </c>
      <c r="AF39">
        <v>200000</v>
      </c>
      <c r="AG39">
        <v>16666.666666666668</v>
      </c>
      <c r="AH39">
        <v>1</v>
      </c>
      <c r="AI39">
        <v>1</v>
      </c>
      <c r="AJ39" t="s">
        <v>136</v>
      </c>
      <c r="AK39" t="s">
        <v>137</v>
      </c>
      <c r="AL39">
        <v>0</v>
      </c>
      <c r="AM39" t="s">
        <v>137</v>
      </c>
      <c r="AN39">
        <v>0</v>
      </c>
    </row>
    <row r="40" spans="1:42" ht="12.75">
      <c r="A40" s="2" t="str">
        <f>HYPERLINK("https://ibp.a2mac1.com/costing(costing:projects/details/8191/process/6970313)","Stamping")</f>
        <v>Stamping</v>
      </c>
      <c r="C40">
        <v>6970313</v>
      </c>
      <c r="D40">
        <v>5381530</v>
      </c>
      <c r="E40">
        <v>0.14317174666666665</v>
      </c>
      <c r="F40">
        <v>0</v>
      </c>
      <c r="G40">
        <v>0</v>
      </c>
      <c r="H40">
        <v>0.00016097147733333333</v>
      </c>
      <c r="I40" t="s">
        <v>137</v>
      </c>
      <c r="J40">
        <v>0.0054173093333333335</v>
      </c>
      <c r="K40">
        <v>0.14875002747733335</v>
      </c>
      <c r="L40">
        <v>0.003840124797950237</v>
      </c>
      <c r="M40">
        <v>0.023040748787701421</v>
      </c>
      <c r="N40">
        <v>0.17179077626503475</v>
      </c>
      <c r="O40" t="s">
        <v>138</v>
      </c>
      <c r="P40">
        <v>0.0089250016486399995</v>
      </c>
      <c r="Q40" t="s">
        <v>138</v>
      </c>
      <c r="R40">
        <v>0.0013824449272620853</v>
      </c>
      <c r="S40" t="s">
        <v>139</v>
      </c>
      <c r="T40">
        <v>0.020614893151804172</v>
      </c>
      <c r="U40">
        <v>0.202713115992741</v>
      </c>
      <c r="V40">
        <v>0</v>
      </c>
      <c r="W40">
        <v>0</v>
      </c>
      <c r="X40">
        <v>0</v>
      </c>
      <c r="Y40">
        <v>0</v>
      </c>
      <c r="Z40">
        <v>0</v>
      </c>
      <c r="AA40">
        <v>0.85511000000000004</v>
      </c>
      <c r="AB40">
        <v>1</v>
      </c>
      <c r="AC40">
        <v>0</v>
      </c>
      <c r="AD40">
        <v>0.10389195236953569</v>
      </c>
      <c r="AE40">
        <v>1800</v>
      </c>
      <c r="AF40">
        <v>200000</v>
      </c>
      <c r="AG40">
        <v>16666.666666666668</v>
      </c>
      <c r="AH40">
        <v>1</v>
      </c>
      <c r="AI40">
        <v>1</v>
      </c>
      <c r="AJ40" t="s">
        <v>136</v>
      </c>
      <c r="AK40" t="s">
        <v>137</v>
      </c>
      <c r="AL40">
        <v>0</v>
      </c>
      <c r="AM40" t="s">
        <v>137</v>
      </c>
      <c r="AN40">
        <v>0</v>
      </c>
    </row>
    <row r="41" spans="1:42" ht="12.75">
      <c r="A41" s="2" t="str">
        <f>HYPERLINK("https://ibp.a2mac1.com/costing(costing:projects/details/8191/process/6970314)","Cleaning")</f>
        <v>Cleaning</v>
      </c>
      <c r="C41">
        <v>6970314</v>
      </c>
      <c r="D41">
        <v>5381530</v>
      </c>
      <c r="E41">
        <v>0</v>
      </c>
      <c r="F41">
        <v>0</v>
      </c>
      <c r="G41">
        <v>0</v>
      </c>
      <c r="H41">
        <v>0</v>
      </c>
      <c r="I41" t="s">
        <v>137</v>
      </c>
      <c r="J41">
        <v>0</v>
      </c>
      <c r="K41">
        <v>0</v>
      </c>
      <c r="L41">
        <v>0.0087243413320213445</v>
      </c>
      <c r="M41">
        <v>0.05234604799212806</v>
      </c>
      <c r="N41">
        <v>0.05234604799212806</v>
      </c>
      <c r="O41" t="s">
        <v>138</v>
      </c>
      <c r="P41">
        <v>0</v>
      </c>
      <c r="Q41" t="s">
        <v>138</v>
      </c>
      <c r="R41">
        <v>0.0031407628795276838</v>
      </c>
      <c r="S41" t="s">
        <v>139</v>
      </c>
      <c r="T41">
        <v>0.0062815257590553676</v>
      </c>
      <c r="U41">
        <v>0.061768336630711115</v>
      </c>
      <c r="V41">
        <v>0</v>
      </c>
      <c r="W41">
        <v>0</v>
      </c>
      <c r="X41">
        <v>0</v>
      </c>
      <c r="Y41">
        <v>0</v>
      </c>
      <c r="Z41">
        <v>0</v>
      </c>
      <c r="AA41">
        <v>10</v>
      </c>
      <c r="AB41">
        <v>1</v>
      </c>
      <c r="AC41">
        <v>0</v>
      </c>
      <c r="AD41">
        <v>0.10389195236953569</v>
      </c>
      <c r="AE41">
        <v>0</v>
      </c>
      <c r="AF41">
        <v>200000</v>
      </c>
      <c r="AG41">
        <v>16666.666666666668</v>
      </c>
      <c r="AH41">
        <v>1</v>
      </c>
      <c r="AI41">
        <v>1</v>
      </c>
      <c r="AJ41" t="s">
        <v>136</v>
      </c>
      <c r="AK41" t="s">
        <v>137</v>
      </c>
      <c r="AL41">
        <v>0</v>
      </c>
      <c r="AM41" t="s">
        <v>137</v>
      </c>
      <c r="AN41">
        <v>0</v>
      </c>
    </row>
    <row r="42" spans="1:42" ht="12.75">
      <c r="A42" s="2" t="str">
        <f>HYPERLINK("https://ibp.a2mac1.com/costing(costing:projects/details/8191/process/6970312)","Injection foam carrousel")</f>
        <v>Injection foam carrousel</v>
      </c>
      <c r="B42" t="s">
        <v>513</v>
      </c>
      <c r="C42">
        <v>6970312</v>
      </c>
      <c r="D42">
        <v>5381530</v>
      </c>
      <c r="E42">
        <v>0.17727255</v>
      </c>
      <c r="F42">
        <v>0</v>
      </c>
      <c r="G42">
        <v>0</v>
      </c>
      <c r="H42">
        <v>0.00018482551578947369</v>
      </c>
      <c r="I42" t="s">
        <v>137</v>
      </c>
      <c r="J42">
        <v>0.0062200894736842106</v>
      </c>
      <c r="K42">
        <v>0.18367746498947368</v>
      </c>
      <c r="L42">
        <v>0.035270999949424106</v>
      </c>
      <c r="M42">
        <v>0.21162599969654464</v>
      </c>
      <c r="N42">
        <v>0.39530346468601835</v>
      </c>
      <c r="O42" t="s">
        <v>138</v>
      </c>
      <c r="P42">
        <v>0.011020647899368421</v>
      </c>
      <c r="Q42" t="s">
        <v>138</v>
      </c>
      <c r="R42">
        <v>0.012697559981792677</v>
      </c>
      <c r="S42" t="s">
        <v>139</v>
      </c>
      <c r="T42">
        <v>0.047436415762322201</v>
      </c>
      <c r="U42">
        <v>0.46645808832950164</v>
      </c>
      <c r="V42">
        <v>0</v>
      </c>
      <c r="W42">
        <v>0</v>
      </c>
      <c r="X42">
        <v>0</v>
      </c>
      <c r="Y42">
        <v>0</v>
      </c>
      <c r="Z42">
        <v>0</v>
      </c>
      <c r="AA42">
        <v>10</v>
      </c>
      <c r="AB42">
        <v>1</v>
      </c>
      <c r="AC42">
        <v>0.10</v>
      </c>
      <c r="AD42">
        <v>0.10389195236953569</v>
      </c>
      <c r="AE42">
        <v>1800</v>
      </c>
      <c r="AF42">
        <v>200000</v>
      </c>
      <c r="AG42">
        <v>16666.666666666668</v>
      </c>
      <c r="AH42">
        <v>1</v>
      </c>
      <c r="AI42">
        <v>1</v>
      </c>
      <c r="AJ42" t="s">
        <v>136</v>
      </c>
      <c r="AK42" t="s">
        <v>137</v>
      </c>
      <c r="AL42">
        <v>0</v>
      </c>
      <c r="AM42" t="s">
        <v>137</v>
      </c>
      <c r="AN42">
        <v>0</v>
      </c>
    </row>
    <row r="43" spans="1:42" ht="12.75">
      <c r="A43" s="2" t="str">
        <f>HYPERLINK("https://ibp.a2mac1.com/costing(costing:projects/details/8191/process/6970276)","Injection molding")</f>
        <v>Injection molding</v>
      </c>
      <c r="B43" t="s">
        <v>520</v>
      </c>
      <c r="C43">
        <v>6970276</v>
      </c>
      <c r="D43">
        <v>5381295</v>
      </c>
      <c r="E43">
        <v>0.056304731286717966</v>
      </c>
      <c r="F43">
        <v>0</v>
      </c>
      <c r="G43">
        <v>0</v>
      </c>
      <c r="H43">
        <v>5.8614386082301774E-05</v>
      </c>
      <c r="I43" t="s">
        <v>137</v>
      </c>
      <c r="J43">
        <v>0.0019725995316159251</v>
      </c>
      <c r="K43">
        <v>0.058335945204416192</v>
      </c>
      <c r="L43">
        <v>0.0060964184467974993</v>
      </c>
      <c r="M43">
        <v>0.036578510680784999</v>
      </c>
      <c r="N43">
        <v>0.094914455885201185</v>
      </c>
      <c r="O43" t="s">
        <v>138</v>
      </c>
      <c r="P43">
        <v>0.0035001567122649718</v>
      </c>
      <c r="Q43" t="s">
        <v>138</v>
      </c>
      <c r="R43">
        <v>0.0021947106408471001</v>
      </c>
      <c r="S43" t="s">
        <v>139</v>
      </c>
      <c r="T43">
        <v>0.011389734706224144</v>
      </c>
      <c r="U43">
        <v>0.11199905794453741</v>
      </c>
      <c r="V43">
        <v>0</v>
      </c>
      <c r="W43">
        <v>0</v>
      </c>
      <c r="X43">
        <v>0</v>
      </c>
      <c r="Y43">
        <v>0</v>
      </c>
      <c r="Z43">
        <v>0</v>
      </c>
      <c r="AA43">
        <v>14.9031</v>
      </c>
      <c r="AB43">
        <v>1</v>
      </c>
      <c r="AC43">
        <v>0.10</v>
      </c>
      <c r="AD43">
        <v>0.10389195236953569</v>
      </c>
      <c r="AE43">
        <v>7200</v>
      </c>
      <c r="AF43">
        <v>200000</v>
      </c>
      <c r="AG43">
        <v>16666.666666666668</v>
      </c>
      <c r="AH43">
        <v>1</v>
      </c>
      <c r="AI43">
        <v>1</v>
      </c>
      <c r="AJ43" t="s">
        <v>136</v>
      </c>
      <c r="AK43" t="s">
        <v>137</v>
      </c>
      <c r="AL43">
        <v>0</v>
      </c>
      <c r="AM43" t="s">
        <v>137</v>
      </c>
      <c r="AN43">
        <v>0</v>
      </c>
    </row>
    <row r="44" spans="1:42" ht="12.75">
      <c r="A44" s="2" t="str">
        <f>HYPERLINK("https://ibp.a2mac1.com/costing(costing:projects/details/8191/process/6970277)","Injection molding")</f>
        <v>Injection molding</v>
      </c>
      <c r="B44" t="s">
        <v>529</v>
      </c>
      <c r="C44">
        <v>6970277</v>
      </c>
      <c r="D44">
        <v>5381296</v>
      </c>
      <c r="E44">
        <v>0.18604542463763066</v>
      </c>
      <c r="F44">
        <v>0</v>
      </c>
      <c r="G44">
        <v>0</v>
      </c>
      <c r="H44">
        <v>0.00019349460452961672</v>
      </c>
      <c r="I44" t="s">
        <v>137</v>
      </c>
      <c r="J44">
        <v>0.0065118376524390242</v>
      </c>
      <c r="K44">
        <v>0.19275075689459931</v>
      </c>
      <c r="L44">
        <v>0.0051535029581763758</v>
      </c>
      <c r="M44">
        <v>0.030921017749058258</v>
      </c>
      <c r="N44">
        <v>0.22367177464365756</v>
      </c>
      <c r="O44" t="s">
        <v>138</v>
      </c>
      <c r="P44">
        <v>0.011565045413675958</v>
      </c>
      <c r="Q44" t="s">
        <v>138</v>
      </c>
      <c r="R44">
        <v>0.0018552610649434954</v>
      </c>
      <c r="S44" t="s">
        <v>139</v>
      </c>
      <c r="T44">
        <v>0.026840612957238906</v>
      </c>
      <c r="U44">
        <v>0.26393269407951592</v>
      </c>
      <c r="V44">
        <v>0</v>
      </c>
      <c r="W44">
        <v>0</v>
      </c>
      <c r="X44">
        <v>0</v>
      </c>
      <c r="Y44">
        <v>0</v>
      </c>
      <c r="Z44">
        <v>0</v>
      </c>
      <c r="AA44">
        <v>14.635439999999999</v>
      </c>
      <c r="AB44">
        <v>1</v>
      </c>
      <c r="AC44">
        <v>0.10</v>
      </c>
      <c r="AD44">
        <v>0.10389195236953569</v>
      </c>
      <c r="AE44">
        <v>7200</v>
      </c>
      <c r="AF44">
        <v>200000</v>
      </c>
      <c r="AG44">
        <v>16666.666666666668</v>
      </c>
      <c r="AH44">
        <v>1</v>
      </c>
      <c r="AI44">
        <v>1</v>
      </c>
      <c r="AJ44" t="s">
        <v>136</v>
      </c>
      <c r="AK44" t="s">
        <v>137</v>
      </c>
      <c r="AL44">
        <v>0</v>
      </c>
      <c r="AM44" t="s">
        <v>137</v>
      </c>
      <c r="AN44">
        <v>0</v>
      </c>
    </row>
    <row r="45" spans="1:42" ht="12.75">
      <c r="A45" s="2" t="str">
        <f>HYPERLINK("https://ibp.a2mac1.com/costing(costing:projects/details/8191/process/6970278)","Injection molding")</f>
        <v>Injection molding</v>
      </c>
      <c r="B45" t="s">
        <v>535</v>
      </c>
      <c r="C45">
        <v>6970278</v>
      </c>
      <c r="D45">
        <v>5381297</v>
      </c>
      <c r="E45">
        <v>0.059774589854654059</v>
      </c>
      <c r="F45">
        <v>0</v>
      </c>
      <c r="G45">
        <v>0</v>
      </c>
      <c r="H45">
        <v>6.2226580388252862E-05</v>
      </c>
      <c r="I45" t="s">
        <v>137</v>
      </c>
      <c r="J45">
        <v>0.0020941637630662023</v>
      </c>
      <c r="K45">
        <v>0.061930980198108512</v>
      </c>
      <c r="L45">
        <v>0.00860498198269119</v>
      </c>
      <c r="M45">
        <v>0.05162989189614714</v>
      </c>
      <c r="N45">
        <v>0.11356087209425565</v>
      </c>
      <c r="O45" t="s">
        <v>138</v>
      </c>
      <c r="P45">
        <v>0.0037158588118865105</v>
      </c>
      <c r="Q45" t="s">
        <v>138</v>
      </c>
      <c r="R45">
        <v>0.0030977935137688284</v>
      </c>
      <c r="S45" t="s">
        <v>139</v>
      </c>
      <c r="T45">
        <v>0.013627304651310679</v>
      </c>
      <c r="U45">
        <v>0.13400182907122166</v>
      </c>
      <c r="V45">
        <v>0</v>
      </c>
      <c r="W45">
        <v>0</v>
      </c>
      <c r="X45">
        <v>0</v>
      </c>
      <c r="Y45">
        <v>0</v>
      </c>
      <c r="Z45">
        <v>0</v>
      </c>
      <c r="AA45">
        <v>16.134270000000001</v>
      </c>
      <c r="AB45">
        <v>1</v>
      </c>
      <c r="AC45">
        <v>0.10</v>
      </c>
      <c r="AD45">
        <v>0.10389195236953569</v>
      </c>
      <c r="AE45">
        <v>7200</v>
      </c>
      <c r="AF45">
        <v>200000</v>
      </c>
      <c r="AG45">
        <v>16666.666666666668</v>
      </c>
      <c r="AH45">
        <v>1</v>
      </c>
      <c r="AI45">
        <v>1</v>
      </c>
      <c r="AJ45" t="s">
        <v>136</v>
      </c>
      <c r="AK45" t="s">
        <v>137</v>
      </c>
      <c r="AL45">
        <v>0</v>
      </c>
      <c r="AM45" t="s">
        <v>137</v>
      </c>
      <c r="AN45">
        <v>0</v>
      </c>
    </row>
    <row r="46" spans="1:42" ht="12.75">
      <c r="A46" s="2" t="str">
        <f>HYPERLINK("https://ibp.a2mac1.com/costing(costing:projects/details/8191/process/6970251)","Injection molding")</f>
        <v>Injection molding</v>
      </c>
      <c r="B46" t="s">
        <v>542</v>
      </c>
      <c r="C46">
        <v>6970251</v>
      </c>
      <c r="D46">
        <v>5381265</v>
      </c>
      <c r="E46">
        <v>0.018693517084203054</v>
      </c>
      <c r="F46">
        <v>0</v>
      </c>
      <c r="G46">
        <v>0</v>
      </c>
      <c r="H46">
        <v>0.00038209622599939618</v>
      </c>
      <c r="I46" t="s">
        <v>137</v>
      </c>
      <c r="J46">
        <v>0.00065491517678642832</v>
      </c>
      <c r="K46">
        <v>0.019730528486988877</v>
      </c>
      <c r="L46">
        <v>0.0080576333388965252</v>
      </c>
      <c r="M46">
        <v>0.048345800033379148</v>
      </c>
      <c r="N46">
        <v>0.068076328520368032</v>
      </c>
      <c r="O46" t="s">
        <v>138</v>
      </c>
      <c r="P46">
        <v>0.0011838317092193328</v>
      </c>
      <c r="Q46" t="s">
        <v>138</v>
      </c>
      <c r="R46">
        <v>0.002900748002002749</v>
      </c>
      <c r="S46" t="s">
        <v>139</v>
      </c>
      <c r="T46">
        <v>0.0081691594224441635</v>
      </c>
      <c r="U46">
        <v>0.080330067654034276</v>
      </c>
      <c r="V46">
        <v>0</v>
      </c>
      <c r="W46">
        <v>0</v>
      </c>
      <c r="X46">
        <v>0</v>
      </c>
      <c r="Y46">
        <v>0</v>
      </c>
      <c r="Z46">
        <v>0</v>
      </c>
      <c r="AA46">
        <v>23.53416</v>
      </c>
      <c r="AB46">
        <v>2</v>
      </c>
      <c r="AC46">
        <v>2</v>
      </c>
      <c r="AD46">
        <v>2.001136786813273</v>
      </c>
      <c r="AE46">
        <v>7200</v>
      </c>
      <c r="AF46">
        <v>200000</v>
      </c>
      <c r="AG46">
        <v>16666.666666666668</v>
      </c>
      <c r="AH46">
        <v>1</v>
      </c>
      <c r="AI46">
        <v>1</v>
      </c>
      <c r="AJ46" t="s">
        <v>136</v>
      </c>
      <c r="AK46" t="s">
        <v>137</v>
      </c>
      <c r="AL46">
        <v>0</v>
      </c>
      <c r="AM46" t="s">
        <v>137</v>
      </c>
      <c r="AN46">
        <v>0</v>
      </c>
    </row>
    <row r="47" spans="1:42" ht="12.75">
      <c r="A47" s="2" t="str">
        <f>HYPERLINK("https://ibp.a2mac1.com/costing(costing:projects/details/8191/process/6970252)","Process")</f>
        <v>Process</v>
      </c>
      <c r="C47">
        <v>6970252</v>
      </c>
      <c r="D47">
        <v>5381267</v>
      </c>
      <c r="E47">
        <v>10.23</v>
      </c>
      <c r="F47">
        <v>0</v>
      </c>
      <c r="G47">
        <v>0</v>
      </c>
      <c r="H47">
        <v>0.00020460000000000001</v>
      </c>
      <c r="I47" t="s">
        <v>137</v>
      </c>
      <c r="J47">
        <v>0.35804999999999998</v>
      </c>
      <c r="K47">
        <v>10.588254600000001</v>
      </c>
      <c r="L47">
        <v>3.5165611010650921</v>
      </c>
      <c r="M47">
        <v>21.099366606390554</v>
      </c>
      <c r="N47">
        <v>31.687621206390553</v>
      </c>
      <c r="O47" t="s">
        <v>90</v>
      </c>
      <c r="P47">
        <v>0</v>
      </c>
      <c r="Q47" t="s">
        <v>90</v>
      </c>
      <c r="R47">
        <v>0</v>
      </c>
      <c r="S47" t="s">
        <v>90</v>
      </c>
      <c r="T47">
        <v>0</v>
      </c>
      <c r="U47">
        <v>31.687621206390553</v>
      </c>
      <c r="V47">
        <v>0</v>
      </c>
      <c r="W47">
        <v>0</v>
      </c>
      <c r="X47">
        <v>0</v>
      </c>
      <c r="Y47">
        <v>0</v>
      </c>
      <c r="Z47">
        <v>0</v>
      </c>
      <c r="AA47">
        <v>1200</v>
      </c>
      <c r="AB47">
        <v>1</v>
      </c>
      <c r="AC47">
        <v>0</v>
      </c>
      <c r="AD47">
        <v>0.0019999600007999841</v>
      </c>
      <c r="AE47">
        <v>6480000</v>
      </c>
      <c r="AF47">
        <v>200000</v>
      </c>
      <c r="AG47">
        <v>16666.666666666668</v>
      </c>
      <c r="AH47">
        <v>1</v>
      </c>
      <c r="AI47">
        <v>1</v>
      </c>
      <c r="AJ47" t="s">
        <v>136</v>
      </c>
      <c r="AK47" t="s">
        <v>137</v>
      </c>
      <c r="AL47">
        <v>0</v>
      </c>
      <c r="AM47" t="s">
        <v>137</v>
      </c>
      <c r="AN47">
        <v>0</v>
      </c>
    </row>
    <row r="48" spans="1:42" ht="12.75">
      <c r="A48" s="2" t="str">
        <f>HYPERLINK("https://ibp.a2mac1.com/costing(costing:projects/details/8191/process/6970214)","Assembly")</f>
        <v>Assembly</v>
      </c>
      <c r="C48">
        <v>6970214</v>
      </c>
      <c r="D48">
        <v>5381251</v>
      </c>
      <c r="E48">
        <v>0</v>
      </c>
      <c r="F48">
        <v>0</v>
      </c>
      <c r="G48">
        <v>0</v>
      </c>
      <c r="H48">
        <v>0</v>
      </c>
      <c r="I48" t="s">
        <v>137</v>
      </c>
      <c r="J48">
        <v>0</v>
      </c>
      <c r="K48">
        <v>0</v>
      </c>
      <c r="L48">
        <v>1.7344651387045047</v>
      </c>
      <c r="M48">
        <v>6.0706279854657668</v>
      </c>
      <c r="N48">
        <v>6.0706279854657668</v>
      </c>
      <c r="O48" t="s">
        <v>90</v>
      </c>
      <c r="P48">
        <v>0</v>
      </c>
      <c r="Q48" t="s">
        <v>90</v>
      </c>
      <c r="R48">
        <v>0</v>
      </c>
      <c r="S48" t="s">
        <v>90</v>
      </c>
      <c r="T48">
        <v>0</v>
      </c>
      <c r="U48">
        <v>6.0706279854657668</v>
      </c>
      <c r="V48">
        <v>0</v>
      </c>
      <c r="W48">
        <v>0</v>
      </c>
      <c r="X48">
        <v>0</v>
      </c>
      <c r="Y48">
        <v>0</v>
      </c>
      <c r="Z48">
        <v>0</v>
      </c>
      <c r="AA48">
        <v>360</v>
      </c>
      <c r="AB48">
        <v>1</v>
      </c>
      <c r="AC48">
        <v>0</v>
      </c>
      <c r="AD48">
        <v>0</v>
      </c>
      <c r="AE48">
        <v>648000</v>
      </c>
      <c r="AF48">
        <v>200000</v>
      </c>
      <c r="AG48">
        <v>10000</v>
      </c>
      <c r="AH48">
        <v>1</v>
      </c>
      <c r="AI48">
        <v>1</v>
      </c>
      <c r="AJ48" t="s">
        <v>79</v>
      </c>
      <c r="AK48" t="s">
        <v>137</v>
      </c>
      <c r="AL48">
        <v>0</v>
      </c>
      <c r="AM48" t="s">
        <v>137</v>
      </c>
      <c r="AN48">
        <v>0</v>
      </c>
      <c r="AP48">
        <v>0</v>
      </c>
    </row>
    <row r="49" spans="1:42" ht="12.75">
      <c r="A49" s="2" t="str">
        <f>HYPERLINK("https://ibp.a2mac1.com/costing(costing:projects/details/8191/process/6970253)","Process")</f>
        <v>Process</v>
      </c>
      <c r="C49">
        <v>6970253</v>
      </c>
      <c r="D49">
        <v>5381269</v>
      </c>
      <c r="E49">
        <v>3.77</v>
      </c>
      <c r="F49">
        <v>0</v>
      </c>
      <c r="G49">
        <v>0</v>
      </c>
      <c r="H49">
        <v>7.5400000000000003E-05</v>
      </c>
      <c r="I49" t="s">
        <v>137</v>
      </c>
      <c r="J49">
        <v>0.13195000000000001</v>
      </c>
      <c r="K49">
        <v>3.9020253999999999</v>
      </c>
      <c r="L49">
        <v>1.6873596102711192</v>
      </c>
      <c r="M49">
        <v>5.905758635948918</v>
      </c>
      <c r="N49">
        <v>9.8077840359489183</v>
      </c>
      <c r="O49" t="s">
        <v>138</v>
      </c>
      <c r="P49">
        <v>0.234121524</v>
      </c>
      <c r="Q49" t="s">
        <v>138</v>
      </c>
      <c r="R49">
        <v>0.35434551815693505</v>
      </c>
      <c r="S49" t="s">
        <v>139</v>
      </c>
      <c r="T49">
        <v>1.17693408431387</v>
      </c>
      <c r="U49">
        <v>11.573185162419723</v>
      </c>
      <c r="V49">
        <v>0</v>
      </c>
      <c r="W49">
        <v>0</v>
      </c>
      <c r="X49">
        <v>0</v>
      </c>
      <c r="Y49">
        <v>0</v>
      </c>
      <c r="Z49">
        <v>0</v>
      </c>
      <c r="AA49">
        <v>400</v>
      </c>
      <c r="AB49">
        <v>1</v>
      </c>
      <c r="AC49">
        <v>0</v>
      </c>
      <c r="AD49">
        <v>0.0019999600007999841</v>
      </c>
      <c r="AE49">
        <v>648000</v>
      </c>
      <c r="AF49">
        <v>200000</v>
      </c>
      <c r="AG49">
        <v>16666.666666666668</v>
      </c>
      <c r="AH49">
        <v>1</v>
      </c>
      <c r="AI49">
        <v>1</v>
      </c>
      <c r="AJ49" t="s">
        <v>136</v>
      </c>
      <c r="AK49" t="s">
        <v>137</v>
      </c>
      <c r="AL49">
        <v>0</v>
      </c>
      <c r="AM49" t="s">
        <v>137</v>
      </c>
      <c r="AN49">
        <v>0</v>
      </c>
    </row>
    <row r="50" spans="1:42" ht="12.75">
      <c r="A50" s="2" t="str">
        <f>HYPERLINK("https://ibp.a2mac1.com/costing(costing:projects/details/8191/process/6970217)","I-Shaft Assy")</f>
        <v>I-Shaft Assy</v>
      </c>
      <c r="C50">
        <v>6970217</v>
      </c>
      <c r="D50">
        <v>5381254</v>
      </c>
      <c r="E50">
        <v>0</v>
      </c>
      <c r="F50">
        <v>0</v>
      </c>
      <c r="G50">
        <v>0</v>
      </c>
      <c r="H50">
        <v>0</v>
      </c>
      <c r="I50" t="s">
        <v>137</v>
      </c>
      <c r="J50">
        <v>0</v>
      </c>
      <c r="K50">
        <v>0</v>
      </c>
      <c r="L50">
        <v>0.3137169827563025</v>
      </c>
      <c r="M50">
        <v>1.8823018965378151</v>
      </c>
      <c r="N50">
        <v>1.8823018965378151</v>
      </c>
      <c r="O50" t="s">
        <v>90</v>
      </c>
      <c r="P50">
        <v>0</v>
      </c>
      <c r="Q50" t="s">
        <v>90</v>
      </c>
      <c r="R50">
        <v>0</v>
      </c>
      <c r="S50" t="s">
        <v>90</v>
      </c>
      <c r="T50">
        <v>0</v>
      </c>
      <c r="U50">
        <v>1.8823018965378151</v>
      </c>
      <c r="V50">
        <v>0</v>
      </c>
      <c r="W50">
        <v>0</v>
      </c>
      <c r="X50">
        <v>0</v>
      </c>
      <c r="Y50">
        <v>0</v>
      </c>
      <c r="Z50">
        <v>0</v>
      </c>
      <c r="AA50">
        <v>45</v>
      </c>
      <c r="AB50">
        <v>1</v>
      </c>
      <c r="AC50">
        <v>0</v>
      </c>
      <c r="AD50">
        <v>0</v>
      </c>
      <c r="AE50">
        <v>648000</v>
      </c>
      <c r="AF50">
        <v>200000</v>
      </c>
      <c r="AG50">
        <v>10000</v>
      </c>
      <c r="AH50">
        <v>1</v>
      </c>
      <c r="AI50">
        <v>1</v>
      </c>
      <c r="AJ50" t="s">
        <v>79</v>
      </c>
      <c r="AK50" t="s">
        <v>137</v>
      </c>
      <c r="AL50">
        <v>0</v>
      </c>
      <c r="AM50" t="s">
        <v>137</v>
      </c>
      <c r="AN50">
        <v>0</v>
      </c>
      <c r="AP50">
        <v>0</v>
      </c>
    </row>
    <row r="51" spans="1:42" ht="12.75">
      <c r="A51" s="2" t="str">
        <f>HYPERLINK("https://ibp.a2mac1.com/costing(costing:projects/details/8191/process/6970215)","Process")</f>
        <v>Process</v>
      </c>
      <c r="C51">
        <v>6970215</v>
      </c>
      <c r="D51">
        <v>5381252</v>
      </c>
      <c r="E51">
        <v>0</v>
      </c>
      <c r="F51">
        <v>0</v>
      </c>
      <c r="G51">
        <v>0</v>
      </c>
      <c r="H51">
        <v>0</v>
      </c>
      <c r="I51" t="s">
        <v>137</v>
      </c>
      <c r="J51">
        <v>0</v>
      </c>
      <c r="K51">
        <v>0</v>
      </c>
      <c r="L51">
        <v>0.74189455442050234</v>
      </c>
      <c r="M51">
        <v>2.5966309404717585</v>
      </c>
      <c r="N51">
        <v>2.5966309404717585</v>
      </c>
      <c r="O51" t="s">
        <v>138</v>
      </c>
      <c r="P51">
        <v>0</v>
      </c>
      <c r="Q51" t="s">
        <v>138</v>
      </c>
      <c r="R51">
        <v>0.15579785642830549</v>
      </c>
      <c r="S51" t="s">
        <v>139</v>
      </c>
      <c r="T51">
        <v>0.31159571285661097</v>
      </c>
      <c r="U51">
        <v>3.064024509756675</v>
      </c>
      <c r="V51">
        <v>0</v>
      </c>
      <c r="W51">
        <v>0</v>
      </c>
      <c r="X51">
        <v>0</v>
      </c>
      <c r="Y51">
        <v>0</v>
      </c>
      <c r="Z51">
        <v>0</v>
      </c>
      <c r="AA51">
        <v>325</v>
      </c>
      <c r="AB51">
        <v>1</v>
      </c>
      <c r="AC51">
        <v>5</v>
      </c>
      <c r="AD51">
        <v>5.0007599939200489</v>
      </c>
      <c r="AE51">
        <v>216</v>
      </c>
      <c r="AF51">
        <v>200000</v>
      </c>
      <c r="AG51">
        <v>16666.666666666668</v>
      </c>
      <c r="AH51">
        <v>1</v>
      </c>
      <c r="AI51">
        <v>1</v>
      </c>
      <c r="AJ51" t="s">
        <v>136</v>
      </c>
      <c r="AK51" t="s">
        <v>137</v>
      </c>
      <c r="AL51">
        <v>0</v>
      </c>
      <c r="AM51" t="s">
        <v>137</v>
      </c>
      <c r="AN51">
        <v>0</v>
      </c>
    </row>
    <row r="52" spans="1:42" ht="12.75">
      <c r="A52" s="2" t="str">
        <f>HYPERLINK("https://ibp.a2mac1.com/costing(costing:projects/details/8191/process/6970216)","Injection molding")</f>
        <v>Injection molding</v>
      </c>
      <c r="B52" t="s">
        <v>583</v>
      </c>
      <c r="C52">
        <v>6970216</v>
      </c>
      <c r="D52">
        <v>5381253</v>
      </c>
      <c r="E52">
        <v>0.05841724088813454</v>
      </c>
      <c r="F52">
        <v>0</v>
      </c>
      <c r="G52">
        <v>0</v>
      </c>
      <c r="H52">
        <v>6.0813552130168342E-05</v>
      </c>
      <c r="I52" t="s">
        <v>137</v>
      </c>
      <c r="J52">
        <v>0.0020466099274575886</v>
      </c>
      <c r="K52">
        <v>0.060524664367722296</v>
      </c>
      <c r="L52">
        <v>0.0046806761954951088</v>
      </c>
      <c r="M52">
        <v>0.028084057172970654</v>
      </c>
      <c r="N52">
        <v>0.08860872154069295</v>
      </c>
      <c r="O52" t="s">
        <v>138</v>
      </c>
      <c r="P52">
        <v>0.0036314798620633378</v>
      </c>
      <c r="Q52" t="s">
        <v>138</v>
      </c>
      <c r="R52">
        <v>0.0016850434303782391</v>
      </c>
      <c r="S52" t="s">
        <v>139</v>
      </c>
      <c r="T52">
        <v>0.010633046584883154</v>
      </c>
      <c r="U52">
        <v>0.10455829141801769</v>
      </c>
      <c r="V52">
        <v>0</v>
      </c>
      <c r="W52">
        <v>0</v>
      </c>
      <c r="X52">
        <v>0</v>
      </c>
      <c r="Y52">
        <v>0</v>
      </c>
      <c r="Z52">
        <v>0</v>
      </c>
      <c r="AA52">
        <v>13.078150000000001</v>
      </c>
      <c r="AB52">
        <v>1</v>
      </c>
      <c r="AC52">
        <v>0.10</v>
      </c>
      <c r="AD52">
        <v>0.10389195236953569</v>
      </c>
      <c r="AE52">
        <v>7200</v>
      </c>
      <c r="AF52">
        <v>200000</v>
      </c>
      <c r="AG52">
        <v>16666.666666666668</v>
      </c>
      <c r="AH52">
        <v>1</v>
      </c>
      <c r="AI52">
        <v>1</v>
      </c>
      <c r="AJ52" t="s">
        <v>136</v>
      </c>
      <c r="AK52" t="s">
        <v>137</v>
      </c>
      <c r="AL52">
        <v>0</v>
      </c>
      <c r="AM52" t="s">
        <v>137</v>
      </c>
      <c r="AN52">
        <v>0</v>
      </c>
    </row>
    <row r="53" spans="1:42" ht="12.75">
      <c r="A53" s="2" t="str">
        <f>HYPERLINK("https://ibp.a2mac1.com/costing(costing:projects/details/8191/process/6970218)","Process")</f>
        <v>Process</v>
      </c>
      <c r="C53">
        <v>6970218</v>
      </c>
      <c r="D53">
        <v>5381255</v>
      </c>
      <c r="E53">
        <v>46.30</v>
      </c>
      <c r="F53">
        <v>0</v>
      </c>
      <c r="G53">
        <v>0</v>
      </c>
      <c r="H53">
        <v>0.00092599999999999996</v>
      </c>
      <c r="I53" t="s">
        <v>90</v>
      </c>
      <c r="J53">
        <v>0</v>
      </c>
      <c r="K53">
        <v>46.300925999999997</v>
      </c>
      <c r="L53">
        <v>0</v>
      </c>
      <c r="M53">
        <v>49.212900185764418</v>
      </c>
      <c r="N53">
        <v>95.513826185764415</v>
      </c>
      <c r="O53" t="s">
        <v>90</v>
      </c>
      <c r="P53">
        <v>0</v>
      </c>
      <c r="Q53" t="s">
        <v>90</v>
      </c>
      <c r="R53">
        <v>0</v>
      </c>
      <c r="S53" t="s">
        <v>90</v>
      </c>
      <c r="T53">
        <v>0</v>
      </c>
      <c r="U53">
        <v>95.513826185764415</v>
      </c>
      <c r="V53">
        <v>0</v>
      </c>
      <c r="W53">
        <v>0</v>
      </c>
      <c r="X53">
        <v>0</v>
      </c>
      <c r="Y53">
        <v>0</v>
      </c>
      <c r="Z53">
        <v>0</v>
      </c>
      <c r="AA53">
        <v>4800</v>
      </c>
      <c r="AB53">
        <v>1</v>
      </c>
      <c r="AC53">
        <v>0</v>
      </c>
      <c r="AD53">
        <v>0.0019999600007999841</v>
      </c>
      <c r="AE53">
        <v>6480000</v>
      </c>
      <c r="AF53">
        <v>200000</v>
      </c>
      <c r="AG53">
        <v>16666.666666666668</v>
      </c>
      <c r="AH53">
        <v>1</v>
      </c>
      <c r="AI53">
        <v>1</v>
      </c>
      <c r="AJ53" t="s">
        <v>136</v>
      </c>
      <c r="AK53" t="s">
        <v>90</v>
      </c>
      <c r="AL53">
        <v>0</v>
      </c>
      <c r="AM53" t="s">
        <v>90</v>
      </c>
      <c r="AN53">
        <v>0</v>
      </c>
    </row>
    <row r="54" spans="1:42" ht="12.75">
      <c r="A54" s="2" t="str">
        <f>HYPERLINK("https://ibp.a2mac1.com/costing(costing:projects/details/8191/process/6970219)","Process")</f>
        <v>Process</v>
      </c>
      <c r="C54">
        <v>6970219</v>
      </c>
      <c r="D54">
        <v>5381257</v>
      </c>
      <c r="E54">
        <v>42.90</v>
      </c>
      <c r="F54">
        <v>0</v>
      </c>
      <c r="G54">
        <v>0</v>
      </c>
      <c r="H54">
        <v>0.00085800000000000004</v>
      </c>
      <c r="I54" t="s">
        <v>137</v>
      </c>
      <c r="J54">
        <v>1.5015000000000001</v>
      </c>
      <c r="K54">
        <v>44.402358</v>
      </c>
      <c r="L54">
        <v>0.63866407478184783</v>
      </c>
      <c r="M54">
        <v>3.8319844486910868</v>
      </c>
      <c r="N54">
        <v>48.234342448691088</v>
      </c>
      <c r="O54" t="s">
        <v>138</v>
      </c>
      <c r="P54">
        <v>2.6641414800000001</v>
      </c>
      <c r="Q54" t="s">
        <v>138</v>
      </c>
      <c r="R54">
        <v>0.22991906692146521</v>
      </c>
      <c r="S54" t="s">
        <v>139</v>
      </c>
      <c r="T54">
        <v>5.7881210938429302</v>
      </c>
      <c r="U54">
        <v>56.916524089455486</v>
      </c>
      <c r="V54">
        <v>0</v>
      </c>
      <c r="W54">
        <v>0</v>
      </c>
      <c r="X54">
        <v>0</v>
      </c>
      <c r="Y54">
        <v>0</v>
      </c>
      <c r="Z54">
        <v>0</v>
      </c>
      <c r="AA54">
        <v>283.33</v>
      </c>
      <c r="AB54">
        <v>1</v>
      </c>
      <c r="AC54">
        <v>0</v>
      </c>
      <c r="AD54">
        <v>0.0019999600007999841</v>
      </c>
      <c r="AE54">
        <v>648000</v>
      </c>
      <c r="AF54">
        <v>200000</v>
      </c>
      <c r="AG54">
        <v>16666.666666666668</v>
      </c>
      <c r="AH54">
        <v>1</v>
      </c>
      <c r="AI54">
        <v>1</v>
      </c>
      <c r="AJ54" t="s">
        <v>136</v>
      </c>
      <c r="AK54" t="s">
        <v>137</v>
      </c>
      <c r="AL54">
        <v>0</v>
      </c>
      <c r="AM54" t="s">
        <v>137</v>
      </c>
      <c r="AN54">
        <v>0</v>
      </c>
    </row>
    <row r="55" spans="1:42" ht="12.75">
      <c r="A55" s="2" t="str">
        <f>HYPERLINK("https://ibp.a2mac1.com/costing(costing:projects/details/8191/process/6970086)","Final Assy")</f>
        <v>Final Assy</v>
      </c>
      <c r="C55">
        <v>6970086</v>
      </c>
      <c r="D55">
        <v>5381172</v>
      </c>
      <c r="E55">
        <v>5.49</v>
      </c>
      <c r="F55">
        <v>0</v>
      </c>
      <c r="G55">
        <v>0</v>
      </c>
      <c r="H55">
        <v>0</v>
      </c>
      <c r="I55" t="s">
        <v>74</v>
      </c>
      <c r="J55">
        <v>0</v>
      </c>
      <c r="K55">
        <v>5.49</v>
      </c>
      <c r="L55">
        <v>0</v>
      </c>
      <c r="M55">
        <v>0</v>
      </c>
      <c r="N55">
        <v>5.49</v>
      </c>
      <c r="O55" t="s">
        <v>74</v>
      </c>
      <c r="P55">
        <v>0</v>
      </c>
      <c r="Q55" t="s">
        <v>74</v>
      </c>
      <c r="R55">
        <v>0</v>
      </c>
      <c r="S55" t="s">
        <v>74</v>
      </c>
      <c r="T55">
        <v>0</v>
      </c>
      <c r="U55">
        <v>5.49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200000</v>
      </c>
      <c r="AG55">
        <v>10000</v>
      </c>
      <c r="AH55">
        <v>1</v>
      </c>
      <c r="AI55">
        <v>1</v>
      </c>
      <c r="AJ55" t="s">
        <v>79</v>
      </c>
      <c r="AK55" t="s">
        <v>74</v>
      </c>
      <c r="AL55">
        <v>0</v>
      </c>
      <c r="AM55" t="s">
        <v>74</v>
      </c>
      <c r="AN55">
        <v>0</v>
      </c>
      <c r="AO55">
        <v>5.49</v>
      </c>
      <c r="AP55">
        <v>0</v>
      </c>
    </row>
    <row r="56" spans="1:42" ht="12.75">
      <c r="A56" s="2" t="str">
        <f>HYPERLINK("https://ibp.a2mac1.com/costing(costing:projects/details/8191/process/6970254)","Process")</f>
        <v>Process</v>
      </c>
      <c r="C56">
        <v>6970254</v>
      </c>
      <c r="D56">
        <v>5381271</v>
      </c>
      <c r="E56">
        <v>0</v>
      </c>
      <c r="F56">
        <v>0</v>
      </c>
      <c r="G56">
        <v>0</v>
      </c>
      <c r="H56">
        <v>0</v>
      </c>
      <c r="I56" t="s">
        <v>137</v>
      </c>
      <c r="J56">
        <v>0</v>
      </c>
      <c r="K56">
        <v>0</v>
      </c>
      <c r="L56">
        <v>0.18721322742375354</v>
      </c>
      <c r="M56">
        <v>1.1232793645425212</v>
      </c>
      <c r="N56">
        <v>1.1232793645425212</v>
      </c>
      <c r="O56" t="s">
        <v>90</v>
      </c>
      <c r="P56">
        <v>0</v>
      </c>
      <c r="Q56" t="s">
        <v>90</v>
      </c>
      <c r="R56">
        <v>0</v>
      </c>
      <c r="S56" t="s">
        <v>90</v>
      </c>
      <c r="T56">
        <v>0</v>
      </c>
      <c r="U56">
        <v>1.1232793645425212</v>
      </c>
      <c r="V56">
        <v>0</v>
      </c>
      <c r="W56">
        <v>0</v>
      </c>
      <c r="X56">
        <v>0</v>
      </c>
      <c r="Y56">
        <v>0</v>
      </c>
      <c r="Z56">
        <v>0</v>
      </c>
      <c r="AA56">
        <v>164</v>
      </c>
      <c r="AB56">
        <v>1</v>
      </c>
      <c r="AC56">
        <v>5</v>
      </c>
      <c r="AD56">
        <v>5.0061745986510875</v>
      </c>
      <c r="AE56">
        <v>216</v>
      </c>
      <c r="AF56">
        <v>200000</v>
      </c>
      <c r="AG56">
        <v>10000</v>
      </c>
      <c r="AH56">
        <v>1</v>
      </c>
      <c r="AI56">
        <v>1</v>
      </c>
      <c r="AJ56" t="s">
        <v>79</v>
      </c>
      <c r="AK56" t="s">
        <v>137</v>
      </c>
      <c r="AL56">
        <v>0</v>
      </c>
      <c r="AM56" t="s">
        <v>137</v>
      </c>
      <c r="AN56">
        <v>0</v>
      </c>
      <c r="AP56">
        <v>0</v>
      </c>
    </row>
    <row r="57" spans="1:42" ht="12.75">
      <c r="A57" s="2" t="str">
        <f>HYPERLINK("https://ibp.a2mac1.com/costing(costing:projects/details/8191/process/6970255)","Process")</f>
        <v>Process</v>
      </c>
      <c r="C57">
        <v>6970255</v>
      </c>
      <c r="D57">
        <v>5381272</v>
      </c>
      <c r="E57">
        <v>0</v>
      </c>
      <c r="F57">
        <v>0</v>
      </c>
      <c r="G57">
        <v>0</v>
      </c>
      <c r="H57">
        <v>0</v>
      </c>
      <c r="I57" t="s">
        <v>137</v>
      </c>
      <c r="J57">
        <v>0</v>
      </c>
      <c r="K57">
        <v>0</v>
      </c>
      <c r="L57">
        <v>0.18721322742375354</v>
      </c>
      <c r="M57">
        <v>1.1232793645425212</v>
      </c>
      <c r="N57">
        <v>1.1232793645425212</v>
      </c>
      <c r="O57" t="s">
        <v>90</v>
      </c>
      <c r="P57">
        <v>0</v>
      </c>
      <c r="Q57" t="s">
        <v>90</v>
      </c>
      <c r="R57">
        <v>0</v>
      </c>
      <c r="S57" t="s">
        <v>90</v>
      </c>
      <c r="T57">
        <v>0</v>
      </c>
      <c r="U57">
        <v>1.1232793645425212</v>
      </c>
      <c r="V57">
        <v>0</v>
      </c>
      <c r="W57">
        <v>0</v>
      </c>
      <c r="X57">
        <v>0</v>
      </c>
      <c r="Y57">
        <v>0</v>
      </c>
      <c r="Z57">
        <v>0</v>
      </c>
      <c r="AA57">
        <v>164</v>
      </c>
      <c r="AB57">
        <v>1</v>
      </c>
      <c r="AC57">
        <v>5</v>
      </c>
      <c r="AD57">
        <v>5.0061745986510875</v>
      </c>
      <c r="AE57">
        <v>216</v>
      </c>
      <c r="AF57">
        <v>200000</v>
      </c>
      <c r="AG57">
        <v>10000</v>
      </c>
      <c r="AH57">
        <v>1</v>
      </c>
      <c r="AI57">
        <v>1</v>
      </c>
      <c r="AJ57" t="s">
        <v>79</v>
      </c>
      <c r="AK57" t="s">
        <v>137</v>
      </c>
      <c r="AL57">
        <v>0</v>
      </c>
      <c r="AM57" t="s">
        <v>137</v>
      </c>
      <c r="AN57">
        <v>0</v>
      </c>
      <c r="AP57">
        <v>0</v>
      </c>
    </row>
    <row r="58" spans="1:42" ht="12.75">
      <c r="A58" s="2" t="str">
        <f>HYPERLINK("https://ibp.a2mac1.com/costing(costing:projects/details/8191/process/6970256)","Injection molding")</f>
        <v>Injection molding</v>
      </c>
      <c r="B58" t="s">
        <v>611</v>
      </c>
      <c r="C58">
        <v>6970256</v>
      </c>
      <c r="D58">
        <v>5381273</v>
      </c>
      <c r="E58">
        <v>0.14969133120994452</v>
      </c>
      <c r="F58">
        <v>0</v>
      </c>
      <c r="G58">
        <v>0</v>
      </c>
      <c r="H58">
        <v>0.0046534345528464012</v>
      </c>
      <c r="I58" t="s">
        <v>137</v>
      </c>
      <c r="J58">
        <v>0.005257269507734798</v>
      </c>
      <c r="K58">
        <v>0.15960203527052572</v>
      </c>
      <c r="L58">
        <v>0.018166592727277373</v>
      </c>
      <c r="M58">
        <v>0.10899955636366424</v>
      </c>
      <c r="N58">
        <v>0.26860159163418995</v>
      </c>
      <c r="O58" t="s">
        <v>138</v>
      </c>
      <c r="P58">
        <v>0.0095761221162315429</v>
      </c>
      <c r="Q58" t="s">
        <v>138</v>
      </c>
      <c r="R58">
        <v>0.0065399733818198537</v>
      </c>
      <c r="S58" t="s">
        <v>139</v>
      </c>
      <c r="T58">
        <v>0.032232190996102791</v>
      </c>
      <c r="U58">
        <v>0.31694987812834413</v>
      </c>
      <c r="V58">
        <v>0</v>
      </c>
      <c r="W58">
        <v>0</v>
      </c>
      <c r="X58">
        <v>0</v>
      </c>
      <c r="Y58">
        <v>0</v>
      </c>
      <c r="Z58">
        <v>0</v>
      </c>
      <c r="AA58">
        <v>20.301929999999999</v>
      </c>
      <c r="AB58">
        <v>1</v>
      </c>
      <c r="AC58">
        <v>0</v>
      </c>
      <c r="AD58">
        <v>3.0049079516576462</v>
      </c>
      <c r="AE58">
        <v>10800</v>
      </c>
      <c r="AF58">
        <v>200000</v>
      </c>
      <c r="AG58">
        <v>16666.666666666668</v>
      </c>
      <c r="AH58">
        <v>1</v>
      </c>
      <c r="AI58">
        <v>1</v>
      </c>
      <c r="AJ58" t="s">
        <v>136</v>
      </c>
      <c r="AK58" t="s">
        <v>137</v>
      </c>
      <c r="AL58">
        <v>0</v>
      </c>
      <c r="AM58" t="s">
        <v>137</v>
      </c>
      <c r="AN58">
        <v>0</v>
      </c>
    </row>
    <row r="59" spans="1:42" ht="12.75">
      <c r="A59" s="2" t="str">
        <f>HYPERLINK("https://ibp.a2mac1.com/costing(costing:projects/details/8191/process/6970257)","Chroming line - Small Parts")</f>
        <v>Chroming line - Small Parts</v>
      </c>
      <c r="C59">
        <v>6970257</v>
      </c>
      <c r="D59">
        <v>5381273</v>
      </c>
      <c r="E59">
        <v>0.99740256000000005</v>
      </c>
      <c r="F59">
        <v>0</v>
      </c>
      <c r="G59">
        <v>0</v>
      </c>
      <c r="H59">
        <v>0.0308995313088</v>
      </c>
      <c r="I59" t="s">
        <v>137</v>
      </c>
      <c r="J59">
        <v>0.034909089599999998</v>
      </c>
      <c r="K59">
        <v>1.0632111809088001</v>
      </c>
      <c r="L59">
        <v>0.1120907926620465</v>
      </c>
      <c r="M59">
        <v>0.67254475597227903</v>
      </c>
      <c r="N59">
        <v>1.7357559368810791</v>
      </c>
      <c r="O59" t="s">
        <v>138</v>
      </c>
      <c r="P59">
        <v>0.063792670854528</v>
      </c>
      <c r="Q59" t="s">
        <v>138</v>
      </c>
      <c r="R59">
        <v>0.040352685358336741</v>
      </c>
      <c r="S59" t="s">
        <v>139</v>
      </c>
      <c r="T59">
        <v>0.20829071242572947</v>
      </c>
      <c r="U59">
        <v>2.0481920055196734</v>
      </c>
      <c r="V59">
        <v>0</v>
      </c>
      <c r="W59">
        <v>0</v>
      </c>
      <c r="X59">
        <v>0</v>
      </c>
      <c r="Y59">
        <v>0</v>
      </c>
      <c r="Z59">
        <v>0</v>
      </c>
      <c r="AA59">
        <v>300</v>
      </c>
      <c r="AB59">
        <v>48</v>
      </c>
      <c r="AC59">
        <v>3</v>
      </c>
      <c r="AD59">
        <v>3.0049079516576462</v>
      </c>
      <c r="AE59">
        <v>0</v>
      </c>
      <c r="AF59">
        <v>200000</v>
      </c>
      <c r="AG59">
        <v>16666.666666666668</v>
      </c>
      <c r="AH59">
        <v>1</v>
      </c>
      <c r="AI59">
        <v>1</v>
      </c>
      <c r="AJ59" t="s">
        <v>136</v>
      </c>
      <c r="AK59" t="s">
        <v>137</v>
      </c>
      <c r="AL59">
        <v>0</v>
      </c>
      <c r="AM59" t="s">
        <v>137</v>
      </c>
      <c r="AN59">
        <v>0</v>
      </c>
    </row>
    <row r="60" spans="1:42" ht="12.75">
      <c r="A60" s="2" t="str">
        <f>HYPERLINK("https://ibp.a2mac1.com/costing(costing:projects/details/8191/process/6970258)","Chroming line - Load and Unload parts to and from jig")</f>
        <v>Chroming line - Load and Unload parts to and from jig</v>
      </c>
      <c r="C60">
        <v>6970258</v>
      </c>
      <c r="D60">
        <v>5381273</v>
      </c>
      <c r="E60">
        <v>0</v>
      </c>
      <c r="F60">
        <v>0</v>
      </c>
      <c r="G60">
        <v>0</v>
      </c>
      <c r="H60">
        <v>0</v>
      </c>
      <c r="I60" t="s">
        <v>137</v>
      </c>
      <c r="J60">
        <v>0</v>
      </c>
      <c r="K60">
        <v>0</v>
      </c>
      <c r="L60">
        <v>0.0027924848727173658</v>
      </c>
      <c r="M60">
        <v>0.016754909236304197</v>
      </c>
      <c r="N60">
        <v>0.016754909236304197</v>
      </c>
      <c r="O60" t="s">
        <v>138</v>
      </c>
      <c r="P60">
        <v>0</v>
      </c>
      <c r="Q60" t="s">
        <v>138</v>
      </c>
      <c r="R60">
        <v>0.0010052945541782518</v>
      </c>
      <c r="S60" t="s">
        <v>139</v>
      </c>
      <c r="T60">
        <v>0.0020105891083565036</v>
      </c>
      <c r="U60">
        <v>0.01977079289883895</v>
      </c>
      <c r="V60">
        <v>0</v>
      </c>
      <c r="W60">
        <v>0</v>
      </c>
      <c r="X60">
        <v>0</v>
      </c>
      <c r="Y60">
        <v>0</v>
      </c>
      <c r="Z60">
        <v>0</v>
      </c>
      <c r="AA60">
        <v>115</v>
      </c>
      <c r="AB60">
        <v>48</v>
      </c>
      <c r="AC60">
        <v>0</v>
      </c>
      <c r="AD60">
        <v>0.0019999600007999841</v>
      </c>
      <c r="AE60">
        <v>0</v>
      </c>
      <c r="AF60">
        <v>200000</v>
      </c>
      <c r="AG60">
        <v>16666.666666666668</v>
      </c>
      <c r="AH60">
        <v>1</v>
      </c>
      <c r="AI60">
        <v>1</v>
      </c>
      <c r="AJ60" t="s">
        <v>136</v>
      </c>
      <c r="AK60" t="s">
        <v>137</v>
      </c>
      <c r="AL60">
        <v>0</v>
      </c>
      <c r="AM60" t="s">
        <v>137</v>
      </c>
      <c r="AN60">
        <v>0</v>
      </c>
    </row>
    <row r="61" spans="1:42" ht="12.75">
      <c r="A61" s="2" t="str">
        <f>HYPERLINK("https://ibp.a2mac1.com/costing(costing:projects/details/8191/process/6970259)","Painting")</f>
        <v>Painting</v>
      </c>
      <c r="B61" t="s">
        <v>626</v>
      </c>
      <c r="C61">
        <v>6970259</v>
      </c>
      <c r="D61">
        <v>5381274</v>
      </c>
      <c r="E61">
        <v>0.11989122448979592</v>
      </c>
      <c r="F61">
        <v>0</v>
      </c>
      <c r="G61">
        <v>0</v>
      </c>
      <c r="H61">
        <v>0.0025776613265306122</v>
      </c>
      <c r="I61" t="s">
        <v>137</v>
      </c>
      <c r="J61">
        <v>0.0041961928571428572</v>
      </c>
      <c r="K61">
        <v>0.12666507867346938</v>
      </c>
      <c r="L61">
        <v>0.045123664046866227</v>
      </c>
      <c r="M61">
        <v>0.27074198428119739</v>
      </c>
      <c r="N61">
        <v>0.39740706295466677</v>
      </c>
      <c r="O61" t="s">
        <v>138</v>
      </c>
      <c r="P61">
        <v>0.007599904720408163</v>
      </c>
      <c r="Q61" t="s">
        <v>138</v>
      </c>
      <c r="R61">
        <v>0.016244519056871843</v>
      </c>
      <c r="S61" t="s">
        <v>139</v>
      </c>
      <c r="T61">
        <v>0.047688847554560009</v>
      </c>
      <c r="U61">
        <v>0.46894033428650678</v>
      </c>
      <c r="V61">
        <v>0</v>
      </c>
      <c r="W61">
        <v>0</v>
      </c>
      <c r="X61">
        <v>0</v>
      </c>
      <c r="Y61">
        <v>0</v>
      </c>
      <c r="Z61">
        <v>0</v>
      </c>
      <c r="AA61">
        <v>94</v>
      </c>
      <c r="AB61">
        <v>72</v>
      </c>
      <c r="AC61">
        <v>2</v>
      </c>
      <c r="AD61">
        <v>2.1047479197258934</v>
      </c>
      <c r="AE61">
        <v>0</v>
      </c>
      <c r="AF61">
        <v>200000</v>
      </c>
      <c r="AG61">
        <v>16666.666666666668</v>
      </c>
      <c r="AH61">
        <v>1</v>
      </c>
      <c r="AI61">
        <v>1</v>
      </c>
      <c r="AJ61" t="s">
        <v>136</v>
      </c>
      <c r="AK61" t="s">
        <v>137</v>
      </c>
      <c r="AL61">
        <v>0</v>
      </c>
      <c r="AM61" t="s">
        <v>137</v>
      </c>
      <c r="AN61">
        <v>0</v>
      </c>
    </row>
    <row r="62" spans="1:42" ht="12.75">
      <c r="A62" s="2" t="str">
        <f>HYPERLINK("https://ibp.a2mac1.com/costing(costing:projects/details/8191/process/6970260)","Loading + Unloading + Retouching + Checking")</f>
        <v>Loading + Unloading + Retouching + Checking</v>
      </c>
      <c r="B62" t="s">
        <v>628</v>
      </c>
      <c r="C62">
        <v>6970260</v>
      </c>
      <c r="D62">
        <v>5381274</v>
      </c>
      <c r="E62">
        <v>0</v>
      </c>
      <c r="F62">
        <v>0</v>
      </c>
      <c r="G62">
        <v>0</v>
      </c>
      <c r="H62">
        <v>0</v>
      </c>
      <c r="I62" t="s">
        <v>137</v>
      </c>
      <c r="J62">
        <v>0</v>
      </c>
      <c r="K62">
        <v>0</v>
      </c>
      <c r="L62">
        <v>0.0084005573006609244</v>
      </c>
      <c r="M62">
        <v>0.050403343803965543</v>
      </c>
      <c r="N62">
        <v>0.050403343803965543</v>
      </c>
      <c r="O62" t="s">
        <v>138</v>
      </c>
      <c r="P62">
        <v>0</v>
      </c>
      <c r="Q62" t="s">
        <v>138</v>
      </c>
      <c r="R62">
        <v>0.0030242006282379325</v>
      </c>
      <c r="S62" t="s">
        <v>139</v>
      </c>
      <c r="T62">
        <v>0.006048401256475865</v>
      </c>
      <c r="U62">
        <v>0.059475945688679338</v>
      </c>
      <c r="V62">
        <v>0</v>
      </c>
      <c r="W62">
        <v>0</v>
      </c>
      <c r="X62">
        <v>0</v>
      </c>
      <c r="Y62">
        <v>0</v>
      </c>
      <c r="Z62">
        <v>0</v>
      </c>
      <c r="AA62">
        <v>94</v>
      </c>
      <c r="AB62">
        <v>72</v>
      </c>
      <c r="AC62">
        <v>0.10</v>
      </c>
      <c r="AD62">
        <v>0.10389195236953569</v>
      </c>
      <c r="AE62">
        <v>0</v>
      </c>
      <c r="AF62">
        <v>200000</v>
      </c>
      <c r="AG62">
        <v>16666.666666666668</v>
      </c>
      <c r="AH62">
        <v>1</v>
      </c>
      <c r="AI62">
        <v>1</v>
      </c>
      <c r="AJ62" t="s">
        <v>136</v>
      </c>
      <c r="AK62" t="s">
        <v>137</v>
      </c>
      <c r="AL62">
        <v>0</v>
      </c>
      <c r="AM62" t="s">
        <v>137</v>
      </c>
      <c r="AN62">
        <v>0</v>
      </c>
    </row>
    <row r="63" spans="1:42" ht="12.75">
      <c r="A63" s="2" t="str">
        <f>HYPERLINK("https://ibp.a2mac1.com/costing(costing:projects/details/8191/process/6970261)","Injection molding")</f>
        <v>Injection molding</v>
      </c>
      <c r="B63" t="s">
        <v>632</v>
      </c>
      <c r="C63">
        <v>6970261</v>
      </c>
      <c r="D63">
        <v>5381274</v>
      </c>
      <c r="E63">
        <v>0.039459107619167509</v>
      </c>
      <c r="F63">
        <v>0</v>
      </c>
      <c r="G63">
        <v>0</v>
      </c>
      <c r="H63">
        <v>7.9451089724563184E-07</v>
      </c>
      <c r="I63" t="s">
        <v>137</v>
      </c>
      <c r="J63">
        <v>0.0013903940701798557</v>
      </c>
      <c r="K63">
        <v>0.040850296200244614</v>
      </c>
      <c r="L63">
        <v>0.0064762517973312415</v>
      </c>
      <c r="M63">
        <v>0.038857510783987449</v>
      </c>
      <c r="N63">
        <v>0.079707806984232063</v>
      </c>
      <c r="O63" t="s">
        <v>138</v>
      </c>
      <c r="P63">
        <v>0.0024510177720146768</v>
      </c>
      <c r="Q63" t="s">
        <v>138</v>
      </c>
      <c r="R63">
        <v>0.0023314506470392469</v>
      </c>
      <c r="S63" t="s">
        <v>139</v>
      </c>
      <c r="T63">
        <v>0.0095649368381078483</v>
      </c>
      <c r="U63">
        <v>0.094055212241393835</v>
      </c>
      <c r="V63">
        <v>0</v>
      </c>
      <c r="W63">
        <v>0</v>
      </c>
      <c r="X63">
        <v>0</v>
      </c>
      <c r="Y63">
        <v>0</v>
      </c>
      <c r="Z63">
        <v>0</v>
      </c>
      <c r="AA63">
        <v>15.97711</v>
      </c>
      <c r="AB63">
        <v>1</v>
      </c>
      <c r="AC63">
        <v>0</v>
      </c>
      <c r="AD63">
        <v>0.0019999600007999841</v>
      </c>
      <c r="AE63">
        <v>7200</v>
      </c>
      <c r="AF63">
        <v>200000</v>
      </c>
      <c r="AG63">
        <v>16666.666666666668</v>
      </c>
      <c r="AH63">
        <v>1</v>
      </c>
      <c r="AI63">
        <v>1</v>
      </c>
      <c r="AJ63" t="s">
        <v>136</v>
      </c>
      <c r="AK63" t="s">
        <v>137</v>
      </c>
      <c r="AL63">
        <v>0</v>
      </c>
      <c r="AM63" t="s">
        <v>137</v>
      </c>
      <c r="AN63">
        <v>0</v>
      </c>
    </row>
    <row r="64" spans="1:42" ht="12.75">
      <c r="A64" s="2" t="str">
        <f>HYPERLINK("https://ibp.a2mac1.com/costing(costing:projects/details/8191/process/6970262)","Pressure Die Casting : Furnace")</f>
        <v>Pressure Die Casting : Furnace</v>
      </c>
      <c r="B64" t="s">
        <v>603</v>
      </c>
      <c r="C64">
        <v>6970262</v>
      </c>
      <c r="D64">
        <v>5381275</v>
      </c>
      <c r="E64">
        <v>1.4039628664444443</v>
      </c>
      <c r="F64">
        <v>0</v>
      </c>
      <c r="G64">
        <v>0</v>
      </c>
      <c r="H64">
        <v>2.9557112977777776E-05</v>
      </c>
      <c r="I64" t="s">
        <v>137</v>
      </c>
      <c r="J64">
        <v>0.051724947711111108</v>
      </c>
      <c r="K64">
        <v>1.4557173712685334</v>
      </c>
      <c r="L64">
        <v>0.022704200780173579</v>
      </c>
      <c r="M64">
        <v>0.13622520468104146</v>
      </c>
      <c r="N64">
        <v>1.5919425759495749</v>
      </c>
      <c r="O64" t="s">
        <v>90</v>
      </c>
      <c r="P64">
        <v>0</v>
      </c>
      <c r="Q64" t="s">
        <v>90</v>
      </c>
      <c r="R64">
        <v>0</v>
      </c>
      <c r="S64" t="s">
        <v>90</v>
      </c>
      <c r="T64">
        <v>0</v>
      </c>
      <c r="U64">
        <v>1.5919425759495749</v>
      </c>
      <c r="V64">
        <v>0</v>
      </c>
      <c r="W64">
        <v>0</v>
      </c>
      <c r="X64">
        <v>0</v>
      </c>
      <c r="Y64">
        <v>0</v>
      </c>
      <c r="Z64">
        <v>0</v>
      </c>
      <c r="AA64">
        <v>60</v>
      </c>
      <c r="AB64">
        <v>1</v>
      </c>
      <c r="AC64">
        <v>0</v>
      </c>
      <c r="AD64">
        <v>0.0019999600007999841</v>
      </c>
      <c r="AE64">
        <v>0</v>
      </c>
      <c r="AF64">
        <v>200000</v>
      </c>
      <c r="AG64">
        <v>16666.666666666668</v>
      </c>
      <c r="AH64">
        <v>1</v>
      </c>
      <c r="AI64">
        <v>1</v>
      </c>
      <c r="AJ64" t="s">
        <v>136</v>
      </c>
      <c r="AK64" t="s">
        <v>137</v>
      </c>
      <c r="AL64">
        <v>0</v>
      </c>
      <c r="AM64" t="s">
        <v>137</v>
      </c>
      <c r="AN64">
        <v>0</v>
      </c>
    </row>
    <row r="65" spans="1:42" ht="12.75">
      <c r="A65" s="2" t="str">
        <f>HYPERLINK("https://ibp.a2mac1.com/costing(costing:projects/details/8191/process/6970263)","Pressure Die Casting : Ladle")</f>
        <v>Pressure Die Casting : Ladle</v>
      </c>
      <c r="B65" t="s">
        <v>603</v>
      </c>
      <c r="C65">
        <v>6970263</v>
      </c>
      <c r="D65">
        <v>5381275</v>
      </c>
      <c r="E65">
        <v>0</v>
      </c>
      <c r="F65">
        <v>0</v>
      </c>
      <c r="G65">
        <v>0</v>
      </c>
      <c r="H65">
        <v>0</v>
      </c>
      <c r="I65" t="s">
        <v>137</v>
      </c>
      <c r="J65">
        <v>0</v>
      </c>
      <c r="K65">
        <v>0</v>
      </c>
      <c r="L65">
        <v>0.0056179122706109573</v>
      </c>
      <c r="M65">
        <v>0.033707473623665739</v>
      </c>
      <c r="N65">
        <v>0.033707473623665739</v>
      </c>
      <c r="O65" t="s">
        <v>90</v>
      </c>
      <c r="P65">
        <v>0</v>
      </c>
      <c r="Q65" t="s">
        <v>90</v>
      </c>
      <c r="R65">
        <v>0</v>
      </c>
      <c r="S65" t="s">
        <v>90</v>
      </c>
      <c r="T65">
        <v>0</v>
      </c>
      <c r="U65">
        <v>0.033707473623665739</v>
      </c>
      <c r="V65">
        <v>0</v>
      </c>
      <c r="W65">
        <v>0</v>
      </c>
      <c r="X65">
        <v>0</v>
      </c>
      <c r="Y65">
        <v>0</v>
      </c>
      <c r="Z65">
        <v>0</v>
      </c>
      <c r="AA65">
        <v>60</v>
      </c>
      <c r="AB65">
        <v>1</v>
      </c>
      <c r="AC65">
        <v>0</v>
      </c>
      <c r="AD65">
        <v>0.0019999600007999841</v>
      </c>
      <c r="AE65">
        <v>900</v>
      </c>
      <c r="AF65">
        <v>200000</v>
      </c>
      <c r="AG65">
        <v>16666.666666666668</v>
      </c>
      <c r="AH65">
        <v>1</v>
      </c>
      <c r="AI65">
        <v>1</v>
      </c>
      <c r="AJ65" t="s">
        <v>136</v>
      </c>
      <c r="AK65" t="s">
        <v>137</v>
      </c>
      <c r="AL65">
        <v>0</v>
      </c>
      <c r="AM65" t="s">
        <v>137</v>
      </c>
      <c r="AN65">
        <v>0</v>
      </c>
    </row>
    <row r="66" spans="1:42" ht="12.75">
      <c r="A66" s="2" t="str">
        <f>HYPERLINK("https://ibp.a2mac1.com/costing(costing:projects/details/8191/process/6970264)","Pressure Die Casting : Press")</f>
        <v>Pressure Die Casting : Press</v>
      </c>
      <c r="B66" t="s">
        <v>603</v>
      </c>
      <c r="C66">
        <v>6970264</v>
      </c>
      <c r="D66">
        <v>5381275</v>
      </c>
      <c r="E66">
        <v>0</v>
      </c>
      <c r="F66">
        <v>0</v>
      </c>
      <c r="G66">
        <v>0</v>
      </c>
      <c r="H66">
        <v>0</v>
      </c>
      <c r="I66" t="s">
        <v>137</v>
      </c>
      <c r="J66">
        <v>0</v>
      </c>
      <c r="K66">
        <v>0</v>
      </c>
      <c r="L66">
        <v>0.08276966946318573</v>
      </c>
      <c r="M66">
        <v>0.49661801677911438</v>
      </c>
      <c r="N66">
        <v>0.49661801677911438</v>
      </c>
      <c r="O66" t="s">
        <v>90</v>
      </c>
      <c r="P66">
        <v>0</v>
      </c>
      <c r="Q66" t="s">
        <v>90</v>
      </c>
      <c r="R66">
        <v>0</v>
      </c>
      <c r="S66" t="s">
        <v>90</v>
      </c>
      <c r="T66">
        <v>0</v>
      </c>
      <c r="U66">
        <v>0.49661801677911438</v>
      </c>
      <c r="V66">
        <v>0</v>
      </c>
      <c r="W66">
        <v>0</v>
      </c>
      <c r="X66">
        <v>0</v>
      </c>
      <c r="Y66">
        <v>0</v>
      </c>
      <c r="Z66">
        <v>0</v>
      </c>
      <c r="AA66">
        <v>60</v>
      </c>
      <c r="AB66">
        <v>1</v>
      </c>
      <c r="AC66">
        <v>0</v>
      </c>
      <c r="AD66">
        <v>0.0019999600007999841</v>
      </c>
      <c r="AE66">
        <v>7200</v>
      </c>
      <c r="AF66">
        <v>200000</v>
      </c>
      <c r="AG66">
        <v>16666.666666666668</v>
      </c>
      <c r="AH66">
        <v>1</v>
      </c>
      <c r="AI66">
        <v>1</v>
      </c>
      <c r="AJ66" t="s">
        <v>136</v>
      </c>
      <c r="AK66" t="s">
        <v>137</v>
      </c>
      <c r="AL66">
        <v>0</v>
      </c>
      <c r="AM66" t="s">
        <v>137</v>
      </c>
      <c r="AN66">
        <v>0</v>
      </c>
    </row>
    <row r="67" spans="1:42" ht="12.75">
      <c r="A67" s="2" t="str">
        <f>HYPERLINK("https://ibp.a2mac1.com/costing(costing:projects/details/8191/process/6970265)","Pressure Die Casting : Trimming")</f>
        <v>Pressure Die Casting : Trimming</v>
      </c>
      <c r="B67" t="s">
        <v>603</v>
      </c>
      <c r="C67">
        <v>6970265</v>
      </c>
      <c r="D67">
        <v>5381275</v>
      </c>
      <c r="E67">
        <v>0</v>
      </c>
      <c r="F67">
        <v>0</v>
      </c>
      <c r="G67">
        <v>0</v>
      </c>
      <c r="H67">
        <v>0</v>
      </c>
      <c r="I67" t="s">
        <v>137</v>
      </c>
      <c r="J67">
        <v>0</v>
      </c>
      <c r="K67">
        <v>0</v>
      </c>
      <c r="L67">
        <v>0.0090995036181009074</v>
      </c>
      <c r="M67">
        <v>0.054597021708605441</v>
      </c>
      <c r="N67">
        <v>0.054597021708605441</v>
      </c>
      <c r="O67" t="s">
        <v>90</v>
      </c>
      <c r="P67">
        <v>0</v>
      </c>
      <c r="Q67" t="s">
        <v>90</v>
      </c>
      <c r="R67">
        <v>0</v>
      </c>
      <c r="S67" t="s">
        <v>90</v>
      </c>
      <c r="T67">
        <v>0</v>
      </c>
      <c r="U67">
        <v>0.054597021708605441</v>
      </c>
      <c r="V67">
        <v>0</v>
      </c>
      <c r="W67">
        <v>0</v>
      </c>
      <c r="X67">
        <v>0</v>
      </c>
      <c r="Y67">
        <v>0</v>
      </c>
      <c r="Z67">
        <v>0</v>
      </c>
      <c r="AA67">
        <v>30</v>
      </c>
      <c r="AB67">
        <v>1</v>
      </c>
      <c r="AC67">
        <v>0</v>
      </c>
      <c r="AD67">
        <v>0.0019999600007999841</v>
      </c>
      <c r="AE67">
        <v>900</v>
      </c>
      <c r="AF67">
        <v>200000</v>
      </c>
      <c r="AG67">
        <v>16666.666666666668</v>
      </c>
      <c r="AH67">
        <v>1</v>
      </c>
      <c r="AI67">
        <v>1</v>
      </c>
      <c r="AJ67" t="s">
        <v>136</v>
      </c>
      <c r="AK67" t="s">
        <v>137</v>
      </c>
      <c r="AL67">
        <v>0</v>
      </c>
      <c r="AM67" t="s">
        <v>137</v>
      </c>
      <c r="AN67">
        <v>0</v>
      </c>
    </row>
    <row r="68" spans="1:42" ht="12.75">
      <c r="A68" s="2" t="str">
        <f>HYPERLINK("https://ibp.a2mac1.com/costing(costing:projects/details/8191/process/6970266)","Pressure Die Casting : Laser Marking")</f>
        <v>Pressure Die Casting : Laser Marking</v>
      </c>
      <c r="B68" t="s">
        <v>603</v>
      </c>
      <c r="C68">
        <v>6970266</v>
      </c>
      <c r="D68">
        <v>5381275</v>
      </c>
      <c r="E68">
        <v>0</v>
      </c>
      <c r="F68">
        <v>0</v>
      </c>
      <c r="G68">
        <v>0</v>
      </c>
      <c r="H68">
        <v>0</v>
      </c>
      <c r="I68" t="s">
        <v>137</v>
      </c>
      <c r="J68">
        <v>0</v>
      </c>
      <c r="K68">
        <v>0</v>
      </c>
      <c r="L68">
        <v>0.012743603250381362</v>
      </c>
      <c r="M68">
        <v>0.076461619502288164</v>
      </c>
      <c r="N68">
        <v>0.076461619502288164</v>
      </c>
      <c r="O68" t="s">
        <v>90</v>
      </c>
      <c r="P68">
        <v>0</v>
      </c>
      <c r="Q68" t="s">
        <v>90</v>
      </c>
      <c r="R68">
        <v>0</v>
      </c>
      <c r="S68" t="s">
        <v>90</v>
      </c>
      <c r="T68">
        <v>0</v>
      </c>
      <c r="U68">
        <v>0.076461619502288164</v>
      </c>
      <c r="V68">
        <v>0</v>
      </c>
      <c r="W68">
        <v>0</v>
      </c>
      <c r="X68">
        <v>0</v>
      </c>
      <c r="Y68">
        <v>0</v>
      </c>
      <c r="Z68">
        <v>0</v>
      </c>
      <c r="AA68">
        <v>30</v>
      </c>
      <c r="AB68">
        <v>1</v>
      </c>
      <c r="AC68">
        <v>0</v>
      </c>
      <c r="AD68">
        <v>0.0019999600007999841</v>
      </c>
      <c r="AE68">
        <v>3600</v>
      </c>
      <c r="AF68">
        <v>200000</v>
      </c>
      <c r="AG68">
        <v>16666.666666666668</v>
      </c>
      <c r="AH68">
        <v>1</v>
      </c>
      <c r="AI68">
        <v>1</v>
      </c>
      <c r="AJ68" t="s">
        <v>136</v>
      </c>
      <c r="AK68" t="s">
        <v>137</v>
      </c>
      <c r="AL68">
        <v>0</v>
      </c>
      <c r="AM68" t="s">
        <v>137</v>
      </c>
      <c r="AN68">
        <v>0</v>
      </c>
    </row>
    <row r="69" spans="1:42" ht="12.75">
      <c r="A69" s="2" t="str">
        <f>HYPERLINK("https://ibp.a2mac1.com/costing(costing:projects/details/8191/process/6970267)","Machining")</f>
        <v>Machining</v>
      </c>
      <c r="B69" t="s">
        <v>603</v>
      </c>
      <c r="C69">
        <v>6970267</v>
      </c>
      <c r="D69">
        <v>5381275</v>
      </c>
      <c r="E69">
        <v>0</v>
      </c>
      <c r="F69">
        <v>0</v>
      </c>
      <c r="G69">
        <v>0</v>
      </c>
      <c r="H69">
        <v>0</v>
      </c>
      <c r="I69" t="s">
        <v>137</v>
      </c>
      <c r="J69">
        <v>0</v>
      </c>
      <c r="K69">
        <v>0</v>
      </c>
      <c r="L69">
        <v>0.096543961516383364</v>
      </c>
      <c r="M69">
        <v>0.57926376909830024</v>
      </c>
      <c r="N69">
        <v>0.57926376909830024</v>
      </c>
      <c r="O69" t="s">
        <v>90</v>
      </c>
      <c r="P69">
        <v>0</v>
      </c>
      <c r="Q69" t="s">
        <v>90</v>
      </c>
      <c r="R69">
        <v>0</v>
      </c>
      <c r="S69" t="s">
        <v>90</v>
      </c>
      <c r="T69">
        <v>0</v>
      </c>
      <c r="U69">
        <v>0.57926376909830024</v>
      </c>
      <c r="V69">
        <v>0</v>
      </c>
      <c r="W69">
        <v>0</v>
      </c>
      <c r="X69">
        <v>0</v>
      </c>
      <c r="Y69">
        <v>0</v>
      </c>
      <c r="Z69">
        <v>0</v>
      </c>
      <c r="AA69">
        <v>45</v>
      </c>
      <c r="AB69">
        <v>1</v>
      </c>
      <c r="AC69">
        <v>0</v>
      </c>
      <c r="AD69">
        <v>0.0019999600007999841</v>
      </c>
      <c r="AE69">
        <v>7200</v>
      </c>
      <c r="AF69">
        <v>200000</v>
      </c>
      <c r="AG69">
        <v>16666.666666666668</v>
      </c>
      <c r="AH69">
        <v>1</v>
      </c>
      <c r="AI69">
        <v>1</v>
      </c>
      <c r="AJ69" t="s">
        <v>136</v>
      </c>
      <c r="AK69" t="s">
        <v>137</v>
      </c>
      <c r="AL69">
        <v>0</v>
      </c>
      <c r="AM69" t="s">
        <v>137</v>
      </c>
      <c r="AN69">
        <v>0</v>
      </c>
    </row>
    <row r="70" spans="1:42" ht="12.75">
      <c r="A70" s="2" t="str">
        <f>HYPERLINK("https://ibp.a2mac1.com/costing(costing:projects/details/8191/process/6970268)","Cleaning")</f>
        <v>Cleaning</v>
      </c>
      <c r="B70" t="s">
        <v>603</v>
      </c>
      <c r="C70">
        <v>6970268</v>
      </c>
      <c r="D70">
        <v>5381275</v>
      </c>
      <c r="E70">
        <v>0</v>
      </c>
      <c r="F70">
        <v>0</v>
      </c>
      <c r="G70">
        <v>0</v>
      </c>
      <c r="H70">
        <v>0</v>
      </c>
      <c r="I70" t="s">
        <v>137</v>
      </c>
      <c r="J70">
        <v>0</v>
      </c>
      <c r="K70">
        <v>0</v>
      </c>
      <c r="L70">
        <v>0.02464497606241391</v>
      </c>
      <c r="M70">
        <v>0.14786985637448347</v>
      </c>
      <c r="N70">
        <v>0.14786985637448347</v>
      </c>
      <c r="O70" t="s">
        <v>90</v>
      </c>
      <c r="P70">
        <v>0</v>
      </c>
      <c r="Q70" t="s">
        <v>90</v>
      </c>
      <c r="R70">
        <v>0</v>
      </c>
      <c r="S70" t="s">
        <v>90</v>
      </c>
      <c r="T70">
        <v>0</v>
      </c>
      <c r="U70">
        <v>0.14786985637448347</v>
      </c>
      <c r="V70">
        <v>0</v>
      </c>
      <c r="W70">
        <v>0</v>
      </c>
      <c r="X70">
        <v>0</v>
      </c>
      <c r="Y70">
        <v>0</v>
      </c>
      <c r="Z70">
        <v>0</v>
      </c>
      <c r="AA70">
        <v>30</v>
      </c>
      <c r="AB70">
        <v>1</v>
      </c>
      <c r="AC70">
        <v>0</v>
      </c>
      <c r="AD70">
        <v>0.0019999600007999841</v>
      </c>
      <c r="AE70">
        <v>300</v>
      </c>
      <c r="AF70">
        <v>200000</v>
      </c>
      <c r="AG70">
        <v>16666.666666666668</v>
      </c>
      <c r="AH70">
        <v>1</v>
      </c>
      <c r="AI70">
        <v>1</v>
      </c>
      <c r="AJ70" t="s">
        <v>136</v>
      </c>
      <c r="AK70" t="s">
        <v>137</v>
      </c>
      <c r="AL70">
        <v>0</v>
      </c>
      <c r="AM70" t="s">
        <v>137</v>
      </c>
      <c r="AN70">
        <v>0</v>
      </c>
    </row>
    <row r="71" spans="1:42" ht="12.75">
      <c r="A71" s="2" t="str">
        <f>HYPERLINK("https://ibp.a2mac1.com/costing(costing:projects/details/8191/process/6970269)","Reaction Injection Molding- Overmolding PUR")</f>
        <v>Reaction Injection Molding- Overmolding PUR</v>
      </c>
      <c r="B71" t="s">
        <v>603</v>
      </c>
      <c r="C71">
        <v>6970269</v>
      </c>
      <c r="D71">
        <v>5381276</v>
      </c>
      <c r="E71">
        <v>11.431117678342858</v>
      </c>
      <c r="F71">
        <v>0</v>
      </c>
      <c r="G71">
        <v>0</v>
      </c>
      <c r="H71">
        <v>0.00022905822697142858</v>
      </c>
      <c r="I71" t="s">
        <v>137</v>
      </c>
      <c r="J71">
        <v>0.40085189719999997</v>
      </c>
      <c r="K71">
        <v>11.832198633769828</v>
      </c>
      <c r="L71">
        <v>0.098607819847267353</v>
      </c>
      <c r="M71">
        <v>0.59164691908360412</v>
      </c>
      <c r="N71">
        <v>12.423845552853432</v>
      </c>
      <c r="O71" t="s">
        <v>90</v>
      </c>
      <c r="P71">
        <v>0</v>
      </c>
      <c r="Q71" t="s">
        <v>90</v>
      </c>
      <c r="R71">
        <v>0</v>
      </c>
      <c r="S71" t="s">
        <v>90</v>
      </c>
      <c r="T71">
        <v>0</v>
      </c>
      <c r="U71">
        <v>12.423845552853432</v>
      </c>
      <c r="V71">
        <v>0</v>
      </c>
      <c r="W71">
        <v>0</v>
      </c>
      <c r="X71">
        <v>0</v>
      </c>
      <c r="Y71">
        <v>0</v>
      </c>
      <c r="Z71">
        <v>0</v>
      </c>
      <c r="AA71">
        <v>40</v>
      </c>
      <c r="AB71">
        <v>1</v>
      </c>
      <c r="AC71">
        <v>0</v>
      </c>
      <c r="AD71">
        <v>0.0019999600007999841</v>
      </c>
      <c r="AE71">
        <v>5400</v>
      </c>
      <c r="AF71">
        <v>200000</v>
      </c>
      <c r="AG71">
        <v>16666.666666666668</v>
      </c>
      <c r="AH71">
        <v>1</v>
      </c>
      <c r="AI71">
        <v>1</v>
      </c>
      <c r="AJ71" t="s">
        <v>136</v>
      </c>
      <c r="AK71" t="s">
        <v>137</v>
      </c>
      <c r="AL71">
        <v>0</v>
      </c>
      <c r="AM71" t="s">
        <v>137</v>
      </c>
      <c r="AN71">
        <v>0</v>
      </c>
    </row>
    <row r="72" spans="1:42" ht="12.75">
      <c r="A72" s="2" t="str">
        <f>HYPERLINK("https://ibp.a2mac1.com/costing(costing:projects/details/8191/process/6970270)","Leather Cutting")</f>
        <v>Leather Cutting</v>
      </c>
      <c r="B72" t="s">
        <v>603</v>
      </c>
      <c r="C72">
        <v>6970270</v>
      </c>
      <c r="D72">
        <v>5381277</v>
      </c>
      <c r="E72">
        <v>3.5242649133333335</v>
      </c>
      <c r="F72">
        <v>0</v>
      </c>
      <c r="G72">
        <v>0</v>
      </c>
      <c r="H72">
        <v>7.0485298266666669E-05</v>
      </c>
      <c r="I72" t="s">
        <v>137</v>
      </c>
      <c r="J72">
        <v>0.12334927196666666</v>
      </c>
      <c r="K72">
        <v>3.6476846705982666</v>
      </c>
      <c r="L72">
        <v>0.0048526268589123237</v>
      </c>
      <c r="M72">
        <v>0.029115761153473946</v>
      </c>
      <c r="N72">
        <v>3.6768004317517406</v>
      </c>
      <c r="O72" t="s">
        <v>90</v>
      </c>
      <c r="P72">
        <v>0</v>
      </c>
      <c r="Q72" t="s">
        <v>90</v>
      </c>
      <c r="R72">
        <v>0</v>
      </c>
      <c r="S72" t="s">
        <v>90</v>
      </c>
      <c r="T72">
        <v>0</v>
      </c>
      <c r="U72">
        <v>3.6768004317517406</v>
      </c>
      <c r="V72">
        <v>0</v>
      </c>
      <c r="W72">
        <v>0</v>
      </c>
      <c r="X72">
        <v>0</v>
      </c>
      <c r="Y72">
        <v>0</v>
      </c>
      <c r="Z72">
        <v>0</v>
      </c>
      <c r="AA72">
        <v>10</v>
      </c>
      <c r="AB72">
        <v>1</v>
      </c>
      <c r="AC72">
        <v>0</v>
      </c>
      <c r="AD72">
        <v>0.0019999600007999841</v>
      </c>
      <c r="AE72">
        <v>1800</v>
      </c>
      <c r="AF72">
        <v>200000</v>
      </c>
      <c r="AG72">
        <v>16666.666666666668</v>
      </c>
      <c r="AH72">
        <v>1</v>
      </c>
      <c r="AI72">
        <v>1</v>
      </c>
      <c r="AJ72" t="s">
        <v>136</v>
      </c>
      <c r="AK72" t="s">
        <v>137</v>
      </c>
      <c r="AL72">
        <v>0</v>
      </c>
      <c r="AM72" t="s">
        <v>137</v>
      </c>
      <c r="AN72">
        <v>0</v>
      </c>
    </row>
    <row r="73" spans="1:42" ht="12.75">
      <c r="A73" s="2" t="str">
        <f>HYPERLINK("https://ibp.a2mac1.com/costing(costing:projects/details/8191/process/6970271)","Adjusting leather and sewing")</f>
        <v>Adjusting leather and sewing</v>
      </c>
      <c r="B73" t="s">
        <v>603</v>
      </c>
      <c r="C73">
        <v>6970271</v>
      </c>
      <c r="D73">
        <v>5381277</v>
      </c>
      <c r="E73">
        <v>0</v>
      </c>
      <c r="F73">
        <v>0</v>
      </c>
      <c r="G73">
        <v>0</v>
      </c>
      <c r="H73">
        <v>0</v>
      </c>
      <c r="I73" t="s">
        <v>137</v>
      </c>
      <c r="J73">
        <v>0</v>
      </c>
      <c r="K73">
        <v>0</v>
      </c>
      <c r="L73">
        <v>0.49604957064202304</v>
      </c>
      <c r="M73">
        <v>2.976297423852138</v>
      </c>
      <c r="N73">
        <v>2.976297423852138</v>
      </c>
      <c r="O73" t="s">
        <v>90</v>
      </c>
      <c r="P73">
        <v>0</v>
      </c>
      <c r="Q73" t="s">
        <v>90</v>
      </c>
      <c r="R73">
        <v>0</v>
      </c>
      <c r="S73" t="s">
        <v>90</v>
      </c>
      <c r="T73">
        <v>0</v>
      </c>
      <c r="U73">
        <v>2.976297423852138</v>
      </c>
      <c r="V73">
        <v>0</v>
      </c>
      <c r="W73">
        <v>0</v>
      </c>
      <c r="X73">
        <v>0</v>
      </c>
      <c r="Y73">
        <v>0</v>
      </c>
      <c r="Z73">
        <v>0</v>
      </c>
      <c r="AA73">
        <v>900</v>
      </c>
      <c r="AB73">
        <v>1</v>
      </c>
      <c r="AC73">
        <v>0</v>
      </c>
      <c r="AD73">
        <v>0.0019999600007999841</v>
      </c>
      <c r="AE73">
        <v>900</v>
      </c>
      <c r="AF73">
        <v>200000</v>
      </c>
      <c r="AG73">
        <v>16666.666666666668</v>
      </c>
      <c r="AH73">
        <v>1</v>
      </c>
      <c r="AI73">
        <v>1</v>
      </c>
      <c r="AJ73" t="s">
        <v>136</v>
      </c>
      <c r="AK73" t="s">
        <v>137</v>
      </c>
      <c r="AL73">
        <v>0</v>
      </c>
      <c r="AM73" t="s">
        <v>137</v>
      </c>
      <c r="AN73">
        <v>0</v>
      </c>
    </row>
    <row r="74" spans="1:42" ht="12.75">
      <c r="A74" s="2" t="str">
        <f>HYPERLINK("https://ibp.a2mac1.com/costing(costing:projects/details/8191/process/6970087)","Assembly")</f>
        <v>Assembly</v>
      </c>
      <c r="C74">
        <v>6970087</v>
      </c>
      <c r="D74">
        <v>5381173</v>
      </c>
      <c r="E74">
        <v>0</v>
      </c>
      <c r="F74">
        <v>0</v>
      </c>
      <c r="G74">
        <v>0</v>
      </c>
      <c r="H74">
        <v>0</v>
      </c>
      <c r="I74" t="s">
        <v>137</v>
      </c>
      <c r="J74">
        <v>0</v>
      </c>
      <c r="K74">
        <v>0</v>
      </c>
      <c r="L74">
        <v>0.15228760443166886</v>
      </c>
      <c r="M74">
        <v>0.91372562659001311</v>
      </c>
      <c r="N74">
        <v>0.91372562659001311</v>
      </c>
      <c r="O74" t="s">
        <v>90</v>
      </c>
      <c r="P74">
        <v>0</v>
      </c>
      <c r="Q74" t="s">
        <v>90</v>
      </c>
      <c r="R74">
        <v>0</v>
      </c>
      <c r="S74" t="s">
        <v>90</v>
      </c>
      <c r="T74">
        <v>0</v>
      </c>
      <c r="U74">
        <v>0.91372562659001311</v>
      </c>
      <c r="V74">
        <v>0</v>
      </c>
      <c r="W74">
        <v>0</v>
      </c>
      <c r="X74">
        <v>0</v>
      </c>
      <c r="Y74">
        <v>0</v>
      </c>
      <c r="Z74">
        <v>0</v>
      </c>
      <c r="AA74">
        <v>84</v>
      </c>
      <c r="AB74">
        <v>1</v>
      </c>
      <c r="AC74">
        <v>0.50</v>
      </c>
      <c r="AD74">
        <v>0.50741219779126456</v>
      </c>
      <c r="AE74">
        <v>10800</v>
      </c>
      <c r="AF74">
        <v>200000</v>
      </c>
      <c r="AG74">
        <v>10000</v>
      </c>
      <c r="AH74">
        <v>1</v>
      </c>
      <c r="AI74">
        <v>1</v>
      </c>
      <c r="AJ74" t="s">
        <v>79</v>
      </c>
      <c r="AK74" t="s">
        <v>137</v>
      </c>
      <c r="AL74">
        <v>0</v>
      </c>
      <c r="AM74" t="s">
        <v>137</v>
      </c>
      <c r="AN74">
        <v>0</v>
      </c>
      <c r="AP74">
        <v>0</v>
      </c>
    </row>
    <row r="75" spans="1:42" ht="12.75">
      <c r="A75" s="2" t="str">
        <f>HYPERLINK("https://ibp.a2mac1.com/costing(costing:projects/details/8191/process/6970220)","Injection molding")</f>
        <v>Injection molding</v>
      </c>
      <c r="B75" t="s">
        <v>520</v>
      </c>
      <c r="C75">
        <v>6970220</v>
      </c>
      <c r="D75">
        <v>5381262</v>
      </c>
      <c r="E75">
        <v>0.056304731286717966</v>
      </c>
      <c r="F75">
        <v>0</v>
      </c>
      <c r="G75">
        <v>0</v>
      </c>
      <c r="H75">
        <v>5.8614386082301774E-05</v>
      </c>
      <c r="I75" t="s">
        <v>137</v>
      </c>
      <c r="J75">
        <v>0.0019725995316159251</v>
      </c>
      <c r="K75">
        <v>0.058335945204416192</v>
      </c>
      <c r="L75">
        <v>0.0060964184467974993</v>
      </c>
      <c r="M75">
        <v>0.036578510680784999</v>
      </c>
      <c r="N75">
        <v>0.094914455885201185</v>
      </c>
      <c r="O75" t="s">
        <v>138</v>
      </c>
      <c r="P75">
        <v>0.0035001567122649718</v>
      </c>
      <c r="Q75" t="s">
        <v>138</v>
      </c>
      <c r="R75">
        <v>0.0021947106408471001</v>
      </c>
      <c r="S75" t="s">
        <v>139</v>
      </c>
      <c r="T75">
        <v>0.011389734706224144</v>
      </c>
      <c r="U75">
        <v>0.11199905794453741</v>
      </c>
      <c r="V75">
        <v>0</v>
      </c>
      <c r="W75">
        <v>0</v>
      </c>
      <c r="X75">
        <v>0</v>
      </c>
      <c r="Y75">
        <v>0</v>
      </c>
      <c r="Z75">
        <v>0</v>
      </c>
      <c r="AA75">
        <v>14.9031</v>
      </c>
      <c r="AB75">
        <v>1</v>
      </c>
      <c r="AC75">
        <v>0.10</v>
      </c>
      <c r="AD75">
        <v>0.10389195236953569</v>
      </c>
      <c r="AE75">
        <v>7200</v>
      </c>
      <c r="AF75">
        <v>200000</v>
      </c>
      <c r="AG75">
        <v>16666.666666666668</v>
      </c>
      <c r="AH75">
        <v>1</v>
      </c>
      <c r="AI75">
        <v>1</v>
      </c>
      <c r="AJ75" t="s">
        <v>136</v>
      </c>
      <c r="AK75" t="s">
        <v>137</v>
      </c>
      <c r="AL75">
        <v>0</v>
      </c>
      <c r="AM75" t="s">
        <v>137</v>
      </c>
      <c r="AN75">
        <v>0</v>
      </c>
    </row>
    <row r="76" spans="1:42" ht="12.75">
      <c r="A76" s="2" t="str">
        <f>HYPERLINK("https://ibp.a2mac1.com/costing(costing:projects/details/8191/process/6970221)","Injection molding")</f>
        <v>Injection molding</v>
      </c>
      <c r="B76" t="s">
        <v>668</v>
      </c>
      <c r="C76">
        <v>6970221</v>
      </c>
      <c r="D76">
        <v>5381263</v>
      </c>
      <c r="E76">
        <v>0.35018796288080684</v>
      </c>
      <c r="F76">
        <v>0</v>
      </c>
      <c r="G76">
        <v>0</v>
      </c>
      <c r="H76">
        <v>0.00036455288904846227</v>
      </c>
      <c r="I76" t="s">
        <v>137</v>
      </c>
      <c r="J76">
        <v>0.012268606842977096</v>
      </c>
      <c r="K76">
        <v>0.36282112261283239</v>
      </c>
      <c r="L76">
        <v>0.011567916367087566</v>
      </c>
      <c r="M76">
        <v>0.069407498202525397</v>
      </c>
      <c r="N76">
        <v>0.43222862081535779</v>
      </c>
      <c r="O76" t="s">
        <v>138</v>
      </c>
      <c r="P76">
        <v>0.021769267356769945</v>
      </c>
      <c r="Q76" t="s">
        <v>138</v>
      </c>
      <c r="R76">
        <v>0.0041644498921515243</v>
      </c>
      <c r="S76" t="s">
        <v>139</v>
      </c>
      <c r="T76">
        <v>0.051867434497842937</v>
      </c>
      <c r="U76">
        <v>0.51002977256212223</v>
      </c>
      <c r="V76">
        <v>0</v>
      </c>
      <c r="W76">
        <v>0</v>
      </c>
      <c r="X76">
        <v>0</v>
      </c>
      <c r="Y76">
        <v>0</v>
      </c>
      <c r="Z76">
        <v>0</v>
      </c>
      <c r="AA76">
        <v>17.867229999999999</v>
      </c>
      <c r="AB76">
        <v>1</v>
      </c>
      <c r="AC76">
        <v>0.10</v>
      </c>
      <c r="AD76">
        <v>0.10389195236953569</v>
      </c>
      <c r="AE76">
        <v>7200</v>
      </c>
      <c r="AF76">
        <v>200000</v>
      </c>
      <c r="AG76">
        <v>16666.666666666668</v>
      </c>
      <c r="AH76">
        <v>1</v>
      </c>
      <c r="AI76">
        <v>1</v>
      </c>
      <c r="AJ76" t="s">
        <v>136</v>
      </c>
      <c r="AK76" t="s">
        <v>137</v>
      </c>
      <c r="AL76">
        <v>0</v>
      </c>
      <c r="AM76" t="s">
        <v>137</v>
      </c>
      <c r="AN76">
        <v>0</v>
      </c>
    </row>
    <row r="77" spans="1:42" ht="12.75">
      <c r="A77" s="2" t="str">
        <f>HYPERLINK("https://ibp.a2mac1.com/costing(costing:projects/details/8191/process/6970222)","Injection molding")</f>
        <v>Injection molding</v>
      </c>
      <c r="B77" t="s">
        <v>673</v>
      </c>
      <c r="C77">
        <v>6970222</v>
      </c>
      <c r="D77">
        <v>5381264</v>
      </c>
      <c r="E77">
        <v>0.014428349275261324</v>
      </c>
      <c r="F77">
        <v>0</v>
      </c>
      <c r="G77">
        <v>0</v>
      </c>
      <c r="H77">
        <v>1.502020905923345E-05</v>
      </c>
      <c r="I77" t="s">
        <v>137</v>
      </c>
      <c r="J77">
        <v>0.00050548780487804875</v>
      </c>
      <c r="K77">
        <v>0.014948857289198605</v>
      </c>
      <c r="L77">
        <v>0.0059905157182631782</v>
      </c>
      <c r="M77">
        <v>0.035943094309579066</v>
      </c>
      <c r="N77">
        <v>0.050891951598777678</v>
      </c>
      <c r="O77" t="s">
        <v>138</v>
      </c>
      <c r="P77">
        <v>0.00089693143735191641</v>
      </c>
      <c r="Q77" t="s">
        <v>138</v>
      </c>
      <c r="R77">
        <v>0.0021565856585747441</v>
      </c>
      <c r="S77" t="s">
        <v>139</v>
      </c>
      <c r="T77">
        <v>0.0061070341918533213</v>
      </c>
      <c r="U77">
        <v>0.060052502886557654</v>
      </c>
      <c r="V77">
        <v>0</v>
      </c>
      <c r="W77">
        <v>0</v>
      </c>
      <c r="X77">
        <v>0</v>
      </c>
      <c r="Y77">
        <v>0</v>
      </c>
      <c r="Z77">
        <v>0</v>
      </c>
      <c r="AA77">
        <v>14.60877</v>
      </c>
      <c r="AB77">
        <v>1</v>
      </c>
      <c r="AC77">
        <v>0.10</v>
      </c>
      <c r="AD77">
        <v>0.10389195236953569</v>
      </c>
      <c r="AE77">
        <v>7200</v>
      </c>
      <c r="AF77">
        <v>200000</v>
      </c>
      <c r="AG77">
        <v>16666.666666666668</v>
      </c>
      <c r="AH77">
        <v>1</v>
      </c>
      <c r="AI77">
        <v>1</v>
      </c>
      <c r="AJ77" t="s">
        <v>136</v>
      </c>
      <c r="AK77" t="s">
        <v>137</v>
      </c>
      <c r="AL77">
        <v>0</v>
      </c>
      <c r="AM77" t="s">
        <v>137</v>
      </c>
      <c r="AN77">
        <v>0</v>
      </c>
    </row>
    <row r="78" spans="1:42" ht="12.75">
      <c r="A78" s="2" t="str">
        <f>HYPERLINK("https://ibp.a2mac1.com/costing(costing:projects/details/8191/process/6970273)","Process")</f>
        <v>Process</v>
      </c>
      <c r="C78">
        <v>6970273</v>
      </c>
      <c r="D78">
        <v>5381357</v>
      </c>
      <c r="E78">
        <v>0</v>
      </c>
      <c r="F78">
        <v>0</v>
      </c>
      <c r="G78">
        <v>0</v>
      </c>
      <c r="H78">
        <v>0</v>
      </c>
      <c r="I78" t="s">
        <v>137</v>
      </c>
      <c r="J78">
        <v>0</v>
      </c>
      <c r="K78">
        <v>0</v>
      </c>
      <c r="L78">
        <v>0.53645486445668411</v>
      </c>
      <c r="M78">
        <v>1.8775920255983944</v>
      </c>
      <c r="N78">
        <v>1.8775920255983944</v>
      </c>
      <c r="O78" t="s">
        <v>138</v>
      </c>
      <c r="P78">
        <v>0</v>
      </c>
      <c r="Q78" t="s">
        <v>138</v>
      </c>
      <c r="R78">
        <v>0.11265552153590366</v>
      </c>
      <c r="S78" t="s">
        <v>139</v>
      </c>
      <c r="T78">
        <v>0.22531104307180733</v>
      </c>
      <c r="U78">
        <v>2.2155585902061055</v>
      </c>
      <c r="V78">
        <v>0</v>
      </c>
      <c r="W78">
        <v>0</v>
      </c>
      <c r="X78">
        <v>0</v>
      </c>
      <c r="Y78">
        <v>0</v>
      </c>
      <c r="Z78">
        <v>0</v>
      </c>
      <c r="AA78">
        <v>235</v>
      </c>
      <c r="AB78">
        <v>1</v>
      </c>
      <c r="AC78">
        <v>5</v>
      </c>
      <c r="AD78">
        <v>5.0007599939200489</v>
      </c>
      <c r="AE78">
        <v>216</v>
      </c>
      <c r="AF78">
        <v>200000</v>
      </c>
      <c r="AG78">
        <v>16666.666666666668</v>
      </c>
      <c r="AH78">
        <v>1</v>
      </c>
      <c r="AI78">
        <v>1</v>
      </c>
      <c r="AJ78" t="s">
        <v>136</v>
      </c>
      <c r="AK78" t="s">
        <v>137</v>
      </c>
      <c r="AL78">
        <v>0</v>
      </c>
      <c r="AM78" t="s">
        <v>137</v>
      </c>
      <c r="AN78">
        <v>0</v>
      </c>
    </row>
    <row r="79" spans="1:42" ht="12.75">
      <c r="A79" s="2" t="str">
        <f>HYPERLINK("https://ibp.a2mac1.com/costing(costing:projects/details/8191/process/6970274)","Process")</f>
        <v>Process</v>
      </c>
      <c r="C79">
        <v>6970274</v>
      </c>
      <c r="D79">
        <v>5381359</v>
      </c>
      <c r="E79">
        <v>0</v>
      </c>
      <c r="F79">
        <v>0</v>
      </c>
      <c r="G79">
        <v>0</v>
      </c>
      <c r="H79">
        <v>0</v>
      </c>
      <c r="I79" t="s">
        <v>137</v>
      </c>
      <c r="J79">
        <v>0</v>
      </c>
      <c r="K79">
        <v>0</v>
      </c>
      <c r="L79">
        <v>0.091321032537276317</v>
      </c>
      <c r="M79">
        <v>0.54792619522365793</v>
      </c>
      <c r="N79">
        <v>0.54792619522365793</v>
      </c>
      <c r="O79" t="s">
        <v>691</v>
      </c>
      <c r="P79">
        <v>0</v>
      </c>
      <c r="Q79" t="s">
        <v>691</v>
      </c>
      <c r="R79">
        <v>0.021917047808946318</v>
      </c>
      <c r="S79" t="s">
        <v>138</v>
      </c>
      <c r="T79">
        <v>0.032875571713419476</v>
      </c>
      <c r="U79">
        <v>0.60271881474602373</v>
      </c>
      <c r="V79">
        <v>0</v>
      </c>
      <c r="W79">
        <v>0</v>
      </c>
      <c r="X79">
        <v>0</v>
      </c>
      <c r="Y79">
        <v>0</v>
      </c>
      <c r="Z79">
        <v>0</v>
      </c>
      <c r="AA79">
        <v>80</v>
      </c>
      <c r="AB79">
        <v>1</v>
      </c>
      <c r="AC79">
        <v>5</v>
      </c>
      <c r="AD79">
        <v>5.0007599939200489</v>
      </c>
      <c r="AE79">
        <v>216</v>
      </c>
      <c r="AF79">
        <v>200000</v>
      </c>
      <c r="AG79">
        <v>16666.666666666668</v>
      </c>
      <c r="AH79">
        <v>1</v>
      </c>
      <c r="AI79">
        <v>1</v>
      </c>
      <c r="AJ79" t="s">
        <v>136</v>
      </c>
      <c r="AK79" t="s">
        <v>137</v>
      </c>
      <c r="AL79">
        <v>0</v>
      </c>
      <c r="AM79" t="s">
        <v>137</v>
      </c>
      <c r="AN79">
        <v>0</v>
      </c>
    </row>
    <row r="80" spans="1:42" ht="12.75">
      <c r="A80" s="2" t="str">
        <f>HYPERLINK("https://ibp.a2mac1.com/costing(costing:projects/details/8191/process/6970275)","Automated process")</f>
        <v>Automated process</v>
      </c>
      <c r="B80" t="s">
        <v>703</v>
      </c>
      <c r="C80">
        <v>6970275</v>
      </c>
      <c r="D80">
        <v>5381363</v>
      </c>
      <c r="E80">
        <v>20.18158</v>
      </c>
      <c r="F80">
        <v>0</v>
      </c>
      <c r="G80">
        <v>0</v>
      </c>
      <c r="H80">
        <v>0.20504485280000001</v>
      </c>
      <c r="I80" t="s">
        <v>137</v>
      </c>
      <c r="J80">
        <v>0.70635530000000002</v>
      </c>
      <c r="K80">
        <v>21.092980152799999</v>
      </c>
      <c r="L80">
        <v>0.6046067220855097</v>
      </c>
      <c r="M80">
        <v>3.6276403325130584</v>
      </c>
      <c r="N80">
        <v>24.720620485313059</v>
      </c>
      <c r="O80" t="s">
        <v>138</v>
      </c>
      <c r="P80">
        <v>1.265578809168</v>
      </c>
      <c r="Q80" t="s">
        <v>138</v>
      </c>
      <c r="R80">
        <v>0.2176584199507835</v>
      </c>
      <c r="S80" t="s">
        <v>139</v>
      </c>
      <c r="T80">
        <v>2.9664744582375668</v>
      </c>
      <c r="U80">
        <v>29.170332172669408</v>
      </c>
      <c r="V80">
        <v>0</v>
      </c>
      <c r="W80">
        <v>0</v>
      </c>
      <c r="X80">
        <v>0</v>
      </c>
      <c r="Y80">
        <v>0</v>
      </c>
      <c r="Z80">
        <v>0</v>
      </c>
      <c r="AA80">
        <v>339.27945999999997</v>
      </c>
      <c r="AB80">
        <v>1</v>
      </c>
      <c r="AC80">
        <v>1</v>
      </c>
      <c r="AD80">
        <v>1.0057812623742775</v>
      </c>
      <c r="AE80">
        <v>10800</v>
      </c>
      <c r="AF80">
        <v>200000</v>
      </c>
      <c r="AG80">
        <v>16666.666666666668</v>
      </c>
      <c r="AH80">
        <v>1</v>
      </c>
      <c r="AI80">
        <v>1</v>
      </c>
      <c r="AJ80" t="s">
        <v>136</v>
      </c>
      <c r="AK80" t="s">
        <v>137</v>
      </c>
      <c r="AL80">
        <v>0</v>
      </c>
      <c r="AM80" t="s">
        <v>137</v>
      </c>
      <c r="AN80">
        <v>0</v>
      </c>
    </row>
    <row r="81" spans="1:42" ht="12.75">
      <c r="A81" s="2" t="str">
        <f>HYPERLINK("https://ibp.a2mac1.com/costing(costing:projects/details/8191/process/6970296)","Automated process")</f>
        <v>Automated process</v>
      </c>
      <c r="B81" t="s">
        <v>703</v>
      </c>
      <c r="C81">
        <v>6970296</v>
      </c>
      <c r="D81">
        <v>5381364</v>
      </c>
      <c r="E81">
        <v>28.72317</v>
      </c>
      <c r="F81">
        <v>0</v>
      </c>
      <c r="G81">
        <v>0</v>
      </c>
      <c r="H81">
        <v>0.2918274072</v>
      </c>
      <c r="I81" t="s">
        <v>137</v>
      </c>
      <c r="J81">
        <v>1.0053109499999999</v>
      </c>
      <c r="K81">
        <v>30.020308357200001</v>
      </c>
      <c r="L81">
        <v>0.30882068072939667</v>
      </c>
      <c r="M81">
        <v>1.8529240843763799</v>
      </c>
      <c r="N81">
        <v>31.873232441576381</v>
      </c>
      <c r="O81" t="s">
        <v>138</v>
      </c>
      <c r="P81">
        <v>1.8012185014319999</v>
      </c>
      <c r="Q81" t="s">
        <v>138</v>
      </c>
      <c r="R81">
        <v>0.1111754450625828</v>
      </c>
      <c r="S81" t="s">
        <v>139</v>
      </c>
      <c r="T81">
        <v>3.8247878929891654</v>
      </c>
      <c r="U81">
        <v>37.61041428106013</v>
      </c>
      <c r="V81">
        <v>0</v>
      </c>
      <c r="W81">
        <v>0</v>
      </c>
      <c r="X81">
        <v>0</v>
      </c>
      <c r="Y81">
        <v>0</v>
      </c>
      <c r="Z81">
        <v>0</v>
      </c>
      <c r="AA81">
        <v>172.6437</v>
      </c>
      <c r="AB81">
        <v>1</v>
      </c>
      <c r="AC81">
        <v>1</v>
      </c>
      <c r="AD81">
        <v>1.0057812623742775</v>
      </c>
      <c r="AE81">
        <v>10800</v>
      </c>
      <c r="AF81">
        <v>200000</v>
      </c>
      <c r="AG81">
        <v>16666.666666666668</v>
      </c>
      <c r="AH81">
        <v>1</v>
      </c>
      <c r="AI81">
        <v>1</v>
      </c>
      <c r="AJ81" t="s">
        <v>136</v>
      </c>
      <c r="AK81" t="s">
        <v>137</v>
      </c>
      <c r="AL81">
        <v>0</v>
      </c>
      <c r="AM81" t="s">
        <v>137</v>
      </c>
      <c r="AN81">
        <v>0</v>
      </c>
    </row>
    <row r="82" spans="1:42" ht="12.75">
      <c r="A82" s="2" t="str">
        <f>HYPERLINK("https://ibp.a2mac1.com/costing(costing:projects/details/8191/process/6970322)","Stamping")</f>
        <v>Stamping</v>
      </c>
      <c r="C82">
        <v>6970322</v>
      </c>
      <c r="D82">
        <v>5381483</v>
      </c>
      <c r="E82">
        <v>0.1575557362851065</v>
      </c>
      <c r="F82">
        <v>0</v>
      </c>
      <c r="G82">
        <v>0</v>
      </c>
      <c r="H82">
        <v>3.877446065288757E-06</v>
      </c>
      <c r="I82" t="s">
        <v>137</v>
      </c>
      <c r="J82">
        <v>0.0067855306142553242</v>
      </c>
      <c r="K82">
        <v>0.1643451443454271</v>
      </c>
      <c r="L82">
        <v>0.006959760590615878</v>
      </c>
      <c r="M82">
        <v>0.041758563543695268</v>
      </c>
      <c r="N82">
        <v>0.20610370788912236</v>
      </c>
      <c r="O82" t="s">
        <v>138</v>
      </c>
      <c r="P82">
        <v>0.0098607086607256263</v>
      </c>
      <c r="Q82" t="s">
        <v>138</v>
      </c>
      <c r="R82">
        <v>0.002505513812621716</v>
      </c>
      <c r="S82" t="s">
        <v>139</v>
      </c>
      <c r="T82">
        <v>0.024732444946694684</v>
      </c>
      <c r="U82">
        <v>0.24320237530916439</v>
      </c>
      <c r="V82">
        <v>0</v>
      </c>
      <c r="W82">
        <v>0</v>
      </c>
      <c r="X82">
        <v>0</v>
      </c>
      <c r="Y82">
        <v>0</v>
      </c>
      <c r="Z82">
        <v>0</v>
      </c>
      <c r="AA82">
        <v>1.71021</v>
      </c>
      <c r="AB82">
        <v>1</v>
      </c>
      <c r="AC82">
        <v>0</v>
      </c>
      <c r="AD82">
        <v>0.0019999600007999841</v>
      </c>
      <c r="AE82">
        <v>1800</v>
      </c>
      <c r="AF82">
        <v>400000</v>
      </c>
      <c r="AG82">
        <v>33333.333333333336</v>
      </c>
      <c r="AH82">
        <v>1</v>
      </c>
      <c r="AI82">
        <v>1</v>
      </c>
      <c r="AJ82" t="s">
        <v>136</v>
      </c>
      <c r="AK82" t="s">
        <v>137</v>
      </c>
      <c r="AL82">
        <v>0</v>
      </c>
      <c r="AM82" t="s">
        <v>137</v>
      </c>
      <c r="AN82">
        <v>0</v>
      </c>
    </row>
    <row r="83" spans="1:42" ht="12.75">
      <c r="A83" s="2" t="str">
        <f>HYPERLINK("https://ibp.a2mac1.com/costing(costing:projects/details/8191/process/6970323)","Injection molding")</f>
        <v>Injection molding</v>
      </c>
      <c r="B83" t="s">
        <v>726</v>
      </c>
      <c r="C83">
        <v>6970323</v>
      </c>
      <c r="D83">
        <v>5381484</v>
      </c>
      <c r="E83">
        <v>0.079587203900334275</v>
      </c>
      <c r="F83">
        <v>0</v>
      </c>
      <c r="G83">
        <v>0</v>
      </c>
      <c r="H83">
        <v>1.597496503164932E-06</v>
      </c>
      <c r="I83" t="s">
        <v>137</v>
      </c>
      <c r="J83">
        <v>0.0027956188805386313</v>
      </c>
      <c r="K83">
        <v>0.082384420277376066</v>
      </c>
      <c r="L83">
        <v>0.0058573986740696402</v>
      </c>
      <c r="M83">
        <v>0.035144392044417841</v>
      </c>
      <c r="N83">
        <v>0.11752881232179391</v>
      </c>
      <c r="O83" t="s">
        <v>138</v>
      </c>
      <c r="P83">
        <v>0.0049430652166425641</v>
      </c>
      <c r="Q83" t="s">
        <v>138</v>
      </c>
      <c r="R83">
        <v>0.0021086635226650703</v>
      </c>
      <c r="S83" t="s">
        <v>139</v>
      </c>
      <c r="T83">
        <v>0.014103457478615269</v>
      </c>
      <c r="U83">
        <v>0.1386839985397168</v>
      </c>
      <c r="V83">
        <v>0</v>
      </c>
      <c r="W83">
        <v>0</v>
      </c>
      <c r="X83">
        <v>0</v>
      </c>
      <c r="Y83">
        <v>0</v>
      </c>
      <c r="Z83">
        <v>0</v>
      </c>
      <c r="AA83">
        <v>15.275589999999999</v>
      </c>
      <c r="AB83">
        <v>1</v>
      </c>
      <c r="AC83">
        <v>0</v>
      </c>
      <c r="AD83">
        <v>0.0019999600007999841</v>
      </c>
      <c r="AE83">
        <v>7200</v>
      </c>
      <c r="AF83">
        <v>400000</v>
      </c>
      <c r="AG83">
        <v>33333.333333333336</v>
      </c>
      <c r="AH83">
        <v>1</v>
      </c>
      <c r="AI83">
        <v>1</v>
      </c>
      <c r="AJ83" t="s">
        <v>136</v>
      </c>
      <c r="AK83" t="s">
        <v>137</v>
      </c>
      <c r="AL83">
        <v>0</v>
      </c>
      <c r="AM83" t="s">
        <v>137</v>
      </c>
      <c r="AN83">
        <v>0</v>
      </c>
    </row>
    <row r="84" spans="1:42" ht="12.75">
      <c r="A84" s="2" t="str">
        <f>HYPERLINK("https://ibp.a2mac1.com/costing(costing:projects/details/8191/process/6970297)","Automated process")</f>
        <v>Automated process</v>
      </c>
      <c r="B84" t="s">
        <v>703</v>
      </c>
      <c r="C84">
        <v>6970297</v>
      </c>
      <c r="D84">
        <v>5381365</v>
      </c>
      <c r="E84">
        <v>21.063880000000001</v>
      </c>
      <c r="F84">
        <v>0</v>
      </c>
      <c r="G84">
        <v>0</v>
      </c>
      <c r="H84">
        <v>0.21337710439999999</v>
      </c>
      <c r="I84" t="s">
        <v>137</v>
      </c>
      <c r="J84">
        <v>0.7372358</v>
      </c>
      <c r="K84">
        <v>22.014492904400001</v>
      </c>
      <c r="L84">
        <v>0.34991101173849554</v>
      </c>
      <c r="M84">
        <v>2.0994660704309731</v>
      </c>
      <c r="N84">
        <v>24.113958974830972</v>
      </c>
      <c r="O84" t="s">
        <v>138</v>
      </c>
      <c r="P84">
        <v>1.320869574264</v>
      </c>
      <c r="Q84" t="s">
        <v>138</v>
      </c>
      <c r="R84">
        <v>0.1259679642258584</v>
      </c>
      <c r="S84" t="s">
        <v>139</v>
      </c>
      <c r="T84">
        <v>2.8936750769797168</v>
      </c>
      <c r="U84">
        <v>28.45447159030055</v>
      </c>
      <c r="V84">
        <v>0</v>
      </c>
      <c r="W84">
        <v>0</v>
      </c>
      <c r="X84">
        <v>0</v>
      </c>
      <c r="Y84">
        <v>0</v>
      </c>
      <c r="Z84">
        <v>0</v>
      </c>
      <c r="AA84">
        <v>196.46610999999999</v>
      </c>
      <c r="AB84">
        <v>1</v>
      </c>
      <c r="AC84">
        <v>1</v>
      </c>
      <c r="AD84">
        <v>1.0028412184570303</v>
      </c>
      <c r="AE84">
        <v>10800</v>
      </c>
      <c r="AF84">
        <v>400000</v>
      </c>
      <c r="AG84">
        <v>33333.333333333336</v>
      </c>
      <c r="AH84">
        <v>1</v>
      </c>
      <c r="AI84">
        <v>1</v>
      </c>
      <c r="AJ84" t="s">
        <v>136</v>
      </c>
      <c r="AK84" t="s">
        <v>137</v>
      </c>
      <c r="AL84">
        <v>0</v>
      </c>
      <c r="AM84" t="s">
        <v>137</v>
      </c>
      <c r="AN84">
        <v>0</v>
      </c>
    </row>
    <row r="85" spans="1:42" ht="12.75">
      <c r="A85" s="2" t="str">
        <f>HYPERLINK("https://ibp.a2mac1.com/costing(costing:projects/details/8191/process/6970324)","Automated Process")</f>
        <v>Automated Process</v>
      </c>
      <c r="C85">
        <v>6970324</v>
      </c>
      <c r="D85">
        <v>5381485</v>
      </c>
      <c r="E85">
        <v>0.14009133600000001</v>
      </c>
      <c r="F85">
        <v>0</v>
      </c>
      <c r="G85">
        <v>0</v>
      </c>
      <c r="H85">
        <v>0.00071063875705263161</v>
      </c>
      <c r="I85" t="s">
        <v>137</v>
      </c>
      <c r="J85">
        <v>0.0049154854736842106</v>
      </c>
      <c r="K85">
        <v>0.14571746023073684</v>
      </c>
      <c r="L85">
        <v>0.0045964658398135209</v>
      </c>
      <c r="M85">
        <v>0.027578795038881127</v>
      </c>
      <c r="N85">
        <v>0.17329625526961798</v>
      </c>
      <c r="O85" t="s">
        <v>138</v>
      </c>
      <c r="P85">
        <v>0.0087430476138442102</v>
      </c>
      <c r="Q85" t="s">
        <v>138</v>
      </c>
      <c r="R85">
        <v>0.0016547277023328676</v>
      </c>
      <c r="S85" t="s">
        <v>139</v>
      </c>
      <c r="T85">
        <v>0.020795550632354155</v>
      </c>
      <c r="U85">
        <v>0.2044895812181492</v>
      </c>
      <c r="V85">
        <v>0</v>
      </c>
      <c r="W85">
        <v>0</v>
      </c>
      <c r="X85">
        <v>0</v>
      </c>
      <c r="Y85">
        <v>0</v>
      </c>
      <c r="Z85">
        <v>0</v>
      </c>
      <c r="AA85">
        <v>60</v>
      </c>
      <c r="AB85">
        <v>1</v>
      </c>
      <c r="AC85">
        <v>0.50</v>
      </c>
      <c r="AD85">
        <v>0.50345253019720215</v>
      </c>
      <c r="AE85">
        <v>267.30</v>
      </c>
      <c r="AF85">
        <v>200000</v>
      </c>
      <c r="AG85">
        <v>16666.666666666668</v>
      </c>
      <c r="AH85">
        <v>1</v>
      </c>
      <c r="AI85">
        <v>1</v>
      </c>
      <c r="AJ85" t="s">
        <v>136</v>
      </c>
      <c r="AK85" t="s">
        <v>137</v>
      </c>
      <c r="AL85">
        <v>0</v>
      </c>
      <c r="AM85" t="s">
        <v>137</v>
      </c>
      <c r="AN85">
        <v>0</v>
      </c>
    </row>
    <row r="86" spans="1:42" ht="12.75">
      <c r="A86" s="2" t="str">
        <f>HYPERLINK("https://ibp.a2mac1.com/costing(costing:projects/details/8191/process/6970325)","Automated Process")</f>
        <v>Automated Process</v>
      </c>
      <c r="C86">
        <v>6970325</v>
      </c>
      <c r="D86">
        <v>5381486</v>
      </c>
      <c r="E86">
        <v>0.022320018</v>
      </c>
      <c r="F86">
        <v>0</v>
      </c>
      <c r="G86">
        <v>0</v>
      </c>
      <c r="H86">
        <v>0.00012014818199999999</v>
      </c>
      <c r="I86" t="s">
        <v>137</v>
      </c>
      <c r="J86">
        <v>0.00083106450000000002</v>
      </c>
      <c r="K86">
        <v>0.023271230681999999</v>
      </c>
      <c r="L86">
        <v>0.02001914354397747</v>
      </c>
      <c r="M86">
        <v>0.12011486126386482</v>
      </c>
      <c r="N86">
        <v>0.14338609194586482</v>
      </c>
      <c r="O86" t="s">
        <v>138</v>
      </c>
      <c r="P86">
        <v>0.00139627384092</v>
      </c>
      <c r="Q86" t="s">
        <v>138</v>
      </c>
      <c r="R86">
        <v>0.0072068916758318887</v>
      </c>
      <c r="S86" t="s">
        <v>139</v>
      </c>
      <c r="T86">
        <v>0.017206331033503778</v>
      </c>
      <c r="U86">
        <v>0.16919558849612049</v>
      </c>
      <c r="V86">
        <v>0</v>
      </c>
      <c r="W86">
        <v>0</v>
      </c>
      <c r="X86">
        <v>0</v>
      </c>
      <c r="Y86">
        <v>0</v>
      </c>
      <c r="Z86">
        <v>0</v>
      </c>
      <c r="AA86">
        <v>10</v>
      </c>
      <c r="AB86">
        <v>1</v>
      </c>
      <c r="AC86">
        <v>0.50</v>
      </c>
      <c r="AD86">
        <v>0.50345253019720215</v>
      </c>
      <c r="AE86">
        <v>10800</v>
      </c>
      <c r="AF86">
        <v>200000</v>
      </c>
      <c r="AG86">
        <v>16666.666666666668</v>
      </c>
      <c r="AH86">
        <v>1</v>
      </c>
      <c r="AI86">
        <v>1</v>
      </c>
      <c r="AJ86" t="s">
        <v>136</v>
      </c>
      <c r="AK86" t="s">
        <v>137</v>
      </c>
      <c r="AL86">
        <v>0</v>
      </c>
      <c r="AM86" t="s">
        <v>137</v>
      </c>
      <c r="AN86">
        <v>0</v>
      </c>
    </row>
    <row r="87" spans="1:42" ht="12.75">
      <c r="A87" s="2" t="str">
        <f>HYPERLINK("https://ibp.a2mac1.com/costing(costing:projects/details/8191/process/6970326)","Automated Process")</f>
        <v>Automated Process</v>
      </c>
      <c r="C87">
        <v>6970326</v>
      </c>
      <c r="D87">
        <v>5381487</v>
      </c>
      <c r="E87">
        <v>0.14009133600000001</v>
      </c>
      <c r="F87">
        <v>0</v>
      </c>
      <c r="G87">
        <v>0</v>
      </c>
      <c r="H87">
        <v>0.00071063875705263161</v>
      </c>
      <c r="I87" t="s">
        <v>137</v>
      </c>
      <c r="J87">
        <v>0.0049154854736842106</v>
      </c>
      <c r="K87">
        <v>0.14571746023073684</v>
      </c>
      <c r="L87">
        <v>0.0045964658398135209</v>
      </c>
      <c r="M87">
        <v>0.027578795038881127</v>
      </c>
      <c r="N87">
        <v>0.17329625526961798</v>
      </c>
      <c r="O87" t="s">
        <v>138</v>
      </c>
      <c r="P87">
        <v>0.0087430476138442102</v>
      </c>
      <c r="Q87" t="s">
        <v>138</v>
      </c>
      <c r="R87">
        <v>0.0016547277023328676</v>
      </c>
      <c r="S87" t="s">
        <v>139</v>
      </c>
      <c r="T87">
        <v>0.020795550632354155</v>
      </c>
      <c r="U87">
        <v>0.2044895812181492</v>
      </c>
      <c r="V87">
        <v>0</v>
      </c>
      <c r="W87">
        <v>0</v>
      </c>
      <c r="X87">
        <v>0</v>
      </c>
      <c r="Y87">
        <v>0</v>
      </c>
      <c r="Z87">
        <v>0</v>
      </c>
      <c r="AA87">
        <v>60</v>
      </c>
      <c r="AB87">
        <v>1</v>
      </c>
      <c r="AC87">
        <v>0.50</v>
      </c>
      <c r="AD87">
        <v>0.50345253019720215</v>
      </c>
      <c r="AE87">
        <v>267.30</v>
      </c>
      <c r="AF87">
        <v>200000</v>
      </c>
      <c r="AG87">
        <v>16666.666666666668</v>
      </c>
      <c r="AH87">
        <v>1</v>
      </c>
      <c r="AI87">
        <v>1</v>
      </c>
      <c r="AJ87" t="s">
        <v>136</v>
      </c>
      <c r="AK87" t="s">
        <v>137</v>
      </c>
      <c r="AL87">
        <v>0</v>
      </c>
      <c r="AM87" t="s">
        <v>137</v>
      </c>
      <c r="AN87">
        <v>0</v>
      </c>
    </row>
    <row r="88" spans="1:42" ht="12.75">
      <c r="A88" s="2" t="str">
        <f>HYPERLINK("https://ibp.a2mac1.com/costing(costing:projects/details/8191/process/6970327)","Automated Process")</f>
        <v>Automated Process</v>
      </c>
      <c r="C88">
        <v>6970327</v>
      </c>
      <c r="D88">
        <v>5381488</v>
      </c>
      <c r="E88">
        <v>0.022320018</v>
      </c>
      <c r="F88">
        <v>0</v>
      </c>
      <c r="G88">
        <v>0</v>
      </c>
      <c r="H88">
        <v>0.00012014818199999999</v>
      </c>
      <c r="I88" t="s">
        <v>137</v>
      </c>
      <c r="J88">
        <v>0.00083106450000000002</v>
      </c>
      <c r="K88">
        <v>0.023271230681999999</v>
      </c>
      <c r="L88">
        <v>0.02001914354397747</v>
      </c>
      <c r="M88">
        <v>0.12011486126386482</v>
      </c>
      <c r="N88">
        <v>0.14338609194586482</v>
      </c>
      <c r="O88" t="s">
        <v>138</v>
      </c>
      <c r="P88">
        <v>0.00139627384092</v>
      </c>
      <c r="Q88" t="s">
        <v>138</v>
      </c>
      <c r="R88">
        <v>0.0072068916758318887</v>
      </c>
      <c r="S88" t="s">
        <v>139</v>
      </c>
      <c r="T88">
        <v>0.017206331033503778</v>
      </c>
      <c r="U88">
        <v>0.16919558849612049</v>
      </c>
      <c r="V88">
        <v>0</v>
      </c>
      <c r="W88">
        <v>0</v>
      </c>
      <c r="X88">
        <v>0</v>
      </c>
      <c r="Y88">
        <v>0</v>
      </c>
      <c r="Z88">
        <v>0</v>
      </c>
      <c r="AA88">
        <v>10</v>
      </c>
      <c r="AB88">
        <v>1</v>
      </c>
      <c r="AC88">
        <v>0.50</v>
      </c>
      <c r="AD88">
        <v>0.50345253019720215</v>
      </c>
      <c r="AE88">
        <v>10800</v>
      </c>
      <c r="AF88">
        <v>200000</v>
      </c>
      <c r="AG88">
        <v>16666.666666666668</v>
      </c>
      <c r="AH88">
        <v>1</v>
      </c>
      <c r="AI88">
        <v>1</v>
      </c>
      <c r="AJ88" t="s">
        <v>136</v>
      </c>
      <c r="AK88" t="s">
        <v>137</v>
      </c>
      <c r="AL88">
        <v>0</v>
      </c>
      <c r="AM88" t="s">
        <v>137</v>
      </c>
      <c r="AN88">
        <v>0</v>
      </c>
    </row>
    <row r="89" spans="1:42" ht="12.75">
      <c r="A89" s="2" t="str">
        <f>HYPERLINK("https://ibp.a2mac1.com/costing(costing:projects/details/8191/process/6970298)","Automated Process")</f>
        <v>Automated Process</v>
      </c>
      <c r="C89">
        <v>6970298</v>
      </c>
      <c r="D89">
        <v>5381383</v>
      </c>
      <c r="E89">
        <v>0.174762</v>
      </c>
      <c r="F89">
        <v>0</v>
      </c>
      <c r="G89">
        <v>0</v>
      </c>
      <c r="H89">
        <v>0.000886512</v>
      </c>
      <c r="I89" t="s">
        <v>137</v>
      </c>
      <c r="J89">
        <v>0.0061320000000000003</v>
      </c>
      <c r="K89">
        <v>0.18178051200000001</v>
      </c>
      <c r="L89">
        <v>0.0046429065115915586</v>
      </c>
      <c r="M89">
        <v>0.02785743906954935</v>
      </c>
      <c r="N89">
        <v>0.20963795106954936</v>
      </c>
      <c r="O89" t="s">
        <v>138</v>
      </c>
      <c r="P89">
        <v>0.01090683072</v>
      </c>
      <c r="Q89" t="s">
        <v>138</v>
      </c>
      <c r="R89">
        <v>0.001671446344172961</v>
      </c>
      <c r="S89" t="s">
        <v>139</v>
      </c>
      <c r="T89">
        <v>0.025156554128345922</v>
      </c>
      <c r="U89">
        <v>0.24737278226206824</v>
      </c>
      <c r="V89">
        <v>0</v>
      </c>
      <c r="W89">
        <v>0</v>
      </c>
      <c r="X89">
        <v>0</v>
      </c>
      <c r="Y89">
        <v>0</v>
      </c>
      <c r="Z89">
        <v>0</v>
      </c>
      <c r="AA89">
        <v>60</v>
      </c>
      <c r="AB89">
        <v>1</v>
      </c>
      <c r="AC89">
        <v>0.50</v>
      </c>
      <c r="AD89">
        <v>0.50345253019720215</v>
      </c>
      <c r="AE89">
        <v>270</v>
      </c>
      <c r="AF89">
        <v>200000</v>
      </c>
      <c r="AG89">
        <v>16666.666666666668</v>
      </c>
      <c r="AH89">
        <v>1</v>
      </c>
      <c r="AI89">
        <v>1</v>
      </c>
      <c r="AJ89" t="s">
        <v>136</v>
      </c>
      <c r="AK89" t="s">
        <v>137</v>
      </c>
      <c r="AL89">
        <v>0</v>
      </c>
      <c r="AM89" t="s">
        <v>137</v>
      </c>
      <c r="AN89">
        <v>0</v>
      </c>
    </row>
    <row r="90" spans="1:42" ht="12.75">
      <c r="A90" s="2" t="str">
        <f>HYPERLINK("https://ibp.a2mac1.com/costing(costing:projects/details/8191/process/6970315)","Process")</f>
        <v>Process</v>
      </c>
      <c r="C90">
        <v>6970315</v>
      </c>
      <c r="D90">
        <v>5381430</v>
      </c>
      <c r="E90">
        <v>0.74798176949999995</v>
      </c>
      <c r="F90">
        <v>0</v>
      </c>
      <c r="G90">
        <v>0</v>
      </c>
      <c r="H90">
        <v>0.0037942734372631579</v>
      </c>
      <c r="I90" t="s">
        <v>137</v>
      </c>
      <c r="J90">
        <v>0.026244974368421051</v>
      </c>
      <c r="K90">
        <v>0.77802101730568418</v>
      </c>
      <c r="L90">
        <v>0.03524321653334362</v>
      </c>
      <c r="M90">
        <v>0.21145929920006173</v>
      </c>
      <c r="N90">
        <v>0.98948031650574597</v>
      </c>
      <c r="O90" t="s">
        <v>90</v>
      </c>
      <c r="P90">
        <v>0</v>
      </c>
      <c r="Q90" t="s">
        <v>90</v>
      </c>
      <c r="R90">
        <v>0</v>
      </c>
      <c r="S90" t="s">
        <v>90</v>
      </c>
      <c r="T90">
        <v>0</v>
      </c>
      <c r="U90">
        <v>0.98948031650574597</v>
      </c>
      <c r="V90">
        <v>0</v>
      </c>
      <c r="W90">
        <v>0</v>
      </c>
      <c r="X90">
        <v>0</v>
      </c>
      <c r="Y90">
        <v>0</v>
      </c>
      <c r="Z90">
        <v>0</v>
      </c>
      <c r="AA90">
        <v>60</v>
      </c>
      <c r="AB90">
        <v>1</v>
      </c>
      <c r="AC90">
        <v>0.50</v>
      </c>
      <c r="AD90">
        <v>0.50345253019720215</v>
      </c>
      <c r="AE90">
        <v>1800</v>
      </c>
      <c r="AF90">
        <v>200000</v>
      </c>
      <c r="AG90">
        <v>16666.666666666668</v>
      </c>
      <c r="AH90">
        <v>1</v>
      </c>
      <c r="AI90">
        <v>1</v>
      </c>
      <c r="AJ90" t="s">
        <v>136</v>
      </c>
      <c r="AK90" t="s">
        <v>137</v>
      </c>
      <c r="AL90">
        <v>0</v>
      </c>
      <c r="AM90" t="s">
        <v>137</v>
      </c>
      <c r="AN90">
        <v>0</v>
      </c>
    </row>
    <row r="91" spans="1:42" ht="12.75">
      <c r="A91" s="2" t="str">
        <f>HYPERLINK("https://ibp.a2mac1.com/costing(costing:projects/details/8191/process/6970316)","Process")</f>
        <v>Process</v>
      </c>
      <c r="C91">
        <v>6970316</v>
      </c>
      <c r="D91">
        <v>5381431</v>
      </c>
      <c r="E91">
        <v>0.84279636000000002</v>
      </c>
      <c r="F91">
        <v>0</v>
      </c>
      <c r="G91">
        <v>0</v>
      </c>
      <c r="H91">
        <v>0.0042752376757894733</v>
      </c>
      <c r="I91" t="s">
        <v>137</v>
      </c>
      <c r="J91">
        <v>0.029571802105263157</v>
      </c>
      <c r="K91">
        <v>0.87664339978105266</v>
      </c>
      <c r="L91">
        <v>0.03524321653334362</v>
      </c>
      <c r="M91">
        <v>0.21145929920006173</v>
      </c>
      <c r="N91">
        <v>1.0881026989811144</v>
      </c>
      <c r="O91" t="s">
        <v>90</v>
      </c>
      <c r="P91">
        <v>0</v>
      </c>
      <c r="Q91" t="s">
        <v>90</v>
      </c>
      <c r="R91">
        <v>0</v>
      </c>
      <c r="S91" t="s">
        <v>90</v>
      </c>
      <c r="T91">
        <v>0</v>
      </c>
      <c r="U91">
        <v>1.0881026989811144</v>
      </c>
      <c r="V91">
        <v>0</v>
      </c>
      <c r="W91">
        <v>0</v>
      </c>
      <c r="X91">
        <v>0</v>
      </c>
      <c r="Y91">
        <v>0</v>
      </c>
      <c r="Z91">
        <v>0</v>
      </c>
      <c r="AA91">
        <v>60</v>
      </c>
      <c r="AB91">
        <v>1</v>
      </c>
      <c r="AC91">
        <v>0.50</v>
      </c>
      <c r="AD91">
        <v>0.50345253019720215</v>
      </c>
      <c r="AE91">
        <v>1800</v>
      </c>
      <c r="AF91">
        <v>200000</v>
      </c>
      <c r="AG91">
        <v>16666.666666666668</v>
      </c>
      <c r="AH91">
        <v>1</v>
      </c>
      <c r="AI91">
        <v>1</v>
      </c>
      <c r="AJ91" t="s">
        <v>136</v>
      </c>
      <c r="AK91" t="s">
        <v>137</v>
      </c>
      <c r="AL91">
        <v>0</v>
      </c>
      <c r="AM91" t="s">
        <v>137</v>
      </c>
      <c r="AN91">
        <v>0</v>
      </c>
    </row>
    <row r="92" spans="1:42" ht="12.75">
      <c r="A92" s="2" t="str">
        <f>HYPERLINK("https://ibp.a2mac1.com/costing(costing:projects/details/8191/process/6970317)","Process")</f>
        <v>Process</v>
      </c>
      <c r="C92">
        <v>6970317</v>
      </c>
      <c r="D92">
        <v>5381433</v>
      </c>
      <c r="E92">
        <v>0.90717663749999999</v>
      </c>
      <c r="F92">
        <v>0</v>
      </c>
      <c r="G92">
        <v>0</v>
      </c>
      <c r="H92">
        <v>0.0046018183315789472</v>
      </c>
      <c r="I92" t="s">
        <v>137</v>
      </c>
      <c r="J92">
        <v>0.031830759210526319</v>
      </c>
      <c r="K92">
        <v>0.94360921504210526</v>
      </c>
      <c r="L92">
        <v>0.03524321653334362</v>
      </c>
      <c r="M92">
        <v>0.21145929920006173</v>
      </c>
      <c r="N92">
        <v>1.1550685142421671</v>
      </c>
      <c r="O92" t="s">
        <v>90</v>
      </c>
      <c r="P92">
        <v>0</v>
      </c>
      <c r="Q92" t="s">
        <v>90</v>
      </c>
      <c r="R92">
        <v>0</v>
      </c>
      <c r="S92" t="s">
        <v>90</v>
      </c>
      <c r="T92">
        <v>0</v>
      </c>
      <c r="U92">
        <v>1.1550685142421671</v>
      </c>
      <c r="V92">
        <v>0</v>
      </c>
      <c r="W92">
        <v>0</v>
      </c>
      <c r="X92">
        <v>0</v>
      </c>
      <c r="Y92">
        <v>0</v>
      </c>
      <c r="Z92">
        <v>0</v>
      </c>
      <c r="AA92">
        <v>60</v>
      </c>
      <c r="AB92">
        <v>1</v>
      </c>
      <c r="AC92">
        <v>0.50</v>
      </c>
      <c r="AD92">
        <v>0.50345253019720215</v>
      </c>
      <c r="AE92">
        <v>1800</v>
      </c>
      <c r="AF92">
        <v>200000</v>
      </c>
      <c r="AG92">
        <v>16666.666666666668</v>
      </c>
      <c r="AH92">
        <v>1</v>
      </c>
      <c r="AI92">
        <v>1</v>
      </c>
      <c r="AJ92" t="s">
        <v>136</v>
      </c>
      <c r="AK92" t="s">
        <v>137</v>
      </c>
      <c r="AL92">
        <v>0</v>
      </c>
      <c r="AM92" t="s">
        <v>137</v>
      </c>
      <c r="AN92">
        <v>0</v>
      </c>
    </row>
    <row r="93" spans="1:42" ht="12.75">
      <c r="A93" s="2" t="str">
        <f>HYPERLINK("https://ibp.a2mac1.com/costing(costing:projects/details/8191/process/6970318)","Process")</f>
        <v>Process</v>
      </c>
      <c r="C93">
        <v>6970318</v>
      </c>
      <c r="D93">
        <v>5381500</v>
      </c>
      <c r="E93">
        <v>1.743752325</v>
      </c>
      <c r="F93">
        <v>0</v>
      </c>
      <c r="G93">
        <v>0</v>
      </c>
      <c r="H93">
        <v>0.0088455005157894728</v>
      </c>
      <c r="I93" t="s">
        <v>137</v>
      </c>
      <c r="J93">
        <v>0.061184292105263161</v>
      </c>
      <c r="K93">
        <v>1.8137821176210527</v>
      </c>
      <c r="L93">
        <v>0.03524321653334362</v>
      </c>
      <c r="M93">
        <v>0.21145929920006173</v>
      </c>
      <c r="N93">
        <v>2.0252414168211144</v>
      </c>
      <c r="O93" t="s">
        <v>90</v>
      </c>
      <c r="P93">
        <v>0</v>
      </c>
      <c r="Q93" t="s">
        <v>90</v>
      </c>
      <c r="R93">
        <v>0</v>
      </c>
      <c r="S93" t="s">
        <v>90</v>
      </c>
      <c r="T93">
        <v>0</v>
      </c>
      <c r="U93">
        <v>2.0252414168211144</v>
      </c>
      <c r="V93">
        <v>0</v>
      </c>
      <c r="W93">
        <v>0</v>
      </c>
      <c r="X93">
        <v>0</v>
      </c>
      <c r="Y93">
        <v>0</v>
      </c>
      <c r="Z93">
        <v>0</v>
      </c>
      <c r="AA93">
        <v>60</v>
      </c>
      <c r="AB93">
        <v>1</v>
      </c>
      <c r="AC93">
        <v>0.50</v>
      </c>
      <c r="AD93">
        <v>0.50345253019720215</v>
      </c>
      <c r="AE93">
        <v>1800</v>
      </c>
      <c r="AF93">
        <v>200000</v>
      </c>
      <c r="AG93">
        <v>16666.666666666668</v>
      </c>
      <c r="AH93">
        <v>1</v>
      </c>
      <c r="AI93">
        <v>1</v>
      </c>
      <c r="AJ93" t="s">
        <v>136</v>
      </c>
      <c r="AK93" t="s">
        <v>137</v>
      </c>
      <c r="AL93">
        <v>0</v>
      </c>
      <c r="AM93" t="s">
        <v>137</v>
      </c>
      <c r="AN93">
        <v>0</v>
      </c>
    </row>
    <row r="94" spans="1:42" ht="12.75">
      <c r="A94" s="2" t="str">
        <f>HYPERLINK("https://ibp.a2mac1.com/costing(costing:projects/details/8191/process/6970319)","Process")</f>
        <v>Process</v>
      </c>
      <c r="C94">
        <v>6970319</v>
      </c>
      <c r="D94">
        <v>5381502</v>
      </c>
      <c r="E94">
        <v>4.3477541005555551</v>
      </c>
      <c r="F94">
        <v>0</v>
      </c>
      <c r="G94">
        <v>0</v>
      </c>
      <c r="H94">
        <v>0.022680036854444443</v>
      </c>
      <c r="I94" t="s">
        <v>137</v>
      </c>
      <c r="J94">
        <v>0.15687772527777777</v>
      </c>
      <c r="K94">
        <v>4.5273118626877782</v>
      </c>
      <c r="L94">
        <v>2.0555004861853265</v>
      </c>
      <c r="M94">
        <v>7.1942517016486427</v>
      </c>
      <c r="N94">
        <v>11.721563564336421</v>
      </c>
      <c r="O94" t="s">
        <v>138</v>
      </c>
      <c r="P94">
        <v>0.27163871176126669</v>
      </c>
      <c r="Q94" t="s">
        <v>138</v>
      </c>
      <c r="R94">
        <v>0.43165510209891855</v>
      </c>
      <c r="S94" t="s">
        <v>139</v>
      </c>
      <c r="T94">
        <v>1.4065876277203704</v>
      </c>
      <c r="U94">
        <v>13.831445005916976</v>
      </c>
      <c r="V94">
        <v>0</v>
      </c>
      <c r="W94">
        <v>0</v>
      </c>
      <c r="X94">
        <v>0</v>
      </c>
      <c r="Y94">
        <v>0</v>
      </c>
      <c r="Z94">
        <v>0</v>
      </c>
      <c r="AA94">
        <v>60</v>
      </c>
      <c r="AB94">
        <v>1</v>
      </c>
      <c r="AC94">
        <v>0.50</v>
      </c>
      <c r="AD94">
        <v>0.50345253019720215</v>
      </c>
      <c r="AE94">
        <v>1800</v>
      </c>
      <c r="AF94">
        <v>200000</v>
      </c>
      <c r="AG94">
        <v>16666.666666666668</v>
      </c>
      <c r="AH94">
        <v>1</v>
      </c>
      <c r="AI94">
        <v>1</v>
      </c>
      <c r="AJ94" t="s">
        <v>136</v>
      </c>
      <c r="AK94" t="s">
        <v>137</v>
      </c>
      <c r="AL94">
        <v>0</v>
      </c>
      <c r="AM94" t="s">
        <v>137</v>
      </c>
      <c r="AN94">
        <v>0</v>
      </c>
    </row>
    <row r="95" spans="1:42" ht="12.75">
      <c r="A95" s="2" t="str">
        <f>HYPERLINK("https://ibp.a2mac1.com/costing(costing:projects/details/8191/process/6970272)","Process")</f>
        <v>Process</v>
      </c>
      <c r="C95">
        <v>6970272</v>
      </c>
      <c r="D95">
        <v>5381300</v>
      </c>
      <c r="E95">
        <v>0</v>
      </c>
      <c r="F95">
        <v>0</v>
      </c>
      <c r="G95">
        <v>0</v>
      </c>
      <c r="H95">
        <v>0</v>
      </c>
      <c r="I95" t="s">
        <v>137</v>
      </c>
      <c r="J95">
        <v>0</v>
      </c>
      <c r="K95">
        <v>0</v>
      </c>
      <c r="L95">
        <v>2.0024753900812655</v>
      </c>
      <c r="M95">
        <v>7.0086638652844293</v>
      </c>
      <c r="N95">
        <v>7.0086638652844293</v>
      </c>
      <c r="O95" t="s">
        <v>90</v>
      </c>
      <c r="P95">
        <v>0</v>
      </c>
      <c r="Q95" t="s">
        <v>90</v>
      </c>
      <c r="R95">
        <v>0</v>
      </c>
      <c r="S95" t="s">
        <v>90</v>
      </c>
      <c r="T95">
        <v>0</v>
      </c>
      <c r="U95">
        <v>7.0086638652844293</v>
      </c>
      <c r="V95">
        <v>0</v>
      </c>
      <c r="W95">
        <v>0</v>
      </c>
      <c r="X95">
        <v>0</v>
      </c>
      <c r="Y95">
        <v>0</v>
      </c>
      <c r="Z95">
        <v>0</v>
      </c>
      <c r="AA95">
        <v>60</v>
      </c>
      <c r="AB95">
        <v>1</v>
      </c>
      <c r="AC95">
        <v>0.50</v>
      </c>
      <c r="AD95">
        <v>0.50741219779126456</v>
      </c>
      <c r="AE95">
        <v>1800</v>
      </c>
      <c r="AF95">
        <v>200000</v>
      </c>
      <c r="AG95">
        <v>10000</v>
      </c>
      <c r="AH95">
        <v>1</v>
      </c>
      <c r="AI95">
        <v>1</v>
      </c>
      <c r="AJ95" t="s">
        <v>79</v>
      </c>
      <c r="AK95" t="s">
        <v>137</v>
      </c>
      <c r="AL95">
        <v>0</v>
      </c>
      <c r="AM95" t="s">
        <v>137</v>
      </c>
      <c r="AN95">
        <v>0</v>
      </c>
      <c r="AP95">
        <v>0</v>
      </c>
    </row>
    <row r="96" spans="1:42" ht="12.75">
      <c r="A96" s="2" t="str">
        <f>HYPERLINK("https://ibp.a2mac1.com/costing(costing:projects/details/8191/process/6970279)","Process")</f>
        <v>Process</v>
      </c>
      <c r="C96">
        <v>6970279</v>
      </c>
      <c r="D96">
        <v>5381338</v>
      </c>
      <c r="E96">
        <v>0.84864911249999997</v>
      </c>
      <c r="F96">
        <v>0</v>
      </c>
      <c r="G96">
        <v>0</v>
      </c>
      <c r="H96">
        <v>0.0043049268263157898</v>
      </c>
      <c r="I96" t="s">
        <v>137</v>
      </c>
      <c r="J96">
        <v>0.029777161842105264</v>
      </c>
      <c r="K96">
        <v>0.88273120116842108</v>
      </c>
      <c r="L96">
        <v>0.061483682242396386</v>
      </c>
      <c r="M96">
        <v>0.3689020934543783</v>
      </c>
      <c r="N96">
        <v>1.2516332946227993</v>
      </c>
      <c r="O96" t="s">
        <v>138</v>
      </c>
      <c r="P96">
        <v>0.052963872070105264</v>
      </c>
      <c r="Q96" t="s">
        <v>138</v>
      </c>
      <c r="R96">
        <v>0.022134125607262699</v>
      </c>
      <c r="S96" t="s">
        <v>139</v>
      </c>
      <c r="T96">
        <v>0.15019599535473593</v>
      </c>
      <c r="U96">
        <v>1.4769272876549033</v>
      </c>
      <c r="V96">
        <v>0</v>
      </c>
      <c r="W96">
        <v>0</v>
      </c>
      <c r="X96">
        <v>0</v>
      </c>
      <c r="Y96">
        <v>0</v>
      </c>
      <c r="Z96">
        <v>0</v>
      </c>
      <c r="AA96">
        <v>60</v>
      </c>
      <c r="AB96">
        <v>1</v>
      </c>
      <c r="AC96">
        <v>0.50</v>
      </c>
      <c r="AD96">
        <v>0.50345253019720215</v>
      </c>
      <c r="AE96">
        <v>1800</v>
      </c>
      <c r="AF96">
        <v>200000</v>
      </c>
      <c r="AG96">
        <v>16666.666666666668</v>
      </c>
      <c r="AH96">
        <v>1</v>
      </c>
      <c r="AI96">
        <v>1</v>
      </c>
      <c r="AJ96" t="s">
        <v>136</v>
      </c>
      <c r="AK96" t="s">
        <v>137</v>
      </c>
      <c r="AL96">
        <v>0</v>
      </c>
      <c r="AM96" t="s">
        <v>137</v>
      </c>
      <c r="AN96">
        <v>0</v>
      </c>
    </row>
    <row r="97" spans="1:42" ht="12.75">
      <c r="A97" s="2" t="str">
        <f>HYPERLINK("https://ibp.a2mac1.com/costing(costing:projects/details/8191/process/6970320)","Process")</f>
        <v>Process</v>
      </c>
      <c r="C97">
        <v>6970320</v>
      </c>
      <c r="D97">
        <v>5381524</v>
      </c>
      <c r="E97">
        <v>0.38095831200000002</v>
      </c>
      <c r="F97">
        <v>0</v>
      </c>
      <c r="G97">
        <v>0</v>
      </c>
      <c r="H97">
        <v>0.0019324802593684211</v>
      </c>
      <c r="I97" t="s">
        <v>137</v>
      </c>
      <c r="J97">
        <v>0.013366958315789474</v>
      </c>
      <c r="K97">
        <v>0.39625775057515789</v>
      </c>
      <c r="L97">
        <v>0.036323706296980895</v>
      </c>
      <c r="M97">
        <v>0.21794223778188537</v>
      </c>
      <c r="N97">
        <v>0.61419998835704326</v>
      </c>
      <c r="O97" t="s">
        <v>138</v>
      </c>
      <c r="P97">
        <v>0.023775465034509474</v>
      </c>
      <c r="Q97" t="s">
        <v>138</v>
      </c>
      <c r="R97">
        <v>0.013076534266913123</v>
      </c>
      <c r="S97" t="s">
        <v>139</v>
      </c>
      <c r="T97">
        <v>0.073703998602845197</v>
      </c>
      <c r="U97">
        <v>0.7247559862613111</v>
      </c>
      <c r="V97">
        <v>0</v>
      </c>
      <c r="W97">
        <v>0</v>
      </c>
      <c r="X97">
        <v>0</v>
      </c>
      <c r="Y97">
        <v>0</v>
      </c>
      <c r="Z97">
        <v>0</v>
      </c>
      <c r="AA97">
        <v>60</v>
      </c>
      <c r="AB97">
        <v>1</v>
      </c>
      <c r="AC97">
        <v>0.50</v>
      </c>
      <c r="AD97">
        <v>0.50345253019720215</v>
      </c>
      <c r="AE97">
        <v>1800</v>
      </c>
      <c r="AF97">
        <v>200000</v>
      </c>
      <c r="AG97">
        <v>16666.666666666668</v>
      </c>
      <c r="AH97">
        <v>1</v>
      </c>
      <c r="AI97">
        <v>1</v>
      </c>
      <c r="AJ97" t="s">
        <v>136</v>
      </c>
      <c r="AK97" t="s">
        <v>137</v>
      </c>
      <c r="AL97">
        <v>0</v>
      </c>
      <c r="AM97" t="s">
        <v>137</v>
      </c>
      <c r="AN97">
        <v>0</v>
      </c>
    </row>
    <row r="98" spans="1:42" ht="12.75">
      <c r="A98" s="2" t="str">
        <f>HYPERLINK("https://ibp.a2mac1.com/costing(costing:projects/details/8191/process/6970321)","Process")</f>
        <v>Process</v>
      </c>
      <c r="C98">
        <v>6970321</v>
      </c>
      <c r="D98">
        <v>5381525</v>
      </c>
      <c r="E98">
        <v>0.38602424699999999</v>
      </c>
      <c r="F98">
        <v>0</v>
      </c>
      <c r="G98">
        <v>0</v>
      </c>
      <c r="H98">
        <v>0.0019581781351578949</v>
      </c>
      <c r="I98" t="s">
        <v>137</v>
      </c>
      <c r="J98">
        <v>0.013544710421052632</v>
      </c>
      <c r="K98">
        <v>0.4015271355562105</v>
      </c>
      <c r="L98">
        <v>0.036323706296980895</v>
      </c>
      <c r="M98">
        <v>0.21794223778188537</v>
      </c>
      <c r="N98">
        <v>0.61946937333809593</v>
      </c>
      <c r="O98" t="s">
        <v>138</v>
      </c>
      <c r="P98">
        <v>0.024091628133372633</v>
      </c>
      <c r="Q98" t="s">
        <v>138</v>
      </c>
      <c r="R98">
        <v>0.013076534266913123</v>
      </c>
      <c r="S98" t="s">
        <v>139</v>
      </c>
      <c r="T98">
        <v>0.074336324800571507</v>
      </c>
      <c r="U98">
        <v>0.73097386053895319</v>
      </c>
      <c r="V98">
        <v>0</v>
      </c>
      <c r="W98">
        <v>0</v>
      </c>
      <c r="X98">
        <v>0</v>
      </c>
      <c r="Y98">
        <v>0</v>
      </c>
      <c r="Z98">
        <v>0</v>
      </c>
      <c r="AA98">
        <v>60</v>
      </c>
      <c r="AB98">
        <v>1</v>
      </c>
      <c r="AC98">
        <v>0.50</v>
      </c>
      <c r="AD98">
        <v>0.50345253019720215</v>
      </c>
      <c r="AE98">
        <v>1800</v>
      </c>
      <c r="AF98">
        <v>200000</v>
      </c>
      <c r="AG98">
        <v>16666.666666666668</v>
      </c>
      <c r="AH98">
        <v>1</v>
      </c>
      <c r="AI98">
        <v>1</v>
      </c>
      <c r="AJ98" t="s">
        <v>136</v>
      </c>
      <c r="AK98" t="s">
        <v>137</v>
      </c>
      <c r="AL98">
        <v>0</v>
      </c>
      <c r="AM98" t="s">
        <v>137</v>
      </c>
      <c r="AN98">
        <v>0</v>
      </c>
    </row>
    <row r="99" spans="1:42" ht="12.75">
      <c r="A99" s="2" t="str">
        <f>HYPERLINK("https://ibp.a2mac1.com/costing(costing:projects/details/8191/process/6970328)","Process")</f>
        <v>Process</v>
      </c>
      <c r="C99">
        <v>6970328</v>
      </c>
      <c r="D99">
        <v>5381531</v>
      </c>
      <c r="E99">
        <v>0</v>
      </c>
      <c r="F99">
        <v>0</v>
      </c>
      <c r="G99">
        <v>0</v>
      </c>
      <c r="H99">
        <v>0</v>
      </c>
      <c r="I99" t="s">
        <v>137</v>
      </c>
      <c r="J99">
        <v>0</v>
      </c>
      <c r="K99">
        <v>0</v>
      </c>
      <c r="L99">
        <v>0.18262756141008443</v>
      </c>
      <c r="M99">
        <v>1.0957653684605067</v>
      </c>
      <c r="N99">
        <v>1.0957653684605067</v>
      </c>
      <c r="O99" t="s">
        <v>691</v>
      </c>
      <c r="P99">
        <v>0</v>
      </c>
      <c r="Q99" t="s">
        <v>691</v>
      </c>
      <c r="R99">
        <v>0.043830614738420266</v>
      </c>
      <c r="S99" t="s">
        <v>138</v>
      </c>
      <c r="T99">
        <v>0.065745922107630403</v>
      </c>
      <c r="U99">
        <v>1.2053419053065573</v>
      </c>
      <c r="V99">
        <v>0</v>
      </c>
      <c r="W99">
        <v>0</v>
      </c>
      <c r="X99">
        <v>0</v>
      </c>
      <c r="Y99">
        <v>0</v>
      </c>
      <c r="Z99">
        <v>0</v>
      </c>
      <c r="AA99">
        <v>160</v>
      </c>
      <c r="AB99">
        <v>1</v>
      </c>
      <c r="AC99">
        <v>5</v>
      </c>
      <c r="AD99">
        <v>5.0007599939200489</v>
      </c>
      <c r="AE99">
        <v>216</v>
      </c>
      <c r="AF99">
        <v>200000</v>
      </c>
      <c r="AG99">
        <v>16666.666666666668</v>
      </c>
      <c r="AH99">
        <v>1</v>
      </c>
      <c r="AI99">
        <v>1</v>
      </c>
      <c r="AJ99" t="s">
        <v>136</v>
      </c>
      <c r="AK99" t="s">
        <v>137</v>
      </c>
      <c r="AL99">
        <v>0</v>
      </c>
      <c r="AM99" t="s">
        <v>137</v>
      </c>
      <c r="AN99">
        <v>0</v>
      </c>
    </row>
    <row r="100" spans="1:42" ht="12.75">
      <c r="A100" s="2" t="str">
        <f>HYPERLINK("https://ibp.a2mac1.com/costing(costing:projects/details/8191/process/6970280)","Process")</f>
        <v>Process</v>
      </c>
      <c r="C100">
        <v>6970280</v>
      </c>
      <c r="D100">
        <v>5381388</v>
      </c>
      <c r="E100">
        <v>0</v>
      </c>
      <c r="F100">
        <v>0</v>
      </c>
      <c r="G100">
        <v>0</v>
      </c>
      <c r="H100">
        <v>0</v>
      </c>
      <c r="I100" t="s">
        <v>137</v>
      </c>
      <c r="J100">
        <v>0</v>
      </c>
      <c r="K100">
        <v>0</v>
      </c>
      <c r="L100">
        <v>0.18262756141008443</v>
      </c>
      <c r="M100">
        <v>1.0957653684605067</v>
      </c>
      <c r="N100">
        <v>1.0957653684605067</v>
      </c>
      <c r="O100" t="s">
        <v>691</v>
      </c>
      <c r="P100">
        <v>0</v>
      </c>
      <c r="Q100" t="s">
        <v>691</v>
      </c>
      <c r="R100">
        <v>0.043830614738420266</v>
      </c>
      <c r="S100" t="s">
        <v>138</v>
      </c>
      <c r="T100">
        <v>0.065745922107630403</v>
      </c>
      <c r="U100">
        <v>1.2053419053065573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160</v>
      </c>
      <c r="AB100">
        <v>1</v>
      </c>
      <c r="AC100">
        <v>5</v>
      </c>
      <c r="AD100">
        <v>5.0007599939200489</v>
      </c>
      <c r="AE100">
        <v>216</v>
      </c>
      <c r="AF100">
        <v>200000</v>
      </c>
      <c r="AG100">
        <v>16666.666666666668</v>
      </c>
      <c r="AH100">
        <v>1</v>
      </c>
      <c r="AI100">
        <v>1</v>
      </c>
      <c r="AJ100" t="s">
        <v>136</v>
      </c>
      <c r="AK100" t="s">
        <v>137</v>
      </c>
      <c r="AL100">
        <v>0</v>
      </c>
      <c r="AM100" t="s">
        <v>137</v>
      </c>
      <c r="AN100">
        <v>0</v>
      </c>
    </row>
    <row r="101" spans="1:42" ht="12.75">
      <c r="A101" s="2" t="str">
        <f>HYPERLINK("https://ibp.a2mac1.com/costing(costing:projects/details/8191/process/6970281)","Process")</f>
        <v>Process</v>
      </c>
      <c r="C101">
        <v>6970281</v>
      </c>
      <c r="D101">
        <v>5381390</v>
      </c>
      <c r="E101">
        <v>0</v>
      </c>
      <c r="F101">
        <v>0</v>
      </c>
      <c r="G101">
        <v>0</v>
      </c>
      <c r="H101">
        <v>0</v>
      </c>
      <c r="I101" t="s">
        <v>137</v>
      </c>
      <c r="J101">
        <v>0</v>
      </c>
      <c r="K101">
        <v>0</v>
      </c>
      <c r="L101">
        <v>0.36525512282016886</v>
      </c>
      <c r="M101">
        <v>1.2783929298705912</v>
      </c>
      <c r="N101">
        <v>1.2783929298705912</v>
      </c>
      <c r="O101" t="s">
        <v>138</v>
      </c>
      <c r="P101">
        <v>0</v>
      </c>
      <c r="Q101" t="s">
        <v>138</v>
      </c>
      <c r="R101">
        <v>0.076703575792235468</v>
      </c>
      <c r="S101" t="s">
        <v>139</v>
      </c>
      <c r="T101">
        <v>0.15340715158447094</v>
      </c>
      <c r="U101">
        <v>1.5085036572472974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160</v>
      </c>
      <c r="AB101">
        <v>1</v>
      </c>
      <c r="AC101">
        <v>5</v>
      </c>
      <c r="AD101">
        <v>5.0007599939200489</v>
      </c>
      <c r="AE101">
        <v>216</v>
      </c>
      <c r="AF101">
        <v>200000</v>
      </c>
      <c r="AG101">
        <v>16666.666666666668</v>
      </c>
      <c r="AH101">
        <v>1</v>
      </c>
      <c r="AI101">
        <v>1</v>
      </c>
      <c r="AJ101" t="s">
        <v>136</v>
      </c>
      <c r="AK101" t="s">
        <v>137</v>
      </c>
      <c r="AL101">
        <v>0</v>
      </c>
      <c r="AM101" t="s">
        <v>137</v>
      </c>
      <c r="AN101">
        <v>0</v>
      </c>
    </row>
    <row r="102" spans="1:42" ht="12.75">
      <c r="A102" s="2" t="str">
        <f>HYPERLINK("https://ibp.a2mac1.com/costing(costing:projects/details/8191/process/6970282)","Process [2]")</f>
        <v>Process [2]</v>
      </c>
      <c r="C102">
        <v>6970282</v>
      </c>
      <c r="D102">
        <v>5381394</v>
      </c>
      <c r="E102">
        <v>0</v>
      </c>
      <c r="F102">
        <v>0</v>
      </c>
      <c r="G102">
        <v>0</v>
      </c>
      <c r="H102">
        <v>0</v>
      </c>
      <c r="I102" t="s">
        <v>137</v>
      </c>
      <c r="J102">
        <v>0</v>
      </c>
      <c r="K102">
        <v>0</v>
      </c>
      <c r="L102">
        <v>0.065083784130565148</v>
      </c>
      <c r="M102">
        <v>0.39050270478339094</v>
      </c>
      <c r="N102">
        <v>0.39050270478339094</v>
      </c>
      <c r="O102" t="s">
        <v>90</v>
      </c>
      <c r="P102">
        <v>0</v>
      </c>
      <c r="Q102" t="s">
        <v>90</v>
      </c>
      <c r="R102">
        <v>0</v>
      </c>
      <c r="S102" t="s">
        <v>90</v>
      </c>
      <c r="T102">
        <v>0</v>
      </c>
      <c r="U102">
        <v>0.39050270478339094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57</v>
      </c>
      <c r="AB102">
        <v>1</v>
      </c>
      <c r="AC102">
        <v>5</v>
      </c>
      <c r="AD102">
        <v>5.0061745986510875</v>
      </c>
      <c r="AE102">
        <v>216</v>
      </c>
      <c r="AF102">
        <v>200000</v>
      </c>
      <c r="AG102">
        <v>10000</v>
      </c>
      <c r="AH102">
        <v>1</v>
      </c>
      <c r="AI102">
        <v>1</v>
      </c>
      <c r="AJ102" t="s">
        <v>79</v>
      </c>
      <c r="AK102" t="s">
        <v>137</v>
      </c>
      <c r="AL102">
        <v>0</v>
      </c>
      <c r="AM102" t="s">
        <v>137</v>
      </c>
      <c r="AN102">
        <v>0</v>
      </c>
      <c r="AP102">
        <v>0</v>
      </c>
    </row>
    <row r="103" spans="1:42" ht="12.75">
      <c r="A103" s="2" t="str">
        <f>HYPERLINK("https://ibp.a2mac1.com/costing(costing:projects/details/8191/process/6970283)","Process [2]")</f>
        <v>Process [2]</v>
      </c>
      <c r="C103">
        <v>6970283</v>
      </c>
      <c r="D103">
        <v>5381395</v>
      </c>
      <c r="E103">
        <v>0</v>
      </c>
      <c r="F103">
        <v>0</v>
      </c>
      <c r="G103">
        <v>0</v>
      </c>
      <c r="H103">
        <v>0</v>
      </c>
      <c r="I103" t="s">
        <v>137</v>
      </c>
      <c r="J103">
        <v>0</v>
      </c>
      <c r="K103">
        <v>0</v>
      </c>
      <c r="L103">
        <v>0.1301675682611303</v>
      </c>
      <c r="M103">
        <v>0.45558648891395609</v>
      </c>
      <c r="N103">
        <v>0.45558648891395609</v>
      </c>
      <c r="O103" t="s">
        <v>90</v>
      </c>
      <c r="P103">
        <v>0</v>
      </c>
      <c r="Q103" t="s">
        <v>90</v>
      </c>
      <c r="R103">
        <v>0</v>
      </c>
      <c r="S103" t="s">
        <v>90</v>
      </c>
      <c r="T103">
        <v>0</v>
      </c>
      <c r="U103">
        <v>0.45558648891395609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57</v>
      </c>
      <c r="AB103">
        <v>1</v>
      </c>
      <c r="AC103">
        <v>5</v>
      </c>
      <c r="AD103">
        <v>5.0061745986510875</v>
      </c>
      <c r="AE103">
        <v>216</v>
      </c>
      <c r="AF103">
        <v>200000</v>
      </c>
      <c r="AG103">
        <v>10000</v>
      </c>
      <c r="AH103">
        <v>1</v>
      </c>
      <c r="AI103">
        <v>1</v>
      </c>
      <c r="AJ103" t="s">
        <v>79</v>
      </c>
      <c r="AK103" t="s">
        <v>137</v>
      </c>
      <c r="AL103">
        <v>0</v>
      </c>
      <c r="AM103" t="s">
        <v>137</v>
      </c>
      <c r="AN103">
        <v>0</v>
      </c>
      <c r="AP103">
        <v>0</v>
      </c>
    </row>
    <row r="104" spans="1:42" ht="12.75">
      <c r="A104" s="2" t="str">
        <f>HYPERLINK("https://ibp.a2mac1.com/costing(costing:projects/details/8191/process/6970284)","Automated Process")</f>
        <v>Automated Process</v>
      </c>
      <c r="C104">
        <v>6970284</v>
      </c>
      <c r="D104">
        <v>5381396</v>
      </c>
      <c r="E104">
        <v>0</v>
      </c>
      <c r="F104">
        <v>0</v>
      </c>
      <c r="G104">
        <v>0</v>
      </c>
      <c r="H104">
        <v>0</v>
      </c>
      <c r="I104" t="s">
        <v>137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138</v>
      </c>
      <c r="P104">
        <v>0</v>
      </c>
      <c r="Q104" t="s">
        <v>138</v>
      </c>
      <c r="R104">
        <v>0</v>
      </c>
      <c r="S104" t="s">
        <v>139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0.50</v>
      </c>
      <c r="AD104">
        <v>0.50345253019720215</v>
      </c>
      <c r="AE104">
        <v>0</v>
      </c>
      <c r="AF104">
        <v>200000</v>
      </c>
      <c r="AG104">
        <v>16666.666666666668</v>
      </c>
      <c r="AH104">
        <v>1</v>
      </c>
      <c r="AI104">
        <v>1</v>
      </c>
      <c r="AJ104" t="s">
        <v>136</v>
      </c>
      <c r="AK104" t="s">
        <v>137</v>
      </c>
      <c r="AL104">
        <v>0</v>
      </c>
      <c r="AM104" t="s">
        <v>137</v>
      </c>
      <c r="AN104">
        <v>0</v>
      </c>
    </row>
    <row r="105" spans="1:42" ht="12.75">
      <c r="A105" s="2" t="str">
        <f>HYPERLINK("https://ibp.a2mac1.com/costing(costing:projects/details/8191/process/6970285)","Automated Process")</f>
        <v>Automated Process</v>
      </c>
      <c r="C105">
        <v>6970285</v>
      </c>
      <c r="D105">
        <v>5381397</v>
      </c>
      <c r="E105">
        <v>0.85380699599999998</v>
      </c>
      <c r="F105">
        <v>0</v>
      </c>
      <c r="G105">
        <v>0</v>
      </c>
      <c r="H105">
        <v>0.004331091127578947</v>
      </c>
      <c r="I105" t="s">
        <v>137</v>
      </c>
      <c r="J105">
        <v>0.029958140210526316</v>
      </c>
      <c r="K105">
        <v>0.88809622733810523</v>
      </c>
      <c r="L105">
        <v>0.037395327509434279</v>
      </c>
      <c r="M105">
        <v>0.22437196505660564</v>
      </c>
      <c r="N105">
        <v>1.1124681923947108</v>
      </c>
      <c r="O105" t="s">
        <v>138</v>
      </c>
      <c r="P105">
        <v>0.053285773640286319</v>
      </c>
      <c r="Q105" t="s">
        <v>138</v>
      </c>
      <c r="R105">
        <v>0.01346231790339634</v>
      </c>
      <c r="S105" t="s">
        <v>139</v>
      </c>
      <c r="T105">
        <v>0.1334961830873653</v>
      </c>
      <c r="U105">
        <v>1.3127124670257588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60</v>
      </c>
      <c r="AB105">
        <v>1</v>
      </c>
      <c r="AC105">
        <v>0.50</v>
      </c>
      <c r="AD105">
        <v>0.50345253019720215</v>
      </c>
      <c r="AE105">
        <v>2170.80</v>
      </c>
      <c r="AF105">
        <v>200000</v>
      </c>
      <c r="AG105">
        <v>16666.666666666668</v>
      </c>
      <c r="AH105">
        <v>1</v>
      </c>
      <c r="AI105">
        <v>1</v>
      </c>
      <c r="AJ105" t="s">
        <v>136</v>
      </c>
      <c r="AK105" t="s">
        <v>137</v>
      </c>
      <c r="AL105">
        <v>0</v>
      </c>
      <c r="AM105" t="s">
        <v>137</v>
      </c>
      <c r="AN105">
        <v>0</v>
      </c>
    </row>
    <row r="106" spans="1:42" ht="12.75">
      <c r="A106" s="2" t="str">
        <f>HYPERLINK("https://ibp.a2mac1.com/costing(costing:projects/details/8191/process/6970286)","Automated Process")</f>
        <v>Automated Process</v>
      </c>
      <c r="C106">
        <v>6970286</v>
      </c>
      <c r="D106">
        <v>5381399</v>
      </c>
      <c r="E106">
        <v>0</v>
      </c>
      <c r="F106">
        <v>0</v>
      </c>
      <c r="G106">
        <v>0</v>
      </c>
      <c r="H106">
        <v>0</v>
      </c>
      <c r="I106" t="s">
        <v>137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138</v>
      </c>
      <c r="P106">
        <v>0</v>
      </c>
      <c r="Q106" t="s">
        <v>138</v>
      </c>
      <c r="R106">
        <v>0</v>
      </c>
      <c r="S106" t="s">
        <v>139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0.50</v>
      </c>
      <c r="AD106">
        <v>0.50345253019720215</v>
      </c>
      <c r="AE106">
        <v>0</v>
      </c>
      <c r="AF106">
        <v>200000</v>
      </c>
      <c r="AG106">
        <v>16666.666666666668</v>
      </c>
      <c r="AH106">
        <v>1</v>
      </c>
      <c r="AI106">
        <v>1</v>
      </c>
      <c r="AJ106" t="s">
        <v>136</v>
      </c>
      <c r="AK106" t="s">
        <v>137</v>
      </c>
      <c r="AL106">
        <v>0</v>
      </c>
      <c r="AM106" t="s">
        <v>137</v>
      </c>
      <c r="AN106">
        <v>0</v>
      </c>
    </row>
    <row r="107" spans="1:42" ht="12.75">
      <c r="A107" s="2" t="str">
        <f>HYPERLINK("https://ibp.a2mac1.com/costing(costing:projects/details/8191/process/6970287)","Automated Process")</f>
        <v>Automated Process</v>
      </c>
      <c r="C107">
        <v>6970287</v>
      </c>
      <c r="D107">
        <v>5381400</v>
      </c>
      <c r="E107">
        <v>0.09818172</v>
      </c>
      <c r="F107">
        <v>0</v>
      </c>
      <c r="G107">
        <v>0</v>
      </c>
      <c r="H107">
        <v>0.00049804461473684206</v>
      </c>
      <c r="I107" t="s">
        <v>137</v>
      </c>
      <c r="J107">
        <v>0.0034449726315789473</v>
      </c>
      <c r="K107">
        <v>0.10212473724631579</v>
      </c>
      <c r="L107">
        <v>0.0016711762254908518</v>
      </c>
      <c r="M107">
        <v>0.010027057352945111</v>
      </c>
      <c r="N107">
        <v>0.1121517945992609</v>
      </c>
      <c r="O107" t="s">
        <v>138</v>
      </c>
      <c r="P107">
        <v>0.006127484234778947</v>
      </c>
      <c r="Q107" t="s">
        <v>138</v>
      </c>
      <c r="R107">
        <v>0.00060162344117670674</v>
      </c>
      <c r="S107" t="s">
        <v>139</v>
      </c>
      <c r="T107">
        <v>0.013458215351911308</v>
      </c>
      <c r="U107">
        <v>0.13233911762712786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60</v>
      </c>
      <c r="AB107">
        <v>1</v>
      </c>
      <c r="AC107">
        <v>0.50</v>
      </c>
      <c r="AD107">
        <v>0.50345253019720215</v>
      </c>
      <c r="AE107">
        <v>97.20</v>
      </c>
      <c r="AF107">
        <v>200000</v>
      </c>
      <c r="AG107">
        <v>16666.666666666668</v>
      </c>
      <c r="AH107">
        <v>1</v>
      </c>
      <c r="AI107">
        <v>1</v>
      </c>
      <c r="AJ107" t="s">
        <v>136</v>
      </c>
      <c r="AK107" t="s">
        <v>137</v>
      </c>
      <c r="AL107">
        <v>0</v>
      </c>
      <c r="AM107" t="s">
        <v>137</v>
      </c>
      <c r="AN107">
        <v>0</v>
      </c>
    </row>
    <row r="108" spans="1:42" ht="12.75">
      <c r="A108" s="2" t="str">
        <f>HYPERLINK("https://ibp.a2mac1.com/costing(costing:projects/details/8191/process/6970288)","Automated Process")</f>
        <v>Automated Process</v>
      </c>
      <c r="C108">
        <v>6970288</v>
      </c>
      <c r="D108">
        <v>5381401</v>
      </c>
      <c r="E108">
        <v>0</v>
      </c>
      <c r="F108">
        <v>0</v>
      </c>
      <c r="G108">
        <v>0</v>
      </c>
      <c r="H108">
        <v>0</v>
      </c>
      <c r="I108" t="s">
        <v>137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138</v>
      </c>
      <c r="P108">
        <v>0</v>
      </c>
      <c r="Q108" t="s">
        <v>138</v>
      </c>
      <c r="R108">
        <v>0</v>
      </c>
      <c r="S108" t="s">
        <v>139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0.50</v>
      </c>
      <c r="AD108">
        <v>0.50345253019720215</v>
      </c>
      <c r="AE108">
        <v>0</v>
      </c>
      <c r="AF108">
        <v>200000</v>
      </c>
      <c r="AG108">
        <v>16666.666666666668</v>
      </c>
      <c r="AH108">
        <v>1</v>
      </c>
      <c r="AI108">
        <v>1</v>
      </c>
      <c r="AJ108" t="s">
        <v>136</v>
      </c>
      <c r="AK108" t="s">
        <v>137</v>
      </c>
      <c r="AL108">
        <v>0</v>
      </c>
      <c r="AM108" t="s">
        <v>137</v>
      </c>
      <c r="AN108">
        <v>0</v>
      </c>
    </row>
    <row r="109" spans="1:42" ht="12.75">
      <c r="A109" s="2" t="str">
        <f>HYPERLINK("https://ibp.a2mac1.com/costing(costing:projects/details/8191/process/6970289)","Automated Process")</f>
        <v>Automated Process</v>
      </c>
      <c r="C109">
        <v>6970289</v>
      </c>
      <c r="D109">
        <v>5381402</v>
      </c>
      <c r="E109">
        <v>0.27951250799999999</v>
      </c>
      <c r="F109">
        <v>0</v>
      </c>
      <c r="G109">
        <v>0</v>
      </c>
      <c r="H109">
        <v>0.0015024858642315789</v>
      </c>
      <c r="I109" t="s">
        <v>137</v>
      </c>
      <c r="J109">
        <v>0.010392688784210527</v>
      </c>
      <c r="K109">
        <v>0.29140768264844208</v>
      </c>
      <c r="L109">
        <v>0.0027007797783767393</v>
      </c>
      <c r="M109">
        <v>0.016204678670260438</v>
      </c>
      <c r="N109">
        <v>0.30761236131870257</v>
      </c>
      <c r="O109" t="s">
        <v>138</v>
      </c>
      <c r="P109">
        <v>0.017484460958906527</v>
      </c>
      <c r="Q109" t="s">
        <v>138</v>
      </c>
      <c r="R109">
        <v>0.00097228072021562613</v>
      </c>
      <c r="S109" t="s">
        <v>139</v>
      </c>
      <c r="T109">
        <v>0.036913483358244306</v>
      </c>
      <c r="U109">
        <v>0.362982586356069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60</v>
      </c>
      <c r="AB109">
        <v>1</v>
      </c>
      <c r="AC109">
        <v>0.50</v>
      </c>
      <c r="AD109">
        <v>0.50345253019720215</v>
      </c>
      <c r="AE109">
        <v>1024.65</v>
      </c>
      <c r="AF109">
        <v>200000</v>
      </c>
      <c r="AG109">
        <v>16666.666666666668</v>
      </c>
      <c r="AH109">
        <v>1</v>
      </c>
      <c r="AI109">
        <v>1</v>
      </c>
      <c r="AJ109" t="s">
        <v>136</v>
      </c>
      <c r="AK109" t="s">
        <v>137</v>
      </c>
      <c r="AL109">
        <v>0</v>
      </c>
      <c r="AM109" t="s">
        <v>137</v>
      </c>
      <c r="AN109">
        <v>0</v>
      </c>
    </row>
    <row r="110" spans="1:42" ht="12.75">
      <c r="A110" s="2" t="str">
        <f>HYPERLINK("https://ibp.a2mac1.com/costing(costing:projects/details/8191/process/6970290)","Automated Process")</f>
        <v>Automated Process</v>
      </c>
      <c r="C110">
        <v>6970290</v>
      </c>
      <c r="D110">
        <v>5381403</v>
      </c>
      <c r="E110">
        <v>0</v>
      </c>
      <c r="F110">
        <v>0</v>
      </c>
      <c r="G110">
        <v>0</v>
      </c>
      <c r="H110">
        <v>0</v>
      </c>
      <c r="I110" t="s">
        <v>137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138</v>
      </c>
      <c r="P110">
        <v>0</v>
      </c>
      <c r="Q110" t="s">
        <v>138</v>
      </c>
      <c r="R110">
        <v>0</v>
      </c>
      <c r="S110" t="s">
        <v>139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0.50</v>
      </c>
      <c r="AD110">
        <v>0.50345253019720215</v>
      </c>
      <c r="AE110">
        <v>0</v>
      </c>
      <c r="AF110">
        <v>200000</v>
      </c>
      <c r="AG110">
        <v>16666.666666666668</v>
      </c>
      <c r="AH110">
        <v>1</v>
      </c>
      <c r="AI110">
        <v>1</v>
      </c>
      <c r="AJ110" t="s">
        <v>136</v>
      </c>
      <c r="AK110" t="s">
        <v>137</v>
      </c>
      <c r="AL110">
        <v>0</v>
      </c>
      <c r="AM110" t="s">
        <v>137</v>
      </c>
      <c r="AN110">
        <v>0</v>
      </c>
    </row>
    <row r="111" spans="1:42" ht="12.75">
      <c r="A111" s="2" t="str">
        <f>HYPERLINK("https://ibp.a2mac1.com/costing(costing:projects/details/8191/process/6970291)","Automated Process")</f>
        <v>Automated Process</v>
      </c>
      <c r="C111">
        <v>6970291</v>
      </c>
      <c r="D111">
        <v>5381404</v>
      </c>
      <c r="E111">
        <v>0</v>
      </c>
      <c r="F111">
        <v>0</v>
      </c>
      <c r="G111">
        <v>0</v>
      </c>
      <c r="H111">
        <v>0</v>
      </c>
      <c r="I111" t="s">
        <v>137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138</v>
      </c>
      <c r="P111">
        <v>0</v>
      </c>
      <c r="Q111" t="s">
        <v>138</v>
      </c>
      <c r="R111">
        <v>0</v>
      </c>
      <c r="S111" t="s">
        <v>139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0.50</v>
      </c>
      <c r="AD111">
        <v>0.50048257265952256</v>
      </c>
      <c r="AE111">
        <v>0</v>
      </c>
      <c r="AF111">
        <v>800000</v>
      </c>
      <c r="AG111">
        <v>66666.666666666672</v>
      </c>
      <c r="AH111">
        <v>1</v>
      </c>
      <c r="AI111">
        <v>1</v>
      </c>
      <c r="AJ111" t="s">
        <v>136</v>
      </c>
      <c r="AK111" t="s">
        <v>137</v>
      </c>
      <c r="AL111">
        <v>0</v>
      </c>
      <c r="AM111" t="s">
        <v>137</v>
      </c>
      <c r="AN111">
        <v>0</v>
      </c>
    </row>
    <row r="112" spans="1:42" ht="12.75">
      <c r="A112" s="2" t="str">
        <f>HYPERLINK("https://ibp.a2mac1.com/costing(costing:projects/details/8191/process/6970329)","Process")</f>
        <v>Process</v>
      </c>
      <c r="C112">
        <v>6970329</v>
      </c>
      <c r="D112">
        <v>5381533</v>
      </c>
      <c r="E112">
        <v>0</v>
      </c>
      <c r="F112">
        <v>0</v>
      </c>
      <c r="G112">
        <v>0</v>
      </c>
      <c r="H112">
        <v>0</v>
      </c>
      <c r="I112" t="s">
        <v>137</v>
      </c>
      <c r="J112">
        <v>0</v>
      </c>
      <c r="K112">
        <v>0</v>
      </c>
      <c r="L112">
        <v>0.68482797387499728</v>
      </c>
      <c r="M112">
        <v>2.3968979085624906</v>
      </c>
      <c r="N112">
        <v>2.3968979085624906</v>
      </c>
      <c r="O112" t="s">
        <v>138</v>
      </c>
      <c r="P112">
        <v>0</v>
      </c>
      <c r="Q112" t="s">
        <v>138</v>
      </c>
      <c r="R112">
        <v>0.14381387451374944</v>
      </c>
      <c r="S112" t="s">
        <v>139</v>
      </c>
      <c r="T112">
        <v>0.28762774902749888</v>
      </c>
      <c r="U112">
        <v>2.828339532103739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300</v>
      </c>
      <c r="AB112">
        <v>1</v>
      </c>
      <c r="AC112">
        <v>5</v>
      </c>
      <c r="AD112">
        <v>5.0007599939200489</v>
      </c>
      <c r="AE112">
        <v>216</v>
      </c>
      <c r="AF112">
        <v>200000</v>
      </c>
      <c r="AG112">
        <v>16666.666666666668</v>
      </c>
      <c r="AH112">
        <v>1</v>
      </c>
      <c r="AI112">
        <v>1</v>
      </c>
      <c r="AJ112" t="s">
        <v>136</v>
      </c>
      <c r="AK112" t="s">
        <v>137</v>
      </c>
      <c r="AL112">
        <v>0</v>
      </c>
      <c r="AM112" t="s">
        <v>137</v>
      </c>
      <c r="AN112">
        <v>0</v>
      </c>
    </row>
    <row r="113" spans="1:42" ht="12.75">
      <c r="A113" s="2" t="str">
        <f>HYPERLINK("https://ibp.a2mac1.com/costing(costing:projects/details/8191/process/6970292)","Process")</f>
        <v>Process</v>
      </c>
      <c r="C113">
        <v>6970292</v>
      </c>
      <c r="D113">
        <v>5381407</v>
      </c>
      <c r="E113">
        <v>0</v>
      </c>
      <c r="F113">
        <v>0</v>
      </c>
      <c r="G113">
        <v>0</v>
      </c>
      <c r="H113">
        <v>0</v>
      </c>
      <c r="I113" t="s">
        <v>137</v>
      </c>
      <c r="J113">
        <v>0</v>
      </c>
      <c r="K113">
        <v>0</v>
      </c>
      <c r="L113">
        <v>3.6066368978048571</v>
      </c>
      <c r="M113">
        <v>12.623229142316999</v>
      </c>
      <c r="N113">
        <v>12.623229142316999</v>
      </c>
      <c r="O113" t="s">
        <v>138</v>
      </c>
      <c r="P113">
        <v>0</v>
      </c>
      <c r="Q113" t="s">
        <v>138</v>
      </c>
      <c r="R113">
        <v>0.75739374853901997</v>
      </c>
      <c r="S113" t="s">
        <v>139</v>
      </c>
      <c r="T113">
        <v>1.5147874970780399</v>
      </c>
      <c r="U113">
        <v>14.89541038793406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1580</v>
      </c>
      <c r="AB113">
        <v>1</v>
      </c>
      <c r="AC113">
        <v>5</v>
      </c>
      <c r="AD113">
        <v>5.0007599939200489</v>
      </c>
      <c r="AE113">
        <v>216</v>
      </c>
      <c r="AF113">
        <v>200000</v>
      </c>
      <c r="AG113">
        <v>16666.666666666668</v>
      </c>
      <c r="AH113">
        <v>1</v>
      </c>
      <c r="AI113">
        <v>1</v>
      </c>
      <c r="AJ113" t="s">
        <v>136</v>
      </c>
      <c r="AK113" t="s">
        <v>137</v>
      </c>
      <c r="AL113">
        <v>0</v>
      </c>
      <c r="AM113" t="s">
        <v>137</v>
      </c>
      <c r="AN113">
        <v>0</v>
      </c>
    </row>
    <row r="114" spans="1:42" ht="12.75">
      <c r="A114" s="2" t="str">
        <f>HYPERLINK("https://ibp.a2mac1.com/costing(costing:projects/details/8191/process/6970293)","Process")</f>
        <v>Process</v>
      </c>
      <c r="C114">
        <v>6970293</v>
      </c>
      <c r="D114">
        <v>5381410</v>
      </c>
      <c r="E114">
        <v>0</v>
      </c>
      <c r="F114">
        <v>0</v>
      </c>
      <c r="G114">
        <v>0</v>
      </c>
      <c r="H114">
        <v>0</v>
      </c>
      <c r="I114" t="s">
        <v>137</v>
      </c>
      <c r="J114">
        <v>0</v>
      </c>
      <c r="K114">
        <v>0</v>
      </c>
      <c r="L114">
        <v>1.0044008249298257</v>
      </c>
      <c r="M114">
        <v>3.5154028872543899</v>
      </c>
      <c r="N114">
        <v>3.5154028872543899</v>
      </c>
      <c r="O114" t="s">
        <v>138</v>
      </c>
      <c r="P114">
        <v>0</v>
      </c>
      <c r="Q114" t="s">
        <v>138</v>
      </c>
      <c r="R114">
        <v>0.21092417323526341</v>
      </c>
      <c r="S114" t="s">
        <v>139</v>
      </c>
      <c r="T114">
        <v>0.42184834647052682</v>
      </c>
      <c r="U114">
        <v>4.1481754069601804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440</v>
      </c>
      <c r="AB114">
        <v>1</v>
      </c>
      <c r="AC114">
        <v>5</v>
      </c>
      <c r="AD114">
        <v>5.0007599939200489</v>
      </c>
      <c r="AE114">
        <v>216</v>
      </c>
      <c r="AF114">
        <v>200000</v>
      </c>
      <c r="AG114">
        <v>16666.666666666668</v>
      </c>
      <c r="AH114">
        <v>1</v>
      </c>
      <c r="AI114">
        <v>1</v>
      </c>
      <c r="AJ114" t="s">
        <v>136</v>
      </c>
      <c r="AK114" t="s">
        <v>137</v>
      </c>
      <c r="AL114">
        <v>0</v>
      </c>
      <c r="AM114" t="s">
        <v>137</v>
      </c>
      <c r="AN114">
        <v>0</v>
      </c>
    </row>
    <row r="115" spans="1:42" ht="12.75">
      <c r="A115" s="2" t="str">
        <f>HYPERLINK("https://ibp.a2mac1.com/costing(costing:projects/details/8191/process/6970294)","Automated Process")</f>
        <v>Automated Process</v>
      </c>
      <c r="C115">
        <v>6970294</v>
      </c>
      <c r="D115">
        <v>5381412</v>
      </c>
      <c r="E115">
        <v>0.091495488</v>
      </c>
      <c r="F115">
        <v>0</v>
      </c>
      <c r="G115">
        <v>0</v>
      </c>
      <c r="H115">
        <v>0.000464127488</v>
      </c>
      <c r="I115" t="s">
        <v>137</v>
      </c>
      <c r="J115">
        <v>0.0032103679999999999</v>
      </c>
      <c r="K115">
        <v>0.095169983488000001</v>
      </c>
      <c r="L115">
        <v>0.0017640282592940937</v>
      </c>
      <c r="M115">
        <v>0.010584169555764564</v>
      </c>
      <c r="N115">
        <v>0.10575415304376456</v>
      </c>
      <c r="O115" t="s">
        <v>138</v>
      </c>
      <c r="P115">
        <v>0.0057101990092800004</v>
      </c>
      <c r="Q115" t="s">
        <v>138</v>
      </c>
      <c r="R115">
        <v>0.00063505017334587375</v>
      </c>
      <c r="S115" t="s">
        <v>139</v>
      </c>
      <c r="T115">
        <v>0.012690498365251747</v>
      </c>
      <c r="U115">
        <v>0.12478990059164219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60</v>
      </c>
      <c r="AB115">
        <v>1</v>
      </c>
      <c r="AC115">
        <v>0.50</v>
      </c>
      <c r="AD115">
        <v>0.50345253019720215</v>
      </c>
      <c r="AE115">
        <v>102.60</v>
      </c>
      <c r="AF115">
        <v>200000</v>
      </c>
      <c r="AG115">
        <v>16666.666666666668</v>
      </c>
      <c r="AH115">
        <v>1</v>
      </c>
      <c r="AI115">
        <v>1</v>
      </c>
      <c r="AJ115" t="s">
        <v>136</v>
      </c>
      <c r="AK115" t="s">
        <v>137</v>
      </c>
      <c r="AL115">
        <v>0</v>
      </c>
      <c r="AM115" t="s">
        <v>137</v>
      </c>
      <c r="AN115">
        <v>0</v>
      </c>
    </row>
    <row r="116" spans="1:42" ht="12.75">
      <c r="A116" s="2" t="str">
        <f>HYPERLINK("https://ibp.a2mac1.com/costing(costing:projects/details/8191/process/6970295)","Automated Process")</f>
        <v>Automated Process</v>
      </c>
      <c r="C116">
        <v>6970295</v>
      </c>
      <c r="D116">
        <v>5381413</v>
      </c>
      <c r="E116">
        <v>0.0066150000000000002</v>
      </c>
      <c r="F116">
        <v>0</v>
      </c>
      <c r="G116">
        <v>0</v>
      </c>
      <c r="H116">
        <v>3.3555789473684214E-05</v>
      </c>
      <c r="I116" t="s">
        <v>137</v>
      </c>
      <c r="J116">
        <v>0.00023210526315789473</v>
      </c>
      <c r="K116">
        <v>0.0068806610526315794</v>
      </c>
      <c r="L116">
        <v>0.0001392530787954491</v>
      </c>
      <c r="M116">
        <v>0.00083551847277269474</v>
      </c>
      <c r="N116">
        <v>0.007716179525404274</v>
      </c>
      <c r="O116" t="s">
        <v>138</v>
      </c>
      <c r="P116">
        <v>0.00041283966315789472</v>
      </c>
      <c r="Q116" t="s">
        <v>138</v>
      </c>
      <c r="R116">
        <v>5.0131108366361679E-05</v>
      </c>
      <c r="S116" t="s">
        <v>139</v>
      </c>
      <c r="T116">
        <v>0.00092594154304851285</v>
      </c>
      <c r="U116">
        <v>0.0091050918399770437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60</v>
      </c>
      <c r="AB116">
        <v>1</v>
      </c>
      <c r="AC116">
        <v>0.50</v>
      </c>
      <c r="AD116">
        <v>0.50345253019720215</v>
      </c>
      <c r="AE116">
        <v>8.10</v>
      </c>
      <c r="AF116">
        <v>200000</v>
      </c>
      <c r="AG116">
        <v>16666.666666666668</v>
      </c>
      <c r="AH116">
        <v>1</v>
      </c>
      <c r="AI116">
        <v>1</v>
      </c>
      <c r="AJ116" t="s">
        <v>136</v>
      </c>
      <c r="AK116" t="s">
        <v>137</v>
      </c>
      <c r="AL116">
        <v>0</v>
      </c>
      <c r="AM116" t="s">
        <v>137</v>
      </c>
      <c r="AN116">
        <v>0</v>
      </c>
    </row>
    <row r="117" spans="1:42" ht="12.75">
      <c r="A117" s="2" t="str">
        <f>HYPERLINK("https://ibp.a2mac1.com/costing(costing:projects/details/8191/process/6970299)","Automated Process")</f>
        <v>Automated Process</v>
      </c>
      <c r="C117">
        <v>6970299</v>
      </c>
      <c r="D117">
        <v>5381414</v>
      </c>
      <c r="E117">
        <v>0.018575434500000002</v>
      </c>
      <c r="F117">
        <v>0</v>
      </c>
      <c r="G117">
        <v>0</v>
      </c>
      <c r="H117">
        <v>9.3668607052631577E-05</v>
      </c>
      <c r="I117" t="s">
        <v>137</v>
      </c>
      <c r="J117">
        <v>0.00065176963157894741</v>
      </c>
      <c r="K117">
        <v>0.019320872738631579</v>
      </c>
      <c r="L117">
        <v>0.00032411928687215726</v>
      </c>
      <c r="M117">
        <v>0.0019447157212329437</v>
      </c>
      <c r="N117">
        <v>0.021265588459864523</v>
      </c>
      <c r="O117" t="s">
        <v>138</v>
      </c>
      <c r="P117">
        <v>0.0011592523643178948</v>
      </c>
      <c r="Q117" t="s">
        <v>138</v>
      </c>
      <c r="R117">
        <v>0.00011668294327397662</v>
      </c>
      <c r="S117" t="s">
        <v>139</v>
      </c>
      <c r="T117">
        <v>0.0025518706151837428</v>
      </c>
      <c r="U117">
        <v>0.025093394382640136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60</v>
      </c>
      <c r="AB117">
        <v>1</v>
      </c>
      <c r="AC117">
        <v>0.50</v>
      </c>
      <c r="AD117">
        <v>0.50048257265952256</v>
      </c>
      <c r="AE117">
        <v>18.90</v>
      </c>
      <c r="AF117">
        <v>400000</v>
      </c>
      <c r="AG117">
        <v>33333.333333333336</v>
      </c>
      <c r="AH117">
        <v>1</v>
      </c>
      <c r="AI117">
        <v>1</v>
      </c>
      <c r="AJ117" t="s">
        <v>136</v>
      </c>
      <c r="AK117" t="s">
        <v>137</v>
      </c>
      <c r="AL117">
        <v>0</v>
      </c>
      <c r="AM117" t="s">
        <v>137</v>
      </c>
      <c r="AN117">
        <v>0</v>
      </c>
    </row>
    <row r="118" spans="1:42" ht="12.75">
      <c r="A118" s="2" t="str">
        <f>HYPERLINK("https://ibp.a2mac1.com/costing(costing:projects/details/8191/process/6970300)","Automated Process")</f>
        <v>Automated Process</v>
      </c>
      <c r="C118">
        <v>6970300</v>
      </c>
      <c r="D118">
        <v>5381415</v>
      </c>
      <c r="E118">
        <v>0.031581117749999998</v>
      </c>
      <c r="F118">
        <v>0</v>
      </c>
      <c r="G118">
        <v>0</v>
      </c>
      <c r="H118">
        <v>0.00015925115015789473</v>
      </c>
      <c r="I118" t="s">
        <v>137</v>
      </c>
      <c r="J118">
        <v>0.0011081093947368421</v>
      </c>
      <c r="K118">
        <v>0.032848478294894734</v>
      </c>
      <c r="L118">
        <v>0.00060193543746144993</v>
      </c>
      <c r="M118">
        <v>0.0036116126247686996</v>
      </c>
      <c r="N118">
        <v>0.036460090919663436</v>
      </c>
      <c r="O118" t="s">
        <v>138</v>
      </c>
      <c r="P118">
        <v>0.001970908697693684</v>
      </c>
      <c r="Q118" t="s">
        <v>138</v>
      </c>
      <c r="R118">
        <v>0.00021669675748612198</v>
      </c>
      <c r="S118" t="s">
        <v>139</v>
      </c>
      <c r="T118">
        <v>0.0043752109103596124</v>
      </c>
      <c r="U118">
        <v>0.043022907285202854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60</v>
      </c>
      <c r="AB118">
        <v>1</v>
      </c>
      <c r="AC118">
        <v>0.50</v>
      </c>
      <c r="AD118">
        <v>0.50048257265952256</v>
      </c>
      <c r="AE118">
        <v>35.10</v>
      </c>
      <c r="AF118">
        <v>400000</v>
      </c>
      <c r="AG118">
        <v>33333.333333333336</v>
      </c>
      <c r="AH118">
        <v>1</v>
      </c>
      <c r="AI118">
        <v>1</v>
      </c>
      <c r="AJ118" t="s">
        <v>136</v>
      </c>
      <c r="AK118" t="s">
        <v>137</v>
      </c>
      <c r="AL118">
        <v>0</v>
      </c>
      <c r="AM118" t="s">
        <v>137</v>
      </c>
      <c r="AN118">
        <v>0</v>
      </c>
    </row>
    <row r="119" spans="1:42" ht="12.75">
      <c r="A119" s="2" t="str">
        <f>HYPERLINK("https://ibp.a2mac1.com/costing(costing:projects/details/8191/process/6970301)","Process")</f>
        <v>Process</v>
      </c>
      <c r="C119">
        <v>6970301</v>
      </c>
      <c r="D119">
        <v>5381416</v>
      </c>
      <c r="E119">
        <v>0</v>
      </c>
      <c r="F119">
        <v>0</v>
      </c>
      <c r="G119">
        <v>0</v>
      </c>
      <c r="H119">
        <v>0</v>
      </c>
      <c r="I119" t="s">
        <v>137</v>
      </c>
      <c r="J119">
        <v>0</v>
      </c>
      <c r="K119">
        <v>0</v>
      </c>
      <c r="L119">
        <v>0.45656165169297702</v>
      </c>
      <c r="M119">
        <v>1.5979657809254195</v>
      </c>
      <c r="N119">
        <v>1.5979657809254195</v>
      </c>
      <c r="O119" t="s">
        <v>138</v>
      </c>
      <c r="P119">
        <v>0</v>
      </c>
      <c r="Q119" t="s">
        <v>138</v>
      </c>
      <c r="R119">
        <v>0.09587794685552517</v>
      </c>
      <c r="S119" t="s">
        <v>139</v>
      </c>
      <c r="T119">
        <v>0.19175589371105034</v>
      </c>
      <c r="U119">
        <v>1.885599621491995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200</v>
      </c>
      <c r="AB119">
        <v>1</v>
      </c>
      <c r="AC119">
        <v>5</v>
      </c>
      <c r="AD119">
        <v>5.0007599939200489</v>
      </c>
      <c r="AE119">
        <v>216</v>
      </c>
      <c r="AF119">
        <v>200000</v>
      </c>
      <c r="AG119">
        <v>16666.666666666668</v>
      </c>
      <c r="AH119">
        <v>1</v>
      </c>
      <c r="AI119">
        <v>1</v>
      </c>
      <c r="AJ119" t="s">
        <v>136</v>
      </c>
      <c r="AK119" t="s">
        <v>137</v>
      </c>
      <c r="AL119">
        <v>0</v>
      </c>
      <c r="AM119" t="s">
        <v>137</v>
      </c>
      <c r="AN119">
        <v>0</v>
      </c>
    </row>
    <row r="120" spans="1:42" ht="12.75">
      <c r="A120" s="2" t="str">
        <f>HYPERLINK("https://ibp.a2mac1.com/costing(costing:projects/details/8191/process/6970302)","Process")</f>
        <v>Process</v>
      </c>
      <c r="C120">
        <v>6970302</v>
      </c>
      <c r="D120">
        <v>5381421</v>
      </c>
      <c r="E120">
        <v>0</v>
      </c>
      <c r="F120">
        <v>0</v>
      </c>
      <c r="G120">
        <v>0</v>
      </c>
      <c r="H120">
        <v>0</v>
      </c>
      <c r="I120" t="s">
        <v>137</v>
      </c>
      <c r="J120">
        <v>0</v>
      </c>
      <c r="K120">
        <v>0</v>
      </c>
      <c r="L120">
        <v>0.10844100670092785</v>
      </c>
      <c r="M120">
        <v>0.65064604020556704</v>
      </c>
      <c r="N120">
        <v>0.65064604020556704</v>
      </c>
      <c r="O120" t="s">
        <v>691</v>
      </c>
      <c r="P120">
        <v>0</v>
      </c>
      <c r="Q120" t="s">
        <v>691</v>
      </c>
      <c r="R120">
        <v>0.026025841608222682</v>
      </c>
      <c r="S120" t="s">
        <v>138</v>
      </c>
      <c r="T120">
        <v>0.039038762412334026</v>
      </c>
      <c r="U120">
        <v>0.71571064422612374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95</v>
      </c>
      <c r="AB120">
        <v>1</v>
      </c>
      <c r="AC120">
        <v>5</v>
      </c>
      <c r="AD120">
        <v>5.0007599939200489</v>
      </c>
      <c r="AE120">
        <v>216</v>
      </c>
      <c r="AF120">
        <v>200000</v>
      </c>
      <c r="AG120">
        <v>16666.666666666668</v>
      </c>
      <c r="AH120">
        <v>1</v>
      </c>
      <c r="AI120">
        <v>1</v>
      </c>
      <c r="AJ120" t="s">
        <v>136</v>
      </c>
      <c r="AK120" t="s">
        <v>137</v>
      </c>
      <c r="AL120">
        <v>0</v>
      </c>
      <c r="AM120" t="s">
        <v>137</v>
      </c>
      <c r="AN120">
        <v>0</v>
      </c>
    </row>
    <row r="121" spans="1:42" ht="12.75">
      <c r="A121" s="2" t="str">
        <f>HYPERLINK("https://ibp.a2mac1.com/costing(costing:projects/details/8191/process/6970303)","Process")</f>
        <v>Process</v>
      </c>
      <c r="C121">
        <v>6970303</v>
      </c>
      <c r="D121">
        <v>5381422</v>
      </c>
      <c r="E121">
        <v>0</v>
      </c>
      <c r="F121">
        <v>0</v>
      </c>
      <c r="G121">
        <v>0</v>
      </c>
      <c r="H121">
        <v>0</v>
      </c>
      <c r="I121" t="s">
        <v>137</v>
      </c>
      <c r="J121">
        <v>0</v>
      </c>
      <c r="K121">
        <v>0</v>
      </c>
      <c r="L121">
        <v>0.2168820134018557</v>
      </c>
      <c r="M121">
        <v>0.75908704690649487</v>
      </c>
      <c r="N121">
        <v>0.75908704690649487</v>
      </c>
      <c r="O121" t="s">
        <v>138</v>
      </c>
      <c r="P121">
        <v>0</v>
      </c>
      <c r="Q121" t="s">
        <v>138</v>
      </c>
      <c r="R121">
        <v>0.045545222814389698</v>
      </c>
      <c r="S121" t="s">
        <v>139</v>
      </c>
      <c r="T121">
        <v>0.091090445628779396</v>
      </c>
      <c r="U121">
        <v>0.89572271534966397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95</v>
      </c>
      <c r="AB121">
        <v>1</v>
      </c>
      <c r="AC121">
        <v>5</v>
      </c>
      <c r="AD121">
        <v>5.0007599939200489</v>
      </c>
      <c r="AE121">
        <v>216</v>
      </c>
      <c r="AF121">
        <v>200000</v>
      </c>
      <c r="AG121">
        <v>16666.666666666668</v>
      </c>
      <c r="AH121">
        <v>1</v>
      </c>
      <c r="AI121">
        <v>1</v>
      </c>
      <c r="AJ121" t="s">
        <v>136</v>
      </c>
      <c r="AK121" t="s">
        <v>137</v>
      </c>
      <c r="AL121">
        <v>0</v>
      </c>
      <c r="AM121" t="s">
        <v>137</v>
      </c>
      <c r="AN121">
        <v>0</v>
      </c>
    </row>
    <row r="122" spans="1:42" ht="12.75">
      <c r="A122" s="2" t="str">
        <f>HYPERLINK("https://ibp.a2mac1.com/costing(costing:projects/details/8191/process/6970439)","Process")</f>
        <v>Process</v>
      </c>
      <c r="C122">
        <v>6970439</v>
      </c>
      <c r="D122">
        <v>5381690</v>
      </c>
      <c r="E122">
        <v>0</v>
      </c>
      <c r="F122">
        <v>0</v>
      </c>
      <c r="G122">
        <v>0</v>
      </c>
      <c r="H122">
        <v>0</v>
      </c>
      <c r="I122" t="s">
        <v>137</v>
      </c>
      <c r="J122">
        <v>0</v>
      </c>
      <c r="K122">
        <v>0</v>
      </c>
      <c r="L122">
        <v>0.99298750882072473</v>
      </c>
      <c r="M122">
        <v>3.4754562808725367</v>
      </c>
      <c r="N122">
        <v>3.4754562808725367</v>
      </c>
      <c r="O122" t="s">
        <v>138</v>
      </c>
      <c r="P122">
        <v>0</v>
      </c>
      <c r="Q122" t="s">
        <v>138</v>
      </c>
      <c r="R122">
        <v>0.20852737685235218</v>
      </c>
      <c r="S122" t="s">
        <v>139</v>
      </c>
      <c r="T122">
        <v>0.41705475370470435</v>
      </c>
      <c r="U122">
        <v>4.1010384114295926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435</v>
      </c>
      <c r="AB122">
        <v>1</v>
      </c>
      <c r="AC122">
        <v>5</v>
      </c>
      <c r="AD122">
        <v>5.0007599939200489</v>
      </c>
      <c r="AE122">
        <v>216</v>
      </c>
      <c r="AF122">
        <v>200000</v>
      </c>
      <c r="AG122">
        <v>16666.666666666668</v>
      </c>
      <c r="AH122">
        <v>1</v>
      </c>
      <c r="AI122">
        <v>1</v>
      </c>
      <c r="AJ122" t="s">
        <v>136</v>
      </c>
      <c r="AK122" t="s">
        <v>137</v>
      </c>
      <c r="AL122">
        <v>0</v>
      </c>
      <c r="AM122" t="s">
        <v>137</v>
      </c>
      <c r="AN122">
        <v>0</v>
      </c>
    </row>
    <row r="123" spans="1:42" ht="12.75">
      <c r="A123" s="2" t="str">
        <f>HYPERLINK("https://ibp.a2mac1.com/costing(costing:projects/details/8191/process/6970396)","Process")</f>
        <v>Process</v>
      </c>
      <c r="C123">
        <v>6970396</v>
      </c>
      <c r="D123">
        <v>5381539</v>
      </c>
      <c r="E123">
        <v>0</v>
      </c>
      <c r="F123">
        <v>0</v>
      </c>
      <c r="G123">
        <v>0</v>
      </c>
      <c r="H123">
        <v>0</v>
      </c>
      <c r="I123" t="s">
        <v>137</v>
      </c>
      <c r="J123">
        <v>0</v>
      </c>
      <c r="K123">
        <v>0</v>
      </c>
      <c r="L123">
        <v>0.22652561365618315</v>
      </c>
      <c r="M123">
        <v>0.79283964779664107</v>
      </c>
      <c r="N123">
        <v>0.79283964779664107</v>
      </c>
      <c r="O123" t="s">
        <v>138</v>
      </c>
      <c r="P123">
        <v>0</v>
      </c>
      <c r="Q123" t="s">
        <v>138</v>
      </c>
      <c r="R123">
        <v>0.047570378867798462</v>
      </c>
      <c r="S123" t="s">
        <v>139</v>
      </c>
      <c r="T123">
        <v>0.095140757735596923</v>
      </c>
      <c r="U123">
        <v>0.93555078440003636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94</v>
      </c>
      <c r="AB123">
        <v>1</v>
      </c>
      <c r="AC123">
        <v>10</v>
      </c>
      <c r="AD123">
        <v>10.002339939161581</v>
      </c>
      <c r="AE123">
        <v>216</v>
      </c>
      <c r="AF123">
        <v>200000</v>
      </c>
      <c r="AG123">
        <v>16666.666666666668</v>
      </c>
      <c r="AH123">
        <v>1</v>
      </c>
      <c r="AI123">
        <v>1</v>
      </c>
      <c r="AJ123" t="s">
        <v>136</v>
      </c>
      <c r="AK123" t="s">
        <v>137</v>
      </c>
      <c r="AL123">
        <v>0</v>
      </c>
      <c r="AM123" t="s">
        <v>137</v>
      </c>
      <c r="AN123">
        <v>0</v>
      </c>
    </row>
    <row r="124" spans="1:42" ht="12.75">
      <c r="A124" s="2" t="str">
        <f>HYPERLINK("https://ibp.a2mac1.com/costing(costing:projects/details/8191/process/6970304)","Process")</f>
        <v>Process</v>
      </c>
      <c r="C124">
        <v>6970304</v>
      </c>
      <c r="D124">
        <v>5381428</v>
      </c>
      <c r="E124">
        <v>0</v>
      </c>
      <c r="F124">
        <v>0</v>
      </c>
      <c r="G124">
        <v>0</v>
      </c>
      <c r="H124">
        <v>0</v>
      </c>
      <c r="I124" t="s">
        <v>137</v>
      </c>
      <c r="J124">
        <v>0</v>
      </c>
      <c r="K124">
        <v>0</v>
      </c>
      <c r="L124">
        <v>1.3125603598755531</v>
      </c>
      <c r="M124">
        <v>4.5939612595644359</v>
      </c>
      <c r="N124">
        <v>4.5939612595644359</v>
      </c>
      <c r="O124" t="s">
        <v>138</v>
      </c>
      <c r="P124">
        <v>0</v>
      </c>
      <c r="Q124" t="s">
        <v>138</v>
      </c>
      <c r="R124">
        <v>0.27563767557386615</v>
      </c>
      <c r="S124" t="s">
        <v>139</v>
      </c>
      <c r="T124">
        <v>0.5512753511477323</v>
      </c>
      <c r="U124">
        <v>5.4208742862860344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575</v>
      </c>
      <c r="AB124">
        <v>1</v>
      </c>
      <c r="AC124">
        <v>5</v>
      </c>
      <c r="AD124">
        <v>5.0007599939200489</v>
      </c>
      <c r="AE124">
        <v>216</v>
      </c>
      <c r="AF124">
        <v>200000</v>
      </c>
      <c r="AG124">
        <v>16666.666666666668</v>
      </c>
      <c r="AH124">
        <v>1</v>
      </c>
      <c r="AI124">
        <v>1</v>
      </c>
      <c r="AJ124" t="s">
        <v>136</v>
      </c>
      <c r="AK124" t="s">
        <v>137</v>
      </c>
      <c r="AL124">
        <v>0</v>
      </c>
      <c r="AM124" t="s">
        <v>137</v>
      </c>
      <c r="AN124">
        <v>0</v>
      </c>
    </row>
    <row r="125" spans="1:42" ht="12.75">
      <c r="A125" s="2" t="str">
        <f>HYPERLINK("https://ibp.a2mac1.com/costing(costing:projects/details/8191/process/6970305)","Process")</f>
        <v>Process</v>
      </c>
      <c r="C125">
        <v>6970305</v>
      </c>
      <c r="D125">
        <v>5381471</v>
      </c>
      <c r="E125">
        <v>0</v>
      </c>
      <c r="F125">
        <v>0</v>
      </c>
      <c r="G125">
        <v>0</v>
      </c>
      <c r="H125">
        <v>0</v>
      </c>
      <c r="I125" t="s">
        <v>137</v>
      </c>
      <c r="J125">
        <v>0</v>
      </c>
      <c r="K125">
        <v>0</v>
      </c>
      <c r="L125">
        <v>3.3098906789682307</v>
      </c>
      <c r="M125">
        <v>11.584617376388808</v>
      </c>
      <c r="N125">
        <v>11.584617376388808</v>
      </c>
      <c r="O125" t="s">
        <v>138</v>
      </c>
      <c r="P125">
        <v>0</v>
      </c>
      <c r="Q125" t="s">
        <v>138</v>
      </c>
      <c r="R125">
        <v>0.69507704258332847</v>
      </c>
      <c r="S125" t="s">
        <v>139</v>
      </c>
      <c r="T125">
        <v>1.3901540851666569</v>
      </c>
      <c r="U125">
        <v>13.669848504138793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1450</v>
      </c>
      <c r="AB125">
        <v>1</v>
      </c>
      <c r="AC125">
        <v>5</v>
      </c>
      <c r="AD125">
        <v>5.0007599939200489</v>
      </c>
      <c r="AE125">
        <v>216</v>
      </c>
      <c r="AF125">
        <v>200000</v>
      </c>
      <c r="AG125">
        <v>16666.666666666668</v>
      </c>
      <c r="AH125">
        <v>1</v>
      </c>
      <c r="AI125">
        <v>1</v>
      </c>
      <c r="AJ125" t="s">
        <v>136</v>
      </c>
      <c r="AK125" t="s">
        <v>137</v>
      </c>
      <c r="AL125">
        <v>0</v>
      </c>
      <c r="AM125" t="s">
        <v>137</v>
      </c>
      <c r="AN125">
        <v>0</v>
      </c>
    </row>
    <row r="126" spans="1:42" ht="12.75">
      <c r="A126" s="2" t="str">
        <f>HYPERLINK("https://ibp.a2mac1.com/costing(costing:projects/details/8191/process/6970306)","Process")</f>
        <v>Process</v>
      </c>
      <c r="C126">
        <v>6970306</v>
      </c>
      <c r="D126">
        <v>5381472</v>
      </c>
      <c r="E126">
        <v>0</v>
      </c>
      <c r="F126">
        <v>0</v>
      </c>
      <c r="G126">
        <v>0</v>
      </c>
      <c r="H126">
        <v>0</v>
      </c>
      <c r="I126" t="s">
        <v>137</v>
      </c>
      <c r="J126">
        <v>0</v>
      </c>
      <c r="K126">
        <v>0</v>
      </c>
      <c r="L126">
        <v>0.85603101310900165</v>
      </c>
      <c r="M126">
        <v>2.9961085458815058</v>
      </c>
      <c r="N126">
        <v>2.9961085458815058</v>
      </c>
      <c r="O126" t="s">
        <v>90</v>
      </c>
      <c r="P126">
        <v>0</v>
      </c>
      <c r="Q126" t="s">
        <v>90</v>
      </c>
      <c r="R126">
        <v>0</v>
      </c>
      <c r="S126" t="s">
        <v>90</v>
      </c>
      <c r="T126">
        <v>0</v>
      </c>
      <c r="U126">
        <v>2.9961085458815058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375</v>
      </c>
      <c r="AB126">
        <v>1</v>
      </c>
      <c r="AC126">
        <v>5</v>
      </c>
      <c r="AD126">
        <v>5.0016624709067594</v>
      </c>
      <c r="AE126">
        <v>216</v>
      </c>
      <c r="AF126">
        <v>400000</v>
      </c>
      <c r="AG126">
        <v>20000</v>
      </c>
      <c r="AH126">
        <v>1</v>
      </c>
      <c r="AI126">
        <v>1</v>
      </c>
      <c r="AJ126" t="s">
        <v>79</v>
      </c>
      <c r="AK126" t="s">
        <v>137</v>
      </c>
      <c r="AL126">
        <v>0</v>
      </c>
      <c r="AM126" t="s">
        <v>137</v>
      </c>
      <c r="AN126">
        <v>0</v>
      </c>
      <c r="AP126">
        <v>0</v>
      </c>
    </row>
    <row r="127" spans="1:42" ht="12.75">
      <c r="A127" s="2" t="str">
        <f>HYPERLINK("https://ibp.a2mac1.com/costing(costing:projects/details/8191/process/6970307)","Automated Process")</f>
        <v>Automated Process</v>
      </c>
      <c r="C127">
        <v>6970307</v>
      </c>
      <c r="D127">
        <v>5381474</v>
      </c>
      <c r="E127">
        <v>0</v>
      </c>
      <c r="F127">
        <v>0</v>
      </c>
      <c r="G127">
        <v>0</v>
      </c>
      <c r="H127">
        <v>0</v>
      </c>
      <c r="I127" t="s">
        <v>137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138</v>
      </c>
      <c r="P127">
        <v>0</v>
      </c>
      <c r="Q127" t="s">
        <v>138</v>
      </c>
      <c r="R127">
        <v>0</v>
      </c>
      <c r="S127" t="s">
        <v>139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0.50</v>
      </c>
      <c r="AD127">
        <v>0.50345253019720215</v>
      </c>
      <c r="AE127">
        <v>0</v>
      </c>
      <c r="AF127">
        <v>200000</v>
      </c>
      <c r="AG127">
        <v>16666.666666666668</v>
      </c>
      <c r="AH127">
        <v>1</v>
      </c>
      <c r="AI127">
        <v>1</v>
      </c>
      <c r="AJ127" t="s">
        <v>136</v>
      </c>
      <c r="AK127" t="s">
        <v>137</v>
      </c>
      <c r="AL127">
        <v>0</v>
      </c>
      <c r="AM127" t="s">
        <v>137</v>
      </c>
      <c r="AN127">
        <v>0</v>
      </c>
    </row>
    <row r="128" spans="1:42" ht="12.75">
      <c r="A128" s="2" t="str">
        <f>HYPERLINK("https://ibp.a2mac1.com/costing(costing:projects/details/8191/process/6970308)","Automated Process")</f>
        <v>Automated Process</v>
      </c>
      <c r="C128">
        <v>6970308</v>
      </c>
      <c r="D128">
        <v>5381475</v>
      </c>
      <c r="E128">
        <v>0.048873699</v>
      </c>
      <c r="F128">
        <v>0</v>
      </c>
      <c r="G128">
        <v>0</v>
      </c>
      <c r="H128">
        <v>0.00024792071873684212</v>
      </c>
      <c r="I128" t="s">
        <v>137</v>
      </c>
      <c r="J128">
        <v>0.0017148666315789473</v>
      </c>
      <c r="K128">
        <v>0.05083648635031579</v>
      </c>
      <c r="L128">
        <v>0.0012533536800383852</v>
      </c>
      <c r="M128">
        <v>0.0075201220802303117</v>
      </c>
      <c r="N128">
        <v>0.058356608430546103</v>
      </c>
      <c r="O128" t="s">
        <v>138</v>
      </c>
      <c r="P128">
        <v>0.0030501891810189473</v>
      </c>
      <c r="Q128" t="s">
        <v>138</v>
      </c>
      <c r="R128">
        <v>0.00045120732481381871</v>
      </c>
      <c r="S128" t="s">
        <v>139</v>
      </c>
      <c r="T128">
        <v>0.0070027930116655325</v>
      </c>
      <c r="U128">
        <v>0.068860797948044394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60</v>
      </c>
      <c r="AB128">
        <v>1</v>
      </c>
      <c r="AC128">
        <v>0.50</v>
      </c>
      <c r="AD128">
        <v>0.50345253019720215</v>
      </c>
      <c r="AE128">
        <v>72.90</v>
      </c>
      <c r="AF128">
        <v>200000</v>
      </c>
      <c r="AG128">
        <v>16666.666666666668</v>
      </c>
      <c r="AH128">
        <v>1</v>
      </c>
      <c r="AI128">
        <v>1</v>
      </c>
      <c r="AJ128" t="s">
        <v>136</v>
      </c>
      <c r="AK128" t="s">
        <v>137</v>
      </c>
      <c r="AL128">
        <v>0</v>
      </c>
      <c r="AM128" t="s">
        <v>137</v>
      </c>
      <c r="AN128">
        <v>0</v>
      </c>
    </row>
    <row r="129" spans="1:42" ht="12.75">
      <c r="A129" s="2" t="str">
        <f>HYPERLINK("https://ibp.a2mac1.com/costing(costing:projects/details/8191/process/6970309)","Process")</f>
        <v>Process</v>
      </c>
      <c r="C129">
        <v>6970309</v>
      </c>
      <c r="D129">
        <v>5381477</v>
      </c>
      <c r="E129">
        <v>0</v>
      </c>
      <c r="F129">
        <v>0</v>
      </c>
      <c r="G129">
        <v>0</v>
      </c>
      <c r="H129">
        <v>0</v>
      </c>
      <c r="I129" t="s">
        <v>137</v>
      </c>
      <c r="J129">
        <v>0</v>
      </c>
      <c r="K129">
        <v>0</v>
      </c>
      <c r="L129">
        <v>0.27394859394736076</v>
      </c>
      <c r="M129">
        <v>0.9588200788157627</v>
      </c>
      <c r="N129">
        <v>0.9588200788157627</v>
      </c>
      <c r="O129" t="s">
        <v>138</v>
      </c>
      <c r="P129">
        <v>0</v>
      </c>
      <c r="Q129" t="s">
        <v>138</v>
      </c>
      <c r="R129">
        <v>0.057529204728945758</v>
      </c>
      <c r="S129" t="s">
        <v>139</v>
      </c>
      <c r="T129">
        <v>0.11505840945789152</v>
      </c>
      <c r="U129">
        <v>1.1314076930026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120</v>
      </c>
      <c r="AB129">
        <v>1</v>
      </c>
      <c r="AC129">
        <v>5</v>
      </c>
      <c r="AD129">
        <v>5.0007599939200489</v>
      </c>
      <c r="AE129">
        <v>216</v>
      </c>
      <c r="AF129">
        <v>200000</v>
      </c>
      <c r="AG129">
        <v>16666.666666666668</v>
      </c>
      <c r="AH129">
        <v>1</v>
      </c>
      <c r="AI129">
        <v>1</v>
      </c>
      <c r="AJ129" t="s">
        <v>136</v>
      </c>
      <c r="AK129" t="s">
        <v>137</v>
      </c>
      <c r="AL129">
        <v>0</v>
      </c>
      <c r="AM129" t="s">
        <v>137</v>
      </c>
      <c r="AN129">
        <v>0</v>
      </c>
    </row>
    <row r="130" spans="1:42" ht="12.75">
      <c r="A130" s="2" t="str">
        <f>HYPERLINK("https://ibp.a2mac1.com/costing(costing:projects/details/8191/process/6970310)","Process [2]")</f>
        <v>Process [2]</v>
      </c>
      <c r="B130" t="s">
        <v>1394</v>
      </c>
      <c r="C130">
        <v>6970310</v>
      </c>
      <c r="D130">
        <v>5381479</v>
      </c>
      <c r="E130">
        <v>0</v>
      </c>
      <c r="F130">
        <v>0</v>
      </c>
      <c r="G130">
        <v>0</v>
      </c>
      <c r="H130">
        <v>0</v>
      </c>
      <c r="I130" t="s">
        <v>137</v>
      </c>
      <c r="J130">
        <v>0</v>
      </c>
      <c r="K130">
        <v>0</v>
      </c>
      <c r="L130">
        <v>0.2017176101777495</v>
      </c>
      <c r="M130">
        <v>0.70601163562212321</v>
      </c>
      <c r="N130">
        <v>0.70601163562212321</v>
      </c>
      <c r="O130" t="s">
        <v>90</v>
      </c>
      <c r="P130">
        <v>0</v>
      </c>
      <c r="Q130" t="s">
        <v>90</v>
      </c>
      <c r="R130">
        <v>0</v>
      </c>
      <c r="S130" t="s">
        <v>90</v>
      </c>
      <c r="T130">
        <v>0</v>
      </c>
      <c r="U130">
        <v>0.70601163562212321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93</v>
      </c>
      <c r="AB130">
        <v>1</v>
      </c>
      <c r="AC130">
        <v>0</v>
      </c>
      <c r="AD130">
        <v>0</v>
      </c>
      <c r="AE130">
        <v>216</v>
      </c>
      <c r="AF130">
        <v>200000</v>
      </c>
      <c r="AG130">
        <v>10000</v>
      </c>
      <c r="AH130">
        <v>1</v>
      </c>
      <c r="AI130">
        <v>1</v>
      </c>
      <c r="AJ130" t="s">
        <v>79</v>
      </c>
      <c r="AK130" t="s">
        <v>137</v>
      </c>
      <c r="AL130">
        <v>0</v>
      </c>
      <c r="AM130" t="s">
        <v>137</v>
      </c>
      <c r="AN130">
        <v>0</v>
      </c>
      <c r="AP130">
        <v>0</v>
      </c>
    </row>
    <row r="131" spans="1:42" ht="12.75">
      <c r="A131" s="2" t="str">
        <f>HYPERLINK("https://ibp.a2mac1.com/costing(costing:projects/details/8191/process/6970496)","Process")</f>
        <v>Process</v>
      </c>
      <c r="C131">
        <v>6970496</v>
      </c>
      <c r="D131">
        <v>5381722</v>
      </c>
      <c r="E131">
        <v>1.2233954333333332</v>
      </c>
      <c r="F131">
        <v>0</v>
      </c>
      <c r="G131">
        <v>0</v>
      </c>
      <c r="H131">
        <v>0.0065161904133333335</v>
      </c>
      <c r="I131" t="s">
        <v>137</v>
      </c>
      <c r="J131">
        <v>0.045072463333333333</v>
      </c>
      <c r="K131">
        <v>1.27498408708</v>
      </c>
      <c r="L131">
        <v>1.2855242297726945</v>
      </c>
      <c r="M131">
        <v>7.7131453786361668</v>
      </c>
      <c r="N131">
        <v>8.9881294657161668</v>
      </c>
      <c r="O131" t="s">
        <v>138</v>
      </c>
      <c r="P131">
        <v>0.0764990452248</v>
      </c>
      <c r="Q131" t="s">
        <v>138</v>
      </c>
      <c r="R131">
        <v>0.46278872271817001</v>
      </c>
      <c r="S131" t="s">
        <v>139</v>
      </c>
      <c r="T131">
        <v>1.0785755358859401</v>
      </c>
      <c r="U131">
        <v>10.605992769545077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60</v>
      </c>
      <c r="AB131">
        <v>1</v>
      </c>
      <c r="AC131">
        <v>0.50</v>
      </c>
      <c r="AD131">
        <v>0.50345253019720215</v>
      </c>
      <c r="AE131">
        <v>1800</v>
      </c>
      <c r="AF131">
        <v>200000</v>
      </c>
      <c r="AG131">
        <v>16666.666666666668</v>
      </c>
      <c r="AH131">
        <v>1</v>
      </c>
      <c r="AI131">
        <v>1</v>
      </c>
      <c r="AJ131" t="s">
        <v>136</v>
      </c>
      <c r="AK131" t="s">
        <v>137</v>
      </c>
      <c r="AL131">
        <v>0</v>
      </c>
      <c r="AM131" t="s">
        <v>137</v>
      </c>
      <c r="AN131">
        <v>0</v>
      </c>
    </row>
    <row r="132" spans="1:42" ht="12.75">
      <c r="A132" s="2" t="str">
        <f>HYPERLINK("https://ibp.a2mac1.com/costing(costing:projects/details/8191/process/6970497)","Process")</f>
        <v>Process</v>
      </c>
      <c r="C132">
        <v>6970497</v>
      </c>
      <c r="D132">
        <v>5381723</v>
      </c>
      <c r="E132">
        <v>0.91191578947368424</v>
      </c>
      <c r="F132">
        <v>0</v>
      </c>
      <c r="G132">
        <v>0</v>
      </c>
      <c r="H132">
        <v>0.0047084631578947368</v>
      </c>
      <c r="I132" t="s">
        <v>137</v>
      </c>
      <c r="J132">
        <v>0.03256842105263158</v>
      </c>
      <c r="K132">
        <v>0.94919267368421056</v>
      </c>
      <c r="L132">
        <v>0.33623679379450949</v>
      </c>
      <c r="M132">
        <v>2.0174207627670571</v>
      </c>
      <c r="N132">
        <v>2.9666134364512677</v>
      </c>
      <c r="O132" t="s">
        <v>138</v>
      </c>
      <c r="P132">
        <v>0.056951560421052629</v>
      </c>
      <c r="Q132" t="s">
        <v>138</v>
      </c>
      <c r="R132">
        <v>0.12104524576602342</v>
      </c>
      <c r="S132" t="s">
        <v>139</v>
      </c>
      <c r="T132">
        <v>0.35599361237415211</v>
      </c>
      <c r="U132">
        <v>3.5006038550124958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60</v>
      </c>
      <c r="AB132">
        <v>1</v>
      </c>
      <c r="AC132">
        <v>0.50</v>
      </c>
      <c r="AD132">
        <v>0.50345253019720215</v>
      </c>
      <c r="AE132">
        <v>1800</v>
      </c>
      <c r="AF132">
        <v>200000</v>
      </c>
      <c r="AG132">
        <v>16666.666666666668</v>
      </c>
      <c r="AH132">
        <v>1</v>
      </c>
      <c r="AI132">
        <v>1</v>
      </c>
      <c r="AJ132" t="s">
        <v>136</v>
      </c>
      <c r="AK132" t="s">
        <v>137</v>
      </c>
      <c r="AL132">
        <v>0</v>
      </c>
      <c r="AM132" t="s">
        <v>137</v>
      </c>
      <c r="AN132">
        <v>0</v>
      </c>
    </row>
    <row r="133" spans="1:42" ht="12.75">
      <c r="A133" s="2" t="str">
        <f>HYPERLINK("https://ibp.a2mac1.com/costing(costing:projects/details/8191/process/6970498)","Process")</f>
        <v>Process</v>
      </c>
      <c r="C133">
        <v>6970498</v>
      </c>
      <c r="D133">
        <v>5381724</v>
      </c>
      <c r="E133">
        <v>0.21840400457142858</v>
      </c>
      <c r="F133">
        <v>0</v>
      </c>
      <c r="G133">
        <v>0</v>
      </c>
      <c r="H133">
        <v>0.0011686937691428572</v>
      </c>
      <c r="I133" t="s">
        <v>137</v>
      </c>
      <c r="J133">
        <v>0.0081320639999999996</v>
      </c>
      <c r="K133">
        <v>0.22770476234057144</v>
      </c>
      <c r="L133">
        <v>0.10766496704712535</v>
      </c>
      <c r="M133">
        <v>0.64598980228275205</v>
      </c>
      <c r="N133">
        <v>0.87369456462332351</v>
      </c>
      <c r="O133" t="s">
        <v>138</v>
      </c>
      <c r="P133">
        <v>0.013662285740434287</v>
      </c>
      <c r="Q133" t="s">
        <v>138</v>
      </c>
      <c r="R133">
        <v>0.038759388136965126</v>
      </c>
      <c r="S133" t="s">
        <v>139</v>
      </c>
      <c r="T133">
        <v>0.10484334775479882</v>
      </c>
      <c r="U133">
        <v>1.0309595862555216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60</v>
      </c>
      <c r="AB133">
        <v>1</v>
      </c>
      <c r="AC133">
        <v>0.50</v>
      </c>
      <c r="AD133">
        <v>0.50048257265952256</v>
      </c>
      <c r="AE133">
        <v>1800</v>
      </c>
      <c r="AF133">
        <v>400000</v>
      </c>
      <c r="AG133">
        <v>33333.333333333336</v>
      </c>
      <c r="AH133">
        <v>1</v>
      </c>
      <c r="AI133">
        <v>1</v>
      </c>
      <c r="AJ133" t="s">
        <v>136</v>
      </c>
      <c r="AK133" t="s">
        <v>137</v>
      </c>
      <c r="AL133">
        <v>0</v>
      </c>
      <c r="AM133" t="s">
        <v>137</v>
      </c>
      <c r="AN133">
        <v>0</v>
      </c>
    </row>
    <row r="134" spans="1:42" ht="12.75">
      <c r="A134" s="2" t="str">
        <f>HYPERLINK("https://ibp.a2mac1.com/costing(costing:projects/details/8191/process/6970499)","Process")</f>
        <v>Process</v>
      </c>
      <c r="C134">
        <v>6970499</v>
      </c>
      <c r="D134">
        <v>5381726</v>
      </c>
      <c r="E134">
        <v>0.10731920914285714</v>
      </c>
      <c r="F134">
        <v>0</v>
      </c>
      <c r="G134">
        <v>0</v>
      </c>
      <c r="H134">
        <v>0.00057427193828571432</v>
      </c>
      <c r="I134" t="s">
        <v>137</v>
      </c>
      <c r="J134">
        <v>0.0039959280000000002</v>
      </c>
      <c r="K134">
        <v>0.11188940908114285</v>
      </c>
      <c r="L134">
        <v>0.11229133925451484</v>
      </c>
      <c r="M134">
        <v>0.67374803552708906</v>
      </c>
      <c r="N134">
        <v>0.78563744460823193</v>
      </c>
      <c r="O134" t="s">
        <v>138</v>
      </c>
      <c r="P134">
        <v>0.0067133645448685716</v>
      </c>
      <c r="Q134" t="s">
        <v>138</v>
      </c>
      <c r="R134">
        <v>0.040424882131625345</v>
      </c>
      <c r="S134" t="s">
        <v>139</v>
      </c>
      <c r="T134">
        <v>0.094276493352987836</v>
      </c>
      <c r="U134">
        <v>0.92705218463771366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60</v>
      </c>
      <c r="AB134">
        <v>1</v>
      </c>
      <c r="AC134">
        <v>0.50</v>
      </c>
      <c r="AD134">
        <v>0.50048257265952256</v>
      </c>
      <c r="AE134">
        <v>1800</v>
      </c>
      <c r="AF134">
        <v>400000</v>
      </c>
      <c r="AG134">
        <v>33333.333333333336</v>
      </c>
      <c r="AH134">
        <v>1</v>
      </c>
      <c r="AI134">
        <v>1</v>
      </c>
      <c r="AJ134" t="s">
        <v>136</v>
      </c>
      <c r="AK134" t="s">
        <v>137</v>
      </c>
      <c r="AL134">
        <v>0</v>
      </c>
      <c r="AM134" t="s">
        <v>137</v>
      </c>
      <c r="AN134">
        <v>0</v>
      </c>
    </row>
    <row r="135" spans="1:42" ht="12.75">
      <c r="A135" s="2" t="str">
        <f>HYPERLINK("https://ibp.a2mac1.com/costing(costing:projects/details/8191/process/6970492)","Differential assembly")</f>
        <v>Differential assembly</v>
      </c>
      <c r="C135">
        <v>6970492</v>
      </c>
      <c r="D135">
        <v>5381698</v>
      </c>
      <c r="E135">
        <v>0</v>
      </c>
      <c r="F135">
        <v>0</v>
      </c>
      <c r="G135">
        <v>0</v>
      </c>
      <c r="H135">
        <v>0</v>
      </c>
      <c r="I135" t="s">
        <v>137</v>
      </c>
      <c r="J135">
        <v>0</v>
      </c>
      <c r="K135">
        <v>0</v>
      </c>
      <c r="L135">
        <v>1.7096233320386727</v>
      </c>
      <c r="M135">
        <v>5.9836816621353544</v>
      </c>
      <c r="N135">
        <v>5.9836816621353544</v>
      </c>
      <c r="O135" t="s">
        <v>90</v>
      </c>
      <c r="P135">
        <v>0</v>
      </c>
      <c r="Q135" t="s">
        <v>90</v>
      </c>
      <c r="R135">
        <v>0</v>
      </c>
      <c r="S135" t="s">
        <v>90</v>
      </c>
      <c r="T135">
        <v>0</v>
      </c>
      <c r="U135">
        <v>5.9836816621353544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60</v>
      </c>
      <c r="AB135">
        <v>1</v>
      </c>
      <c r="AC135">
        <v>0.50</v>
      </c>
      <c r="AD135">
        <v>0.50741219779126456</v>
      </c>
      <c r="AE135">
        <v>1800</v>
      </c>
      <c r="AF135">
        <v>200000</v>
      </c>
      <c r="AG135">
        <v>10000</v>
      </c>
      <c r="AH135">
        <v>1</v>
      </c>
      <c r="AI135">
        <v>1</v>
      </c>
      <c r="AJ135" t="s">
        <v>79</v>
      </c>
      <c r="AK135" t="s">
        <v>137</v>
      </c>
      <c r="AL135">
        <v>0</v>
      </c>
      <c r="AM135" t="s">
        <v>137</v>
      </c>
      <c r="AN135">
        <v>0</v>
      </c>
      <c r="AP135">
        <v>0</v>
      </c>
    </row>
    <row r="136" spans="1:42" ht="12.75">
      <c r="A136" s="2" t="str">
        <f>HYPERLINK("https://ibp.a2mac1.com/costing(costing:projects/details/8191/process/6970500)","Process")</f>
        <v>Process</v>
      </c>
      <c r="C136">
        <v>6970500</v>
      </c>
      <c r="D136">
        <v>5381732</v>
      </c>
      <c r="E136">
        <v>1.3061691756923077</v>
      </c>
      <c r="F136">
        <v>0</v>
      </c>
      <c r="G136">
        <v>0</v>
      </c>
      <c r="H136">
        <v>0.0071066839021538463</v>
      </c>
      <c r="I136" t="s">
        <v>137</v>
      </c>
      <c r="J136">
        <v>0.049156904461538461</v>
      </c>
      <c r="K136">
        <v>1.3624327640559999</v>
      </c>
      <c r="L136">
        <v>0.51992005376402428</v>
      </c>
      <c r="M136">
        <v>3.1195203225841457</v>
      </c>
      <c r="N136">
        <v>4.4819530866401456</v>
      </c>
      <c r="O136" t="s">
        <v>138</v>
      </c>
      <c r="P136">
        <v>0.081745965843359997</v>
      </c>
      <c r="Q136" t="s">
        <v>138</v>
      </c>
      <c r="R136">
        <v>0.18717121935504874</v>
      </c>
      <c r="S136" t="s">
        <v>139</v>
      </c>
      <c r="T136">
        <v>0.53783437039681747</v>
      </c>
      <c r="U136">
        <v>5.2887046422353725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60</v>
      </c>
      <c r="AB136">
        <v>1</v>
      </c>
      <c r="AC136">
        <v>0.50</v>
      </c>
      <c r="AD136">
        <v>0.50345253019720215</v>
      </c>
      <c r="AE136">
        <v>1800</v>
      </c>
      <c r="AF136">
        <v>200000</v>
      </c>
      <c r="AG136">
        <v>16666.666666666668</v>
      </c>
      <c r="AH136">
        <v>1</v>
      </c>
      <c r="AI136">
        <v>1</v>
      </c>
      <c r="AJ136" t="s">
        <v>136</v>
      </c>
      <c r="AK136" t="s">
        <v>137</v>
      </c>
      <c r="AL136">
        <v>0</v>
      </c>
      <c r="AM136" t="s">
        <v>137</v>
      </c>
      <c r="AN136">
        <v>0</v>
      </c>
    </row>
    <row r="137" spans="1:42" ht="12.75">
      <c r="A137" s="2" t="str">
        <f>HYPERLINK("https://ibp.a2mac1.com/costing(costing:projects/details/8191/process/6970501)","Process")</f>
        <v>Process</v>
      </c>
      <c r="C137">
        <v>6970501</v>
      </c>
      <c r="D137">
        <v>5381735</v>
      </c>
      <c r="E137">
        <v>2.0282800706666668</v>
      </c>
      <c r="F137">
        <v>0</v>
      </c>
      <c r="G137">
        <v>0</v>
      </c>
      <c r="H137">
        <v>0.010803260165866666</v>
      </c>
      <c r="I137" t="s">
        <v>137</v>
      </c>
      <c r="J137">
        <v>0.074726107866666669</v>
      </c>
      <c r="K137">
        <v>2.1138094386991999</v>
      </c>
      <c r="L137">
        <v>1.8705322594254026</v>
      </c>
      <c r="M137">
        <v>11.223193556552415</v>
      </c>
      <c r="N137">
        <v>13.337002995251616</v>
      </c>
      <c r="O137" t="s">
        <v>138</v>
      </c>
      <c r="P137">
        <v>0.126828566321952</v>
      </c>
      <c r="Q137" t="s">
        <v>138</v>
      </c>
      <c r="R137">
        <v>0.67339161339314491</v>
      </c>
      <c r="S137" t="s">
        <v>139</v>
      </c>
      <c r="T137">
        <v>1.6004403594301939</v>
      </c>
      <c r="U137">
        <v>15.737663534396907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60</v>
      </c>
      <c r="AB137">
        <v>1</v>
      </c>
      <c r="AC137">
        <v>0.50</v>
      </c>
      <c r="AD137">
        <v>0.50345253019720215</v>
      </c>
      <c r="AE137">
        <v>1800</v>
      </c>
      <c r="AF137">
        <v>200000</v>
      </c>
      <c r="AG137">
        <v>16666.666666666668</v>
      </c>
      <c r="AH137">
        <v>1</v>
      </c>
      <c r="AI137">
        <v>1</v>
      </c>
      <c r="AJ137" t="s">
        <v>136</v>
      </c>
      <c r="AK137" t="s">
        <v>137</v>
      </c>
      <c r="AL137">
        <v>0</v>
      </c>
      <c r="AM137" t="s">
        <v>137</v>
      </c>
      <c r="AN137">
        <v>0</v>
      </c>
    </row>
    <row r="138" spans="1:42" ht="12.75">
      <c r="A138" s="2" t="str">
        <f>HYPERLINK("https://ibp.a2mac1.com/costing(costing:projects/details/8191/process/6970502)","Process")</f>
        <v>Process</v>
      </c>
      <c r="C138">
        <v>6970502</v>
      </c>
      <c r="D138">
        <v>5381740</v>
      </c>
      <c r="E138">
        <v>0.3409199074468085</v>
      </c>
      <c r="F138">
        <v>0</v>
      </c>
      <c r="G138">
        <v>0</v>
      </c>
      <c r="H138">
        <v>0.0017302454680851063</v>
      </c>
      <c r="I138" t="s">
        <v>137</v>
      </c>
      <c r="J138">
        <v>0.011968101063829787</v>
      </c>
      <c r="K138">
        <v>0.35461825397872343</v>
      </c>
      <c r="L138">
        <v>0.03524321653334362</v>
      </c>
      <c r="M138">
        <v>0.21145929920006173</v>
      </c>
      <c r="N138">
        <v>0.56607755317878516</v>
      </c>
      <c r="O138" t="s">
        <v>138</v>
      </c>
      <c r="P138">
        <v>0.021277095238723405</v>
      </c>
      <c r="Q138" t="s">
        <v>138</v>
      </c>
      <c r="R138">
        <v>0.012687557952003704</v>
      </c>
      <c r="S138" t="s">
        <v>139</v>
      </c>
      <c r="T138">
        <v>0.06792930638145421</v>
      </c>
      <c r="U138">
        <v>0.66797151275096645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60</v>
      </c>
      <c r="AB138">
        <v>1</v>
      </c>
      <c r="AC138">
        <v>0.50</v>
      </c>
      <c r="AD138">
        <v>0.50345253019720215</v>
      </c>
      <c r="AE138">
        <v>1800</v>
      </c>
      <c r="AF138">
        <v>200000</v>
      </c>
      <c r="AG138">
        <v>16666.666666666668</v>
      </c>
      <c r="AH138">
        <v>1</v>
      </c>
      <c r="AI138">
        <v>1</v>
      </c>
      <c r="AJ138" t="s">
        <v>136</v>
      </c>
      <c r="AK138" t="s">
        <v>137</v>
      </c>
      <c r="AL138">
        <v>0</v>
      </c>
      <c r="AM138" t="s">
        <v>137</v>
      </c>
      <c r="AN138">
        <v>0</v>
      </c>
    </row>
    <row r="139" spans="1:42" ht="12.75">
      <c r="A139" s="2" t="str">
        <f>HYPERLINK("https://ibp.a2mac1.com/costing(costing:projects/details/8191/process/6970490)","Process")</f>
        <v>Process</v>
      </c>
      <c r="C139">
        <v>6970490</v>
      </c>
      <c r="D139">
        <v>5381695</v>
      </c>
      <c r="E139">
        <v>1.7684627399999999</v>
      </c>
      <c r="F139">
        <v>0</v>
      </c>
      <c r="G139">
        <v>0</v>
      </c>
      <c r="H139">
        <v>0.0090388095599999996</v>
      </c>
      <c r="I139" t="s">
        <v>137</v>
      </c>
      <c r="J139">
        <v>0.062521409999999999</v>
      </c>
      <c r="K139">
        <v>1.8400229595599999</v>
      </c>
      <c r="L139">
        <v>0.17570688592172382</v>
      </c>
      <c r="M139">
        <v>1.0542413155303429</v>
      </c>
      <c r="N139">
        <v>2.8942642750903431</v>
      </c>
      <c r="O139" t="s">
        <v>138</v>
      </c>
      <c r="P139">
        <v>0.1104013775736</v>
      </c>
      <c r="Q139" t="s">
        <v>138</v>
      </c>
      <c r="R139">
        <v>0.063254478931820582</v>
      </c>
      <c r="S139" t="s">
        <v>139</v>
      </c>
      <c r="T139">
        <v>0.34731171301084113</v>
      </c>
      <c r="U139">
        <v>3.4152318446066046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60</v>
      </c>
      <c r="AB139">
        <v>1</v>
      </c>
      <c r="AC139">
        <v>0.50</v>
      </c>
      <c r="AD139">
        <v>0.50345253019720215</v>
      </c>
      <c r="AE139">
        <v>1800</v>
      </c>
      <c r="AF139">
        <v>200000</v>
      </c>
      <c r="AG139">
        <v>16666.666666666668</v>
      </c>
      <c r="AH139">
        <v>1</v>
      </c>
      <c r="AI139">
        <v>1</v>
      </c>
      <c r="AJ139" t="s">
        <v>136</v>
      </c>
      <c r="AK139" t="s">
        <v>137</v>
      </c>
      <c r="AL139">
        <v>0</v>
      </c>
      <c r="AM139" t="s">
        <v>137</v>
      </c>
      <c r="AN139">
        <v>0</v>
      </c>
    </row>
    <row r="140" spans="1:42" ht="12.75">
      <c r="A140" s="2" t="str">
        <f>HYPERLINK("https://ibp.a2mac1.com/costing(costing:projects/details/8191/process/6970491)","Process")</f>
        <v>Process</v>
      </c>
      <c r="C140">
        <v>6970491</v>
      </c>
      <c r="D140">
        <v>5381697</v>
      </c>
      <c r="E140">
        <v>7.2695212071428568</v>
      </c>
      <c r="F140">
        <v>0</v>
      </c>
      <c r="G140">
        <v>0</v>
      </c>
      <c r="H140">
        <v>0.037155330614285713</v>
      </c>
      <c r="I140" t="s">
        <v>137</v>
      </c>
      <c r="J140">
        <v>0.25700327499999998</v>
      </c>
      <c r="K140">
        <v>7.563679812757143</v>
      </c>
      <c r="L140">
        <v>0.68662418886268639</v>
      </c>
      <c r="M140">
        <v>4.1197451331761181</v>
      </c>
      <c r="N140">
        <v>11.683424945933261</v>
      </c>
      <c r="O140" t="s">
        <v>138</v>
      </c>
      <c r="P140">
        <v>0.45382078876542858</v>
      </c>
      <c r="Q140" t="s">
        <v>138</v>
      </c>
      <c r="R140">
        <v>0.2471847079905671</v>
      </c>
      <c r="S140" t="s">
        <v>139</v>
      </c>
      <c r="T140">
        <v>1.4020109935119913</v>
      </c>
      <c r="U140">
        <v>13.786441436201248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60</v>
      </c>
      <c r="AB140">
        <v>1</v>
      </c>
      <c r="AC140">
        <v>0.50</v>
      </c>
      <c r="AD140">
        <v>0.50345253019720215</v>
      </c>
      <c r="AE140">
        <v>1800</v>
      </c>
      <c r="AF140">
        <v>200000</v>
      </c>
      <c r="AG140">
        <v>16666.666666666668</v>
      </c>
      <c r="AH140">
        <v>1</v>
      </c>
      <c r="AI140">
        <v>1</v>
      </c>
      <c r="AJ140" t="s">
        <v>136</v>
      </c>
      <c r="AK140" t="s">
        <v>137</v>
      </c>
      <c r="AL140">
        <v>0</v>
      </c>
      <c r="AM140" t="s">
        <v>137</v>
      </c>
      <c r="AN140">
        <v>0</v>
      </c>
    </row>
    <row r="141" spans="1:42" ht="12.75">
      <c r="A141" s="2" t="str">
        <f>HYPERLINK("https://ibp.a2mac1.com/costing(costing:projects/details/8191/process/6970352)","GBX assembly")</f>
        <v>GBX assembly</v>
      </c>
      <c r="C141">
        <v>6970352</v>
      </c>
      <c r="D141">
        <v>5381610</v>
      </c>
      <c r="E141">
        <v>0</v>
      </c>
      <c r="F141">
        <v>0</v>
      </c>
      <c r="G141">
        <v>0</v>
      </c>
      <c r="H141">
        <v>0</v>
      </c>
      <c r="I141" t="s">
        <v>137</v>
      </c>
      <c r="J141">
        <v>0</v>
      </c>
      <c r="K141">
        <v>0</v>
      </c>
      <c r="L141">
        <v>4.1377910221999725</v>
      </c>
      <c r="M141">
        <v>14.482268577699903</v>
      </c>
      <c r="N141">
        <v>14.482268577699903</v>
      </c>
      <c r="O141" t="s">
        <v>90</v>
      </c>
      <c r="P141">
        <v>0</v>
      </c>
      <c r="Q141" t="s">
        <v>90</v>
      </c>
      <c r="R141">
        <v>0</v>
      </c>
      <c r="S141" t="s">
        <v>90</v>
      </c>
      <c r="T141">
        <v>0</v>
      </c>
      <c r="U141">
        <v>14.482268577699903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60</v>
      </c>
      <c r="AB141">
        <v>1</v>
      </c>
      <c r="AC141">
        <v>0.50</v>
      </c>
      <c r="AD141">
        <v>0.50741219779126456</v>
      </c>
      <c r="AE141">
        <v>1800</v>
      </c>
      <c r="AF141">
        <v>200000</v>
      </c>
      <c r="AG141">
        <v>10000</v>
      </c>
      <c r="AH141">
        <v>1</v>
      </c>
      <c r="AI141">
        <v>1</v>
      </c>
      <c r="AJ141" t="s">
        <v>79</v>
      </c>
      <c r="AK141" t="s">
        <v>137</v>
      </c>
      <c r="AL141">
        <v>0</v>
      </c>
      <c r="AM141" t="s">
        <v>137</v>
      </c>
      <c r="AN141">
        <v>0</v>
      </c>
      <c r="AP141">
        <v>0</v>
      </c>
    </row>
    <row r="142" spans="1:42" ht="12.75">
      <c r="A142" s="2" t="str">
        <f>HYPERLINK("https://ibp.a2mac1.com/costing(costing:projects/details/8191/process/6970503)","Process")</f>
        <v>Process</v>
      </c>
      <c r="C142">
        <v>6970503</v>
      </c>
      <c r="D142">
        <v>5381742</v>
      </c>
      <c r="E142">
        <v>1.9643738947368421</v>
      </c>
      <c r="F142">
        <v>0</v>
      </c>
      <c r="G142">
        <v>0</v>
      </c>
      <c r="H142">
        <v>0.010142583578947368</v>
      </c>
      <c r="I142" t="s">
        <v>137</v>
      </c>
      <c r="J142">
        <v>0.070156210526315793</v>
      </c>
      <c r="K142">
        <v>2.0446726888421054</v>
      </c>
      <c r="L142">
        <v>0.50602804250672428</v>
      </c>
      <c r="M142">
        <v>3.0361682550403457</v>
      </c>
      <c r="N142">
        <v>5.0808409438824507</v>
      </c>
      <c r="O142" t="s">
        <v>138</v>
      </c>
      <c r="P142">
        <v>0.12268036133052632</v>
      </c>
      <c r="Q142" t="s">
        <v>138</v>
      </c>
      <c r="R142">
        <v>0.18217009530242073</v>
      </c>
      <c r="S142" t="s">
        <v>139</v>
      </c>
      <c r="T142">
        <v>0.60970091326589415</v>
      </c>
      <c r="U142">
        <v>5.9953923137812923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60</v>
      </c>
      <c r="AB142">
        <v>1</v>
      </c>
      <c r="AC142">
        <v>0.50</v>
      </c>
      <c r="AD142">
        <v>0.50345253019720215</v>
      </c>
      <c r="AE142">
        <v>1800</v>
      </c>
      <c r="AF142">
        <v>200000</v>
      </c>
      <c r="AG142">
        <v>16666.666666666668</v>
      </c>
      <c r="AH142">
        <v>1</v>
      </c>
      <c r="AI142">
        <v>1</v>
      </c>
      <c r="AJ142" t="s">
        <v>136</v>
      </c>
      <c r="AK142" t="s">
        <v>137</v>
      </c>
      <c r="AL142">
        <v>0</v>
      </c>
      <c r="AM142" t="s">
        <v>137</v>
      </c>
      <c r="AN142">
        <v>0</v>
      </c>
    </row>
    <row r="143" spans="1:42" ht="12.75">
      <c r="A143" s="2" t="str">
        <f>HYPERLINK("https://ibp.a2mac1.com/costing(costing:projects/details/8191/process/6970504)","Process")</f>
        <v>Process</v>
      </c>
      <c r="C143">
        <v>6970504</v>
      </c>
      <c r="D143">
        <v>5381743</v>
      </c>
      <c r="E143">
        <v>0.51164903657142857</v>
      </c>
      <c r="F143">
        <v>0</v>
      </c>
      <c r="G143">
        <v>0</v>
      </c>
      <c r="H143">
        <v>0.0027378666531428573</v>
      </c>
      <c r="I143" t="s">
        <v>137</v>
      </c>
      <c r="J143">
        <v>0.019050761999999999</v>
      </c>
      <c r="K143">
        <v>0.53343766522457148</v>
      </c>
      <c r="L143">
        <v>0.13696532436222944</v>
      </c>
      <c r="M143">
        <v>0.8217919461733767</v>
      </c>
      <c r="N143">
        <v>1.3552296113979481</v>
      </c>
      <c r="O143" t="s">
        <v>138</v>
      </c>
      <c r="P143">
        <v>0.032006259913474285</v>
      </c>
      <c r="Q143" t="s">
        <v>138</v>
      </c>
      <c r="R143">
        <v>0.049307516770402599</v>
      </c>
      <c r="S143" t="s">
        <v>139</v>
      </c>
      <c r="T143">
        <v>0.16262755336775378</v>
      </c>
      <c r="U143">
        <v>1.5991709414495787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60</v>
      </c>
      <c r="AB143">
        <v>1</v>
      </c>
      <c r="AC143">
        <v>0.50</v>
      </c>
      <c r="AD143">
        <v>0.50048257265952256</v>
      </c>
      <c r="AE143">
        <v>1800</v>
      </c>
      <c r="AF143">
        <v>400000</v>
      </c>
      <c r="AG143">
        <v>33333.333333333336</v>
      </c>
      <c r="AH143">
        <v>1</v>
      </c>
      <c r="AI143">
        <v>1</v>
      </c>
      <c r="AJ143" t="s">
        <v>136</v>
      </c>
      <c r="AK143" t="s">
        <v>137</v>
      </c>
      <c r="AL143">
        <v>0</v>
      </c>
      <c r="AM143" t="s">
        <v>137</v>
      </c>
      <c r="AN143">
        <v>0</v>
      </c>
    </row>
    <row r="144" spans="1:42" ht="12.75">
      <c r="A144" s="2" t="str">
        <f>HYPERLINK("https://ibp.a2mac1.com/costing(costing:projects/details/8191/process/6970505)","Process")</f>
        <v>Process</v>
      </c>
      <c r="C144">
        <v>6970505</v>
      </c>
      <c r="D144">
        <v>5381744</v>
      </c>
      <c r="E144">
        <v>0.22828866857142857</v>
      </c>
      <c r="F144">
        <v>0</v>
      </c>
      <c r="G144">
        <v>0</v>
      </c>
      <c r="H144">
        <v>0.0012215872371428571</v>
      </c>
      <c r="I144" t="s">
        <v>137</v>
      </c>
      <c r="J144">
        <v>0.00850011</v>
      </c>
      <c r="K144">
        <v>0.23801036580857143</v>
      </c>
      <c r="L144">
        <v>0.079906733800332447</v>
      </c>
      <c r="M144">
        <v>0.47944040280199468</v>
      </c>
      <c r="N144">
        <v>0.71745076861056611</v>
      </c>
      <c r="O144" t="s">
        <v>138</v>
      </c>
      <c r="P144">
        <v>0.014280621948514286</v>
      </c>
      <c r="Q144" t="s">
        <v>138</v>
      </c>
      <c r="R144">
        <v>0.02876642416811968</v>
      </c>
      <c r="S144" t="s">
        <v>139</v>
      </c>
      <c r="T144">
        <v>0.08609409223326793</v>
      </c>
      <c r="U144">
        <v>0.84659190696046804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60</v>
      </c>
      <c r="AB144">
        <v>1</v>
      </c>
      <c r="AC144">
        <v>0.50</v>
      </c>
      <c r="AD144">
        <v>0.50048257265952256</v>
      </c>
      <c r="AE144">
        <v>1800</v>
      </c>
      <c r="AF144">
        <v>400000</v>
      </c>
      <c r="AG144">
        <v>33333.333333333336</v>
      </c>
      <c r="AH144">
        <v>1</v>
      </c>
      <c r="AI144">
        <v>1</v>
      </c>
      <c r="AJ144" t="s">
        <v>136</v>
      </c>
      <c r="AK144" t="s">
        <v>137</v>
      </c>
      <c r="AL144">
        <v>0</v>
      </c>
      <c r="AM144" t="s">
        <v>137</v>
      </c>
      <c r="AN144">
        <v>0</v>
      </c>
    </row>
    <row r="145" spans="1:42" ht="12.75">
      <c r="A145" s="2" t="str">
        <f>HYPERLINK("https://ibp.a2mac1.com/costing(costing:projects/details/8191/process/6970506)","Process")</f>
        <v>Process</v>
      </c>
      <c r="C145">
        <v>6970506</v>
      </c>
      <c r="D145">
        <v>5381745</v>
      </c>
      <c r="E145">
        <v>2.6301175853333332</v>
      </c>
      <c r="F145">
        <v>0</v>
      </c>
      <c r="G145">
        <v>0</v>
      </c>
      <c r="H145">
        <v>0.014008836822933333</v>
      </c>
      <c r="I145" t="s">
        <v>137</v>
      </c>
      <c r="J145">
        <v>0.096899068933333332</v>
      </c>
      <c r="K145">
        <v>2.7410254910896001</v>
      </c>
      <c r="L145">
        <v>1.8442917937151206</v>
      </c>
      <c r="M145">
        <v>11.065750762290724</v>
      </c>
      <c r="N145">
        <v>13.806776253380324</v>
      </c>
      <c r="O145" t="s">
        <v>138</v>
      </c>
      <c r="P145">
        <v>0.16446152946537601</v>
      </c>
      <c r="Q145" t="s">
        <v>138</v>
      </c>
      <c r="R145">
        <v>0.66394504573744351</v>
      </c>
      <c r="S145" t="s">
        <v>139</v>
      </c>
      <c r="T145">
        <v>1.6568131504056389</v>
      </c>
      <c r="U145">
        <v>16.291995978988783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60</v>
      </c>
      <c r="AB145">
        <v>1</v>
      </c>
      <c r="AC145">
        <v>0.50</v>
      </c>
      <c r="AD145">
        <v>0.50345253019720215</v>
      </c>
      <c r="AE145">
        <v>1800</v>
      </c>
      <c r="AF145">
        <v>200000</v>
      </c>
      <c r="AG145">
        <v>16666.666666666668</v>
      </c>
      <c r="AH145">
        <v>1</v>
      </c>
      <c r="AI145">
        <v>1</v>
      </c>
      <c r="AJ145" t="s">
        <v>136</v>
      </c>
      <c r="AK145" t="s">
        <v>137</v>
      </c>
      <c r="AL145">
        <v>0</v>
      </c>
      <c r="AM145" t="s">
        <v>137</v>
      </c>
      <c r="AN145">
        <v>0</v>
      </c>
    </row>
    <row r="146" spans="1:42" ht="12.75">
      <c r="A146" s="2" t="str">
        <f>HYPERLINK("https://ibp.a2mac1.com/costing(costing:projects/details/8191/process/6970507)","Process")</f>
        <v>Process</v>
      </c>
      <c r="C146">
        <v>6970507</v>
      </c>
      <c r="D146">
        <v>5381746</v>
      </c>
      <c r="E146">
        <v>0.28043288571428571</v>
      </c>
      <c r="F146">
        <v>0</v>
      </c>
      <c r="G146">
        <v>0</v>
      </c>
      <c r="H146">
        <v>0.0014189904017142857</v>
      </c>
      <c r="I146" t="s">
        <v>137</v>
      </c>
      <c r="J146">
        <v>0.0098151509999999994</v>
      </c>
      <c r="K146">
        <v>0.29166702711600001</v>
      </c>
      <c r="L146">
        <v>0.038330330145667266</v>
      </c>
      <c r="M146">
        <v>0.22998198087400357</v>
      </c>
      <c r="N146">
        <v>0.52164900799000358</v>
      </c>
      <c r="O146" t="s">
        <v>138</v>
      </c>
      <c r="P146">
        <v>0.017500021626959999</v>
      </c>
      <c r="Q146" t="s">
        <v>138</v>
      </c>
      <c r="R146">
        <v>0.013798918852440214</v>
      </c>
      <c r="S146" t="s">
        <v>139</v>
      </c>
      <c r="T146">
        <v>0.062597880958800423</v>
      </c>
      <c r="U146">
        <v>0.61554582942820424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60</v>
      </c>
      <c r="AB146">
        <v>1</v>
      </c>
      <c r="AC146">
        <v>0.50</v>
      </c>
      <c r="AD146">
        <v>0.50345253019720215</v>
      </c>
      <c r="AE146">
        <v>1800</v>
      </c>
      <c r="AF146">
        <v>200000</v>
      </c>
      <c r="AG146">
        <v>16666.666666666668</v>
      </c>
      <c r="AH146">
        <v>1</v>
      </c>
      <c r="AI146">
        <v>1</v>
      </c>
      <c r="AJ146" t="s">
        <v>136</v>
      </c>
      <c r="AK146" t="s">
        <v>137</v>
      </c>
      <c r="AL146">
        <v>0</v>
      </c>
      <c r="AM146" t="s">
        <v>137</v>
      </c>
      <c r="AN146">
        <v>0</v>
      </c>
    </row>
    <row r="147" spans="1:42" ht="12.75">
      <c r="A147" s="2" t="str">
        <f>HYPERLINK("https://ibp.a2mac1.com/costing(costing:projects/details/8191/process/6970495)","Differential assembly")</f>
        <v>Differential assembly</v>
      </c>
      <c r="C147">
        <v>6970495</v>
      </c>
      <c r="D147">
        <v>5381706</v>
      </c>
      <c r="E147">
        <v>0</v>
      </c>
      <c r="F147">
        <v>0</v>
      </c>
      <c r="G147">
        <v>0</v>
      </c>
      <c r="H147">
        <v>0</v>
      </c>
      <c r="I147" t="s">
        <v>137</v>
      </c>
      <c r="J147">
        <v>0</v>
      </c>
      <c r="K147">
        <v>0</v>
      </c>
      <c r="L147">
        <v>1.7096233320386727</v>
      </c>
      <c r="M147">
        <v>5.9836816621353544</v>
      </c>
      <c r="N147">
        <v>5.9836816621353544</v>
      </c>
      <c r="O147" t="s">
        <v>90</v>
      </c>
      <c r="P147">
        <v>0</v>
      </c>
      <c r="Q147" t="s">
        <v>90</v>
      </c>
      <c r="R147">
        <v>0</v>
      </c>
      <c r="S147" t="s">
        <v>90</v>
      </c>
      <c r="T147">
        <v>0</v>
      </c>
      <c r="U147">
        <v>5.9836816621353544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60</v>
      </c>
      <c r="AB147">
        <v>1</v>
      </c>
      <c r="AC147">
        <v>0.50</v>
      </c>
      <c r="AD147">
        <v>0.50741219779126456</v>
      </c>
      <c r="AE147">
        <v>1800</v>
      </c>
      <c r="AF147">
        <v>200000</v>
      </c>
      <c r="AG147">
        <v>10000</v>
      </c>
      <c r="AH147">
        <v>1</v>
      </c>
      <c r="AI147">
        <v>1</v>
      </c>
      <c r="AJ147" t="s">
        <v>79</v>
      </c>
      <c r="AK147" t="s">
        <v>137</v>
      </c>
      <c r="AL147">
        <v>0</v>
      </c>
      <c r="AM147" t="s">
        <v>137</v>
      </c>
      <c r="AN147">
        <v>0</v>
      </c>
      <c r="AP147">
        <v>0</v>
      </c>
    </row>
    <row r="148" spans="1:42" ht="12.75">
      <c r="A148" s="2" t="str">
        <f>HYPERLINK("https://ibp.a2mac1.com/costing(costing:projects/details/8191/process/6970508)","Process")</f>
        <v>Process</v>
      </c>
      <c r="C148">
        <v>6970508</v>
      </c>
      <c r="D148">
        <v>5381751</v>
      </c>
      <c r="E148">
        <v>0.7940883053333333</v>
      </c>
      <c r="F148">
        <v>0</v>
      </c>
      <c r="G148">
        <v>0</v>
      </c>
      <c r="H148">
        <v>0.0042295650789333332</v>
      </c>
      <c r="I148" t="s">
        <v>137</v>
      </c>
      <c r="J148">
        <v>0.029255884933333334</v>
      </c>
      <c r="K148">
        <v>0.82757375534559996</v>
      </c>
      <c r="L148">
        <v>0.78232471086438471</v>
      </c>
      <c r="M148">
        <v>4.6939482651863083</v>
      </c>
      <c r="N148">
        <v>5.5215220205319078</v>
      </c>
      <c r="O148" t="s">
        <v>138</v>
      </c>
      <c r="P148">
        <v>0.049654425320736002</v>
      </c>
      <c r="Q148" t="s">
        <v>138</v>
      </c>
      <c r="R148">
        <v>0.28163689591117846</v>
      </c>
      <c r="S148" t="s">
        <v>139</v>
      </c>
      <c r="T148">
        <v>0.66258264246382892</v>
      </c>
      <c r="U148">
        <v>6.5153959842276512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60</v>
      </c>
      <c r="AB148">
        <v>1</v>
      </c>
      <c r="AC148">
        <v>0.50</v>
      </c>
      <c r="AD148">
        <v>0.50345253019720215</v>
      </c>
      <c r="AE148">
        <v>1800</v>
      </c>
      <c r="AF148">
        <v>200000</v>
      </c>
      <c r="AG148">
        <v>16666.666666666668</v>
      </c>
      <c r="AH148">
        <v>1</v>
      </c>
      <c r="AI148">
        <v>1</v>
      </c>
      <c r="AJ148" t="s">
        <v>136</v>
      </c>
      <c r="AK148" t="s">
        <v>137</v>
      </c>
      <c r="AL148">
        <v>0</v>
      </c>
      <c r="AM148" t="s">
        <v>137</v>
      </c>
      <c r="AN148">
        <v>0</v>
      </c>
    </row>
    <row r="149" spans="1:42" ht="12.75">
      <c r="A149" s="2" t="str">
        <f>HYPERLINK("https://ibp.a2mac1.com/costing(costing:projects/details/8191/process/6970509)","Process")</f>
        <v>Process</v>
      </c>
      <c r="C149">
        <v>6970509</v>
      </c>
      <c r="D149">
        <v>5381754</v>
      </c>
      <c r="E149">
        <v>5.0665677419354838</v>
      </c>
      <c r="F149">
        <v>0</v>
      </c>
      <c r="G149">
        <v>0</v>
      </c>
      <c r="H149">
        <v>0.025636832774193548</v>
      </c>
      <c r="I149" t="s">
        <v>137</v>
      </c>
      <c r="J149">
        <v>0.17732987096774194</v>
      </c>
      <c r="K149">
        <v>5.2695344456774196</v>
      </c>
      <c r="L149">
        <v>0.7452793475091265</v>
      </c>
      <c r="M149">
        <v>4.4716760850547583</v>
      </c>
      <c r="N149">
        <v>9.7412105307321788</v>
      </c>
      <c r="O149" t="s">
        <v>138</v>
      </c>
      <c r="P149">
        <v>0.31617206674064519</v>
      </c>
      <c r="Q149" t="s">
        <v>138</v>
      </c>
      <c r="R149">
        <v>0.26830056510328554</v>
      </c>
      <c r="S149" t="s">
        <v>139</v>
      </c>
      <c r="T149">
        <v>1.1689452636878614</v>
      </c>
      <c r="U149">
        <v>11.49462842626397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60</v>
      </c>
      <c r="AB149">
        <v>1</v>
      </c>
      <c r="AC149">
        <v>0.50</v>
      </c>
      <c r="AD149">
        <v>0.50345253019720215</v>
      </c>
      <c r="AE149">
        <v>1800</v>
      </c>
      <c r="AF149">
        <v>200000</v>
      </c>
      <c r="AG149">
        <v>16666.666666666668</v>
      </c>
      <c r="AH149">
        <v>1</v>
      </c>
      <c r="AI149">
        <v>1</v>
      </c>
      <c r="AJ149" t="s">
        <v>136</v>
      </c>
      <c r="AK149" t="s">
        <v>137</v>
      </c>
      <c r="AL149">
        <v>0</v>
      </c>
      <c r="AM149" t="s">
        <v>137</v>
      </c>
      <c r="AN149">
        <v>0</v>
      </c>
    </row>
    <row r="150" spans="1:42" ht="12.75">
      <c r="A150" s="2" t="str">
        <f>HYPERLINK("https://ibp.a2mac1.com/costing(costing:projects/details/8191/process/6970510)","Process")</f>
        <v>Process</v>
      </c>
      <c r="C150">
        <v>6970510</v>
      </c>
      <c r="D150">
        <v>5381755</v>
      </c>
      <c r="E150">
        <v>1.5148811834838709</v>
      </c>
      <c r="F150">
        <v>0</v>
      </c>
      <c r="G150">
        <v>0</v>
      </c>
      <c r="H150">
        <v>0.0080264908779354837</v>
      </c>
      <c r="I150" t="s">
        <v>137</v>
      </c>
      <c r="J150">
        <v>0.055519205677419352</v>
      </c>
      <c r="K150">
        <v>1.5784268800392258</v>
      </c>
      <c r="L150">
        <v>1.7277672359496472</v>
      </c>
      <c r="M150">
        <v>10.366603415697883</v>
      </c>
      <c r="N150">
        <v>11.945030295737109</v>
      </c>
      <c r="O150" t="s">
        <v>138</v>
      </c>
      <c r="P150">
        <v>0.094705612802353553</v>
      </c>
      <c r="Q150" t="s">
        <v>138</v>
      </c>
      <c r="R150">
        <v>0.62199620494187291</v>
      </c>
      <c r="S150" t="s">
        <v>139</v>
      </c>
      <c r="T150">
        <v>1.433403635488453</v>
      </c>
      <c r="U150">
        <v>14.095135748969788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60</v>
      </c>
      <c r="AB150">
        <v>1</v>
      </c>
      <c r="AC150">
        <v>0.50</v>
      </c>
      <c r="AD150">
        <v>0.50345253019720215</v>
      </c>
      <c r="AE150">
        <v>1800</v>
      </c>
      <c r="AF150">
        <v>200000</v>
      </c>
      <c r="AG150">
        <v>16666.666666666668</v>
      </c>
      <c r="AH150">
        <v>1</v>
      </c>
      <c r="AI150">
        <v>1</v>
      </c>
      <c r="AJ150" t="s">
        <v>136</v>
      </c>
      <c r="AK150" t="s">
        <v>137</v>
      </c>
      <c r="AL150">
        <v>0</v>
      </c>
      <c r="AM150" t="s">
        <v>137</v>
      </c>
      <c r="AN150">
        <v>0</v>
      </c>
    </row>
    <row r="151" spans="1:42" ht="12.75">
      <c r="A151" s="2" t="str">
        <f>HYPERLINK("https://ibp.a2mac1.com/costing(costing:projects/details/8191/process/6970493)","Process")</f>
        <v>Process</v>
      </c>
      <c r="C151">
        <v>6970493</v>
      </c>
      <c r="D151">
        <v>5381704</v>
      </c>
      <c r="E151">
        <v>10.207051752857144</v>
      </c>
      <c r="F151">
        <v>0</v>
      </c>
      <c r="G151">
        <v>0</v>
      </c>
      <c r="H151">
        <v>0.052169375625714283</v>
      </c>
      <c r="I151" t="s">
        <v>137</v>
      </c>
      <c r="J151">
        <v>0.36085536499999998</v>
      </c>
      <c r="K151">
        <v>10.620076493482857</v>
      </c>
      <c r="L151">
        <v>0.65420949592775723</v>
      </c>
      <c r="M151">
        <v>3.9252569755665432</v>
      </c>
      <c r="N151">
        <v>14.545333469049401</v>
      </c>
      <c r="O151" t="s">
        <v>138</v>
      </c>
      <c r="P151">
        <v>0.63720458960897142</v>
      </c>
      <c r="Q151" t="s">
        <v>138</v>
      </c>
      <c r="R151">
        <v>0.2355154185339926</v>
      </c>
      <c r="S151" t="s">
        <v>139</v>
      </c>
      <c r="T151">
        <v>1.745440016285928</v>
      </c>
      <c r="U151">
        <v>17.163493493478292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60</v>
      </c>
      <c r="AB151">
        <v>1</v>
      </c>
      <c r="AC151">
        <v>0.50</v>
      </c>
      <c r="AD151">
        <v>0.50345253019720215</v>
      </c>
      <c r="AE151">
        <v>1800</v>
      </c>
      <c r="AF151">
        <v>200000</v>
      </c>
      <c r="AG151">
        <v>16666.666666666668</v>
      </c>
      <c r="AH151">
        <v>1</v>
      </c>
      <c r="AI151">
        <v>1</v>
      </c>
      <c r="AJ151" t="s">
        <v>136</v>
      </c>
      <c r="AK151" t="s">
        <v>137</v>
      </c>
      <c r="AL151">
        <v>0</v>
      </c>
      <c r="AM151" t="s">
        <v>137</v>
      </c>
      <c r="AN151">
        <v>0</v>
      </c>
    </row>
    <row r="152" spans="1:42" ht="12.75">
      <c r="A152" s="2" t="str">
        <f>HYPERLINK("https://ibp.a2mac1.com/costing(costing:projects/details/8191/process/6970494)","Process")</f>
        <v>Process</v>
      </c>
      <c r="C152">
        <v>6970494</v>
      </c>
      <c r="D152">
        <v>5381705</v>
      </c>
      <c r="E152">
        <v>13.696917300000001</v>
      </c>
      <c r="F152">
        <v>0</v>
      </c>
      <c r="G152">
        <v>0</v>
      </c>
      <c r="H152">
        <v>0.070006466200000006</v>
      </c>
      <c r="I152" t="s">
        <v>137</v>
      </c>
      <c r="J152">
        <v>0.48423444999999998</v>
      </c>
      <c r="K152">
        <v>14.2511582162</v>
      </c>
      <c r="L152">
        <v>0.71749532499206825</v>
      </c>
      <c r="M152">
        <v>4.3049719499524093</v>
      </c>
      <c r="N152">
        <v>18.556130166152411</v>
      </c>
      <c r="O152" t="s">
        <v>138</v>
      </c>
      <c r="P152">
        <v>0.85506949297199997</v>
      </c>
      <c r="Q152" t="s">
        <v>138</v>
      </c>
      <c r="R152">
        <v>0.25829831699714456</v>
      </c>
      <c r="S152" t="s">
        <v>139</v>
      </c>
      <c r="T152">
        <v>2.2267356199382893</v>
      </c>
      <c r="U152">
        <v>21.896233596059844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60</v>
      </c>
      <c r="AB152">
        <v>1</v>
      </c>
      <c r="AC152">
        <v>0.50</v>
      </c>
      <c r="AD152">
        <v>0.50345253019720215</v>
      </c>
      <c r="AE152">
        <v>1800</v>
      </c>
      <c r="AF152">
        <v>200000</v>
      </c>
      <c r="AG152">
        <v>16666.666666666668</v>
      </c>
      <c r="AH152">
        <v>1</v>
      </c>
      <c r="AI152">
        <v>1</v>
      </c>
      <c r="AJ152" t="s">
        <v>136</v>
      </c>
      <c r="AK152" t="s">
        <v>137</v>
      </c>
      <c r="AL152">
        <v>0</v>
      </c>
      <c r="AM152" t="s">
        <v>137</v>
      </c>
      <c r="AN152">
        <v>0</v>
      </c>
    </row>
    <row r="153" spans="1:42" ht="12.75">
      <c r="A153" s="2" t="str">
        <f>HYPERLINK("https://ibp.a2mac1.com/costing(costing:projects/details/8191/process/6970353)","GBX assembly")</f>
        <v>GBX assembly</v>
      </c>
      <c r="C153">
        <v>6970353</v>
      </c>
      <c r="D153">
        <v>5381620</v>
      </c>
      <c r="E153">
        <v>0</v>
      </c>
      <c r="F153">
        <v>0</v>
      </c>
      <c r="G153">
        <v>0</v>
      </c>
      <c r="H153">
        <v>0</v>
      </c>
      <c r="I153" t="s">
        <v>137</v>
      </c>
      <c r="J153">
        <v>0</v>
      </c>
      <c r="K153">
        <v>0</v>
      </c>
      <c r="L153">
        <v>4.1377910221999725</v>
      </c>
      <c r="M153">
        <v>14.482268577699903</v>
      </c>
      <c r="N153">
        <v>14.482268577699903</v>
      </c>
      <c r="O153" t="s">
        <v>90</v>
      </c>
      <c r="P153">
        <v>0</v>
      </c>
      <c r="Q153" t="s">
        <v>90</v>
      </c>
      <c r="R153">
        <v>0</v>
      </c>
      <c r="S153" t="s">
        <v>90</v>
      </c>
      <c r="T153">
        <v>0</v>
      </c>
      <c r="U153">
        <v>14.482268577699903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60</v>
      </c>
      <c r="AB153">
        <v>1</v>
      </c>
      <c r="AC153">
        <v>0.50</v>
      </c>
      <c r="AD153">
        <v>0.50741219779126456</v>
      </c>
      <c r="AE153">
        <v>1800</v>
      </c>
      <c r="AF153">
        <v>200000</v>
      </c>
      <c r="AG153">
        <v>10000</v>
      </c>
      <c r="AH153">
        <v>1</v>
      </c>
      <c r="AI153">
        <v>1</v>
      </c>
      <c r="AJ153" t="s">
        <v>79</v>
      </c>
      <c r="AK153" t="s">
        <v>137</v>
      </c>
      <c r="AL153">
        <v>0</v>
      </c>
      <c r="AM153" t="s">
        <v>137</v>
      </c>
      <c r="AN153">
        <v>0</v>
      </c>
      <c r="AP153">
        <v>0</v>
      </c>
    </row>
    <row r="154" spans="1:42" ht="12.75">
      <c r="A154" s="2" t="str">
        <f>HYPERLINK("https://ibp.a2mac1.com/costing(costing:projects/details/8191/process/6970511)","Process")</f>
        <v>Process</v>
      </c>
      <c r="C154">
        <v>6970511</v>
      </c>
      <c r="D154">
        <v>5381769</v>
      </c>
      <c r="E154">
        <v>0</v>
      </c>
      <c r="F154">
        <v>0</v>
      </c>
      <c r="G154">
        <v>0</v>
      </c>
      <c r="H154">
        <v>0</v>
      </c>
      <c r="I154" t="s">
        <v>137</v>
      </c>
      <c r="J154">
        <v>0</v>
      </c>
      <c r="K154">
        <v>0</v>
      </c>
      <c r="L154">
        <v>0.14386432825662807</v>
      </c>
      <c r="M154">
        <v>0.50352514889819822</v>
      </c>
      <c r="N154">
        <v>0.50352514889819822</v>
      </c>
      <c r="O154" t="s">
        <v>90</v>
      </c>
      <c r="P154">
        <v>0</v>
      </c>
      <c r="Q154" t="s">
        <v>90</v>
      </c>
      <c r="R154">
        <v>0</v>
      </c>
      <c r="S154" t="s">
        <v>90</v>
      </c>
      <c r="T154">
        <v>0</v>
      </c>
      <c r="U154">
        <v>0.50352514889819822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63</v>
      </c>
      <c r="AB154">
        <v>1</v>
      </c>
      <c r="AC154">
        <v>5</v>
      </c>
      <c r="AD154">
        <v>5.0061745986510875</v>
      </c>
      <c r="AE154">
        <v>216</v>
      </c>
      <c r="AF154">
        <v>200000</v>
      </c>
      <c r="AG154">
        <v>10000</v>
      </c>
      <c r="AH154">
        <v>1</v>
      </c>
      <c r="AI154">
        <v>1</v>
      </c>
      <c r="AJ154" t="s">
        <v>79</v>
      </c>
      <c r="AK154" t="s">
        <v>137</v>
      </c>
      <c r="AL154">
        <v>0</v>
      </c>
      <c r="AM154" t="s">
        <v>137</v>
      </c>
      <c r="AN154">
        <v>0</v>
      </c>
      <c r="AP154">
        <v>0</v>
      </c>
    </row>
    <row r="155" spans="1:42" ht="12.75">
      <c r="A155" s="2" t="str">
        <f>HYPERLINK("https://ibp.a2mac1.com/costing(costing:projects/details/8191/process/6970512)","Process")</f>
        <v>Process</v>
      </c>
      <c r="C155">
        <v>6970512</v>
      </c>
      <c r="D155">
        <v>5381772</v>
      </c>
      <c r="E155">
        <v>0</v>
      </c>
      <c r="F155">
        <v>0</v>
      </c>
      <c r="G155">
        <v>0</v>
      </c>
      <c r="H155">
        <v>0</v>
      </c>
      <c r="I155" t="s">
        <v>137</v>
      </c>
      <c r="J155">
        <v>0</v>
      </c>
      <c r="K155">
        <v>0</v>
      </c>
      <c r="L155">
        <v>8.3718930042182116</v>
      </c>
      <c r="M155">
        <v>29.301625514763739</v>
      </c>
      <c r="N155">
        <v>29.301625514763739</v>
      </c>
      <c r="O155" t="s">
        <v>90</v>
      </c>
      <c r="P155">
        <v>0</v>
      </c>
      <c r="Q155" t="s">
        <v>90</v>
      </c>
      <c r="R155">
        <v>0</v>
      </c>
      <c r="S155" t="s">
        <v>90</v>
      </c>
      <c r="T155">
        <v>0</v>
      </c>
      <c r="U155">
        <v>29.301625514763739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3668</v>
      </c>
      <c r="AB155">
        <v>1</v>
      </c>
      <c r="AC155">
        <v>10</v>
      </c>
      <c r="AD155">
        <v>10.007199424046076</v>
      </c>
      <c r="AE155">
        <v>126</v>
      </c>
      <c r="AF155">
        <v>200000</v>
      </c>
      <c r="AG155">
        <v>10000</v>
      </c>
      <c r="AH155">
        <v>1</v>
      </c>
      <c r="AI155">
        <v>1</v>
      </c>
      <c r="AJ155" t="s">
        <v>79</v>
      </c>
      <c r="AK155" t="s">
        <v>137</v>
      </c>
      <c r="AL155">
        <v>0</v>
      </c>
      <c r="AM155" t="s">
        <v>137</v>
      </c>
      <c r="AN155">
        <v>0</v>
      </c>
      <c r="AP155">
        <v>0</v>
      </c>
    </row>
    <row r="156" spans="1:42" ht="12.75">
      <c r="A156" s="2" t="str">
        <f>HYPERLINK("https://ibp.a2mac1.com/costing(costing:projects/details/8191/process/6970513)","Process")</f>
        <v>Process</v>
      </c>
      <c r="C156">
        <v>6970513</v>
      </c>
      <c r="D156">
        <v>5381773</v>
      </c>
      <c r="E156">
        <v>0</v>
      </c>
      <c r="F156">
        <v>0</v>
      </c>
      <c r="G156">
        <v>0</v>
      </c>
      <c r="H156">
        <v>0</v>
      </c>
      <c r="I156" t="s">
        <v>137</v>
      </c>
      <c r="J156">
        <v>0</v>
      </c>
      <c r="K156">
        <v>0</v>
      </c>
      <c r="L156">
        <v>1.5223970935617592</v>
      </c>
      <c r="M156">
        <v>5.3283898274661574</v>
      </c>
      <c r="N156">
        <v>5.3283898274661574</v>
      </c>
      <c r="O156" t="s">
        <v>90</v>
      </c>
      <c r="P156">
        <v>0</v>
      </c>
      <c r="Q156" t="s">
        <v>90</v>
      </c>
      <c r="R156">
        <v>0</v>
      </c>
      <c r="S156" t="s">
        <v>90</v>
      </c>
      <c r="T156">
        <v>0</v>
      </c>
      <c r="U156">
        <v>5.3283898274661574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667</v>
      </c>
      <c r="AB156">
        <v>1</v>
      </c>
      <c r="AC156">
        <v>10</v>
      </c>
      <c r="AD156">
        <v>10.007199424046076</v>
      </c>
      <c r="AE156">
        <v>126</v>
      </c>
      <c r="AF156">
        <v>200000</v>
      </c>
      <c r="AG156">
        <v>10000</v>
      </c>
      <c r="AH156">
        <v>1</v>
      </c>
      <c r="AI156">
        <v>1</v>
      </c>
      <c r="AJ156" t="s">
        <v>79</v>
      </c>
      <c r="AK156" t="s">
        <v>137</v>
      </c>
      <c r="AL156">
        <v>0</v>
      </c>
      <c r="AM156" t="s">
        <v>137</v>
      </c>
      <c r="AN156">
        <v>0</v>
      </c>
      <c r="AP156">
        <v>0</v>
      </c>
    </row>
    <row r="157" spans="1:42" ht="12.75">
      <c r="A157" s="2" t="str">
        <f>HYPERLINK("https://ibp.a2mac1.com/costing(costing:projects/details/8191/process/6970514)","Process")</f>
        <v>Process</v>
      </c>
      <c r="C157">
        <v>6970514</v>
      </c>
      <c r="D157">
        <v>5381774</v>
      </c>
      <c r="E157">
        <v>0</v>
      </c>
      <c r="F157">
        <v>0</v>
      </c>
      <c r="G157">
        <v>0</v>
      </c>
      <c r="H157">
        <v>0</v>
      </c>
      <c r="I157" t="s">
        <v>137</v>
      </c>
      <c r="J157">
        <v>0</v>
      </c>
      <c r="K157">
        <v>0</v>
      </c>
      <c r="L157">
        <v>2.5449143104808165</v>
      </c>
      <c r="M157">
        <v>8.9072000866828578</v>
      </c>
      <c r="N157">
        <v>8.9072000866828578</v>
      </c>
      <c r="O157" t="s">
        <v>90</v>
      </c>
      <c r="P157">
        <v>0</v>
      </c>
      <c r="Q157" t="s">
        <v>90</v>
      </c>
      <c r="R157">
        <v>0</v>
      </c>
      <c r="S157" t="s">
        <v>90</v>
      </c>
      <c r="T157">
        <v>0</v>
      </c>
      <c r="U157">
        <v>8.9072000866828578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1115</v>
      </c>
      <c r="AB157">
        <v>1</v>
      </c>
      <c r="AC157">
        <v>10</v>
      </c>
      <c r="AD157">
        <v>10.007199424046076</v>
      </c>
      <c r="AE157">
        <v>126</v>
      </c>
      <c r="AF157">
        <v>200000</v>
      </c>
      <c r="AG157">
        <v>10000</v>
      </c>
      <c r="AH157">
        <v>1</v>
      </c>
      <c r="AI157">
        <v>1</v>
      </c>
      <c r="AJ157" t="s">
        <v>79</v>
      </c>
      <c r="AK157" t="s">
        <v>137</v>
      </c>
      <c r="AL157">
        <v>0</v>
      </c>
      <c r="AM157" t="s">
        <v>137</v>
      </c>
      <c r="AN157">
        <v>0</v>
      </c>
      <c r="AP157">
        <v>0</v>
      </c>
    </row>
    <row r="158" spans="1:42" ht="12.75">
      <c r="A158" s="2" t="str">
        <f>HYPERLINK("https://ibp.a2mac1.com/costing(costing:projects/details/8191/process/6970518)","Process")</f>
        <v>Process</v>
      </c>
      <c r="C158">
        <v>6970518</v>
      </c>
      <c r="D158">
        <v>5381816</v>
      </c>
      <c r="E158">
        <v>0</v>
      </c>
      <c r="F158">
        <v>0</v>
      </c>
      <c r="G158">
        <v>0</v>
      </c>
      <c r="H158">
        <v>0</v>
      </c>
      <c r="I158" t="s">
        <v>137</v>
      </c>
      <c r="J158">
        <v>0</v>
      </c>
      <c r="K158">
        <v>0</v>
      </c>
      <c r="L158">
        <v>1.940292745876109</v>
      </c>
      <c r="M158">
        <v>6.7910246105663816</v>
      </c>
      <c r="N158">
        <v>6.7910246105663816</v>
      </c>
      <c r="O158" t="s">
        <v>138</v>
      </c>
      <c r="P158">
        <v>0</v>
      </c>
      <c r="Q158" t="s">
        <v>138</v>
      </c>
      <c r="R158">
        <v>0.40746147663398286</v>
      </c>
      <c r="S158" t="s">
        <v>139</v>
      </c>
      <c r="T158">
        <v>0.81492295326796571</v>
      </c>
      <c r="U158">
        <v>8.0134090404683302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850</v>
      </c>
      <c r="AB158">
        <v>1</v>
      </c>
      <c r="AC158">
        <v>5</v>
      </c>
      <c r="AD158">
        <v>5.0007599939200489</v>
      </c>
      <c r="AE158">
        <v>216</v>
      </c>
      <c r="AF158">
        <v>200000</v>
      </c>
      <c r="AG158">
        <v>16666.666666666668</v>
      </c>
      <c r="AH158">
        <v>1</v>
      </c>
      <c r="AI158">
        <v>1</v>
      </c>
      <c r="AJ158" t="s">
        <v>136</v>
      </c>
      <c r="AK158" t="s">
        <v>137</v>
      </c>
      <c r="AL158">
        <v>0</v>
      </c>
      <c r="AM158" t="s">
        <v>137</v>
      </c>
      <c r="AN158">
        <v>0</v>
      </c>
    </row>
    <row r="159" spans="1:42" ht="12.75">
      <c r="A159" s="2" t="str">
        <f>HYPERLINK("https://ibp.a2mac1.com/costing(costing:projects/details/8191/process/6970519)","Process")</f>
        <v>Process</v>
      </c>
      <c r="C159">
        <v>6970519</v>
      </c>
      <c r="D159">
        <v>5381818</v>
      </c>
      <c r="E159">
        <v>0</v>
      </c>
      <c r="F159">
        <v>0</v>
      </c>
      <c r="G159">
        <v>0</v>
      </c>
      <c r="H159">
        <v>0</v>
      </c>
      <c r="I159" t="s">
        <v>137</v>
      </c>
      <c r="J159">
        <v>0</v>
      </c>
      <c r="K159">
        <v>0</v>
      </c>
      <c r="L159">
        <v>0.3081885422746638</v>
      </c>
      <c r="M159">
        <v>1.0786598979613233</v>
      </c>
      <c r="N159">
        <v>1.0786598979613233</v>
      </c>
      <c r="O159" t="s">
        <v>138</v>
      </c>
      <c r="P159">
        <v>0</v>
      </c>
      <c r="Q159" t="s">
        <v>138</v>
      </c>
      <c r="R159">
        <v>0.064719593877679393</v>
      </c>
      <c r="S159" t="s">
        <v>139</v>
      </c>
      <c r="T159">
        <v>0.12943918775535879</v>
      </c>
      <c r="U159">
        <v>1.2728186795943615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135</v>
      </c>
      <c r="AB159">
        <v>1</v>
      </c>
      <c r="AC159">
        <v>5</v>
      </c>
      <c r="AD159">
        <v>5.0007599939200489</v>
      </c>
      <c r="AE159">
        <v>216</v>
      </c>
      <c r="AF159">
        <v>200000</v>
      </c>
      <c r="AG159">
        <v>16666.666666666668</v>
      </c>
      <c r="AH159">
        <v>1</v>
      </c>
      <c r="AI159">
        <v>1</v>
      </c>
      <c r="AJ159" t="s">
        <v>136</v>
      </c>
      <c r="AK159" t="s">
        <v>137</v>
      </c>
      <c r="AL159">
        <v>0</v>
      </c>
      <c r="AM159" t="s">
        <v>137</v>
      </c>
      <c r="AN159">
        <v>0</v>
      </c>
    </row>
    <row r="160" spans="1:42" ht="12.75">
      <c r="A160" s="2" t="str">
        <f>HYPERLINK("https://ibp.a2mac1.com/costing(costing:projects/details/8191/process/6970520)","Process")</f>
        <v>Process</v>
      </c>
      <c r="C160">
        <v>6970520</v>
      </c>
      <c r="D160">
        <v>5381819</v>
      </c>
      <c r="E160">
        <v>0</v>
      </c>
      <c r="F160">
        <v>0</v>
      </c>
      <c r="G160">
        <v>0</v>
      </c>
      <c r="H160">
        <v>0</v>
      </c>
      <c r="I160" t="s">
        <v>137</v>
      </c>
      <c r="J160">
        <v>0</v>
      </c>
      <c r="K160">
        <v>0</v>
      </c>
      <c r="L160">
        <v>4.7936217731513624</v>
      </c>
      <c r="M160">
        <v>16.777676206029771</v>
      </c>
      <c r="N160">
        <v>16.777676206029771</v>
      </c>
      <c r="O160" t="s">
        <v>138</v>
      </c>
      <c r="P160">
        <v>0</v>
      </c>
      <c r="Q160" t="s">
        <v>138</v>
      </c>
      <c r="R160">
        <v>1.0066605723617861</v>
      </c>
      <c r="S160" t="s">
        <v>139</v>
      </c>
      <c r="T160">
        <v>2.0133211447235722</v>
      </c>
      <c r="U160">
        <v>19.797657923115128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2100</v>
      </c>
      <c r="AB160">
        <v>1</v>
      </c>
      <c r="AC160">
        <v>5</v>
      </c>
      <c r="AD160">
        <v>5.0007599939200489</v>
      </c>
      <c r="AE160">
        <v>216</v>
      </c>
      <c r="AF160">
        <v>200000</v>
      </c>
      <c r="AG160">
        <v>16666.666666666668</v>
      </c>
      <c r="AH160">
        <v>1</v>
      </c>
      <c r="AI160">
        <v>1</v>
      </c>
      <c r="AJ160" t="s">
        <v>136</v>
      </c>
      <c r="AK160" t="s">
        <v>137</v>
      </c>
      <c r="AL160">
        <v>0</v>
      </c>
      <c r="AM160" t="s">
        <v>137</v>
      </c>
      <c r="AN160">
        <v>0</v>
      </c>
    </row>
    <row r="161" spans="1:42" ht="12.75">
      <c r="A161" s="2" t="str">
        <f>HYPERLINK("https://ibp.a2mac1.com/costing(costing:projects/details/8191/process/6970521)","Process")</f>
        <v>Process</v>
      </c>
      <c r="C161">
        <v>6970521</v>
      </c>
      <c r="D161">
        <v>5381822</v>
      </c>
      <c r="E161">
        <v>0</v>
      </c>
      <c r="F161">
        <v>0</v>
      </c>
      <c r="G161">
        <v>0</v>
      </c>
      <c r="H161">
        <v>0</v>
      </c>
      <c r="I161" t="s">
        <v>137</v>
      </c>
      <c r="J161">
        <v>0</v>
      </c>
      <c r="K161">
        <v>0</v>
      </c>
      <c r="L161">
        <v>0.38808175503837089</v>
      </c>
      <c r="M161">
        <v>1.3582861426342983</v>
      </c>
      <c r="N161">
        <v>1.3582861426342983</v>
      </c>
      <c r="O161" t="s">
        <v>138</v>
      </c>
      <c r="P161">
        <v>0</v>
      </c>
      <c r="Q161" t="s">
        <v>138</v>
      </c>
      <c r="R161">
        <v>0.081497168558057886</v>
      </c>
      <c r="S161" t="s">
        <v>139</v>
      </c>
      <c r="T161">
        <v>0.16299433711611577</v>
      </c>
      <c r="U161">
        <v>1.6027776483084719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170</v>
      </c>
      <c r="AB161">
        <v>1</v>
      </c>
      <c r="AC161">
        <v>5</v>
      </c>
      <c r="AD161">
        <v>5.0007599939200489</v>
      </c>
      <c r="AE161">
        <v>216</v>
      </c>
      <c r="AF161">
        <v>200000</v>
      </c>
      <c r="AG161">
        <v>16666.666666666668</v>
      </c>
      <c r="AH161">
        <v>1</v>
      </c>
      <c r="AI161">
        <v>1</v>
      </c>
      <c r="AJ161" t="s">
        <v>136</v>
      </c>
      <c r="AK161" t="s">
        <v>137</v>
      </c>
      <c r="AL161">
        <v>0</v>
      </c>
      <c r="AM161" t="s">
        <v>137</v>
      </c>
      <c r="AN161">
        <v>0</v>
      </c>
    </row>
    <row r="162" spans="1:42" ht="12.75">
      <c r="A162" s="2" t="str">
        <f>HYPERLINK("https://ibp.a2mac1.com/costing(costing:projects/details/8191/process/6970522)","Process")</f>
        <v>Process</v>
      </c>
      <c r="C162">
        <v>6970522</v>
      </c>
      <c r="D162">
        <v>5381823</v>
      </c>
      <c r="E162">
        <v>0</v>
      </c>
      <c r="F162">
        <v>0</v>
      </c>
      <c r="G162">
        <v>0</v>
      </c>
      <c r="H162">
        <v>0</v>
      </c>
      <c r="I162" t="s">
        <v>137</v>
      </c>
      <c r="J162">
        <v>0</v>
      </c>
      <c r="K162">
        <v>0</v>
      </c>
      <c r="L162">
        <v>0.65058802554769424</v>
      </c>
      <c r="M162">
        <v>2.2770580894169301</v>
      </c>
      <c r="N162">
        <v>2.2770580894169301</v>
      </c>
      <c r="O162" t="s">
        <v>138</v>
      </c>
      <c r="P162">
        <v>0</v>
      </c>
      <c r="Q162" t="s">
        <v>138</v>
      </c>
      <c r="R162">
        <v>0.13662348536501578</v>
      </c>
      <c r="S162" t="s">
        <v>139</v>
      </c>
      <c r="T162">
        <v>0.27324697073003157</v>
      </c>
      <c r="U162">
        <v>2.6869285455119774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285</v>
      </c>
      <c r="AB162">
        <v>1</v>
      </c>
      <c r="AC162">
        <v>5</v>
      </c>
      <c r="AD162">
        <v>5.0007599939200489</v>
      </c>
      <c r="AE162">
        <v>216</v>
      </c>
      <c r="AF162">
        <v>200000</v>
      </c>
      <c r="AG162">
        <v>16666.666666666668</v>
      </c>
      <c r="AH162">
        <v>1</v>
      </c>
      <c r="AI162">
        <v>1</v>
      </c>
      <c r="AJ162" t="s">
        <v>136</v>
      </c>
      <c r="AK162" t="s">
        <v>137</v>
      </c>
      <c r="AL162">
        <v>0</v>
      </c>
      <c r="AM162" t="s">
        <v>137</v>
      </c>
      <c r="AN162">
        <v>0</v>
      </c>
    </row>
    <row r="163" spans="1:42" ht="12.75">
      <c r="A163" s="2" t="str">
        <f>HYPERLINK("https://ibp.a2mac1.com/costing(costing:projects/details/8191/process/6970515)","Process")</f>
        <v>Process</v>
      </c>
      <c r="C163">
        <v>6970515</v>
      </c>
      <c r="D163">
        <v>5381792</v>
      </c>
      <c r="E163">
        <v>0</v>
      </c>
      <c r="F163">
        <v>0</v>
      </c>
      <c r="G163">
        <v>0</v>
      </c>
      <c r="H163">
        <v>0</v>
      </c>
      <c r="I163" t="s">
        <v>137</v>
      </c>
      <c r="J163">
        <v>0</v>
      </c>
      <c r="K163">
        <v>0</v>
      </c>
      <c r="L163">
        <v>0.19408578157345321</v>
      </c>
      <c r="M163">
        <v>0.67930023550708618</v>
      </c>
      <c r="N163">
        <v>0.67930023550708618</v>
      </c>
      <c r="O163" t="s">
        <v>90</v>
      </c>
      <c r="P163">
        <v>0</v>
      </c>
      <c r="Q163" t="s">
        <v>90</v>
      </c>
      <c r="R163">
        <v>0</v>
      </c>
      <c r="S163" t="s">
        <v>90</v>
      </c>
      <c r="T163">
        <v>0</v>
      </c>
      <c r="U163">
        <v>0.67930023550708618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85</v>
      </c>
      <c r="AB163">
        <v>1</v>
      </c>
      <c r="AC163">
        <v>5</v>
      </c>
      <c r="AD163">
        <v>5.0061745986510875</v>
      </c>
      <c r="AE163">
        <v>216</v>
      </c>
      <c r="AF163">
        <v>200000</v>
      </c>
      <c r="AG163">
        <v>10000</v>
      </c>
      <c r="AH163">
        <v>1</v>
      </c>
      <c r="AI163">
        <v>1</v>
      </c>
      <c r="AJ163" t="s">
        <v>79</v>
      </c>
      <c r="AK163" t="s">
        <v>137</v>
      </c>
      <c r="AL163">
        <v>0</v>
      </c>
      <c r="AM163" t="s">
        <v>137</v>
      </c>
      <c r="AN163">
        <v>0</v>
      </c>
      <c r="AP163">
        <v>0</v>
      </c>
    </row>
    <row r="164" spans="1:42" ht="12.75">
      <c r="A164" s="2" t="str">
        <f>HYPERLINK("https://ibp.a2mac1.com/costing(costing:projects/details/8191/process/6970516)","Process")</f>
        <v>Process</v>
      </c>
      <c r="C164">
        <v>6970516</v>
      </c>
      <c r="D164">
        <v>5381793</v>
      </c>
      <c r="E164">
        <v>0</v>
      </c>
      <c r="F164">
        <v>0</v>
      </c>
      <c r="G164">
        <v>0</v>
      </c>
      <c r="H164">
        <v>0</v>
      </c>
      <c r="I164" t="s">
        <v>137</v>
      </c>
      <c r="J164">
        <v>0</v>
      </c>
      <c r="K164">
        <v>0</v>
      </c>
      <c r="L164">
        <v>0.33105338152843083</v>
      </c>
      <c r="M164">
        <v>1.1586868353495079</v>
      </c>
      <c r="N164">
        <v>1.1586868353495079</v>
      </c>
      <c r="O164" t="s">
        <v>90</v>
      </c>
      <c r="P164">
        <v>0</v>
      </c>
      <c r="Q164" t="s">
        <v>90</v>
      </c>
      <c r="R164">
        <v>0</v>
      </c>
      <c r="S164" t="s">
        <v>90</v>
      </c>
      <c r="T164">
        <v>0</v>
      </c>
      <c r="U164">
        <v>1.1586868353495079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145</v>
      </c>
      <c r="AB164">
        <v>1</v>
      </c>
      <c r="AC164">
        <v>5</v>
      </c>
      <c r="AD164">
        <v>5.0061745986510875</v>
      </c>
      <c r="AE164">
        <v>216</v>
      </c>
      <c r="AF164">
        <v>200000</v>
      </c>
      <c r="AG164">
        <v>10000</v>
      </c>
      <c r="AH164">
        <v>1</v>
      </c>
      <c r="AI164">
        <v>1</v>
      </c>
      <c r="AJ164" t="s">
        <v>79</v>
      </c>
      <c r="AK164" t="s">
        <v>137</v>
      </c>
      <c r="AL164">
        <v>0</v>
      </c>
      <c r="AM164" t="s">
        <v>137</v>
      </c>
      <c r="AN164">
        <v>0</v>
      </c>
      <c r="AP164">
        <v>0</v>
      </c>
    </row>
    <row r="165" spans="1:42" ht="12.75">
      <c r="A165" s="2" t="str">
        <f>HYPERLINK("https://ibp.a2mac1.com/costing(costing:projects/details/8191/process/6970517)","Injection molding")</f>
        <v>Injection molding</v>
      </c>
      <c r="B165" t="s">
        <v>1755</v>
      </c>
      <c r="C165">
        <v>6970517</v>
      </c>
      <c r="D165">
        <v>5381814</v>
      </c>
      <c r="E165">
        <v>0.044730215748219525</v>
      </c>
      <c r="F165">
        <v>0</v>
      </c>
      <c r="G165">
        <v>0</v>
      </c>
      <c r="H165">
        <v>0.00091689855515646602</v>
      </c>
      <c r="I165" t="s">
        <v>137</v>
      </c>
      <c r="J165">
        <v>0.0015715695117765088</v>
      </c>
      <c r="K165">
        <v>0.047218683815152505</v>
      </c>
      <c r="L165">
        <v>0.0024970068644123394</v>
      </c>
      <c r="M165">
        <v>0.014982041186474036</v>
      </c>
      <c r="N165">
        <v>0.062200725001626538</v>
      </c>
      <c r="O165" t="s">
        <v>138</v>
      </c>
      <c r="P165">
        <v>0.0028331210289091503</v>
      </c>
      <c r="Q165" t="s">
        <v>138</v>
      </c>
      <c r="R165">
        <v>0.00089892247118844213</v>
      </c>
      <c r="S165" t="s">
        <v>139</v>
      </c>
      <c r="T165">
        <v>0.0074640870001951845</v>
      </c>
      <c r="U165">
        <v>0.073396855501919323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11.459759999999999</v>
      </c>
      <c r="AB165">
        <v>2</v>
      </c>
      <c r="AC165">
        <v>2</v>
      </c>
      <c r="AD165">
        <v>2.001136786813273</v>
      </c>
      <c r="AE165">
        <v>7200</v>
      </c>
      <c r="AF165">
        <v>200000</v>
      </c>
      <c r="AG165">
        <v>16666.666666666668</v>
      </c>
      <c r="AH165">
        <v>1</v>
      </c>
      <c r="AI165">
        <v>1</v>
      </c>
      <c r="AJ165" t="s">
        <v>136</v>
      </c>
      <c r="AK165" t="s">
        <v>137</v>
      </c>
      <c r="AL165">
        <v>0</v>
      </c>
      <c r="AM165" t="s">
        <v>137</v>
      </c>
      <c r="AN165">
        <v>0</v>
      </c>
    </row>
    <row r="166" spans="1:42" ht="12.75">
      <c r="A166" s="2" t="str">
        <f>HYPERLINK("https://ibp.a2mac1.com/costing(costing:projects/details/8191/process/6972155)","Process")</f>
        <v>Process</v>
      </c>
      <c r="C166">
        <v>6972155</v>
      </c>
      <c r="D166">
        <v>5383694</v>
      </c>
      <c r="E166">
        <v>5.6342578819782387</v>
      </c>
      <c r="F166">
        <v>0</v>
      </c>
      <c r="G166">
        <v>0</v>
      </c>
      <c r="H166">
        <v>0.031021142447944492</v>
      </c>
      <c r="I166" t="s">
        <v>137</v>
      </c>
      <c r="J166">
        <v>0.2145731196992208</v>
      </c>
      <c r="K166">
        <v>5.8798521441254046</v>
      </c>
      <c r="L166">
        <v>0.044967624413453637</v>
      </c>
      <c r="M166">
        <v>0.26980574648072181</v>
      </c>
      <c r="N166">
        <v>6.1496578906061261</v>
      </c>
      <c r="O166" t="s">
        <v>138</v>
      </c>
      <c r="P166">
        <v>0.35279112864752427</v>
      </c>
      <c r="Q166" t="s">
        <v>138</v>
      </c>
      <c r="R166">
        <v>0.01618834478884331</v>
      </c>
      <c r="S166" t="s">
        <v>139</v>
      </c>
      <c r="T166">
        <v>0.73795894687273511</v>
      </c>
      <c r="U166">
        <v>7.2565963109152287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60</v>
      </c>
      <c r="AB166">
        <v>1</v>
      </c>
      <c r="AC166">
        <v>0.50</v>
      </c>
      <c r="AD166">
        <v>0.50345253019720215</v>
      </c>
      <c r="AE166">
        <v>1800</v>
      </c>
      <c r="AF166">
        <v>200000</v>
      </c>
      <c r="AG166">
        <v>16666.666666666668</v>
      </c>
      <c r="AH166">
        <v>1</v>
      </c>
      <c r="AI166">
        <v>1</v>
      </c>
      <c r="AJ166" t="s">
        <v>136</v>
      </c>
      <c r="AK166" t="s">
        <v>137</v>
      </c>
      <c r="AL166">
        <v>0</v>
      </c>
      <c r="AM166" t="s">
        <v>137</v>
      </c>
      <c r="AN166">
        <v>0</v>
      </c>
    </row>
    <row r="167" spans="1:42" ht="12.75">
      <c r="A167" s="2" t="str">
        <f>HYPERLINK("https://ibp.a2mac1.com/costing(costing:projects/details/8191/process/6972156)","Process")</f>
        <v>Process</v>
      </c>
      <c r="C167">
        <v>6972156</v>
      </c>
      <c r="D167">
        <v>5383695</v>
      </c>
      <c r="E167">
        <v>2.887555412287734</v>
      </c>
      <c r="F167">
        <v>0</v>
      </c>
      <c r="G167">
        <v>0</v>
      </c>
      <c r="H167">
        <v>0.01544517507875875</v>
      </c>
      <c r="I167" t="s">
        <v>137</v>
      </c>
      <c r="J167">
        <v>0.10683421497165142</v>
      </c>
      <c r="K167">
        <v>3.009834802338144</v>
      </c>
      <c r="L167">
        <v>0.049443939152736371</v>
      </c>
      <c r="M167">
        <v>0.29666363491641823</v>
      </c>
      <c r="N167">
        <v>3.3064984372545623</v>
      </c>
      <c r="O167" t="s">
        <v>138</v>
      </c>
      <c r="P167">
        <v>0.18059008814028865</v>
      </c>
      <c r="Q167" t="s">
        <v>138</v>
      </c>
      <c r="R167">
        <v>0.017799818094985095</v>
      </c>
      <c r="S167" t="s">
        <v>139</v>
      </c>
      <c r="T167">
        <v>0.3967798124705475</v>
      </c>
      <c r="U167">
        <v>3.9016681559603836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60</v>
      </c>
      <c r="AB167">
        <v>1</v>
      </c>
      <c r="AC167">
        <v>0.50</v>
      </c>
      <c r="AD167">
        <v>0.50345253019720215</v>
      </c>
      <c r="AE167">
        <v>1800</v>
      </c>
      <c r="AF167">
        <v>200000</v>
      </c>
      <c r="AG167">
        <v>16666.666666666668</v>
      </c>
      <c r="AH167">
        <v>1</v>
      </c>
      <c r="AI167">
        <v>1</v>
      </c>
      <c r="AJ167" t="s">
        <v>136</v>
      </c>
      <c r="AK167" t="s">
        <v>137</v>
      </c>
      <c r="AL167">
        <v>0</v>
      </c>
      <c r="AM167" t="s">
        <v>137</v>
      </c>
      <c r="AN167">
        <v>0</v>
      </c>
    </row>
    <row r="168" spans="1:42" ht="12.75">
      <c r="A168" s="2" t="str">
        <f>HYPERLINK("https://ibp.a2mac1.com/costing(costing:projects/details/8191/process/6972157)","Process")</f>
        <v>Process</v>
      </c>
      <c r="C168">
        <v>6972157</v>
      </c>
      <c r="D168">
        <v>5383704</v>
      </c>
      <c r="E168">
        <v>5.9909350494923856</v>
      </c>
      <c r="F168">
        <v>0</v>
      </c>
      <c r="G168">
        <v>0</v>
      </c>
      <c r="H168">
        <v>0.030543205390862943</v>
      </c>
      <c r="I168" t="s">
        <v>137</v>
      </c>
      <c r="J168">
        <v>0.21126723096446701</v>
      </c>
      <c r="K168">
        <v>6.2327454858477154</v>
      </c>
      <c r="L168">
        <v>2.3428606881649978</v>
      </c>
      <c r="M168">
        <v>14.057164128989987</v>
      </c>
      <c r="N168">
        <v>20.289909614837704</v>
      </c>
      <c r="O168" t="s">
        <v>138</v>
      </c>
      <c r="P168">
        <v>0.37396472915086293</v>
      </c>
      <c r="Q168" t="s">
        <v>138</v>
      </c>
      <c r="R168">
        <v>0.84342984773939922</v>
      </c>
      <c r="S168" t="s">
        <v>139</v>
      </c>
      <c r="T168">
        <v>2.4347891537805242</v>
      </c>
      <c r="U168">
        <v>23.942093345508489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60</v>
      </c>
      <c r="AB168">
        <v>1</v>
      </c>
      <c r="AC168">
        <v>0.50</v>
      </c>
      <c r="AD168">
        <v>0.50345253019720215</v>
      </c>
      <c r="AE168">
        <v>1800</v>
      </c>
      <c r="AF168">
        <v>200000</v>
      </c>
      <c r="AG168">
        <v>16666.666666666668</v>
      </c>
      <c r="AH168">
        <v>1</v>
      </c>
      <c r="AI168">
        <v>1</v>
      </c>
      <c r="AJ168" t="s">
        <v>136</v>
      </c>
      <c r="AK168" t="s">
        <v>137</v>
      </c>
      <c r="AL168">
        <v>0</v>
      </c>
      <c r="AM168" t="s">
        <v>137</v>
      </c>
      <c r="AN168">
        <v>0</v>
      </c>
    </row>
    <row r="169" spans="1:42" ht="12.75">
      <c r="A169" s="2" t="str">
        <f>HYPERLINK("https://ibp.a2mac1.com/costing(costing:projects/details/8191/process/6972158)","Process")</f>
        <v>Process</v>
      </c>
      <c r="C169">
        <v>6972158</v>
      </c>
      <c r="D169">
        <v>5383705</v>
      </c>
      <c r="E169">
        <v>2.9756577276674259</v>
      </c>
      <c r="F169">
        <v>0</v>
      </c>
      <c r="G169">
        <v>0</v>
      </c>
      <c r="H169">
        <v>0.015628843784510252</v>
      </c>
      <c r="I169" t="s">
        <v>137</v>
      </c>
      <c r="J169">
        <v>0.1081046506833713</v>
      </c>
      <c r="K169">
        <v>3.0993912221353077</v>
      </c>
      <c r="L169">
        <v>0.03524321653334362</v>
      </c>
      <c r="M169">
        <v>0.21145929920006173</v>
      </c>
      <c r="N169">
        <v>3.3108505213353694</v>
      </c>
      <c r="O169" t="s">
        <v>138</v>
      </c>
      <c r="P169">
        <v>0.18596347332811844</v>
      </c>
      <c r="Q169" t="s">
        <v>138</v>
      </c>
      <c r="R169">
        <v>0.012687557952003704</v>
      </c>
      <c r="S169" t="s">
        <v>139</v>
      </c>
      <c r="T169">
        <v>0.39730206256024431</v>
      </c>
      <c r="U169">
        <v>3.9068036151757357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60</v>
      </c>
      <c r="AB169">
        <v>1</v>
      </c>
      <c r="AC169">
        <v>0.50</v>
      </c>
      <c r="AD169">
        <v>0.50345253019720215</v>
      </c>
      <c r="AE169">
        <v>1800</v>
      </c>
      <c r="AF169">
        <v>200000</v>
      </c>
      <c r="AG169">
        <v>16666.666666666668</v>
      </c>
      <c r="AH169">
        <v>1</v>
      </c>
      <c r="AI169">
        <v>1</v>
      </c>
      <c r="AJ169" t="s">
        <v>136</v>
      </c>
      <c r="AK169" t="s">
        <v>137</v>
      </c>
      <c r="AL169">
        <v>0</v>
      </c>
      <c r="AM169" t="s">
        <v>137</v>
      </c>
      <c r="AN169">
        <v>0</v>
      </c>
    </row>
    <row r="170" spans="1:42" ht="12.75">
      <c r="A170" s="2" t="str">
        <f>HYPERLINK("https://ibp.a2mac1.com/costing(costing:projects/details/8191/process/6972159)","Process")</f>
        <v>Process</v>
      </c>
      <c r="C170">
        <v>6972159</v>
      </c>
      <c r="D170">
        <v>5383706</v>
      </c>
      <c r="E170">
        <v>0.8770234814720812</v>
      </c>
      <c r="F170">
        <v>0</v>
      </c>
      <c r="G170">
        <v>0</v>
      </c>
      <c r="H170">
        <v>0.0044712733664974622</v>
      </c>
      <c r="I170" t="s">
        <v>137</v>
      </c>
      <c r="J170">
        <v>0.030927780203045686</v>
      </c>
      <c r="K170">
        <v>0.91242253504162441</v>
      </c>
      <c r="L170">
        <v>0.42113240511916866</v>
      </c>
      <c r="M170">
        <v>2.5267944307150119</v>
      </c>
      <c r="N170">
        <v>3.4392169657566365</v>
      </c>
      <c r="O170" t="s">
        <v>138</v>
      </c>
      <c r="P170">
        <v>0.054745352102497459</v>
      </c>
      <c r="Q170" t="s">
        <v>138</v>
      </c>
      <c r="R170">
        <v>0.15160766584290072</v>
      </c>
      <c r="S170" t="s">
        <v>139</v>
      </c>
      <c r="T170">
        <v>0.41270603589079635</v>
      </c>
      <c r="U170">
        <v>4.0582760195928307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60</v>
      </c>
      <c r="AB170">
        <v>1</v>
      </c>
      <c r="AC170">
        <v>0.50</v>
      </c>
      <c r="AD170">
        <v>0.50345253019720215</v>
      </c>
      <c r="AE170">
        <v>1800</v>
      </c>
      <c r="AF170">
        <v>200000</v>
      </c>
      <c r="AG170">
        <v>16666.666666666668</v>
      </c>
      <c r="AH170">
        <v>1</v>
      </c>
      <c r="AI170">
        <v>1</v>
      </c>
      <c r="AJ170" t="s">
        <v>136</v>
      </c>
      <c r="AK170" t="s">
        <v>137</v>
      </c>
      <c r="AL170">
        <v>0</v>
      </c>
      <c r="AM170" t="s">
        <v>137</v>
      </c>
      <c r="AN170">
        <v>0</v>
      </c>
    </row>
    <row r="171" spans="1:42" ht="12.75">
      <c r="A171" s="2" t="str">
        <f>HYPERLINK("https://ibp.a2mac1.com/costing(costing:projects/details/8191/process/6971730)","Final Assembly")</f>
        <v>Final Assembly</v>
      </c>
      <c r="C171">
        <v>6971730</v>
      </c>
      <c r="D171">
        <v>5382850</v>
      </c>
      <c r="E171">
        <v>0</v>
      </c>
      <c r="F171">
        <v>0</v>
      </c>
      <c r="G171">
        <v>0</v>
      </c>
      <c r="H171">
        <v>0</v>
      </c>
      <c r="I171" t="s">
        <v>137</v>
      </c>
      <c r="J171">
        <v>0</v>
      </c>
      <c r="K171">
        <v>0</v>
      </c>
      <c r="L171">
        <v>6.2370556593547271</v>
      </c>
      <c r="M171">
        <v>21.829694807741546</v>
      </c>
      <c r="N171">
        <v>21.829694807741546</v>
      </c>
      <c r="O171" t="s">
        <v>90</v>
      </c>
      <c r="P171">
        <v>0</v>
      </c>
      <c r="Q171" t="s">
        <v>90</v>
      </c>
      <c r="R171">
        <v>0</v>
      </c>
      <c r="S171" t="s">
        <v>90</v>
      </c>
      <c r="T171">
        <v>0</v>
      </c>
      <c r="U171">
        <v>21.829694807741546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60</v>
      </c>
      <c r="AB171">
        <v>1</v>
      </c>
      <c r="AC171">
        <v>0.50</v>
      </c>
      <c r="AD171">
        <v>0.50741219779126456</v>
      </c>
      <c r="AE171">
        <v>1800</v>
      </c>
      <c r="AF171">
        <v>200000</v>
      </c>
      <c r="AG171">
        <v>10000</v>
      </c>
      <c r="AH171">
        <v>1</v>
      </c>
      <c r="AI171">
        <v>1</v>
      </c>
      <c r="AJ171" t="s">
        <v>79</v>
      </c>
      <c r="AK171" t="s">
        <v>137</v>
      </c>
      <c r="AL171">
        <v>0</v>
      </c>
      <c r="AM171" t="s">
        <v>137</v>
      </c>
      <c r="AN171">
        <v>0</v>
      </c>
      <c r="AP171">
        <v>0</v>
      </c>
    </row>
    <row r="172" spans="1:42" ht="12.75">
      <c r="A172" s="2" t="str">
        <f>HYPERLINK("https://ibp.a2mac1.com/costing(costing:projects/details/8191/process/6971944)","Process")</f>
        <v>Process</v>
      </c>
      <c r="C172">
        <v>6971944</v>
      </c>
      <c r="D172">
        <v>5383255</v>
      </c>
      <c r="E172">
        <v>2.0918445362136717</v>
      </c>
      <c r="F172">
        <v>0</v>
      </c>
      <c r="G172">
        <v>0</v>
      </c>
      <c r="H172">
        <v>0.010590216021540819</v>
      </c>
      <c r="I172" t="s">
        <v>137</v>
      </c>
      <c r="J172">
        <v>0.073252482362436505</v>
      </c>
      <c r="K172">
        <v>2.1756872345976492</v>
      </c>
      <c r="L172">
        <v>0.075859086626975242</v>
      </c>
      <c r="M172">
        <v>0.26550680319441333</v>
      </c>
      <c r="N172">
        <v>2.4411940377920627</v>
      </c>
      <c r="O172" t="s">
        <v>138</v>
      </c>
      <c r="P172">
        <v>0.13054123407585896</v>
      </c>
      <c r="Q172" t="s">
        <v>138</v>
      </c>
      <c r="R172">
        <v>0.015930408191664802</v>
      </c>
      <c r="S172" t="s">
        <v>139</v>
      </c>
      <c r="T172">
        <v>0.29294328453504753</v>
      </c>
      <c r="U172">
        <v>2.880608964594634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60</v>
      </c>
      <c r="AB172">
        <v>1</v>
      </c>
      <c r="AC172">
        <v>0.50</v>
      </c>
      <c r="AD172">
        <v>0.50345253019720215</v>
      </c>
      <c r="AE172">
        <v>1800</v>
      </c>
      <c r="AF172">
        <v>200000</v>
      </c>
      <c r="AG172">
        <v>16666.666666666668</v>
      </c>
      <c r="AH172">
        <v>1</v>
      </c>
      <c r="AI172">
        <v>1</v>
      </c>
      <c r="AJ172" t="s">
        <v>136</v>
      </c>
      <c r="AK172" t="s">
        <v>137</v>
      </c>
      <c r="AL172">
        <v>0</v>
      </c>
      <c r="AM172" t="s">
        <v>137</v>
      </c>
      <c r="AN172">
        <v>0</v>
      </c>
    </row>
    <row r="173" spans="1:42" ht="12.75">
      <c r="A173" s="2" t="str">
        <f>HYPERLINK("https://ibp.a2mac1.com/costing(costing:projects/details/8191/process/6971945)","Process")</f>
        <v>Process</v>
      </c>
      <c r="C173">
        <v>6971945</v>
      </c>
      <c r="D173">
        <v>5383256</v>
      </c>
      <c r="E173">
        <v>1.7111357575757575</v>
      </c>
      <c r="F173">
        <v>0</v>
      </c>
      <c r="G173">
        <v>0</v>
      </c>
      <c r="H173">
        <v>0.0086583469333333333</v>
      </c>
      <c r="I173" t="s">
        <v>137</v>
      </c>
      <c r="J173">
        <v>0.059889751515151517</v>
      </c>
      <c r="K173">
        <v>1.7796838560242425</v>
      </c>
      <c r="L173">
        <v>0.049197508000374</v>
      </c>
      <c r="M173">
        <v>0.29518504800224399</v>
      </c>
      <c r="N173">
        <v>2.0748689040264865</v>
      </c>
      <c r="O173" t="s">
        <v>138</v>
      </c>
      <c r="P173">
        <v>0.10678103136145455</v>
      </c>
      <c r="Q173" t="s">
        <v>138</v>
      </c>
      <c r="R173">
        <v>0.017711102880134642</v>
      </c>
      <c r="S173" t="s">
        <v>139</v>
      </c>
      <c r="T173">
        <v>0.24898426848317837</v>
      </c>
      <c r="U173">
        <v>2.4483453067512539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60</v>
      </c>
      <c r="AB173">
        <v>1</v>
      </c>
      <c r="AC173">
        <v>0.50</v>
      </c>
      <c r="AD173">
        <v>0.50345253019720215</v>
      </c>
      <c r="AE173">
        <v>1800</v>
      </c>
      <c r="AF173">
        <v>200000</v>
      </c>
      <c r="AG173">
        <v>16666.666666666668</v>
      </c>
      <c r="AH173">
        <v>1</v>
      </c>
      <c r="AI173">
        <v>1</v>
      </c>
      <c r="AJ173" t="s">
        <v>136</v>
      </c>
      <c r="AK173" t="s">
        <v>137</v>
      </c>
      <c r="AL173">
        <v>0</v>
      </c>
      <c r="AM173" t="s">
        <v>137</v>
      </c>
      <c r="AN173">
        <v>0</v>
      </c>
    </row>
    <row r="174" spans="1:42" ht="12.75">
      <c r="A174" s="2" t="str">
        <f>HYPERLINK("https://ibp.a2mac1.com/costing(costing:projects/details/8191/process/6971946)","Process")</f>
        <v>Process</v>
      </c>
      <c r="C174">
        <v>6971946</v>
      </c>
      <c r="D174">
        <v>5383362</v>
      </c>
      <c r="E174">
        <v>6.248523808765432</v>
      </c>
      <c r="F174">
        <v>0</v>
      </c>
      <c r="G174">
        <v>0</v>
      </c>
      <c r="H174">
        <v>0.03493649775950617</v>
      </c>
      <c r="I174" t="s">
        <v>137</v>
      </c>
      <c r="J174">
        <v>0.24165561691358026</v>
      </c>
      <c r="K174">
        <v>6.5251159234385181</v>
      </c>
      <c r="L174">
        <v>2.6928472504403276</v>
      </c>
      <c r="M174">
        <v>16.157083502641967</v>
      </c>
      <c r="N174">
        <v>22.682199426080484</v>
      </c>
      <c r="O174" t="s">
        <v>138</v>
      </c>
      <c r="P174">
        <v>0.39150695540631109</v>
      </c>
      <c r="Q174" t="s">
        <v>138</v>
      </c>
      <c r="R174">
        <v>0.96942501015851801</v>
      </c>
      <c r="S174" t="s">
        <v>139</v>
      </c>
      <c r="T174">
        <v>2.7218639311296582</v>
      </c>
      <c r="U174">
        <v>26.764995322774972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60</v>
      </c>
      <c r="AB174">
        <v>1</v>
      </c>
      <c r="AC174">
        <v>0.50</v>
      </c>
      <c r="AD174">
        <v>0.50345253019720215</v>
      </c>
      <c r="AE174">
        <v>1800</v>
      </c>
      <c r="AF174">
        <v>200000</v>
      </c>
      <c r="AG174">
        <v>16666.666666666668</v>
      </c>
      <c r="AH174">
        <v>1</v>
      </c>
      <c r="AI174">
        <v>1</v>
      </c>
      <c r="AJ174" t="s">
        <v>136</v>
      </c>
      <c r="AK174" t="s">
        <v>137</v>
      </c>
      <c r="AL174">
        <v>0</v>
      </c>
      <c r="AM174" t="s">
        <v>137</v>
      </c>
      <c r="AN174">
        <v>0</v>
      </c>
    </row>
    <row r="175" spans="1:42" ht="12.75">
      <c r="A175" s="2" t="str">
        <f>HYPERLINK("https://ibp.a2mac1.com/costing(costing:projects/details/8191/process/6971947)","Process")</f>
        <v>Process</v>
      </c>
      <c r="C175">
        <v>6971947</v>
      </c>
      <c r="D175">
        <v>5383363</v>
      </c>
      <c r="E175">
        <v>2.3420232688324871</v>
      </c>
      <c r="F175">
        <v>0</v>
      </c>
      <c r="G175">
        <v>0</v>
      </c>
      <c r="H175">
        <v>0.011940189158984772</v>
      </c>
      <c r="I175" t="s">
        <v>137</v>
      </c>
      <c r="J175">
        <v>0.082590241218274116</v>
      </c>
      <c r="K175">
        <v>2.4365536992097461</v>
      </c>
      <c r="L175">
        <v>1.1492904439712346</v>
      </c>
      <c r="M175">
        <v>6.8957426638274075</v>
      </c>
      <c r="N175">
        <v>9.3322963630371536</v>
      </c>
      <c r="O175" t="s">
        <v>138</v>
      </c>
      <c r="P175">
        <v>0.14619322195258477</v>
      </c>
      <c r="Q175" t="s">
        <v>138</v>
      </c>
      <c r="R175">
        <v>0.41374455982964448</v>
      </c>
      <c r="S175" t="s">
        <v>139</v>
      </c>
      <c r="T175">
        <v>1.1198755635644584</v>
      </c>
      <c r="U175">
        <v>11.012109708383841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60</v>
      </c>
      <c r="AB175">
        <v>1</v>
      </c>
      <c r="AC175">
        <v>0.50</v>
      </c>
      <c r="AD175">
        <v>0.50345253019720215</v>
      </c>
      <c r="AE175">
        <v>1800</v>
      </c>
      <c r="AF175">
        <v>200000</v>
      </c>
      <c r="AG175">
        <v>16666.666666666668</v>
      </c>
      <c r="AH175">
        <v>1</v>
      </c>
      <c r="AI175">
        <v>1</v>
      </c>
      <c r="AJ175" t="s">
        <v>136</v>
      </c>
      <c r="AK175" t="s">
        <v>137</v>
      </c>
      <c r="AL175">
        <v>0</v>
      </c>
      <c r="AM175" t="s">
        <v>137</v>
      </c>
      <c r="AN175">
        <v>0</v>
      </c>
    </row>
    <row r="176" spans="1:42" ht="12.75">
      <c r="A176" s="2" t="str">
        <f>HYPERLINK("https://ibp.a2mac1.com/costing(costing:projects/details/8191/process/6971948)","Process")</f>
        <v>Process</v>
      </c>
      <c r="C176">
        <v>6971948</v>
      </c>
      <c r="D176">
        <v>5383364</v>
      </c>
      <c r="E176">
        <v>1.1734821230964467</v>
      </c>
      <c r="F176">
        <v>0</v>
      </c>
      <c r="G176">
        <v>0</v>
      </c>
      <c r="H176">
        <v>0.005982689715736041</v>
      </c>
      <c r="I176" t="s">
        <v>137</v>
      </c>
      <c r="J176">
        <v>0.041382241116751269</v>
      </c>
      <c r="K176">
        <v>1.220847053928934</v>
      </c>
      <c r="L176">
        <v>0.64763448186847217</v>
      </c>
      <c r="M176">
        <v>3.8858068912108328</v>
      </c>
      <c r="N176">
        <v>5.106653945139767</v>
      </c>
      <c r="O176" t="s">
        <v>138</v>
      </c>
      <c r="P176">
        <v>0.073250823235736034</v>
      </c>
      <c r="Q176" t="s">
        <v>138</v>
      </c>
      <c r="R176">
        <v>0.23314841347264997</v>
      </c>
      <c r="S176" t="s">
        <v>139</v>
      </c>
      <c r="T176">
        <v>0.61279847341677196</v>
      </c>
      <c r="U176">
        <v>6.0258516552649244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60</v>
      </c>
      <c r="AB176">
        <v>1</v>
      </c>
      <c r="AC176">
        <v>0.50</v>
      </c>
      <c r="AD176">
        <v>0.50345253019720215</v>
      </c>
      <c r="AE176">
        <v>1800</v>
      </c>
      <c r="AF176">
        <v>200000</v>
      </c>
      <c r="AG176">
        <v>16666.666666666668</v>
      </c>
      <c r="AH176">
        <v>1</v>
      </c>
      <c r="AI176">
        <v>1</v>
      </c>
      <c r="AJ176" t="s">
        <v>136</v>
      </c>
      <c r="AK176" t="s">
        <v>137</v>
      </c>
      <c r="AL176">
        <v>0</v>
      </c>
      <c r="AM176" t="s">
        <v>137</v>
      </c>
      <c r="AN176">
        <v>0</v>
      </c>
    </row>
    <row r="177" spans="1:42" ht="12.75">
      <c r="A177" s="2" t="str">
        <f>HYPERLINK("https://ibp.a2mac1.com/costing(costing:projects/details/8191/process/6971731)","Final Assembly")</f>
        <v>Final Assembly</v>
      </c>
      <c r="C177">
        <v>6971731</v>
      </c>
      <c r="D177">
        <v>5382851</v>
      </c>
      <c r="E177">
        <v>0</v>
      </c>
      <c r="F177">
        <v>0</v>
      </c>
      <c r="G177">
        <v>0</v>
      </c>
      <c r="H177">
        <v>0</v>
      </c>
      <c r="I177" t="s">
        <v>137</v>
      </c>
      <c r="J177">
        <v>0</v>
      </c>
      <c r="K177">
        <v>0</v>
      </c>
      <c r="L177">
        <v>3.1607732629858503</v>
      </c>
      <c r="M177">
        <v>11.062706420450477</v>
      </c>
      <c r="N177">
        <v>11.062706420450477</v>
      </c>
      <c r="O177" t="s">
        <v>90</v>
      </c>
      <c r="P177">
        <v>0</v>
      </c>
      <c r="Q177" t="s">
        <v>90</v>
      </c>
      <c r="R177">
        <v>0</v>
      </c>
      <c r="S177" t="s">
        <v>90</v>
      </c>
      <c r="T177">
        <v>0</v>
      </c>
      <c r="U177">
        <v>11.062706420450477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60</v>
      </c>
      <c r="AB177">
        <v>1</v>
      </c>
      <c r="AC177">
        <v>0.50</v>
      </c>
      <c r="AD177">
        <v>0.50741219779126456</v>
      </c>
      <c r="AE177">
        <v>1800</v>
      </c>
      <c r="AF177">
        <v>200000</v>
      </c>
      <c r="AG177">
        <v>10000</v>
      </c>
      <c r="AH177">
        <v>1</v>
      </c>
      <c r="AI177">
        <v>1</v>
      </c>
      <c r="AJ177" t="s">
        <v>79</v>
      </c>
      <c r="AK177" t="s">
        <v>137</v>
      </c>
      <c r="AL177">
        <v>0</v>
      </c>
      <c r="AM177" t="s">
        <v>137</v>
      </c>
      <c r="AN177">
        <v>0</v>
      </c>
      <c r="AP177">
        <v>0</v>
      </c>
    </row>
    <row r="178" spans="1:42" ht="12.75">
      <c r="A178" s="2" t="str">
        <f>HYPERLINK("https://ibp.a2mac1.com/costing(costing:projects/details/8191/process/6971949)","Process")</f>
        <v>Process</v>
      </c>
      <c r="C178">
        <v>6971949</v>
      </c>
      <c r="D178">
        <v>5383365</v>
      </c>
      <c r="E178">
        <v>27.981020307692308</v>
      </c>
      <c r="F178">
        <v>0</v>
      </c>
      <c r="G178">
        <v>0</v>
      </c>
      <c r="H178">
        <v>0.15256892538461539</v>
      </c>
      <c r="I178" t="s">
        <v>137</v>
      </c>
      <c r="J178">
        <v>1.0553186538461539</v>
      </c>
      <c r="K178">
        <v>29.188907886923076</v>
      </c>
      <c r="L178">
        <v>0.567770314765488</v>
      </c>
      <c r="M178">
        <v>3.406621888592928</v>
      </c>
      <c r="N178">
        <v>32.595529775516006</v>
      </c>
      <c r="O178" t="s">
        <v>138</v>
      </c>
      <c r="P178">
        <v>1.7513344732153846</v>
      </c>
      <c r="Q178" t="s">
        <v>138</v>
      </c>
      <c r="R178">
        <v>0.20439731331557567</v>
      </c>
      <c r="S178" t="s">
        <v>139</v>
      </c>
      <c r="T178">
        <v>3.9114635730619205</v>
      </c>
      <c r="U178">
        <v>38.462725135108883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60</v>
      </c>
      <c r="AB178">
        <v>1</v>
      </c>
      <c r="AC178">
        <v>0.50</v>
      </c>
      <c r="AD178">
        <v>0.50345253019720215</v>
      </c>
      <c r="AE178">
        <v>1800</v>
      </c>
      <c r="AF178">
        <v>200000</v>
      </c>
      <c r="AG178">
        <v>16666.666666666668</v>
      </c>
      <c r="AH178">
        <v>1</v>
      </c>
      <c r="AI178">
        <v>1</v>
      </c>
      <c r="AJ178" t="s">
        <v>136</v>
      </c>
      <c r="AK178" t="s">
        <v>137</v>
      </c>
      <c r="AL178">
        <v>0</v>
      </c>
      <c r="AM178" t="s">
        <v>137</v>
      </c>
      <c r="AN178">
        <v>0</v>
      </c>
    </row>
    <row r="179" spans="1:42" ht="12.75">
      <c r="A179" s="2" t="str">
        <f>HYPERLINK("https://ibp.a2mac1.com/costing(costing:projects/details/8191/process/6971879)","Stator assembly")</f>
        <v>Stator assembly</v>
      </c>
      <c r="C179">
        <v>6971879</v>
      </c>
      <c r="D179">
        <v>5383015</v>
      </c>
      <c r="E179">
        <v>0</v>
      </c>
      <c r="F179">
        <v>0</v>
      </c>
      <c r="G179">
        <v>0</v>
      </c>
      <c r="H179">
        <v>0</v>
      </c>
      <c r="I179" t="s">
        <v>137</v>
      </c>
      <c r="J179">
        <v>0</v>
      </c>
      <c r="K179">
        <v>0</v>
      </c>
      <c r="L179">
        <v>2.2789313342995192</v>
      </c>
      <c r="M179">
        <v>7.976259670048317</v>
      </c>
      <c r="N179">
        <v>7.976259670048317</v>
      </c>
      <c r="O179" t="s">
        <v>90</v>
      </c>
      <c r="P179">
        <v>0</v>
      </c>
      <c r="Q179" t="s">
        <v>90</v>
      </c>
      <c r="R179">
        <v>0</v>
      </c>
      <c r="S179" t="s">
        <v>90</v>
      </c>
      <c r="T179">
        <v>0</v>
      </c>
      <c r="U179">
        <v>7.976259670048317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60</v>
      </c>
      <c r="AB179">
        <v>1</v>
      </c>
      <c r="AC179">
        <v>0.50</v>
      </c>
      <c r="AD179">
        <v>0.50741219779126456</v>
      </c>
      <c r="AE179">
        <v>1800</v>
      </c>
      <c r="AF179">
        <v>200000</v>
      </c>
      <c r="AG179">
        <v>10000</v>
      </c>
      <c r="AH179">
        <v>1</v>
      </c>
      <c r="AI179">
        <v>1</v>
      </c>
      <c r="AJ179" t="s">
        <v>79</v>
      </c>
      <c r="AK179" t="s">
        <v>137</v>
      </c>
      <c r="AL179">
        <v>0</v>
      </c>
      <c r="AM179" t="s">
        <v>137</v>
      </c>
      <c r="AN179">
        <v>0</v>
      </c>
      <c r="AP179">
        <v>0</v>
      </c>
    </row>
    <row r="180" spans="1:42" ht="12.75">
      <c r="A180" s="2" t="str">
        <f>HYPERLINK("https://ibp.a2mac1.com/costing(costing:projects/details/8191/process/6971950)","Process")</f>
        <v>Process</v>
      </c>
      <c r="C180">
        <v>6971950</v>
      </c>
      <c r="D180">
        <v>5383371</v>
      </c>
      <c r="E180">
        <v>1.6537528429629629</v>
      </c>
      <c r="F180">
        <v>0</v>
      </c>
      <c r="G180">
        <v>0</v>
      </c>
      <c r="H180">
        <v>0.0092158473407407404</v>
      </c>
      <c r="I180" t="s">
        <v>137</v>
      </c>
      <c r="J180">
        <v>0.063745979629629634</v>
      </c>
      <c r="K180">
        <v>1.7267146699333333</v>
      </c>
      <c r="L180">
        <v>1.3058008739085378</v>
      </c>
      <c r="M180">
        <v>7.8348052434512265</v>
      </c>
      <c r="N180">
        <v>9.5615199133845596</v>
      </c>
      <c r="O180" t="s">
        <v>138</v>
      </c>
      <c r="P180">
        <v>0.103602880196</v>
      </c>
      <c r="Q180" t="s">
        <v>138</v>
      </c>
      <c r="R180">
        <v>0.47008831460707362</v>
      </c>
      <c r="S180" t="s">
        <v>139</v>
      </c>
      <c r="T180">
        <v>1.1473823896061472</v>
      </c>
      <c r="U180">
        <v>11.282593497793782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60</v>
      </c>
      <c r="AB180">
        <v>1</v>
      </c>
      <c r="AC180">
        <v>0.50</v>
      </c>
      <c r="AD180">
        <v>0.50345253019720215</v>
      </c>
      <c r="AE180">
        <v>1800</v>
      </c>
      <c r="AF180">
        <v>200000</v>
      </c>
      <c r="AG180">
        <v>16666.666666666668</v>
      </c>
      <c r="AH180">
        <v>1</v>
      </c>
      <c r="AI180">
        <v>1</v>
      </c>
      <c r="AJ180" t="s">
        <v>136</v>
      </c>
      <c r="AK180" t="s">
        <v>137</v>
      </c>
      <c r="AL180">
        <v>0</v>
      </c>
      <c r="AM180" t="s">
        <v>137</v>
      </c>
      <c r="AN180">
        <v>0</v>
      </c>
    </row>
    <row r="181" spans="1:42" ht="12.75">
      <c r="A181" s="2" t="str">
        <f>HYPERLINK("https://ibp.a2mac1.com/costing(costing:projects/details/8191/process/6971951)","Process")</f>
        <v>Process</v>
      </c>
      <c r="C181">
        <v>6971951</v>
      </c>
      <c r="D181">
        <v>5383372</v>
      </c>
      <c r="E181">
        <v>13.956137787878788</v>
      </c>
      <c r="F181">
        <v>0</v>
      </c>
      <c r="G181">
        <v>0</v>
      </c>
      <c r="H181">
        <v>0.074413126666666662</v>
      </c>
      <c r="I181" t="s">
        <v>137</v>
      </c>
      <c r="J181">
        <v>0.514715303030303</v>
      </c>
      <c r="K181">
        <v>14.545266217575758</v>
      </c>
      <c r="L181">
        <v>0.78232471086438471</v>
      </c>
      <c r="M181">
        <v>4.6939482651863083</v>
      </c>
      <c r="N181">
        <v>19.239214482762065</v>
      </c>
      <c r="O181" t="s">
        <v>138</v>
      </c>
      <c r="P181">
        <v>0.8727159730545454</v>
      </c>
      <c r="Q181" t="s">
        <v>138</v>
      </c>
      <c r="R181">
        <v>0.28163689591117846</v>
      </c>
      <c r="S181" t="s">
        <v>139</v>
      </c>
      <c r="T181">
        <v>2.3087057379314477</v>
      </c>
      <c r="U181">
        <v>22.702273089659236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60</v>
      </c>
      <c r="AB181">
        <v>1</v>
      </c>
      <c r="AC181">
        <v>0.50</v>
      </c>
      <c r="AD181">
        <v>0.50345253019720215</v>
      </c>
      <c r="AE181">
        <v>1800</v>
      </c>
      <c r="AF181">
        <v>200000</v>
      </c>
      <c r="AG181">
        <v>16666.666666666668</v>
      </c>
      <c r="AH181">
        <v>1</v>
      </c>
      <c r="AI181">
        <v>1</v>
      </c>
      <c r="AJ181" t="s">
        <v>136</v>
      </c>
      <c r="AK181" t="s">
        <v>137</v>
      </c>
      <c r="AL181">
        <v>0</v>
      </c>
      <c r="AM181" t="s">
        <v>137</v>
      </c>
      <c r="AN181">
        <v>0</v>
      </c>
    </row>
    <row r="182" spans="1:42" ht="12.75">
      <c r="A182" s="2" t="str">
        <f>HYPERLINK("https://ibp.a2mac1.com/costing(costing:projects/details/8191/process/6971880)","Rotor assembly")</f>
        <v>Rotor assembly</v>
      </c>
      <c r="C182">
        <v>6971880</v>
      </c>
      <c r="D182">
        <v>5383016</v>
      </c>
      <c r="E182">
        <v>0</v>
      </c>
      <c r="F182">
        <v>0</v>
      </c>
      <c r="G182">
        <v>0</v>
      </c>
      <c r="H182">
        <v>0</v>
      </c>
      <c r="I182" t="s">
        <v>137</v>
      </c>
      <c r="J182">
        <v>0</v>
      </c>
      <c r="K182">
        <v>0</v>
      </c>
      <c r="L182">
        <v>1.1687097939935651</v>
      </c>
      <c r="M182">
        <v>4.0904842789774776</v>
      </c>
      <c r="N182">
        <v>4.0904842789774776</v>
      </c>
      <c r="O182" t="s">
        <v>90</v>
      </c>
      <c r="P182">
        <v>0</v>
      </c>
      <c r="Q182" t="s">
        <v>90</v>
      </c>
      <c r="R182">
        <v>0</v>
      </c>
      <c r="S182" t="s">
        <v>90</v>
      </c>
      <c r="T182">
        <v>0</v>
      </c>
      <c r="U182">
        <v>4.0904842789774776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60</v>
      </c>
      <c r="AB182">
        <v>1</v>
      </c>
      <c r="AC182">
        <v>0.50</v>
      </c>
      <c r="AD182">
        <v>0.50741219779126456</v>
      </c>
      <c r="AE182">
        <v>1800</v>
      </c>
      <c r="AF182">
        <v>200000</v>
      </c>
      <c r="AG182">
        <v>10000</v>
      </c>
      <c r="AH182">
        <v>1</v>
      </c>
      <c r="AI182">
        <v>1</v>
      </c>
      <c r="AJ182" t="s">
        <v>79</v>
      </c>
      <c r="AK182" t="s">
        <v>137</v>
      </c>
      <c r="AL182">
        <v>0</v>
      </c>
      <c r="AM182" t="s">
        <v>137</v>
      </c>
      <c r="AN182">
        <v>0</v>
      </c>
      <c r="AP182">
        <v>0</v>
      </c>
    </row>
    <row r="183" spans="1:42" ht="12.75">
      <c r="A183" s="2" t="str">
        <f>HYPERLINK("https://ibp.a2mac1.com/costing(costing:projects/details/8191/process/6971877)","Process")</f>
        <v>Process</v>
      </c>
      <c r="C183">
        <v>6971877</v>
      </c>
      <c r="D183">
        <v>5382999</v>
      </c>
      <c r="E183">
        <v>17.248703811428573</v>
      </c>
      <c r="F183">
        <v>0</v>
      </c>
      <c r="G183">
        <v>0</v>
      </c>
      <c r="H183">
        <v>0.088160041702857142</v>
      </c>
      <c r="I183" t="s">
        <v>137</v>
      </c>
      <c r="J183">
        <v>0.60980266000000005</v>
      </c>
      <c r="K183">
        <v>17.946666513131429</v>
      </c>
      <c r="L183">
        <v>1.3873989790002692</v>
      </c>
      <c r="M183">
        <v>8.3243938740016148</v>
      </c>
      <c r="N183">
        <v>26.271060387133044</v>
      </c>
      <c r="O183" t="s">
        <v>138</v>
      </c>
      <c r="P183">
        <v>1.0767999907878858</v>
      </c>
      <c r="Q183" t="s">
        <v>138</v>
      </c>
      <c r="R183">
        <v>0.49946363244009689</v>
      </c>
      <c r="S183" t="s">
        <v>139</v>
      </c>
      <c r="T183">
        <v>3.152527246455965</v>
      </c>
      <c r="U183">
        <v>30.999851256816992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60</v>
      </c>
      <c r="AB183">
        <v>1</v>
      </c>
      <c r="AC183">
        <v>0.50</v>
      </c>
      <c r="AD183">
        <v>0.50345253019720215</v>
      </c>
      <c r="AE183">
        <v>1800</v>
      </c>
      <c r="AF183">
        <v>200000</v>
      </c>
      <c r="AG183">
        <v>16666.666666666668</v>
      </c>
      <c r="AH183">
        <v>1</v>
      </c>
      <c r="AI183">
        <v>1</v>
      </c>
      <c r="AJ183" t="s">
        <v>136</v>
      </c>
      <c r="AK183" t="s">
        <v>137</v>
      </c>
      <c r="AL183">
        <v>0</v>
      </c>
      <c r="AM183" t="s">
        <v>137</v>
      </c>
      <c r="AN183">
        <v>0</v>
      </c>
    </row>
    <row r="184" spans="1:42" ht="12.75">
      <c r="A184" s="2" t="str">
        <f>HYPERLINK("https://ibp.a2mac1.com/costing(costing:projects/details/8191/process/6971878)","Process")</f>
        <v>Process</v>
      </c>
      <c r="C184">
        <v>6971878</v>
      </c>
      <c r="D184">
        <v>5383000</v>
      </c>
      <c r="E184">
        <v>4.2279634414285718</v>
      </c>
      <c r="F184">
        <v>0</v>
      </c>
      <c r="G184">
        <v>0</v>
      </c>
      <c r="H184">
        <v>0.021609590922857143</v>
      </c>
      <c r="I184" t="s">
        <v>137</v>
      </c>
      <c r="J184">
        <v>0.14947345500000001</v>
      </c>
      <c r="K184">
        <v>4.3990464873514288</v>
      </c>
      <c r="L184">
        <v>1.0462729247702924</v>
      </c>
      <c r="M184">
        <v>6.2776375486217537</v>
      </c>
      <c r="N184">
        <v>10.676684035973183</v>
      </c>
      <c r="O184" t="s">
        <v>138</v>
      </c>
      <c r="P184">
        <v>0.26394278924108572</v>
      </c>
      <c r="Q184" t="s">
        <v>138</v>
      </c>
      <c r="R184">
        <v>0.37665825291730526</v>
      </c>
      <c r="S184" t="s">
        <v>139</v>
      </c>
      <c r="T184">
        <v>1.281202084316782</v>
      </c>
      <c r="U184">
        <v>12.598487162448356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60</v>
      </c>
      <c r="AB184">
        <v>1</v>
      </c>
      <c r="AC184">
        <v>0.50</v>
      </c>
      <c r="AD184">
        <v>0.50345253019720215</v>
      </c>
      <c r="AE184">
        <v>1800</v>
      </c>
      <c r="AF184">
        <v>200000</v>
      </c>
      <c r="AG184">
        <v>16666.666666666668</v>
      </c>
      <c r="AH184">
        <v>1</v>
      </c>
      <c r="AI184">
        <v>1</v>
      </c>
      <c r="AJ184" t="s">
        <v>136</v>
      </c>
      <c r="AK184" t="s">
        <v>137</v>
      </c>
      <c r="AL184">
        <v>0</v>
      </c>
      <c r="AM184" t="s">
        <v>137</v>
      </c>
      <c r="AN184">
        <v>0</v>
      </c>
    </row>
    <row r="185" spans="1:42" ht="12.75">
      <c r="A185" s="2" t="str">
        <f>HYPERLINK("https://ibp.a2mac1.com/costing(costing:projects/details/8191/process/6971732)","Final assembly")</f>
        <v>Final assembly</v>
      </c>
      <c r="C185">
        <v>6971732</v>
      </c>
      <c r="D185">
        <v>5382852</v>
      </c>
      <c r="E185">
        <v>0</v>
      </c>
      <c r="F185">
        <v>0</v>
      </c>
      <c r="G185">
        <v>0</v>
      </c>
      <c r="H185">
        <v>0</v>
      </c>
      <c r="I185" t="s">
        <v>137</v>
      </c>
      <c r="J185">
        <v>0</v>
      </c>
      <c r="K185">
        <v>0</v>
      </c>
      <c r="L185">
        <v>4.6050981862215572</v>
      </c>
      <c r="M185">
        <v>16.117843651775452</v>
      </c>
      <c r="N185">
        <v>16.117843651775452</v>
      </c>
      <c r="O185" t="s">
        <v>90</v>
      </c>
      <c r="P185">
        <v>0</v>
      </c>
      <c r="Q185" t="s">
        <v>90</v>
      </c>
      <c r="R185">
        <v>0</v>
      </c>
      <c r="S185" t="s">
        <v>90</v>
      </c>
      <c r="T185">
        <v>0</v>
      </c>
      <c r="U185">
        <v>16.117843651775452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60</v>
      </c>
      <c r="AB185">
        <v>1</v>
      </c>
      <c r="AC185">
        <v>0.50</v>
      </c>
      <c r="AD185">
        <v>0.50741219779126456</v>
      </c>
      <c r="AE185">
        <v>1800</v>
      </c>
      <c r="AF185">
        <v>200000</v>
      </c>
      <c r="AG185">
        <v>10000</v>
      </c>
      <c r="AH185">
        <v>1</v>
      </c>
      <c r="AI185">
        <v>1</v>
      </c>
      <c r="AJ185" t="s">
        <v>79</v>
      </c>
      <c r="AK185" t="s">
        <v>137</v>
      </c>
      <c r="AL185">
        <v>0</v>
      </c>
      <c r="AM185" t="s">
        <v>137</v>
      </c>
      <c r="AN185">
        <v>0</v>
      </c>
      <c r="AP185">
        <v>0</v>
      </c>
    </row>
    <row r="186" spans="1:42" ht="12.75">
      <c r="A186" s="2" t="str">
        <f>HYPERLINK("https://ibp.a2mac1.com/costing(costing:projects/details/8191/process/6971952)","Process")</f>
        <v>Process</v>
      </c>
      <c r="C186">
        <v>6971952</v>
      </c>
      <c r="D186">
        <v>5383376</v>
      </c>
      <c r="E186">
        <v>1.036538376</v>
      </c>
      <c r="F186">
        <v>0</v>
      </c>
      <c r="G186">
        <v>0</v>
      </c>
      <c r="H186">
        <v>0.0072845613646666668</v>
      </c>
      <c r="I186" t="s">
        <v>137</v>
      </c>
      <c r="J186">
        <v>0.050387282166666665</v>
      </c>
      <c r="K186">
        <v>1.0942102195313332</v>
      </c>
      <c r="L186">
        <v>0.03524321653334362</v>
      </c>
      <c r="M186">
        <v>0.21145929920006173</v>
      </c>
      <c r="N186">
        <v>1.3056695187313951</v>
      </c>
      <c r="O186" t="s">
        <v>138</v>
      </c>
      <c r="P186">
        <v>0.065652613171879995</v>
      </c>
      <c r="Q186" t="s">
        <v>138</v>
      </c>
      <c r="R186">
        <v>0.012687557952003704</v>
      </c>
      <c r="S186" t="s">
        <v>139</v>
      </c>
      <c r="T186">
        <v>0.15668034224776742</v>
      </c>
      <c r="U186">
        <v>1.5406900321030461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60</v>
      </c>
      <c r="AB186">
        <v>1</v>
      </c>
      <c r="AC186">
        <v>0.50</v>
      </c>
      <c r="AD186">
        <v>0.50345253019720215</v>
      </c>
      <c r="AE186">
        <v>1800</v>
      </c>
      <c r="AF186">
        <v>200000</v>
      </c>
      <c r="AG186">
        <v>16666.666666666668</v>
      </c>
      <c r="AH186">
        <v>1</v>
      </c>
      <c r="AI186">
        <v>1</v>
      </c>
      <c r="AJ186" t="s">
        <v>136</v>
      </c>
      <c r="AK186" t="s">
        <v>137</v>
      </c>
      <c r="AL186">
        <v>0</v>
      </c>
      <c r="AM186" t="s">
        <v>137</v>
      </c>
      <c r="AN186">
        <v>0</v>
      </c>
    </row>
    <row r="187" spans="1:42" ht="12.75">
      <c r="A187" s="2" t="str">
        <f>HYPERLINK("https://ibp.a2mac1.com/costing(costing:projects/details/8191/process/6971953)","Process")</f>
        <v>Process</v>
      </c>
      <c r="C187">
        <v>6971953</v>
      </c>
      <c r="D187">
        <v>5383385</v>
      </c>
      <c r="E187">
        <v>41.098151264999998</v>
      </c>
      <c r="F187">
        <v>0</v>
      </c>
      <c r="G187">
        <v>0</v>
      </c>
      <c r="H187">
        <v>0.2273992842</v>
      </c>
      <c r="I187" t="s">
        <v>137</v>
      </c>
      <c r="J187">
        <v>1.57291995</v>
      </c>
      <c r="K187">
        <v>42.898470499200002</v>
      </c>
      <c r="L187">
        <v>0.81010873338021383</v>
      </c>
      <c r="M187">
        <v>4.8606524002812828</v>
      </c>
      <c r="N187">
        <v>47.759122899481284</v>
      </c>
      <c r="O187" t="s">
        <v>138</v>
      </c>
      <c r="P187">
        <v>2.573908229952</v>
      </c>
      <c r="Q187" t="s">
        <v>138</v>
      </c>
      <c r="R187">
        <v>0.29163914401687696</v>
      </c>
      <c r="S187" t="s">
        <v>139</v>
      </c>
      <c r="T187">
        <v>5.7310947479377541</v>
      </c>
      <c r="U187">
        <v>56.355765021387917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60</v>
      </c>
      <c r="AB187">
        <v>1</v>
      </c>
      <c r="AC187">
        <v>0.50</v>
      </c>
      <c r="AD187">
        <v>0.50345253019720215</v>
      </c>
      <c r="AE187">
        <v>1800</v>
      </c>
      <c r="AF187">
        <v>200000</v>
      </c>
      <c r="AG187">
        <v>16666.666666666668</v>
      </c>
      <c r="AH187">
        <v>1</v>
      </c>
      <c r="AI187">
        <v>1</v>
      </c>
      <c r="AJ187" t="s">
        <v>136</v>
      </c>
      <c r="AK187" t="s">
        <v>137</v>
      </c>
      <c r="AL187">
        <v>0</v>
      </c>
      <c r="AM187" t="s">
        <v>137</v>
      </c>
      <c r="AN187">
        <v>0</v>
      </c>
    </row>
    <row r="188" spans="1:42" ht="12.75">
      <c r="A188" s="2" t="str">
        <f>HYPERLINK("https://ibp.a2mac1.com/costing(costing:projects/details/8191/process/6971884)","Stator assembly")</f>
        <v>Stator assembly</v>
      </c>
      <c r="C188">
        <v>6971884</v>
      </c>
      <c r="D188">
        <v>5383070</v>
      </c>
      <c r="E188">
        <v>0</v>
      </c>
      <c r="F188">
        <v>0</v>
      </c>
      <c r="G188">
        <v>0</v>
      </c>
      <c r="H188">
        <v>0</v>
      </c>
      <c r="I188" t="s">
        <v>137</v>
      </c>
      <c r="J188">
        <v>0</v>
      </c>
      <c r="K188">
        <v>0</v>
      </c>
      <c r="L188">
        <v>2.8810875087199372</v>
      </c>
      <c r="M188">
        <v>10.083806280519781</v>
      </c>
      <c r="N188">
        <v>10.083806280519781</v>
      </c>
      <c r="O188" t="s">
        <v>90</v>
      </c>
      <c r="P188">
        <v>0</v>
      </c>
      <c r="Q188" t="s">
        <v>90</v>
      </c>
      <c r="R188">
        <v>0</v>
      </c>
      <c r="S188" t="s">
        <v>90</v>
      </c>
      <c r="T188">
        <v>0</v>
      </c>
      <c r="U188">
        <v>10.083806280519781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60</v>
      </c>
      <c r="AB188">
        <v>1</v>
      </c>
      <c r="AC188">
        <v>0.50</v>
      </c>
      <c r="AD188">
        <v>0.50741219779126456</v>
      </c>
      <c r="AE188">
        <v>1800</v>
      </c>
      <c r="AF188">
        <v>200000</v>
      </c>
      <c r="AG188">
        <v>10000</v>
      </c>
      <c r="AH188">
        <v>1</v>
      </c>
      <c r="AI188">
        <v>1</v>
      </c>
      <c r="AJ188" t="s">
        <v>79</v>
      </c>
      <c r="AK188" t="s">
        <v>137</v>
      </c>
      <c r="AL188">
        <v>0</v>
      </c>
      <c r="AM188" t="s">
        <v>137</v>
      </c>
      <c r="AN188">
        <v>0</v>
      </c>
      <c r="AP188">
        <v>0</v>
      </c>
    </row>
    <row r="189" spans="1:42" ht="12.75">
      <c r="A189" s="2" t="str">
        <f>HYPERLINK("https://ibp.a2mac1.com/costing(costing:projects/details/8191/process/6971954)","Process")</f>
        <v>Process</v>
      </c>
      <c r="C189">
        <v>6971954</v>
      </c>
      <c r="D189">
        <v>5383386</v>
      </c>
      <c r="E189">
        <v>1.2037435457142858</v>
      </c>
      <c r="F189">
        <v>0</v>
      </c>
      <c r="G189">
        <v>0</v>
      </c>
      <c r="H189">
        <v>0.0061159899342857144</v>
      </c>
      <c r="I189" t="s">
        <v>137</v>
      </c>
      <c r="J189">
        <v>0.042556589999999998</v>
      </c>
      <c r="K189">
        <v>1.2524161256485715</v>
      </c>
      <c r="L189">
        <v>0.087617354146800247</v>
      </c>
      <c r="M189">
        <v>0.52570412488080143</v>
      </c>
      <c r="N189">
        <v>1.7781202505293729</v>
      </c>
      <c r="O189" t="s">
        <v>90</v>
      </c>
      <c r="P189">
        <v>0</v>
      </c>
      <c r="Q189" t="s">
        <v>90</v>
      </c>
      <c r="R189">
        <v>0</v>
      </c>
      <c r="S189" t="s">
        <v>90</v>
      </c>
      <c r="T189">
        <v>0</v>
      </c>
      <c r="U189">
        <v>1.7781202505293729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60</v>
      </c>
      <c r="AB189">
        <v>1</v>
      </c>
      <c r="AC189">
        <v>0.50</v>
      </c>
      <c r="AD189">
        <v>0.50048257265952256</v>
      </c>
      <c r="AE189">
        <v>1800</v>
      </c>
      <c r="AF189">
        <v>400000</v>
      </c>
      <c r="AG189">
        <v>33333.333333333336</v>
      </c>
      <c r="AH189">
        <v>1</v>
      </c>
      <c r="AI189">
        <v>1</v>
      </c>
      <c r="AJ189" t="s">
        <v>136</v>
      </c>
      <c r="AK189" t="s">
        <v>137</v>
      </c>
      <c r="AL189">
        <v>0</v>
      </c>
      <c r="AM189" t="s">
        <v>137</v>
      </c>
      <c r="AN189">
        <v>0</v>
      </c>
    </row>
    <row r="190" spans="1:42" ht="12.75">
      <c r="A190" s="2" t="str">
        <f>HYPERLINK("https://ibp.a2mac1.com/costing(costing:projects/details/8191/process/6971955)","Process")</f>
        <v>Process</v>
      </c>
      <c r="C190">
        <v>6971955</v>
      </c>
      <c r="D190">
        <v>5383387</v>
      </c>
      <c r="E190">
        <v>0.51536842105263159</v>
      </c>
      <c r="F190">
        <v>0</v>
      </c>
      <c r="G190">
        <v>0</v>
      </c>
      <c r="H190">
        <v>0.0025903705263157894</v>
      </c>
      <c r="I190" t="s">
        <v>137</v>
      </c>
      <c r="J190">
        <v>0.018037894736842107</v>
      </c>
      <c r="K190">
        <v>0.53599668631578945</v>
      </c>
      <c r="L190">
        <v>0.037813101105003959</v>
      </c>
      <c r="M190">
        <v>0.22687860663002377</v>
      </c>
      <c r="N190">
        <v>0.76287529294581324</v>
      </c>
      <c r="O190" t="s">
        <v>138</v>
      </c>
      <c r="P190">
        <v>0.032159801178947366</v>
      </c>
      <c r="Q190" t="s">
        <v>138</v>
      </c>
      <c r="R190">
        <v>0.013612716397801426</v>
      </c>
      <c r="S190" t="s">
        <v>139</v>
      </c>
      <c r="T190">
        <v>0.091545035153497586</v>
      </c>
      <c r="U190">
        <v>0.90019284567605962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60</v>
      </c>
      <c r="AB190">
        <v>1</v>
      </c>
      <c r="AC190">
        <v>0.50</v>
      </c>
      <c r="AD190">
        <v>0.50011131550046584</v>
      </c>
      <c r="AE190">
        <v>1800</v>
      </c>
      <c r="AF190">
        <v>6400000</v>
      </c>
      <c r="AG190">
        <v>533333.33333333337</v>
      </c>
      <c r="AH190">
        <v>1</v>
      </c>
      <c r="AI190">
        <v>1</v>
      </c>
      <c r="AJ190" t="s">
        <v>136</v>
      </c>
      <c r="AK190" t="s">
        <v>137</v>
      </c>
      <c r="AL190">
        <v>0</v>
      </c>
      <c r="AM190" t="s">
        <v>137</v>
      </c>
      <c r="AN190">
        <v>0</v>
      </c>
    </row>
    <row r="191" spans="1:42" ht="12.75">
      <c r="A191" s="2" t="str">
        <f>HYPERLINK("https://ibp.a2mac1.com/costing(costing:projects/details/8191/process/6971956)","Process")</f>
        <v>Process</v>
      </c>
      <c r="C191">
        <v>6971956</v>
      </c>
      <c r="D191">
        <v>5383388</v>
      </c>
      <c r="E191">
        <v>0.88757894736842102</v>
      </c>
      <c r="F191">
        <v>0</v>
      </c>
      <c r="G191">
        <v>0</v>
      </c>
      <c r="H191">
        <v>0.0044603615789473687</v>
      </c>
      <c r="I191" t="s">
        <v>137</v>
      </c>
      <c r="J191">
        <v>0.031065263157894738</v>
      </c>
      <c r="K191">
        <v>0.9231045721052632</v>
      </c>
      <c r="L191">
        <v>0.0378112082772879</v>
      </c>
      <c r="M191">
        <v>0.22686724966372737</v>
      </c>
      <c r="N191">
        <v>1.1499718217689905</v>
      </c>
      <c r="O191" t="s">
        <v>138</v>
      </c>
      <c r="P191">
        <v>0.055386274326315786</v>
      </c>
      <c r="Q191" t="s">
        <v>138</v>
      </c>
      <c r="R191">
        <v>0.013612034979823643</v>
      </c>
      <c r="S191" t="s">
        <v>139</v>
      </c>
      <c r="T191">
        <v>0.13799661861227885</v>
      </c>
      <c r="U191">
        <v>1.3569667496874089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60</v>
      </c>
      <c r="AB191">
        <v>1</v>
      </c>
      <c r="AC191">
        <v>0.50</v>
      </c>
      <c r="AD191">
        <v>0.50001850077780996</v>
      </c>
      <c r="AE191">
        <v>1800</v>
      </c>
      <c r="AF191">
        <v>12800000</v>
      </c>
      <c r="AG191">
        <v>1066666.6666666667</v>
      </c>
      <c r="AH191">
        <v>1</v>
      </c>
      <c r="AI191">
        <v>1</v>
      </c>
      <c r="AJ191" t="s">
        <v>136</v>
      </c>
      <c r="AK191" t="s">
        <v>137</v>
      </c>
      <c r="AL191">
        <v>0</v>
      </c>
      <c r="AM191" t="s">
        <v>137</v>
      </c>
      <c r="AN191">
        <v>0</v>
      </c>
    </row>
    <row r="192" spans="1:42" ht="12.75">
      <c r="A192" s="2" t="str">
        <f>HYPERLINK("https://ibp.a2mac1.com/costing(costing:projects/details/8191/process/6971957)","Process")</f>
        <v>Process</v>
      </c>
      <c r="C192">
        <v>6971957</v>
      </c>
      <c r="D192">
        <v>5383389</v>
      </c>
      <c r="E192">
        <v>32.904345489230771</v>
      </c>
      <c r="F192">
        <v>0</v>
      </c>
      <c r="G192">
        <v>0</v>
      </c>
      <c r="H192">
        <v>0.17941378036153846</v>
      </c>
      <c r="I192" t="s">
        <v>137</v>
      </c>
      <c r="J192">
        <v>1.2410044096153847</v>
      </c>
      <c r="K192">
        <v>34.324763679207692</v>
      </c>
      <c r="L192">
        <v>0.85795899438167755</v>
      </c>
      <c r="M192">
        <v>5.1477539662900655</v>
      </c>
      <c r="N192">
        <v>39.47251764549776</v>
      </c>
      <c r="O192" t="s">
        <v>138</v>
      </c>
      <c r="P192">
        <v>2.0594858207524616</v>
      </c>
      <c r="Q192" t="s">
        <v>138</v>
      </c>
      <c r="R192">
        <v>0.30886523797740389</v>
      </c>
      <c r="S192" t="s">
        <v>139</v>
      </c>
      <c r="T192">
        <v>4.736702117459731</v>
      </c>
      <c r="U192">
        <v>46.577570821687353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60</v>
      </c>
      <c r="AB192">
        <v>1</v>
      </c>
      <c r="AC192">
        <v>0.50</v>
      </c>
      <c r="AD192">
        <v>0.50345253019720215</v>
      </c>
      <c r="AE192">
        <v>1800</v>
      </c>
      <c r="AF192">
        <v>200000</v>
      </c>
      <c r="AG192">
        <v>16666.666666666668</v>
      </c>
      <c r="AH192">
        <v>1</v>
      </c>
      <c r="AI192">
        <v>1</v>
      </c>
      <c r="AJ192" t="s">
        <v>136</v>
      </c>
      <c r="AK192" t="s">
        <v>137</v>
      </c>
      <c r="AL192">
        <v>0</v>
      </c>
      <c r="AM192" t="s">
        <v>137</v>
      </c>
      <c r="AN192">
        <v>0</v>
      </c>
    </row>
    <row r="193" spans="1:42" ht="12.75">
      <c r="A193" s="2" t="str">
        <f>HYPERLINK("https://ibp.a2mac1.com/costing(costing:projects/details/8191/process/6971958)","Process")</f>
        <v>Process</v>
      </c>
      <c r="C193">
        <v>6971958</v>
      </c>
      <c r="D193">
        <v>5383390</v>
      </c>
      <c r="E193">
        <v>8.739692307692307</v>
      </c>
      <c r="F193">
        <v>0</v>
      </c>
      <c r="G193">
        <v>0</v>
      </c>
      <c r="H193">
        <v>0.044222843076923077</v>
      </c>
      <c r="I193" t="s">
        <v>137</v>
      </c>
      <c r="J193">
        <v>0.30588923076923075</v>
      </c>
      <c r="K193">
        <v>9.0898043815384622</v>
      </c>
      <c r="L193">
        <v>0.64957882550742818</v>
      </c>
      <c r="M193">
        <v>3.8974729530445686</v>
      </c>
      <c r="N193">
        <v>12.98727733458303</v>
      </c>
      <c r="O193" t="s">
        <v>138</v>
      </c>
      <c r="P193">
        <v>0.54538826289230768</v>
      </c>
      <c r="Q193" t="s">
        <v>138</v>
      </c>
      <c r="R193">
        <v>0.23384837718267412</v>
      </c>
      <c r="S193" t="s">
        <v>139</v>
      </c>
      <c r="T193">
        <v>1.5584732801499637</v>
      </c>
      <c r="U193">
        <v>15.324987254807976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60</v>
      </c>
      <c r="AB193">
        <v>1</v>
      </c>
      <c r="AC193">
        <v>0.50</v>
      </c>
      <c r="AD193">
        <v>0.50345253019720215</v>
      </c>
      <c r="AE193">
        <v>1800</v>
      </c>
      <c r="AF193">
        <v>200000</v>
      </c>
      <c r="AG193">
        <v>16666.666666666668</v>
      </c>
      <c r="AH193">
        <v>1</v>
      </c>
      <c r="AI193">
        <v>1</v>
      </c>
      <c r="AJ193" t="s">
        <v>136</v>
      </c>
      <c r="AK193" t="s">
        <v>137</v>
      </c>
      <c r="AL193">
        <v>0</v>
      </c>
      <c r="AM193" t="s">
        <v>137</v>
      </c>
      <c r="AN193">
        <v>0</v>
      </c>
    </row>
    <row r="194" spans="1:42" ht="12.75">
      <c r="A194" s="2" t="str">
        <f>HYPERLINK("https://ibp.a2mac1.com/costing(costing:projects/details/8191/process/6971885)","Rotor assembly")</f>
        <v>Rotor assembly</v>
      </c>
      <c r="C194">
        <v>6971885</v>
      </c>
      <c r="D194">
        <v>5383072</v>
      </c>
      <c r="E194">
        <v>0</v>
      </c>
      <c r="F194">
        <v>0</v>
      </c>
      <c r="G194">
        <v>0</v>
      </c>
      <c r="H194">
        <v>0</v>
      </c>
      <c r="I194" t="s">
        <v>137</v>
      </c>
      <c r="J194">
        <v>0</v>
      </c>
      <c r="K194">
        <v>0</v>
      </c>
      <c r="L194">
        <v>1.720834962677031</v>
      </c>
      <c r="M194">
        <v>6.0229223693696081</v>
      </c>
      <c r="N194">
        <v>6.0229223693696081</v>
      </c>
      <c r="O194" t="s">
        <v>90</v>
      </c>
      <c r="P194">
        <v>0</v>
      </c>
      <c r="Q194" t="s">
        <v>90</v>
      </c>
      <c r="R194">
        <v>0</v>
      </c>
      <c r="S194" t="s">
        <v>90</v>
      </c>
      <c r="T194">
        <v>0</v>
      </c>
      <c r="U194">
        <v>6.0229223693696081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60</v>
      </c>
      <c r="AB194">
        <v>1</v>
      </c>
      <c r="AC194">
        <v>0.50</v>
      </c>
      <c r="AD194">
        <v>0.50741219779126456</v>
      </c>
      <c r="AE194">
        <v>1800</v>
      </c>
      <c r="AF194">
        <v>200000</v>
      </c>
      <c r="AG194">
        <v>10000</v>
      </c>
      <c r="AH194">
        <v>1</v>
      </c>
      <c r="AI194">
        <v>1</v>
      </c>
      <c r="AJ194" t="s">
        <v>79</v>
      </c>
      <c r="AK194" t="s">
        <v>137</v>
      </c>
      <c r="AL194">
        <v>0</v>
      </c>
      <c r="AM194" t="s">
        <v>137</v>
      </c>
      <c r="AN194">
        <v>0</v>
      </c>
      <c r="AP194">
        <v>0</v>
      </c>
    </row>
    <row r="195" spans="1:42" ht="12.75">
      <c r="A195" s="2" t="str">
        <f>HYPERLINK("https://ibp.a2mac1.com/costing(costing:projects/details/8191/process/6971881)","Process")</f>
        <v>Process</v>
      </c>
      <c r="C195">
        <v>6971881</v>
      </c>
      <c r="D195">
        <v>5383017</v>
      </c>
      <c r="E195">
        <v>11.118528347142858</v>
      </c>
      <c r="F195">
        <v>0</v>
      </c>
      <c r="G195">
        <v>0</v>
      </c>
      <c r="H195">
        <v>0.056828033774285712</v>
      </c>
      <c r="I195" t="s">
        <v>137</v>
      </c>
      <c r="J195">
        <v>0.393079285</v>
      </c>
      <c r="K195">
        <v>11.568435665917143</v>
      </c>
      <c r="L195">
        <v>1.1296249923202379</v>
      </c>
      <c r="M195">
        <v>6.7777499539214272</v>
      </c>
      <c r="N195">
        <v>18.346185619838572</v>
      </c>
      <c r="O195" t="s">
        <v>138</v>
      </c>
      <c r="P195">
        <v>0.69410613995502857</v>
      </c>
      <c r="Q195" t="s">
        <v>138</v>
      </c>
      <c r="R195">
        <v>0.40666499723528565</v>
      </c>
      <c r="S195" t="s">
        <v>139</v>
      </c>
      <c r="T195">
        <v>2.2015422743806283</v>
      </c>
      <c r="U195">
        <v>21.648499031409514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60</v>
      </c>
      <c r="AB195">
        <v>1</v>
      </c>
      <c r="AC195">
        <v>0.50</v>
      </c>
      <c r="AD195">
        <v>0.50345253019720215</v>
      </c>
      <c r="AE195">
        <v>1800</v>
      </c>
      <c r="AF195">
        <v>200000</v>
      </c>
      <c r="AG195">
        <v>16666.666666666668</v>
      </c>
      <c r="AH195">
        <v>1</v>
      </c>
      <c r="AI195">
        <v>1</v>
      </c>
      <c r="AJ195" t="s">
        <v>136</v>
      </c>
      <c r="AK195" t="s">
        <v>137</v>
      </c>
      <c r="AL195">
        <v>0</v>
      </c>
      <c r="AM195" t="s">
        <v>137</v>
      </c>
      <c r="AN195">
        <v>0</v>
      </c>
    </row>
    <row r="196" spans="1:42" ht="12.75">
      <c r="A196" s="2" t="str">
        <f>HYPERLINK("https://ibp.a2mac1.com/costing(costing:projects/details/8191/process/6971882)","Process")</f>
        <v>Process</v>
      </c>
      <c r="C196">
        <v>6971882</v>
      </c>
      <c r="D196">
        <v>5383018</v>
      </c>
      <c r="E196">
        <v>5.8973526385714283</v>
      </c>
      <c r="F196">
        <v>0</v>
      </c>
      <c r="G196">
        <v>0</v>
      </c>
      <c r="H196">
        <v>0.030142024597142856</v>
      </c>
      <c r="I196" t="s">
        <v>137</v>
      </c>
      <c r="J196">
        <v>0.20849226500000001</v>
      </c>
      <c r="K196">
        <v>6.1359869281685713</v>
      </c>
      <c r="L196">
        <v>0.63568681425012807</v>
      </c>
      <c r="M196">
        <v>3.8141208855007687</v>
      </c>
      <c r="N196">
        <v>9.9501078136693408</v>
      </c>
      <c r="O196" t="s">
        <v>138</v>
      </c>
      <c r="P196">
        <v>0.36815921569011428</v>
      </c>
      <c r="Q196" t="s">
        <v>138</v>
      </c>
      <c r="R196">
        <v>0.22884725313004611</v>
      </c>
      <c r="S196" t="s">
        <v>139</v>
      </c>
      <c r="T196">
        <v>1.1940129376403208</v>
      </c>
      <c r="U196">
        <v>11.741127220129821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60</v>
      </c>
      <c r="AB196">
        <v>1</v>
      </c>
      <c r="AC196">
        <v>0.50</v>
      </c>
      <c r="AD196">
        <v>0.50345253019720215</v>
      </c>
      <c r="AE196">
        <v>1800</v>
      </c>
      <c r="AF196">
        <v>200000</v>
      </c>
      <c r="AG196">
        <v>16666.666666666668</v>
      </c>
      <c r="AH196">
        <v>1</v>
      </c>
      <c r="AI196">
        <v>1</v>
      </c>
      <c r="AJ196" t="s">
        <v>136</v>
      </c>
      <c r="AK196" t="s">
        <v>137</v>
      </c>
      <c r="AL196">
        <v>0</v>
      </c>
      <c r="AM196" t="s">
        <v>137</v>
      </c>
      <c r="AN196">
        <v>0</v>
      </c>
    </row>
    <row r="197" spans="1:42" ht="12.75">
      <c r="A197" s="2" t="str">
        <f>HYPERLINK("https://ibp.a2mac1.com/costing(costing:projects/details/8191/process/6971883)","Process")</f>
        <v>Process</v>
      </c>
      <c r="C197">
        <v>6971883</v>
      </c>
      <c r="D197">
        <v>5383020</v>
      </c>
      <c r="E197">
        <v>0.079073933684210521</v>
      </c>
      <c r="F197">
        <v>0.30151800000000001</v>
      </c>
      <c r="G197">
        <v>0</v>
      </c>
      <c r="H197">
        <v>0.00040620721263157897</v>
      </c>
      <c r="I197" t="s">
        <v>137</v>
      </c>
      <c r="J197">
        <v>0.0028097336842105264</v>
      </c>
      <c r="K197">
        <v>0.39436100458105261</v>
      </c>
      <c r="L197">
        <v>0.03524321653334362</v>
      </c>
      <c r="M197">
        <v>0.21145929920006173</v>
      </c>
      <c r="N197">
        <v>0.6058203037811144</v>
      </c>
      <c r="O197" t="s">
        <v>138</v>
      </c>
      <c r="P197">
        <v>0.023661660274863158</v>
      </c>
      <c r="Q197" t="s">
        <v>138</v>
      </c>
      <c r="R197">
        <v>0.012687557952003704</v>
      </c>
      <c r="S197" t="s">
        <v>139</v>
      </c>
      <c r="T197">
        <v>0.072698436453733722</v>
      </c>
      <c r="U197">
        <v>0.71486795846171491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60</v>
      </c>
      <c r="AB197">
        <v>1</v>
      </c>
      <c r="AC197">
        <v>0.50</v>
      </c>
      <c r="AD197">
        <v>0.50345253019720215</v>
      </c>
      <c r="AE197">
        <v>1800</v>
      </c>
      <c r="AF197">
        <v>200000</v>
      </c>
      <c r="AG197">
        <v>16666.666666666668</v>
      </c>
      <c r="AH197">
        <v>1</v>
      </c>
      <c r="AI197">
        <v>1</v>
      </c>
      <c r="AJ197" t="s">
        <v>136</v>
      </c>
      <c r="AK197" t="s">
        <v>137</v>
      </c>
      <c r="AL197">
        <v>0.010553130000000001</v>
      </c>
      <c r="AM197" t="s">
        <v>137</v>
      </c>
      <c r="AN197">
        <v>0</v>
      </c>
    </row>
    <row r="198" spans="1:42" ht="12.75">
      <c r="A198" s="2" t="str">
        <f>HYPERLINK("https://ibp.a2mac1.com/costing(costing:projects/details/8191/process/6971733)","Final assembly")</f>
        <v>Final assembly</v>
      </c>
      <c r="C198">
        <v>6971733</v>
      </c>
      <c r="D198">
        <v>5382853</v>
      </c>
      <c r="E198">
        <v>0</v>
      </c>
      <c r="F198">
        <v>0</v>
      </c>
      <c r="G198">
        <v>0</v>
      </c>
      <c r="H198">
        <v>0</v>
      </c>
      <c r="I198" t="s">
        <v>137</v>
      </c>
      <c r="J198">
        <v>0</v>
      </c>
      <c r="K198">
        <v>0</v>
      </c>
      <c r="L198">
        <v>4.6050981862215572</v>
      </c>
      <c r="M198">
        <v>16.117843651775452</v>
      </c>
      <c r="N198">
        <v>16.117843651775452</v>
      </c>
      <c r="O198" t="s">
        <v>90</v>
      </c>
      <c r="P198">
        <v>0</v>
      </c>
      <c r="Q198" t="s">
        <v>90</v>
      </c>
      <c r="R198">
        <v>0</v>
      </c>
      <c r="S198" t="s">
        <v>90</v>
      </c>
      <c r="T198">
        <v>0</v>
      </c>
      <c r="U198">
        <v>16.117843651775452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60</v>
      </c>
      <c r="AB198">
        <v>1</v>
      </c>
      <c r="AC198">
        <v>0.50</v>
      </c>
      <c r="AD198">
        <v>0.50741219779126456</v>
      </c>
      <c r="AE198">
        <v>1800</v>
      </c>
      <c r="AF198">
        <v>200000</v>
      </c>
      <c r="AG198">
        <v>10000</v>
      </c>
      <c r="AH198">
        <v>1</v>
      </c>
      <c r="AI198">
        <v>1</v>
      </c>
      <c r="AJ198" t="s">
        <v>79</v>
      </c>
      <c r="AK198" t="s">
        <v>137</v>
      </c>
      <c r="AL198">
        <v>0</v>
      </c>
      <c r="AM198" t="s">
        <v>137</v>
      </c>
      <c r="AN198">
        <v>0</v>
      </c>
      <c r="AP198">
        <v>0</v>
      </c>
    </row>
    <row r="199" spans="1:42" ht="12.75">
      <c r="A199" s="2" t="str">
        <f>HYPERLINK("https://ibp.a2mac1.com/costing(costing:projects/details/8191/process/6971734)","Final Assy")</f>
        <v>Final Assy</v>
      </c>
      <c r="C199">
        <v>6971734</v>
      </c>
      <c r="D199">
        <v>5382854</v>
      </c>
      <c r="E199">
        <v>0</v>
      </c>
      <c r="F199">
        <v>0</v>
      </c>
      <c r="G199">
        <v>0</v>
      </c>
      <c r="H199">
        <v>0</v>
      </c>
      <c r="I199" t="s">
        <v>90</v>
      </c>
      <c r="J199">
        <v>0</v>
      </c>
      <c r="K199">
        <v>0</v>
      </c>
      <c r="L199">
        <v>0</v>
      </c>
      <c r="M199">
        <v>0.24105199147916936</v>
      </c>
      <c r="N199">
        <v>0.24105199147916936</v>
      </c>
      <c r="O199" t="s">
        <v>90</v>
      </c>
      <c r="P199">
        <v>0</v>
      </c>
      <c r="Q199" t="s">
        <v>90</v>
      </c>
      <c r="R199">
        <v>0</v>
      </c>
      <c r="S199" t="s">
        <v>90</v>
      </c>
      <c r="T199">
        <v>0</v>
      </c>
      <c r="U199">
        <v>0.24105199147916936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60</v>
      </c>
      <c r="AB199">
        <v>1</v>
      </c>
      <c r="AC199">
        <v>0.50</v>
      </c>
      <c r="AD199">
        <v>0.50741219779126456</v>
      </c>
      <c r="AE199">
        <v>1800</v>
      </c>
      <c r="AF199">
        <v>200000</v>
      </c>
      <c r="AG199">
        <v>10000</v>
      </c>
      <c r="AH199">
        <v>1</v>
      </c>
      <c r="AI199">
        <v>1</v>
      </c>
      <c r="AJ199" t="s">
        <v>79</v>
      </c>
      <c r="AK199" t="s">
        <v>90</v>
      </c>
      <c r="AL199">
        <v>0</v>
      </c>
      <c r="AM199" t="s">
        <v>90</v>
      </c>
      <c r="AN199">
        <v>0</v>
      </c>
      <c r="AP199">
        <v>0</v>
      </c>
    </row>
    <row r="200" spans="1:42" ht="12.75">
      <c r="A200" s="2" t="str">
        <f>HYPERLINK("https://ibp.a2mac1.com/costing(costing:projects/details/8191/process/6971959)","Process")</f>
        <v>Process</v>
      </c>
      <c r="C200">
        <v>6971959</v>
      </c>
      <c r="D200">
        <v>5383418</v>
      </c>
      <c r="E200">
        <v>4.1726553808629445</v>
      </c>
      <c r="F200">
        <v>0</v>
      </c>
      <c r="G200">
        <v>0</v>
      </c>
      <c r="H200">
        <v>0.021273185115532996</v>
      </c>
      <c r="I200" t="s">
        <v>137</v>
      </c>
      <c r="J200">
        <v>0.14714653736040609</v>
      </c>
      <c r="K200">
        <v>4.3410751033388832</v>
      </c>
      <c r="L200">
        <v>1.9179817874559575</v>
      </c>
      <c r="M200">
        <v>11.507890724735745</v>
      </c>
      <c r="N200">
        <v>15.848965828074629</v>
      </c>
      <c r="O200" t="s">
        <v>138</v>
      </c>
      <c r="P200">
        <v>0.26046450620033301</v>
      </c>
      <c r="Q200" t="s">
        <v>138</v>
      </c>
      <c r="R200">
        <v>0.69047344348414474</v>
      </c>
      <c r="S200" t="s">
        <v>139</v>
      </c>
      <c r="T200">
        <v>1.9018758993689555</v>
      </c>
      <c r="U200">
        <v>18.701779677128062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60</v>
      </c>
      <c r="AB200">
        <v>1</v>
      </c>
      <c r="AC200">
        <v>0.50</v>
      </c>
      <c r="AD200">
        <v>0.50345253019720215</v>
      </c>
      <c r="AE200">
        <v>1800</v>
      </c>
      <c r="AF200">
        <v>200000</v>
      </c>
      <c r="AG200">
        <v>16666.666666666668</v>
      </c>
      <c r="AH200">
        <v>1</v>
      </c>
      <c r="AI200">
        <v>1</v>
      </c>
      <c r="AJ200" t="s">
        <v>136</v>
      </c>
      <c r="AK200" t="s">
        <v>137</v>
      </c>
      <c r="AL200">
        <v>0</v>
      </c>
      <c r="AM200" t="s">
        <v>137</v>
      </c>
      <c r="AN200">
        <v>0</v>
      </c>
    </row>
    <row r="201" spans="1:42" ht="12.75">
      <c r="A201" s="2" t="str">
        <f>HYPERLINK("https://ibp.a2mac1.com/costing(costing:projects/details/8191/process/6971960)","Process")</f>
        <v>Process</v>
      </c>
      <c r="C201">
        <v>6971960</v>
      </c>
      <c r="D201">
        <v>5383419</v>
      </c>
      <c r="E201">
        <v>1.0722884832538568</v>
      </c>
      <c r="F201">
        <v>0</v>
      </c>
      <c r="G201">
        <v>0</v>
      </c>
      <c r="H201">
        <v>0.0059369512258064519</v>
      </c>
      <c r="I201" t="s">
        <v>137</v>
      </c>
      <c r="J201">
        <v>0.041065868162692844</v>
      </c>
      <c r="K201">
        <v>1.1192913026423563</v>
      </c>
      <c r="L201">
        <v>0.037929543313487621</v>
      </c>
      <c r="M201">
        <v>0.22757725988092573</v>
      </c>
      <c r="N201">
        <v>1.3468685625232819</v>
      </c>
      <c r="O201" t="s">
        <v>138</v>
      </c>
      <c r="P201">
        <v>0.067157478158541381</v>
      </c>
      <c r="Q201" t="s">
        <v>138</v>
      </c>
      <c r="R201">
        <v>0.013654635592855544</v>
      </c>
      <c r="S201" t="s">
        <v>139</v>
      </c>
      <c r="T201">
        <v>0.16162422750279384</v>
      </c>
      <c r="U201">
        <v>1.5893049037774727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60</v>
      </c>
      <c r="AB201">
        <v>1</v>
      </c>
      <c r="AC201">
        <v>0.50</v>
      </c>
      <c r="AD201">
        <v>0.50345253019720215</v>
      </c>
      <c r="AE201">
        <v>1800</v>
      </c>
      <c r="AF201">
        <v>200000</v>
      </c>
      <c r="AG201">
        <v>16666.666666666668</v>
      </c>
      <c r="AH201">
        <v>1</v>
      </c>
      <c r="AI201">
        <v>1</v>
      </c>
      <c r="AJ201" t="s">
        <v>136</v>
      </c>
      <c r="AK201" t="s">
        <v>137</v>
      </c>
      <c r="AL201">
        <v>0</v>
      </c>
      <c r="AM201" t="s">
        <v>137</v>
      </c>
      <c r="AN201">
        <v>0</v>
      </c>
    </row>
    <row r="202" spans="1:42" ht="12.75">
      <c r="A202" s="2" t="str">
        <f>HYPERLINK("https://ibp.a2mac1.com/costing(costing:projects/details/8191/process/6971715)","Final Assy")</f>
        <v>Final Assy</v>
      </c>
      <c r="C202">
        <v>6971715</v>
      </c>
      <c r="D202">
        <v>5382798</v>
      </c>
      <c r="E202">
        <v>0</v>
      </c>
      <c r="F202">
        <v>0</v>
      </c>
      <c r="G202">
        <v>0</v>
      </c>
      <c r="H202">
        <v>0</v>
      </c>
      <c r="I202" t="s">
        <v>90</v>
      </c>
      <c r="J202">
        <v>0</v>
      </c>
      <c r="K202">
        <v>0</v>
      </c>
      <c r="L202">
        <v>0</v>
      </c>
      <c r="M202">
        <v>3.5471572053543077</v>
      </c>
      <c r="N202">
        <v>3.5471572053543077</v>
      </c>
      <c r="O202" t="s">
        <v>90</v>
      </c>
      <c r="P202">
        <v>0</v>
      </c>
      <c r="Q202" t="s">
        <v>90</v>
      </c>
      <c r="R202">
        <v>0</v>
      </c>
      <c r="S202" t="s">
        <v>90</v>
      </c>
      <c r="T202">
        <v>0</v>
      </c>
      <c r="U202">
        <v>3.5471572053543077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60</v>
      </c>
      <c r="AB202">
        <v>1</v>
      </c>
      <c r="AC202">
        <v>0.50</v>
      </c>
      <c r="AD202">
        <v>0.50741219779126456</v>
      </c>
      <c r="AE202">
        <v>1800</v>
      </c>
      <c r="AF202">
        <v>200000</v>
      </c>
      <c r="AG202">
        <v>10000</v>
      </c>
      <c r="AH202">
        <v>1</v>
      </c>
      <c r="AI202">
        <v>1</v>
      </c>
      <c r="AJ202" t="s">
        <v>79</v>
      </c>
      <c r="AK202" t="s">
        <v>90</v>
      </c>
      <c r="AL202">
        <v>0</v>
      </c>
      <c r="AM202" t="s">
        <v>90</v>
      </c>
      <c r="AN202">
        <v>0</v>
      </c>
      <c r="AP202">
        <v>0</v>
      </c>
    </row>
    <row r="203" spans="1:42" ht="12.75">
      <c r="A203" s="2" t="str">
        <f>HYPERLINK("https://ibp.a2mac1.com/costing(costing:projects/details/8191/process/6971961)","Process")</f>
        <v>Process</v>
      </c>
      <c r="C203">
        <v>6971961</v>
      </c>
      <c r="D203">
        <v>5383427</v>
      </c>
      <c r="E203">
        <v>2.3201390110105016</v>
      </c>
      <c r="F203">
        <v>0</v>
      </c>
      <c r="G203">
        <v>0</v>
      </c>
      <c r="H203">
        <v>0.012266119941190198</v>
      </c>
      <c r="I203" t="s">
        <v>137</v>
      </c>
      <c r="J203">
        <v>0.084844703150525086</v>
      </c>
      <c r="K203">
        <v>2.4172498341022171</v>
      </c>
      <c r="L203">
        <v>0.037929543313487621</v>
      </c>
      <c r="M203">
        <v>0.22757725988092573</v>
      </c>
      <c r="N203">
        <v>2.6448270939831429</v>
      </c>
      <c r="O203" t="s">
        <v>138</v>
      </c>
      <c r="P203">
        <v>0.14503499004613302</v>
      </c>
      <c r="Q203" t="s">
        <v>138</v>
      </c>
      <c r="R203">
        <v>0.013654635592855544</v>
      </c>
      <c r="S203" t="s">
        <v>139</v>
      </c>
      <c r="T203">
        <v>0.31737925127797711</v>
      </c>
      <c r="U203">
        <v>3.1208959709001083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60</v>
      </c>
      <c r="AB203">
        <v>1</v>
      </c>
      <c r="AC203">
        <v>0.50</v>
      </c>
      <c r="AD203">
        <v>0.50345253019720215</v>
      </c>
      <c r="AE203">
        <v>1800</v>
      </c>
      <c r="AF203">
        <v>200000</v>
      </c>
      <c r="AG203">
        <v>16666.666666666668</v>
      </c>
      <c r="AH203">
        <v>1</v>
      </c>
      <c r="AI203">
        <v>1</v>
      </c>
      <c r="AJ203" t="s">
        <v>136</v>
      </c>
      <c r="AK203" t="s">
        <v>137</v>
      </c>
      <c r="AL203">
        <v>0</v>
      </c>
      <c r="AM203" t="s">
        <v>137</v>
      </c>
      <c r="AN203">
        <v>0</v>
      </c>
    </row>
    <row r="204" spans="1:42" ht="12.75">
      <c r="A204" s="2" t="str">
        <f>HYPERLINK("https://ibp.a2mac1.com/costing(costing:projects/details/8191/process/6971962)","Process")</f>
        <v>Process</v>
      </c>
      <c r="C204">
        <v>6971962</v>
      </c>
      <c r="D204">
        <v>5383428</v>
      </c>
      <c r="E204">
        <v>0.65171278390792287</v>
      </c>
      <c r="F204">
        <v>0</v>
      </c>
      <c r="G204">
        <v>0</v>
      </c>
      <c r="H204">
        <v>0.0033085850171306209</v>
      </c>
      <c r="I204" t="s">
        <v>137</v>
      </c>
      <c r="J204">
        <v>0.022885469486081372</v>
      </c>
      <c r="K204">
        <v>0.67790683841113486</v>
      </c>
      <c r="L204">
        <v>0.037929543313487621</v>
      </c>
      <c r="M204">
        <v>0.22757725988092573</v>
      </c>
      <c r="N204">
        <v>0.90548409829206067</v>
      </c>
      <c r="O204" t="s">
        <v>138</v>
      </c>
      <c r="P204">
        <v>0.040674410304668097</v>
      </c>
      <c r="Q204" t="s">
        <v>138</v>
      </c>
      <c r="R204">
        <v>0.013654635592855544</v>
      </c>
      <c r="S204" t="s">
        <v>139</v>
      </c>
      <c r="T204">
        <v>0.10865809179504728</v>
      </c>
      <c r="U204">
        <v>1.0684712359846316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60</v>
      </c>
      <c r="AB204">
        <v>1</v>
      </c>
      <c r="AC204">
        <v>0.50</v>
      </c>
      <c r="AD204">
        <v>0.50345253019720215</v>
      </c>
      <c r="AE204">
        <v>1800</v>
      </c>
      <c r="AF204">
        <v>200000</v>
      </c>
      <c r="AG204">
        <v>16666.666666666668</v>
      </c>
      <c r="AH204">
        <v>1</v>
      </c>
      <c r="AI204">
        <v>1</v>
      </c>
      <c r="AJ204" t="s">
        <v>136</v>
      </c>
      <c r="AK204" t="s">
        <v>137</v>
      </c>
      <c r="AL204">
        <v>0</v>
      </c>
      <c r="AM204" t="s">
        <v>137</v>
      </c>
      <c r="AN204">
        <v>0</v>
      </c>
    </row>
    <row r="205" spans="1:42" ht="12.75">
      <c r="A205" s="2" t="str">
        <f>HYPERLINK("https://ibp.a2mac1.com/costing(costing:projects/details/8191/process/6971963)","Process")</f>
        <v>Process</v>
      </c>
      <c r="C205">
        <v>6971963</v>
      </c>
      <c r="D205">
        <v>5383429</v>
      </c>
      <c r="E205">
        <v>10.524281777664974</v>
      </c>
      <c r="F205">
        <v>0</v>
      </c>
      <c r="G205">
        <v>0</v>
      </c>
      <c r="H205">
        <v>0.053655280397969546</v>
      </c>
      <c r="I205" t="s">
        <v>137</v>
      </c>
      <c r="J205">
        <v>0.37113336243654821</v>
      </c>
      <c r="K205">
        <v>10.949070420499492</v>
      </c>
      <c r="L205">
        <v>3.2716810102705169</v>
      </c>
      <c r="M205">
        <v>19.630086061623103</v>
      </c>
      <c r="N205">
        <v>30.579156482122595</v>
      </c>
      <c r="O205" t="s">
        <v>138</v>
      </c>
      <c r="P205">
        <v>0.65694422522996954</v>
      </c>
      <c r="Q205" t="s">
        <v>138</v>
      </c>
      <c r="R205">
        <v>1.1778051636973861</v>
      </c>
      <c r="S205" t="s">
        <v>139</v>
      </c>
      <c r="T205">
        <v>3.6694987778547112</v>
      </c>
      <c r="U205">
        <v>36.083404648904661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60</v>
      </c>
      <c r="AB205">
        <v>1</v>
      </c>
      <c r="AC205">
        <v>0.50</v>
      </c>
      <c r="AD205">
        <v>0.50345253019720215</v>
      </c>
      <c r="AE205">
        <v>1800</v>
      </c>
      <c r="AF205">
        <v>200000</v>
      </c>
      <c r="AG205">
        <v>16666.666666666668</v>
      </c>
      <c r="AH205">
        <v>1</v>
      </c>
      <c r="AI205">
        <v>1</v>
      </c>
      <c r="AJ205" t="s">
        <v>136</v>
      </c>
      <c r="AK205" t="s">
        <v>137</v>
      </c>
      <c r="AL205">
        <v>0</v>
      </c>
      <c r="AM205" t="s">
        <v>137</v>
      </c>
      <c r="AN205">
        <v>0</v>
      </c>
    </row>
    <row r="206" spans="1:42" ht="12.75">
      <c r="A206" s="2" t="str">
        <f>HYPERLINK("https://ibp.a2mac1.com/costing(costing:projects/details/8191/process/6971716)","Final Assy")</f>
        <v>Final Assy</v>
      </c>
      <c r="C206">
        <v>6971716</v>
      </c>
      <c r="D206">
        <v>5382799</v>
      </c>
      <c r="E206">
        <v>0</v>
      </c>
      <c r="F206">
        <v>0</v>
      </c>
      <c r="G206">
        <v>0</v>
      </c>
      <c r="H206">
        <v>0</v>
      </c>
      <c r="I206" t="s">
        <v>137</v>
      </c>
      <c r="J206">
        <v>0</v>
      </c>
      <c r="K206">
        <v>0</v>
      </c>
      <c r="L206">
        <v>3.0896817854200984</v>
      </c>
      <c r="M206">
        <v>10.813886248970343</v>
      </c>
      <c r="N206">
        <v>10.813886248970343</v>
      </c>
      <c r="O206" t="s">
        <v>90</v>
      </c>
      <c r="P206">
        <v>0</v>
      </c>
      <c r="Q206" t="s">
        <v>90</v>
      </c>
      <c r="R206">
        <v>0</v>
      </c>
      <c r="S206" t="s">
        <v>90</v>
      </c>
      <c r="T206">
        <v>0</v>
      </c>
      <c r="U206">
        <v>10.813886248970343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60</v>
      </c>
      <c r="AB206">
        <v>1</v>
      </c>
      <c r="AC206">
        <v>0.50</v>
      </c>
      <c r="AD206">
        <v>0.50741219779126456</v>
      </c>
      <c r="AE206">
        <v>1800</v>
      </c>
      <c r="AF206">
        <v>200000</v>
      </c>
      <c r="AG206">
        <v>10000</v>
      </c>
      <c r="AH206">
        <v>1</v>
      </c>
      <c r="AI206">
        <v>1</v>
      </c>
      <c r="AJ206" t="s">
        <v>79</v>
      </c>
      <c r="AK206" t="s">
        <v>137</v>
      </c>
      <c r="AL206">
        <v>0</v>
      </c>
      <c r="AM206" t="s">
        <v>137</v>
      </c>
      <c r="AN206">
        <v>0</v>
      </c>
      <c r="AP206">
        <v>0</v>
      </c>
    </row>
    <row r="207" spans="1:42" ht="12.75">
      <c r="A207" s="2" t="str">
        <f>HYPERLINK("https://ibp.a2mac1.com/costing(costing:projects/details/8191/process/6971735)","Process")</f>
        <v>Process</v>
      </c>
      <c r="C207">
        <v>6971735</v>
      </c>
      <c r="D207">
        <v>5382872</v>
      </c>
      <c r="E207">
        <v>0</v>
      </c>
      <c r="F207">
        <v>0</v>
      </c>
      <c r="G207">
        <v>0</v>
      </c>
      <c r="H207">
        <v>0</v>
      </c>
      <c r="I207" t="s">
        <v>137</v>
      </c>
      <c r="J207">
        <v>0</v>
      </c>
      <c r="K207">
        <v>0</v>
      </c>
      <c r="L207">
        <v>0.61210458175530968</v>
      </c>
      <c r="M207">
        <v>2.1423660361435841</v>
      </c>
      <c r="N207">
        <v>2.1423660361435841</v>
      </c>
      <c r="O207" t="s">
        <v>90</v>
      </c>
      <c r="P207">
        <v>0</v>
      </c>
      <c r="Q207" t="s">
        <v>90</v>
      </c>
      <c r="R207">
        <v>0</v>
      </c>
      <c r="S207" t="s">
        <v>90</v>
      </c>
      <c r="T207">
        <v>0</v>
      </c>
      <c r="U207">
        <v>2.1423660361435841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60</v>
      </c>
      <c r="AB207">
        <v>1</v>
      </c>
      <c r="AC207">
        <v>0.50</v>
      </c>
      <c r="AD207">
        <v>0.50741219779126456</v>
      </c>
      <c r="AE207">
        <v>1800</v>
      </c>
      <c r="AF207">
        <v>200000</v>
      </c>
      <c r="AG207">
        <v>10000</v>
      </c>
      <c r="AH207">
        <v>1</v>
      </c>
      <c r="AI207">
        <v>1</v>
      </c>
      <c r="AJ207" t="s">
        <v>79</v>
      </c>
      <c r="AK207" t="s">
        <v>137</v>
      </c>
      <c r="AL207">
        <v>0</v>
      </c>
      <c r="AM207" t="s">
        <v>137</v>
      </c>
      <c r="AN207">
        <v>0</v>
      </c>
      <c r="AP207">
        <v>0</v>
      </c>
    </row>
    <row r="208" spans="1:42" ht="12.75">
      <c r="A208" s="2" t="str">
        <f>HYPERLINK("https://ibp.a2mac1.com/costing(costing:projects/details/8191/process/6971736)","Process")</f>
        <v>Process</v>
      </c>
      <c r="C208">
        <v>6971736</v>
      </c>
      <c r="D208">
        <v>5382873</v>
      </c>
      <c r="E208">
        <v>0</v>
      </c>
      <c r="F208">
        <v>0</v>
      </c>
      <c r="G208">
        <v>0</v>
      </c>
      <c r="H208">
        <v>0</v>
      </c>
      <c r="I208" t="s">
        <v>137</v>
      </c>
      <c r="J208">
        <v>0</v>
      </c>
      <c r="K208">
        <v>0</v>
      </c>
      <c r="L208">
        <v>1.0343906293512721</v>
      </c>
      <c r="M208">
        <v>3.6203672027294522</v>
      </c>
      <c r="N208">
        <v>3.6203672027294522</v>
      </c>
      <c r="O208" t="s">
        <v>90</v>
      </c>
      <c r="P208">
        <v>0</v>
      </c>
      <c r="Q208" t="s">
        <v>90</v>
      </c>
      <c r="R208">
        <v>0</v>
      </c>
      <c r="S208" t="s">
        <v>90</v>
      </c>
      <c r="T208">
        <v>0</v>
      </c>
      <c r="U208">
        <v>3.6203672027294522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60</v>
      </c>
      <c r="AB208">
        <v>1</v>
      </c>
      <c r="AC208">
        <v>0.50</v>
      </c>
      <c r="AD208">
        <v>0.50741219779126456</v>
      </c>
      <c r="AE208">
        <v>1800</v>
      </c>
      <c r="AF208">
        <v>200000</v>
      </c>
      <c r="AG208">
        <v>10000</v>
      </c>
      <c r="AH208">
        <v>1</v>
      </c>
      <c r="AI208">
        <v>1</v>
      </c>
      <c r="AJ208" t="s">
        <v>79</v>
      </c>
      <c r="AK208" t="s">
        <v>137</v>
      </c>
      <c r="AL208">
        <v>0</v>
      </c>
      <c r="AM208" t="s">
        <v>137</v>
      </c>
      <c r="AN208">
        <v>0</v>
      </c>
      <c r="AP208">
        <v>0</v>
      </c>
    </row>
    <row r="209" spans="1:42" ht="12.75">
      <c r="A209" s="2" t="str">
        <f>HYPERLINK("https://ibp.a2mac1.com/costing(costing:projects/details/8191/process/6971737)","Process")</f>
        <v>Process</v>
      </c>
      <c r="C209">
        <v>6971737</v>
      </c>
      <c r="D209">
        <v>5382882</v>
      </c>
      <c r="E209">
        <v>0.43090055090909091</v>
      </c>
      <c r="F209">
        <v>0</v>
      </c>
      <c r="G209">
        <v>0</v>
      </c>
      <c r="H209">
        <v>0.0022617809</v>
      </c>
      <c r="I209" t="s">
        <v>137</v>
      </c>
      <c r="J209">
        <v>0.015644729545454546</v>
      </c>
      <c r="K209">
        <v>0.44880706135454546</v>
      </c>
      <c r="L209">
        <v>0.037929543313487621</v>
      </c>
      <c r="M209">
        <v>0.22757725988092573</v>
      </c>
      <c r="N209">
        <v>0.67638432123547121</v>
      </c>
      <c r="O209" t="s">
        <v>138</v>
      </c>
      <c r="P209">
        <v>0.026928423681272726</v>
      </c>
      <c r="Q209" t="s">
        <v>138</v>
      </c>
      <c r="R209">
        <v>0.013654635592855544</v>
      </c>
      <c r="S209" t="s">
        <v>139</v>
      </c>
      <c r="T209">
        <v>0.081166118548256547</v>
      </c>
      <c r="U209">
        <v>0.79813349905785602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60</v>
      </c>
      <c r="AB209">
        <v>1</v>
      </c>
      <c r="AC209">
        <v>0.50</v>
      </c>
      <c r="AD209">
        <v>0.50345253019720215</v>
      </c>
      <c r="AE209">
        <v>1800</v>
      </c>
      <c r="AF209">
        <v>200000</v>
      </c>
      <c r="AG209">
        <v>16666.666666666668</v>
      </c>
      <c r="AH209">
        <v>1</v>
      </c>
      <c r="AI209">
        <v>1</v>
      </c>
      <c r="AJ209" t="s">
        <v>136</v>
      </c>
      <c r="AK209" t="s">
        <v>137</v>
      </c>
      <c r="AL209">
        <v>0</v>
      </c>
      <c r="AM209" t="s">
        <v>137</v>
      </c>
      <c r="AN209">
        <v>0</v>
      </c>
    </row>
    <row r="210" spans="1:42" ht="12.75">
      <c r="A210" s="2" t="str">
        <f>HYPERLINK("https://ibp.a2mac1.com/costing(costing:projects/details/8191/process/6971738)","Process")</f>
        <v>Process</v>
      </c>
      <c r="C210">
        <v>6971738</v>
      </c>
      <c r="D210">
        <v>5382886</v>
      </c>
      <c r="E210">
        <v>0</v>
      </c>
      <c r="F210">
        <v>0</v>
      </c>
      <c r="G210">
        <v>0</v>
      </c>
      <c r="H210">
        <v>0</v>
      </c>
      <c r="I210" t="s">
        <v>137</v>
      </c>
      <c r="J210">
        <v>0</v>
      </c>
      <c r="K210">
        <v>0</v>
      </c>
      <c r="L210">
        <v>1.0373012593416522</v>
      </c>
      <c r="M210">
        <v>3.6305544076957825</v>
      </c>
      <c r="N210">
        <v>3.6305544076957825</v>
      </c>
      <c r="O210" t="s">
        <v>90</v>
      </c>
      <c r="P210">
        <v>0</v>
      </c>
      <c r="Q210" t="s">
        <v>90</v>
      </c>
      <c r="R210">
        <v>0</v>
      </c>
      <c r="S210" t="s">
        <v>90</v>
      </c>
      <c r="T210">
        <v>0</v>
      </c>
      <c r="U210">
        <v>3.6305544076957825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60</v>
      </c>
      <c r="AB210">
        <v>1</v>
      </c>
      <c r="AC210">
        <v>0.50</v>
      </c>
      <c r="AD210">
        <v>0.50741219779126456</v>
      </c>
      <c r="AE210">
        <v>1800</v>
      </c>
      <c r="AF210">
        <v>200000</v>
      </c>
      <c r="AG210">
        <v>10000</v>
      </c>
      <c r="AH210">
        <v>1</v>
      </c>
      <c r="AI210">
        <v>1</v>
      </c>
      <c r="AJ210" t="s">
        <v>79</v>
      </c>
      <c r="AK210" t="s">
        <v>137</v>
      </c>
      <c r="AL210">
        <v>0</v>
      </c>
      <c r="AM210" t="s">
        <v>137</v>
      </c>
      <c r="AN210">
        <v>0</v>
      </c>
      <c r="AP210">
        <v>0</v>
      </c>
    </row>
    <row r="211" spans="1:42" ht="12.75">
      <c r="A211" s="2" t="str">
        <f>HYPERLINK("https://ibp.a2mac1.com/costing(costing:projects/details/8191/process/6971739)","Process")</f>
        <v>Process</v>
      </c>
      <c r="C211">
        <v>6971739</v>
      </c>
      <c r="D211">
        <v>5382887</v>
      </c>
      <c r="E211">
        <v>0</v>
      </c>
      <c r="F211">
        <v>0</v>
      </c>
      <c r="G211">
        <v>0</v>
      </c>
      <c r="H211">
        <v>0</v>
      </c>
      <c r="I211" t="s">
        <v>137</v>
      </c>
      <c r="J211">
        <v>0</v>
      </c>
      <c r="K211">
        <v>0</v>
      </c>
      <c r="L211">
        <v>0.96775523302118016</v>
      </c>
      <c r="M211">
        <v>3.3871433155741304</v>
      </c>
      <c r="N211">
        <v>3.3871433155741304</v>
      </c>
      <c r="O211" t="s">
        <v>90</v>
      </c>
      <c r="P211">
        <v>0</v>
      </c>
      <c r="Q211" t="s">
        <v>90</v>
      </c>
      <c r="R211">
        <v>0</v>
      </c>
      <c r="S211" t="s">
        <v>90</v>
      </c>
      <c r="T211">
        <v>0</v>
      </c>
      <c r="U211">
        <v>3.3871433155741304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60</v>
      </c>
      <c r="AB211">
        <v>1</v>
      </c>
      <c r="AC211">
        <v>0.50</v>
      </c>
      <c r="AD211">
        <v>0.50741219779126456</v>
      </c>
      <c r="AE211">
        <v>1800</v>
      </c>
      <c r="AF211">
        <v>200000</v>
      </c>
      <c r="AG211">
        <v>10000</v>
      </c>
      <c r="AH211">
        <v>1</v>
      </c>
      <c r="AI211">
        <v>1</v>
      </c>
      <c r="AJ211" t="s">
        <v>79</v>
      </c>
      <c r="AK211" t="s">
        <v>137</v>
      </c>
      <c r="AL211">
        <v>0</v>
      </c>
      <c r="AM211" t="s">
        <v>137</v>
      </c>
      <c r="AN211">
        <v>0</v>
      </c>
      <c r="AP211">
        <v>0</v>
      </c>
    </row>
    <row r="212" spans="1:42" ht="12.75">
      <c r="A212" s="2" t="str">
        <f>HYPERLINK("https://ibp.a2mac1.com/costing(costing:projects/details/8191/process/6971740)","Process")</f>
        <v>Process</v>
      </c>
      <c r="C212">
        <v>6971740</v>
      </c>
      <c r="D212">
        <v>5382889</v>
      </c>
      <c r="E212">
        <v>0</v>
      </c>
      <c r="F212">
        <v>0</v>
      </c>
      <c r="G212">
        <v>0</v>
      </c>
      <c r="H212">
        <v>0</v>
      </c>
      <c r="I212" t="s">
        <v>137</v>
      </c>
      <c r="J212">
        <v>0</v>
      </c>
      <c r="K212">
        <v>0</v>
      </c>
      <c r="L212">
        <v>0.18833421946463494</v>
      </c>
      <c r="M212">
        <v>1.1300053167878097</v>
      </c>
      <c r="N212">
        <v>1.1300053167878097</v>
      </c>
      <c r="O212" t="s">
        <v>138</v>
      </c>
      <c r="P212">
        <v>0</v>
      </c>
      <c r="Q212" t="s">
        <v>138</v>
      </c>
      <c r="R212">
        <v>0.067800319007268586</v>
      </c>
      <c r="S212" t="s">
        <v>139</v>
      </c>
      <c r="T212">
        <v>0.13560063801453717</v>
      </c>
      <c r="U212">
        <v>1.3334062738096155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165</v>
      </c>
      <c r="AB212">
        <v>1</v>
      </c>
      <c r="AC212">
        <v>5</v>
      </c>
      <c r="AD212">
        <v>5.0007599939200489</v>
      </c>
      <c r="AE212">
        <v>216</v>
      </c>
      <c r="AF212">
        <v>200000</v>
      </c>
      <c r="AG212">
        <v>16666.666666666668</v>
      </c>
      <c r="AH212">
        <v>1</v>
      </c>
      <c r="AI212">
        <v>1</v>
      </c>
      <c r="AJ212" t="s">
        <v>136</v>
      </c>
      <c r="AK212" t="s">
        <v>137</v>
      </c>
      <c r="AL212">
        <v>0</v>
      </c>
      <c r="AM212" t="s">
        <v>137</v>
      </c>
      <c r="AN212">
        <v>0</v>
      </c>
    </row>
    <row r="213" spans="1:42" ht="12.75">
      <c r="A213" s="2" t="str">
        <f>HYPERLINK("https://ibp.a2mac1.com/costing(costing:projects/details/8191/process/6971964)","Machine")</f>
        <v>Machine</v>
      </c>
      <c r="C213">
        <v>6971964</v>
      </c>
      <c r="D213">
        <v>5383442</v>
      </c>
      <c r="E213">
        <v>1.4670000000000001</v>
      </c>
      <c r="F213">
        <v>0</v>
      </c>
      <c r="G213">
        <v>0</v>
      </c>
      <c r="H213">
        <v>0</v>
      </c>
      <c r="I213" t="s">
        <v>74</v>
      </c>
      <c r="J213">
        <v>0</v>
      </c>
      <c r="K213">
        <v>1.4670000000000001</v>
      </c>
      <c r="L213">
        <v>0</v>
      </c>
      <c r="M213">
        <v>0</v>
      </c>
      <c r="N213">
        <v>1.4670000000000001</v>
      </c>
      <c r="O213" t="s">
        <v>74</v>
      </c>
      <c r="P213">
        <v>0</v>
      </c>
      <c r="Q213" t="s">
        <v>74</v>
      </c>
      <c r="R213">
        <v>0</v>
      </c>
      <c r="S213" t="s">
        <v>74</v>
      </c>
      <c r="T213">
        <v>0</v>
      </c>
      <c r="U213">
        <v>1.4670000000000001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2400000</v>
      </c>
      <c r="AG213">
        <v>120000</v>
      </c>
      <c r="AH213">
        <v>1</v>
      </c>
      <c r="AI213">
        <v>1</v>
      </c>
      <c r="AJ213" t="s">
        <v>79</v>
      </c>
      <c r="AK213" t="s">
        <v>74</v>
      </c>
      <c r="AL213">
        <v>0</v>
      </c>
      <c r="AM213" t="s">
        <v>74</v>
      </c>
      <c r="AN213">
        <v>0</v>
      </c>
      <c r="AO213">
        <v>1.4670000000000001</v>
      </c>
      <c r="AP213">
        <v>0</v>
      </c>
    </row>
    <row r="214" spans="1:42" ht="12.75">
      <c r="A214" s="2" t="str">
        <f>HYPERLINK("https://ibp.a2mac1.com/costing(costing:projects/details/8191/process/6971965)","Labour")</f>
        <v>Labour</v>
      </c>
      <c r="C214">
        <v>6971965</v>
      </c>
      <c r="D214">
        <v>5383442</v>
      </c>
      <c r="E214">
        <v>0.245</v>
      </c>
      <c r="F214">
        <v>0</v>
      </c>
      <c r="G214">
        <v>0</v>
      </c>
      <c r="H214">
        <v>0</v>
      </c>
      <c r="I214" t="s">
        <v>74</v>
      </c>
      <c r="J214">
        <v>0</v>
      </c>
      <c r="K214">
        <v>0.245</v>
      </c>
      <c r="L214">
        <v>0</v>
      </c>
      <c r="M214">
        <v>0</v>
      </c>
      <c r="N214">
        <v>0.245</v>
      </c>
      <c r="O214" t="s">
        <v>74</v>
      </c>
      <c r="P214">
        <v>0</v>
      </c>
      <c r="Q214" t="s">
        <v>74</v>
      </c>
      <c r="R214">
        <v>0</v>
      </c>
      <c r="S214" t="s">
        <v>74</v>
      </c>
      <c r="T214">
        <v>0</v>
      </c>
      <c r="U214">
        <v>0.245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2400000</v>
      </c>
      <c r="AG214">
        <v>120000</v>
      </c>
      <c r="AH214">
        <v>1</v>
      </c>
      <c r="AI214">
        <v>1</v>
      </c>
      <c r="AJ214" t="s">
        <v>79</v>
      </c>
      <c r="AK214" t="s">
        <v>74</v>
      </c>
      <c r="AL214">
        <v>0</v>
      </c>
      <c r="AM214" t="s">
        <v>74</v>
      </c>
      <c r="AN214">
        <v>0</v>
      </c>
      <c r="AO214">
        <v>0.245</v>
      </c>
      <c r="AP214">
        <v>0</v>
      </c>
    </row>
    <row r="215" spans="1:42" ht="12.75">
      <c r="A215" s="2" t="str">
        <f>HYPERLINK("https://ibp.a2mac1.com/costing(costing:projects/details/8191/process/6971886)","Process")</f>
        <v>Process</v>
      </c>
      <c r="C215">
        <v>6971886</v>
      </c>
      <c r="D215">
        <v>5383158</v>
      </c>
      <c r="E215">
        <v>12.16</v>
      </c>
      <c r="F215">
        <v>0</v>
      </c>
      <c r="G215">
        <v>0</v>
      </c>
      <c r="H215">
        <v>0</v>
      </c>
      <c r="I215" t="s">
        <v>74</v>
      </c>
      <c r="J215">
        <v>0</v>
      </c>
      <c r="K215">
        <v>12.16</v>
      </c>
      <c r="L215">
        <v>0</v>
      </c>
      <c r="M215">
        <v>0</v>
      </c>
      <c r="N215">
        <v>12.16</v>
      </c>
      <c r="O215" t="s">
        <v>74</v>
      </c>
      <c r="P215">
        <v>0</v>
      </c>
      <c r="Q215" t="s">
        <v>74</v>
      </c>
      <c r="R215">
        <v>0</v>
      </c>
      <c r="S215" t="s">
        <v>74</v>
      </c>
      <c r="T215">
        <v>0</v>
      </c>
      <c r="U215">
        <v>12.16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37.02</v>
      </c>
      <c r="AB215">
        <v>1</v>
      </c>
      <c r="AC215">
        <v>0.50</v>
      </c>
      <c r="AD215">
        <v>0</v>
      </c>
      <c r="AE215">
        <v>1800</v>
      </c>
      <c r="AF215">
        <v>2400000</v>
      </c>
      <c r="AG215">
        <v>120000</v>
      </c>
      <c r="AH215">
        <v>1</v>
      </c>
      <c r="AI215">
        <v>1</v>
      </c>
      <c r="AJ215" t="s">
        <v>79</v>
      </c>
      <c r="AK215" t="s">
        <v>74</v>
      </c>
      <c r="AL215">
        <v>0</v>
      </c>
      <c r="AM215" t="s">
        <v>74</v>
      </c>
      <c r="AN215">
        <v>0</v>
      </c>
      <c r="AO215">
        <v>12.16</v>
      </c>
      <c r="AP215">
        <v>0</v>
      </c>
    </row>
    <row r="216" spans="1:42" ht="12.75">
      <c r="A216" s="2" t="str">
        <f>HYPERLINK("https://ibp.a2mac1.com/costing(costing:projects/details/8191/process/6971966)","Assembly")</f>
        <v>Assembly</v>
      </c>
      <c r="C216">
        <v>6971966</v>
      </c>
      <c r="D216">
        <v>5383449</v>
      </c>
      <c r="E216">
        <v>0.123</v>
      </c>
      <c r="F216">
        <v>0</v>
      </c>
      <c r="G216">
        <v>0</v>
      </c>
      <c r="H216">
        <v>0</v>
      </c>
      <c r="I216" t="s">
        <v>74</v>
      </c>
      <c r="J216">
        <v>0</v>
      </c>
      <c r="K216">
        <v>0.123</v>
      </c>
      <c r="L216">
        <v>0</v>
      </c>
      <c r="M216">
        <v>0</v>
      </c>
      <c r="N216">
        <v>0.123</v>
      </c>
      <c r="O216" t="s">
        <v>74</v>
      </c>
      <c r="P216">
        <v>0</v>
      </c>
      <c r="Q216" t="s">
        <v>74</v>
      </c>
      <c r="R216">
        <v>0</v>
      </c>
      <c r="S216" t="s">
        <v>74</v>
      </c>
      <c r="T216">
        <v>0</v>
      </c>
      <c r="U216">
        <v>0.123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200000</v>
      </c>
      <c r="AG216">
        <v>10000</v>
      </c>
      <c r="AH216">
        <v>1</v>
      </c>
      <c r="AI216">
        <v>1</v>
      </c>
      <c r="AJ216" t="s">
        <v>79</v>
      </c>
      <c r="AK216" t="s">
        <v>74</v>
      </c>
      <c r="AL216">
        <v>0</v>
      </c>
      <c r="AM216" t="s">
        <v>74</v>
      </c>
      <c r="AN216">
        <v>0</v>
      </c>
      <c r="AO216">
        <v>0.123</v>
      </c>
      <c r="AP216">
        <v>0</v>
      </c>
    </row>
    <row r="217" spans="1:42" ht="12.75">
      <c r="A217" s="2" t="str">
        <f>HYPERLINK("https://ibp.a2mac1.com/costing(costing:projects/details/8191/process/6971967)","Assembly")</f>
        <v>Assembly</v>
      </c>
      <c r="C217">
        <v>6971967</v>
      </c>
      <c r="D217">
        <v>5383450</v>
      </c>
      <c r="E217">
        <v>0.123</v>
      </c>
      <c r="F217">
        <v>0</v>
      </c>
      <c r="G217">
        <v>0</v>
      </c>
      <c r="H217">
        <v>0</v>
      </c>
      <c r="I217" t="s">
        <v>74</v>
      </c>
      <c r="J217">
        <v>0</v>
      </c>
      <c r="K217">
        <v>0.123</v>
      </c>
      <c r="L217">
        <v>0</v>
      </c>
      <c r="M217">
        <v>0</v>
      </c>
      <c r="N217">
        <v>0.123</v>
      </c>
      <c r="O217" t="s">
        <v>74</v>
      </c>
      <c r="P217">
        <v>0</v>
      </c>
      <c r="Q217" t="s">
        <v>74</v>
      </c>
      <c r="R217">
        <v>0</v>
      </c>
      <c r="S217" t="s">
        <v>74</v>
      </c>
      <c r="T217">
        <v>0</v>
      </c>
      <c r="U217">
        <v>0.123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600000</v>
      </c>
      <c r="AG217">
        <v>30000</v>
      </c>
      <c r="AH217">
        <v>1</v>
      </c>
      <c r="AI217">
        <v>1</v>
      </c>
      <c r="AJ217" t="s">
        <v>79</v>
      </c>
      <c r="AK217" t="s">
        <v>74</v>
      </c>
      <c r="AL217">
        <v>0</v>
      </c>
      <c r="AM217" t="s">
        <v>74</v>
      </c>
      <c r="AN217">
        <v>0</v>
      </c>
      <c r="AO217">
        <v>0.123</v>
      </c>
      <c r="AP217">
        <v>0</v>
      </c>
    </row>
    <row r="218" spans="1:42" ht="12.75">
      <c r="A218" s="2" t="str">
        <f>HYPERLINK("https://ibp.a2mac1.com/costing(costing:projects/details/8191/process/6972160)","Machine")</f>
        <v>Machine</v>
      </c>
      <c r="C218">
        <v>6972160</v>
      </c>
      <c r="D218">
        <v>5383742</v>
      </c>
      <c r="E218">
        <v>1.603</v>
      </c>
      <c r="F218">
        <v>0</v>
      </c>
      <c r="G218">
        <v>0</v>
      </c>
      <c r="H218">
        <v>0</v>
      </c>
      <c r="I218" t="s">
        <v>74</v>
      </c>
      <c r="J218">
        <v>0</v>
      </c>
      <c r="K218">
        <v>1.603</v>
      </c>
      <c r="L218">
        <v>0</v>
      </c>
      <c r="M218">
        <v>0</v>
      </c>
      <c r="N218">
        <v>1.603</v>
      </c>
      <c r="O218" t="s">
        <v>74</v>
      </c>
      <c r="P218">
        <v>0</v>
      </c>
      <c r="Q218" t="s">
        <v>74</v>
      </c>
      <c r="R218">
        <v>0</v>
      </c>
      <c r="S218" t="s">
        <v>74</v>
      </c>
      <c r="T218">
        <v>0</v>
      </c>
      <c r="U218">
        <v>1.603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200000</v>
      </c>
      <c r="AG218">
        <v>10000</v>
      </c>
      <c r="AH218">
        <v>1</v>
      </c>
      <c r="AI218">
        <v>1</v>
      </c>
      <c r="AJ218" t="s">
        <v>79</v>
      </c>
      <c r="AK218" t="s">
        <v>74</v>
      </c>
      <c r="AL218">
        <v>0</v>
      </c>
      <c r="AM218" t="s">
        <v>74</v>
      </c>
      <c r="AN218">
        <v>0</v>
      </c>
      <c r="AO218">
        <v>1.603</v>
      </c>
      <c r="AP218">
        <v>0</v>
      </c>
    </row>
    <row r="219" spans="1:42" ht="12.75">
      <c r="A219" s="2" t="str">
        <f>HYPERLINK("https://ibp.a2mac1.com/costing(costing:projects/details/8191/process/6972161)","Labour")</f>
        <v>Labour</v>
      </c>
      <c r="C219">
        <v>6972161</v>
      </c>
      <c r="D219">
        <v>5383742</v>
      </c>
      <c r="E219">
        <v>0.111</v>
      </c>
      <c r="F219">
        <v>0</v>
      </c>
      <c r="G219">
        <v>0</v>
      </c>
      <c r="H219">
        <v>0</v>
      </c>
      <c r="I219" t="s">
        <v>74</v>
      </c>
      <c r="J219">
        <v>0</v>
      </c>
      <c r="K219">
        <v>0.111</v>
      </c>
      <c r="L219">
        <v>0</v>
      </c>
      <c r="M219">
        <v>0</v>
      </c>
      <c r="N219">
        <v>0.111</v>
      </c>
      <c r="O219" t="s">
        <v>74</v>
      </c>
      <c r="P219">
        <v>0</v>
      </c>
      <c r="Q219" t="s">
        <v>74</v>
      </c>
      <c r="R219">
        <v>0</v>
      </c>
      <c r="S219" t="s">
        <v>74</v>
      </c>
      <c r="T219">
        <v>0</v>
      </c>
      <c r="U219">
        <v>0.111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200000</v>
      </c>
      <c r="AG219">
        <v>10000</v>
      </c>
      <c r="AH219">
        <v>1</v>
      </c>
      <c r="AI219">
        <v>1</v>
      </c>
      <c r="AJ219" t="s">
        <v>79</v>
      </c>
      <c r="AK219" t="s">
        <v>74</v>
      </c>
      <c r="AL219">
        <v>0</v>
      </c>
      <c r="AM219" t="s">
        <v>74</v>
      </c>
      <c r="AN219">
        <v>0</v>
      </c>
      <c r="AO219">
        <v>0.111</v>
      </c>
      <c r="AP219">
        <v>0</v>
      </c>
    </row>
    <row r="220" spans="1:42" ht="12.75">
      <c r="A220" s="2" t="str">
        <f>HYPERLINK("https://ibp.a2mac1.com/costing(costing:projects/details/8191/process/6971968)","Machine")</f>
        <v>Machine</v>
      </c>
      <c r="C220">
        <v>6971968</v>
      </c>
      <c r="D220">
        <v>5383455</v>
      </c>
      <c r="E220">
        <v>42.171999999999997</v>
      </c>
      <c r="F220">
        <v>0</v>
      </c>
      <c r="G220">
        <v>0</v>
      </c>
      <c r="H220">
        <v>0</v>
      </c>
      <c r="I220" t="s">
        <v>74</v>
      </c>
      <c r="J220">
        <v>0</v>
      </c>
      <c r="K220">
        <v>42.171999999999997</v>
      </c>
      <c r="L220">
        <v>0</v>
      </c>
      <c r="M220">
        <v>0</v>
      </c>
      <c r="N220">
        <v>42.171999999999997</v>
      </c>
      <c r="O220" t="s">
        <v>74</v>
      </c>
      <c r="P220">
        <v>0</v>
      </c>
      <c r="Q220" t="s">
        <v>74</v>
      </c>
      <c r="R220">
        <v>0</v>
      </c>
      <c r="S220" t="s">
        <v>74</v>
      </c>
      <c r="T220">
        <v>0</v>
      </c>
      <c r="U220">
        <v>42.171999999999997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0</v>
      </c>
      <c r="AD220">
        <v>0</v>
      </c>
      <c r="AE220">
        <v>0</v>
      </c>
      <c r="AF220">
        <v>200000</v>
      </c>
      <c r="AG220">
        <v>10000</v>
      </c>
      <c r="AH220">
        <v>1</v>
      </c>
      <c r="AI220">
        <v>1</v>
      </c>
      <c r="AJ220" t="s">
        <v>79</v>
      </c>
      <c r="AK220" t="s">
        <v>74</v>
      </c>
      <c r="AL220">
        <v>0</v>
      </c>
      <c r="AM220" t="s">
        <v>74</v>
      </c>
      <c r="AN220">
        <v>0</v>
      </c>
      <c r="AO220">
        <v>42.171999999999997</v>
      </c>
      <c r="AP220">
        <v>0</v>
      </c>
    </row>
    <row r="221" spans="1:42" ht="12.75">
      <c r="A221" s="2" t="str">
        <f>HYPERLINK("https://ibp.a2mac1.com/costing(costing:projects/details/8191/process/6971969)","Labour")</f>
        <v>Labour</v>
      </c>
      <c r="C221">
        <v>6971969</v>
      </c>
      <c r="D221">
        <v>5383455</v>
      </c>
      <c r="E221">
        <v>9.4109999999999996</v>
      </c>
      <c r="F221">
        <v>0</v>
      </c>
      <c r="G221">
        <v>0</v>
      </c>
      <c r="H221">
        <v>0</v>
      </c>
      <c r="I221" t="s">
        <v>74</v>
      </c>
      <c r="J221">
        <v>0</v>
      </c>
      <c r="K221">
        <v>9.4109999999999996</v>
      </c>
      <c r="L221">
        <v>0</v>
      </c>
      <c r="M221">
        <v>0</v>
      </c>
      <c r="N221">
        <v>9.4109999999999996</v>
      </c>
      <c r="O221" t="s">
        <v>74</v>
      </c>
      <c r="P221">
        <v>0</v>
      </c>
      <c r="Q221" t="s">
        <v>74</v>
      </c>
      <c r="R221">
        <v>0</v>
      </c>
      <c r="S221" t="s">
        <v>74</v>
      </c>
      <c r="T221">
        <v>0</v>
      </c>
      <c r="U221">
        <v>9.4109999999999996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200000</v>
      </c>
      <c r="AG221">
        <v>10000</v>
      </c>
      <c r="AH221">
        <v>1</v>
      </c>
      <c r="AI221">
        <v>1</v>
      </c>
      <c r="AJ221" t="s">
        <v>79</v>
      </c>
      <c r="AK221" t="s">
        <v>74</v>
      </c>
      <c r="AL221">
        <v>0</v>
      </c>
      <c r="AM221" t="s">
        <v>74</v>
      </c>
      <c r="AN221">
        <v>0</v>
      </c>
      <c r="AO221">
        <v>9.4109999999999996</v>
      </c>
      <c r="AP221">
        <v>0</v>
      </c>
    </row>
    <row r="222" spans="1:42" ht="12.75">
      <c r="A222" s="2" t="str">
        <f>HYPERLINK("https://ibp.a2mac1.com/costing(costing:projects/details/8191/process/6971970)","Machine")</f>
        <v>Machine</v>
      </c>
      <c r="C222">
        <v>6971970</v>
      </c>
      <c r="D222">
        <v>5383458</v>
      </c>
      <c r="E222">
        <v>3.032</v>
      </c>
      <c r="F222">
        <v>0</v>
      </c>
      <c r="G222">
        <v>0</v>
      </c>
      <c r="H222">
        <v>0</v>
      </c>
      <c r="I222" t="s">
        <v>74</v>
      </c>
      <c r="J222">
        <v>0</v>
      </c>
      <c r="K222">
        <v>3.032</v>
      </c>
      <c r="L222">
        <v>0</v>
      </c>
      <c r="M222">
        <v>0</v>
      </c>
      <c r="N222">
        <v>3.032</v>
      </c>
      <c r="O222" t="s">
        <v>74</v>
      </c>
      <c r="P222">
        <v>0</v>
      </c>
      <c r="Q222" t="s">
        <v>74</v>
      </c>
      <c r="R222">
        <v>0</v>
      </c>
      <c r="S222" t="s">
        <v>74</v>
      </c>
      <c r="T222">
        <v>0</v>
      </c>
      <c r="U222">
        <v>3.032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200000</v>
      </c>
      <c r="AG222">
        <v>10000</v>
      </c>
      <c r="AH222">
        <v>1</v>
      </c>
      <c r="AI222">
        <v>1</v>
      </c>
      <c r="AJ222" t="s">
        <v>79</v>
      </c>
      <c r="AK222" t="s">
        <v>74</v>
      </c>
      <c r="AL222">
        <v>0</v>
      </c>
      <c r="AM222" t="s">
        <v>74</v>
      </c>
      <c r="AN222">
        <v>0</v>
      </c>
      <c r="AO222">
        <v>3.032</v>
      </c>
      <c r="AP222">
        <v>0</v>
      </c>
    </row>
    <row r="223" spans="1:42" ht="12.75">
      <c r="A223" s="2" t="str">
        <f>HYPERLINK("https://ibp.a2mac1.com/costing(costing:projects/details/8191/process/6971971)","Labour")</f>
        <v>Labour</v>
      </c>
      <c r="C223">
        <v>6971971</v>
      </c>
      <c r="D223">
        <v>5383458</v>
      </c>
      <c r="E223">
        <v>0.11600000000000001</v>
      </c>
      <c r="F223">
        <v>0</v>
      </c>
      <c r="G223">
        <v>0</v>
      </c>
      <c r="H223">
        <v>0</v>
      </c>
      <c r="I223" t="s">
        <v>74</v>
      </c>
      <c r="J223">
        <v>0</v>
      </c>
      <c r="K223">
        <v>0.11600000000000001</v>
      </c>
      <c r="L223">
        <v>0</v>
      </c>
      <c r="M223">
        <v>0</v>
      </c>
      <c r="N223">
        <v>0.11600000000000001</v>
      </c>
      <c r="O223" t="s">
        <v>74</v>
      </c>
      <c r="P223">
        <v>0</v>
      </c>
      <c r="Q223" t="s">
        <v>74</v>
      </c>
      <c r="R223">
        <v>0</v>
      </c>
      <c r="S223" t="s">
        <v>74</v>
      </c>
      <c r="T223">
        <v>0</v>
      </c>
      <c r="U223">
        <v>0.11600000000000001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200000</v>
      </c>
      <c r="AG223">
        <v>10000</v>
      </c>
      <c r="AH223">
        <v>1</v>
      </c>
      <c r="AI223">
        <v>1</v>
      </c>
      <c r="AJ223" t="s">
        <v>79</v>
      </c>
      <c r="AK223" t="s">
        <v>74</v>
      </c>
      <c r="AL223">
        <v>0</v>
      </c>
      <c r="AM223" t="s">
        <v>74</v>
      </c>
      <c r="AN223">
        <v>0</v>
      </c>
      <c r="AO223">
        <v>0.11600000000000001</v>
      </c>
      <c r="AP223">
        <v>0</v>
      </c>
    </row>
    <row r="224" spans="1:42" ht="12.75">
      <c r="A224" s="2" t="str">
        <f>HYPERLINK("https://ibp.a2mac1.com/costing(costing:projects/details/8191/process/6971972)","Machine")</f>
        <v>Machine</v>
      </c>
      <c r="C224">
        <v>6971972</v>
      </c>
      <c r="D224">
        <v>5383461</v>
      </c>
      <c r="E224">
        <v>1.06</v>
      </c>
      <c r="F224">
        <v>0</v>
      </c>
      <c r="G224">
        <v>0</v>
      </c>
      <c r="H224">
        <v>0</v>
      </c>
      <c r="I224" t="s">
        <v>74</v>
      </c>
      <c r="J224">
        <v>0</v>
      </c>
      <c r="K224">
        <v>1.06</v>
      </c>
      <c r="L224">
        <v>0</v>
      </c>
      <c r="M224">
        <v>0</v>
      </c>
      <c r="N224">
        <v>1.06</v>
      </c>
      <c r="O224" t="s">
        <v>74</v>
      </c>
      <c r="P224">
        <v>0</v>
      </c>
      <c r="Q224" t="s">
        <v>74</v>
      </c>
      <c r="R224">
        <v>0</v>
      </c>
      <c r="S224" t="s">
        <v>74</v>
      </c>
      <c r="T224">
        <v>0</v>
      </c>
      <c r="U224">
        <v>1.06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200000</v>
      </c>
      <c r="AG224">
        <v>10000</v>
      </c>
      <c r="AH224">
        <v>1</v>
      </c>
      <c r="AI224">
        <v>1</v>
      </c>
      <c r="AJ224" t="s">
        <v>79</v>
      </c>
      <c r="AK224" t="s">
        <v>74</v>
      </c>
      <c r="AL224">
        <v>0</v>
      </c>
      <c r="AM224" t="s">
        <v>74</v>
      </c>
      <c r="AN224">
        <v>0</v>
      </c>
      <c r="AO224">
        <v>1.06</v>
      </c>
      <c r="AP224">
        <v>0</v>
      </c>
    </row>
    <row r="225" spans="1:42" ht="12.75">
      <c r="A225" s="2" t="str">
        <f>HYPERLINK("https://ibp.a2mac1.com/costing(costing:projects/details/8191/process/6971973)","Labour")</f>
        <v>Labour</v>
      </c>
      <c r="C225">
        <v>6971973</v>
      </c>
      <c r="D225">
        <v>5383461</v>
      </c>
      <c r="E225">
        <v>0.028000000000000001</v>
      </c>
      <c r="F225">
        <v>0</v>
      </c>
      <c r="G225">
        <v>0</v>
      </c>
      <c r="H225">
        <v>0</v>
      </c>
      <c r="I225" t="s">
        <v>74</v>
      </c>
      <c r="J225">
        <v>0</v>
      </c>
      <c r="K225">
        <v>0.028000000000000001</v>
      </c>
      <c r="L225">
        <v>0</v>
      </c>
      <c r="M225">
        <v>0</v>
      </c>
      <c r="N225">
        <v>0.028000000000000001</v>
      </c>
      <c r="O225" t="s">
        <v>74</v>
      </c>
      <c r="P225">
        <v>0</v>
      </c>
      <c r="Q225" t="s">
        <v>74</v>
      </c>
      <c r="R225">
        <v>0</v>
      </c>
      <c r="S225" t="s">
        <v>74</v>
      </c>
      <c r="T225">
        <v>0</v>
      </c>
      <c r="U225">
        <v>0.028000000000000001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200000</v>
      </c>
      <c r="AG225">
        <v>10000</v>
      </c>
      <c r="AH225">
        <v>1</v>
      </c>
      <c r="AI225">
        <v>1</v>
      </c>
      <c r="AJ225" t="s">
        <v>79</v>
      </c>
      <c r="AK225" t="s">
        <v>74</v>
      </c>
      <c r="AL225">
        <v>0</v>
      </c>
      <c r="AM225" t="s">
        <v>74</v>
      </c>
      <c r="AN225">
        <v>0</v>
      </c>
      <c r="AO225">
        <v>0.028000000000000001</v>
      </c>
      <c r="AP225">
        <v>0</v>
      </c>
    </row>
    <row r="226" spans="1:42" ht="12.75">
      <c r="A226" s="2" t="str">
        <f>HYPERLINK("https://ibp.a2mac1.com/costing(costing:projects/details/8191/process/6971974)","Machine")</f>
        <v>Machine</v>
      </c>
      <c r="C226">
        <v>6971974</v>
      </c>
      <c r="D226">
        <v>5383467</v>
      </c>
      <c r="E226">
        <v>1.775</v>
      </c>
      <c r="F226">
        <v>0</v>
      </c>
      <c r="G226">
        <v>0</v>
      </c>
      <c r="H226">
        <v>0</v>
      </c>
      <c r="I226" t="s">
        <v>74</v>
      </c>
      <c r="J226">
        <v>0</v>
      </c>
      <c r="K226">
        <v>1.775</v>
      </c>
      <c r="L226">
        <v>0</v>
      </c>
      <c r="M226">
        <v>0</v>
      </c>
      <c r="N226">
        <v>1.775</v>
      </c>
      <c r="O226" t="s">
        <v>74</v>
      </c>
      <c r="P226">
        <v>0</v>
      </c>
      <c r="Q226" t="s">
        <v>74</v>
      </c>
      <c r="R226">
        <v>0</v>
      </c>
      <c r="S226" t="s">
        <v>74</v>
      </c>
      <c r="T226">
        <v>0</v>
      </c>
      <c r="U226">
        <v>1.775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200000</v>
      </c>
      <c r="AG226">
        <v>10000</v>
      </c>
      <c r="AH226">
        <v>1</v>
      </c>
      <c r="AI226">
        <v>1</v>
      </c>
      <c r="AJ226" t="s">
        <v>79</v>
      </c>
      <c r="AK226" t="s">
        <v>74</v>
      </c>
      <c r="AL226">
        <v>0</v>
      </c>
      <c r="AM226" t="s">
        <v>74</v>
      </c>
      <c r="AN226">
        <v>0</v>
      </c>
      <c r="AO226">
        <v>1.775</v>
      </c>
      <c r="AP226">
        <v>0</v>
      </c>
    </row>
    <row r="227" spans="1:42" ht="12.75">
      <c r="A227" s="2" t="str">
        <f>HYPERLINK("https://ibp.a2mac1.com/costing(costing:projects/details/8191/process/6971975)","Labour")</f>
        <v>Labour</v>
      </c>
      <c r="C227">
        <v>6971975</v>
      </c>
      <c r="D227">
        <v>5383467</v>
      </c>
      <c r="E227">
        <v>0.63200000000000001</v>
      </c>
      <c r="F227">
        <v>0</v>
      </c>
      <c r="G227">
        <v>0</v>
      </c>
      <c r="H227">
        <v>0</v>
      </c>
      <c r="I227" t="s">
        <v>74</v>
      </c>
      <c r="J227">
        <v>0</v>
      </c>
      <c r="K227">
        <v>0.63200000000000001</v>
      </c>
      <c r="L227">
        <v>0</v>
      </c>
      <c r="M227">
        <v>0</v>
      </c>
      <c r="N227">
        <v>0.63200000000000001</v>
      </c>
      <c r="O227" t="s">
        <v>74</v>
      </c>
      <c r="P227">
        <v>0</v>
      </c>
      <c r="Q227" t="s">
        <v>74</v>
      </c>
      <c r="R227">
        <v>0</v>
      </c>
      <c r="S227" t="s">
        <v>74</v>
      </c>
      <c r="T227">
        <v>0</v>
      </c>
      <c r="U227">
        <v>0.63200000000000001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200000</v>
      </c>
      <c r="AG227">
        <v>10000</v>
      </c>
      <c r="AH227">
        <v>1</v>
      </c>
      <c r="AI227">
        <v>1</v>
      </c>
      <c r="AJ227" t="s">
        <v>79</v>
      </c>
      <c r="AK227" t="s">
        <v>74</v>
      </c>
      <c r="AL227">
        <v>0</v>
      </c>
      <c r="AM227" t="s">
        <v>74</v>
      </c>
      <c r="AN227">
        <v>0</v>
      </c>
      <c r="AO227">
        <v>0.63200000000000001</v>
      </c>
      <c r="AP227">
        <v>0</v>
      </c>
    </row>
    <row r="228" spans="1:42" ht="12.75">
      <c r="A228" s="2" t="str">
        <f>HYPERLINK("https://ibp.a2mac1.com/costing(costing:projects/details/8191/process/6971887)","Process")</f>
        <v>Process</v>
      </c>
      <c r="C228">
        <v>6971887</v>
      </c>
      <c r="D228">
        <v>5383163</v>
      </c>
      <c r="E228">
        <v>0.74871271541176465</v>
      </c>
      <c r="F228">
        <v>0</v>
      </c>
      <c r="G228">
        <v>0</v>
      </c>
      <c r="H228">
        <v>0.0037944835854117646</v>
      </c>
      <c r="I228" t="s">
        <v>137</v>
      </c>
      <c r="J228">
        <v>0.026402967294117646</v>
      </c>
      <c r="K228">
        <v>0.77891016629129417</v>
      </c>
      <c r="L228">
        <v>0.12012369589718382</v>
      </c>
      <c r="M228">
        <v>0.72074217538310281</v>
      </c>
      <c r="N228">
        <v>1.499652341674397</v>
      </c>
      <c r="O228" t="s">
        <v>138</v>
      </c>
      <c r="P228">
        <v>0.046734609977477644</v>
      </c>
      <c r="Q228" t="s">
        <v>138</v>
      </c>
      <c r="R228">
        <v>0.043244530522986172</v>
      </c>
      <c r="S228" t="s">
        <v>139</v>
      </c>
      <c r="T228">
        <v>0.17995828100092764</v>
      </c>
      <c r="U228">
        <v>1.7695897631757884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60</v>
      </c>
      <c r="AB228">
        <v>1</v>
      </c>
      <c r="AC228">
        <v>0.50</v>
      </c>
      <c r="AD228">
        <v>0.50048257265952256</v>
      </c>
      <c r="AE228">
        <v>1800</v>
      </c>
      <c r="AF228">
        <v>400000</v>
      </c>
      <c r="AG228">
        <v>33333.333333333336</v>
      </c>
      <c r="AH228">
        <v>1</v>
      </c>
      <c r="AI228">
        <v>1</v>
      </c>
      <c r="AJ228" t="s">
        <v>136</v>
      </c>
      <c r="AK228" t="s">
        <v>137</v>
      </c>
      <c r="AL228">
        <v>0</v>
      </c>
      <c r="AM228" t="s">
        <v>137</v>
      </c>
      <c r="AN228">
        <v>0</v>
      </c>
    </row>
    <row r="229" spans="1:42" ht="12.75">
      <c r="A229" s="2" t="str">
        <f>HYPERLINK("https://ibp.a2mac1.com/costing(costing:projects/details/8191/process/6971717)","Final assembly")</f>
        <v>Final assembly</v>
      </c>
      <c r="C229">
        <v>6971717</v>
      </c>
      <c r="D229">
        <v>5382805</v>
      </c>
      <c r="E229">
        <v>87.45</v>
      </c>
      <c r="F229">
        <v>0</v>
      </c>
      <c r="G229">
        <v>0</v>
      </c>
      <c r="H229">
        <v>0</v>
      </c>
      <c r="I229" t="s">
        <v>74</v>
      </c>
      <c r="J229">
        <v>0</v>
      </c>
      <c r="K229">
        <v>87.45</v>
      </c>
      <c r="L229">
        <v>0</v>
      </c>
      <c r="M229">
        <v>0</v>
      </c>
      <c r="N229">
        <v>87.45</v>
      </c>
      <c r="O229" t="s">
        <v>74</v>
      </c>
      <c r="P229">
        <v>0</v>
      </c>
      <c r="Q229" t="s">
        <v>74</v>
      </c>
      <c r="R229">
        <v>0</v>
      </c>
      <c r="S229" t="s">
        <v>74</v>
      </c>
      <c r="T229">
        <v>0</v>
      </c>
      <c r="U229">
        <v>87.45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95</v>
      </c>
      <c r="AB229">
        <v>1</v>
      </c>
      <c r="AC229">
        <v>0.50</v>
      </c>
      <c r="AD229">
        <v>0</v>
      </c>
      <c r="AE229">
        <v>1800</v>
      </c>
      <c r="AF229">
        <v>200000</v>
      </c>
      <c r="AG229">
        <v>10000</v>
      </c>
      <c r="AH229">
        <v>1</v>
      </c>
      <c r="AI229">
        <v>1</v>
      </c>
      <c r="AJ229" t="s">
        <v>79</v>
      </c>
      <c r="AK229" t="s">
        <v>74</v>
      </c>
      <c r="AL229">
        <v>0</v>
      </c>
      <c r="AM229" t="s">
        <v>74</v>
      </c>
      <c r="AN229">
        <v>0</v>
      </c>
      <c r="AO229">
        <v>87.45</v>
      </c>
      <c r="AP229">
        <v>0</v>
      </c>
    </row>
    <row r="230" spans="1:42" ht="12.75">
      <c r="A230" s="2" t="str">
        <f>HYPERLINK("https://ibp.a2mac1.com/costing(costing:projects/details/8191/process/6971888)","Process")</f>
        <v>Process</v>
      </c>
      <c r="C230">
        <v>6971888</v>
      </c>
      <c r="D230">
        <v>5383173</v>
      </c>
      <c r="E230">
        <v>2.0100169711111113</v>
      </c>
      <c r="F230">
        <v>0</v>
      </c>
      <c r="G230">
        <v>0</v>
      </c>
      <c r="H230">
        <v>0.010485243168888889</v>
      </c>
      <c r="I230" t="s">
        <v>137</v>
      </c>
      <c r="J230">
        <v>0.072526385555555559</v>
      </c>
      <c r="K230">
        <v>2.0930285998355553</v>
      </c>
      <c r="L230">
        <v>1.0521885619798013</v>
      </c>
      <c r="M230">
        <v>3.6826599669293048</v>
      </c>
      <c r="N230">
        <v>5.7756885667648605</v>
      </c>
      <c r="O230" t="s">
        <v>138</v>
      </c>
      <c r="P230">
        <v>0.12558171599013335</v>
      </c>
      <c r="Q230" t="s">
        <v>138</v>
      </c>
      <c r="R230">
        <v>0.22095959801575829</v>
      </c>
      <c r="S230" t="s">
        <v>139</v>
      </c>
      <c r="T230">
        <v>0.69308262801178322</v>
      </c>
      <c r="U230">
        <v>6.8153125087825348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60</v>
      </c>
      <c r="AB230">
        <v>1</v>
      </c>
      <c r="AC230">
        <v>0.50</v>
      </c>
      <c r="AD230">
        <v>0.50345253019720215</v>
      </c>
      <c r="AE230">
        <v>1800</v>
      </c>
      <c r="AF230">
        <v>200000</v>
      </c>
      <c r="AG230">
        <v>16666.666666666668</v>
      </c>
      <c r="AH230">
        <v>1</v>
      </c>
      <c r="AI230">
        <v>1</v>
      </c>
      <c r="AJ230" t="s">
        <v>136</v>
      </c>
      <c r="AK230" t="s">
        <v>137</v>
      </c>
      <c r="AL230">
        <v>0</v>
      </c>
      <c r="AM230" t="s">
        <v>137</v>
      </c>
      <c r="AN230">
        <v>0</v>
      </c>
    </row>
    <row r="231" spans="1:42" ht="12.75">
      <c r="A231" s="2" t="str">
        <f>HYPERLINK("https://ibp.a2mac1.com/costing(costing:projects/details/8191/process/6971976)","Process")</f>
        <v>Process</v>
      </c>
      <c r="C231">
        <v>6971976</v>
      </c>
      <c r="D231">
        <v>5383477</v>
      </c>
      <c r="E231">
        <v>1.246501662</v>
      </c>
      <c r="F231">
        <v>0</v>
      </c>
      <c r="G231">
        <v>0</v>
      </c>
      <c r="H231">
        <v>0.0063231061751578945</v>
      </c>
      <c r="I231" t="s">
        <v>137</v>
      </c>
      <c r="J231">
        <v>0.043736900421052632</v>
      </c>
      <c r="K231">
        <v>1.2965616685962105</v>
      </c>
      <c r="L231">
        <v>0.037929543313487621</v>
      </c>
      <c r="M231">
        <v>0.22757725988092573</v>
      </c>
      <c r="N231">
        <v>1.5241389284771363</v>
      </c>
      <c r="O231" t="s">
        <v>138</v>
      </c>
      <c r="P231">
        <v>0.077793700115772635</v>
      </c>
      <c r="Q231" t="s">
        <v>138</v>
      </c>
      <c r="R231">
        <v>0.013654635592855544</v>
      </c>
      <c r="S231" t="s">
        <v>139</v>
      </c>
      <c r="T231">
        <v>0.18289667141725635</v>
      </c>
      <c r="U231">
        <v>1.7984839356030209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60</v>
      </c>
      <c r="AB231">
        <v>1</v>
      </c>
      <c r="AC231">
        <v>0.50</v>
      </c>
      <c r="AD231">
        <v>0.50345253019720215</v>
      </c>
      <c r="AE231">
        <v>1800</v>
      </c>
      <c r="AF231">
        <v>200000</v>
      </c>
      <c r="AG231">
        <v>16666.666666666668</v>
      </c>
      <c r="AH231">
        <v>1</v>
      </c>
      <c r="AI231">
        <v>1</v>
      </c>
      <c r="AJ231" t="s">
        <v>136</v>
      </c>
      <c r="AK231" t="s">
        <v>137</v>
      </c>
      <c r="AL231">
        <v>0</v>
      </c>
      <c r="AM231" t="s">
        <v>137</v>
      </c>
      <c r="AN231">
        <v>0</v>
      </c>
    </row>
    <row r="232" spans="1:42" ht="12.75">
      <c r="A232" s="2" t="str">
        <f>HYPERLINK("https://ibp.a2mac1.com/costing(costing:projects/details/8191/process/6971977)","Process")</f>
        <v>Process</v>
      </c>
      <c r="C232">
        <v>6971977</v>
      </c>
      <c r="D232">
        <v>5383479</v>
      </c>
      <c r="E232">
        <v>2.6752535669999999</v>
      </c>
      <c r="F232">
        <v>0</v>
      </c>
      <c r="G232">
        <v>0</v>
      </c>
      <c r="H232">
        <v>0.013570709823578947</v>
      </c>
      <c r="I232" t="s">
        <v>137</v>
      </c>
      <c r="J232">
        <v>0.093868546210526316</v>
      </c>
      <c r="K232">
        <v>2.7826928230341053</v>
      </c>
      <c r="L232">
        <v>0.03524321653334362</v>
      </c>
      <c r="M232">
        <v>0.21145929920006173</v>
      </c>
      <c r="N232">
        <v>2.9941521222341669</v>
      </c>
      <c r="O232" t="s">
        <v>138</v>
      </c>
      <c r="P232">
        <v>0.16696156938204632</v>
      </c>
      <c r="Q232" t="s">
        <v>138</v>
      </c>
      <c r="R232">
        <v>0.012687557952003704</v>
      </c>
      <c r="S232" t="s">
        <v>139</v>
      </c>
      <c r="T232">
        <v>0.35929825466810006</v>
      </c>
      <c r="U232">
        <v>3.5330995042363171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60</v>
      </c>
      <c r="AB232">
        <v>1</v>
      </c>
      <c r="AC232">
        <v>0.50</v>
      </c>
      <c r="AD232">
        <v>0.50345253019720215</v>
      </c>
      <c r="AE232">
        <v>1800</v>
      </c>
      <c r="AF232">
        <v>200000</v>
      </c>
      <c r="AG232">
        <v>16666.666666666668</v>
      </c>
      <c r="AH232">
        <v>1</v>
      </c>
      <c r="AI232">
        <v>1</v>
      </c>
      <c r="AJ232" t="s">
        <v>136</v>
      </c>
      <c r="AK232" t="s">
        <v>137</v>
      </c>
      <c r="AL232">
        <v>0</v>
      </c>
      <c r="AM232" t="s">
        <v>137</v>
      </c>
      <c r="AN232">
        <v>0</v>
      </c>
    </row>
    <row r="233" spans="1:42" ht="12.75">
      <c r="A233" s="2" t="str">
        <f>HYPERLINK("https://ibp.a2mac1.com/costing(costing:projects/details/8191/process/6971889)","Process")</f>
        <v>Process</v>
      </c>
      <c r="C233">
        <v>6971889</v>
      </c>
      <c r="D233">
        <v>5383197</v>
      </c>
      <c r="E233">
        <v>0.48743459099999997</v>
      </c>
      <c r="F233">
        <v>0</v>
      </c>
      <c r="G233">
        <v>0</v>
      </c>
      <c r="H233">
        <v>0.0024726005317894737</v>
      </c>
      <c r="I233" t="s">
        <v>137</v>
      </c>
      <c r="J233">
        <v>0.017102968105263159</v>
      </c>
      <c r="K233">
        <v>0.50701015963705265</v>
      </c>
      <c r="L233">
        <v>0.03524321653334362</v>
      </c>
      <c r="M233">
        <v>0.21145929920006173</v>
      </c>
      <c r="N233">
        <v>0.71846945883711433</v>
      </c>
      <c r="O233" t="s">
        <v>138</v>
      </c>
      <c r="P233">
        <v>0.030420609578223158</v>
      </c>
      <c r="Q233" t="s">
        <v>138</v>
      </c>
      <c r="R233">
        <v>0.012687557952003704</v>
      </c>
      <c r="S233" t="s">
        <v>139</v>
      </c>
      <c r="T233">
        <v>0.08621633506045373</v>
      </c>
      <c r="U233">
        <v>0.84779396142779495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60</v>
      </c>
      <c r="AB233">
        <v>1</v>
      </c>
      <c r="AC233">
        <v>0.50</v>
      </c>
      <c r="AD233">
        <v>0.50345253019720215</v>
      </c>
      <c r="AE233">
        <v>1800</v>
      </c>
      <c r="AF233">
        <v>200000</v>
      </c>
      <c r="AG233">
        <v>16666.666666666668</v>
      </c>
      <c r="AH233">
        <v>1</v>
      </c>
      <c r="AI233">
        <v>1</v>
      </c>
      <c r="AJ233" t="s">
        <v>136</v>
      </c>
      <c r="AK233" t="s">
        <v>137</v>
      </c>
      <c r="AL233">
        <v>0</v>
      </c>
      <c r="AM233" t="s">
        <v>137</v>
      </c>
      <c r="AN233">
        <v>0</v>
      </c>
    </row>
    <row r="234" spans="1:42" ht="12.75">
      <c r="A234" s="2" t="str">
        <f>HYPERLINK("https://ibp.a2mac1.com/costing(costing:projects/details/8191/process/6971741)","Process")</f>
        <v>Process</v>
      </c>
      <c r="C234">
        <v>6971741</v>
      </c>
      <c r="D234">
        <v>5382895</v>
      </c>
      <c r="E234">
        <v>13.386105023777779</v>
      </c>
      <c r="F234">
        <v>0</v>
      </c>
      <c r="G234">
        <v>0</v>
      </c>
      <c r="H234">
        <v>0.069666757856538017</v>
      </c>
      <c r="I234" t="s">
        <v>137</v>
      </c>
      <c r="J234">
        <v>0.48188468873099416</v>
      </c>
      <c r="K234">
        <v>13.93765647036531</v>
      </c>
      <c r="L234">
        <v>2.4938706192237778</v>
      </c>
      <c r="M234">
        <v>8.7285471672832227</v>
      </c>
      <c r="N234">
        <v>22.666203637648533</v>
      </c>
      <c r="O234" t="s">
        <v>138</v>
      </c>
      <c r="P234">
        <v>0.83625938822191859</v>
      </c>
      <c r="Q234" t="s">
        <v>138</v>
      </c>
      <c r="R234">
        <v>0.52371283003699343</v>
      </c>
      <c r="S234" t="s">
        <v>139</v>
      </c>
      <c r="T234">
        <v>2.719944436517824</v>
      </c>
      <c r="U234">
        <v>26.746120292425267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60</v>
      </c>
      <c r="AB234">
        <v>1</v>
      </c>
      <c r="AC234">
        <v>0.50</v>
      </c>
      <c r="AD234">
        <v>0.50345253019720215</v>
      </c>
      <c r="AE234">
        <v>1800</v>
      </c>
      <c r="AF234">
        <v>200000</v>
      </c>
      <c r="AG234">
        <v>16666.666666666668</v>
      </c>
      <c r="AH234">
        <v>1</v>
      </c>
      <c r="AI234">
        <v>1</v>
      </c>
      <c r="AJ234" t="s">
        <v>136</v>
      </c>
      <c r="AK234" t="s">
        <v>137</v>
      </c>
      <c r="AL234">
        <v>0</v>
      </c>
      <c r="AM234" t="s">
        <v>137</v>
      </c>
      <c r="AN234">
        <v>0</v>
      </c>
    </row>
    <row r="235" spans="1:42" ht="12.75">
      <c r="A235" s="2" t="str">
        <f>HYPERLINK("https://ibp.a2mac1.com/costing(costing:projects/details/8191/process/6971742)","Process")</f>
        <v>Process</v>
      </c>
      <c r="C235">
        <v>6971742</v>
      </c>
      <c r="D235">
        <v>5382897</v>
      </c>
      <c r="E235">
        <v>2.1915029220000002</v>
      </c>
      <c r="F235">
        <v>0</v>
      </c>
      <c r="G235">
        <v>0</v>
      </c>
      <c r="H235">
        <v>0.011116796777263158</v>
      </c>
      <c r="I235" t="s">
        <v>137</v>
      </c>
      <c r="J235">
        <v>0.07689483936842105</v>
      </c>
      <c r="K235">
        <v>2.2795145581456842</v>
      </c>
      <c r="L235">
        <v>0.03524321653334362</v>
      </c>
      <c r="M235">
        <v>0.21145929920006173</v>
      </c>
      <c r="N235">
        <v>2.4909738573457458</v>
      </c>
      <c r="O235" t="s">
        <v>138</v>
      </c>
      <c r="P235">
        <v>0.13677087348874106</v>
      </c>
      <c r="Q235" t="s">
        <v>138</v>
      </c>
      <c r="R235">
        <v>0.012687557952003704</v>
      </c>
      <c r="S235" t="s">
        <v>139</v>
      </c>
      <c r="T235">
        <v>0.2989168628814895</v>
      </c>
      <c r="U235">
        <v>2.9393491516679804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60</v>
      </c>
      <c r="AB235">
        <v>1</v>
      </c>
      <c r="AC235">
        <v>0.50</v>
      </c>
      <c r="AD235">
        <v>0.50345253019720215</v>
      </c>
      <c r="AE235">
        <v>1800</v>
      </c>
      <c r="AF235">
        <v>200000</v>
      </c>
      <c r="AG235">
        <v>16666.666666666668</v>
      </c>
      <c r="AH235">
        <v>1</v>
      </c>
      <c r="AI235">
        <v>1</v>
      </c>
      <c r="AJ235" t="s">
        <v>136</v>
      </c>
      <c r="AK235" t="s">
        <v>137</v>
      </c>
      <c r="AL235">
        <v>0</v>
      </c>
      <c r="AM235" t="s">
        <v>137</v>
      </c>
      <c r="AN235">
        <v>0</v>
      </c>
    </row>
    <row r="236" spans="1:42" ht="12.75">
      <c r="A236" s="2" t="str">
        <f>HYPERLINK("https://ibp.a2mac1.com/costing(costing:projects/details/8191/process/6971718)","Process")</f>
        <v>Process</v>
      </c>
      <c r="C236">
        <v>6971718</v>
      </c>
      <c r="D236">
        <v>5382807</v>
      </c>
      <c r="E236">
        <v>0</v>
      </c>
      <c r="F236">
        <v>0</v>
      </c>
      <c r="G236">
        <v>0</v>
      </c>
      <c r="H236">
        <v>0</v>
      </c>
      <c r="I236" t="s">
        <v>137</v>
      </c>
      <c r="J236">
        <v>0</v>
      </c>
      <c r="K236">
        <v>0</v>
      </c>
      <c r="L236">
        <v>0.2944780592792744</v>
      </c>
      <c r="M236">
        <v>1.7668683556756464</v>
      </c>
      <c r="N236">
        <v>1.7668683556756464</v>
      </c>
      <c r="O236" t="s">
        <v>138</v>
      </c>
      <c r="P236">
        <v>0</v>
      </c>
      <c r="Q236" t="s">
        <v>138</v>
      </c>
      <c r="R236">
        <v>0.10601210134053878</v>
      </c>
      <c r="S236" t="s">
        <v>139</v>
      </c>
      <c r="T236">
        <v>0.21202420268107755</v>
      </c>
      <c r="U236">
        <v>2.0849046596972625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258</v>
      </c>
      <c r="AB236">
        <v>1</v>
      </c>
      <c r="AC236">
        <v>5</v>
      </c>
      <c r="AD236">
        <v>5.0007599939200489</v>
      </c>
      <c r="AE236">
        <v>216</v>
      </c>
      <c r="AF236">
        <v>200000</v>
      </c>
      <c r="AG236">
        <v>16666.666666666668</v>
      </c>
      <c r="AH236">
        <v>1</v>
      </c>
      <c r="AI236">
        <v>1</v>
      </c>
      <c r="AJ236" t="s">
        <v>136</v>
      </c>
      <c r="AK236" t="s">
        <v>137</v>
      </c>
      <c r="AL236">
        <v>0</v>
      </c>
      <c r="AM236" t="s">
        <v>137</v>
      </c>
      <c r="AN236">
        <v>0</v>
      </c>
    </row>
    <row r="237" spans="1:42" ht="12.75">
      <c r="A237" s="2" t="str">
        <f>HYPERLINK("https://ibp.a2mac1.com/costing(costing:projects/details/8191/process/6971719)","Process")</f>
        <v>Process</v>
      </c>
      <c r="C237">
        <v>6971719</v>
      </c>
      <c r="D237">
        <v>5382809</v>
      </c>
      <c r="E237">
        <v>1.7932311257142857</v>
      </c>
      <c r="F237">
        <v>0</v>
      </c>
      <c r="G237">
        <v>0</v>
      </c>
      <c r="H237">
        <v>0.0091654035314285721</v>
      </c>
      <c r="I237" t="s">
        <v>137</v>
      </c>
      <c r="J237">
        <v>0.063397060000000005</v>
      </c>
      <c r="K237">
        <v>1.8657935892457143</v>
      </c>
      <c r="L237">
        <v>0.22201359011518207</v>
      </c>
      <c r="M237">
        <v>1.3320815406910924</v>
      </c>
      <c r="N237">
        <v>3.1978751299368069</v>
      </c>
      <c r="O237" t="s">
        <v>138</v>
      </c>
      <c r="P237">
        <v>0.11194761535474286</v>
      </c>
      <c r="Q237" t="s">
        <v>138</v>
      </c>
      <c r="R237">
        <v>0.079924892441465542</v>
      </c>
      <c r="S237" t="s">
        <v>139</v>
      </c>
      <c r="T237">
        <v>0.3837450155924168</v>
      </c>
      <c r="U237">
        <v>3.773492653325432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60</v>
      </c>
      <c r="AB237">
        <v>1</v>
      </c>
      <c r="AC237">
        <v>0.50</v>
      </c>
      <c r="AD237">
        <v>0.50345253019720215</v>
      </c>
      <c r="AE237">
        <v>1800</v>
      </c>
      <c r="AF237">
        <v>200000</v>
      </c>
      <c r="AG237">
        <v>16666.666666666668</v>
      </c>
      <c r="AH237">
        <v>1</v>
      </c>
      <c r="AI237">
        <v>1</v>
      </c>
      <c r="AJ237" t="s">
        <v>136</v>
      </c>
      <c r="AK237" t="s">
        <v>137</v>
      </c>
      <c r="AL237">
        <v>0</v>
      </c>
      <c r="AM237" t="s">
        <v>137</v>
      </c>
      <c r="AN237">
        <v>0</v>
      </c>
    </row>
    <row r="238" spans="1:42" ht="12.75">
      <c r="A238" s="2" t="str">
        <f>HYPERLINK("https://ibp.a2mac1.com/costing(costing:projects/details/8191/process/6971720)","Process")</f>
        <v>Process</v>
      </c>
      <c r="C238">
        <v>6971720</v>
      </c>
      <c r="D238">
        <v>5382810</v>
      </c>
      <c r="E238">
        <v>1.7981848028571428</v>
      </c>
      <c r="F238">
        <v>0</v>
      </c>
      <c r="G238">
        <v>0</v>
      </c>
      <c r="H238">
        <v>0.0091907223257142855</v>
      </c>
      <c r="I238" t="s">
        <v>137</v>
      </c>
      <c r="J238">
        <v>0.063572190000000001</v>
      </c>
      <c r="K238">
        <v>1.8709477151828571</v>
      </c>
      <c r="L238">
        <v>0.25134116943901663</v>
      </c>
      <c r="M238">
        <v>1.5080470166341</v>
      </c>
      <c r="N238">
        <v>3.3789947318169569</v>
      </c>
      <c r="O238" t="s">
        <v>138</v>
      </c>
      <c r="P238">
        <v>0.11225686291097142</v>
      </c>
      <c r="Q238" t="s">
        <v>138</v>
      </c>
      <c r="R238">
        <v>0.090482820998045999</v>
      </c>
      <c r="S238" t="s">
        <v>139</v>
      </c>
      <c r="T238">
        <v>0.40547936781803484</v>
      </c>
      <c r="U238">
        <v>3.9872137835440093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60</v>
      </c>
      <c r="AB238">
        <v>1</v>
      </c>
      <c r="AC238">
        <v>0.50</v>
      </c>
      <c r="AD238">
        <v>0.50345253019720215</v>
      </c>
      <c r="AE238">
        <v>1800</v>
      </c>
      <c r="AF238">
        <v>200000</v>
      </c>
      <c r="AG238">
        <v>16666.666666666668</v>
      </c>
      <c r="AH238">
        <v>1</v>
      </c>
      <c r="AI238">
        <v>1</v>
      </c>
      <c r="AJ238" t="s">
        <v>136</v>
      </c>
      <c r="AK238" t="s">
        <v>137</v>
      </c>
      <c r="AL238">
        <v>0</v>
      </c>
      <c r="AM238" t="s">
        <v>137</v>
      </c>
      <c r="AN238">
        <v>0</v>
      </c>
    </row>
    <row r="239" spans="1:42" ht="12.75">
      <c r="A239" s="2" t="str">
        <f>HYPERLINK("https://ibp.a2mac1.com/costing(costing:projects/details/8191/process/6971721)","Process")</f>
        <v>Process</v>
      </c>
      <c r="C239">
        <v>6971721</v>
      </c>
      <c r="D239">
        <v>5382811</v>
      </c>
      <c r="E239">
        <v>2.1771411042857145</v>
      </c>
      <c r="F239">
        <v>0</v>
      </c>
      <c r="G239">
        <v>0</v>
      </c>
      <c r="H239">
        <v>0.011127610088571429</v>
      </c>
      <c r="I239" t="s">
        <v>137</v>
      </c>
      <c r="J239">
        <v>0.076969634999999995</v>
      </c>
      <c r="K239">
        <v>2.2652383493742856</v>
      </c>
      <c r="L239">
        <v>0.24207982859958754</v>
      </c>
      <c r="M239">
        <v>1.4524789715975253</v>
      </c>
      <c r="N239">
        <v>3.7177173209718108</v>
      </c>
      <c r="O239" t="s">
        <v>138</v>
      </c>
      <c r="P239">
        <v>0.13591430096245713</v>
      </c>
      <c r="Q239" t="s">
        <v>138</v>
      </c>
      <c r="R239">
        <v>0.087148738295851513</v>
      </c>
      <c r="S239" t="s">
        <v>139</v>
      </c>
      <c r="T239">
        <v>0.44612607851661734</v>
      </c>
      <c r="U239">
        <v>4.3869064387467374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60</v>
      </c>
      <c r="AB239">
        <v>1</v>
      </c>
      <c r="AC239">
        <v>0.50</v>
      </c>
      <c r="AD239">
        <v>0.50345253019720215</v>
      </c>
      <c r="AE239">
        <v>1800</v>
      </c>
      <c r="AF239">
        <v>200000</v>
      </c>
      <c r="AG239">
        <v>16666.666666666668</v>
      </c>
      <c r="AH239">
        <v>1</v>
      </c>
      <c r="AI239">
        <v>1</v>
      </c>
      <c r="AJ239" t="s">
        <v>136</v>
      </c>
      <c r="AK239" t="s">
        <v>137</v>
      </c>
      <c r="AL239">
        <v>0</v>
      </c>
      <c r="AM239" t="s">
        <v>137</v>
      </c>
      <c r="AN239">
        <v>0</v>
      </c>
    </row>
    <row r="240" spans="1:42" ht="12.75">
      <c r="A240" s="2" t="str">
        <f>HYPERLINK("https://ibp.a2mac1.com/costing(costing:projects/details/8191/process/6971722)","Process")</f>
        <v>Process</v>
      </c>
      <c r="C240">
        <v>6971722</v>
      </c>
      <c r="D240">
        <v>5382812</v>
      </c>
      <c r="E240">
        <v>1.19631303</v>
      </c>
      <c r="F240">
        <v>0</v>
      </c>
      <c r="G240">
        <v>0</v>
      </c>
      <c r="H240">
        <v>0.0061144888199999997</v>
      </c>
      <c r="I240" t="s">
        <v>137</v>
      </c>
      <c r="J240">
        <v>0.042293894999999998</v>
      </c>
      <c r="K240">
        <v>1.24472141382</v>
      </c>
      <c r="L240">
        <v>0.21429580608375842</v>
      </c>
      <c r="M240">
        <v>1.2857748365025505</v>
      </c>
      <c r="N240">
        <v>2.5304962503225505</v>
      </c>
      <c r="O240" t="s">
        <v>138</v>
      </c>
      <c r="P240">
        <v>0.074683284829200003</v>
      </c>
      <c r="Q240" t="s">
        <v>138</v>
      </c>
      <c r="R240">
        <v>0.07714649019015303</v>
      </c>
      <c r="S240" t="s">
        <v>139</v>
      </c>
      <c r="T240">
        <v>0.30365955003870604</v>
      </c>
      <c r="U240">
        <v>2.9859855753806097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60</v>
      </c>
      <c r="AB240">
        <v>1</v>
      </c>
      <c r="AC240">
        <v>0.50</v>
      </c>
      <c r="AD240">
        <v>0.50345253019720215</v>
      </c>
      <c r="AE240">
        <v>1800</v>
      </c>
      <c r="AF240">
        <v>200000</v>
      </c>
      <c r="AG240">
        <v>16666.666666666668</v>
      </c>
      <c r="AH240">
        <v>1</v>
      </c>
      <c r="AI240">
        <v>1</v>
      </c>
      <c r="AJ240" t="s">
        <v>136</v>
      </c>
      <c r="AK240" t="s">
        <v>137</v>
      </c>
      <c r="AL240">
        <v>0</v>
      </c>
      <c r="AM240" t="s">
        <v>137</v>
      </c>
      <c r="AN240">
        <v>0</v>
      </c>
    </row>
    <row r="241" spans="1:42" ht="12.75">
      <c r="A241" s="2" t="str">
        <f>HYPERLINK("https://ibp.a2mac1.com/costing(costing:projects/details/8191/process/6971723)","Process")</f>
        <v>Process</v>
      </c>
      <c r="C241">
        <v>6971723</v>
      </c>
      <c r="D241">
        <v>5382814</v>
      </c>
      <c r="E241">
        <v>1.4241821785714286</v>
      </c>
      <c r="F241">
        <v>0</v>
      </c>
      <c r="G241">
        <v>0</v>
      </c>
      <c r="H241">
        <v>0.007279153357142857</v>
      </c>
      <c r="I241" t="s">
        <v>137</v>
      </c>
      <c r="J241">
        <v>0.050349875000000002</v>
      </c>
      <c r="K241">
        <v>1.4818112069285714</v>
      </c>
      <c r="L241">
        <v>0.22664426053551118</v>
      </c>
      <c r="M241">
        <v>1.359865563213067</v>
      </c>
      <c r="N241">
        <v>2.8416767701416386</v>
      </c>
      <c r="O241" t="s">
        <v>138</v>
      </c>
      <c r="P241">
        <v>0.08890867241571429</v>
      </c>
      <c r="Q241" t="s">
        <v>138</v>
      </c>
      <c r="R241">
        <v>0.081591933792784024</v>
      </c>
      <c r="S241" t="s">
        <v>139</v>
      </c>
      <c r="T241">
        <v>0.3410012124169966</v>
      </c>
      <c r="U241">
        <v>3.3531785887671335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60</v>
      </c>
      <c r="AB241">
        <v>1</v>
      </c>
      <c r="AC241">
        <v>0.50</v>
      </c>
      <c r="AD241">
        <v>0.50345253019720215</v>
      </c>
      <c r="AE241">
        <v>1800</v>
      </c>
      <c r="AF241">
        <v>200000</v>
      </c>
      <c r="AG241">
        <v>16666.666666666668</v>
      </c>
      <c r="AH241">
        <v>1</v>
      </c>
      <c r="AI241">
        <v>1</v>
      </c>
      <c r="AJ241" t="s">
        <v>136</v>
      </c>
      <c r="AK241" t="s">
        <v>137</v>
      </c>
      <c r="AL241">
        <v>0</v>
      </c>
      <c r="AM241" t="s">
        <v>137</v>
      </c>
      <c r="AN241">
        <v>0</v>
      </c>
    </row>
    <row r="242" spans="1:42" ht="12.75">
      <c r="A242" s="2" t="str">
        <f>HYPERLINK("https://ibp.a2mac1.com/costing(costing:projects/details/8191/process/6972073)","Cutting")</f>
        <v>Cutting</v>
      </c>
      <c r="B242" t="s">
        <v>2695</v>
      </c>
      <c r="C242">
        <v>6972073</v>
      </c>
      <c r="D242">
        <v>5383621</v>
      </c>
      <c r="E242">
        <v>2.8203999999999998</v>
      </c>
      <c r="F242">
        <v>0</v>
      </c>
      <c r="G242">
        <v>0</v>
      </c>
      <c r="H242">
        <v>0.0058100239999999996</v>
      </c>
      <c r="I242" t="s">
        <v>137</v>
      </c>
      <c r="J242">
        <v>0.098713999999999996</v>
      </c>
      <c r="K242">
        <v>2.9249240240000001</v>
      </c>
      <c r="L242">
        <v>0.0047180900912924886</v>
      </c>
      <c r="M242">
        <v>0.028308540547754928</v>
      </c>
      <c r="N242">
        <v>2.9532325645477551</v>
      </c>
      <c r="O242" t="s">
        <v>90</v>
      </c>
      <c r="P242">
        <v>0</v>
      </c>
      <c r="Q242" t="s">
        <v>90</v>
      </c>
      <c r="R242">
        <v>0</v>
      </c>
      <c r="S242" t="s">
        <v>90</v>
      </c>
      <c r="T242">
        <v>0</v>
      </c>
      <c r="U242">
        <v>2.9532325645477551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6.63</v>
      </c>
      <c r="AB242">
        <v>1</v>
      </c>
      <c r="AC242">
        <v>0.10</v>
      </c>
      <c r="AD242">
        <v>0.20557651238448796</v>
      </c>
      <c r="AE242">
        <v>900</v>
      </c>
      <c r="AF242">
        <v>200000</v>
      </c>
      <c r="AG242">
        <v>16666.666666666668</v>
      </c>
      <c r="AH242">
        <v>1</v>
      </c>
      <c r="AI242">
        <v>1</v>
      </c>
      <c r="AJ242" t="s">
        <v>2693</v>
      </c>
      <c r="AK242" t="s">
        <v>137</v>
      </c>
      <c r="AL242">
        <v>0</v>
      </c>
      <c r="AM242" t="s">
        <v>137</v>
      </c>
      <c r="AN242">
        <v>0</v>
      </c>
    </row>
    <row r="243" spans="1:42" ht="12.75">
      <c r="A243" s="2" t="str">
        <f>HYPERLINK("https://ibp.a2mac1.com/costing(costing:projects/details/8191/process/6972074)","Sewing")</f>
        <v>Sewing</v>
      </c>
      <c r="C243">
        <v>6972074</v>
      </c>
      <c r="D243">
        <v>5383621</v>
      </c>
      <c r="E243">
        <v>0</v>
      </c>
      <c r="F243">
        <v>0</v>
      </c>
      <c r="G243">
        <v>0</v>
      </c>
      <c r="H243">
        <v>0</v>
      </c>
      <c r="I243" t="s">
        <v>137</v>
      </c>
      <c r="J243">
        <v>0</v>
      </c>
      <c r="K243">
        <v>0</v>
      </c>
      <c r="L243">
        <v>0.18127428049352515</v>
      </c>
      <c r="M243">
        <v>1.0876456829611507</v>
      </c>
      <c r="N243">
        <v>1.0876456829611507</v>
      </c>
      <c r="O243" t="s">
        <v>90</v>
      </c>
      <c r="P243">
        <v>0</v>
      </c>
      <c r="Q243" t="s">
        <v>90</v>
      </c>
      <c r="R243">
        <v>0</v>
      </c>
      <c r="S243" t="s">
        <v>90</v>
      </c>
      <c r="T243">
        <v>0</v>
      </c>
      <c r="U243">
        <v>1.0876456829611507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248.44</v>
      </c>
      <c r="AB243">
        <v>1</v>
      </c>
      <c r="AC243">
        <v>0.10</v>
      </c>
      <c r="AD243">
        <v>0.10389195236953569</v>
      </c>
      <c r="AE243">
        <v>900</v>
      </c>
      <c r="AF243">
        <v>200000</v>
      </c>
      <c r="AG243">
        <v>16666.666666666668</v>
      </c>
      <c r="AH243">
        <v>1</v>
      </c>
      <c r="AI243">
        <v>1</v>
      </c>
      <c r="AJ243" t="s">
        <v>2693</v>
      </c>
      <c r="AK243" t="s">
        <v>137</v>
      </c>
      <c r="AL243">
        <v>0</v>
      </c>
      <c r="AM243" t="s">
        <v>137</v>
      </c>
      <c r="AN243">
        <v>0</v>
      </c>
    </row>
    <row r="244" spans="1:42" ht="12.75">
      <c r="A244" s="2" t="str">
        <f>HYPERLINK("https://ibp.a2mac1.com/costing(costing:projects/details/8191/process/6972075)","Automated Process")</f>
        <v>Automated Process</v>
      </c>
      <c r="C244">
        <v>6972075</v>
      </c>
      <c r="D244">
        <v>5383622</v>
      </c>
      <c r="E244">
        <v>0.76936286700000001</v>
      </c>
      <c r="F244">
        <v>0</v>
      </c>
      <c r="G244">
        <v>0</v>
      </c>
      <c r="H244">
        <v>0.0039027329393684211</v>
      </c>
      <c r="I244" t="s">
        <v>137</v>
      </c>
      <c r="J244">
        <v>0.026995188315789474</v>
      </c>
      <c r="K244">
        <v>0.8002607882551579</v>
      </c>
      <c r="L244">
        <v>0.026783507879850274</v>
      </c>
      <c r="M244">
        <v>0.16070104727910164</v>
      </c>
      <c r="N244">
        <v>0.96096183553425951</v>
      </c>
      <c r="O244" t="s">
        <v>90</v>
      </c>
      <c r="P244">
        <v>0</v>
      </c>
      <c r="Q244" t="s">
        <v>90</v>
      </c>
      <c r="R244">
        <v>0</v>
      </c>
      <c r="S244" t="s">
        <v>90</v>
      </c>
      <c r="T244">
        <v>0</v>
      </c>
      <c r="U244">
        <v>0.96096183553425951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160</v>
      </c>
      <c r="AB244">
        <v>1</v>
      </c>
      <c r="AC244">
        <v>0.50</v>
      </c>
      <c r="AD244">
        <v>0.50345253019720215</v>
      </c>
      <c r="AE244">
        <v>585.90</v>
      </c>
      <c r="AF244">
        <v>200000</v>
      </c>
      <c r="AG244">
        <v>16666.666666666668</v>
      </c>
      <c r="AH244">
        <v>1</v>
      </c>
      <c r="AI244">
        <v>1</v>
      </c>
      <c r="AJ244" t="s">
        <v>136</v>
      </c>
      <c r="AK244" t="s">
        <v>137</v>
      </c>
      <c r="AL244">
        <v>0</v>
      </c>
      <c r="AM244" t="s">
        <v>137</v>
      </c>
      <c r="AN244">
        <v>0</v>
      </c>
    </row>
    <row r="245" spans="1:42" ht="12.75">
      <c r="A245" s="2" t="str">
        <f>HYPERLINK("https://ibp.a2mac1.com/costing(costing:projects/details/8191/process/6972076)","Automated Process ")</f>
        <v xml:space="preserve">Automated Process </v>
      </c>
      <c r="C245">
        <v>6972076</v>
      </c>
      <c r="D245">
        <v>5383623</v>
      </c>
      <c r="E245">
        <v>0.45936454959183676</v>
      </c>
      <c r="F245">
        <v>0</v>
      </c>
      <c r="G245">
        <v>0</v>
      </c>
      <c r="H245">
        <v>0.0023328680632867882</v>
      </c>
      <c r="I245" t="s">
        <v>137</v>
      </c>
      <c r="J245">
        <v>0.016136439172932331</v>
      </c>
      <c r="K245">
        <v>0.47783385682805585</v>
      </c>
      <c r="L245">
        <v>0.070520132977448066</v>
      </c>
      <c r="M245">
        <v>0.42312079786468842</v>
      </c>
      <c r="N245">
        <v>0.90095465469274427</v>
      </c>
      <c r="O245" t="s">
        <v>138</v>
      </c>
      <c r="P245">
        <v>0.028670031409683352</v>
      </c>
      <c r="Q245" t="s">
        <v>138</v>
      </c>
      <c r="R245">
        <v>0.025387247871881305</v>
      </c>
      <c r="S245" t="s">
        <v>139</v>
      </c>
      <c r="T245">
        <v>0.10811455856312931</v>
      </c>
      <c r="U245">
        <v>1.0631264925374382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300</v>
      </c>
      <c r="AB245">
        <v>1</v>
      </c>
      <c r="AC245">
        <v>0.50</v>
      </c>
      <c r="AD245">
        <v>0.50345253019720215</v>
      </c>
      <c r="AE245">
        <v>823.50</v>
      </c>
      <c r="AF245">
        <v>200000</v>
      </c>
      <c r="AG245">
        <v>16666.666666666668</v>
      </c>
      <c r="AH245">
        <v>1</v>
      </c>
      <c r="AI245">
        <v>1</v>
      </c>
      <c r="AJ245" t="s">
        <v>136</v>
      </c>
      <c r="AK245" t="s">
        <v>137</v>
      </c>
      <c r="AL245">
        <v>0</v>
      </c>
      <c r="AM245" t="s">
        <v>137</v>
      </c>
      <c r="AN245">
        <v>0</v>
      </c>
    </row>
    <row r="246" spans="1:42" ht="12.75">
      <c r="A246" s="2" t="str">
        <f>HYPERLINK("https://ibp.a2mac1.com/costing(costing:projects/details/8191/process/6972162)","Cutting")</f>
        <v>Cutting</v>
      </c>
      <c r="B246" t="s">
        <v>2695</v>
      </c>
      <c r="C246">
        <v>6972162</v>
      </c>
      <c r="D246">
        <v>5383883</v>
      </c>
      <c r="E246">
        <v>1.1965333333333332</v>
      </c>
      <c r="F246">
        <v>0</v>
      </c>
      <c r="G246">
        <v>0</v>
      </c>
      <c r="H246">
        <v>0.0024648586666666666</v>
      </c>
      <c r="I246" t="s">
        <v>137</v>
      </c>
      <c r="J246">
        <v>0.041878666666666668</v>
      </c>
      <c r="K246">
        <v>1.2408768586666667</v>
      </c>
      <c r="L246">
        <v>0.0027540821579374875</v>
      </c>
      <c r="M246">
        <v>0.016524492947624925</v>
      </c>
      <c r="N246">
        <v>1.2574013516142917</v>
      </c>
      <c r="O246" t="s">
        <v>90</v>
      </c>
      <c r="P246">
        <v>0</v>
      </c>
      <c r="Q246" t="s">
        <v>90</v>
      </c>
      <c r="R246">
        <v>0</v>
      </c>
      <c r="S246" t="s">
        <v>90</v>
      </c>
      <c r="T246">
        <v>0</v>
      </c>
      <c r="U246">
        <v>1.2574013516142917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3.84</v>
      </c>
      <c r="AB246">
        <v>1</v>
      </c>
      <c r="AC246">
        <v>0.10</v>
      </c>
      <c r="AD246">
        <v>0.20557651238448796</v>
      </c>
      <c r="AE246">
        <v>900</v>
      </c>
      <c r="AF246">
        <v>200000</v>
      </c>
      <c r="AG246">
        <v>16666.666666666668</v>
      </c>
      <c r="AH246">
        <v>1</v>
      </c>
      <c r="AI246">
        <v>1</v>
      </c>
      <c r="AJ246" t="s">
        <v>2693</v>
      </c>
      <c r="AK246" t="s">
        <v>137</v>
      </c>
      <c r="AL246">
        <v>0</v>
      </c>
      <c r="AM246" t="s">
        <v>137</v>
      </c>
      <c r="AN246">
        <v>0</v>
      </c>
    </row>
    <row r="247" spans="1:42" ht="12.75">
      <c r="A247" s="2" t="str">
        <f>HYPERLINK("https://ibp.a2mac1.com/costing(costing:projects/details/8191/process/6972163)","Sewing")</f>
        <v>Sewing</v>
      </c>
      <c r="C247">
        <v>6972163</v>
      </c>
      <c r="D247">
        <v>5383883</v>
      </c>
      <c r="E247">
        <v>0</v>
      </c>
      <c r="F247">
        <v>0</v>
      </c>
      <c r="G247">
        <v>0</v>
      </c>
      <c r="H247">
        <v>0</v>
      </c>
      <c r="I247" t="s">
        <v>137</v>
      </c>
      <c r="J247">
        <v>0</v>
      </c>
      <c r="K247">
        <v>0</v>
      </c>
      <c r="L247">
        <v>0.11504374001364576</v>
      </c>
      <c r="M247">
        <v>0.69026244008187454</v>
      </c>
      <c r="N247">
        <v>0.69026244008187454</v>
      </c>
      <c r="O247" t="s">
        <v>90</v>
      </c>
      <c r="P247">
        <v>0</v>
      </c>
      <c r="Q247" t="s">
        <v>90</v>
      </c>
      <c r="R247">
        <v>0</v>
      </c>
      <c r="S247" t="s">
        <v>90</v>
      </c>
      <c r="T247">
        <v>0</v>
      </c>
      <c r="U247">
        <v>0.69026244008187454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157.65</v>
      </c>
      <c r="AB247">
        <v>1</v>
      </c>
      <c r="AC247">
        <v>0.10</v>
      </c>
      <c r="AD247">
        <v>0.10389195236953569</v>
      </c>
      <c r="AE247">
        <v>900</v>
      </c>
      <c r="AF247">
        <v>200000</v>
      </c>
      <c r="AG247">
        <v>16666.666666666668</v>
      </c>
      <c r="AH247">
        <v>1</v>
      </c>
      <c r="AI247">
        <v>1</v>
      </c>
      <c r="AJ247" t="s">
        <v>2693</v>
      </c>
      <c r="AK247" t="s">
        <v>137</v>
      </c>
      <c r="AL247">
        <v>0</v>
      </c>
      <c r="AM247" t="s">
        <v>137</v>
      </c>
      <c r="AN247">
        <v>0</v>
      </c>
    </row>
    <row r="248" spans="1:42" ht="12.75">
      <c r="A248" s="2" t="str">
        <f>HYPERLINK("https://ibp.a2mac1.com/costing(costing:projects/details/8191/process/6972164)","Automated Process")</f>
        <v>Automated Process</v>
      </c>
      <c r="C248">
        <v>6972164</v>
      </c>
      <c r="D248">
        <v>5383884</v>
      </c>
      <c r="E248">
        <v>0.216272511</v>
      </c>
      <c r="F248">
        <v>0</v>
      </c>
      <c r="G248">
        <v>0</v>
      </c>
      <c r="H248">
        <v>0.0010970816096842104</v>
      </c>
      <c r="I248" t="s">
        <v>137</v>
      </c>
      <c r="J248">
        <v>0.0075885091578947366</v>
      </c>
      <c r="K248">
        <v>0.22495810176757894</v>
      </c>
      <c r="L248">
        <v>0.0028318940604628918</v>
      </c>
      <c r="M248">
        <v>0.016991364362777348</v>
      </c>
      <c r="N248">
        <v>0.24194946613035631</v>
      </c>
      <c r="O248" t="s">
        <v>90</v>
      </c>
      <c r="P248">
        <v>0</v>
      </c>
      <c r="Q248" t="s">
        <v>90</v>
      </c>
      <c r="R248">
        <v>0</v>
      </c>
      <c r="S248" t="s">
        <v>90</v>
      </c>
      <c r="T248">
        <v>0</v>
      </c>
      <c r="U248">
        <v>0.24194946613035631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60</v>
      </c>
      <c r="AB248">
        <v>1</v>
      </c>
      <c r="AC248">
        <v>0.50</v>
      </c>
      <c r="AD248">
        <v>0.50345253019720215</v>
      </c>
      <c r="AE248">
        <v>164.70</v>
      </c>
      <c r="AF248">
        <v>200000</v>
      </c>
      <c r="AG248">
        <v>16666.666666666668</v>
      </c>
      <c r="AH248">
        <v>1</v>
      </c>
      <c r="AI248">
        <v>1</v>
      </c>
      <c r="AJ248" t="s">
        <v>136</v>
      </c>
      <c r="AK248" t="s">
        <v>137</v>
      </c>
      <c r="AL248">
        <v>0</v>
      </c>
      <c r="AM248" t="s">
        <v>137</v>
      </c>
      <c r="AN248">
        <v>0</v>
      </c>
    </row>
    <row r="249" spans="1:42" ht="12.75">
      <c r="A249" s="2" t="str">
        <f>HYPERLINK("https://ibp.a2mac1.com/costing(costing:projects/details/8191/process/6972165)","Automated Process")</f>
        <v>Automated Process</v>
      </c>
      <c r="C249">
        <v>6972165</v>
      </c>
      <c r="D249">
        <v>5383885</v>
      </c>
      <c r="E249">
        <v>0.400040277</v>
      </c>
      <c r="F249">
        <v>0</v>
      </c>
      <c r="G249">
        <v>0</v>
      </c>
      <c r="H249">
        <v>0.0020292769941052629</v>
      </c>
      <c r="I249" t="s">
        <v>137</v>
      </c>
      <c r="J249">
        <v>0.01403650094736842</v>
      </c>
      <c r="K249">
        <v>0.41610605494147368</v>
      </c>
      <c r="L249">
        <v>0.010263958479019376</v>
      </c>
      <c r="M249">
        <v>0.061583750874116258</v>
      </c>
      <c r="N249">
        <v>0.47768980581558995</v>
      </c>
      <c r="O249" t="s">
        <v>90</v>
      </c>
      <c r="P249">
        <v>0</v>
      </c>
      <c r="Q249" t="s">
        <v>90</v>
      </c>
      <c r="R249">
        <v>0</v>
      </c>
      <c r="S249" t="s">
        <v>90</v>
      </c>
      <c r="T249">
        <v>0</v>
      </c>
      <c r="U249">
        <v>0.47768980581558995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60</v>
      </c>
      <c r="AB249">
        <v>1</v>
      </c>
      <c r="AC249">
        <v>0.50</v>
      </c>
      <c r="AD249">
        <v>0.50345253019720215</v>
      </c>
      <c r="AE249">
        <v>596.70</v>
      </c>
      <c r="AF249">
        <v>200000</v>
      </c>
      <c r="AG249">
        <v>16666.666666666668</v>
      </c>
      <c r="AH249">
        <v>1</v>
      </c>
      <c r="AI249">
        <v>1</v>
      </c>
      <c r="AJ249" t="s">
        <v>136</v>
      </c>
      <c r="AK249" t="s">
        <v>137</v>
      </c>
      <c r="AL249">
        <v>0</v>
      </c>
      <c r="AM249" t="s">
        <v>137</v>
      </c>
      <c r="AN249">
        <v>0</v>
      </c>
    </row>
    <row r="250" spans="1:42" ht="12.75">
      <c r="A250" s="2" t="str">
        <f>HYPERLINK("https://ibp.a2mac1.com/costing(costing:projects/details/8191/process/6972166)","Automated Process")</f>
        <v>Automated Process</v>
      </c>
      <c r="C250">
        <v>6972166</v>
      </c>
      <c r="D250">
        <v>5383886</v>
      </c>
      <c r="E250">
        <v>0.22873872000000001</v>
      </c>
      <c r="F250">
        <v>0</v>
      </c>
      <c r="G250">
        <v>0</v>
      </c>
      <c r="H250">
        <v>0.00116031872</v>
      </c>
      <c r="I250" t="s">
        <v>137</v>
      </c>
      <c r="J250">
        <v>0.0080259200000000006</v>
      </c>
      <c r="K250">
        <v>0.23792495872</v>
      </c>
      <c r="L250">
        <v>0.0044107054974815976</v>
      </c>
      <c r="M250">
        <v>0.026464232984889587</v>
      </c>
      <c r="N250">
        <v>0.26438919170488961</v>
      </c>
      <c r="O250" t="s">
        <v>90</v>
      </c>
      <c r="P250">
        <v>0</v>
      </c>
      <c r="Q250" t="s">
        <v>90</v>
      </c>
      <c r="R250">
        <v>0</v>
      </c>
      <c r="S250" t="s">
        <v>90</v>
      </c>
      <c r="T250">
        <v>0</v>
      </c>
      <c r="U250">
        <v>0.26438919170488961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60</v>
      </c>
      <c r="AB250">
        <v>1</v>
      </c>
      <c r="AC250">
        <v>0.50</v>
      </c>
      <c r="AD250">
        <v>0.50345253019720215</v>
      </c>
      <c r="AE250">
        <v>256.50</v>
      </c>
      <c r="AF250">
        <v>200000</v>
      </c>
      <c r="AG250">
        <v>16666.666666666668</v>
      </c>
      <c r="AH250">
        <v>1</v>
      </c>
      <c r="AI250">
        <v>1</v>
      </c>
      <c r="AJ250" t="s">
        <v>136</v>
      </c>
      <c r="AK250" t="s">
        <v>137</v>
      </c>
      <c r="AL250">
        <v>0</v>
      </c>
      <c r="AM250" t="s">
        <v>137</v>
      </c>
      <c r="AN250">
        <v>0</v>
      </c>
    </row>
    <row r="251" spans="1:42" ht="12.75">
      <c r="A251" s="2" t="str">
        <f>HYPERLINK("https://ibp.a2mac1.com/costing(costing:projects/details/8191/process/6972167)","Automated Process")</f>
        <v>Automated Process</v>
      </c>
      <c r="C251">
        <v>6972167</v>
      </c>
      <c r="D251">
        <v>5383887</v>
      </c>
      <c r="E251">
        <v>0.137570412</v>
      </c>
      <c r="F251">
        <v>0</v>
      </c>
      <c r="G251">
        <v>0</v>
      </c>
      <c r="H251">
        <v>0.00069785091200000001</v>
      </c>
      <c r="I251" t="s">
        <v>137</v>
      </c>
      <c r="J251">
        <v>0.0048270320000000002</v>
      </c>
      <c r="K251">
        <v>0.14309529491199999</v>
      </c>
      <c r="L251">
        <v>0.0035283951048529147</v>
      </c>
      <c r="M251">
        <v>0.021170370629117488</v>
      </c>
      <c r="N251">
        <v>0.16426566554111749</v>
      </c>
      <c r="O251" t="s">
        <v>90</v>
      </c>
      <c r="P251">
        <v>0</v>
      </c>
      <c r="Q251" t="s">
        <v>90</v>
      </c>
      <c r="R251">
        <v>0</v>
      </c>
      <c r="S251" t="s">
        <v>90</v>
      </c>
      <c r="T251">
        <v>0</v>
      </c>
      <c r="U251">
        <v>0.16426566554111749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60</v>
      </c>
      <c r="AB251">
        <v>1</v>
      </c>
      <c r="AC251">
        <v>0.50</v>
      </c>
      <c r="AD251">
        <v>0.50345253019720215</v>
      </c>
      <c r="AE251">
        <v>205.20</v>
      </c>
      <c r="AF251">
        <v>200000</v>
      </c>
      <c r="AG251">
        <v>16666.666666666668</v>
      </c>
      <c r="AH251">
        <v>1</v>
      </c>
      <c r="AI251">
        <v>1</v>
      </c>
      <c r="AJ251" t="s">
        <v>136</v>
      </c>
      <c r="AK251" t="s">
        <v>137</v>
      </c>
      <c r="AL251">
        <v>0</v>
      </c>
      <c r="AM251" t="s">
        <v>137</v>
      </c>
      <c r="AN251">
        <v>0</v>
      </c>
    </row>
    <row r="252" spans="1:42" ht="12.75">
      <c r="A252" s="2" t="str">
        <f>HYPERLINK("https://ibp.a2mac1.com/costing(costing:projects/details/8191/process/6972168)","Automated Process")</f>
        <v>Automated Process</v>
      </c>
      <c r="C252">
        <v>6972168</v>
      </c>
      <c r="D252">
        <v>5383888</v>
      </c>
      <c r="E252">
        <v>0.092316987000000003</v>
      </c>
      <c r="F252">
        <v>0</v>
      </c>
      <c r="G252">
        <v>0</v>
      </c>
      <c r="H252">
        <v>0.0004682946909473684</v>
      </c>
      <c r="I252" t="s">
        <v>137</v>
      </c>
      <c r="J252">
        <v>0.0032391925263157897</v>
      </c>
      <c r="K252">
        <v>0.096024474217263164</v>
      </c>
      <c r="L252">
        <v>0.002367589340622376</v>
      </c>
      <c r="M252">
        <v>0.014205536043734255</v>
      </c>
      <c r="N252">
        <v>0.11023001026099741</v>
      </c>
      <c r="O252" t="s">
        <v>90</v>
      </c>
      <c r="P252">
        <v>0</v>
      </c>
      <c r="Q252" t="s">
        <v>90</v>
      </c>
      <c r="R252">
        <v>0</v>
      </c>
      <c r="S252" t="s">
        <v>90</v>
      </c>
      <c r="T252">
        <v>0</v>
      </c>
      <c r="U252">
        <v>0.11023001026099741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60</v>
      </c>
      <c r="AB252">
        <v>1</v>
      </c>
      <c r="AC252">
        <v>0.50</v>
      </c>
      <c r="AD252">
        <v>0.50345253019720215</v>
      </c>
      <c r="AE252">
        <v>137.70</v>
      </c>
      <c r="AF252">
        <v>200000</v>
      </c>
      <c r="AG252">
        <v>16666.666666666668</v>
      </c>
      <c r="AH252">
        <v>1</v>
      </c>
      <c r="AI252">
        <v>1</v>
      </c>
      <c r="AJ252" t="s">
        <v>136</v>
      </c>
      <c r="AK252" t="s">
        <v>137</v>
      </c>
      <c r="AL252">
        <v>0</v>
      </c>
      <c r="AM252" t="s">
        <v>137</v>
      </c>
      <c r="AN252">
        <v>0</v>
      </c>
    </row>
    <row r="253" spans="1:42" ht="12.75">
      <c r="A253" s="2" t="str">
        <f>HYPERLINK("https://ibp.a2mac1.com/costing(costing:projects/details/8191/process/6972169)","Automated Process")</f>
        <v>Automated Process</v>
      </c>
      <c r="C253">
        <v>6972169</v>
      </c>
      <c r="D253">
        <v>5383889</v>
      </c>
      <c r="E253">
        <v>0.045282047999999998</v>
      </c>
      <c r="F253">
        <v>0</v>
      </c>
      <c r="G253">
        <v>0</v>
      </c>
      <c r="H253">
        <v>0.00022970141642105263</v>
      </c>
      <c r="I253" t="s">
        <v>137</v>
      </c>
      <c r="J253">
        <v>0.0015888437894736843</v>
      </c>
      <c r="K253">
        <v>0.047100593205894735</v>
      </c>
      <c r="L253">
        <v>0.0014854749716206401</v>
      </c>
      <c r="M253">
        <v>0.0089128498297238404</v>
      </c>
      <c r="N253">
        <v>0.056013443035618581</v>
      </c>
      <c r="O253" t="s">
        <v>90</v>
      </c>
      <c r="P253">
        <v>0</v>
      </c>
      <c r="Q253" t="s">
        <v>90</v>
      </c>
      <c r="R253">
        <v>0</v>
      </c>
      <c r="S253" t="s">
        <v>90</v>
      </c>
      <c r="T253">
        <v>0</v>
      </c>
      <c r="U253">
        <v>0.056013443035618581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60</v>
      </c>
      <c r="AB253">
        <v>1</v>
      </c>
      <c r="AC253">
        <v>0.50</v>
      </c>
      <c r="AD253">
        <v>0.50345253019720215</v>
      </c>
      <c r="AE253">
        <v>86.40</v>
      </c>
      <c r="AF253">
        <v>200000</v>
      </c>
      <c r="AG253">
        <v>16666.666666666668</v>
      </c>
      <c r="AH253">
        <v>1</v>
      </c>
      <c r="AI253">
        <v>1</v>
      </c>
      <c r="AJ253" t="s">
        <v>136</v>
      </c>
      <c r="AK253" t="s">
        <v>137</v>
      </c>
      <c r="AL253">
        <v>0</v>
      </c>
      <c r="AM253" t="s">
        <v>137</v>
      </c>
      <c r="AN253">
        <v>0</v>
      </c>
    </row>
    <row r="254" spans="1:42" ht="12.75">
      <c r="A254" s="2" t="str">
        <f>HYPERLINK("https://ibp.a2mac1.com/costing(costing:projects/details/8191/process/6972170)","Automated Process")</f>
        <v>Automated Process</v>
      </c>
      <c r="C254">
        <v>6972170</v>
      </c>
      <c r="D254">
        <v>5383890</v>
      </c>
      <c r="E254">
        <v>0.032546472</v>
      </c>
      <c r="F254">
        <v>0</v>
      </c>
      <c r="G254">
        <v>0</v>
      </c>
      <c r="H254">
        <v>0.00016509789305263158</v>
      </c>
      <c r="I254" t="s">
        <v>137</v>
      </c>
      <c r="J254">
        <v>0.0011419814736842106</v>
      </c>
      <c r="K254">
        <v>0.033853551366736845</v>
      </c>
      <c r="L254">
        <v>0.0010676608673769893</v>
      </c>
      <c r="M254">
        <v>0.0064059652042619359</v>
      </c>
      <c r="N254">
        <v>0.040259516570998778</v>
      </c>
      <c r="O254" t="s">
        <v>90</v>
      </c>
      <c r="P254">
        <v>0</v>
      </c>
      <c r="Q254" t="s">
        <v>90</v>
      </c>
      <c r="R254">
        <v>0</v>
      </c>
      <c r="S254" t="s">
        <v>90</v>
      </c>
      <c r="T254">
        <v>0</v>
      </c>
      <c r="U254">
        <v>0.040259516570998778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60</v>
      </c>
      <c r="AB254">
        <v>1</v>
      </c>
      <c r="AC254">
        <v>0.50</v>
      </c>
      <c r="AD254">
        <v>0.50345253019720215</v>
      </c>
      <c r="AE254">
        <v>62.10</v>
      </c>
      <c r="AF254">
        <v>200000</v>
      </c>
      <c r="AG254">
        <v>16666.666666666668</v>
      </c>
      <c r="AH254">
        <v>1</v>
      </c>
      <c r="AI254">
        <v>1</v>
      </c>
      <c r="AJ254" t="s">
        <v>136</v>
      </c>
      <c r="AK254" t="s">
        <v>137</v>
      </c>
      <c r="AL254">
        <v>0</v>
      </c>
      <c r="AM254" t="s">
        <v>137</v>
      </c>
      <c r="AN254">
        <v>0</v>
      </c>
    </row>
    <row r="255" spans="1:42" ht="12.75">
      <c r="A255" s="2" t="str">
        <f>HYPERLINK("https://ibp.a2mac1.com/costing(costing:projects/details/8191/process/6972077)","Cutting")</f>
        <v>Cutting</v>
      </c>
      <c r="B255" t="s">
        <v>2695</v>
      </c>
      <c r="C255">
        <v>6972077</v>
      </c>
      <c r="D255">
        <v>5383624</v>
      </c>
      <c r="E255">
        <v>14.810331666666666</v>
      </c>
      <c r="F255">
        <v>0</v>
      </c>
      <c r="G255">
        <v>0</v>
      </c>
      <c r="H255">
        <v>0.031616522933333335</v>
      </c>
      <c r="I255" t="s">
        <v>137</v>
      </c>
      <c r="J255">
        <v>0.5371739333333333</v>
      </c>
      <c r="K255">
        <v>15.379122122933333</v>
      </c>
      <c r="L255">
        <v>0.016572532241005109</v>
      </c>
      <c r="M255">
        <v>0.099435193446030662</v>
      </c>
      <c r="N255">
        <v>15.478557316379364</v>
      </c>
      <c r="O255" t="s">
        <v>90</v>
      </c>
      <c r="P255">
        <v>0</v>
      </c>
      <c r="Q255" t="s">
        <v>90</v>
      </c>
      <c r="R255">
        <v>0</v>
      </c>
      <c r="S255" t="s">
        <v>90</v>
      </c>
      <c r="T255">
        <v>0</v>
      </c>
      <c r="U255">
        <v>15.478557316379364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23.47</v>
      </c>
      <c r="AB255">
        <v>1</v>
      </c>
      <c r="AC255">
        <v>0.10</v>
      </c>
      <c r="AD255">
        <v>0.20557651238448796</v>
      </c>
      <c r="AE255">
        <v>900</v>
      </c>
      <c r="AF255">
        <v>200000</v>
      </c>
      <c r="AG255">
        <v>16666.666666666668</v>
      </c>
      <c r="AH255">
        <v>1</v>
      </c>
      <c r="AI255">
        <v>1</v>
      </c>
      <c r="AJ255" t="s">
        <v>2693</v>
      </c>
      <c r="AK255" t="s">
        <v>137</v>
      </c>
      <c r="AL255">
        <v>0</v>
      </c>
      <c r="AM255" t="s">
        <v>137</v>
      </c>
      <c r="AN255">
        <v>0</v>
      </c>
    </row>
    <row r="256" spans="1:42" ht="12.75">
      <c r="A256" s="2" t="str">
        <f>HYPERLINK("https://ibp.a2mac1.com/costing(costing:projects/details/8191/process/6972078)","Sewing")</f>
        <v>Sewing</v>
      </c>
      <c r="C256">
        <v>6972078</v>
      </c>
      <c r="D256">
        <v>5383624</v>
      </c>
      <c r="E256">
        <v>0</v>
      </c>
      <c r="F256">
        <v>0</v>
      </c>
      <c r="G256">
        <v>0</v>
      </c>
      <c r="H256">
        <v>0</v>
      </c>
      <c r="I256" t="s">
        <v>137</v>
      </c>
      <c r="J256">
        <v>0</v>
      </c>
      <c r="K256">
        <v>0</v>
      </c>
      <c r="L256">
        <v>0.60303713195125241</v>
      </c>
      <c r="M256">
        <v>3.6182227917075149</v>
      </c>
      <c r="N256">
        <v>3.6182227917075149</v>
      </c>
      <c r="O256" t="s">
        <v>90</v>
      </c>
      <c r="P256">
        <v>0</v>
      </c>
      <c r="Q256" t="s">
        <v>90</v>
      </c>
      <c r="R256">
        <v>0</v>
      </c>
      <c r="S256" t="s">
        <v>90</v>
      </c>
      <c r="T256">
        <v>0</v>
      </c>
      <c r="U256">
        <v>3.6182227917075149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826.60</v>
      </c>
      <c r="AB256">
        <v>1</v>
      </c>
      <c r="AC256">
        <v>0.10</v>
      </c>
      <c r="AD256">
        <v>0.10389195236953569</v>
      </c>
      <c r="AE256">
        <v>900</v>
      </c>
      <c r="AF256">
        <v>200000</v>
      </c>
      <c r="AG256">
        <v>16666.666666666668</v>
      </c>
      <c r="AH256">
        <v>1</v>
      </c>
      <c r="AI256">
        <v>1</v>
      </c>
      <c r="AJ256" t="s">
        <v>2693</v>
      </c>
      <c r="AK256" t="s">
        <v>137</v>
      </c>
      <c r="AL256">
        <v>0</v>
      </c>
      <c r="AM256" t="s">
        <v>137</v>
      </c>
      <c r="AN256">
        <v>0</v>
      </c>
    </row>
    <row r="257" spans="1:42" ht="12.75">
      <c r="A257" s="2" t="str">
        <f>HYPERLINK("https://ibp.a2mac1.com/costing(costing:projects/details/8191/process/6972079)","Automated Process")</f>
        <v>Automated Process</v>
      </c>
      <c r="C257">
        <v>6972079</v>
      </c>
      <c r="D257">
        <v>5383625</v>
      </c>
      <c r="E257">
        <v>5.3075401470000001</v>
      </c>
      <c r="F257">
        <v>0</v>
      </c>
      <c r="G257">
        <v>0</v>
      </c>
      <c r="H257">
        <v>0.026923461798315791</v>
      </c>
      <c r="I257" t="s">
        <v>137</v>
      </c>
      <c r="J257">
        <v>0.18622947884210525</v>
      </c>
      <c r="K257">
        <v>5.5206930876404208</v>
      </c>
      <c r="L257">
        <v>0.046700627136922072</v>
      </c>
      <c r="M257">
        <v>0.28020376282153242</v>
      </c>
      <c r="N257">
        <v>5.8008968504619531</v>
      </c>
      <c r="O257" t="s">
        <v>90</v>
      </c>
      <c r="P257">
        <v>0</v>
      </c>
      <c r="Q257" t="s">
        <v>90</v>
      </c>
      <c r="R257">
        <v>0</v>
      </c>
      <c r="S257" t="s">
        <v>90</v>
      </c>
      <c r="T257">
        <v>0</v>
      </c>
      <c r="U257">
        <v>5.8008968504619531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40</v>
      </c>
      <c r="AB257">
        <v>1</v>
      </c>
      <c r="AC257">
        <v>0.50</v>
      </c>
      <c r="AD257">
        <v>0.50345253019720215</v>
      </c>
      <c r="AE257">
        <v>4041.90</v>
      </c>
      <c r="AF257">
        <v>200000</v>
      </c>
      <c r="AG257">
        <v>16666.666666666668</v>
      </c>
      <c r="AH257">
        <v>1</v>
      </c>
      <c r="AI257">
        <v>1</v>
      </c>
      <c r="AJ257" t="s">
        <v>136</v>
      </c>
      <c r="AK257" t="s">
        <v>137</v>
      </c>
      <c r="AL257">
        <v>0</v>
      </c>
      <c r="AM257" t="s">
        <v>137</v>
      </c>
      <c r="AN257">
        <v>0</v>
      </c>
    </row>
    <row r="258" spans="1:42" ht="12.75">
      <c r="A258" s="2" t="str">
        <f>HYPERLINK("https://ibp.a2mac1.com/costing(costing:projects/details/8191/process/6972113)","Automated Process")</f>
        <v>Automated Process</v>
      </c>
      <c r="C258">
        <v>6972113</v>
      </c>
      <c r="D258">
        <v>5383626</v>
      </c>
      <c r="E258">
        <v>2.4350395038095236</v>
      </c>
      <c r="F258">
        <v>6.0303599999999999</v>
      </c>
      <c r="G258">
        <v>0</v>
      </c>
      <c r="H258">
        <v>0.013140977486476191</v>
      </c>
      <c r="I258" t="s">
        <v>137</v>
      </c>
      <c r="J258">
        <v>0.090896089333333333</v>
      </c>
      <c r="K258">
        <v>8.7804991706293336</v>
      </c>
      <c r="L258">
        <v>0.46158022127768444</v>
      </c>
      <c r="M258">
        <v>2.7694813276661066</v>
      </c>
      <c r="N258">
        <v>11.54998049829544</v>
      </c>
      <c r="O258" t="s">
        <v>90</v>
      </c>
      <c r="P258">
        <v>0</v>
      </c>
      <c r="Q258" t="s">
        <v>90</v>
      </c>
      <c r="R258">
        <v>0</v>
      </c>
      <c r="S258" t="s">
        <v>90</v>
      </c>
      <c r="T258">
        <v>0</v>
      </c>
      <c r="U258">
        <v>11.54998049829544</v>
      </c>
      <c r="V258">
        <v>0</v>
      </c>
      <c r="W258">
        <v>0</v>
      </c>
      <c r="X258">
        <v>2.3621322143999999</v>
      </c>
      <c r="Y258">
        <v>0</v>
      </c>
      <c r="Z258">
        <v>2.3621322143999999</v>
      </c>
      <c r="AA258">
        <v>400</v>
      </c>
      <c r="AB258">
        <v>1</v>
      </c>
      <c r="AC258">
        <v>0.50</v>
      </c>
      <c r="AD258">
        <v>0.50345253019720215</v>
      </c>
      <c r="AE258">
        <v>4041.90</v>
      </c>
      <c r="AF258">
        <v>200000</v>
      </c>
      <c r="AG258">
        <v>16666.666666666668</v>
      </c>
      <c r="AH258">
        <v>1</v>
      </c>
      <c r="AI258">
        <v>1</v>
      </c>
      <c r="AJ258" t="s">
        <v>136</v>
      </c>
      <c r="AK258" t="s">
        <v>137</v>
      </c>
      <c r="AL258">
        <v>0.21106259999999999</v>
      </c>
      <c r="AM258" t="s">
        <v>137</v>
      </c>
      <c r="AN258">
        <v>0</v>
      </c>
    </row>
    <row r="259" spans="1:42" ht="12.75">
      <c r="A259" s="2" t="str">
        <f>HYPERLINK("https://ibp.a2mac1.com/costing(costing:projects/details/8191/process/6972114)","Automated Process")</f>
        <v>Automated Process</v>
      </c>
      <c r="C259">
        <v>6972114</v>
      </c>
      <c r="D259">
        <v>5383627</v>
      </c>
      <c r="E259">
        <v>0.083181735000000007</v>
      </c>
      <c r="F259">
        <v>0</v>
      </c>
      <c r="G259">
        <v>0</v>
      </c>
      <c r="H259">
        <v>0.00042195446526315791</v>
      </c>
      <c r="I259" t="s">
        <v>137</v>
      </c>
      <c r="J259">
        <v>0.0029186573684210526</v>
      </c>
      <c r="K259">
        <v>0.086522346833684205</v>
      </c>
      <c r="L259">
        <v>0.012127327625191876</v>
      </c>
      <c r="M259">
        <v>0.072763965751151252</v>
      </c>
      <c r="N259">
        <v>0.15928631258483547</v>
      </c>
      <c r="O259" t="s">
        <v>90</v>
      </c>
      <c r="P259">
        <v>0</v>
      </c>
      <c r="Q259" t="s">
        <v>90</v>
      </c>
      <c r="R259">
        <v>0</v>
      </c>
      <c r="S259" t="s">
        <v>90</v>
      </c>
      <c r="T259">
        <v>0</v>
      </c>
      <c r="U259">
        <v>0.15928631258483547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10</v>
      </c>
      <c r="AB259">
        <v>1</v>
      </c>
      <c r="AC259">
        <v>0.50</v>
      </c>
      <c r="AD259">
        <v>0.50345253019720215</v>
      </c>
      <c r="AE259">
        <v>4041.90</v>
      </c>
      <c r="AF259">
        <v>200000</v>
      </c>
      <c r="AG259">
        <v>16666.666666666668</v>
      </c>
      <c r="AH259">
        <v>1</v>
      </c>
      <c r="AI259">
        <v>1</v>
      </c>
      <c r="AJ259" t="s">
        <v>136</v>
      </c>
      <c r="AK259" t="s">
        <v>137</v>
      </c>
      <c r="AL259">
        <v>0</v>
      </c>
      <c r="AM259" t="s">
        <v>137</v>
      </c>
      <c r="AN259">
        <v>0</v>
      </c>
    </row>
    <row r="260" spans="1:42" ht="12.75">
      <c r="A260" s="2" t="str">
        <f>HYPERLINK("https://ibp.a2mac1.com/costing(costing:projects/details/8191/process/6972171)","Automated Process")</f>
        <v>Automated Process</v>
      </c>
      <c r="C260">
        <v>6972171</v>
      </c>
      <c r="D260">
        <v>5383891</v>
      </c>
      <c r="E260">
        <v>0.38772753599999998</v>
      </c>
      <c r="F260">
        <v>0</v>
      </c>
      <c r="G260">
        <v>0</v>
      </c>
      <c r="H260">
        <v>0.0019668183781052632</v>
      </c>
      <c r="I260" t="s">
        <v>137</v>
      </c>
      <c r="J260">
        <v>0.013604474947368422</v>
      </c>
      <c r="K260">
        <v>0.40329882932547367</v>
      </c>
      <c r="L260">
        <v>0.01272715332886514</v>
      </c>
      <c r="M260">
        <v>0.076362919973190835</v>
      </c>
      <c r="N260">
        <v>0.47966174929866451</v>
      </c>
      <c r="O260" t="s">
        <v>90</v>
      </c>
      <c r="P260">
        <v>0</v>
      </c>
      <c r="Q260" t="s">
        <v>90</v>
      </c>
      <c r="R260">
        <v>0</v>
      </c>
      <c r="S260" t="s">
        <v>90</v>
      </c>
      <c r="T260">
        <v>0</v>
      </c>
      <c r="U260">
        <v>0.47966174929866451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60</v>
      </c>
      <c r="AB260">
        <v>1</v>
      </c>
      <c r="AC260">
        <v>0.50</v>
      </c>
      <c r="AD260">
        <v>0.50345253019720215</v>
      </c>
      <c r="AE260">
        <v>739.80</v>
      </c>
      <c r="AF260">
        <v>200000</v>
      </c>
      <c r="AG260">
        <v>16666.666666666668</v>
      </c>
      <c r="AH260">
        <v>1</v>
      </c>
      <c r="AI260">
        <v>1</v>
      </c>
      <c r="AJ260" t="s">
        <v>136</v>
      </c>
      <c r="AK260" t="s">
        <v>137</v>
      </c>
      <c r="AL260">
        <v>0</v>
      </c>
      <c r="AM260" t="s">
        <v>137</v>
      </c>
      <c r="AN260">
        <v>0</v>
      </c>
    </row>
    <row r="261" spans="1:42" ht="12.75">
      <c r="A261" s="2" t="str">
        <f>HYPERLINK("https://ibp.a2mac1.com/costing(costing:projects/details/8191/process/6972172)","Automated Process")</f>
        <v>Automated Process</v>
      </c>
      <c r="C261">
        <v>6972172</v>
      </c>
      <c r="D261">
        <v>5383892</v>
      </c>
      <c r="E261">
        <v>0.13486752299999999</v>
      </c>
      <c r="F261">
        <v>0</v>
      </c>
      <c r="G261">
        <v>0</v>
      </c>
      <c r="H261">
        <v>0.00068414001642105263</v>
      </c>
      <c r="I261" t="s">
        <v>137</v>
      </c>
      <c r="J261">
        <v>0.0047321937894736843</v>
      </c>
      <c r="K261">
        <v>0.14028385680589472</v>
      </c>
      <c r="L261">
        <v>0.0058968932822911369</v>
      </c>
      <c r="M261">
        <v>0.035381359693746825</v>
      </c>
      <c r="N261">
        <v>0.17566521649964156</v>
      </c>
      <c r="O261" t="s">
        <v>90</v>
      </c>
      <c r="P261">
        <v>0</v>
      </c>
      <c r="Q261" t="s">
        <v>90</v>
      </c>
      <c r="R261">
        <v>0</v>
      </c>
      <c r="S261" t="s">
        <v>90</v>
      </c>
      <c r="T261">
        <v>0</v>
      </c>
      <c r="U261">
        <v>0.17566521649964156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60</v>
      </c>
      <c r="AB261">
        <v>1</v>
      </c>
      <c r="AC261">
        <v>0.50</v>
      </c>
      <c r="AD261">
        <v>0.50345253019720215</v>
      </c>
      <c r="AE261">
        <v>342.90</v>
      </c>
      <c r="AF261">
        <v>200000</v>
      </c>
      <c r="AG261">
        <v>16666.666666666668</v>
      </c>
      <c r="AH261">
        <v>1</v>
      </c>
      <c r="AI261">
        <v>1</v>
      </c>
      <c r="AJ261" t="s">
        <v>136</v>
      </c>
      <c r="AK261" t="s">
        <v>137</v>
      </c>
      <c r="AL261">
        <v>0</v>
      </c>
      <c r="AM261" t="s">
        <v>137</v>
      </c>
      <c r="AN261">
        <v>0</v>
      </c>
    </row>
    <row r="262" spans="1:42" ht="12.75">
      <c r="A262" s="2" t="str">
        <f>HYPERLINK("https://ibp.a2mac1.com/costing(costing:projects/details/8191/process/6972173)","Automated Process")</f>
        <v>Automated Process</v>
      </c>
      <c r="C262">
        <v>6972173</v>
      </c>
      <c r="D262">
        <v>5383893</v>
      </c>
      <c r="E262">
        <v>0.124525632</v>
      </c>
      <c r="F262">
        <v>0</v>
      </c>
      <c r="G262">
        <v>0</v>
      </c>
      <c r="H262">
        <v>0.00063167889515789474</v>
      </c>
      <c r="I262" t="s">
        <v>137</v>
      </c>
      <c r="J262">
        <v>0.0043693204210526315</v>
      </c>
      <c r="K262">
        <v>0.12952663131621053</v>
      </c>
      <c r="L262">
        <v>0.0040856339258046048</v>
      </c>
      <c r="M262">
        <v>0.024513803554827629</v>
      </c>
      <c r="N262">
        <v>0.15404043487103816</v>
      </c>
      <c r="O262" t="s">
        <v>90</v>
      </c>
      <c r="P262">
        <v>0</v>
      </c>
      <c r="Q262" t="s">
        <v>90</v>
      </c>
      <c r="R262">
        <v>0</v>
      </c>
      <c r="S262" t="s">
        <v>90</v>
      </c>
      <c r="T262">
        <v>0</v>
      </c>
      <c r="U262">
        <v>0.15404043487103816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60</v>
      </c>
      <c r="AB262">
        <v>1</v>
      </c>
      <c r="AC262">
        <v>0.50</v>
      </c>
      <c r="AD262">
        <v>0.50345253019720215</v>
      </c>
      <c r="AE262">
        <v>237.60</v>
      </c>
      <c r="AF262">
        <v>200000</v>
      </c>
      <c r="AG262">
        <v>16666.666666666668</v>
      </c>
      <c r="AH262">
        <v>1</v>
      </c>
      <c r="AI262">
        <v>1</v>
      </c>
      <c r="AJ262" t="s">
        <v>136</v>
      </c>
      <c r="AK262" t="s">
        <v>137</v>
      </c>
      <c r="AL262">
        <v>0</v>
      </c>
      <c r="AM262" t="s">
        <v>137</v>
      </c>
      <c r="AN262">
        <v>0</v>
      </c>
    </row>
    <row r="263" spans="1:42" ht="12.75">
      <c r="A263" s="2" t="str">
        <f>HYPERLINK("https://ibp.a2mac1.com/costing(costing:projects/details/8191/process/6972115)","Cutting")</f>
        <v>Cutting</v>
      </c>
      <c r="B263" t="s">
        <v>2695</v>
      </c>
      <c r="C263">
        <v>6972115</v>
      </c>
      <c r="D263">
        <v>5383630</v>
      </c>
      <c r="E263">
        <v>9.0427776000000009</v>
      </c>
      <c r="F263">
        <v>0</v>
      </c>
      <c r="G263">
        <v>0</v>
      </c>
      <c r="H263">
        <v>0.019920421930666666</v>
      </c>
      <c r="I263" t="s">
        <v>137</v>
      </c>
      <c r="J263">
        <v>0.33845377066666665</v>
      </c>
      <c r="K263">
        <v>9.401151792597334</v>
      </c>
      <c r="L263">
        <v>0.012926094572625575</v>
      </c>
      <c r="M263">
        <v>0.077556567435753454</v>
      </c>
      <c r="N263">
        <v>9.478708360033087</v>
      </c>
      <c r="O263" t="s">
        <v>90</v>
      </c>
      <c r="P263">
        <v>0</v>
      </c>
      <c r="Q263" t="s">
        <v>90</v>
      </c>
      <c r="R263">
        <v>0</v>
      </c>
      <c r="S263" t="s">
        <v>90</v>
      </c>
      <c r="T263">
        <v>0</v>
      </c>
      <c r="U263">
        <v>9.478708360033087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18.29</v>
      </c>
      <c r="AB263">
        <v>1</v>
      </c>
      <c r="AC263">
        <v>0.10</v>
      </c>
      <c r="AD263">
        <v>0.20557651238448796</v>
      </c>
      <c r="AE263">
        <v>900</v>
      </c>
      <c r="AF263">
        <v>200000</v>
      </c>
      <c r="AG263">
        <v>16666.666666666668</v>
      </c>
      <c r="AH263">
        <v>1</v>
      </c>
      <c r="AI263">
        <v>1</v>
      </c>
      <c r="AJ263" t="s">
        <v>2693</v>
      </c>
      <c r="AK263" t="s">
        <v>137</v>
      </c>
      <c r="AL263">
        <v>0</v>
      </c>
      <c r="AM263" t="s">
        <v>137</v>
      </c>
      <c r="AN263">
        <v>0</v>
      </c>
    </row>
    <row r="264" spans="1:42" ht="12.75">
      <c r="A264" s="2" t="str">
        <f>HYPERLINK("https://ibp.a2mac1.com/costing(costing:projects/details/8191/process/6972116)","Sewing")</f>
        <v>Sewing</v>
      </c>
      <c r="C264">
        <v>6972116</v>
      </c>
      <c r="D264">
        <v>5383630</v>
      </c>
      <c r="E264">
        <v>0</v>
      </c>
      <c r="F264">
        <v>0</v>
      </c>
      <c r="G264">
        <v>0</v>
      </c>
      <c r="H264">
        <v>0</v>
      </c>
      <c r="I264" t="s">
        <v>137</v>
      </c>
      <c r="J264">
        <v>0</v>
      </c>
      <c r="K264">
        <v>0</v>
      </c>
      <c r="L264">
        <v>0.46521428788402464</v>
      </c>
      <c r="M264">
        <v>2.7912857273041478</v>
      </c>
      <c r="N264">
        <v>2.7912857273041478</v>
      </c>
      <c r="O264" t="s">
        <v>90</v>
      </c>
      <c r="P264">
        <v>0</v>
      </c>
      <c r="Q264" t="s">
        <v>90</v>
      </c>
      <c r="R264">
        <v>0</v>
      </c>
      <c r="S264" t="s">
        <v>90</v>
      </c>
      <c r="T264">
        <v>0</v>
      </c>
      <c r="U264">
        <v>2.7912857273041478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637.67</v>
      </c>
      <c r="AB264">
        <v>1</v>
      </c>
      <c r="AC264">
        <v>0.10</v>
      </c>
      <c r="AD264">
        <v>0.10389195236953569</v>
      </c>
      <c r="AE264">
        <v>900</v>
      </c>
      <c r="AF264">
        <v>200000</v>
      </c>
      <c r="AG264">
        <v>16666.666666666668</v>
      </c>
      <c r="AH264">
        <v>1</v>
      </c>
      <c r="AI264">
        <v>1</v>
      </c>
      <c r="AJ264" t="s">
        <v>2693</v>
      </c>
      <c r="AK264" t="s">
        <v>137</v>
      </c>
      <c r="AL264">
        <v>0</v>
      </c>
      <c r="AM264" t="s">
        <v>137</v>
      </c>
      <c r="AN264">
        <v>0</v>
      </c>
    </row>
    <row r="265" spans="1:42" ht="12.75">
      <c r="A265" s="2" t="str">
        <f>HYPERLINK("https://ibp.a2mac1.com/costing(costing:projects/details/8191/process/6972117)","Automated Process")</f>
        <v>Automated Process</v>
      </c>
      <c r="C265">
        <v>6972117</v>
      </c>
      <c r="D265">
        <v>5383631</v>
      </c>
      <c r="E265">
        <v>5.06999493</v>
      </c>
      <c r="F265">
        <v>0</v>
      </c>
      <c r="G265">
        <v>0</v>
      </c>
      <c r="H265">
        <v>0.025718470522105262</v>
      </c>
      <c r="I265" t="s">
        <v>137</v>
      </c>
      <c r="J265">
        <v>0.17789455894736841</v>
      </c>
      <c r="K265">
        <v>5.2736079594694738</v>
      </c>
      <c r="L265">
        <v>0.044599252838539744</v>
      </c>
      <c r="M265">
        <v>0.26759551703123846</v>
      </c>
      <c r="N265">
        <v>5.5412034765007121</v>
      </c>
      <c r="O265" t="s">
        <v>90</v>
      </c>
      <c r="P265">
        <v>0</v>
      </c>
      <c r="Q265" t="s">
        <v>90</v>
      </c>
      <c r="R265">
        <v>0</v>
      </c>
      <c r="S265" t="s">
        <v>90</v>
      </c>
      <c r="T265">
        <v>0</v>
      </c>
      <c r="U265">
        <v>5.5412034765007121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40</v>
      </c>
      <c r="AB265">
        <v>1</v>
      </c>
      <c r="AC265">
        <v>0.50</v>
      </c>
      <c r="AD265">
        <v>0.50345253019720215</v>
      </c>
      <c r="AE265">
        <v>3861</v>
      </c>
      <c r="AF265">
        <v>200000</v>
      </c>
      <c r="AG265">
        <v>16666.666666666668</v>
      </c>
      <c r="AH265">
        <v>1</v>
      </c>
      <c r="AI265">
        <v>1</v>
      </c>
      <c r="AJ265" t="s">
        <v>136</v>
      </c>
      <c r="AK265" t="s">
        <v>137</v>
      </c>
      <c r="AL265">
        <v>0</v>
      </c>
      <c r="AM265" t="s">
        <v>137</v>
      </c>
      <c r="AN265">
        <v>0</v>
      </c>
    </row>
    <row r="266" spans="1:42" ht="12.75">
      <c r="A266" s="2" t="str">
        <f>HYPERLINK("https://ibp.a2mac1.com/costing(costing:projects/details/8191/process/6972118)","Automated Process")</f>
        <v>Automated Process</v>
      </c>
      <c r="C266">
        <v>6972118</v>
      </c>
      <c r="D266">
        <v>5383632</v>
      </c>
      <c r="E266">
        <v>3.6061216699999998</v>
      </c>
      <c r="F266">
        <v>0</v>
      </c>
      <c r="G266">
        <v>0</v>
      </c>
      <c r="H266">
        <v>0.021038418412</v>
      </c>
      <c r="I266" t="s">
        <v>137</v>
      </c>
      <c r="J266">
        <v>0.145522657</v>
      </c>
      <c r="K266">
        <v>3.7726827454120002</v>
      </c>
      <c r="L266">
        <v>0.26566485737787998</v>
      </c>
      <c r="M266">
        <v>1.59398914426728</v>
      </c>
      <c r="N266">
        <v>5.3666718896792798</v>
      </c>
      <c r="O266" t="s">
        <v>90</v>
      </c>
      <c r="P266">
        <v>0</v>
      </c>
      <c r="Q266" t="s">
        <v>90</v>
      </c>
      <c r="R266">
        <v>0</v>
      </c>
      <c r="S266" t="s">
        <v>90</v>
      </c>
      <c r="T266">
        <v>0</v>
      </c>
      <c r="U266">
        <v>5.3666718896792798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230</v>
      </c>
      <c r="AB266">
        <v>1</v>
      </c>
      <c r="AC266">
        <v>0.50</v>
      </c>
      <c r="AD266">
        <v>0.50345253019720215</v>
      </c>
      <c r="AE266">
        <v>4041.90</v>
      </c>
      <c r="AF266">
        <v>200000</v>
      </c>
      <c r="AG266">
        <v>16666.666666666668</v>
      </c>
      <c r="AH266">
        <v>1</v>
      </c>
      <c r="AI266">
        <v>1</v>
      </c>
      <c r="AJ266" t="s">
        <v>136</v>
      </c>
      <c r="AK266" t="s">
        <v>137</v>
      </c>
      <c r="AL266">
        <v>0</v>
      </c>
      <c r="AM266" t="s">
        <v>137</v>
      </c>
      <c r="AN266">
        <v>0</v>
      </c>
    </row>
    <row r="267" spans="1:42" ht="12.75">
      <c r="A267" s="2" t="str">
        <f>HYPERLINK("https://ibp.a2mac1.com/costing(costing:projects/details/8191/process/6972119)","Automated Process")</f>
        <v>Automated Process</v>
      </c>
      <c r="C267">
        <v>6972119</v>
      </c>
      <c r="D267">
        <v>5383633</v>
      </c>
      <c r="E267">
        <v>1.2286470678461539</v>
      </c>
      <c r="F267">
        <v>0</v>
      </c>
      <c r="G267">
        <v>0</v>
      </c>
      <c r="H267">
        <v>0.006696992361230769</v>
      </c>
      <c r="I267" t="s">
        <v>137</v>
      </c>
      <c r="J267">
        <v>0.046323069692307692</v>
      </c>
      <c r="K267">
        <v>1.2816671298996922</v>
      </c>
      <c r="L267">
        <v>0.1273716593309592</v>
      </c>
      <c r="M267">
        <v>0.76422995598575516</v>
      </c>
      <c r="N267">
        <v>2.0458970858854477</v>
      </c>
      <c r="O267" t="s">
        <v>90</v>
      </c>
      <c r="P267">
        <v>0</v>
      </c>
      <c r="Q267" t="s">
        <v>90</v>
      </c>
      <c r="R267">
        <v>0</v>
      </c>
      <c r="S267" t="s">
        <v>90</v>
      </c>
      <c r="T267">
        <v>0</v>
      </c>
      <c r="U267">
        <v>2.0458970858854477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110</v>
      </c>
      <c r="AB267">
        <v>1</v>
      </c>
      <c r="AC267">
        <v>0.50</v>
      </c>
      <c r="AD267">
        <v>0.50345253019720215</v>
      </c>
      <c r="AE267">
        <v>4041.90</v>
      </c>
      <c r="AF267">
        <v>200000</v>
      </c>
      <c r="AG267">
        <v>16666.666666666668</v>
      </c>
      <c r="AH267">
        <v>1</v>
      </c>
      <c r="AI267">
        <v>1</v>
      </c>
      <c r="AJ267" t="s">
        <v>136</v>
      </c>
      <c r="AK267" t="s">
        <v>137</v>
      </c>
      <c r="AL267">
        <v>0</v>
      </c>
      <c r="AM267" t="s">
        <v>137</v>
      </c>
      <c r="AN267">
        <v>0</v>
      </c>
    </row>
    <row r="268" spans="1:42" ht="12.75">
      <c r="A268" s="2" t="str">
        <f>HYPERLINK("https://ibp.a2mac1.com/costing(costing:projects/details/8191/process/6972174)","Stamping")</f>
        <v>Stamping</v>
      </c>
      <c r="C268">
        <v>6972174</v>
      </c>
      <c r="D268">
        <v>5383896</v>
      </c>
      <c r="E268">
        <v>0.066696223999999998</v>
      </c>
      <c r="F268">
        <v>0</v>
      </c>
      <c r="G268">
        <v>0</v>
      </c>
      <c r="H268">
        <v>1.6885119999999999E-06</v>
      </c>
      <c r="I268" t="s">
        <v>137</v>
      </c>
      <c r="J268">
        <v>0.0029548959999999998</v>
      </c>
      <c r="K268">
        <v>0.069652808511999995</v>
      </c>
      <c r="L268">
        <v>0.00719730191829741</v>
      </c>
      <c r="M268">
        <v>0.04318381150978446</v>
      </c>
      <c r="N268">
        <v>0.11283662002178446</v>
      </c>
      <c r="O268" t="s">
        <v>138</v>
      </c>
      <c r="P268">
        <v>0.0041791685107199997</v>
      </c>
      <c r="Q268" t="s">
        <v>138</v>
      </c>
      <c r="R268">
        <v>0.0025910286905870676</v>
      </c>
      <c r="S268" t="s">
        <v>139</v>
      </c>
      <c r="T268">
        <v>0.013540394402614135</v>
      </c>
      <c r="U268">
        <v>0.13314721162570567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1.71021</v>
      </c>
      <c r="AB268">
        <v>1</v>
      </c>
      <c r="AC268">
        <v>0</v>
      </c>
      <c r="AD268">
        <v>0.0019999600007999841</v>
      </c>
      <c r="AE268">
        <v>1800</v>
      </c>
      <c r="AF268">
        <v>200000</v>
      </c>
      <c r="AG268">
        <v>16666.666666666668</v>
      </c>
      <c r="AH268">
        <v>1</v>
      </c>
      <c r="AI268">
        <v>1</v>
      </c>
      <c r="AJ268" t="s">
        <v>136</v>
      </c>
      <c r="AK268" t="s">
        <v>137</v>
      </c>
      <c r="AL268">
        <v>0</v>
      </c>
      <c r="AM268" t="s">
        <v>137</v>
      </c>
      <c r="AN268">
        <v>0</v>
      </c>
    </row>
    <row r="269" spans="1:42" ht="12.75">
      <c r="A269" s="2" t="str">
        <f>HYPERLINK("https://ibp.a2mac1.com/costing(costing:projects/details/8191/process/6972175)","Cleaning")</f>
        <v>Cleaning</v>
      </c>
      <c r="C269">
        <v>6972175</v>
      </c>
      <c r="D269">
        <v>5383896</v>
      </c>
      <c r="E269">
        <v>0</v>
      </c>
      <c r="F269">
        <v>0</v>
      </c>
      <c r="G269">
        <v>0</v>
      </c>
      <c r="H269">
        <v>0</v>
      </c>
      <c r="I269" t="s">
        <v>137</v>
      </c>
      <c r="J269">
        <v>0</v>
      </c>
      <c r="K269">
        <v>0</v>
      </c>
      <c r="L269">
        <v>0.013359811301028994</v>
      </c>
      <c r="M269">
        <v>0.08015886780617397</v>
      </c>
      <c r="N269">
        <v>0.08015886780617397</v>
      </c>
      <c r="O269" t="s">
        <v>138</v>
      </c>
      <c r="P269">
        <v>0</v>
      </c>
      <c r="Q269" t="s">
        <v>138</v>
      </c>
      <c r="R269">
        <v>0.0048095320683704378</v>
      </c>
      <c r="S269" t="s">
        <v>139</v>
      </c>
      <c r="T269">
        <v>0.0096190641367408757</v>
      </c>
      <c r="U269">
        <v>0.094587464011285274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10</v>
      </c>
      <c r="AB269">
        <v>1</v>
      </c>
      <c r="AC269">
        <v>0</v>
      </c>
      <c r="AD269">
        <v>0.0019999600007999841</v>
      </c>
      <c r="AE269">
        <v>0</v>
      </c>
      <c r="AF269">
        <v>200000</v>
      </c>
      <c r="AG269">
        <v>16666.666666666668</v>
      </c>
      <c r="AH269">
        <v>1</v>
      </c>
      <c r="AI269">
        <v>1</v>
      </c>
      <c r="AJ269" t="s">
        <v>136</v>
      </c>
      <c r="AK269" t="s">
        <v>137</v>
      </c>
      <c r="AL269">
        <v>0</v>
      </c>
      <c r="AM269" t="s">
        <v>137</v>
      </c>
      <c r="AN269">
        <v>0</v>
      </c>
    </row>
    <row r="270" spans="1:42" ht="12.75">
      <c r="A270" s="2" t="str">
        <f>HYPERLINK("https://ibp.a2mac1.com/costing(costing:projects/details/8191/process/6972176)","Packaging")</f>
        <v>Packaging</v>
      </c>
      <c r="C270">
        <v>6972176</v>
      </c>
      <c r="D270">
        <v>5383896</v>
      </c>
      <c r="E270">
        <v>0</v>
      </c>
      <c r="F270">
        <v>0</v>
      </c>
      <c r="G270">
        <v>0</v>
      </c>
      <c r="H270">
        <v>0</v>
      </c>
      <c r="I270" t="s">
        <v>137</v>
      </c>
      <c r="J270">
        <v>0</v>
      </c>
      <c r="K270">
        <v>0</v>
      </c>
      <c r="L270">
        <v>0.0060645912726076355</v>
      </c>
      <c r="M270">
        <v>0.036387547635645813</v>
      </c>
      <c r="N270">
        <v>0.036387547635645813</v>
      </c>
      <c r="O270" t="s">
        <v>138</v>
      </c>
      <c r="P270">
        <v>0</v>
      </c>
      <c r="Q270" t="s">
        <v>138</v>
      </c>
      <c r="R270">
        <v>0.002183252858138749</v>
      </c>
      <c r="S270" t="s">
        <v>139</v>
      </c>
      <c r="T270">
        <v>0.0043665057162774979</v>
      </c>
      <c r="U270">
        <v>0.042937306210062059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8</v>
      </c>
      <c r="AB270">
        <v>1</v>
      </c>
      <c r="AC270">
        <v>0</v>
      </c>
      <c r="AD270">
        <v>0.0019999600007999841</v>
      </c>
      <c r="AE270">
        <v>900</v>
      </c>
      <c r="AF270">
        <v>200000</v>
      </c>
      <c r="AG270">
        <v>16666.666666666668</v>
      </c>
      <c r="AH270">
        <v>1</v>
      </c>
      <c r="AI270">
        <v>1</v>
      </c>
      <c r="AJ270" t="s">
        <v>136</v>
      </c>
      <c r="AK270" t="s">
        <v>137</v>
      </c>
      <c r="AL270">
        <v>0</v>
      </c>
      <c r="AM270" t="s">
        <v>137</v>
      </c>
      <c r="AN270">
        <v>0</v>
      </c>
    </row>
    <row r="271" spans="1:42" ht="12.75">
      <c r="A271" s="2" t="str">
        <f>HYPERLINK("https://ibp.a2mac1.com/costing(costing:projects/details/8191/process/6972177)","Top Layer Cutting")</f>
        <v>Top Layer Cutting</v>
      </c>
      <c r="B271" t="s">
        <v>2861</v>
      </c>
      <c r="C271">
        <v>6972177</v>
      </c>
      <c r="D271">
        <v>5383898</v>
      </c>
      <c r="E271">
        <v>1.3625</v>
      </c>
      <c r="F271">
        <v>0</v>
      </c>
      <c r="G271">
        <v>0</v>
      </c>
      <c r="H271">
        <v>0.056107749999999998</v>
      </c>
      <c r="I271" t="s">
        <v>137</v>
      </c>
      <c r="J271">
        <v>0.047687500000000001</v>
      </c>
      <c r="K271">
        <v>1.4662952499999999</v>
      </c>
      <c r="L271">
        <v>0.021902568595887559</v>
      </c>
      <c r="M271">
        <v>0.13141541157532535</v>
      </c>
      <c r="N271">
        <v>1.5977106615753254</v>
      </c>
      <c r="O271" t="s">
        <v>90</v>
      </c>
      <c r="P271">
        <v>0</v>
      </c>
      <c r="Q271" t="s">
        <v>90</v>
      </c>
      <c r="R271">
        <v>0</v>
      </c>
      <c r="S271" t="s">
        <v>90</v>
      </c>
      <c r="T271">
        <v>0</v>
      </c>
      <c r="U271">
        <v>1.5977106615753254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10</v>
      </c>
      <c r="AB271">
        <v>1</v>
      </c>
      <c r="AC271">
        <v>1</v>
      </c>
      <c r="AD271">
        <v>3.9551278357248507</v>
      </c>
      <c r="AE271">
        <v>360</v>
      </c>
      <c r="AF271">
        <v>200000</v>
      </c>
      <c r="AG271">
        <v>16666.666666666668</v>
      </c>
      <c r="AH271">
        <v>1</v>
      </c>
      <c r="AI271">
        <v>1</v>
      </c>
      <c r="AJ271" t="s">
        <v>136</v>
      </c>
      <c r="AK271" t="s">
        <v>137</v>
      </c>
      <c r="AL271">
        <v>0</v>
      </c>
      <c r="AM271" t="s">
        <v>137</v>
      </c>
      <c r="AN271">
        <v>0</v>
      </c>
    </row>
    <row r="272" spans="1:42" ht="12.75">
      <c r="A272" s="2" t="str">
        <f>HYPERLINK("https://ibp.a2mac1.com/costing(costing:projects/details/8191/process/6972178)","Bottom Layer Cutting")</f>
        <v>Bottom Layer Cutting</v>
      </c>
      <c r="B272" t="s">
        <v>2863</v>
      </c>
      <c r="C272">
        <v>6972178</v>
      </c>
      <c r="D272">
        <v>5383898</v>
      </c>
      <c r="E272">
        <v>1.3625</v>
      </c>
      <c r="F272">
        <v>0</v>
      </c>
      <c r="G272">
        <v>0</v>
      </c>
      <c r="H272">
        <v>0.041883249999999997</v>
      </c>
      <c r="I272" t="s">
        <v>137</v>
      </c>
      <c r="J272">
        <v>0.047687500000000001</v>
      </c>
      <c r="K272">
        <v>1.4520707500000001</v>
      </c>
      <c r="L272">
        <v>0.021682949686437639</v>
      </c>
      <c r="M272">
        <v>0.13009769811862584</v>
      </c>
      <c r="N272">
        <v>1.5821684481186258</v>
      </c>
      <c r="O272" t="s">
        <v>90</v>
      </c>
      <c r="P272">
        <v>0</v>
      </c>
      <c r="Q272" t="s">
        <v>90</v>
      </c>
      <c r="R272">
        <v>0</v>
      </c>
      <c r="S272" t="s">
        <v>90</v>
      </c>
      <c r="T272">
        <v>0</v>
      </c>
      <c r="U272">
        <v>1.5821684481186258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10</v>
      </c>
      <c r="AB272">
        <v>1</v>
      </c>
      <c r="AC272">
        <v>1</v>
      </c>
      <c r="AD272">
        <v>2.9823233793197121</v>
      </c>
      <c r="AE272">
        <v>360</v>
      </c>
      <c r="AF272">
        <v>200000</v>
      </c>
      <c r="AG272">
        <v>16666.666666666668</v>
      </c>
      <c r="AH272">
        <v>1</v>
      </c>
      <c r="AI272">
        <v>1</v>
      </c>
      <c r="AJ272" t="s">
        <v>136</v>
      </c>
      <c r="AK272" t="s">
        <v>137</v>
      </c>
      <c r="AL272">
        <v>0</v>
      </c>
      <c r="AM272" t="s">
        <v>137</v>
      </c>
      <c r="AN272">
        <v>0</v>
      </c>
    </row>
    <row r="273" spans="1:42" ht="12.75">
      <c r="A273" s="2" t="str">
        <f>HYPERLINK("https://ibp.a2mac1.com/costing(costing:projects/details/8191/process/6972179)","Cushion Laying")</f>
        <v>Cushion Laying</v>
      </c>
      <c r="B273" t="s">
        <v>2865</v>
      </c>
      <c r="C273">
        <v>6972179</v>
      </c>
      <c r="D273">
        <v>5383898</v>
      </c>
      <c r="E273">
        <v>0</v>
      </c>
      <c r="F273">
        <v>0</v>
      </c>
      <c r="G273">
        <v>0</v>
      </c>
      <c r="H273">
        <v>0</v>
      </c>
      <c r="I273" t="s">
        <v>137</v>
      </c>
      <c r="J273">
        <v>0</v>
      </c>
      <c r="K273">
        <v>0</v>
      </c>
      <c r="L273">
        <v>0.0040709887537373627</v>
      </c>
      <c r="M273">
        <v>0.024425932522424174</v>
      </c>
      <c r="N273">
        <v>0.024425932522424174</v>
      </c>
      <c r="O273" t="s">
        <v>90</v>
      </c>
      <c r="P273">
        <v>0</v>
      </c>
      <c r="Q273" t="s">
        <v>90</v>
      </c>
      <c r="R273">
        <v>0</v>
      </c>
      <c r="S273" t="s">
        <v>90</v>
      </c>
      <c r="T273">
        <v>0</v>
      </c>
      <c r="U273">
        <v>0.024425932522424174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15</v>
      </c>
      <c r="AB273">
        <v>1</v>
      </c>
      <c r="AC273">
        <v>1</v>
      </c>
      <c r="AD273">
        <v>2.001136786813273</v>
      </c>
      <c r="AE273">
        <v>900</v>
      </c>
      <c r="AF273">
        <v>200000</v>
      </c>
      <c r="AG273">
        <v>16666.666666666668</v>
      </c>
      <c r="AH273">
        <v>1</v>
      </c>
      <c r="AI273">
        <v>1</v>
      </c>
      <c r="AJ273" t="s">
        <v>136</v>
      </c>
      <c r="AK273" t="s">
        <v>137</v>
      </c>
      <c r="AL273">
        <v>0</v>
      </c>
      <c r="AM273" t="s">
        <v>137</v>
      </c>
      <c r="AN273">
        <v>0</v>
      </c>
    </row>
    <row r="274" spans="1:42" ht="12.75">
      <c r="A274" s="2" t="str">
        <f>HYPERLINK("https://ibp.a2mac1.com/costing(costing:projects/details/8191/process/6972180)","Sewing bag")</f>
        <v>Sewing bag</v>
      </c>
      <c r="B274" t="s">
        <v>2867</v>
      </c>
      <c r="C274">
        <v>6972180</v>
      </c>
      <c r="D274">
        <v>5383898</v>
      </c>
      <c r="E274">
        <v>0</v>
      </c>
      <c r="F274">
        <v>0</v>
      </c>
      <c r="G274">
        <v>0</v>
      </c>
      <c r="H274">
        <v>0</v>
      </c>
      <c r="I274" t="s">
        <v>137</v>
      </c>
      <c r="J274">
        <v>0</v>
      </c>
      <c r="K274">
        <v>0</v>
      </c>
      <c r="L274">
        <v>0.0027808872803128477</v>
      </c>
      <c r="M274">
        <v>0.016685323681877088</v>
      </c>
      <c r="N274">
        <v>0.016685323681877088</v>
      </c>
      <c r="O274" t="s">
        <v>90</v>
      </c>
      <c r="P274">
        <v>0</v>
      </c>
      <c r="Q274" t="s">
        <v>90</v>
      </c>
      <c r="R274">
        <v>0</v>
      </c>
      <c r="S274" t="s">
        <v>90</v>
      </c>
      <c r="T274">
        <v>0</v>
      </c>
      <c r="U274">
        <v>0.016685323681877088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2.9483999999999999</v>
      </c>
      <c r="AB274">
        <v>1</v>
      </c>
      <c r="AC274">
        <v>1</v>
      </c>
      <c r="AD274">
        <v>1.0057812623742775</v>
      </c>
      <c r="AE274">
        <v>600</v>
      </c>
      <c r="AF274">
        <v>200000</v>
      </c>
      <c r="AG274">
        <v>16666.666666666668</v>
      </c>
      <c r="AH274">
        <v>1</v>
      </c>
      <c r="AI274">
        <v>1</v>
      </c>
      <c r="AJ274" t="s">
        <v>136</v>
      </c>
      <c r="AK274" t="s">
        <v>137</v>
      </c>
      <c r="AL274">
        <v>0</v>
      </c>
      <c r="AM274" t="s">
        <v>137</v>
      </c>
      <c r="AN274">
        <v>0</v>
      </c>
    </row>
    <row r="275" spans="1:42" ht="12.75">
      <c r="A275" s="2" t="str">
        <f>HYPERLINK("https://ibp.a2mac1.com/costing(costing:projects/details/8191/process/6972121)","Assembly ")</f>
        <v xml:space="preserve">Assembly </v>
      </c>
      <c r="C275">
        <v>6972121</v>
      </c>
      <c r="D275">
        <v>5383640</v>
      </c>
      <c r="E275">
        <v>0</v>
      </c>
      <c r="F275">
        <v>0</v>
      </c>
      <c r="G275">
        <v>0</v>
      </c>
      <c r="H275">
        <v>0</v>
      </c>
      <c r="I275" t="s">
        <v>137</v>
      </c>
      <c r="J275">
        <v>0</v>
      </c>
      <c r="K275">
        <v>0</v>
      </c>
      <c r="L275">
        <v>0.16203778397262447</v>
      </c>
      <c r="M275">
        <v>0.97222670383574683</v>
      </c>
      <c r="N275">
        <v>0.97222670383574683</v>
      </c>
      <c r="O275" t="s">
        <v>90</v>
      </c>
      <c r="P275">
        <v>0</v>
      </c>
      <c r="Q275" t="s">
        <v>90</v>
      </c>
      <c r="R275">
        <v>0</v>
      </c>
      <c r="S275" t="s">
        <v>90</v>
      </c>
      <c r="T275">
        <v>0</v>
      </c>
      <c r="U275">
        <v>0.97222670383574683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40</v>
      </c>
      <c r="AB275">
        <v>1</v>
      </c>
      <c r="AC275">
        <v>0.10</v>
      </c>
      <c r="AD275">
        <v>0.10987913295375087</v>
      </c>
      <c r="AE275">
        <v>1800</v>
      </c>
      <c r="AF275">
        <v>200000</v>
      </c>
      <c r="AG275">
        <v>10000</v>
      </c>
      <c r="AH275">
        <v>1</v>
      </c>
      <c r="AI275">
        <v>1</v>
      </c>
      <c r="AJ275" t="s">
        <v>79</v>
      </c>
      <c r="AK275" t="s">
        <v>137</v>
      </c>
      <c r="AL275">
        <v>0</v>
      </c>
      <c r="AM275" t="s">
        <v>137</v>
      </c>
      <c r="AN275">
        <v>0</v>
      </c>
      <c r="AP275">
        <v>0</v>
      </c>
    </row>
    <row r="276" spans="1:42" ht="12.75">
      <c r="A276" s="2" t="str">
        <f>HYPERLINK("https://ibp.a2mac1.com/costing(costing:projects/details/8191/process/6972120)","Automated Process")</f>
        <v>Automated Process</v>
      </c>
      <c r="C276">
        <v>6972120</v>
      </c>
      <c r="D276">
        <v>5383639</v>
      </c>
      <c r="E276">
        <v>0.028984137</v>
      </c>
      <c r="F276">
        <v>0</v>
      </c>
      <c r="G276">
        <v>0</v>
      </c>
      <c r="H276">
        <v>0.00014702730147368422</v>
      </c>
      <c r="I276" t="s">
        <v>137</v>
      </c>
      <c r="J276">
        <v>0.0010169872631578948</v>
      </c>
      <c r="K276">
        <v>0.030148151564631579</v>
      </c>
      <c r="L276">
        <v>0.00060344524918508596</v>
      </c>
      <c r="M276">
        <v>0.0036206714951105162</v>
      </c>
      <c r="N276">
        <v>0.033768823059742097</v>
      </c>
      <c r="O276" t="s">
        <v>138</v>
      </c>
      <c r="P276">
        <v>0.0018088890938778948</v>
      </c>
      <c r="Q276" t="s">
        <v>138</v>
      </c>
      <c r="R276">
        <v>0.00021724028970663097</v>
      </c>
      <c r="S276" t="s">
        <v>139</v>
      </c>
      <c r="T276">
        <v>0.0040522587671690518</v>
      </c>
      <c r="U276">
        <v>0.03984721121049567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60</v>
      </c>
      <c r="AB276">
        <v>1</v>
      </c>
      <c r="AC276">
        <v>0.50</v>
      </c>
      <c r="AD276">
        <v>0.50345253019720215</v>
      </c>
      <c r="AE276">
        <v>35.10</v>
      </c>
      <c r="AF276">
        <v>200000</v>
      </c>
      <c r="AG276">
        <v>16666.666666666668</v>
      </c>
      <c r="AH276">
        <v>1</v>
      </c>
      <c r="AI276">
        <v>1</v>
      </c>
      <c r="AJ276" t="s">
        <v>136</v>
      </c>
      <c r="AK276" t="s">
        <v>137</v>
      </c>
      <c r="AL276">
        <v>0</v>
      </c>
      <c r="AM276" t="s">
        <v>137</v>
      </c>
      <c r="AN276">
        <v>0</v>
      </c>
    </row>
    <row r="277" spans="1:42" ht="12.75">
      <c r="A277" s="2" t="str">
        <f>HYPERLINK("https://ibp.a2mac1.com/costing(costing:projects/details/8191/process/6972329)","Automated Process")</f>
        <v>Automated Process</v>
      </c>
      <c r="C277">
        <v>6972329</v>
      </c>
      <c r="D277">
        <v>5384056</v>
      </c>
      <c r="E277">
        <v>1.1434919859999999</v>
      </c>
      <c r="F277">
        <v>0</v>
      </c>
      <c r="G277">
        <v>0</v>
      </c>
      <c r="H277">
        <v>0.0063583180759999997</v>
      </c>
      <c r="I277" t="s">
        <v>137</v>
      </c>
      <c r="J277">
        <v>0.043980460999999998</v>
      </c>
      <c r="K277">
        <v>1.1938307650760001</v>
      </c>
      <c r="L277">
        <v>0.69206888468921912</v>
      </c>
      <c r="M277">
        <v>4.1524133081353147</v>
      </c>
      <c r="N277">
        <v>5.3462440732113148</v>
      </c>
      <c r="O277" t="s">
        <v>90</v>
      </c>
      <c r="P277">
        <v>0</v>
      </c>
      <c r="Q277" t="s">
        <v>90</v>
      </c>
      <c r="R277">
        <v>0</v>
      </c>
      <c r="S277" t="s">
        <v>90</v>
      </c>
      <c r="T277">
        <v>0</v>
      </c>
      <c r="U277">
        <v>5.3462440732113148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600</v>
      </c>
      <c r="AB277">
        <v>1</v>
      </c>
      <c r="AC277">
        <v>0.50</v>
      </c>
      <c r="AD277">
        <v>0.50345253019720215</v>
      </c>
      <c r="AE277">
        <v>4041.90</v>
      </c>
      <c r="AF277">
        <v>200000</v>
      </c>
      <c r="AG277">
        <v>16666.666666666668</v>
      </c>
      <c r="AH277">
        <v>1</v>
      </c>
      <c r="AI277">
        <v>1</v>
      </c>
      <c r="AJ277" t="s">
        <v>136</v>
      </c>
      <c r="AK277" t="s">
        <v>137</v>
      </c>
      <c r="AL277">
        <v>0</v>
      </c>
      <c r="AM277" t="s">
        <v>137</v>
      </c>
      <c r="AN277">
        <v>0</v>
      </c>
    </row>
    <row r="278" spans="1:42" ht="12.75">
      <c r="A278" s="2" t="str">
        <f>HYPERLINK("https://ibp.a2mac1.com/costing(costing:projects/details/8191/process/6972330)","Automated Process")</f>
        <v>Automated Process</v>
      </c>
      <c r="C278">
        <v>6972330</v>
      </c>
      <c r="D278">
        <v>5384057</v>
      </c>
      <c r="E278">
        <v>1.0666646900000001</v>
      </c>
      <c r="F278">
        <v>0</v>
      </c>
      <c r="G278">
        <v>0</v>
      </c>
      <c r="H278">
        <v>0.0059311245399999999</v>
      </c>
      <c r="I278" t="s">
        <v>137</v>
      </c>
      <c r="J278">
        <v>0.041025565</v>
      </c>
      <c r="K278">
        <v>1.1136213795400001</v>
      </c>
      <c r="L278">
        <v>0.69206888468921912</v>
      </c>
      <c r="M278">
        <v>4.1524133081353147</v>
      </c>
      <c r="N278">
        <v>5.2660346876753144</v>
      </c>
      <c r="O278" t="s">
        <v>90</v>
      </c>
      <c r="P278">
        <v>0</v>
      </c>
      <c r="Q278" t="s">
        <v>90</v>
      </c>
      <c r="R278">
        <v>0</v>
      </c>
      <c r="S278" t="s">
        <v>90</v>
      </c>
      <c r="T278">
        <v>0</v>
      </c>
      <c r="U278">
        <v>5.2660346876753144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600</v>
      </c>
      <c r="AB278">
        <v>1</v>
      </c>
      <c r="AC278">
        <v>0.50</v>
      </c>
      <c r="AD278">
        <v>0.50345253019720215</v>
      </c>
      <c r="AE278">
        <v>4041.90</v>
      </c>
      <c r="AF278">
        <v>200000</v>
      </c>
      <c r="AG278">
        <v>16666.666666666668</v>
      </c>
      <c r="AH278">
        <v>1</v>
      </c>
      <c r="AI278">
        <v>1</v>
      </c>
      <c r="AJ278" t="s">
        <v>136</v>
      </c>
      <c r="AK278" t="s">
        <v>137</v>
      </c>
      <c r="AL278">
        <v>0</v>
      </c>
      <c r="AM278" t="s">
        <v>137</v>
      </c>
      <c r="AN278">
        <v>0</v>
      </c>
    </row>
    <row r="279" spans="1:42" ht="12.75">
      <c r="A279" s="2" t="str">
        <f>HYPERLINK("https://ibp.a2mac1.com/costing(costing:projects/details/8191/process/6972181)","Automated Process")</f>
        <v>Automated Process</v>
      </c>
      <c r="C279">
        <v>6972181</v>
      </c>
      <c r="D279">
        <v>5383900</v>
      </c>
      <c r="E279">
        <v>0.207845274</v>
      </c>
      <c r="F279">
        <v>0</v>
      </c>
      <c r="G279">
        <v>0</v>
      </c>
      <c r="H279">
        <v>0.0011557110839999999</v>
      </c>
      <c r="I279" t="s">
        <v>137</v>
      </c>
      <c r="J279">
        <v>0.0079940489999999996</v>
      </c>
      <c r="K279">
        <v>0.216995034084</v>
      </c>
      <c r="L279">
        <v>0.069749493478075533</v>
      </c>
      <c r="M279">
        <v>0.41849696086845323</v>
      </c>
      <c r="N279">
        <v>0.63549199495245323</v>
      </c>
      <c r="O279" t="s">
        <v>90</v>
      </c>
      <c r="P279">
        <v>0</v>
      </c>
      <c r="Q279" t="s">
        <v>90</v>
      </c>
      <c r="R279">
        <v>0</v>
      </c>
      <c r="S279" t="s">
        <v>90</v>
      </c>
      <c r="T279">
        <v>0</v>
      </c>
      <c r="U279">
        <v>0.63549199495245323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60</v>
      </c>
      <c r="AB279">
        <v>1</v>
      </c>
      <c r="AC279">
        <v>0.50</v>
      </c>
      <c r="AD279">
        <v>0.50345253019720215</v>
      </c>
      <c r="AE279">
        <v>4041.90</v>
      </c>
      <c r="AF279">
        <v>200000</v>
      </c>
      <c r="AG279">
        <v>16666.666666666668</v>
      </c>
      <c r="AH279">
        <v>1</v>
      </c>
      <c r="AI279">
        <v>1</v>
      </c>
      <c r="AJ279" t="s">
        <v>136</v>
      </c>
      <c r="AK279" t="s">
        <v>137</v>
      </c>
      <c r="AL279">
        <v>0</v>
      </c>
      <c r="AM279" t="s">
        <v>137</v>
      </c>
      <c r="AN279">
        <v>0</v>
      </c>
    </row>
    <row r="280" spans="1:42" ht="12.75">
      <c r="A280" s="2" t="str">
        <f>HYPERLINK("https://ibp.a2mac1.com/costing(costing:projects/details/8191/process/6972182)","Automated Process")</f>
        <v>Automated Process</v>
      </c>
      <c r="C280">
        <v>6972182</v>
      </c>
      <c r="D280">
        <v>5383903</v>
      </c>
      <c r="E280">
        <v>0.15606843000000001</v>
      </c>
      <c r="F280">
        <v>0</v>
      </c>
      <c r="G280">
        <v>0</v>
      </c>
      <c r="H280">
        <v>0.00079168546947368419</v>
      </c>
      <c r="I280" t="s">
        <v>137</v>
      </c>
      <c r="J280">
        <v>0.0054760852631578951</v>
      </c>
      <c r="K280">
        <v>0.16233620073263158</v>
      </c>
      <c r="L280">
        <v>0.0032497883561902934</v>
      </c>
      <c r="M280">
        <v>0.019498730137141762</v>
      </c>
      <c r="N280">
        <v>0.18183493086977334</v>
      </c>
      <c r="O280" t="s">
        <v>90</v>
      </c>
      <c r="P280">
        <v>0</v>
      </c>
      <c r="Q280" t="s">
        <v>90</v>
      </c>
      <c r="R280">
        <v>0</v>
      </c>
      <c r="S280" t="s">
        <v>90</v>
      </c>
      <c r="T280">
        <v>0</v>
      </c>
      <c r="U280">
        <v>0.18183493086977334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60</v>
      </c>
      <c r="AB280">
        <v>1</v>
      </c>
      <c r="AC280">
        <v>0.50</v>
      </c>
      <c r="AD280">
        <v>0.50345253019720215</v>
      </c>
      <c r="AE280">
        <v>189</v>
      </c>
      <c r="AF280">
        <v>200000</v>
      </c>
      <c r="AG280">
        <v>16666.666666666668</v>
      </c>
      <c r="AH280">
        <v>1</v>
      </c>
      <c r="AI280">
        <v>1</v>
      </c>
      <c r="AJ280" t="s">
        <v>136</v>
      </c>
      <c r="AK280" t="s">
        <v>137</v>
      </c>
      <c r="AL280">
        <v>0</v>
      </c>
      <c r="AM280" t="s">
        <v>137</v>
      </c>
      <c r="AN280">
        <v>0</v>
      </c>
    </row>
    <row r="281" spans="1:42" ht="12.75">
      <c r="A281" s="2" t="str">
        <f>HYPERLINK("https://ibp.a2mac1.com/costing(costing:projects/details/8191/process/6972331)","Stamping")</f>
        <v>Stamping</v>
      </c>
      <c r="C281">
        <v>6972331</v>
      </c>
      <c r="D281">
        <v>5384060</v>
      </c>
      <c r="E281">
        <v>0.65613620171892073</v>
      </c>
      <c r="F281">
        <v>0</v>
      </c>
      <c r="G281">
        <v>0</v>
      </c>
      <c r="H281">
        <v>0.00094166975866811088</v>
      </c>
      <c r="I281" t="s">
        <v>137</v>
      </c>
      <c r="J281">
        <v>0.031690809185946037</v>
      </c>
      <c r="K281">
        <v>0.68876868066353492</v>
      </c>
      <c r="L281">
        <v>0.0072046430194320507</v>
      </c>
      <c r="M281">
        <v>0.043227858116592299</v>
      </c>
      <c r="N281">
        <v>0.73199653878012716</v>
      </c>
      <c r="O281" t="s">
        <v>90</v>
      </c>
      <c r="P281">
        <v>0</v>
      </c>
      <c r="Q281" t="s">
        <v>90</v>
      </c>
      <c r="R281">
        <v>0</v>
      </c>
      <c r="S281" t="s">
        <v>90</v>
      </c>
      <c r="T281">
        <v>0</v>
      </c>
      <c r="U281">
        <v>0.73199653878012716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1.71021</v>
      </c>
      <c r="AB281">
        <v>1</v>
      </c>
      <c r="AC281">
        <v>0</v>
      </c>
      <c r="AD281">
        <v>0.10389195236953569</v>
      </c>
      <c r="AE281">
        <v>1800</v>
      </c>
      <c r="AF281">
        <v>200000</v>
      </c>
      <c r="AG281">
        <v>16666.666666666668</v>
      </c>
      <c r="AH281">
        <v>1</v>
      </c>
      <c r="AI281">
        <v>1</v>
      </c>
      <c r="AJ281" t="s">
        <v>136</v>
      </c>
      <c r="AK281" t="s">
        <v>137</v>
      </c>
      <c r="AL281">
        <v>0</v>
      </c>
      <c r="AM281" t="s">
        <v>137</v>
      </c>
      <c r="AN281">
        <v>0</v>
      </c>
    </row>
    <row r="282" spans="1:42" ht="12.75">
      <c r="A282" s="2" t="str">
        <f>HYPERLINK("https://ibp.a2mac1.com/costing(costing:projects/details/8191/process/6972332)","Cleaning")</f>
        <v>Cleaning</v>
      </c>
      <c r="C282">
        <v>6972332</v>
      </c>
      <c r="D282">
        <v>5384060</v>
      </c>
      <c r="E282">
        <v>0</v>
      </c>
      <c r="F282">
        <v>0</v>
      </c>
      <c r="G282">
        <v>0</v>
      </c>
      <c r="H282">
        <v>0</v>
      </c>
      <c r="I282" t="s">
        <v>137</v>
      </c>
      <c r="J282">
        <v>0</v>
      </c>
      <c r="K282">
        <v>0</v>
      </c>
      <c r="L282">
        <v>0.0087243413320213445</v>
      </c>
      <c r="M282">
        <v>0.05234604799212806</v>
      </c>
      <c r="N282">
        <v>0.05234604799212806</v>
      </c>
      <c r="O282" t="s">
        <v>90</v>
      </c>
      <c r="P282">
        <v>0</v>
      </c>
      <c r="Q282" t="s">
        <v>90</v>
      </c>
      <c r="R282">
        <v>0</v>
      </c>
      <c r="S282" t="s">
        <v>90</v>
      </c>
      <c r="T282">
        <v>0</v>
      </c>
      <c r="U282">
        <v>0.05234604799212806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10</v>
      </c>
      <c r="AB282">
        <v>1</v>
      </c>
      <c r="AC282">
        <v>0</v>
      </c>
      <c r="AD282">
        <v>0.10389195236953569</v>
      </c>
      <c r="AE282">
        <v>0</v>
      </c>
      <c r="AF282">
        <v>200000</v>
      </c>
      <c r="AG282">
        <v>16666.666666666668</v>
      </c>
      <c r="AH282">
        <v>1</v>
      </c>
      <c r="AI282">
        <v>1</v>
      </c>
      <c r="AJ282" t="s">
        <v>136</v>
      </c>
      <c r="AK282" t="s">
        <v>137</v>
      </c>
      <c r="AL282">
        <v>0</v>
      </c>
      <c r="AM282" t="s">
        <v>137</v>
      </c>
      <c r="AN282">
        <v>0</v>
      </c>
    </row>
    <row r="283" spans="1:42" ht="12.75">
      <c r="A283" s="2" t="str">
        <f>HYPERLINK("https://ibp.a2mac1.com/costing(costing:projects/details/8191/process/6972333)","Cataphoresis")</f>
        <v>Cataphoresis</v>
      </c>
      <c r="C283">
        <v>6972333</v>
      </c>
      <c r="D283">
        <v>5384060</v>
      </c>
      <c r="E283">
        <v>0.024</v>
      </c>
      <c r="F283">
        <v>0</v>
      </c>
      <c r="G283">
        <v>0</v>
      </c>
      <c r="H283">
        <v>2.4960000000000002E-05</v>
      </c>
      <c r="I283" t="s">
        <v>137</v>
      </c>
      <c r="J283">
        <v>0.00084000000000000003</v>
      </c>
      <c r="K283">
        <v>0.024864959999999998</v>
      </c>
      <c r="L283">
        <v>0.029409921402576235</v>
      </c>
      <c r="M283">
        <v>0.1764595284154574</v>
      </c>
      <c r="N283">
        <v>0.20132448841545741</v>
      </c>
      <c r="O283" t="s">
        <v>90</v>
      </c>
      <c r="P283">
        <v>0</v>
      </c>
      <c r="Q283" t="s">
        <v>90</v>
      </c>
      <c r="R283">
        <v>0</v>
      </c>
      <c r="S283" t="s">
        <v>90</v>
      </c>
      <c r="T283">
        <v>0</v>
      </c>
      <c r="U283">
        <v>0.20132448841545741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4.80</v>
      </c>
      <c r="AB283">
        <v>1</v>
      </c>
      <c r="AC283">
        <v>0.10</v>
      </c>
      <c r="AD283">
        <v>0.10389195236953569</v>
      </c>
      <c r="AE283">
        <v>3600</v>
      </c>
      <c r="AF283">
        <v>200000</v>
      </c>
      <c r="AG283">
        <v>16666.666666666668</v>
      </c>
      <c r="AH283">
        <v>1</v>
      </c>
      <c r="AI283">
        <v>1</v>
      </c>
      <c r="AJ283" t="s">
        <v>136</v>
      </c>
      <c r="AK283" t="s">
        <v>137</v>
      </c>
      <c r="AL283">
        <v>0</v>
      </c>
      <c r="AM283" t="s">
        <v>137</v>
      </c>
      <c r="AN283">
        <v>0</v>
      </c>
    </row>
    <row r="284" spans="1:42" ht="12.75">
      <c r="A284" s="2" t="str">
        <f>HYPERLINK("https://ibp.a2mac1.com/costing(costing:projects/details/8191/process/6972334)","Automated Process")</f>
        <v>Automated Process</v>
      </c>
      <c r="C284">
        <v>6972334</v>
      </c>
      <c r="D284">
        <v>5384062</v>
      </c>
      <c r="E284">
        <v>0.73996425300000002</v>
      </c>
      <c r="F284">
        <v>0</v>
      </c>
      <c r="G284">
        <v>0</v>
      </c>
      <c r="H284">
        <v>0.0037536031279999998</v>
      </c>
      <c r="I284" t="s">
        <v>137</v>
      </c>
      <c r="J284">
        <v>0.025963658000000001</v>
      </c>
      <c r="K284">
        <v>0.76968151412800001</v>
      </c>
      <c r="L284">
        <v>0.0074994584633906701</v>
      </c>
      <c r="M284">
        <v>0.044996750780344021</v>
      </c>
      <c r="N284">
        <v>0.81467826490834405</v>
      </c>
      <c r="O284" t="s">
        <v>138</v>
      </c>
      <c r="P284">
        <v>0.046180890847679998</v>
      </c>
      <c r="Q284" t="s">
        <v>138</v>
      </c>
      <c r="R284">
        <v>0.0026998050468206411</v>
      </c>
      <c r="S284" t="s">
        <v>139</v>
      </c>
      <c r="T284">
        <v>0.097761391789001284</v>
      </c>
      <c r="U284">
        <v>0.96132035259184589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60</v>
      </c>
      <c r="AB284">
        <v>1</v>
      </c>
      <c r="AC284">
        <v>0.50</v>
      </c>
      <c r="AD284">
        <v>0.50345253019720215</v>
      </c>
      <c r="AE284">
        <v>436.05</v>
      </c>
      <c r="AF284">
        <v>200000</v>
      </c>
      <c r="AG284">
        <v>16666.666666666668</v>
      </c>
      <c r="AH284">
        <v>1</v>
      </c>
      <c r="AI284">
        <v>1</v>
      </c>
      <c r="AJ284" t="s">
        <v>136</v>
      </c>
      <c r="AK284" t="s">
        <v>137</v>
      </c>
      <c r="AL284">
        <v>0</v>
      </c>
      <c r="AM284" t="s">
        <v>137</v>
      </c>
      <c r="AN284">
        <v>0</v>
      </c>
    </row>
    <row r="285" spans="1:42" ht="12.75">
      <c r="A285" s="2" t="str">
        <f>HYPERLINK("https://ibp.a2mac1.com/costing(costing:projects/details/8191/process/6972335)","Automated Process")</f>
        <v>Automated Process</v>
      </c>
      <c r="C285">
        <v>6972335</v>
      </c>
      <c r="D285">
        <v>5384063</v>
      </c>
      <c r="E285">
        <v>0.20183027549999999</v>
      </c>
      <c r="F285">
        <v>0</v>
      </c>
      <c r="G285">
        <v>0</v>
      </c>
      <c r="H285">
        <v>0.0010238207458947368</v>
      </c>
      <c r="I285" t="s">
        <v>137</v>
      </c>
      <c r="J285">
        <v>0.0070817640526315787</v>
      </c>
      <c r="K285">
        <v>0.20993586029852632</v>
      </c>
      <c r="L285">
        <v>0.005176991090146868</v>
      </c>
      <c r="M285">
        <v>0.031061946540881211</v>
      </c>
      <c r="N285">
        <v>0.24099780683940752</v>
      </c>
      <c r="O285" t="s">
        <v>90</v>
      </c>
      <c r="P285">
        <v>0</v>
      </c>
      <c r="Q285" t="s">
        <v>90</v>
      </c>
      <c r="R285">
        <v>0</v>
      </c>
      <c r="S285" t="s">
        <v>90</v>
      </c>
      <c r="T285">
        <v>0</v>
      </c>
      <c r="U285">
        <v>0.24099780683940752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60</v>
      </c>
      <c r="AB285">
        <v>1</v>
      </c>
      <c r="AC285">
        <v>0.50</v>
      </c>
      <c r="AD285">
        <v>0.50345253019720215</v>
      </c>
      <c r="AE285">
        <v>301.05</v>
      </c>
      <c r="AF285">
        <v>200000</v>
      </c>
      <c r="AG285">
        <v>16666.666666666668</v>
      </c>
      <c r="AH285">
        <v>1</v>
      </c>
      <c r="AI285">
        <v>1</v>
      </c>
      <c r="AJ285" t="s">
        <v>136</v>
      </c>
      <c r="AK285" t="s">
        <v>137</v>
      </c>
      <c r="AL285">
        <v>0</v>
      </c>
      <c r="AM285" t="s">
        <v>137</v>
      </c>
      <c r="AN285">
        <v>0</v>
      </c>
    </row>
    <row r="286" spans="1:42" ht="12.75">
      <c r="A286" s="2" t="str">
        <f>HYPERLINK("https://ibp.a2mac1.com/costing(costing:projects/details/8191/process/6972183)","Process")</f>
        <v>Process</v>
      </c>
      <c r="C286">
        <v>6972183</v>
      </c>
      <c r="D286">
        <v>5383912</v>
      </c>
      <c r="E286">
        <v>0</v>
      </c>
      <c r="F286">
        <v>0</v>
      </c>
      <c r="G286">
        <v>0</v>
      </c>
      <c r="H286">
        <v>0</v>
      </c>
      <c r="I286" t="s">
        <v>137</v>
      </c>
      <c r="J286">
        <v>0</v>
      </c>
      <c r="K286">
        <v>0</v>
      </c>
      <c r="L286">
        <v>0.25112196172915874</v>
      </c>
      <c r="M286">
        <v>0.87892686605205561</v>
      </c>
      <c r="N286">
        <v>0.87892686605205561</v>
      </c>
      <c r="O286" t="s">
        <v>138</v>
      </c>
      <c r="P286">
        <v>0</v>
      </c>
      <c r="Q286" t="s">
        <v>138</v>
      </c>
      <c r="R286">
        <v>0.052735611963123333</v>
      </c>
      <c r="S286" t="s">
        <v>139</v>
      </c>
      <c r="T286">
        <v>0.10547122392624667</v>
      </c>
      <c r="U286">
        <v>1.0371337019414255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110</v>
      </c>
      <c r="AB286">
        <v>1</v>
      </c>
      <c r="AC286">
        <v>5</v>
      </c>
      <c r="AD286">
        <v>5.0007599939200489</v>
      </c>
      <c r="AE286">
        <v>216</v>
      </c>
      <c r="AF286">
        <v>200000</v>
      </c>
      <c r="AG286">
        <v>16666.666666666668</v>
      </c>
      <c r="AH286">
        <v>1</v>
      </c>
      <c r="AI286">
        <v>1</v>
      </c>
      <c r="AJ286" t="s">
        <v>136</v>
      </c>
      <c r="AK286" t="s">
        <v>137</v>
      </c>
      <c r="AL286">
        <v>0</v>
      </c>
      <c r="AM286" t="s">
        <v>137</v>
      </c>
      <c r="AN286">
        <v>0</v>
      </c>
    </row>
    <row r="287" spans="1:42" ht="12.75">
      <c r="A287" s="2" t="str">
        <f>HYPERLINK("https://ibp.a2mac1.com/costing(costing:projects/details/8191/process/6972122)","Process")</f>
        <v>Process</v>
      </c>
      <c r="C287">
        <v>6972122</v>
      </c>
      <c r="D287">
        <v>5383641</v>
      </c>
      <c r="E287">
        <v>0</v>
      </c>
      <c r="F287">
        <v>0</v>
      </c>
      <c r="G287">
        <v>0</v>
      </c>
      <c r="H287">
        <v>0</v>
      </c>
      <c r="I287" t="s">
        <v>137</v>
      </c>
      <c r="J287">
        <v>0</v>
      </c>
      <c r="K287">
        <v>0</v>
      </c>
      <c r="L287">
        <v>0.13698880063814858</v>
      </c>
      <c r="M287">
        <v>0.47946080223352006</v>
      </c>
      <c r="N287">
        <v>0.47946080223352006</v>
      </c>
      <c r="O287" t="s">
        <v>138</v>
      </c>
      <c r="P287">
        <v>0</v>
      </c>
      <c r="Q287" t="s">
        <v>138</v>
      </c>
      <c r="R287">
        <v>0.028767648134011205</v>
      </c>
      <c r="S287" t="s">
        <v>139</v>
      </c>
      <c r="T287">
        <v>0.057535296268022409</v>
      </c>
      <c r="U287">
        <v>0.56576374663555362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60</v>
      </c>
      <c r="AB287">
        <v>1</v>
      </c>
      <c r="AC287">
        <v>5</v>
      </c>
      <c r="AD287">
        <v>5.0007599939200489</v>
      </c>
      <c r="AE287">
        <v>216</v>
      </c>
      <c r="AF287">
        <v>200000</v>
      </c>
      <c r="AG287">
        <v>16666.666666666668</v>
      </c>
      <c r="AH287">
        <v>1</v>
      </c>
      <c r="AI287">
        <v>1</v>
      </c>
      <c r="AJ287" t="s">
        <v>136</v>
      </c>
      <c r="AK287" t="s">
        <v>137</v>
      </c>
      <c r="AL287">
        <v>0</v>
      </c>
      <c r="AM287" t="s">
        <v>137</v>
      </c>
      <c r="AN287">
        <v>0</v>
      </c>
    </row>
    <row r="288" spans="1:42" ht="12.75">
      <c r="A288" s="2" t="str">
        <f>HYPERLINK("https://ibp.a2mac1.com/costing(costing:projects/details/8191/process/6972123)","Process")</f>
        <v>Process</v>
      </c>
      <c r="C288">
        <v>6972123</v>
      </c>
      <c r="D288">
        <v>5383642</v>
      </c>
      <c r="E288">
        <v>0</v>
      </c>
      <c r="F288">
        <v>0</v>
      </c>
      <c r="G288">
        <v>0</v>
      </c>
      <c r="H288">
        <v>0</v>
      </c>
      <c r="I288" t="s">
        <v>137</v>
      </c>
      <c r="J288">
        <v>0</v>
      </c>
      <c r="K288">
        <v>0</v>
      </c>
      <c r="L288">
        <v>0.45656165169297702</v>
      </c>
      <c r="M288">
        <v>1.5979657809254195</v>
      </c>
      <c r="N288">
        <v>1.5979657809254195</v>
      </c>
      <c r="O288" t="s">
        <v>138</v>
      </c>
      <c r="P288">
        <v>0</v>
      </c>
      <c r="Q288" t="s">
        <v>138</v>
      </c>
      <c r="R288">
        <v>0.09587794685552517</v>
      </c>
      <c r="S288" t="s">
        <v>139</v>
      </c>
      <c r="T288">
        <v>0.19175589371105034</v>
      </c>
      <c r="U288">
        <v>1.885599621491995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200</v>
      </c>
      <c r="AB288">
        <v>1</v>
      </c>
      <c r="AC288">
        <v>5</v>
      </c>
      <c r="AD288">
        <v>5.0007599939200489</v>
      </c>
      <c r="AE288">
        <v>216</v>
      </c>
      <c r="AF288">
        <v>200000</v>
      </c>
      <c r="AG288">
        <v>16666.666666666668</v>
      </c>
      <c r="AH288">
        <v>1</v>
      </c>
      <c r="AI288">
        <v>1</v>
      </c>
      <c r="AJ288" t="s">
        <v>136</v>
      </c>
      <c r="AK288" t="s">
        <v>137</v>
      </c>
      <c r="AL288">
        <v>0</v>
      </c>
      <c r="AM288" t="s">
        <v>137</v>
      </c>
      <c r="AN288">
        <v>0</v>
      </c>
    </row>
    <row r="289" spans="1:42" ht="12.75">
      <c r="A289" s="2" t="str">
        <f>HYPERLINK("https://ibp.a2mac1.com/costing(costing:projects/details/8191/process/6972124)","Automated Process")</f>
        <v>Automated Process</v>
      </c>
      <c r="C289">
        <v>6972124</v>
      </c>
      <c r="D289">
        <v>5383649</v>
      </c>
      <c r="E289">
        <v>0.013268167500000001</v>
      </c>
      <c r="F289">
        <v>0</v>
      </c>
      <c r="G289">
        <v>0</v>
      </c>
      <c r="H289">
        <v>6.7305190526315787E-05</v>
      </c>
      <c r="I289" t="s">
        <v>137</v>
      </c>
      <c r="J289">
        <v>0.00046554973684210529</v>
      </c>
      <c r="K289">
        <v>0.013801022427368421</v>
      </c>
      <c r="L289">
        <v>0.00023208963704919518</v>
      </c>
      <c r="M289">
        <v>0.0013925378222951711</v>
      </c>
      <c r="N289">
        <v>0.015193560249663592</v>
      </c>
      <c r="O289" t="s">
        <v>90</v>
      </c>
      <c r="P289">
        <v>0</v>
      </c>
      <c r="Q289" t="s">
        <v>90</v>
      </c>
      <c r="R289">
        <v>0</v>
      </c>
      <c r="S289" t="s">
        <v>90</v>
      </c>
      <c r="T289">
        <v>0</v>
      </c>
      <c r="U289">
        <v>0.015193560249663592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60</v>
      </c>
      <c r="AB289">
        <v>1</v>
      </c>
      <c r="AC289">
        <v>0.50</v>
      </c>
      <c r="AD289">
        <v>0.50345253019720215</v>
      </c>
      <c r="AE289">
        <v>13.50</v>
      </c>
      <c r="AF289">
        <v>200000</v>
      </c>
      <c r="AG289">
        <v>16666.666666666668</v>
      </c>
      <c r="AH289">
        <v>1</v>
      </c>
      <c r="AI289">
        <v>1</v>
      </c>
      <c r="AJ289" t="s">
        <v>136</v>
      </c>
      <c r="AK289" t="s">
        <v>137</v>
      </c>
      <c r="AL289">
        <v>0</v>
      </c>
      <c r="AM289" t="s">
        <v>137</v>
      </c>
      <c r="AN289">
        <v>0</v>
      </c>
    </row>
    <row r="290" spans="1:42" ht="12.75">
      <c r="A290" s="2" t="str">
        <f>HYPERLINK("https://ibp.a2mac1.com/costing(costing:projects/details/8191/process/6972125)","Automated Process")</f>
        <v>Automated Process</v>
      </c>
      <c r="C290">
        <v>6972125</v>
      </c>
      <c r="D290">
        <v>5383650</v>
      </c>
      <c r="E290">
        <v>0.013268167500000001</v>
      </c>
      <c r="F290">
        <v>0</v>
      </c>
      <c r="G290">
        <v>0</v>
      </c>
      <c r="H290">
        <v>6.7305190526315787E-05</v>
      </c>
      <c r="I290" t="s">
        <v>137</v>
      </c>
      <c r="J290">
        <v>0.00046554973684210529</v>
      </c>
      <c r="K290">
        <v>0.013801022427368421</v>
      </c>
      <c r="L290">
        <v>0.00023208963704919518</v>
      </c>
      <c r="M290">
        <v>0.0013925378222951711</v>
      </c>
      <c r="N290">
        <v>0.015193560249663592</v>
      </c>
      <c r="O290" t="s">
        <v>90</v>
      </c>
      <c r="P290">
        <v>0</v>
      </c>
      <c r="Q290" t="s">
        <v>90</v>
      </c>
      <c r="R290">
        <v>0</v>
      </c>
      <c r="S290" t="s">
        <v>90</v>
      </c>
      <c r="T290">
        <v>0</v>
      </c>
      <c r="U290">
        <v>0.015193560249663592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60</v>
      </c>
      <c r="AB290">
        <v>1</v>
      </c>
      <c r="AC290">
        <v>0.50</v>
      </c>
      <c r="AD290">
        <v>0.50345253019720215</v>
      </c>
      <c r="AE290">
        <v>13.50</v>
      </c>
      <c r="AF290">
        <v>200000</v>
      </c>
      <c r="AG290">
        <v>16666.666666666668</v>
      </c>
      <c r="AH290">
        <v>1</v>
      </c>
      <c r="AI290">
        <v>1</v>
      </c>
      <c r="AJ290" t="s">
        <v>136</v>
      </c>
      <c r="AK290" t="s">
        <v>137</v>
      </c>
      <c r="AL290">
        <v>0</v>
      </c>
      <c r="AM290" t="s">
        <v>137</v>
      </c>
      <c r="AN290">
        <v>0</v>
      </c>
    </row>
    <row r="291" spans="1:42" ht="12.75">
      <c r="A291" s="2" t="str">
        <f>HYPERLINK("https://ibp.a2mac1.com/costing(costing:projects/details/8191/process/6971940)","Process")</f>
        <v>Process</v>
      </c>
      <c r="C291">
        <v>6971940</v>
      </c>
      <c r="D291">
        <v>5383527</v>
      </c>
      <c r="E291">
        <v>0</v>
      </c>
      <c r="F291">
        <v>0</v>
      </c>
      <c r="G291">
        <v>0</v>
      </c>
      <c r="H291">
        <v>0</v>
      </c>
      <c r="I291" t="s">
        <v>137</v>
      </c>
      <c r="J291">
        <v>0</v>
      </c>
      <c r="K291">
        <v>0</v>
      </c>
      <c r="L291">
        <v>0.88782738428180508</v>
      </c>
      <c r="M291">
        <v>3.1073958449863182</v>
      </c>
      <c r="N291">
        <v>3.1073958449863182</v>
      </c>
      <c r="O291" t="s">
        <v>138</v>
      </c>
      <c r="P291">
        <v>0</v>
      </c>
      <c r="Q291" t="s">
        <v>138</v>
      </c>
      <c r="R291">
        <v>0.18644375069917907</v>
      </c>
      <c r="S291" t="s">
        <v>1643</v>
      </c>
      <c r="T291">
        <v>0.31073958449863182</v>
      </c>
      <c r="U291">
        <v>3.6045791801841287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389</v>
      </c>
      <c r="AB291">
        <v>1</v>
      </c>
      <c r="AC291">
        <v>10</v>
      </c>
      <c r="AD291">
        <v>10.002339939161581</v>
      </c>
      <c r="AE291">
        <v>126</v>
      </c>
      <c r="AF291">
        <v>200000</v>
      </c>
      <c r="AG291">
        <v>16666.666666666668</v>
      </c>
      <c r="AH291">
        <v>1</v>
      </c>
      <c r="AI291">
        <v>1</v>
      </c>
      <c r="AJ291" t="s">
        <v>136</v>
      </c>
      <c r="AK291" t="s">
        <v>137</v>
      </c>
      <c r="AL291">
        <v>0</v>
      </c>
      <c r="AM291" t="s">
        <v>137</v>
      </c>
      <c r="AN291">
        <v>0</v>
      </c>
    </row>
    <row r="292" spans="1:42" ht="12.75">
      <c r="A292" s="2" t="str">
        <f>HYPERLINK("https://ibp.a2mac1.com/costing(costing:projects/details/8191/process/6971941)","Injection molding")</f>
        <v>Injection molding</v>
      </c>
      <c r="B292" t="s">
        <v>3003</v>
      </c>
      <c r="C292">
        <v>6971941</v>
      </c>
      <c r="D292">
        <v>5383529</v>
      </c>
      <c r="E292">
        <v>0.0049808665302681241</v>
      </c>
      <c r="F292">
        <v>0</v>
      </c>
      <c r="G292">
        <v>0</v>
      </c>
      <c r="H292">
        <v>0.00010416863262955272</v>
      </c>
      <c r="I292" t="s">
        <v>137</v>
      </c>
      <c r="J292">
        <v>0.00017854564848356245</v>
      </c>
      <c r="K292">
        <v>0.0052635808113812386</v>
      </c>
      <c r="L292">
        <v>0.0011180654609061068</v>
      </c>
      <c r="M292">
        <v>0.0067083927654366408</v>
      </c>
      <c r="N292">
        <v>0.01197197357681788</v>
      </c>
      <c r="O292" t="s">
        <v>90</v>
      </c>
      <c r="P292">
        <v>0</v>
      </c>
      <c r="Q292" t="s">
        <v>90</v>
      </c>
      <c r="R292">
        <v>0</v>
      </c>
      <c r="S292" t="s">
        <v>90</v>
      </c>
      <c r="T292">
        <v>0</v>
      </c>
      <c r="U292">
        <v>0.01197197357681788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10.195919999999999</v>
      </c>
      <c r="AB292">
        <v>8</v>
      </c>
      <c r="AC292">
        <v>2</v>
      </c>
      <c r="AD292">
        <v>2.001136786813273</v>
      </c>
      <c r="AE292">
        <v>7200</v>
      </c>
      <c r="AF292">
        <v>200000</v>
      </c>
      <c r="AG292">
        <v>16666.666666666668</v>
      </c>
      <c r="AH292">
        <v>1</v>
      </c>
      <c r="AI292">
        <v>1</v>
      </c>
      <c r="AJ292" t="s">
        <v>136</v>
      </c>
      <c r="AK292" t="s">
        <v>137</v>
      </c>
      <c r="AL292">
        <v>0</v>
      </c>
      <c r="AM292" t="s">
        <v>137</v>
      </c>
      <c r="AN292">
        <v>0</v>
      </c>
    </row>
    <row r="293" spans="1:42" ht="12.75">
      <c r="A293" s="2" t="str">
        <f>HYPERLINK("https://ibp.a2mac1.com/costing(costing:projects/details/8191/process/6971832)","J.I.T. Assembly")</f>
        <v>J.I.T. Assembly</v>
      </c>
      <c r="C293">
        <v>6971832</v>
      </c>
      <c r="D293">
        <v>5383399</v>
      </c>
      <c r="E293">
        <v>0</v>
      </c>
      <c r="F293">
        <v>0</v>
      </c>
      <c r="G293">
        <v>0</v>
      </c>
      <c r="H293">
        <v>0</v>
      </c>
      <c r="I293" t="s">
        <v>137</v>
      </c>
      <c r="J293">
        <v>0</v>
      </c>
      <c r="K293">
        <v>0</v>
      </c>
      <c r="L293">
        <v>1.4015329878124532</v>
      </c>
      <c r="M293">
        <v>8.4091979268747181</v>
      </c>
      <c r="N293">
        <v>8.4091979268747181</v>
      </c>
      <c r="O293" t="s">
        <v>90</v>
      </c>
      <c r="P293">
        <v>0</v>
      </c>
      <c r="Q293" t="s">
        <v>90</v>
      </c>
      <c r="R293">
        <v>0</v>
      </c>
      <c r="S293" t="s">
        <v>90</v>
      </c>
      <c r="T293">
        <v>0</v>
      </c>
      <c r="U293">
        <v>8.4091979268747181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1540</v>
      </c>
      <c r="AB293">
        <v>1</v>
      </c>
      <c r="AC293">
        <v>0.10</v>
      </c>
      <c r="AD293">
        <v>0.10987913295375087</v>
      </c>
      <c r="AE293">
        <v>900</v>
      </c>
      <c r="AF293">
        <v>200000</v>
      </c>
      <c r="AG293">
        <v>10000</v>
      </c>
      <c r="AH293">
        <v>1</v>
      </c>
      <c r="AI293">
        <v>1</v>
      </c>
      <c r="AJ293" t="s">
        <v>79</v>
      </c>
      <c r="AK293" t="s">
        <v>137</v>
      </c>
      <c r="AL293">
        <v>0</v>
      </c>
      <c r="AM293" t="s">
        <v>137</v>
      </c>
      <c r="AN293">
        <v>0</v>
      </c>
      <c r="AP293">
        <v>0</v>
      </c>
    </row>
    <row r="294" spans="1:42" ht="12.75">
      <c r="A294" s="2" t="str">
        <f>HYPERLINK("https://ibp.a2mac1.com/costing(costing:projects/details/8191/process/6972184)","Automated Process")</f>
        <v>Automated Process</v>
      </c>
      <c r="C294">
        <v>6972184</v>
      </c>
      <c r="D294">
        <v>5383915</v>
      </c>
      <c r="E294">
        <v>0.045282047999999998</v>
      </c>
      <c r="F294">
        <v>0</v>
      </c>
      <c r="G294">
        <v>0</v>
      </c>
      <c r="H294">
        <v>0.00022970141642105263</v>
      </c>
      <c r="I294" t="s">
        <v>137</v>
      </c>
      <c r="J294">
        <v>0.0015888437894736843</v>
      </c>
      <c r="K294">
        <v>0.047100593205894735</v>
      </c>
      <c r="L294">
        <v>0.0014854749716206401</v>
      </c>
      <c r="M294">
        <v>0.0089128498297238404</v>
      </c>
      <c r="N294">
        <v>0.056013443035618581</v>
      </c>
      <c r="O294" t="s">
        <v>90</v>
      </c>
      <c r="P294">
        <v>0</v>
      </c>
      <c r="Q294" t="s">
        <v>90</v>
      </c>
      <c r="R294">
        <v>0</v>
      </c>
      <c r="S294" t="s">
        <v>90</v>
      </c>
      <c r="T294">
        <v>0</v>
      </c>
      <c r="U294">
        <v>0.056013443035618581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60</v>
      </c>
      <c r="AB294">
        <v>1</v>
      </c>
      <c r="AC294">
        <v>0.50</v>
      </c>
      <c r="AD294">
        <v>0.50345253019720215</v>
      </c>
      <c r="AE294">
        <v>86.40</v>
      </c>
      <c r="AF294">
        <v>200000</v>
      </c>
      <c r="AG294">
        <v>16666.666666666668</v>
      </c>
      <c r="AH294">
        <v>1</v>
      </c>
      <c r="AI294">
        <v>1</v>
      </c>
      <c r="AJ294" t="s">
        <v>136</v>
      </c>
      <c r="AK294" t="s">
        <v>137</v>
      </c>
      <c r="AL294">
        <v>0</v>
      </c>
      <c r="AM294" t="s">
        <v>137</v>
      </c>
      <c r="AN294">
        <v>0</v>
      </c>
    </row>
    <row r="295" spans="1:42" ht="12.75">
      <c r="A295" s="2" t="str">
        <f>HYPERLINK("https://ibp.a2mac1.com/costing(costing:projects/details/8191/process/6972185)","Automated Process")</f>
        <v>Automated Process</v>
      </c>
      <c r="C295">
        <v>6972185</v>
      </c>
      <c r="D295">
        <v>5383916</v>
      </c>
      <c r="E295">
        <v>0.032546472</v>
      </c>
      <c r="F295">
        <v>0</v>
      </c>
      <c r="G295">
        <v>0</v>
      </c>
      <c r="H295">
        <v>0.00016509789305263158</v>
      </c>
      <c r="I295" t="s">
        <v>137</v>
      </c>
      <c r="J295">
        <v>0.0011419814736842106</v>
      </c>
      <c r="K295">
        <v>0.033853551366736845</v>
      </c>
      <c r="L295">
        <v>0.0010676608673769893</v>
      </c>
      <c r="M295">
        <v>0.0064059652042619359</v>
      </c>
      <c r="N295">
        <v>0.040259516570998778</v>
      </c>
      <c r="O295" t="s">
        <v>90</v>
      </c>
      <c r="P295">
        <v>0</v>
      </c>
      <c r="Q295" t="s">
        <v>90</v>
      </c>
      <c r="R295">
        <v>0</v>
      </c>
      <c r="S295" t="s">
        <v>90</v>
      </c>
      <c r="T295">
        <v>0</v>
      </c>
      <c r="U295">
        <v>0.040259516570998778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60</v>
      </c>
      <c r="AB295">
        <v>1</v>
      </c>
      <c r="AC295">
        <v>0.50</v>
      </c>
      <c r="AD295">
        <v>0.50345253019720215</v>
      </c>
      <c r="AE295">
        <v>62.10</v>
      </c>
      <c r="AF295">
        <v>200000</v>
      </c>
      <c r="AG295">
        <v>16666.666666666668</v>
      </c>
      <c r="AH295">
        <v>1</v>
      </c>
      <c r="AI295">
        <v>1</v>
      </c>
      <c r="AJ295" t="s">
        <v>136</v>
      </c>
      <c r="AK295" t="s">
        <v>137</v>
      </c>
      <c r="AL295">
        <v>0</v>
      </c>
      <c r="AM295" t="s">
        <v>137</v>
      </c>
      <c r="AN295">
        <v>0</v>
      </c>
    </row>
    <row r="296" spans="1:42" ht="12.75">
      <c r="A296" s="2" t="str">
        <f>HYPERLINK("https://ibp.a2mac1.com/costing(costing:projects/details/8191/process/6972186)","Cutting")</f>
        <v>Cutting</v>
      </c>
      <c r="B296" t="s">
        <v>2695</v>
      </c>
      <c r="C296">
        <v>6972186</v>
      </c>
      <c r="D296">
        <v>5383917</v>
      </c>
      <c r="E296">
        <v>1.1965333333333332</v>
      </c>
      <c r="F296">
        <v>0</v>
      </c>
      <c r="G296">
        <v>0</v>
      </c>
      <c r="H296">
        <v>0.0024648586666666666</v>
      </c>
      <c r="I296" t="s">
        <v>137</v>
      </c>
      <c r="J296">
        <v>0.041878666666666668</v>
      </c>
      <c r="K296">
        <v>1.2408768586666667</v>
      </c>
      <c r="L296">
        <v>0.0027540821579374875</v>
      </c>
      <c r="M296">
        <v>0.016524492947624925</v>
      </c>
      <c r="N296">
        <v>1.2574013516142917</v>
      </c>
      <c r="O296" t="s">
        <v>90</v>
      </c>
      <c r="P296">
        <v>0</v>
      </c>
      <c r="Q296" t="s">
        <v>90</v>
      </c>
      <c r="R296">
        <v>0</v>
      </c>
      <c r="S296" t="s">
        <v>90</v>
      </c>
      <c r="T296">
        <v>0</v>
      </c>
      <c r="U296">
        <v>1.2574013516142917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3.84</v>
      </c>
      <c r="AB296">
        <v>1</v>
      </c>
      <c r="AC296">
        <v>0.10</v>
      </c>
      <c r="AD296">
        <v>0.20557651238448796</v>
      </c>
      <c r="AE296">
        <v>900</v>
      </c>
      <c r="AF296">
        <v>200000</v>
      </c>
      <c r="AG296">
        <v>16666.666666666668</v>
      </c>
      <c r="AH296">
        <v>1</v>
      </c>
      <c r="AI296">
        <v>1</v>
      </c>
      <c r="AJ296" t="s">
        <v>2693</v>
      </c>
      <c r="AK296" t="s">
        <v>137</v>
      </c>
      <c r="AL296">
        <v>0</v>
      </c>
      <c r="AM296" t="s">
        <v>137</v>
      </c>
      <c r="AN296">
        <v>0</v>
      </c>
    </row>
    <row r="297" spans="1:42" ht="12.75">
      <c r="A297" s="2" t="str">
        <f>HYPERLINK("https://ibp.a2mac1.com/costing(costing:projects/details/8191/process/6972187)","Sewing")</f>
        <v>Sewing</v>
      </c>
      <c r="C297">
        <v>6972187</v>
      </c>
      <c r="D297">
        <v>5383917</v>
      </c>
      <c r="E297">
        <v>0</v>
      </c>
      <c r="F297">
        <v>0</v>
      </c>
      <c r="G297">
        <v>0</v>
      </c>
      <c r="H297">
        <v>0</v>
      </c>
      <c r="I297" t="s">
        <v>137</v>
      </c>
      <c r="J297">
        <v>0</v>
      </c>
      <c r="K297">
        <v>0</v>
      </c>
      <c r="L297">
        <v>0.11504374001364576</v>
      </c>
      <c r="M297">
        <v>0.69026244008187454</v>
      </c>
      <c r="N297">
        <v>0.69026244008187454</v>
      </c>
      <c r="O297" t="s">
        <v>90</v>
      </c>
      <c r="P297">
        <v>0</v>
      </c>
      <c r="Q297" t="s">
        <v>90</v>
      </c>
      <c r="R297">
        <v>0</v>
      </c>
      <c r="S297" t="s">
        <v>90</v>
      </c>
      <c r="T297">
        <v>0</v>
      </c>
      <c r="U297">
        <v>0.69026244008187454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157.65</v>
      </c>
      <c r="AB297">
        <v>1</v>
      </c>
      <c r="AC297">
        <v>0.10</v>
      </c>
      <c r="AD297">
        <v>0.10389195236953569</v>
      </c>
      <c r="AE297">
        <v>900</v>
      </c>
      <c r="AF297">
        <v>200000</v>
      </c>
      <c r="AG297">
        <v>16666.666666666668</v>
      </c>
      <c r="AH297">
        <v>1</v>
      </c>
      <c r="AI297">
        <v>1</v>
      </c>
      <c r="AJ297" t="s">
        <v>2693</v>
      </c>
      <c r="AK297" t="s">
        <v>137</v>
      </c>
      <c r="AL297">
        <v>0</v>
      </c>
      <c r="AM297" t="s">
        <v>137</v>
      </c>
      <c r="AN297">
        <v>0</v>
      </c>
    </row>
    <row r="298" spans="1:42" ht="12.75">
      <c r="A298" s="2" t="str">
        <f>HYPERLINK("https://ibp.a2mac1.com/costing(costing:projects/details/8191/process/6972188)","Automated Process")</f>
        <v>Automated Process</v>
      </c>
      <c r="C298">
        <v>6972188</v>
      </c>
      <c r="D298">
        <v>5383918</v>
      </c>
      <c r="E298">
        <v>0.216272511</v>
      </c>
      <c r="F298">
        <v>0</v>
      </c>
      <c r="G298">
        <v>0</v>
      </c>
      <c r="H298">
        <v>0.0010970816096842104</v>
      </c>
      <c r="I298" t="s">
        <v>137</v>
      </c>
      <c r="J298">
        <v>0.0075885091578947366</v>
      </c>
      <c r="K298">
        <v>0.22495810176757894</v>
      </c>
      <c r="L298">
        <v>0.0028318940604628918</v>
      </c>
      <c r="M298">
        <v>0.016991364362777348</v>
      </c>
      <c r="N298">
        <v>0.24194946613035631</v>
      </c>
      <c r="O298" t="s">
        <v>138</v>
      </c>
      <c r="P298">
        <v>0.013497486106054737</v>
      </c>
      <c r="Q298" t="s">
        <v>138</v>
      </c>
      <c r="R298">
        <v>0.0010194818617666409</v>
      </c>
      <c r="S298" t="s">
        <v>139</v>
      </c>
      <c r="T298">
        <v>0.029033935935642755</v>
      </c>
      <c r="U298">
        <v>0.28550037003382045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60</v>
      </c>
      <c r="AB298">
        <v>1</v>
      </c>
      <c r="AC298">
        <v>0.50</v>
      </c>
      <c r="AD298">
        <v>0.50345253019720215</v>
      </c>
      <c r="AE298">
        <v>164.70</v>
      </c>
      <c r="AF298">
        <v>200000</v>
      </c>
      <c r="AG298">
        <v>16666.666666666668</v>
      </c>
      <c r="AH298">
        <v>1</v>
      </c>
      <c r="AI298">
        <v>1</v>
      </c>
      <c r="AJ298" t="s">
        <v>136</v>
      </c>
      <c r="AK298" t="s">
        <v>137</v>
      </c>
      <c r="AL298">
        <v>0</v>
      </c>
      <c r="AM298" t="s">
        <v>137</v>
      </c>
      <c r="AN298">
        <v>0</v>
      </c>
    </row>
    <row r="299" spans="1:42" ht="12.75">
      <c r="A299" s="2" t="str">
        <f>HYPERLINK("https://ibp.a2mac1.com/costing(costing:projects/details/8191/process/6972189)","Automated Process")</f>
        <v>Automated Process</v>
      </c>
      <c r="C299">
        <v>6972189</v>
      </c>
      <c r="D299">
        <v>5383919</v>
      </c>
      <c r="E299">
        <v>0.400040277</v>
      </c>
      <c r="F299">
        <v>0</v>
      </c>
      <c r="G299">
        <v>0</v>
      </c>
      <c r="H299">
        <v>0.0020292769941052629</v>
      </c>
      <c r="I299" t="s">
        <v>137</v>
      </c>
      <c r="J299">
        <v>0.01403650094736842</v>
      </c>
      <c r="K299">
        <v>0.41610605494147368</v>
      </c>
      <c r="L299">
        <v>0.010263958479019376</v>
      </c>
      <c r="M299">
        <v>0.061583750874116258</v>
      </c>
      <c r="N299">
        <v>0.47768980581558995</v>
      </c>
      <c r="O299" t="s">
        <v>138</v>
      </c>
      <c r="P299">
        <v>0.024966363296488422</v>
      </c>
      <c r="Q299" t="s">
        <v>138</v>
      </c>
      <c r="R299">
        <v>0.0036950250524469754</v>
      </c>
      <c r="S299" t="s">
        <v>139</v>
      </c>
      <c r="T299">
        <v>0.057322776697870795</v>
      </c>
      <c r="U299">
        <v>0.56367397086239612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60</v>
      </c>
      <c r="AB299">
        <v>1</v>
      </c>
      <c r="AC299">
        <v>0.50</v>
      </c>
      <c r="AD299">
        <v>0.50345253019720215</v>
      </c>
      <c r="AE299">
        <v>596.70</v>
      </c>
      <c r="AF299">
        <v>200000</v>
      </c>
      <c r="AG299">
        <v>16666.666666666668</v>
      </c>
      <c r="AH299">
        <v>1</v>
      </c>
      <c r="AI299">
        <v>1</v>
      </c>
      <c r="AJ299" t="s">
        <v>136</v>
      </c>
      <c r="AK299" t="s">
        <v>137</v>
      </c>
      <c r="AL299">
        <v>0</v>
      </c>
      <c r="AM299" t="s">
        <v>137</v>
      </c>
      <c r="AN299">
        <v>0</v>
      </c>
    </row>
    <row r="300" spans="1:42" ht="12.75">
      <c r="A300" s="2" t="str">
        <f>HYPERLINK("https://ibp.a2mac1.com/costing(costing:projects/details/8191/process/6972190)","Automated Process")</f>
        <v>Automated Process</v>
      </c>
      <c r="C300">
        <v>6972190</v>
      </c>
      <c r="D300">
        <v>5383920</v>
      </c>
      <c r="E300">
        <v>0.22873872000000001</v>
      </c>
      <c r="F300">
        <v>0</v>
      </c>
      <c r="G300">
        <v>0</v>
      </c>
      <c r="H300">
        <v>0.00116031872</v>
      </c>
      <c r="I300" t="s">
        <v>137</v>
      </c>
      <c r="J300">
        <v>0.0080259200000000006</v>
      </c>
      <c r="K300">
        <v>0.23792495872</v>
      </c>
      <c r="L300">
        <v>0.0044107054974815976</v>
      </c>
      <c r="M300">
        <v>0.026464232984889587</v>
      </c>
      <c r="N300">
        <v>0.26438919170488961</v>
      </c>
      <c r="O300" t="s">
        <v>138</v>
      </c>
      <c r="P300">
        <v>0.014275497523200001</v>
      </c>
      <c r="Q300" t="s">
        <v>138</v>
      </c>
      <c r="R300">
        <v>0.0015878539790933751</v>
      </c>
      <c r="S300" t="s">
        <v>139</v>
      </c>
      <c r="T300">
        <v>0.03172670300458675</v>
      </c>
      <c r="U300">
        <v>0.3119792462117697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60</v>
      </c>
      <c r="AB300">
        <v>1</v>
      </c>
      <c r="AC300">
        <v>0.50</v>
      </c>
      <c r="AD300">
        <v>0.50345253019720215</v>
      </c>
      <c r="AE300">
        <v>256.50</v>
      </c>
      <c r="AF300">
        <v>200000</v>
      </c>
      <c r="AG300">
        <v>16666.666666666668</v>
      </c>
      <c r="AH300">
        <v>1</v>
      </c>
      <c r="AI300">
        <v>1</v>
      </c>
      <c r="AJ300" t="s">
        <v>136</v>
      </c>
      <c r="AK300" t="s">
        <v>137</v>
      </c>
      <c r="AL300">
        <v>0</v>
      </c>
      <c r="AM300" t="s">
        <v>137</v>
      </c>
      <c r="AN300">
        <v>0</v>
      </c>
    </row>
    <row r="301" spans="1:42" ht="12.75">
      <c r="A301" s="2" t="str">
        <f>HYPERLINK("https://ibp.a2mac1.com/costing(costing:projects/details/8191/process/6972191)","Automated Process")</f>
        <v>Automated Process</v>
      </c>
      <c r="C301">
        <v>6972191</v>
      </c>
      <c r="D301">
        <v>5383922</v>
      </c>
      <c r="E301">
        <v>0.137570412</v>
      </c>
      <c r="F301">
        <v>0</v>
      </c>
      <c r="G301">
        <v>0</v>
      </c>
      <c r="H301">
        <v>0.00069785091200000001</v>
      </c>
      <c r="I301" t="s">
        <v>137</v>
      </c>
      <c r="J301">
        <v>0.0048270320000000002</v>
      </c>
      <c r="K301">
        <v>0.14309529491199999</v>
      </c>
      <c r="L301">
        <v>0.0035283951048529147</v>
      </c>
      <c r="M301">
        <v>0.021170370629117488</v>
      </c>
      <c r="N301">
        <v>0.16426566554111749</v>
      </c>
      <c r="O301" t="s">
        <v>138</v>
      </c>
      <c r="P301">
        <v>0.0085857176947199999</v>
      </c>
      <c r="Q301" t="s">
        <v>138</v>
      </c>
      <c r="R301">
        <v>0.0012702222377470494</v>
      </c>
      <c r="S301" t="s">
        <v>139</v>
      </c>
      <c r="T301">
        <v>0.019711879864934098</v>
      </c>
      <c r="U301">
        <v>0.19383348533851863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60</v>
      </c>
      <c r="AB301">
        <v>1</v>
      </c>
      <c r="AC301">
        <v>0.50</v>
      </c>
      <c r="AD301">
        <v>0.50345253019720215</v>
      </c>
      <c r="AE301">
        <v>205.20</v>
      </c>
      <c r="AF301">
        <v>200000</v>
      </c>
      <c r="AG301">
        <v>16666.666666666668</v>
      </c>
      <c r="AH301">
        <v>1</v>
      </c>
      <c r="AI301">
        <v>1</v>
      </c>
      <c r="AJ301" t="s">
        <v>136</v>
      </c>
      <c r="AK301" t="s">
        <v>137</v>
      </c>
      <c r="AL301">
        <v>0</v>
      </c>
      <c r="AM301" t="s">
        <v>137</v>
      </c>
      <c r="AN301">
        <v>0</v>
      </c>
    </row>
    <row r="302" spans="1:42" ht="12.75">
      <c r="A302" s="2" t="str">
        <f>HYPERLINK("https://ibp.a2mac1.com/costing(costing:projects/details/8191/process/6972192)","Automated Process")</f>
        <v>Automated Process</v>
      </c>
      <c r="C302">
        <v>6972192</v>
      </c>
      <c r="D302">
        <v>5383923</v>
      </c>
      <c r="E302">
        <v>0.092316987000000003</v>
      </c>
      <c r="F302">
        <v>0</v>
      </c>
      <c r="G302">
        <v>0</v>
      </c>
      <c r="H302">
        <v>0.0004682946909473684</v>
      </c>
      <c r="I302" t="s">
        <v>137</v>
      </c>
      <c r="J302">
        <v>0.0032391925263157897</v>
      </c>
      <c r="K302">
        <v>0.096024474217263164</v>
      </c>
      <c r="L302">
        <v>0.002367589340622376</v>
      </c>
      <c r="M302">
        <v>0.014205536043734255</v>
      </c>
      <c r="N302">
        <v>0.11023001026099741</v>
      </c>
      <c r="O302" t="s">
        <v>90</v>
      </c>
      <c r="P302">
        <v>0</v>
      </c>
      <c r="Q302" t="s">
        <v>90</v>
      </c>
      <c r="R302">
        <v>0</v>
      </c>
      <c r="S302" t="s">
        <v>90</v>
      </c>
      <c r="T302">
        <v>0</v>
      </c>
      <c r="U302">
        <v>0.11023001026099741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60</v>
      </c>
      <c r="AB302">
        <v>1</v>
      </c>
      <c r="AC302">
        <v>0.50</v>
      </c>
      <c r="AD302">
        <v>0.50345253019720215</v>
      </c>
      <c r="AE302">
        <v>137.70</v>
      </c>
      <c r="AF302">
        <v>200000</v>
      </c>
      <c r="AG302">
        <v>16666.666666666668</v>
      </c>
      <c r="AH302">
        <v>1</v>
      </c>
      <c r="AI302">
        <v>1</v>
      </c>
      <c r="AJ302" t="s">
        <v>136</v>
      </c>
      <c r="AK302" t="s">
        <v>137</v>
      </c>
      <c r="AL302">
        <v>0</v>
      </c>
      <c r="AM302" t="s">
        <v>137</v>
      </c>
      <c r="AN302">
        <v>0</v>
      </c>
    </row>
    <row r="303" spans="1:42" ht="12.75">
      <c r="A303" s="2" t="str">
        <f>HYPERLINK("https://ibp.a2mac1.com/costing(costing:projects/details/8191/process/6972126)","Automated Process")</f>
        <v>Automated Process</v>
      </c>
      <c r="C303">
        <v>6972126</v>
      </c>
      <c r="D303">
        <v>5383653</v>
      </c>
      <c r="E303">
        <v>0.0085434719999999999</v>
      </c>
      <c r="F303">
        <v>0</v>
      </c>
      <c r="G303">
        <v>0</v>
      </c>
      <c r="H303">
        <v>4.3338314105263159E-05</v>
      </c>
      <c r="I303" t="s">
        <v>137</v>
      </c>
      <c r="J303">
        <v>0.00029977094736842105</v>
      </c>
      <c r="K303">
        <v>0.008886581261473684</v>
      </c>
      <c r="L303">
        <v>0.00018567124068331081</v>
      </c>
      <c r="M303">
        <v>0.0011140274440998648</v>
      </c>
      <c r="N303">
        <v>0.010000608705573549</v>
      </c>
      <c r="O303" t="s">
        <v>90</v>
      </c>
      <c r="P303">
        <v>0</v>
      </c>
      <c r="Q303" t="s">
        <v>90</v>
      </c>
      <c r="R303">
        <v>0</v>
      </c>
      <c r="S303" t="s">
        <v>90</v>
      </c>
      <c r="T303">
        <v>0</v>
      </c>
      <c r="U303">
        <v>0.010000608705573549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60</v>
      </c>
      <c r="AB303">
        <v>1</v>
      </c>
      <c r="AC303">
        <v>0.50</v>
      </c>
      <c r="AD303">
        <v>0.50345253019720215</v>
      </c>
      <c r="AE303">
        <v>10.80</v>
      </c>
      <c r="AF303">
        <v>200000</v>
      </c>
      <c r="AG303">
        <v>16666.666666666668</v>
      </c>
      <c r="AH303">
        <v>1</v>
      </c>
      <c r="AI303">
        <v>1</v>
      </c>
      <c r="AJ303" t="s">
        <v>136</v>
      </c>
      <c r="AK303" t="s">
        <v>137</v>
      </c>
      <c r="AL303">
        <v>0</v>
      </c>
      <c r="AM303" t="s">
        <v>137</v>
      </c>
      <c r="AN303">
        <v>0</v>
      </c>
    </row>
    <row r="304" spans="1:42" ht="12.75">
      <c r="A304" s="2" t="str">
        <f>HYPERLINK("https://ibp.a2mac1.com/costing(costing:projects/details/8191/process/6972127)","Automated Process")</f>
        <v>Automated Process</v>
      </c>
      <c r="C304">
        <v>6972127</v>
      </c>
      <c r="D304">
        <v>5383654</v>
      </c>
      <c r="E304">
        <v>0.087733967999999996</v>
      </c>
      <c r="F304">
        <v>0</v>
      </c>
      <c r="G304">
        <v>0</v>
      </c>
      <c r="H304">
        <v>0.00044504649431578947</v>
      </c>
      <c r="I304" t="s">
        <v>137</v>
      </c>
      <c r="J304">
        <v>0.0030783848421052631</v>
      </c>
      <c r="K304">
        <v>0.091257399336421047</v>
      </c>
      <c r="L304">
        <v>0.002878325822076068</v>
      </c>
      <c r="M304">
        <v>0.017269954932456408</v>
      </c>
      <c r="N304">
        <v>0.10852735426887745</v>
      </c>
      <c r="O304" t="s">
        <v>90</v>
      </c>
      <c r="P304">
        <v>0</v>
      </c>
      <c r="Q304" t="s">
        <v>90</v>
      </c>
      <c r="R304">
        <v>0</v>
      </c>
      <c r="S304" t="s">
        <v>90</v>
      </c>
      <c r="T304">
        <v>0</v>
      </c>
      <c r="U304">
        <v>0.10852735426887745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60</v>
      </c>
      <c r="AB304">
        <v>1</v>
      </c>
      <c r="AC304">
        <v>0.50</v>
      </c>
      <c r="AD304">
        <v>0.50345253019720215</v>
      </c>
      <c r="AE304">
        <v>167.40</v>
      </c>
      <c r="AF304">
        <v>200000</v>
      </c>
      <c r="AG304">
        <v>16666.666666666668</v>
      </c>
      <c r="AH304">
        <v>1</v>
      </c>
      <c r="AI304">
        <v>1</v>
      </c>
      <c r="AJ304" t="s">
        <v>136</v>
      </c>
      <c r="AK304" t="s">
        <v>137</v>
      </c>
      <c r="AL304">
        <v>0</v>
      </c>
      <c r="AM304" t="s">
        <v>137</v>
      </c>
      <c r="AN304">
        <v>0</v>
      </c>
    </row>
    <row r="305" spans="1:42" ht="12.75">
      <c r="A305" s="2" t="str">
        <f>HYPERLINK("https://ibp.a2mac1.com/costing(costing:projects/details/8191/process/6972128)","Automated Process")</f>
        <v>Automated Process</v>
      </c>
      <c r="C305">
        <v>6972128</v>
      </c>
      <c r="D305">
        <v>5383656</v>
      </c>
      <c r="E305">
        <v>2.4350395038095236</v>
      </c>
      <c r="F305">
        <v>6.0303599999999999</v>
      </c>
      <c r="G305">
        <v>0</v>
      </c>
      <c r="H305">
        <v>0.013140977486476191</v>
      </c>
      <c r="I305" t="s">
        <v>137</v>
      </c>
      <c r="J305">
        <v>0.090896089333333333</v>
      </c>
      <c r="K305">
        <v>8.7804991706293336</v>
      </c>
      <c r="L305">
        <v>0.46158022127768444</v>
      </c>
      <c r="M305">
        <v>2.7694813276661066</v>
      </c>
      <c r="N305">
        <v>11.54998049829544</v>
      </c>
      <c r="O305" t="s">
        <v>90</v>
      </c>
      <c r="P305">
        <v>0</v>
      </c>
      <c r="Q305" t="s">
        <v>90</v>
      </c>
      <c r="R305">
        <v>0</v>
      </c>
      <c r="S305" t="s">
        <v>90</v>
      </c>
      <c r="T305">
        <v>0</v>
      </c>
      <c r="U305">
        <v>11.54998049829544</v>
      </c>
      <c r="V305">
        <v>0</v>
      </c>
      <c r="W305">
        <v>0</v>
      </c>
      <c r="X305">
        <v>2.3621322143999999</v>
      </c>
      <c r="Y305">
        <v>0</v>
      </c>
      <c r="Z305">
        <v>2.3621322143999999</v>
      </c>
      <c r="AA305">
        <v>400</v>
      </c>
      <c r="AB305">
        <v>1</v>
      </c>
      <c r="AC305">
        <v>0.50</v>
      </c>
      <c r="AD305">
        <v>0.50345253019720215</v>
      </c>
      <c r="AE305">
        <v>4041.90</v>
      </c>
      <c r="AF305">
        <v>200000</v>
      </c>
      <c r="AG305">
        <v>16666.666666666668</v>
      </c>
      <c r="AH305">
        <v>1</v>
      </c>
      <c r="AI305">
        <v>1</v>
      </c>
      <c r="AJ305" t="s">
        <v>136</v>
      </c>
      <c r="AK305" t="s">
        <v>137</v>
      </c>
      <c r="AL305">
        <v>0.21106259999999999</v>
      </c>
      <c r="AM305" t="s">
        <v>137</v>
      </c>
      <c r="AN305">
        <v>0</v>
      </c>
    </row>
    <row r="306" spans="1:42" ht="12.75">
      <c r="A306" s="2" t="str">
        <f>HYPERLINK("https://ibp.a2mac1.com/costing(costing:projects/details/8191/process/6972129)","Cutting")</f>
        <v>Cutting</v>
      </c>
      <c r="B306" t="s">
        <v>2695</v>
      </c>
      <c r="C306">
        <v>6972129</v>
      </c>
      <c r="D306">
        <v>5383657</v>
      </c>
      <c r="E306">
        <v>14.810331666666666</v>
      </c>
      <c r="F306">
        <v>0</v>
      </c>
      <c r="G306">
        <v>0</v>
      </c>
      <c r="H306">
        <v>0.031616522933333335</v>
      </c>
      <c r="I306" t="s">
        <v>137</v>
      </c>
      <c r="J306">
        <v>0.5371739333333333</v>
      </c>
      <c r="K306">
        <v>15.379122122933333</v>
      </c>
      <c r="L306">
        <v>0.016572532241005109</v>
      </c>
      <c r="M306">
        <v>0.099435193446030662</v>
      </c>
      <c r="N306">
        <v>15.478557316379364</v>
      </c>
      <c r="O306" t="s">
        <v>90</v>
      </c>
      <c r="P306">
        <v>0</v>
      </c>
      <c r="Q306" t="s">
        <v>90</v>
      </c>
      <c r="R306">
        <v>0</v>
      </c>
      <c r="S306" t="s">
        <v>90</v>
      </c>
      <c r="T306">
        <v>0</v>
      </c>
      <c r="U306">
        <v>15.478557316379364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23.47</v>
      </c>
      <c r="AB306">
        <v>1</v>
      </c>
      <c r="AC306">
        <v>0.10</v>
      </c>
      <c r="AD306">
        <v>0.20557651238448796</v>
      </c>
      <c r="AE306">
        <v>900</v>
      </c>
      <c r="AF306">
        <v>200000</v>
      </c>
      <c r="AG306">
        <v>16666.666666666668</v>
      </c>
      <c r="AH306">
        <v>1</v>
      </c>
      <c r="AI306">
        <v>1</v>
      </c>
      <c r="AJ306" t="s">
        <v>2693</v>
      </c>
      <c r="AK306" t="s">
        <v>137</v>
      </c>
      <c r="AL306">
        <v>0</v>
      </c>
      <c r="AM306" t="s">
        <v>137</v>
      </c>
      <c r="AN306">
        <v>0</v>
      </c>
    </row>
    <row r="307" spans="1:42" ht="12.75">
      <c r="A307" s="2" t="str">
        <f>HYPERLINK("https://ibp.a2mac1.com/costing(costing:projects/details/8191/process/6972130)","Sewing")</f>
        <v>Sewing</v>
      </c>
      <c r="C307">
        <v>6972130</v>
      </c>
      <c r="D307">
        <v>5383657</v>
      </c>
      <c r="E307">
        <v>0</v>
      </c>
      <c r="F307">
        <v>0</v>
      </c>
      <c r="G307">
        <v>0</v>
      </c>
      <c r="H307">
        <v>0</v>
      </c>
      <c r="I307" t="s">
        <v>137</v>
      </c>
      <c r="J307">
        <v>0</v>
      </c>
      <c r="K307">
        <v>0</v>
      </c>
      <c r="L307">
        <v>0.60303713195125241</v>
      </c>
      <c r="M307">
        <v>3.6182227917075149</v>
      </c>
      <c r="N307">
        <v>3.6182227917075149</v>
      </c>
      <c r="O307" t="s">
        <v>90</v>
      </c>
      <c r="P307">
        <v>0</v>
      </c>
      <c r="Q307" t="s">
        <v>90</v>
      </c>
      <c r="R307">
        <v>0</v>
      </c>
      <c r="S307" t="s">
        <v>90</v>
      </c>
      <c r="T307">
        <v>0</v>
      </c>
      <c r="U307">
        <v>3.6182227917075149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826.60</v>
      </c>
      <c r="AB307">
        <v>1</v>
      </c>
      <c r="AC307">
        <v>0.10</v>
      </c>
      <c r="AD307">
        <v>0.10389195236953569</v>
      </c>
      <c r="AE307">
        <v>900</v>
      </c>
      <c r="AF307">
        <v>200000</v>
      </c>
      <c r="AG307">
        <v>16666.666666666668</v>
      </c>
      <c r="AH307">
        <v>1</v>
      </c>
      <c r="AI307">
        <v>1</v>
      </c>
      <c r="AJ307" t="s">
        <v>2693</v>
      </c>
      <c r="AK307" t="s">
        <v>137</v>
      </c>
      <c r="AL307">
        <v>0</v>
      </c>
      <c r="AM307" t="s">
        <v>137</v>
      </c>
      <c r="AN307">
        <v>0</v>
      </c>
    </row>
    <row r="308" spans="1:42" ht="12.75">
      <c r="A308" s="2" t="str">
        <f>HYPERLINK("https://ibp.a2mac1.com/costing(costing:projects/details/8191/process/6972131)","Automated Process")</f>
        <v>Automated Process</v>
      </c>
      <c r="C308">
        <v>6972131</v>
      </c>
      <c r="D308">
        <v>5383659</v>
      </c>
      <c r="E308">
        <v>5.3571764609999999</v>
      </c>
      <c r="F308">
        <v>0</v>
      </c>
      <c r="G308">
        <v>0</v>
      </c>
      <c r="H308">
        <v>0.027175251020210525</v>
      </c>
      <c r="I308" t="s">
        <v>137</v>
      </c>
      <c r="J308">
        <v>0.18797110389473684</v>
      </c>
      <c r="K308">
        <v>5.5723228159149469</v>
      </c>
      <c r="L308">
        <v>0.046700627136922072</v>
      </c>
      <c r="M308">
        <v>0.28020376282153242</v>
      </c>
      <c r="N308">
        <v>5.8525265787364802</v>
      </c>
      <c r="O308" t="s">
        <v>90</v>
      </c>
      <c r="P308">
        <v>0</v>
      </c>
      <c r="Q308" t="s">
        <v>90</v>
      </c>
      <c r="R308">
        <v>0</v>
      </c>
      <c r="S308" t="s">
        <v>90</v>
      </c>
      <c r="T308">
        <v>0</v>
      </c>
      <c r="U308">
        <v>5.8525265787364802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40</v>
      </c>
      <c r="AB308">
        <v>1</v>
      </c>
      <c r="AC308">
        <v>0.50</v>
      </c>
      <c r="AD308">
        <v>0.50345253019720215</v>
      </c>
      <c r="AE308">
        <v>4041.90</v>
      </c>
      <c r="AF308">
        <v>200000</v>
      </c>
      <c r="AG308">
        <v>16666.666666666668</v>
      </c>
      <c r="AH308">
        <v>1</v>
      </c>
      <c r="AI308">
        <v>1</v>
      </c>
      <c r="AJ308" t="s">
        <v>136</v>
      </c>
      <c r="AK308" t="s">
        <v>137</v>
      </c>
      <c r="AL308">
        <v>0</v>
      </c>
      <c r="AM308" t="s">
        <v>137</v>
      </c>
      <c r="AN308">
        <v>0</v>
      </c>
    </row>
    <row r="309" spans="1:42" ht="12.75">
      <c r="A309" s="2" t="str">
        <f>HYPERLINK("https://ibp.a2mac1.com/costing(costing:projects/details/8191/process/6972193)","Automated Process")</f>
        <v>Automated Process</v>
      </c>
      <c r="C309">
        <v>6972193</v>
      </c>
      <c r="D309">
        <v>5383924</v>
      </c>
      <c r="E309">
        <v>0.38631247200000002</v>
      </c>
      <c r="F309">
        <v>0</v>
      </c>
      <c r="G309">
        <v>0</v>
      </c>
      <c r="H309">
        <v>0.0019596402088421054</v>
      </c>
      <c r="I309" t="s">
        <v>137</v>
      </c>
      <c r="J309">
        <v>0.013554823578947368</v>
      </c>
      <c r="K309">
        <v>0.4018269357877895</v>
      </c>
      <c r="L309">
        <v>0.012680671857911158</v>
      </c>
      <c r="M309">
        <v>0.076084031147466952</v>
      </c>
      <c r="N309">
        <v>0.47791096693525642</v>
      </c>
      <c r="O309" t="s">
        <v>90</v>
      </c>
      <c r="P309">
        <v>0</v>
      </c>
      <c r="Q309" t="s">
        <v>90</v>
      </c>
      <c r="R309">
        <v>0</v>
      </c>
      <c r="S309" t="s">
        <v>90</v>
      </c>
      <c r="T309">
        <v>0</v>
      </c>
      <c r="U309">
        <v>0.47791096693525642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60</v>
      </c>
      <c r="AB309">
        <v>1</v>
      </c>
      <c r="AC309">
        <v>0.50</v>
      </c>
      <c r="AD309">
        <v>0.50345253019720215</v>
      </c>
      <c r="AE309">
        <v>737.10</v>
      </c>
      <c r="AF309">
        <v>200000</v>
      </c>
      <c r="AG309">
        <v>16666.666666666668</v>
      </c>
      <c r="AH309">
        <v>1</v>
      </c>
      <c r="AI309">
        <v>1</v>
      </c>
      <c r="AJ309" t="s">
        <v>136</v>
      </c>
      <c r="AK309" t="s">
        <v>137</v>
      </c>
      <c r="AL309">
        <v>0</v>
      </c>
      <c r="AM309" t="s">
        <v>137</v>
      </c>
      <c r="AN309">
        <v>0</v>
      </c>
    </row>
    <row r="310" spans="1:42" ht="12.75">
      <c r="A310" s="2" t="str">
        <f>HYPERLINK("https://ibp.a2mac1.com/costing(costing:projects/details/8191/process/6972194)","Automated Process")</f>
        <v>Automated Process</v>
      </c>
      <c r="C310">
        <v>6972194</v>
      </c>
      <c r="D310">
        <v>5383925</v>
      </c>
      <c r="E310">
        <v>0.123110568</v>
      </c>
      <c r="F310">
        <v>0</v>
      </c>
      <c r="G310">
        <v>0</v>
      </c>
      <c r="H310">
        <v>0.00062450072589473684</v>
      </c>
      <c r="I310" t="s">
        <v>137</v>
      </c>
      <c r="J310">
        <v>0.0043196690526315787</v>
      </c>
      <c r="K310">
        <v>0.12805473777852633</v>
      </c>
      <c r="L310">
        <v>0.0040391960677628397</v>
      </c>
      <c r="M310">
        <v>0.024235176406577037</v>
      </c>
      <c r="N310">
        <v>0.15228991418510335</v>
      </c>
      <c r="O310" t="s">
        <v>90</v>
      </c>
      <c r="P310">
        <v>0</v>
      </c>
      <c r="Q310" t="s">
        <v>90</v>
      </c>
      <c r="R310">
        <v>0</v>
      </c>
      <c r="S310" t="s">
        <v>90</v>
      </c>
      <c r="T310">
        <v>0</v>
      </c>
      <c r="U310">
        <v>0.15228991418510335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60</v>
      </c>
      <c r="AB310">
        <v>1</v>
      </c>
      <c r="AC310">
        <v>0.50</v>
      </c>
      <c r="AD310">
        <v>0.50345253019720215</v>
      </c>
      <c r="AE310">
        <v>234.90</v>
      </c>
      <c r="AF310">
        <v>200000</v>
      </c>
      <c r="AG310">
        <v>16666.666666666668</v>
      </c>
      <c r="AH310">
        <v>1</v>
      </c>
      <c r="AI310">
        <v>1</v>
      </c>
      <c r="AJ310" t="s">
        <v>136</v>
      </c>
      <c r="AK310" t="s">
        <v>137</v>
      </c>
      <c r="AL310">
        <v>0</v>
      </c>
      <c r="AM310" t="s">
        <v>137</v>
      </c>
      <c r="AN310">
        <v>0</v>
      </c>
    </row>
    <row r="311" spans="1:42" ht="12.75">
      <c r="A311" s="2" t="str">
        <f>HYPERLINK("https://ibp.a2mac1.com/costing(costing:projects/details/8191/process/6972195)","Automated Process")</f>
        <v>Automated Process</v>
      </c>
      <c r="C311">
        <v>6972195</v>
      </c>
      <c r="D311">
        <v>5383926</v>
      </c>
      <c r="E311">
        <v>0.136991421</v>
      </c>
      <c r="F311">
        <v>0</v>
      </c>
      <c r="G311">
        <v>0</v>
      </c>
      <c r="H311">
        <v>0.00069491387494736837</v>
      </c>
      <c r="I311" t="s">
        <v>137</v>
      </c>
      <c r="J311">
        <v>0.0048067165263157895</v>
      </c>
      <c r="K311">
        <v>0.14249305140126317</v>
      </c>
      <c r="L311">
        <v>0.0059897879910945041</v>
      </c>
      <c r="M311">
        <v>0.035938727946567023</v>
      </c>
      <c r="N311">
        <v>0.17843177934783019</v>
      </c>
      <c r="O311" t="s">
        <v>90</v>
      </c>
      <c r="P311">
        <v>0</v>
      </c>
      <c r="Q311" t="s">
        <v>90</v>
      </c>
      <c r="R311">
        <v>0</v>
      </c>
      <c r="S311" t="s">
        <v>90</v>
      </c>
      <c r="T311">
        <v>0</v>
      </c>
      <c r="U311">
        <v>0.17843177934783019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60</v>
      </c>
      <c r="AB311">
        <v>1</v>
      </c>
      <c r="AC311">
        <v>0.50</v>
      </c>
      <c r="AD311">
        <v>0.50345253019720215</v>
      </c>
      <c r="AE311">
        <v>348.30</v>
      </c>
      <c r="AF311">
        <v>200000</v>
      </c>
      <c r="AG311">
        <v>16666.666666666668</v>
      </c>
      <c r="AH311">
        <v>1</v>
      </c>
      <c r="AI311">
        <v>1</v>
      </c>
      <c r="AJ311" t="s">
        <v>136</v>
      </c>
      <c r="AK311" t="s">
        <v>137</v>
      </c>
      <c r="AL311">
        <v>0</v>
      </c>
      <c r="AM311" t="s">
        <v>137</v>
      </c>
      <c r="AN311">
        <v>0</v>
      </c>
    </row>
    <row r="312" spans="1:42" ht="12.75">
      <c r="A312" s="2" t="str">
        <f>HYPERLINK("https://ibp.a2mac1.com/costing(costing:projects/details/8191/process/6972132)","Automated Process")</f>
        <v>Automated Process</v>
      </c>
      <c r="C312">
        <v>6972132</v>
      </c>
      <c r="D312">
        <v>5383660</v>
      </c>
      <c r="E312">
        <v>5.06999493</v>
      </c>
      <c r="F312">
        <v>0</v>
      </c>
      <c r="G312">
        <v>0</v>
      </c>
      <c r="H312">
        <v>0.025718470522105262</v>
      </c>
      <c r="I312" t="s">
        <v>137</v>
      </c>
      <c r="J312">
        <v>0.17789455894736841</v>
      </c>
      <c r="K312">
        <v>5.2736079594694738</v>
      </c>
      <c r="L312">
        <v>0.044599252838539744</v>
      </c>
      <c r="M312">
        <v>0.26759551703123846</v>
      </c>
      <c r="N312">
        <v>5.5412034765007121</v>
      </c>
      <c r="O312" t="s">
        <v>90</v>
      </c>
      <c r="P312">
        <v>0</v>
      </c>
      <c r="Q312" t="s">
        <v>90</v>
      </c>
      <c r="R312">
        <v>0</v>
      </c>
      <c r="S312" t="s">
        <v>90</v>
      </c>
      <c r="T312">
        <v>0</v>
      </c>
      <c r="U312">
        <v>5.5412034765007121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40</v>
      </c>
      <c r="AB312">
        <v>1</v>
      </c>
      <c r="AC312">
        <v>0.50</v>
      </c>
      <c r="AD312">
        <v>0.50345253019720215</v>
      </c>
      <c r="AE312">
        <v>3861</v>
      </c>
      <c r="AF312">
        <v>200000</v>
      </c>
      <c r="AG312">
        <v>16666.666666666668</v>
      </c>
      <c r="AH312">
        <v>1</v>
      </c>
      <c r="AI312">
        <v>1</v>
      </c>
      <c r="AJ312" t="s">
        <v>136</v>
      </c>
      <c r="AK312" t="s">
        <v>137</v>
      </c>
      <c r="AL312">
        <v>0</v>
      </c>
      <c r="AM312" t="s">
        <v>137</v>
      </c>
      <c r="AN312">
        <v>0</v>
      </c>
    </row>
    <row r="313" spans="1:42" ht="12.75">
      <c r="A313" s="2" t="str">
        <f>HYPERLINK("https://ibp.a2mac1.com/costing(costing:projects/details/8191/process/6972133)","Cutting")</f>
        <v>Cutting</v>
      </c>
      <c r="B313" t="s">
        <v>2695</v>
      </c>
      <c r="C313">
        <v>6972133</v>
      </c>
      <c r="D313">
        <v>5383663</v>
      </c>
      <c r="E313">
        <v>9.0427776000000009</v>
      </c>
      <c r="F313">
        <v>0</v>
      </c>
      <c r="G313">
        <v>0</v>
      </c>
      <c r="H313">
        <v>0.019920421930666666</v>
      </c>
      <c r="I313" t="s">
        <v>137</v>
      </c>
      <c r="J313">
        <v>0.33845377066666665</v>
      </c>
      <c r="K313">
        <v>9.401151792597334</v>
      </c>
      <c r="L313">
        <v>0.012926094572625575</v>
      </c>
      <c r="M313">
        <v>0.077556567435753454</v>
      </c>
      <c r="N313">
        <v>9.478708360033087</v>
      </c>
      <c r="O313" t="s">
        <v>90</v>
      </c>
      <c r="P313">
        <v>0</v>
      </c>
      <c r="Q313" t="s">
        <v>90</v>
      </c>
      <c r="R313">
        <v>0</v>
      </c>
      <c r="S313" t="s">
        <v>90</v>
      </c>
      <c r="T313">
        <v>0</v>
      </c>
      <c r="U313">
        <v>9.478708360033087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18.29</v>
      </c>
      <c r="AB313">
        <v>1</v>
      </c>
      <c r="AC313">
        <v>0.10</v>
      </c>
      <c r="AD313">
        <v>0.20557651238448796</v>
      </c>
      <c r="AE313">
        <v>900</v>
      </c>
      <c r="AF313">
        <v>200000</v>
      </c>
      <c r="AG313">
        <v>16666.666666666668</v>
      </c>
      <c r="AH313">
        <v>1</v>
      </c>
      <c r="AI313">
        <v>1</v>
      </c>
      <c r="AJ313" t="s">
        <v>2693</v>
      </c>
      <c r="AK313" t="s">
        <v>137</v>
      </c>
      <c r="AL313">
        <v>0</v>
      </c>
      <c r="AM313" t="s">
        <v>137</v>
      </c>
      <c r="AN313">
        <v>0</v>
      </c>
    </row>
    <row r="314" spans="1:42" ht="12.75">
      <c r="A314" s="2" t="str">
        <f>HYPERLINK("https://ibp.a2mac1.com/costing(costing:projects/details/8191/process/6972134)","Sewing")</f>
        <v>Sewing</v>
      </c>
      <c r="C314">
        <v>6972134</v>
      </c>
      <c r="D314">
        <v>5383663</v>
      </c>
      <c r="E314">
        <v>0</v>
      </c>
      <c r="F314">
        <v>0</v>
      </c>
      <c r="G314">
        <v>0</v>
      </c>
      <c r="H314">
        <v>0</v>
      </c>
      <c r="I314" t="s">
        <v>137</v>
      </c>
      <c r="J314">
        <v>0</v>
      </c>
      <c r="K314">
        <v>0</v>
      </c>
      <c r="L314">
        <v>0.46521428788402464</v>
      </c>
      <c r="M314">
        <v>2.7912857273041478</v>
      </c>
      <c r="N314">
        <v>2.7912857273041478</v>
      </c>
      <c r="O314" t="s">
        <v>90</v>
      </c>
      <c r="P314">
        <v>0</v>
      </c>
      <c r="Q314" t="s">
        <v>90</v>
      </c>
      <c r="R314">
        <v>0</v>
      </c>
      <c r="S314" t="s">
        <v>90</v>
      </c>
      <c r="T314">
        <v>0</v>
      </c>
      <c r="U314">
        <v>2.7912857273041478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637.67</v>
      </c>
      <c r="AB314">
        <v>1</v>
      </c>
      <c r="AC314">
        <v>0.10</v>
      </c>
      <c r="AD314">
        <v>0.10389195236953569</v>
      </c>
      <c r="AE314">
        <v>900</v>
      </c>
      <c r="AF314">
        <v>200000</v>
      </c>
      <c r="AG314">
        <v>16666.666666666668</v>
      </c>
      <c r="AH314">
        <v>1</v>
      </c>
      <c r="AI314">
        <v>1</v>
      </c>
      <c r="AJ314" t="s">
        <v>2693</v>
      </c>
      <c r="AK314" t="s">
        <v>137</v>
      </c>
      <c r="AL314">
        <v>0</v>
      </c>
      <c r="AM314" t="s">
        <v>137</v>
      </c>
      <c r="AN314">
        <v>0</v>
      </c>
    </row>
    <row r="315" spans="1:42" ht="12.75">
      <c r="A315" s="2" t="str">
        <f>HYPERLINK("https://ibp.a2mac1.com/costing(costing:projects/details/8191/process/6972135)","Automated Process")</f>
        <v>Automated Process</v>
      </c>
      <c r="C315">
        <v>6972135</v>
      </c>
      <c r="D315">
        <v>5383664</v>
      </c>
      <c r="E315">
        <v>3.6061216699999998</v>
      </c>
      <c r="F315">
        <v>0</v>
      </c>
      <c r="G315">
        <v>0</v>
      </c>
      <c r="H315">
        <v>0.021038418412</v>
      </c>
      <c r="I315" t="s">
        <v>137</v>
      </c>
      <c r="J315">
        <v>0.145522657</v>
      </c>
      <c r="K315">
        <v>3.7726827454120002</v>
      </c>
      <c r="L315">
        <v>0.26566485737787998</v>
      </c>
      <c r="M315">
        <v>1.59398914426728</v>
      </c>
      <c r="N315">
        <v>5.3666718896792798</v>
      </c>
      <c r="O315" t="s">
        <v>90</v>
      </c>
      <c r="P315">
        <v>0</v>
      </c>
      <c r="Q315" t="s">
        <v>90</v>
      </c>
      <c r="R315">
        <v>0</v>
      </c>
      <c r="S315" t="s">
        <v>90</v>
      </c>
      <c r="T315">
        <v>0</v>
      </c>
      <c r="U315">
        <v>5.3666718896792798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230</v>
      </c>
      <c r="AB315">
        <v>1</v>
      </c>
      <c r="AC315">
        <v>0.50</v>
      </c>
      <c r="AD315">
        <v>0.50345253019720215</v>
      </c>
      <c r="AE315">
        <v>4041.90</v>
      </c>
      <c r="AF315">
        <v>200000</v>
      </c>
      <c r="AG315">
        <v>16666.666666666668</v>
      </c>
      <c r="AH315">
        <v>1</v>
      </c>
      <c r="AI315">
        <v>1</v>
      </c>
      <c r="AJ315" t="s">
        <v>136</v>
      </c>
      <c r="AK315" t="s">
        <v>137</v>
      </c>
      <c r="AL315">
        <v>0</v>
      </c>
      <c r="AM315" t="s">
        <v>137</v>
      </c>
      <c r="AN315">
        <v>0</v>
      </c>
    </row>
    <row r="316" spans="1:42" ht="12.75">
      <c r="A316" s="2" t="str">
        <f>HYPERLINK("https://ibp.a2mac1.com/costing(costing:projects/details/8191/process/6972136)","Automated Process")</f>
        <v>Automated Process</v>
      </c>
      <c r="C316">
        <v>6972136</v>
      </c>
      <c r="D316">
        <v>5383665</v>
      </c>
      <c r="E316">
        <v>1.2286470678461539</v>
      </c>
      <c r="F316">
        <v>0</v>
      </c>
      <c r="G316">
        <v>0</v>
      </c>
      <c r="H316">
        <v>0.006696992361230769</v>
      </c>
      <c r="I316" t="s">
        <v>137</v>
      </c>
      <c r="J316">
        <v>0.046323069692307692</v>
      </c>
      <c r="K316">
        <v>1.2816671298996922</v>
      </c>
      <c r="L316">
        <v>0.1273716593309592</v>
      </c>
      <c r="M316">
        <v>0.76422995598575516</v>
      </c>
      <c r="N316">
        <v>2.0458970858854477</v>
      </c>
      <c r="O316" t="s">
        <v>90</v>
      </c>
      <c r="P316">
        <v>0</v>
      </c>
      <c r="Q316" t="s">
        <v>90</v>
      </c>
      <c r="R316">
        <v>0</v>
      </c>
      <c r="S316" t="s">
        <v>90</v>
      </c>
      <c r="T316">
        <v>0</v>
      </c>
      <c r="U316">
        <v>2.0458970858854477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110</v>
      </c>
      <c r="AB316">
        <v>1</v>
      </c>
      <c r="AC316">
        <v>0.50</v>
      </c>
      <c r="AD316">
        <v>0.50345253019720215</v>
      </c>
      <c r="AE316">
        <v>4041.90</v>
      </c>
      <c r="AF316">
        <v>200000</v>
      </c>
      <c r="AG316">
        <v>16666.666666666668</v>
      </c>
      <c r="AH316">
        <v>1</v>
      </c>
      <c r="AI316">
        <v>1</v>
      </c>
      <c r="AJ316" t="s">
        <v>136</v>
      </c>
      <c r="AK316" t="s">
        <v>137</v>
      </c>
      <c r="AL316">
        <v>0</v>
      </c>
      <c r="AM316" t="s">
        <v>137</v>
      </c>
      <c r="AN316">
        <v>0</v>
      </c>
    </row>
    <row r="317" spans="1:42" ht="12.75">
      <c r="A317" s="2" t="str">
        <f>HYPERLINK("https://ibp.a2mac1.com/costing(costing:projects/details/8191/process/6972196)","Automated Process")</f>
        <v>Automated Process</v>
      </c>
      <c r="C317">
        <v>6972196</v>
      </c>
      <c r="D317">
        <v>5383930</v>
      </c>
      <c r="E317">
        <v>0.002135868</v>
      </c>
      <c r="F317">
        <v>0</v>
      </c>
      <c r="G317">
        <v>0</v>
      </c>
      <c r="H317">
        <v>1.083457852631579E-05</v>
      </c>
      <c r="I317" t="s">
        <v>137</v>
      </c>
      <c r="J317">
        <v>7.4942736842105264E-05</v>
      </c>
      <c r="K317">
        <v>0.002221645315368421</v>
      </c>
      <c r="L317">
        <v>0.00046212847462690231</v>
      </c>
      <c r="M317">
        <v>0.0027727708477614139</v>
      </c>
      <c r="N317">
        <v>0.0049944161631298349</v>
      </c>
      <c r="O317" t="s">
        <v>138</v>
      </c>
      <c r="P317">
        <v>0.00013329871892210526</v>
      </c>
      <c r="Q317" t="s">
        <v>138</v>
      </c>
      <c r="R317">
        <v>0.00016636625086568482</v>
      </c>
      <c r="S317" t="s">
        <v>139</v>
      </c>
      <c r="T317">
        <v>0.00059932993957558022</v>
      </c>
      <c r="U317">
        <v>0.0058934110724932053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600</v>
      </c>
      <c r="AB317">
        <v>1</v>
      </c>
      <c r="AC317">
        <v>0.50</v>
      </c>
      <c r="AD317">
        <v>0.50345253019720215</v>
      </c>
      <c r="AE317">
        <v>2.70</v>
      </c>
      <c r="AF317">
        <v>200000</v>
      </c>
      <c r="AG317">
        <v>16666.666666666668</v>
      </c>
      <c r="AH317">
        <v>1</v>
      </c>
      <c r="AI317">
        <v>1</v>
      </c>
      <c r="AJ317" t="s">
        <v>136</v>
      </c>
      <c r="AK317" t="s">
        <v>137</v>
      </c>
      <c r="AL317">
        <v>0</v>
      </c>
      <c r="AM317" t="s">
        <v>137</v>
      </c>
      <c r="AN317">
        <v>0</v>
      </c>
    </row>
    <row r="318" spans="1:42" ht="12.75">
      <c r="A318" s="2" t="str">
        <f>HYPERLINK("https://ibp.a2mac1.com/costing(costing:projects/details/8191/process/6972197)","Automated Process")</f>
        <v>Automated Process</v>
      </c>
      <c r="C318">
        <v>6972197</v>
      </c>
      <c r="D318">
        <v>5383932</v>
      </c>
      <c r="E318">
        <v>0.039823013999999997</v>
      </c>
      <c r="F318">
        <v>0</v>
      </c>
      <c r="G318">
        <v>0</v>
      </c>
      <c r="H318">
        <v>0.00020200947452631579</v>
      </c>
      <c r="I318" t="s">
        <v>137</v>
      </c>
      <c r="J318">
        <v>0.0013972987368421053</v>
      </c>
      <c r="K318">
        <v>0.04142232221136842</v>
      </c>
      <c r="L318">
        <v>0.0027148757237045467</v>
      </c>
      <c r="M318">
        <v>0.016289254342227281</v>
      </c>
      <c r="N318">
        <v>0.057711576553595705</v>
      </c>
      <c r="O318" t="s">
        <v>138</v>
      </c>
      <c r="P318">
        <v>0.0024853393326821054</v>
      </c>
      <c r="Q318" t="s">
        <v>138</v>
      </c>
      <c r="R318">
        <v>0.00097735526053363683</v>
      </c>
      <c r="S318" t="s">
        <v>139</v>
      </c>
      <c r="T318">
        <v>0.0069253891864314845</v>
      </c>
      <c r="U318">
        <v>0.068099660333242926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160</v>
      </c>
      <c r="AB318">
        <v>1</v>
      </c>
      <c r="AC318">
        <v>0.50</v>
      </c>
      <c r="AD318">
        <v>0.50345253019720215</v>
      </c>
      <c r="AE318">
        <v>59.40</v>
      </c>
      <c r="AF318">
        <v>200000</v>
      </c>
      <c r="AG318">
        <v>16666.666666666668</v>
      </c>
      <c r="AH318">
        <v>1</v>
      </c>
      <c r="AI318">
        <v>1</v>
      </c>
      <c r="AJ318" t="s">
        <v>136</v>
      </c>
      <c r="AK318" t="s">
        <v>137</v>
      </c>
      <c r="AL318">
        <v>0</v>
      </c>
      <c r="AM318" t="s">
        <v>137</v>
      </c>
      <c r="AN318">
        <v>0</v>
      </c>
    </row>
    <row r="319" spans="1:42" ht="12.75">
      <c r="A319" s="2" t="str">
        <f>HYPERLINK("https://ibp.a2mac1.com/costing(costing:projects/details/8191/process/6972137)","Cleaning")</f>
        <v>Cleaning</v>
      </c>
      <c r="C319">
        <v>6972137</v>
      </c>
      <c r="D319">
        <v>5383669</v>
      </c>
      <c r="E319">
        <v>0</v>
      </c>
      <c r="F319">
        <v>0</v>
      </c>
      <c r="G319">
        <v>0</v>
      </c>
      <c r="H319">
        <v>0</v>
      </c>
      <c r="I319" t="s">
        <v>137</v>
      </c>
      <c r="J319">
        <v>0</v>
      </c>
      <c r="K319">
        <v>0</v>
      </c>
      <c r="L319">
        <v>0.013359811301028994</v>
      </c>
      <c r="M319">
        <v>0.08015886780617397</v>
      </c>
      <c r="N319">
        <v>0.08015886780617397</v>
      </c>
      <c r="O319" t="s">
        <v>138</v>
      </c>
      <c r="P319">
        <v>0</v>
      </c>
      <c r="Q319" t="s">
        <v>138</v>
      </c>
      <c r="R319">
        <v>0.0048095320683704378</v>
      </c>
      <c r="S319" t="s">
        <v>139</v>
      </c>
      <c r="T319">
        <v>0.0096190641367408757</v>
      </c>
      <c r="U319">
        <v>0.094587464011285274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10</v>
      </c>
      <c r="AB319">
        <v>1</v>
      </c>
      <c r="AC319">
        <v>0</v>
      </c>
      <c r="AD319">
        <v>0.0019999600007999841</v>
      </c>
      <c r="AE319">
        <v>0</v>
      </c>
      <c r="AF319">
        <v>200000</v>
      </c>
      <c r="AG319">
        <v>16666.666666666668</v>
      </c>
      <c r="AH319">
        <v>1</v>
      </c>
      <c r="AI319">
        <v>1</v>
      </c>
      <c r="AJ319" t="s">
        <v>136</v>
      </c>
      <c r="AK319" t="s">
        <v>137</v>
      </c>
      <c r="AL319">
        <v>0</v>
      </c>
      <c r="AM319" t="s">
        <v>137</v>
      </c>
      <c r="AN319">
        <v>0</v>
      </c>
    </row>
    <row r="320" spans="1:42" ht="12.75">
      <c r="A320" s="2" t="str">
        <f>HYPERLINK("https://ibp.a2mac1.com/costing(costing:projects/details/8191/process/6972138)","Stamping")</f>
        <v>Stamping</v>
      </c>
      <c r="C320">
        <v>6972138</v>
      </c>
      <c r="D320">
        <v>5383669</v>
      </c>
      <c r="E320">
        <v>0.066696223999999998</v>
      </c>
      <c r="F320">
        <v>0</v>
      </c>
      <c r="G320">
        <v>0</v>
      </c>
      <c r="H320">
        <v>1.6885119999999999E-06</v>
      </c>
      <c r="I320" t="s">
        <v>137</v>
      </c>
      <c r="J320">
        <v>0.0029548959999999998</v>
      </c>
      <c r="K320">
        <v>0.069652808511999995</v>
      </c>
      <c r="L320">
        <v>0.00719730191829741</v>
      </c>
      <c r="M320">
        <v>0.04318381150978446</v>
      </c>
      <c r="N320">
        <v>0.11283662002178446</v>
      </c>
      <c r="O320" t="s">
        <v>138</v>
      </c>
      <c r="P320">
        <v>0.0041791685107199997</v>
      </c>
      <c r="Q320" t="s">
        <v>138</v>
      </c>
      <c r="R320">
        <v>0.0025910286905870676</v>
      </c>
      <c r="S320" t="s">
        <v>139</v>
      </c>
      <c r="T320">
        <v>0.013540394402614135</v>
      </c>
      <c r="U320">
        <v>0.13314721162570567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1.71021</v>
      </c>
      <c r="AB320">
        <v>1</v>
      </c>
      <c r="AC320">
        <v>0</v>
      </c>
      <c r="AD320">
        <v>0.0019999600007999841</v>
      </c>
      <c r="AE320">
        <v>1800</v>
      </c>
      <c r="AF320">
        <v>200000</v>
      </c>
      <c r="AG320">
        <v>16666.666666666668</v>
      </c>
      <c r="AH320">
        <v>1</v>
      </c>
      <c r="AI320">
        <v>1</v>
      </c>
      <c r="AJ320" t="s">
        <v>136</v>
      </c>
      <c r="AK320" t="s">
        <v>137</v>
      </c>
      <c r="AL320">
        <v>0</v>
      </c>
      <c r="AM320" t="s">
        <v>137</v>
      </c>
      <c r="AN320">
        <v>0</v>
      </c>
    </row>
    <row r="321" spans="1:42" ht="12.75">
      <c r="A321" s="2" t="str">
        <f>HYPERLINK("https://ibp.a2mac1.com/costing(costing:projects/details/8191/process/6972139)","Packaging")</f>
        <v>Packaging</v>
      </c>
      <c r="C321">
        <v>6972139</v>
      </c>
      <c r="D321">
        <v>5383669</v>
      </c>
      <c r="E321">
        <v>0</v>
      </c>
      <c r="F321">
        <v>0</v>
      </c>
      <c r="G321">
        <v>0</v>
      </c>
      <c r="H321">
        <v>0</v>
      </c>
      <c r="I321" t="s">
        <v>137</v>
      </c>
      <c r="J321">
        <v>0</v>
      </c>
      <c r="K321">
        <v>0</v>
      </c>
      <c r="L321">
        <v>0.0060645912726076355</v>
      </c>
      <c r="M321">
        <v>0.036387547635645813</v>
      </c>
      <c r="N321">
        <v>0.036387547635645813</v>
      </c>
      <c r="O321" t="s">
        <v>138</v>
      </c>
      <c r="P321">
        <v>0</v>
      </c>
      <c r="Q321" t="s">
        <v>138</v>
      </c>
      <c r="R321">
        <v>0.002183252858138749</v>
      </c>
      <c r="S321" t="s">
        <v>139</v>
      </c>
      <c r="T321">
        <v>0.0043665057162774979</v>
      </c>
      <c r="U321">
        <v>0.042937306210062059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8</v>
      </c>
      <c r="AB321">
        <v>1</v>
      </c>
      <c r="AC321">
        <v>0</v>
      </c>
      <c r="AD321">
        <v>0.0019999600007999841</v>
      </c>
      <c r="AE321">
        <v>900</v>
      </c>
      <c r="AF321">
        <v>200000</v>
      </c>
      <c r="AG321">
        <v>16666.666666666668</v>
      </c>
      <c r="AH321">
        <v>1</v>
      </c>
      <c r="AI321">
        <v>1</v>
      </c>
      <c r="AJ321" t="s">
        <v>136</v>
      </c>
      <c r="AK321" t="s">
        <v>137</v>
      </c>
      <c r="AL321">
        <v>0</v>
      </c>
      <c r="AM321" t="s">
        <v>137</v>
      </c>
      <c r="AN321">
        <v>0</v>
      </c>
    </row>
    <row r="322" spans="1:42" ht="12.75">
      <c r="A322" s="2" t="str">
        <f>HYPERLINK("https://ibp.a2mac1.com/costing(costing:projects/details/8191/process/6972336)","Automated Process ")</f>
        <v xml:space="preserve">Automated Process </v>
      </c>
      <c r="C322">
        <v>6972336</v>
      </c>
      <c r="D322">
        <v>5384064</v>
      </c>
      <c r="E322">
        <v>1.1434919859999999</v>
      </c>
      <c r="F322">
        <v>0</v>
      </c>
      <c r="G322">
        <v>0</v>
      </c>
      <c r="H322">
        <v>0.0063583180759999997</v>
      </c>
      <c r="I322" t="s">
        <v>137</v>
      </c>
      <c r="J322">
        <v>0.043980460999999998</v>
      </c>
      <c r="K322">
        <v>1.1938307650760001</v>
      </c>
      <c r="L322">
        <v>0.69206888468921912</v>
      </c>
      <c r="M322">
        <v>4.1524133081353147</v>
      </c>
      <c r="N322">
        <v>5.3462440732113148</v>
      </c>
      <c r="O322" t="s">
        <v>90</v>
      </c>
      <c r="P322">
        <v>0</v>
      </c>
      <c r="Q322" t="s">
        <v>90</v>
      </c>
      <c r="R322">
        <v>0</v>
      </c>
      <c r="S322" t="s">
        <v>90</v>
      </c>
      <c r="T322">
        <v>0</v>
      </c>
      <c r="U322">
        <v>5.3462440732113148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600</v>
      </c>
      <c r="AB322">
        <v>1</v>
      </c>
      <c r="AC322">
        <v>0.50</v>
      </c>
      <c r="AD322">
        <v>0.50345253019720215</v>
      </c>
      <c r="AE322">
        <v>4041.90</v>
      </c>
      <c r="AF322">
        <v>200000</v>
      </c>
      <c r="AG322">
        <v>16666.666666666668</v>
      </c>
      <c r="AH322">
        <v>1</v>
      </c>
      <c r="AI322">
        <v>1</v>
      </c>
      <c r="AJ322" t="s">
        <v>136</v>
      </c>
      <c r="AK322" t="s">
        <v>137</v>
      </c>
      <c r="AL322">
        <v>0</v>
      </c>
      <c r="AM322" t="s">
        <v>137</v>
      </c>
      <c r="AN322">
        <v>0</v>
      </c>
    </row>
    <row r="323" spans="1:42" ht="12.75">
      <c r="A323" s="2" t="str">
        <f>HYPERLINK("https://ibp.a2mac1.com/costing(costing:projects/details/8191/process/6972337)","Automated Process")</f>
        <v>Automated Process</v>
      </c>
      <c r="C323">
        <v>6972337</v>
      </c>
      <c r="D323">
        <v>5384065</v>
      </c>
      <c r="E323">
        <v>1.0666646900000001</v>
      </c>
      <c r="F323">
        <v>0</v>
      </c>
      <c r="G323">
        <v>0</v>
      </c>
      <c r="H323">
        <v>0.0059311245399999999</v>
      </c>
      <c r="I323" t="s">
        <v>137</v>
      </c>
      <c r="J323">
        <v>0.041025565</v>
      </c>
      <c r="K323">
        <v>1.1136213795400001</v>
      </c>
      <c r="L323">
        <v>0.69206888468921912</v>
      </c>
      <c r="M323">
        <v>4.1524133081353147</v>
      </c>
      <c r="N323">
        <v>5.2660346876753144</v>
      </c>
      <c r="O323" t="s">
        <v>90</v>
      </c>
      <c r="P323">
        <v>0</v>
      </c>
      <c r="Q323" t="s">
        <v>90</v>
      </c>
      <c r="R323">
        <v>0</v>
      </c>
      <c r="S323" t="s">
        <v>90</v>
      </c>
      <c r="T323">
        <v>0</v>
      </c>
      <c r="U323">
        <v>5.2660346876753144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600</v>
      </c>
      <c r="AB323">
        <v>1</v>
      </c>
      <c r="AC323">
        <v>0.50</v>
      </c>
      <c r="AD323">
        <v>0.50345253019720215</v>
      </c>
      <c r="AE323">
        <v>4041.90</v>
      </c>
      <c r="AF323">
        <v>200000</v>
      </c>
      <c r="AG323">
        <v>16666.666666666668</v>
      </c>
      <c r="AH323">
        <v>1</v>
      </c>
      <c r="AI323">
        <v>1</v>
      </c>
      <c r="AJ323" t="s">
        <v>136</v>
      </c>
      <c r="AK323" t="s">
        <v>137</v>
      </c>
      <c r="AL323">
        <v>0</v>
      </c>
      <c r="AM323" t="s">
        <v>137</v>
      </c>
      <c r="AN323">
        <v>0</v>
      </c>
    </row>
    <row r="324" spans="1:42" ht="12.75">
      <c r="A324" s="2" t="str">
        <f>HYPERLINK("https://ibp.a2mac1.com/costing(costing:projects/details/8191/process/6972198)","Automated Process")</f>
        <v>Automated Process</v>
      </c>
      <c r="C324">
        <v>6972198</v>
      </c>
      <c r="D324">
        <v>5383934</v>
      </c>
      <c r="E324">
        <v>0.207845274</v>
      </c>
      <c r="F324">
        <v>0</v>
      </c>
      <c r="G324">
        <v>0</v>
      </c>
      <c r="H324">
        <v>0.0011557110839999999</v>
      </c>
      <c r="I324" t="s">
        <v>137</v>
      </c>
      <c r="J324">
        <v>0.0079940489999999996</v>
      </c>
      <c r="K324">
        <v>0.216995034084</v>
      </c>
      <c r="L324">
        <v>0.069749493478075533</v>
      </c>
      <c r="M324">
        <v>0.41849696086845323</v>
      </c>
      <c r="N324">
        <v>0.63549199495245323</v>
      </c>
      <c r="O324" t="s">
        <v>90</v>
      </c>
      <c r="P324">
        <v>0</v>
      </c>
      <c r="Q324" t="s">
        <v>90</v>
      </c>
      <c r="R324">
        <v>0</v>
      </c>
      <c r="S324" t="s">
        <v>90</v>
      </c>
      <c r="T324">
        <v>0</v>
      </c>
      <c r="U324">
        <v>0.63549199495245323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60</v>
      </c>
      <c r="AB324">
        <v>1</v>
      </c>
      <c r="AC324">
        <v>0.50</v>
      </c>
      <c r="AD324">
        <v>0.50345253019720215</v>
      </c>
      <c r="AE324">
        <v>4041.90</v>
      </c>
      <c r="AF324">
        <v>200000</v>
      </c>
      <c r="AG324">
        <v>16666.666666666668</v>
      </c>
      <c r="AH324">
        <v>1</v>
      </c>
      <c r="AI324">
        <v>1</v>
      </c>
      <c r="AJ324" t="s">
        <v>136</v>
      </c>
      <c r="AK324" t="s">
        <v>137</v>
      </c>
      <c r="AL324">
        <v>0</v>
      </c>
      <c r="AM324" t="s">
        <v>137</v>
      </c>
      <c r="AN324">
        <v>0</v>
      </c>
    </row>
    <row r="325" spans="1:42" ht="12.75">
      <c r="A325" s="2" t="str">
        <f>HYPERLINK("https://ibp.a2mac1.com/costing(costing:projects/details/8191/process/6972199)","Automated Process")</f>
        <v>Automated Process</v>
      </c>
      <c r="C325">
        <v>6972199</v>
      </c>
      <c r="D325">
        <v>5383935</v>
      </c>
      <c r="E325">
        <v>0.0033180842105263158</v>
      </c>
      <c r="F325">
        <v>0</v>
      </c>
      <c r="G325">
        <v>0</v>
      </c>
      <c r="H325">
        <v>1.6789506105263158E-05</v>
      </c>
      <c r="I325" t="s">
        <v>137</v>
      </c>
      <c r="J325">
        <v>0.00011613294736842105</v>
      </c>
      <c r="K325">
        <v>0.0034510066639999999</v>
      </c>
      <c r="L325">
        <v>9.2835151385610077E-05</v>
      </c>
      <c r="M325">
        <v>0.00055701090831366043</v>
      </c>
      <c r="N325">
        <v>0.0040080175723136609</v>
      </c>
      <c r="O325" t="s">
        <v>90</v>
      </c>
      <c r="P325">
        <v>0</v>
      </c>
      <c r="Q325" t="s">
        <v>90</v>
      </c>
      <c r="R325">
        <v>0</v>
      </c>
      <c r="S325" t="s">
        <v>90</v>
      </c>
      <c r="T325">
        <v>0</v>
      </c>
      <c r="U325">
        <v>0.0040080175723136609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60</v>
      </c>
      <c r="AB325">
        <v>1</v>
      </c>
      <c r="AC325">
        <v>0.50</v>
      </c>
      <c r="AD325">
        <v>0.50345253019720215</v>
      </c>
      <c r="AE325">
        <v>5.40</v>
      </c>
      <c r="AF325">
        <v>200000</v>
      </c>
      <c r="AG325">
        <v>16666.666666666668</v>
      </c>
      <c r="AH325">
        <v>1</v>
      </c>
      <c r="AI325">
        <v>1</v>
      </c>
      <c r="AJ325" t="s">
        <v>136</v>
      </c>
      <c r="AK325" t="s">
        <v>137</v>
      </c>
      <c r="AL325">
        <v>0</v>
      </c>
      <c r="AM325" t="s">
        <v>137</v>
      </c>
      <c r="AN325">
        <v>0</v>
      </c>
    </row>
    <row r="326" spans="1:42" ht="12.75">
      <c r="A326" s="2" t="str">
        <f>HYPERLINK("https://ibp.a2mac1.com/costing(costing:projects/details/8191/process/6972200)","Automated Process")</f>
        <v>Automated Process</v>
      </c>
      <c r="C326">
        <v>6972200</v>
      </c>
      <c r="D326">
        <v>5383936</v>
      </c>
      <c r="E326">
        <v>0.018249463157894736</v>
      </c>
      <c r="F326">
        <v>0</v>
      </c>
      <c r="G326">
        <v>0</v>
      </c>
      <c r="H326">
        <v>9.234228357894737E-05</v>
      </c>
      <c r="I326" t="s">
        <v>137</v>
      </c>
      <c r="J326">
        <v>0.0006387312105263158</v>
      </c>
      <c r="K326">
        <v>0.018980536651999998</v>
      </c>
      <c r="L326">
        <v>0.00051060493928297736</v>
      </c>
      <c r="M326">
        <v>0.0030636296356978637</v>
      </c>
      <c r="N326">
        <v>0.022044166287697863</v>
      </c>
      <c r="O326" t="s">
        <v>90</v>
      </c>
      <c r="P326">
        <v>0</v>
      </c>
      <c r="Q326" t="s">
        <v>90</v>
      </c>
      <c r="R326">
        <v>0</v>
      </c>
      <c r="S326" t="s">
        <v>90</v>
      </c>
      <c r="T326">
        <v>0</v>
      </c>
      <c r="U326">
        <v>0.022044166287697863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60</v>
      </c>
      <c r="AB326">
        <v>1</v>
      </c>
      <c r="AC326">
        <v>0.50</v>
      </c>
      <c r="AD326">
        <v>0.50345253019720215</v>
      </c>
      <c r="AE326">
        <v>29.70</v>
      </c>
      <c r="AF326">
        <v>200000</v>
      </c>
      <c r="AG326">
        <v>16666.666666666668</v>
      </c>
      <c r="AH326">
        <v>1</v>
      </c>
      <c r="AI326">
        <v>1</v>
      </c>
      <c r="AJ326" t="s">
        <v>136</v>
      </c>
      <c r="AK326" t="s">
        <v>137</v>
      </c>
      <c r="AL326">
        <v>0</v>
      </c>
      <c r="AM326" t="s">
        <v>137</v>
      </c>
      <c r="AN326">
        <v>0</v>
      </c>
    </row>
    <row r="327" spans="1:42" ht="12.75">
      <c r="A327" s="2" t="str">
        <f>HYPERLINK("https://ibp.a2mac1.com/costing(costing:projects/details/8191/process/6972201)","Automated Process")</f>
        <v>Automated Process</v>
      </c>
      <c r="C327">
        <v>6972201</v>
      </c>
      <c r="D327">
        <v>5383937</v>
      </c>
      <c r="E327">
        <v>0.15829797900000001</v>
      </c>
      <c r="F327">
        <v>0</v>
      </c>
      <c r="G327">
        <v>0</v>
      </c>
      <c r="H327">
        <v>0.00080299526189473683</v>
      </c>
      <c r="I327" t="s">
        <v>137</v>
      </c>
      <c r="J327">
        <v>0.0055543150526315786</v>
      </c>
      <c r="K327">
        <v>0.1646552893145263</v>
      </c>
      <c r="L327">
        <v>0.0032962222281056738</v>
      </c>
      <c r="M327">
        <v>0.019777333368634041</v>
      </c>
      <c r="N327">
        <v>0.18443262268316035</v>
      </c>
      <c r="O327" t="s">
        <v>90</v>
      </c>
      <c r="P327">
        <v>0</v>
      </c>
      <c r="Q327" t="s">
        <v>90</v>
      </c>
      <c r="R327">
        <v>0</v>
      </c>
      <c r="S327" t="s">
        <v>90</v>
      </c>
      <c r="T327">
        <v>0</v>
      </c>
      <c r="U327">
        <v>0.18443262268316035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60</v>
      </c>
      <c r="AB327">
        <v>1</v>
      </c>
      <c r="AC327">
        <v>0.50</v>
      </c>
      <c r="AD327">
        <v>0.50345253019720215</v>
      </c>
      <c r="AE327">
        <v>191.70</v>
      </c>
      <c r="AF327">
        <v>200000</v>
      </c>
      <c r="AG327">
        <v>16666.666666666668</v>
      </c>
      <c r="AH327">
        <v>1</v>
      </c>
      <c r="AI327">
        <v>1</v>
      </c>
      <c r="AJ327" t="s">
        <v>136</v>
      </c>
      <c r="AK327" t="s">
        <v>137</v>
      </c>
      <c r="AL327">
        <v>0</v>
      </c>
      <c r="AM327" t="s">
        <v>137</v>
      </c>
      <c r="AN327">
        <v>0</v>
      </c>
    </row>
    <row r="328" spans="1:42" ht="12.75">
      <c r="A328" s="2" t="str">
        <f>HYPERLINK("https://ibp.a2mac1.com/costing(costing:projects/details/8191/process/6972338)","Stamping")</f>
        <v>Stamping</v>
      </c>
      <c r="C328">
        <v>6972338</v>
      </c>
      <c r="D328">
        <v>5384068</v>
      </c>
      <c r="E328">
        <v>0.65613620171892073</v>
      </c>
      <c r="F328">
        <v>0</v>
      </c>
      <c r="G328">
        <v>0</v>
      </c>
      <c r="H328">
        <v>0.00094166975866811088</v>
      </c>
      <c r="I328" t="s">
        <v>137</v>
      </c>
      <c r="J328">
        <v>0.031690809185946037</v>
      </c>
      <c r="K328">
        <v>0.68876868066353492</v>
      </c>
      <c r="L328">
        <v>0.0072046430194320507</v>
      </c>
      <c r="M328">
        <v>0.043227858116592299</v>
      </c>
      <c r="N328">
        <v>0.73199653878012716</v>
      </c>
      <c r="O328" t="s">
        <v>90</v>
      </c>
      <c r="P328">
        <v>0</v>
      </c>
      <c r="Q328" t="s">
        <v>90</v>
      </c>
      <c r="R328">
        <v>0</v>
      </c>
      <c r="S328" t="s">
        <v>90</v>
      </c>
      <c r="T328">
        <v>0</v>
      </c>
      <c r="U328">
        <v>0.73199653878012716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1.71021</v>
      </c>
      <c r="AB328">
        <v>1</v>
      </c>
      <c r="AC328">
        <v>0</v>
      </c>
      <c r="AD328">
        <v>0.10389195236953569</v>
      </c>
      <c r="AE328">
        <v>1800</v>
      </c>
      <c r="AF328">
        <v>200000</v>
      </c>
      <c r="AG328">
        <v>16666.666666666668</v>
      </c>
      <c r="AH328">
        <v>1</v>
      </c>
      <c r="AI328">
        <v>1</v>
      </c>
      <c r="AJ328" t="s">
        <v>136</v>
      </c>
      <c r="AK328" t="s">
        <v>137</v>
      </c>
      <c r="AL328">
        <v>0</v>
      </c>
      <c r="AM328" t="s">
        <v>137</v>
      </c>
      <c r="AN328">
        <v>0</v>
      </c>
    </row>
    <row r="329" spans="1:42" ht="12.75">
      <c r="A329" s="2" t="str">
        <f>HYPERLINK("https://ibp.a2mac1.com/costing(costing:projects/details/8191/process/6972339)","Cleaning")</f>
        <v>Cleaning</v>
      </c>
      <c r="C329">
        <v>6972339</v>
      </c>
      <c r="D329">
        <v>5384068</v>
      </c>
      <c r="E329">
        <v>0</v>
      </c>
      <c r="F329">
        <v>0</v>
      </c>
      <c r="G329">
        <v>0</v>
      </c>
      <c r="H329">
        <v>0</v>
      </c>
      <c r="I329" t="s">
        <v>137</v>
      </c>
      <c r="J329">
        <v>0</v>
      </c>
      <c r="K329">
        <v>0</v>
      </c>
      <c r="L329">
        <v>0.0087243413320213445</v>
      </c>
      <c r="M329">
        <v>0.05234604799212806</v>
      </c>
      <c r="N329">
        <v>0.05234604799212806</v>
      </c>
      <c r="O329" t="s">
        <v>90</v>
      </c>
      <c r="P329">
        <v>0</v>
      </c>
      <c r="Q329" t="s">
        <v>90</v>
      </c>
      <c r="R329">
        <v>0</v>
      </c>
      <c r="S329" t="s">
        <v>90</v>
      </c>
      <c r="T329">
        <v>0</v>
      </c>
      <c r="U329">
        <v>0.05234604799212806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10</v>
      </c>
      <c r="AB329">
        <v>1</v>
      </c>
      <c r="AC329">
        <v>0</v>
      </c>
      <c r="AD329">
        <v>0.10389195236953569</v>
      </c>
      <c r="AE329">
        <v>0</v>
      </c>
      <c r="AF329">
        <v>200000</v>
      </c>
      <c r="AG329">
        <v>16666.666666666668</v>
      </c>
      <c r="AH329">
        <v>1</v>
      </c>
      <c r="AI329">
        <v>1</v>
      </c>
      <c r="AJ329" t="s">
        <v>136</v>
      </c>
      <c r="AK329" t="s">
        <v>137</v>
      </c>
      <c r="AL329">
        <v>0</v>
      </c>
      <c r="AM329" t="s">
        <v>137</v>
      </c>
      <c r="AN329">
        <v>0</v>
      </c>
    </row>
    <row r="330" spans="1:42" ht="12.75">
      <c r="A330" s="2" t="str">
        <f>HYPERLINK("https://ibp.a2mac1.com/costing(costing:projects/details/8191/process/6972340)","Cataphoresis")</f>
        <v>Cataphoresis</v>
      </c>
      <c r="C330">
        <v>6972340</v>
      </c>
      <c r="D330">
        <v>5384068</v>
      </c>
      <c r="E330">
        <v>0.024</v>
      </c>
      <c r="F330">
        <v>0</v>
      </c>
      <c r="G330">
        <v>0</v>
      </c>
      <c r="H330">
        <v>2.4960000000000002E-05</v>
      </c>
      <c r="I330" t="s">
        <v>137</v>
      </c>
      <c r="J330">
        <v>0.00084000000000000003</v>
      </c>
      <c r="K330">
        <v>0.024864959999999998</v>
      </c>
      <c r="L330">
        <v>0.029409921402576235</v>
      </c>
      <c r="M330">
        <v>0.1764595284154574</v>
      </c>
      <c r="N330">
        <v>0.20132448841545741</v>
      </c>
      <c r="O330" t="s">
        <v>90</v>
      </c>
      <c r="P330">
        <v>0</v>
      </c>
      <c r="Q330" t="s">
        <v>90</v>
      </c>
      <c r="R330">
        <v>0</v>
      </c>
      <c r="S330" t="s">
        <v>90</v>
      </c>
      <c r="T330">
        <v>0</v>
      </c>
      <c r="U330">
        <v>0.20132448841545741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4.80</v>
      </c>
      <c r="AB330">
        <v>1</v>
      </c>
      <c r="AC330">
        <v>0.10</v>
      </c>
      <c r="AD330">
        <v>0.10389195236953569</v>
      </c>
      <c r="AE330">
        <v>3600</v>
      </c>
      <c r="AF330">
        <v>200000</v>
      </c>
      <c r="AG330">
        <v>16666.666666666668</v>
      </c>
      <c r="AH330">
        <v>1</v>
      </c>
      <c r="AI330">
        <v>1</v>
      </c>
      <c r="AJ330" t="s">
        <v>136</v>
      </c>
      <c r="AK330" t="s">
        <v>137</v>
      </c>
      <c r="AL330">
        <v>0</v>
      </c>
      <c r="AM330" t="s">
        <v>137</v>
      </c>
      <c r="AN330">
        <v>0</v>
      </c>
    </row>
    <row r="331" spans="1:42" ht="12.75">
      <c r="A331" s="2" t="str">
        <f>HYPERLINK("https://ibp.a2mac1.com/costing(costing:projects/details/8191/process/6972341)","Automated Process")</f>
        <v>Automated Process</v>
      </c>
      <c r="C331">
        <v>6972341</v>
      </c>
      <c r="D331">
        <v>5384070</v>
      </c>
      <c r="E331">
        <v>0.20183027549999999</v>
      </c>
      <c r="F331">
        <v>0</v>
      </c>
      <c r="G331">
        <v>0</v>
      </c>
      <c r="H331">
        <v>0.0010238207458947368</v>
      </c>
      <c r="I331" t="s">
        <v>137</v>
      </c>
      <c r="J331">
        <v>0.0070817640526315787</v>
      </c>
      <c r="K331">
        <v>0.20993586029852632</v>
      </c>
      <c r="L331">
        <v>0.005176991090146868</v>
      </c>
      <c r="M331">
        <v>0.031061946540881211</v>
      </c>
      <c r="N331">
        <v>0.24099780683940752</v>
      </c>
      <c r="O331" t="s">
        <v>90</v>
      </c>
      <c r="P331">
        <v>0</v>
      </c>
      <c r="Q331" t="s">
        <v>90</v>
      </c>
      <c r="R331">
        <v>0</v>
      </c>
      <c r="S331" t="s">
        <v>90</v>
      </c>
      <c r="T331">
        <v>0</v>
      </c>
      <c r="U331">
        <v>0.24099780683940752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60</v>
      </c>
      <c r="AB331">
        <v>1</v>
      </c>
      <c r="AC331">
        <v>0.50</v>
      </c>
      <c r="AD331">
        <v>0.50345253019720215</v>
      </c>
      <c r="AE331">
        <v>301.05</v>
      </c>
      <c r="AF331">
        <v>200000</v>
      </c>
      <c r="AG331">
        <v>16666.666666666668</v>
      </c>
      <c r="AH331">
        <v>1</v>
      </c>
      <c r="AI331">
        <v>1</v>
      </c>
      <c r="AJ331" t="s">
        <v>136</v>
      </c>
      <c r="AK331" t="s">
        <v>137</v>
      </c>
      <c r="AL331">
        <v>0</v>
      </c>
      <c r="AM331" t="s">
        <v>137</v>
      </c>
      <c r="AN331">
        <v>0</v>
      </c>
    </row>
    <row r="332" spans="1:42" ht="12.75">
      <c r="A332" s="2" t="str">
        <f>HYPERLINK("https://ibp.a2mac1.com/costing(costing:projects/details/8191/process/6972342)","Automated Process")</f>
        <v>Automated Process</v>
      </c>
      <c r="C332">
        <v>6972342</v>
      </c>
      <c r="D332">
        <v>5384071</v>
      </c>
      <c r="E332">
        <v>0.73996425300000002</v>
      </c>
      <c r="F332">
        <v>0</v>
      </c>
      <c r="G332">
        <v>0</v>
      </c>
      <c r="H332">
        <v>0.0037536031279999998</v>
      </c>
      <c r="I332" t="s">
        <v>137</v>
      </c>
      <c r="J332">
        <v>0.025963658000000001</v>
      </c>
      <c r="K332">
        <v>0.76968151412800001</v>
      </c>
      <c r="L332">
        <v>0.03236513591226365</v>
      </c>
      <c r="M332">
        <v>0.19419081547358188</v>
      </c>
      <c r="N332">
        <v>0.96387232960158187</v>
      </c>
      <c r="O332" t="s">
        <v>138</v>
      </c>
      <c r="P332">
        <v>0.046180890847679998</v>
      </c>
      <c r="Q332" t="s">
        <v>138</v>
      </c>
      <c r="R332">
        <v>0.011651448928414913</v>
      </c>
      <c r="S332" t="s">
        <v>139</v>
      </c>
      <c r="T332">
        <v>0.11566467955218983</v>
      </c>
      <c r="U332">
        <v>1.1373693489298666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260</v>
      </c>
      <c r="AB332">
        <v>1</v>
      </c>
      <c r="AC332">
        <v>0.50</v>
      </c>
      <c r="AD332">
        <v>0.50345253019720215</v>
      </c>
      <c r="AE332">
        <v>436.05</v>
      </c>
      <c r="AF332">
        <v>200000</v>
      </c>
      <c r="AG332">
        <v>16666.666666666668</v>
      </c>
      <c r="AH332">
        <v>1</v>
      </c>
      <c r="AI332">
        <v>1</v>
      </c>
      <c r="AJ332" t="s">
        <v>136</v>
      </c>
      <c r="AK332" t="s">
        <v>137</v>
      </c>
      <c r="AL332">
        <v>0</v>
      </c>
      <c r="AM332" t="s">
        <v>137</v>
      </c>
      <c r="AN332">
        <v>0</v>
      </c>
    </row>
    <row r="333" spans="1:42" ht="12.75">
      <c r="A333" s="2" t="str">
        <f>HYPERLINK("https://ibp.a2mac1.com/costing(costing:projects/details/8191/process/6972202)","Process")</f>
        <v>Process</v>
      </c>
      <c r="C333">
        <v>6972202</v>
      </c>
      <c r="D333">
        <v>5383946</v>
      </c>
      <c r="E333">
        <v>0</v>
      </c>
      <c r="F333">
        <v>0</v>
      </c>
      <c r="G333">
        <v>0</v>
      </c>
      <c r="H333">
        <v>0</v>
      </c>
      <c r="I333" t="s">
        <v>137</v>
      </c>
      <c r="J333">
        <v>0</v>
      </c>
      <c r="K333">
        <v>0</v>
      </c>
      <c r="L333">
        <v>0.25112196172915874</v>
      </c>
      <c r="M333">
        <v>0.87892686605205561</v>
      </c>
      <c r="N333">
        <v>0.87892686605205561</v>
      </c>
      <c r="O333" t="s">
        <v>138</v>
      </c>
      <c r="P333">
        <v>0</v>
      </c>
      <c r="Q333" t="s">
        <v>138</v>
      </c>
      <c r="R333">
        <v>0.052735611963123333</v>
      </c>
      <c r="S333" t="s">
        <v>139</v>
      </c>
      <c r="T333">
        <v>0.10547122392624667</v>
      </c>
      <c r="U333">
        <v>1.0371337019414255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110</v>
      </c>
      <c r="AB333">
        <v>1</v>
      </c>
      <c r="AC333">
        <v>5</v>
      </c>
      <c r="AD333">
        <v>5.0007599939200489</v>
      </c>
      <c r="AE333">
        <v>216</v>
      </c>
      <c r="AF333">
        <v>200000</v>
      </c>
      <c r="AG333">
        <v>16666.666666666668</v>
      </c>
      <c r="AH333">
        <v>1</v>
      </c>
      <c r="AI333">
        <v>1</v>
      </c>
      <c r="AJ333" t="s">
        <v>136</v>
      </c>
      <c r="AK333" t="s">
        <v>137</v>
      </c>
      <c r="AL333">
        <v>0</v>
      </c>
      <c r="AM333" t="s">
        <v>137</v>
      </c>
      <c r="AN333">
        <v>0</v>
      </c>
    </row>
    <row r="334" spans="1:42" ht="12.75">
      <c r="A334" s="2" t="str">
        <f>HYPERLINK("https://ibp.a2mac1.com/costing(costing:projects/details/8191/process/6972140)","Process")</f>
        <v>Process</v>
      </c>
      <c r="C334">
        <v>6972140</v>
      </c>
      <c r="D334">
        <v>5383672</v>
      </c>
      <c r="E334">
        <v>0</v>
      </c>
      <c r="F334">
        <v>0</v>
      </c>
      <c r="G334">
        <v>0</v>
      </c>
      <c r="H334">
        <v>0</v>
      </c>
      <c r="I334" t="s">
        <v>137</v>
      </c>
      <c r="J334">
        <v>0</v>
      </c>
      <c r="K334">
        <v>0</v>
      </c>
      <c r="L334">
        <v>0.13698880063814858</v>
      </c>
      <c r="M334">
        <v>0.47946080223352006</v>
      </c>
      <c r="N334">
        <v>0.47946080223352006</v>
      </c>
      <c r="O334" t="s">
        <v>138</v>
      </c>
      <c r="P334">
        <v>0</v>
      </c>
      <c r="Q334" t="s">
        <v>138</v>
      </c>
      <c r="R334">
        <v>0.028767648134011205</v>
      </c>
      <c r="S334" t="s">
        <v>139</v>
      </c>
      <c r="T334">
        <v>0.057535296268022409</v>
      </c>
      <c r="U334">
        <v>0.56576374663555362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60</v>
      </c>
      <c r="AB334">
        <v>1</v>
      </c>
      <c r="AC334">
        <v>5</v>
      </c>
      <c r="AD334">
        <v>5.0007599939200489</v>
      </c>
      <c r="AE334">
        <v>216</v>
      </c>
      <c r="AF334">
        <v>200000</v>
      </c>
      <c r="AG334">
        <v>16666.666666666668</v>
      </c>
      <c r="AH334">
        <v>1</v>
      </c>
      <c r="AI334">
        <v>1</v>
      </c>
      <c r="AJ334" t="s">
        <v>136</v>
      </c>
      <c r="AK334" t="s">
        <v>137</v>
      </c>
      <c r="AL334">
        <v>0</v>
      </c>
      <c r="AM334" t="s">
        <v>137</v>
      </c>
      <c r="AN334">
        <v>0</v>
      </c>
    </row>
    <row r="335" spans="1:42" ht="12.75">
      <c r="A335" s="2" t="str">
        <f>HYPERLINK("https://ibp.a2mac1.com/costing(costing:projects/details/8191/process/6972141)","Process")</f>
        <v>Process</v>
      </c>
      <c r="C335">
        <v>6972141</v>
      </c>
      <c r="D335">
        <v>5383673</v>
      </c>
      <c r="E335">
        <v>0</v>
      </c>
      <c r="F335">
        <v>0</v>
      </c>
      <c r="G335">
        <v>0</v>
      </c>
      <c r="H335">
        <v>0</v>
      </c>
      <c r="I335" t="s">
        <v>137</v>
      </c>
      <c r="J335">
        <v>0</v>
      </c>
      <c r="K335">
        <v>0</v>
      </c>
      <c r="L335">
        <v>0.22828082584648851</v>
      </c>
      <c r="M335">
        <v>1.369684955078931</v>
      </c>
      <c r="N335">
        <v>1.369684955078931</v>
      </c>
      <c r="O335" t="s">
        <v>90</v>
      </c>
      <c r="P335">
        <v>0</v>
      </c>
      <c r="Q335" t="s">
        <v>90</v>
      </c>
      <c r="R335">
        <v>0</v>
      </c>
      <c r="S335" t="s">
        <v>90</v>
      </c>
      <c r="T335">
        <v>0</v>
      </c>
      <c r="U335">
        <v>1.369684955078931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200</v>
      </c>
      <c r="AB335">
        <v>1</v>
      </c>
      <c r="AC335">
        <v>5</v>
      </c>
      <c r="AD335">
        <v>5.0007599939200489</v>
      </c>
      <c r="AE335">
        <v>216</v>
      </c>
      <c r="AF335">
        <v>200000</v>
      </c>
      <c r="AG335">
        <v>16666.666666666668</v>
      </c>
      <c r="AH335">
        <v>1</v>
      </c>
      <c r="AI335">
        <v>1</v>
      </c>
      <c r="AJ335" t="s">
        <v>136</v>
      </c>
      <c r="AK335" t="s">
        <v>137</v>
      </c>
      <c r="AL335">
        <v>0</v>
      </c>
      <c r="AM335" t="s">
        <v>137</v>
      </c>
      <c r="AN335">
        <v>0</v>
      </c>
    </row>
    <row r="336" spans="1:42" ht="12.75">
      <c r="A336" s="2" t="str">
        <f>HYPERLINK("https://ibp.a2mac1.com/costing(costing:projects/details/8191/process/6972142)","Process")</f>
        <v>Process</v>
      </c>
      <c r="C336">
        <v>6972142</v>
      </c>
      <c r="D336">
        <v>5383678</v>
      </c>
      <c r="E336">
        <v>0</v>
      </c>
      <c r="F336">
        <v>0</v>
      </c>
      <c r="G336">
        <v>0</v>
      </c>
      <c r="H336">
        <v>0</v>
      </c>
      <c r="I336" t="s">
        <v>137</v>
      </c>
      <c r="J336">
        <v>0</v>
      </c>
      <c r="K336">
        <v>0</v>
      </c>
      <c r="L336">
        <v>0.45656165169297702</v>
      </c>
      <c r="M336">
        <v>1.5979657809254195</v>
      </c>
      <c r="N336">
        <v>1.5979657809254195</v>
      </c>
      <c r="O336" t="s">
        <v>138</v>
      </c>
      <c r="P336">
        <v>0</v>
      </c>
      <c r="Q336" t="s">
        <v>138</v>
      </c>
      <c r="R336">
        <v>0.09587794685552517</v>
      </c>
      <c r="S336" t="s">
        <v>139</v>
      </c>
      <c r="T336">
        <v>0.19175589371105034</v>
      </c>
      <c r="U336">
        <v>1.885599621491995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200</v>
      </c>
      <c r="AB336">
        <v>1</v>
      </c>
      <c r="AC336">
        <v>5</v>
      </c>
      <c r="AD336">
        <v>5.0007599939200489</v>
      </c>
      <c r="AE336">
        <v>216</v>
      </c>
      <c r="AF336">
        <v>200000</v>
      </c>
      <c r="AG336">
        <v>16666.666666666668</v>
      </c>
      <c r="AH336">
        <v>1</v>
      </c>
      <c r="AI336">
        <v>1</v>
      </c>
      <c r="AJ336" t="s">
        <v>136</v>
      </c>
      <c r="AK336" t="s">
        <v>137</v>
      </c>
      <c r="AL336">
        <v>0</v>
      </c>
      <c r="AM336" t="s">
        <v>137</v>
      </c>
      <c r="AN336">
        <v>0</v>
      </c>
    </row>
    <row r="337" spans="1:42" ht="12.75">
      <c r="A337" s="2" t="str">
        <f>HYPERLINK("https://ibp.a2mac1.com/costing(costing:projects/details/8191/process/6972143)","Automated Process")</f>
        <v>Automated Process</v>
      </c>
      <c r="C337">
        <v>6972143</v>
      </c>
      <c r="D337">
        <v>5383679</v>
      </c>
      <c r="E337">
        <v>0.013268167500000001</v>
      </c>
      <c r="F337">
        <v>0</v>
      </c>
      <c r="G337">
        <v>0</v>
      </c>
      <c r="H337">
        <v>6.7305190526315787E-05</v>
      </c>
      <c r="I337" t="s">
        <v>137</v>
      </c>
      <c r="J337">
        <v>0.00046554973684210529</v>
      </c>
      <c r="K337">
        <v>0.013801022427368421</v>
      </c>
      <c r="L337">
        <v>0.00023208963704919518</v>
      </c>
      <c r="M337">
        <v>0.0013925378222951711</v>
      </c>
      <c r="N337">
        <v>0.015193560249663592</v>
      </c>
      <c r="O337" t="s">
        <v>90</v>
      </c>
      <c r="P337">
        <v>0</v>
      </c>
      <c r="Q337" t="s">
        <v>90</v>
      </c>
      <c r="R337">
        <v>0</v>
      </c>
      <c r="S337" t="s">
        <v>90</v>
      </c>
      <c r="T337">
        <v>0</v>
      </c>
      <c r="U337">
        <v>0.015193560249663592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60</v>
      </c>
      <c r="AB337">
        <v>1</v>
      </c>
      <c r="AC337">
        <v>0.50</v>
      </c>
      <c r="AD337">
        <v>0.50345253019720215</v>
      </c>
      <c r="AE337">
        <v>13.50</v>
      </c>
      <c r="AF337">
        <v>200000</v>
      </c>
      <c r="AG337">
        <v>16666.666666666668</v>
      </c>
      <c r="AH337">
        <v>1</v>
      </c>
      <c r="AI337">
        <v>1</v>
      </c>
      <c r="AJ337" t="s">
        <v>136</v>
      </c>
      <c r="AK337" t="s">
        <v>137</v>
      </c>
      <c r="AL337">
        <v>0</v>
      </c>
      <c r="AM337" t="s">
        <v>137</v>
      </c>
      <c r="AN337">
        <v>0</v>
      </c>
    </row>
    <row r="338" spans="1:42" ht="12.75">
      <c r="A338" s="2" t="str">
        <f>HYPERLINK("https://ibp.a2mac1.com/costing(costing:projects/details/8191/process/6972144)","Automated Process")</f>
        <v>Automated Process</v>
      </c>
      <c r="C338">
        <v>6972144</v>
      </c>
      <c r="D338">
        <v>5383680</v>
      </c>
      <c r="E338">
        <v>0.013268167500000001</v>
      </c>
      <c r="F338">
        <v>0</v>
      </c>
      <c r="G338">
        <v>0</v>
      </c>
      <c r="H338">
        <v>6.7305190526315787E-05</v>
      </c>
      <c r="I338" t="s">
        <v>137</v>
      </c>
      <c r="J338">
        <v>0.00046554973684210529</v>
      </c>
      <c r="K338">
        <v>0.013801022427368421</v>
      </c>
      <c r="L338">
        <v>0.00023208963704919518</v>
      </c>
      <c r="M338">
        <v>0.0013925378222951711</v>
      </c>
      <c r="N338">
        <v>0.015193560249663592</v>
      </c>
      <c r="O338" t="s">
        <v>90</v>
      </c>
      <c r="P338">
        <v>0</v>
      </c>
      <c r="Q338" t="s">
        <v>90</v>
      </c>
      <c r="R338">
        <v>0</v>
      </c>
      <c r="S338" t="s">
        <v>90</v>
      </c>
      <c r="T338">
        <v>0</v>
      </c>
      <c r="U338">
        <v>0.015193560249663592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60</v>
      </c>
      <c r="AB338">
        <v>1</v>
      </c>
      <c r="AC338">
        <v>0.50</v>
      </c>
      <c r="AD338">
        <v>0.50345253019720215</v>
      </c>
      <c r="AE338">
        <v>13.50</v>
      </c>
      <c r="AF338">
        <v>200000</v>
      </c>
      <c r="AG338">
        <v>16666.666666666668</v>
      </c>
      <c r="AH338">
        <v>1</v>
      </c>
      <c r="AI338">
        <v>1</v>
      </c>
      <c r="AJ338" t="s">
        <v>136</v>
      </c>
      <c r="AK338" t="s">
        <v>137</v>
      </c>
      <c r="AL338">
        <v>0</v>
      </c>
      <c r="AM338" t="s">
        <v>137</v>
      </c>
      <c r="AN338">
        <v>0</v>
      </c>
    </row>
    <row r="339" spans="1:42" ht="12.75">
      <c r="A339" s="2" t="str">
        <f>HYPERLINK("https://ibp.a2mac1.com/costing(costing:projects/details/8191/process/6972145)","Cutting")</f>
        <v>Cutting</v>
      </c>
      <c r="B339" t="s">
        <v>2695</v>
      </c>
      <c r="C339">
        <v>6972145</v>
      </c>
      <c r="D339">
        <v>5383681</v>
      </c>
      <c r="E339">
        <v>2.8203999999999998</v>
      </c>
      <c r="F339">
        <v>0</v>
      </c>
      <c r="G339">
        <v>0</v>
      </c>
      <c r="H339">
        <v>0.0058100239999999996</v>
      </c>
      <c r="I339" t="s">
        <v>137</v>
      </c>
      <c r="J339">
        <v>0.098713999999999996</v>
      </c>
      <c r="K339">
        <v>2.9249240240000001</v>
      </c>
      <c r="L339">
        <v>0.0047180900912924886</v>
      </c>
      <c r="M339">
        <v>0.028308540547754928</v>
      </c>
      <c r="N339">
        <v>2.9532325645477551</v>
      </c>
      <c r="O339" t="s">
        <v>138</v>
      </c>
      <c r="P339">
        <v>0.17549544144000001</v>
      </c>
      <c r="Q339" t="s">
        <v>138</v>
      </c>
      <c r="R339">
        <v>0.0016985124328652958</v>
      </c>
      <c r="S339" t="s">
        <v>139</v>
      </c>
      <c r="T339">
        <v>0.35438790774573059</v>
      </c>
      <c r="U339">
        <v>3.4848144261663507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6.63</v>
      </c>
      <c r="AB339">
        <v>1</v>
      </c>
      <c r="AC339">
        <v>0.10</v>
      </c>
      <c r="AD339">
        <v>0.20557651238448796</v>
      </c>
      <c r="AE339">
        <v>900</v>
      </c>
      <c r="AF339">
        <v>200000</v>
      </c>
      <c r="AG339">
        <v>16666.666666666668</v>
      </c>
      <c r="AH339">
        <v>1</v>
      </c>
      <c r="AI339">
        <v>1</v>
      </c>
      <c r="AJ339" t="s">
        <v>2693</v>
      </c>
      <c r="AK339" t="s">
        <v>137</v>
      </c>
      <c r="AL339">
        <v>0</v>
      </c>
      <c r="AM339" t="s">
        <v>137</v>
      </c>
      <c r="AN339">
        <v>0</v>
      </c>
    </row>
    <row r="340" spans="1:42" ht="12.75">
      <c r="A340" s="2" t="str">
        <f>HYPERLINK("https://ibp.a2mac1.com/costing(costing:projects/details/8191/process/6972146)","Sewing")</f>
        <v>Sewing</v>
      </c>
      <c r="C340">
        <v>6972146</v>
      </c>
      <c r="D340">
        <v>5383681</v>
      </c>
      <c r="E340">
        <v>0</v>
      </c>
      <c r="F340">
        <v>0</v>
      </c>
      <c r="G340">
        <v>0</v>
      </c>
      <c r="H340">
        <v>0</v>
      </c>
      <c r="I340" t="s">
        <v>137</v>
      </c>
      <c r="J340">
        <v>0</v>
      </c>
      <c r="K340">
        <v>0</v>
      </c>
      <c r="L340">
        <v>0.18127428049352515</v>
      </c>
      <c r="M340">
        <v>1.0876456829611507</v>
      </c>
      <c r="N340">
        <v>1.0876456829611507</v>
      </c>
      <c r="O340" t="s">
        <v>138</v>
      </c>
      <c r="P340">
        <v>0</v>
      </c>
      <c r="Q340" t="s">
        <v>138</v>
      </c>
      <c r="R340">
        <v>0.065258740977669052</v>
      </c>
      <c r="S340" t="s">
        <v>139</v>
      </c>
      <c r="T340">
        <v>0.1305174819553381</v>
      </c>
      <c r="U340">
        <v>1.2834219058941581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248.44</v>
      </c>
      <c r="AB340">
        <v>1</v>
      </c>
      <c r="AC340">
        <v>0.10</v>
      </c>
      <c r="AD340">
        <v>0.10389195236953569</v>
      </c>
      <c r="AE340">
        <v>900</v>
      </c>
      <c r="AF340">
        <v>200000</v>
      </c>
      <c r="AG340">
        <v>16666.666666666668</v>
      </c>
      <c r="AH340">
        <v>1</v>
      </c>
      <c r="AI340">
        <v>1</v>
      </c>
      <c r="AJ340" t="s">
        <v>2693</v>
      </c>
      <c r="AK340" t="s">
        <v>137</v>
      </c>
      <c r="AL340">
        <v>0</v>
      </c>
      <c r="AM340" t="s">
        <v>137</v>
      </c>
      <c r="AN340">
        <v>0</v>
      </c>
    </row>
    <row r="341" spans="1:42" ht="12.75">
      <c r="A341" s="2" t="str">
        <f>HYPERLINK("https://ibp.a2mac1.com/costing(costing:projects/details/8191/process/6972147)","Automated Process")</f>
        <v>Automated Process</v>
      </c>
      <c r="C341">
        <v>6972147</v>
      </c>
      <c r="D341">
        <v>5383682</v>
      </c>
      <c r="E341">
        <v>0.76936286700000001</v>
      </c>
      <c r="F341">
        <v>0</v>
      </c>
      <c r="G341">
        <v>0</v>
      </c>
      <c r="H341">
        <v>0.0039027329393684211</v>
      </c>
      <c r="I341" t="s">
        <v>137</v>
      </c>
      <c r="J341">
        <v>0.026995188315789474</v>
      </c>
      <c r="K341">
        <v>0.8002607882551579</v>
      </c>
      <c r="L341">
        <v>0.026783507879850274</v>
      </c>
      <c r="M341">
        <v>0.16070104727910164</v>
      </c>
      <c r="N341">
        <v>0.96096183553425951</v>
      </c>
      <c r="O341" t="s">
        <v>138</v>
      </c>
      <c r="P341">
        <v>0.048015647295309473</v>
      </c>
      <c r="Q341" t="s">
        <v>138</v>
      </c>
      <c r="R341">
        <v>0.0096420628367460993</v>
      </c>
      <c r="S341" t="s">
        <v>139</v>
      </c>
      <c r="T341">
        <v>0.11531542026411115</v>
      </c>
      <c r="U341">
        <v>1.1339349659304263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160</v>
      </c>
      <c r="AB341">
        <v>1</v>
      </c>
      <c r="AC341">
        <v>0.50</v>
      </c>
      <c r="AD341">
        <v>0.50345253019720215</v>
      </c>
      <c r="AE341">
        <v>585.90</v>
      </c>
      <c r="AF341">
        <v>200000</v>
      </c>
      <c r="AG341">
        <v>16666.666666666668</v>
      </c>
      <c r="AH341">
        <v>1</v>
      </c>
      <c r="AI341">
        <v>1</v>
      </c>
      <c r="AJ341" t="s">
        <v>136</v>
      </c>
      <c r="AK341" t="s">
        <v>137</v>
      </c>
      <c r="AL341">
        <v>0</v>
      </c>
      <c r="AM341" t="s">
        <v>137</v>
      </c>
      <c r="AN341">
        <v>0</v>
      </c>
    </row>
    <row r="342" spans="1:42" ht="12.75">
      <c r="A342" s="2" t="str">
        <f>HYPERLINK("https://ibp.a2mac1.com/costing(costing:projects/details/8191/process/6972148)","Automated Process ")</f>
        <v xml:space="preserve">Automated Process </v>
      </c>
      <c r="C342">
        <v>6972148</v>
      </c>
      <c r="D342">
        <v>5383683</v>
      </c>
      <c r="E342">
        <v>0.45936454959183676</v>
      </c>
      <c r="F342">
        <v>0</v>
      </c>
      <c r="G342">
        <v>0</v>
      </c>
      <c r="H342">
        <v>0.0023328680632867882</v>
      </c>
      <c r="I342" t="s">
        <v>137</v>
      </c>
      <c r="J342">
        <v>0.016136439172932331</v>
      </c>
      <c r="K342">
        <v>0.47783385682805585</v>
      </c>
      <c r="L342">
        <v>0.070520132977448066</v>
      </c>
      <c r="M342">
        <v>0.42312079786468842</v>
      </c>
      <c r="N342">
        <v>0.90095465469274427</v>
      </c>
      <c r="O342" t="s">
        <v>138</v>
      </c>
      <c r="P342">
        <v>0.028670031409683352</v>
      </c>
      <c r="Q342" t="s">
        <v>138</v>
      </c>
      <c r="R342">
        <v>0.025387247871881305</v>
      </c>
      <c r="S342" t="s">
        <v>139</v>
      </c>
      <c r="T342">
        <v>0.10811455856312931</v>
      </c>
      <c r="U342">
        <v>1.0631264925374382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300</v>
      </c>
      <c r="AB342">
        <v>1</v>
      </c>
      <c r="AC342">
        <v>0.50</v>
      </c>
      <c r="AD342">
        <v>0.50345253019720215</v>
      </c>
      <c r="AE342">
        <v>823.50</v>
      </c>
      <c r="AF342">
        <v>200000</v>
      </c>
      <c r="AG342">
        <v>16666.666666666668</v>
      </c>
      <c r="AH342">
        <v>1</v>
      </c>
      <c r="AI342">
        <v>1</v>
      </c>
      <c r="AJ342" t="s">
        <v>136</v>
      </c>
      <c r="AK342" t="s">
        <v>137</v>
      </c>
      <c r="AL342">
        <v>0</v>
      </c>
      <c r="AM342" t="s">
        <v>137</v>
      </c>
      <c r="AN342">
        <v>0</v>
      </c>
    </row>
    <row r="343" spans="1:42" ht="12.75">
      <c r="A343" s="2" t="str">
        <f>HYPERLINK("https://ibp.a2mac1.com/costing(costing:projects/details/8191/process/6971942)","Process")</f>
        <v>Process</v>
      </c>
      <c r="C343">
        <v>6971942</v>
      </c>
      <c r="D343">
        <v>5383537</v>
      </c>
      <c r="E343">
        <v>0</v>
      </c>
      <c r="F343">
        <v>0</v>
      </c>
      <c r="G343">
        <v>0</v>
      </c>
      <c r="H343">
        <v>0</v>
      </c>
      <c r="I343" t="s">
        <v>137</v>
      </c>
      <c r="J343">
        <v>0</v>
      </c>
      <c r="K343">
        <v>0</v>
      </c>
      <c r="L343">
        <v>0.632211882930239</v>
      </c>
      <c r="M343">
        <v>2.2127415902558365</v>
      </c>
      <c r="N343">
        <v>2.2127415902558365</v>
      </c>
      <c r="O343" t="s">
        <v>138</v>
      </c>
      <c r="P343">
        <v>0</v>
      </c>
      <c r="Q343" t="s">
        <v>138</v>
      </c>
      <c r="R343">
        <v>0.13276449541535018</v>
      </c>
      <c r="S343" t="s">
        <v>1643</v>
      </c>
      <c r="T343">
        <v>0.22127415902558364</v>
      </c>
      <c r="U343">
        <v>2.5667802446967705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277</v>
      </c>
      <c r="AB343">
        <v>1</v>
      </c>
      <c r="AC343">
        <v>10</v>
      </c>
      <c r="AD343">
        <v>10.002339939161581</v>
      </c>
      <c r="AE343">
        <v>126</v>
      </c>
      <c r="AF343">
        <v>200000</v>
      </c>
      <c r="AG343">
        <v>16666.666666666668</v>
      </c>
      <c r="AH343">
        <v>1</v>
      </c>
      <c r="AI343">
        <v>1</v>
      </c>
      <c r="AJ343" t="s">
        <v>136</v>
      </c>
      <c r="AK343" t="s">
        <v>137</v>
      </c>
      <c r="AL343">
        <v>0</v>
      </c>
      <c r="AM343" t="s">
        <v>137</v>
      </c>
      <c r="AN343">
        <v>0</v>
      </c>
    </row>
    <row r="344" spans="1:42" ht="12.75">
      <c r="A344" s="2" t="str">
        <f>HYPERLINK("https://ibp.a2mac1.com/costing(costing:projects/details/8191/process/6971833)","J.I.T. Assembly")</f>
        <v>J.I.T. Assembly</v>
      </c>
      <c r="C344">
        <v>6971833</v>
      </c>
      <c r="D344">
        <v>5383400</v>
      </c>
      <c r="E344">
        <v>0</v>
      </c>
      <c r="F344">
        <v>0</v>
      </c>
      <c r="G344">
        <v>0</v>
      </c>
      <c r="H344">
        <v>0</v>
      </c>
      <c r="I344" t="s">
        <v>137</v>
      </c>
      <c r="J344">
        <v>0</v>
      </c>
      <c r="K344">
        <v>0</v>
      </c>
      <c r="L344">
        <v>1.3787821585133138</v>
      </c>
      <c r="M344">
        <v>8.2726929510798826</v>
      </c>
      <c r="N344">
        <v>8.2726929510798826</v>
      </c>
      <c r="O344" t="s">
        <v>90</v>
      </c>
      <c r="P344">
        <v>0</v>
      </c>
      <c r="Q344" t="s">
        <v>90</v>
      </c>
      <c r="R344">
        <v>0</v>
      </c>
      <c r="S344" t="s">
        <v>90</v>
      </c>
      <c r="T344">
        <v>0</v>
      </c>
      <c r="U344">
        <v>8.2726929510798826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1515</v>
      </c>
      <c r="AB344">
        <v>1</v>
      </c>
      <c r="AC344">
        <v>0.10</v>
      </c>
      <c r="AD344">
        <v>0.10987913295375087</v>
      </c>
      <c r="AE344">
        <v>900</v>
      </c>
      <c r="AF344">
        <v>200000</v>
      </c>
      <c r="AG344">
        <v>10000</v>
      </c>
      <c r="AH344">
        <v>1</v>
      </c>
      <c r="AI344">
        <v>1</v>
      </c>
      <c r="AJ344" t="s">
        <v>79</v>
      </c>
      <c r="AK344" t="s">
        <v>137</v>
      </c>
      <c r="AL344">
        <v>0</v>
      </c>
      <c r="AM344" t="s">
        <v>137</v>
      </c>
      <c r="AN344">
        <v>0</v>
      </c>
      <c r="AP344">
        <v>0</v>
      </c>
    </row>
    <row r="345" spans="1:42" ht="12.75">
      <c r="A345" s="2" t="str">
        <f>HYPERLINK("https://ibp.a2mac1.com/costing(costing:projects/details/8191/process/6972203)","Cutting")</f>
        <v>Cutting</v>
      </c>
      <c r="B345" t="s">
        <v>2695</v>
      </c>
      <c r="C345">
        <v>6972203</v>
      </c>
      <c r="D345">
        <v>5383948</v>
      </c>
      <c r="E345">
        <v>2.0512000000000001</v>
      </c>
      <c r="F345">
        <v>0</v>
      </c>
      <c r="G345">
        <v>0</v>
      </c>
      <c r="H345">
        <v>0.0042254720000000001</v>
      </c>
      <c r="I345" t="s">
        <v>137</v>
      </c>
      <c r="J345">
        <v>0.071791999999999995</v>
      </c>
      <c r="K345">
        <v>2.1272174719999999</v>
      </c>
      <c r="L345">
        <v>0.0040282235053828467</v>
      </c>
      <c r="M345">
        <v>0.024169341032297079</v>
      </c>
      <c r="N345">
        <v>2.1513868130322971</v>
      </c>
      <c r="O345" t="s">
        <v>90</v>
      </c>
      <c r="P345">
        <v>0</v>
      </c>
      <c r="Q345" t="s">
        <v>90</v>
      </c>
      <c r="R345">
        <v>0</v>
      </c>
      <c r="S345" t="s">
        <v>90</v>
      </c>
      <c r="T345">
        <v>0</v>
      </c>
      <c r="U345">
        <v>2.1513868130322971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5.65</v>
      </c>
      <c r="AB345">
        <v>1</v>
      </c>
      <c r="AC345">
        <v>0.10</v>
      </c>
      <c r="AD345">
        <v>0.20557651238448796</v>
      </c>
      <c r="AE345">
        <v>900</v>
      </c>
      <c r="AF345">
        <v>200000</v>
      </c>
      <c r="AG345">
        <v>16666.666666666668</v>
      </c>
      <c r="AH345">
        <v>1</v>
      </c>
      <c r="AI345">
        <v>1</v>
      </c>
      <c r="AJ345" t="s">
        <v>2693</v>
      </c>
      <c r="AK345" t="s">
        <v>137</v>
      </c>
      <c r="AL345">
        <v>0</v>
      </c>
      <c r="AM345" t="s">
        <v>137</v>
      </c>
      <c r="AN345">
        <v>0</v>
      </c>
    </row>
    <row r="346" spans="1:42" ht="12.75">
      <c r="A346" s="2" t="str">
        <f>HYPERLINK("https://ibp.a2mac1.com/costing(costing:projects/details/8191/process/6972204)","Sewing")</f>
        <v>Sewing</v>
      </c>
      <c r="C346">
        <v>6972204</v>
      </c>
      <c r="D346">
        <v>5383948</v>
      </c>
      <c r="E346">
        <v>0</v>
      </c>
      <c r="F346">
        <v>0</v>
      </c>
      <c r="G346">
        <v>0</v>
      </c>
      <c r="H346">
        <v>0</v>
      </c>
      <c r="I346" t="s">
        <v>137</v>
      </c>
      <c r="J346">
        <v>0</v>
      </c>
      <c r="K346">
        <v>0</v>
      </c>
      <c r="L346">
        <v>0.16035246200070719</v>
      </c>
      <c r="M346">
        <v>0.96211477200424322</v>
      </c>
      <c r="N346">
        <v>0.96211477200424322</v>
      </c>
      <c r="O346" t="s">
        <v>90</v>
      </c>
      <c r="P346">
        <v>0</v>
      </c>
      <c r="Q346" t="s">
        <v>90</v>
      </c>
      <c r="R346">
        <v>0</v>
      </c>
      <c r="S346" t="s">
        <v>90</v>
      </c>
      <c r="T346">
        <v>0</v>
      </c>
      <c r="U346">
        <v>0.96211477200424322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219.76</v>
      </c>
      <c r="AB346">
        <v>1</v>
      </c>
      <c r="AC346">
        <v>0.10</v>
      </c>
      <c r="AD346">
        <v>0.10389195236953569</v>
      </c>
      <c r="AE346">
        <v>900</v>
      </c>
      <c r="AF346">
        <v>200000</v>
      </c>
      <c r="AG346">
        <v>16666.666666666668</v>
      </c>
      <c r="AH346">
        <v>1</v>
      </c>
      <c r="AI346">
        <v>1</v>
      </c>
      <c r="AJ346" t="s">
        <v>2693</v>
      </c>
      <c r="AK346" t="s">
        <v>137</v>
      </c>
      <c r="AL346">
        <v>0</v>
      </c>
      <c r="AM346" t="s">
        <v>137</v>
      </c>
      <c r="AN346">
        <v>0</v>
      </c>
    </row>
    <row r="347" spans="1:42" ht="12.75">
      <c r="A347" s="2" t="str">
        <f>HYPERLINK("https://ibp.a2mac1.com/costing(costing:projects/details/8191/process/6972205)","Automated Process")</f>
        <v>Automated Process</v>
      </c>
      <c r="C347">
        <v>6972205</v>
      </c>
      <c r="D347">
        <v>5383949</v>
      </c>
      <c r="E347">
        <v>0.38645415900000002</v>
      </c>
      <c r="F347">
        <v>0</v>
      </c>
      <c r="G347">
        <v>0</v>
      </c>
      <c r="H347">
        <v>0.0019603589418947368</v>
      </c>
      <c r="I347" t="s">
        <v>137</v>
      </c>
      <c r="J347">
        <v>0.013559795052631579</v>
      </c>
      <c r="K347">
        <v>0.40197431299452629</v>
      </c>
      <c r="L347">
        <v>0.026783507879850274</v>
      </c>
      <c r="M347">
        <v>0.16070104727910164</v>
      </c>
      <c r="N347">
        <v>0.56267536027362797</v>
      </c>
      <c r="O347" t="s">
        <v>90</v>
      </c>
      <c r="P347">
        <v>0</v>
      </c>
      <c r="Q347" t="s">
        <v>90</v>
      </c>
      <c r="R347">
        <v>0</v>
      </c>
      <c r="S347" t="s">
        <v>90</v>
      </c>
      <c r="T347">
        <v>0</v>
      </c>
      <c r="U347">
        <v>0.56267536027362797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160</v>
      </c>
      <c r="AB347">
        <v>1</v>
      </c>
      <c r="AC347">
        <v>0.50</v>
      </c>
      <c r="AD347">
        <v>0.50345253019720215</v>
      </c>
      <c r="AE347">
        <v>585.90</v>
      </c>
      <c r="AF347">
        <v>200000</v>
      </c>
      <c r="AG347">
        <v>16666.666666666668</v>
      </c>
      <c r="AH347">
        <v>1</v>
      </c>
      <c r="AI347">
        <v>1</v>
      </c>
      <c r="AJ347" t="s">
        <v>136</v>
      </c>
      <c r="AK347" t="s">
        <v>137</v>
      </c>
      <c r="AL347">
        <v>0</v>
      </c>
      <c r="AM347" t="s">
        <v>137</v>
      </c>
      <c r="AN347">
        <v>0</v>
      </c>
    </row>
    <row r="348" spans="1:42" ht="12.75">
      <c r="A348" s="2" t="str">
        <f>HYPERLINK("https://ibp.a2mac1.com/costing(costing:projects/details/8191/process/6972206)","Automated Process")</f>
        <v>Automated Process</v>
      </c>
      <c r="C348">
        <v>6972206</v>
      </c>
      <c r="D348">
        <v>5383950</v>
      </c>
      <c r="E348">
        <v>0.096625553535353542</v>
      </c>
      <c r="F348">
        <v>0</v>
      </c>
      <c r="G348">
        <v>0</v>
      </c>
      <c r="H348">
        <v>0.00048700053535353534</v>
      </c>
      <c r="I348" t="s">
        <v>137</v>
      </c>
      <c r="J348">
        <v>0.0033886717171717172</v>
      </c>
      <c r="K348">
        <v>0.10050122578787879</v>
      </c>
      <c r="L348">
        <v>0.032911086691387967</v>
      </c>
      <c r="M348">
        <v>0.1974665201483278</v>
      </c>
      <c r="N348">
        <v>0.29796774593620656</v>
      </c>
      <c r="O348" t="s">
        <v>90</v>
      </c>
      <c r="P348">
        <v>0</v>
      </c>
      <c r="Q348" t="s">
        <v>90</v>
      </c>
      <c r="R348">
        <v>0</v>
      </c>
      <c r="S348" t="s">
        <v>90</v>
      </c>
      <c r="T348">
        <v>0</v>
      </c>
      <c r="U348">
        <v>0.29796774593620656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140</v>
      </c>
      <c r="AB348">
        <v>1</v>
      </c>
      <c r="AC348">
        <v>0.50</v>
      </c>
      <c r="AD348">
        <v>0.50048257265952256</v>
      </c>
      <c r="AE348">
        <v>823.50</v>
      </c>
      <c r="AF348">
        <v>400000</v>
      </c>
      <c r="AG348">
        <v>33333.333333333336</v>
      </c>
      <c r="AH348">
        <v>1</v>
      </c>
      <c r="AI348">
        <v>1</v>
      </c>
      <c r="AJ348" t="s">
        <v>136</v>
      </c>
      <c r="AK348" t="s">
        <v>137</v>
      </c>
      <c r="AL348">
        <v>0</v>
      </c>
      <c r="AM348" t="s">
        <v>137</v>
      </c>
      <c r="AN348">
        <v>0</v>
      </c>
    </row>
    <row r="349" spans="1:42" ht="12.75">
      <c r="A349" s="2" t="str">
        <f>HYPERLINK("https://ibp.a2mac1.com/costing(costing:projects/details/8191/process/6972207)","Automated Process")</f>
        <v>Automated Process</v>
      </c>
      <c r="C349">
        <v>6972207</v>
      </c>
      <c r="D349">
        <v>5383951</v>
      </c>
      <c r="E349">
        <v>0.221887953</v>
      </c>
      <c r="F349">
        <v>0</v>
      </c>
      <c r="G349">
        <v>0</v>
      </c>
      <c r="H349">
        <v>0.0011255669595789473</v>
      </c>
      <c r="I349" t="s">
        <v>137</v>
      </c>
      <c r="J349">
        <v>0.0077855422105263155</v>
      </c>
      <c r="K349">
        <v>0.23079906217010526</v>
      </c>
      <c r="L349">
        <v>0.010171020626259838</v>
      </c>
      <c r="M349">
        <v>0.061026123757559031</v>
      </c>
      <c r="N349">
        <v>0.29182518592766432</v>
      </c>
      <c r="O349" t="s">
        <v>90</v>
      </c>
      <c r="P349">
        <v>0</v>
      </c>
      <c r="Q349" t="s">
        <v>90</v>
      </c>
      <c r="R349">
        <v>0</v>
      </c>
      <c r="S349" t="s">
        <v>90</v>
      </c>
      <c r="T349">
        <v>0</v>
      </c>
      <c r="U349">
        <v>0.29182518592766432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60</v>
      </c>
      <c r="AB349">
        <v>1</v>
      </c>
      <c r="AC349">
        <v>0.50</v>
      </c>
      <c r="AD349">
        <v>0.50345253019720215</v>
      </c>
      <c r="AE349">
        <v>591.30</v>
      </c>
      <c r="AF349">
        <v>200000</v>
      </c>
      <c r="AG349">
        <v>16666.666666666668</v>
      </c>
      <c r="AH349">
        <v>1</v>
      </c>
      <c r="AI349">
        <v>1</v>
      </c>
      <c r="AJ349" t="s">
        <v>136</v>
      </c>
      <c r="AK349" t="s">
        <v>137</v>
      </c>
      <c r="AL349">
        <v>0</v>
      </c>
      <c r="AM349" t="s">
        <v>137</v>
      </c>
      <c r="AN349">
        <v>0</v>
      </c>
    </row>
    <row r="350" spans="1:42" ht="12.75">
      <c r="A350" s="2" t="str">
        <f>HYPERLINK("https://ibp.a2mac1.com/costing(costing:projects/details/8191/process/6972343)","Automated Process")</f>
        <v>Automated Process</v>
      </c>
      <c r="C350">
        <v>6972343</v>
      </c>
      <c r="D350">
        <v>5384072</v>
      </c>
      <c r="E350">
        <v>0.039621792000000003</v>
      </c>
      <c r="F350">
        <v>0</v>
      </c>
      <c r="G350">
        <v>0</v>
      </c>
      <c r="H350">
        <v>0.00020098873936842104</v>
      </c>
      <c r="I350" t="s">
        <v>137</v>
      </c>
      <c r="J350">
        <v>0.0013902383157894736</v>
      </c>
      <c r="K350">
        <v>0.041213019055157896</v>
      </c>
      <c r="L350">
        <v>0.015095224524624912</v>
      </c>
      <c r="M350">
        <v>0.090571347147749476</v>
      </c>
      <c r="N350">
        <v>0.13178436620290737</v>
      </c>
      <c r="O350" t="s">
        <v>90</v>
      </c>
      <c r="P350">
        <v>0</v>
      </c>
      <c r="Q350" t="s">
        <v>90</v>
      </c>
      <c r="R350">
        <v>0</v>
      </c>
      <c r="S350" t="s">
        <v>90</v>
      </c>
      <c r="T350">
        <v>0</v>
      </c>
      <c r="U350">
        <v>0.13178436620290737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700</v>
      </c>
      <c r="AB350">
        <v>1</v>
      </c>
      <c r="AC350">
        <v>0.50</v>
      </c>
      <c r="AD350">
        <v>0.50345253019720215</v>
      </c>
      <c r="AE350">
        <v>75.60</v>
      </c>
      <c r="AF350">
        <v>200000</v>
      </c>
      <c r="AG350">
        <v>16666.666666666668</v>
      </c>
      <c r="AH350">
        <v>1</v>
      </c>
      <c r="AI350">
        <v>1</v>
      </c>
      <c r="AJ350" t="s">
        <v>136</v>
      </c>
      <c r="AK350" t="s">
        <v>137</v>
      </c>
      <c r="AL350">
        <v>0</v>
      </c>
      <c r="AM350" t="s">
        <v>137</v>
      </c>
      <c r="AN350">
        <v>0</v>
      </c>
    </row>
    <row r="351" spans="1:42" ht="12.75">
      <c r="A351" s="2" t="str">
        <f>HYPERLINK("https://ibp.a2mac1.com/costing(costing:projects/details/8191/process/6972344)","Automated Process")</f>
        <v>Automated Process</v>
      </c>
      <c r="C351">
        <v>6972344</v>
      </c>
      <c r="D351">
        <v>5384073</v>
      </c>
      <c r="E351">
        <v>0.039621792000000003</v>
      </c>
      <c r="F351">
        <v>0</v>
      </c>
      <c r="G351">
        <v>0</v>
      </c>
      <c r="H351">
        <v>0.00020098873936842104</v>
      </c>
      <c r="I351" t="s">
        <v>137</v>
      </c>
      <c r="J351">
        <v>0.0013902383157894736</v>
      </c>
      <c r="K351">
        <v>0.041213019055157896</v>
      </c>
      <c r="L351">
        <v>0.012939685922245831</v>
      </c>
      <c r="M351">
        <v>0.077638115533474994</v>
      </c>
      <c r="N351">
        <v>0.11885113458863288</v>
      </c>
      <c r="O351" t="s">
        <v>90</v>
      </c>
      <c r="P351">
        <v>0</v>
      </c>
      <c r="Q351" t="s">
        <v>90</v>
      </c>
      <c r="R351">
        <v>0</v>
      </c>
      <c r="S351" t="s">
        <v>90</v>
      </c>
      <c r="T351">
        <v>0</v>
      </c>
      <c r="U351">
        <v>0.11885113458863288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600</v>
      </c>
      <c r="AB351">
        <v>1</v>
      </c>
      <c r="AC351">
        <v>0.50</v>
      </c>
      <c r="AD351">
        <v>0.50345253019720215</v>
      </c>
      <c r="AE351">
        <v>75.60</v>
      </c>
      <c r="AF351">
        <v>200000</v>
      </c>
      <c r="AG351">
        <v>16666.666666666668</v>
      </c>
      <c r="AH351">
        <v>1</v>
      </c>
      <c r="AI351">
        <v>1</v>
      </c>
      <c r="AJ351" t="s">
        <v>136</v>
      </c>
      <c r="AK351" t="s">
        <v>137</v>
      </c>
      <c r="AL351">
        <v>0</v>
      </c>
      <c r="AM351" t="s">
        <v>137</v>
      </c>
      <c r="AN351">
        <v>0</v>
      </c>
    </row>
    <row r="352" spans="1:42" ht="12.75">
      <c r="A352" s="2" t="str">
        <f>HYPERLINK("https://ibp.a2mac1.com/costing(costing:projects/details/8191/process/6972345)","Automated Process")</f>
        <v>Automated Process</v>
      </c>
      <c r="C352">
        <v>6972345</v>
      </c>
      <c r="D352">
        <v>5384075</v>
      </c>
      <c r="E352">
        <v>0.101126592</v>
      </c>
      <c r="F352">
        <v>0</v>
      </c>
      <c r="G352">
        <v>0</v>
      </c>
      <c r="H352">
        <v>0.00051298301305263163</v>
      </c>
      <c r="I352" t="s">
        <v>137</v>
      </c>
      <c r="J352">
        <v>0.0035483014736842106</v>
      </c>
      <c r="K352">
        <v>0.10518787648673684</v>
      </c>
      <c r="L352">
        <v>0.032342829434181902</v>
      </c>
      <c r="M352">
        <v>0.19405697660509139</v>
      </c>
      <c r="N352">
        <v>0.29924485309182824</v>
      </c>
      <c r="O352" t="s">
        <v>90</v>
      </c>
      <c r="P352">
        <v>0</v>
      </c>
      <c r="Q352" t="s">
        <v>90</v>
      </c>
      <c r="R352">
        <v>0</v>
      </c>
      <c r="S352" t="s">
        <v>90</v>
      </c>
      <c r="T352">
        <v>0</v>
      </c>
      <c r="U352">
        <v>0.29924485309182824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1000</v>
      </c>
      <c r="AB352">
        <v>1</v>
      </c>
      <c r="AC352">
        <v>0.50</v>
      </c>
      <c r="AD352">
        <v>0.50345253019720215</v>
      </c>
      <c r="AE352">
        <v>113.40</v>
      </c>
      <c r="AF352">
        <v>200000</v>
      </c>
      <c r="AG352">
        <v>16666.666666666668</v>
      </c>
      <c r="AH352">
        <v>1</v>
      </c>
      <c r="AI352">
        <v>1</v>
      </c>
      <c r="AJ352" t="s">
        <v>136</v>
      </c>
      <c r="AK352" t="s">
        <v>137</v>
      </c>
      <c r="AL352">
        <v>0</v>
      </c>
      <c r="AM352" t="s">
        <v>137</v>
      </c>
      <c r="AN352">
        <v>0</v>
      </c>
    </row>
    <row r="353" spans="1:42" ht="12.75">
      <c r="A353" s="2" t="str">
        <f>HYPERLINK("https://ibp.a2mac1.com/costing(costing:projects/details/8191/process/6972208)","Cutting")</f>
        <v>Cutting</v>
      </c>
      <c r="B353" t="s">
        <v>2695</v>
      </c>
      <c r="C353">
        <v>6972208</v>
      </c>
      <c r="D353">
        <v>5383952</v>
      </c>
      <c r="E353">
        <v>10.341105333333333</v>
      </c>
      <c r="F353">
        <v>0</v>
      </c>
      <c r="G353">
        <v>0</v>
      </c>
      <c r="H353">
        <v>0.022308635413333333</v>
      </c>
      <c r="I353" t="s">
        <v>137</v>
      </c>
      <c r="J353">
        <v>0.37903021333333331</v>
      </c>
      <c r="K353">
        <v>10.74244418208</v>
      </c>
      <c r="L353">
        <v>0.010976165549187096</v>
      </c>
      <c r="M353">
        <v>0.065856993295122582</v>
      </c>
      <c r="N353">
        <v>10.808301175375123</v>
      </c>
      <c r="O353" t="s">
        <v>90</v>
      </c>
      <c r="P353">
        <v>0</v>
      </c>
      <c r="Q353" t="s">
        <v>90</v>
      </c>
      <c r="R353">
        <v>0</v>
      </c>
      <c r="S353" t="s">
        <v>90</v>
      </c>
      <c r="T353">
        <v>0</v>
      </c>
      <c r="U353">
        <v>10.808301175375123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15.52</v>
      </c>
      <c r="AB353">
        <v>1</v>
      </c>
      <c r="AC353">
        <v>0.10</v>
      </c>
      <c r="AD353">
        <v>0.20557651238448796</v>
      </c>
      <c r="AE353">
        <v>900</v>
      </c>
      <c r="AF353">
        <v>200000</v>
      </c>
      <c r="AG353">
        <v>16666.666666666668</v>
      </c>
      <c r="AH353">
        <v>1</v>
      </c>
      <c r="AI353">
        <v>1</v>
      </c>
      <c r="AJ353" t="s">
        <v>2693</v>
      </c>
      <c r="AK353" t="s">
        <v>137</v>
      </c>
      <c r="AL353">
        <v>0</v>
      </c>
      <c r="AM353" t="s">
        <v>137</v>
      </c>
      <c r="AN353">
        <v>0</v>
      </c>
    </row>
    <row r="354" spans="1:42" ht="12.75">
      <c r="A354" s="2" t="str">
        <f>HYPERLINK("https://ibp.a2mac1.com/costing(costing:projects/details/8191/process/6972209)","Sewing")</f>
        <v>Sewing</v>
      </c>
      <c r="C354">
        <v>6972209</v>
      </c>
      <c r="D354">
        <v>5383952</v>
      </c>
      <c r="E354">
        <v>0</v>
      </c>
      <c r="F354">
        <v>0</v>
      </c>
      <c r="G354">
        <v>0</v>
      </c>
      <c r="H354">
        <v>0</v>
      </c>
      <c r="I354" t="s">
        <v>137</v>
      </c>
      <c r="J354">
        <v>0</v>
      </c>
      <c r="K354">
        <v>0</v>
      </c>
      <c r="L354">
        <v>0.36501132455858981</v>
      </c>
      <c r="M354">
        <v>2.1900679473515385</v>
      </c>
      <c r="N354">
        <v>2.1900679473515385</v>
      </c>
      <c r="O354" t="s">
        <v>90</v>
      </c>
      <c r="P354">
        <v>0</v>
      </c>
      <c r="Q354" t="s">
        <v>90</v>
      </c>
      <c r="R354">
        <v>0</v>
      </c>
      <c r="S354" t="s">
        <v>90</v>
      </c>
      <c r="T354">
        <v>0</v>
      </c>
      <c r="U354">
        <v>2.1900679473515385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500.31</v>
      </c>
      <c r="AB354">
        <v>1</v>
      </c>
      <c r="AC354">
        <v>0.10</v>
      </c>
      <c r="AD354">
        <v>0.10389195236953569</v>
      </c>
      <c r="AE354">
        <v>900</v>
      </c>
      <c r="AF354">
        <v>200000</v>
      </c>
      <c r="AG354">
        <v>16666.666666666668</v>
      </c>
      <c r="AH354">
        <v>1</v>
      </c>
      <c r="AI354">
        <v>1</v>
      </c>
      <c r="AJ354" t="s">
        <v>2693</v>
      </c>
      <c r="AK354" t="s">
        <v>137</v>
      </c>
      <c r="AL354">
        <v>0</v>
      </c>
      <c r="AM354" t="s">
        <v>137</v>
      </c>
      <c r="AN354">
        <v>0</v>
      </c>
    </row>
    <row r="355" spans="1:42" ht="12.75">
      <c r="A355" s="2" t="str">
        <f>HYPERLINK("https://ibp.a2mac1.com/costing(costing:projects/details/8191/process/6972210)","Automated Process")</f>
        <v>Automated Process</v>
      </c>
      <c r="C355">
        <v>6972210</v>
      </c>
      <c r="D355">
        <v>5383953</v>
      </c>
      <c r="E355">
        <v>3.4142693130000001</v>
      </c>
      <c r="F355">
        <v>0</v>
      </c>
      <c r="G355">
        <v>0</v>
      </c>
      <c r="H355">
        <v>0.017319501477473683</v>
      </c>
      <c r="I355" t="s">
        <v>137</v>
      </c>
      <c r="J355">
        <v>0.1197989232631579</v>
      </c>
      <c r="K355">
        <v>3.5513877377406318</v>
      </c>
      <c r="L355">
        <v>0.04480862341453546</v>
      </c>
      <c r="M355">
        <v>0.26885174048721278</v>
      </c>
      <c r="N355">
        <v>3.8202394782278444</v>
      </c>
      <c r="O355" t="s">
        <v>90</v>
      </c>
      <c r="P355">
        <v>0</v>
      </c>
      <c r="Q355" t="s">
        <v>90</v>
      </c>
      <c r="R355">
        <v>0</v>
      </c>
      <c r="S355" t="s">
        <v>90</v>
      </c>
      <c r="T355">
        <v>0</v>
      </c>
      <c r="U355">
        <v>3.8202394782278444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60</v>
      </c>
      <c r="AB355">
        <v>1</v>
      </c>
      <c r="AC355">
        <v>0.50</v>
      </c>
      <c r="AD355">
        <v>0.50345253019720215</v>
      </c>
      <c r="AE355">
        <v>2600.10</v>
      </c>
      <c r="AF355">
        <v>200000</v>
      </c>
      <c r="AG355">
        <v>16666.666666666668</v>
      </c>
      <c r="AH355">
        <v>1</v>
      </c>
      <c r="AI355">
        <v>1</v>
      </c>
      <c r="AJ355" t="s">
        <v>136</v>
      </c>
      <c r="AK355" t="s">
        <v>137</v>
      </c>
      <c r="AL355">
        <v>0</v>
      </c>
      <c r="AM355" t="s">
        <v>137</v>
      </c>
      <c r="AN355">
        <v>0</v>
      </c>
    </row>
    <row r="356" spans="1:42" ht="12.75">
      <c r="A356" s="2" t="str">
        <f>HYPERLINK("https://ibp.a2mac1.com/costing(costing:projects/details/8191/process/6972211)","Automated Process")</f>
        <v>Automated Process</v>
      </c>
      <c r="C356">
        <v>6972211</v>
      </c>
      <c r="D356">
        <v>5383954</v>
      </c>
      <c r="E356">
        <v>2.7551634190340137</v>
      </c>
      <c r="F356">
        <v>0</v>
      </c>
      <c r="G356">
        <v>0</v>
      </c>
      <c r="H356">
        <v>0.014870539837072108</v>
      </c>
      <c r="I356" t="s">
        <v>137</v>
      </c>
      <c r="J356">
        <v>0.10285946527619047</v>
      </c>
      <c r="K356">
        <v>2.8728934241472763</v>
      </c>
      <c r="L356">
        <v>0.41548248859537751</v>
      </c>
      <c r="M356">
        <v>2.4928949315722653</v>
      </c>
      <c r="N356">
        <v>5.3657883557195412</v>
      </c>
      <c r="O356" t="s">
        <v>90</v>
      </c>
      <c r="P356">
        <v>0</v>
      </c>
      <c r="Q356" t="s">
        <v>90</v>
      </c>
      <c r="R356">
        <v>0</v>
      </c>
      <c r="S356" t="s">
        <v>90</v>
      </c>
      <c r="T356">
        <v>0</v>
      </c>
      <c r="U356">
        <v>5.3657883557195412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360</v>
      </c>
      <c r="AB356">
        <v>1</v>
      </c>
      <c r="AC356">
        <v>0.50</v>
      </c>
      <c r="AD356">
        <v>0.50345253019720215</v>
      </c>
      <c r="AE356">
        <v>4041.90</v>
      </c>
      <c r="AF356">
        <v>200000</v>
      </c>
      <c r="AG356">
        <v>16666.666666666668</v>
      </c>
      <c r="AH356">
        <v>1</v>
      </c>
      <c r="AI356">
        <v>1</v>
      </c>
      <c r="AJ356" t="s">
        <v>136</v>
      </c>
      <c r="AK356" t="s">
        <v>137</v>
      </c>
      <c r="AL356">
        <v>0</v>
      </c>
      <c r="AM356" t="s">
        <v>137</v>
      </c>
      <c r="AN356">
        <v>0</v>
      </c>
    </row>
    <row r="357" spans="1:42" ht="12.75">
      <c r="A357" s="2" t="str">
        <f>HYPERLINK("https://ibp.a2mac1.com/costing(costing:projects/details/8191/process/6972212)","Automated Process")</f>
        <v>Automated Process</v>
      </c>
      <c r="C357">
        <v>6972212</v>
      </c>
      <c r="D357">
        <v>5383955</v>
      </c>
      <c r="E357">
        <v>0.72</v>
      </c>
      <c r="F357">
        <v>0</v>
      </c>
      <c r="G357">
        <v>0</v>
      </c>
      <c r="H357">
        <v>0.0036432000000000001</v>
      </c>
      <c r="I357" t="s">
        <v>137</v>
      </c>
      <c r="J357">
        <v>0.0252</v>
      </c>
      <c r="K357">
        <v>0.74884320000000004</v>
      </c>
      <c r="L357">
        <v>0.0096598792012610058</v>
      </c>
      <c r="M357">
        <v>0.057959275207566038</v>
      </c>
      <c r="N357">
        <v>0.80680247520756598</v>
      </c>
      <c r="O357" t="s">
        <v>90</v>
      </c>
      <c r="P357">
        <v>0</v>
      </c>
      <c r="Q357" t="s">
        <v>90</v>
      </c>
      <c r="R357">
        <v>0</v>
      </c>
      <c r="S357" t="s">
        <v>90</v>
      </c>
      <c r="T357">
        <v>0</v>
      </c>
      <c r="U357">
        <v>0.80680247520756598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60</v>
      </c>
      <c r="AB357">
        <v>1</v>
      </c>
      <c r="AC357">
        <v>0.50</v>
      </c>
      <c r="AD357">
        <v>0.50345253019720215</v>
      </c>
      <c r="AE357">
        <v>561.60</v>
      </c>
      <c r="AF357">
        <v>200000</v>
      </c>
      <c r="AG357">
        <v>16666.666666666668</v>
      </c>
      <c r="AH357">
        <v>1</v>
      </c>
      <c r="AI357">
        <v>1</v>
      </c>
      <c r="AJ357" t="s">
        <v>136</v>
      </c>
      <c r="AK357" t="s">
        <v>137</v>
      </c>
      <c r="AL357">
        <v>0</v>
      </c>
      <c r="AM357" t="s">
        <v>137</v>
      </c>
      <c r="AN357">
        <v>0</v>
      </c>
    </row>
    <row r="358" spans="1:42" ht="12.75">
      <c r="A358" s="2" t="str">
        <f>HYPERLINK("https://ibp.a2mac1.com/costing(costing:projects/details/8191/process/6972346)","Cutting")</f>
        <v>Cutting</v>
      </c>
      <c r="B358" t="s">
        <v>2695</v>
      </c>
      <c r="C358">
        <v>6972346</v>
      </c>
      <c r="D358">
        <v>5384076</v>
      </c>
      <c r="E358">
        <v>1.7948</v>
      </c>
      <c r="F358">
        <v>0</v>
      </c>
      <c r="G358">
        <v>0</v>
      </c>
      <c r="H358">
        <v>0.003697288</v>
      </c>
      <c r="I358" t="s">
        <v>137</v>
      </c>
      <c r="J358">
        <v>0.062817999999999999</v>
      </c>
      <c r="K358">
        <v>1.8613152879999999</v>
      </c>
      <c r="L358">
        <v>0.0035143432934297458</v>
      </c>
      <c r="M358">
        <v>0.021086059760578476</v>
      </c>
      <c r="N358">
        <v>1.8824013477605785</v>
      </c>
      <c r="O358" t="s">
        <v>90</v>
      </c>
      <c r="P358">
        <v>0</v>
      </c>
      <c r="Q358" t="s">
        <v>90</v>
      </c>
      <c r="R358">
        <v>0</v>
      </c>
      <c r="S358" t="s">
        <v>90</v>
      </c>
      <c r="T358">
        <v>0</v>
      </c>
      <c r="U358">
        <v>1.8824013477605785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4.92</v>
      </c>
      <c r="AB358">
        <v>1</v>
      </c>
      <c r="AC358">
        <v>0.10</v>
      </c>
      <c r="AD358">
        <v>0.20557651238448796</v>
      </c>
      <c r="AE358">
        <v>900</v>
      </c>
      <c r="AF358">
        <v>200000</v>
      </c>
      <c r="AG358">
        <v>16666.666666666668</v>
      </c>
      <c r="AH358">
        <v>1</v>
      </c>
      <c r="AI358">
        <v>1</v>
      </c>
      <c r="AJ358" t="s">
        <v>2693</v>
      </c>
      <c r="AK358" t="s">
        <v>137</v>
      </c>
      <c r="AL358">
        <v>0</v>
      </c>
      <c r="AM358" t="s">
        <v>137</v>
      </c>
      <c r="AN358">
        <v>0</v>
      </c>
    </row>
    <row r="359" spans="1:42" ht="12.75">
      <c r="A359" s="2" t="str">
        <f>HYPERLINK("https://ibp.a2mac1.com/costing(costing:projects/details/8191/process/6972347)","Sewing")</f>
        <v>Sewing</v>
      </c>
      <c r="C359">
        <v>6972347</v>
      </c>
      <c r="D359">
        <v>5384076</v>
      </c>
      <c r="E359">
        <v>0</v>
      </c>
      <c r="F359">
        <v>0</v>
      </c>
      <c r="G359">
        <v>0</v>
      </c>
      <c r="H359">
        <v>0</v>
      </c>
      <c r="I359" t="s">
        <v>137</v>
      </c>
      <c r="J359">
        <v>0</v>
      </c>
      <c r="K359">
        <v>0</v>
      </c>
      <c r="L359">
        <v>0.13913884687619027</v>
      </c>
      <c r="M359">
        <v>0.83483308125714162</v>
      </c>
      <c r="N359">
        <v>0.83483308125714162</v>
      </c>
      <c r="O359" t="s">
        <v>90</v>
      </c>
      <c r="P359">
        <v>0</v>
      </c>
      <c r="Q359" t="s">
        <v>90</v>
      </c>
      <c r="R359">
        <v>0</v>
      </c>
      <c r="S359" t="s">
        <v>90</v>
      </c>
      <c r="T359">
        <v>0</v>
      </c>
      <c r="U359">
        <v>0.83483308125714162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190.68</v>
      </c>
      <c r="AB359">
        <v>1</v>
      </c>
      <c r="AC359">
        <v>0.10</v>
      </c>
      <c r="AD359">
        <v>0.10389195236953569</v>
      </c>
      <c r="AE359">
        <v>900</v>
      </c>
      <c r="AF359">
        <v>200000</v>
      </c>
      <c r="AG359">
        <v>16666.666666666668</v>
      </c>
      <c r="AH359">
        <v>1</v>
      </c>
      <c r="AI359">
        <v>1</v>
      </c>
      <c r="AJ359" t="s">
        <v>2693</v>
      </c>
      <c r="AK359" t="s">
        <v>137</v>
      </c>
      <c r="AL359">
        <v>0</v>
      </c>
      <c r="AM359" t="s">
        <v>137</v>
      </c>
      <c r="AN359">
        <v>0</v>
      </c>
    </row>
    <row r="360" spans="1:42" ht="12.75">
      <c r="A360" s="2" t="str">
        <f>HYPERLINK("https://ibp.a2mac1.com/costing(costing:projects/details/8191/process/6972348)","Automated Process")</f>
        <v>Automated Process</v>
      </c>
      <c r="C360">
        <v>6972348</v>
      </c>
      <c r="D360">
        <v>5384077</v>
      </c>
      <c r="E360">
        <v>0.30845423700000002</v>
      </c>
      <c r="F360">
        <v>0</v>
      </c>
      <c r="G360">
        <v>0</v>
      </c>
      <c r="H360">
        <v>0.0015646901646315789</v>
      </c>
      <c r="I360" t="s">
        <v>137</v>
      </c>
      <c r="J360">
        <v>0.010822955684210525</v>
      </c>
      <c r="K360">
        <v>0.32084188284884213</v>
      </c>
      <c r="L360">
        <v>0.026783507879850274</v>
      </c>
      <c r="M360">
        <v>0.16070104727910164</v>
      </c>
      <c r="N360">
        <v>0.48154293012794375</v>
      </c>
      <c r="O360" t="s">
        <v>90</v>
      </c>
      <c r="P360">
        <v>0</v>
      </c>
      <c r="Q360" t="s">
        <v>90</v>
      </c>
      <c r="R360">
        <v>0</v>
      </c>
      <c r="S360" t="s">
        <v>90</v>
      </c>
      <c r="T360">
        <v>0</v>
      </c>
      <c r="U360">
        <v>0.48154293012794375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160</v>
      </c>
      <c r="AB360">
        <v>1</v>
      </c>
      <c r="AC360">
        <v>0.50</v>
      </c>
      <c r="AD360">
        <v>0.50345253019720215</v>
      </c>
      <c r="AE360">
        <v>585.90</v>
      </c>
      <c r="AF360">
        <v>200000</v>
      </c>
      <c r="AG360">
        <v>16666.666666666668</v>
      </c>
      <c r="AH360">
        <v>1</v>
      </c>
      <c r="AI360">
        <v>1</v>
      </c>
      <c r="AJ360" t="s">
        <v>136</v>
      </c>
      <c r="AK360" t="s">
        <v>137</v>
      </c>
      <c r="AL360">
        <v>0</v>
      </c>
      <c r="AM360" t="s">
        <v>137</v>
      </c>
      <c r="AN360">
        <v>0</v>
      </c>
    </row>
    <row r="361" spans="1:42" ht="12.75">
      <c r="A361" s="2" t="str">
        <f>HYPERLINK("https://ibp.a2mac1.com/costing(costing:projects/details/8191/process/6972349)","Automated Process")</f>
        <v>Automated Process</v>
      </c>
      <c r="C361">
        <v>6972349</v>
      </c>
      <c r="D361">
        <v>5384078</v>
      </c>
      <c r="E361">
        <v>0.11111938656565656</v>
      </c>
      <c r="F361">
        <v>0</v>
      </c>
      <c r="G361">
        <v>0</v>
      </c>
      <c r="H361">
        <v>0.00056005061565656564</v>
      </c>
      <c r="I361" t="s">
        <v>137</v>
      </c>
      <c r="J361">
        <v>0.0038969724747474747</v>
      </c>
      <c r="K361">
        <v>0.1155764096560606</v>
      </c>
      <c r="L361">
        <v>0.032911086691387967</v>
      </c>
      <c r="M361">
        <v>0.1974665201483278</v>
      </c>
      <c r="N361">
        <v>0.31304292980438841</v>
      </c>
      <c r="O361" t="s">
        <v>90</v>
      </c>
      <c r="P361">
        <v>0</v>
      </c>
      <c r="Q361" t="s">
        <v>90</v>
      </c>
      <c r="R361">
        <v>0</v>
      </c>
      <c r="S361" t="s">
        <v>90</v>
      </c>
      <c r="T361">
        <v>0</v>
      </c>
      <c r="U361">
        <v>0.31304292980438841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140</v>
      </c>
      <c r="AB361">
        <v>1</v>
      </c>
      <c r="AC361">
        <v>0.50</v>
      </c>
      <c r="AD361">
        <v>0.50048257265952256</v>
      </c>
      <c r="AE361">
        <v>823.50</v>
      </c>
      <c r="AF361">
        <v>400000</v>
      </c>
      <c r="AG361">
        <v>33333.333333333336</v>
      </c>
      <c r="AH361">
        <v>1</v>
      </c>
      <c r="AI361">
        <v>1</v>
      </c>
      <c r="AJ361" t="s">
        <v>136</v>
      </c>
      <c r="AK361" t="s">
        <v>137</v>
      </c>
      <c r="AL361">
        <v>0</v>
      </c>
      <c r="AM361" t="s">
        <v>137</v>
      </c>
      <c r="AN361">
        <v>0</v>
      </c>
    </row>
    <row r="362" spans="1:42" ht="12.75">
      <c r="A362" s="2" t="str">
        <f>HYPERLINK("https://ibp.a2mac1.com/costing(costing:projects/details/8191/process/6972350)","Automated Process")</f>
        <v>Automated Process</v>
      </c>
      <c r="C362">
        <v>6972350</v>
      </c>
      <c r="D362">
        <v>5384079</v>
      </c>
      <c r="E362">
        <v>0.173254977</v>
      </c>
      <c r="F362">
        <v>0</v>
      </c>
      <c r="G362">
        <v>0</v>
      </c>
      <c r="H362">
        <v>0.00087886735199999998</v>
      </c>
      <c r="I362" t="s">
        <v>137</v>
      </c>
      <c r="J362">
        <v>0.0060791220000000002</v>
      </c>
      <c r="K362">
        <v>0.18021296635199999</v>
      </c>
      <c r="L362">
        <v>0.0079407935336581487</v>
      </c>
      <c r="M362">
        <v>0.047644761201948889</v>
      </c>
      <c r="N362">
        <v>0.2278577275539489</v>
      </c>
      <c r="O362" t="s">
        <v>90</v>
      </c>
      <c r="P362">
        <v>0</v>
      </c>
      <c r="Q362" t="s">
        <v>90</v>
      </c>
      <c r="R362">
        <v>0</v>
      </c>
      <c r="S362" t="s">
        <v>90</v>
      </c>
      <c r="T362">
        <v>0</v>
      </c>
      <c r="U362">
        <v>0.2278577275539489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60</v>
      </c>
      <c r="AB362">
        <v>1</v>
      </c>
      <c r="AC362">
        <v>0.50</v>
      </c>
      <c r="AD362">
        <v>0.50345253019720215</v>
      </c>
      <c r="AE362">
        <v>461.70</v>
      </c>
      <c r="AF362">
        <v>200000</v>
      </c>
      <c r="AG362">
        <v>16666.666666666668</v>
      </c>
      <c r="AH362">
        <v>1</v>
      </c>
      <c r="AI362">
        <v>1</v>
      </c>
      <c r="AJ362" t="s">
        <v>136</v>
      </c>
      <c r="AK362" t="s">
        <v>137</v>
      </c>
      <c r="AL362">
        <v>0</v>
      </c>
      <c r="AM362" t="s">
        <v>137</v>
      </c>
      <c r="AN362">
        <v>0</v>
      </c>
    </row>
    <row r="363" spans="1:42" ht="12.75">
      <c r="A363" s="2" t="str">
        <f>HYPERLINK("https://ibp.a2mac1.com/costing(costing:projects/details/8191/process/6972351)","Cutting")</f>
        <v>Cutting</v>
      </c>
      <c r="B363" t="s">
        <v>2695</v>
      </c>
      <c r="C363">
        <v>6972351</v>
      </c>
      <c r="D363">
        <v>5384080</v>
      </c>
      <c r="E363">
        <v>2.0512000000000001</v>
      </c>
      <c r="F363">
        <v>0</v>
      </c>
      <c r="G363">
        <v>0</v>
      </c>
      <c r="H363">
        <v>0.0042254720000000001</v>
      </c>
      <c r="I363" t="s">
        <v>137</v>
      </c>
      <c r="J363">
        <v>0.071791999999999995</v>
      </c>
      <c r="K363">
        <v>2.1272174719999999</v>
      </c>
      <c r="L363">
        <v>0.0040282235053828467</v>
      </c>
      <c r="M363">
        <v>0.024169341032297079</v>
      </c>
      <c r="N363">
        <v>2.1513868130322971</v>
      </c>
      <c r="O363" t="s">
        <v>138</v>
      </c>
      <c r="P363">
        <v>0.12763304832</v>
      </c>
      <c r="Q363" t="s">
        <v>138</v>
      </c>
      <c r="R363">
        <v>0.0014501604619378246</v>
      </c>
      <c r="S363" t="s">
        <v>139</v>
      </c>
      <c r="T363">
        <v>0.25816641756387565</v>
      </c>
      <c r="U363">
        <v>2.5386364393781107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5.65</v>
      </c>
      <c r="AB363">
        <v>1</v>
      </c>
      <c r="AC363">
        <v>0.10</v>
      </c>
      <c r="AD363">
        <v>0.20557651238448796</v>
      </c>
      <c r="AE363">
        <v>900</v>
      </c>
      <c r="AF363">
        <v>200000</v>
      </c>
      <c r="AG363">
        <v>16666.666666666668</v>
      </c>
      <c r="AH363">
        <v>1</v>
      </c>
      <c r="AI363">
        <v>1</v>
      </c>
      <c r="AJ363" t="s">
        <v>2693</v>
      </c>
      <c r="AK363" t="s">
        <v>137</v>
      </c>
      <c r="AL363">
        <v>0</v>
      </c>
      <c r="AM363" t="s">
        <v>137</v>
      </c>
      <c r="AN363">
        <v>0</v>
      </c>
    </row>
    <row r="364" spans="1:42" ht="12.75">
      <c r="A364" s="2" t="str">
        <f>HYPERLINK("https://ibp.a2mac1.com/costing(costing:projects/details/8191/process/6972352)","Sewing")</f>
        <v>Sewing</v>
      </c>
      <c r="C364">
        <v>6972352</v>
      </c>
      <c r="D364">
        <v>5384080</v>
      </c>
      <c r="E364">
        <v>0</v>
      </c>
      <c r="F364">
        <v>0</v>
      </c>
      <c r="G364">
        <v>0</v>
      </c>
      <c r="H364">
        <v>0</v>
      </c>
      <c r="I364" t="s">
        <v>137</v>
      </c>
      <c r="J364">
        <v>0</v>
      </c>
      <c r="K364">
        <v>0</v>
      </c>
      <c r="L364">
        <v>0.16035246200070719</v>
      </c>
      <c r="M364">
        <v>0.96211477200424322</v>
      </c>
      <c r="N364">
        <v>0.96211477200424322</v>
      </c>
      <c r="O364" t="s">
        <v>138</v>
      </c>
      <c r="P364">
        <v>0</v>
      </c>
      <c r="Q364" t="s">
        <v>138</v>
      </c>
      <c r="R364">
        <v>0.057726886320254592</v>
      </c>
      <c r="S364" t="s">
        <v>139</v>
      </c>
      <c r="T364">
        <v>0.11545377264050918</v>
      </c>
      <c r="U364">
        <v>1.135295430965007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219.76</v>
      </c>
      <c r="AB364">
        <v>1</v>
      </c>
      <c r="AC364">
        <v>0.10</v>
      </c>
      <c r="AD364">
        <v>0.10389195236953569</v>
      </c>
      <c r="AE364">
        <v>900</v>
      </c>
      <c r="AF364">
        <v>200000</v>
      </c>
      <c r="AG364">
        <v>16666.666666666668</v>
      </c>
      <c r="AH364">
        <v>1</v>
      </c>
      <c r="AI364">
        <v>1</v>
      </c>
      <c r="AJ364" t="s">
        <v>2693</v>
      </c>
      <c r="AK364" t="s">
        <v>137</v>
      </c>
      <c r="AL364">
        <v>0</v>
      </c>
      <c r="AM364" t="s">
        <v>137</v>
      </c>
      <c r="AN364">
        <v>0</v>
      </c>
    </row>
    <row r="365" spans="1:42" ht="12.75">
      <c r="A365" s="2" t="str">
        <f>HYPERLINK("https://ibp.a2mac1.com/costing(costing:projects/details/8191/process/6972353)","Automated Process")</f>
        <v>Automated Process</v>
      </c>
      <c r="C365">
        <v>6972353</v>
      </c>
      <c r="D365">
        <v>5384081</v>
      </c>
      <c r="E365">
        <v>0.38645415900000002</v>
      </c>
      <c r="F365">
        <v>0</v>
      </c>
      <c r="G365">
        <v>0</v>
      </c>
      <c r="H365">
        <v>0.0019603589418947368</v>
      </c>
      <c r="I365" t="s">
        <v>137</v>
      </c>
      <c r="J365">
        <v>0.013559795052631579</v>
      </c>
      <c r="K365">
        <v>0.40197431299452629</v>
      </c>
      <c r="L365">
        <v>0.026783507879850274</v>
      </c>
      <c r="M365">
        <v>0.16070104727910164</v>
      </c>
      <c r="N365">
        <v>0.56267536027362797</v>
      </c>
      <c r="O365" t="s">
        <v>138</v>
      </c>
      <c r="P365">
        <v>0.02411845877967158</v>
      </c>
      <c r="Q365" t="s">
        <v>138</v>
      </c>
      <c r="R365">
        <v>0.0096420628367460993</v>
      </c>
      <c r="S365" t="s">
        <v>139</v>
      </c>
      <c r="T365">
        <v>0.067521043232835351</v>
      </c>
      <c r="U365">
        <v>0.66395692512288096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160</v>
      </c>
      <c r="AB365">
        <v>1</v>
      </c>
      <c r="AC365">
        <v>0.50</v>
      </c>
      <c r="AD365">
        <v>0.50345253019720215</v>
      </c>
      <c r="AE365">
        <v>585.90</v>
      </c>
      <c r="AF365">
        <v>200000</v>
      </c>
      <c r="AG365">
        <v>16666.666666666668</v>
      </c>
      <c r="AH365">
        <v>1</v>
      </c>
      <c r="AI365">
        <v>1</v>
      </c>
      <c r="AJ365" t="s">
        <v>136</v>
      </c>
      <c r="AK365" t="s">
        <v>137</v>
      </c>
      <c r="AL365">
        <v>0</v>
      </c>
      <c r="AM365" t="s">
        <v>137</v>
      </c>
      <c r="AN365">
        <v>0</v>
      </c>
    </row>
    <row r="366" spans="1:42" ht="12.75">
      <c r="A366" s="2" t="str">
        <f>HYPERLINK("https://ibp.a2mac1.com/costing(costing:projects/details/8191/process/6972354)","Automated Process")</f>
        <v>Automated Process</v>
      </c>
      <c r="C366">
        <v>6972354</v>
      </c>
      <c r="D366">
        <v>5384082</v>
      </c>
      <c r="E366">
        <v>0.096625553535353542</v>
      </c>
      <c r="F366">
        <v>0</v>
      </c>
      <c r="G366">
        <v>0</v>
      </c>
      <c r="H366">
        <v>0.00048700053535353534</v>
      </c>
      <c r="I366" t="s">
        <v>137</v>
      </c>
      <c r="J366">
        <v>0.0033886717171717172</v>
      </c>
      <c r="K366">
        <v>0.10050122578787879</v>
      </c>
      <c r="L366">
        <v>0.032911086691387967</v>
      </c>
      <c r="M366">
        <v>0.1974665201483278</v>
      </c>
      <c r="N366">
        <v>0.29796774593620656</v>
      </c>
      <c r="O366" t="s">
        <v>138</v>
      </c>
      <c r="P366">
        <v>0.0060300735472727275</v>
      </c>
      <c r="Q366" t="s">
        <v>138</v>
      </c>
      <c r="R366">
        <v>0.011847991208899667</v>
      </c>
      <c r="S366" t="s">
        <v>139</v>
      </c>
      <c r="T366">
        <v>0.035756129512344789</v>
      </c>
      <c r="U366">
        <v>0.35160194020472374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140</v>
      </c>
      <c r="AB366">
        <v>1</v>
      </c>
      <c r="AC366">
        <v>0.50</v>
      </c>
      <c r="AD366">
        <v>0.50048257265952256</v>
      </c>
      <c r="AE366">
        <v>823.50</v>
      </c>
      <c r="AF366">
        <v>400000</v>
      </c>
      <c r="AG366">
        <v>33333.333333333336</v>
      </c>
      <c r="AH366">
        <v>1</v>
      </c>
      <c r="AI366">
        <v>1</v>
      </c>
      <c r="AJ366" t="s">
        <v>136</v>
      </c>
      <c r="AK366" t="s">
        <v>137</v>
      </c>
      <c r="AL366">
        <v>0</v>
      </c>
      <c r="AM366" t="s">
        <v>137</v>
      </c>
      <c r="AN366">
        <v>0</v>
      </c>
    </row>
    <row r="367" spans="1:42" ht="12.75">
      <c r="A367" s="2" t="str">
        <f>HYPERLINK("https://ibp.a2mac1.com/costing(costing:projects/details/8191/process/6972355)","Automated Process")</f>
        <v>Automated Process</v>
      </c>
      <c r="C367">
        <v>6972355</v>
      </c>
      <c r="D367">
        <v>5384083</v>
      </c>
      <c r="E367">
        <v>0.221887953</v>
      </c>
      <c r="F367">
        <v>0</v>
      </c>
      <c r="G367">
        <v>0</v>
      </c>
      <c r="H367">
        <v>0.0011255669595789473</v>
      </c>
      <c r="I367" t="s">
        <v>137</v>
      </c>
      <c r="J367">
        <v>0.0077855422105263155</v>
      </c>
      <c r="K367">
        <v>0.23079906217010526</v>
      </c>
      <c r="L367">
        <v>0.010171020626259838</v>
      </c>
      <c r="M367">
        <v>0.061026123757559031</v>
      </c>
      <c r="N367">
        <v>0.29182518592766432</v>
      </c>
      <c r="O367" t="s">
        <v>138</v>
      </c>
      <c r="P367">
        <v>0.013847943730206315</v>
      </c>
      <c r="Q367" t="s">
        <v>138</v>
      </c>
      <c r="R367">
        <v>0.0036615674254535419</v>
      </c>
      <c r="S367" t="s">
        <v>139</v>
      </c>
      <c r="T367">
        <v>0.035019022311319717</v>
      </c>
      <c r="U367">
        <v>0.34435371939464388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60</v>
      </c>
      <c r="AB367">
        <v>1</v>
      </c>
      <c r="AC367">
        <v>0.50</v>
      </c>
      <c r="AD367">
        <v>0.50345253019720215</v>
      </c>
      <c r="AE367">
        <v>591.30</v>
      </c>
      <c r="AF367">
        <v>200000</v>
      </c>
      <c r="AG367">
        <v>16666.666666666668</v>
      </c>
      <c r="AH367">
        <v>1</v>
      </c>
      <c r="AI367">
        <v>1</v>
      </c>
      <c r="AJ367" t="s">
        <v>136</v>
      </c>
      <c r="AK367" t="s">
        <v>137</v>
      </c>
      <c r="AL367">
        <v>0</v>
      </c>
      <c r="AM367" t="s">
        <v>137</v>
      </c>
      <c r="AN367">
        <v>0</v>
      </c>
    </row>
    <row r="368" spans="1:42" ht="12.75">
      <c r="A368" s="2" t="str">
        <f>HYPERLINK("https://ibp.a2mac1.com/costing(costing:projects/details/8191/process/6972356)","Automated Process")</f>
        <v>Automated Process</v>
      </c>
      <c r="C368">
        <v>6972356</v>
      </c>
      <c r="D368">
        <v>5384084</v>
      </c>
      <c r="E368">
        <v>0.039621792000000003</v>
      </c>
      <c r="F368">
        <v>0</v>
      </c>
      <c r="G368">
        <v>0</v>
      </c>
      <c r="H368">
        <v>0.00020098873936842104</v>
      </c>
      <c r="I368" t="s">
        <v>137</v>
      </c>
      <c r="J368">
        <v>0.0013902383157894736</v>
      </c>
      <c r="K368">
        <v>0.041213019055157896</v>
      </c>
      <c r="L368">
        <v>0.015095224524624912</v>
      </c>
      <c r="M368">
        <v>0.090571347147749476</v>
      </c>
      <c r="N368">
        <v>0.13178436620290737</v>
      </c>
      <c r="O368" t="s">
        <v>90</v>
      </c>
      <c r="P368">
        <v>0</v>
      </c>
      <c r="Q368" t="s">
        <v>90</v>
      </c>
      <c r="R368">
        <v>0</v>
      </c>
      <c r="S368" t="s">
        <v>90</v>
      </c>
      <c r="T368">
        <v>0</v>
      </c>
      <c r="U368">
        <v>0.13178436620290737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700</v>
      </c>
      <c r="AB368">
        <v>1</v>
      </c>
      <c r="AC368">
        <v>0.50</v>
      </c>
      <c r="AD368">
        <v>0.50345253019720215</v>
      </c>
      <c r="AE368">
        <v>75.60</v>
      </c>
      <c r="AF368">
        <v>200000</v>
      </c>
      <c r="AG368">
        <v>16666.666666666668</v>
      </c>
      <c r="AH368">
        <v>1</v>
      </c>
      <c r="AI368">
        <v>1</v>
      </c>
      <c r="AJ368" t="s">
        <v>136</v>
      </c>
      <c r="AK368" t="s">
        <v>137</v>
      </c>
      <c r="AL368">
        <v>0</v>
      </c>
      <c r="AM368" t="s">
        <v>137</v>
      </c>
      <c r="AN368">
        <v>0</v>
      </c>
    </row>
    <row r="369" spans="1:42" ht="12.75">
      <c r="A369" s="2" t="str">
        <f>HYPERLINK("https://ibp.a2mac1.com/costing(costing:projects/details/8191/process/6972357)","Automated Process")</f>
        <v>Automated Process</v>
      </c>
      <c r="C369">
        <v>6972357</v>
      </c>
      <c r="D369">
        <v>5384085</v>
      </c>
      <c r="E369">
        <v>0.039621792000000003</v>
      </c>
      <c r="F369">
        <v>0</v>
      </c>
      <c r="G369">
        <v>0</v>
      </c>
      <c r="H369">
        <v>0.00020098873936842104</v>
      </c>
      <c r="I369" t="s">
        <v>137</v>
      </c>
      <c r="J369">
        <v>0.0013902383157894736</v>
      </c>
      <c r="K369">
        <v>0.041213019055157896</v>
      </c>
      <c r="L369">
        <v>0.012939685922245831</v>
      </c>
      <c r="M369">
        <v>0.077638115533474994</v>
      </c>
      <c r="N369">
        <v>0.11885113458863288</v>
      </c>
      <c r="O369" t="s">
        <v>90</v>
      </c>
      <c r="P369">
        <v>0</v>
      </c>
      <c r="Q369" t="s">
        <v>90</v>
      </c>
      <c r="R369">
        <v>0</v>
      </c>
      <c r="S369" t="s">
        <v>90</v>
      </c>
      <c r="T369">
        <v>0</v>
      </c>
      <c r="U369">
        <v>0.11885113458863288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600</v>
      </c>
      <c r="AB369">
        <v>1</v>
      </c>
      <c r="AC369">
        <v>0.50</v>
      </c>
      <c r="AD369">
        <v>0.50345253019720215</v>
      </c>
      <c r="AE369">
        <v>75.60</v>
      </c>
      <c r="AF369">
        <v>200000</v>
      </c>
      <c r="AG369">
        <v>16666.666666666668</v>
      </c>
      <c r="AH369">
        <v>1</v>
      </c>
      <c r="AI369">
        <v>1</v>
      </c>
      <c r="AJ369" t="s">
        <v>136</v>
      </c>
      <c r="AK369" t="s">
        <v>137</v>
      </c>
      <c r="AL369">
        <v>0</v>
      </c>
      <c r="AM369" t="s">
        <v>137</v>
      </c>
      <c r="AN369">
        <v>0</v>
      </c>
    </row>
    <row r="370" spans="1:42" ht="12.75">
      <c r="A370" s="2" t="str">
        <f>HYPERLINK("https://ibp.a2mac1.com/costing(costing:projects/details/8191/process/6972358)","Automated Process")</f>
        <v>Automated Process</v>
      </c>
      <c r="C370">
        <v>6972358</v>
      </c>
      <c r="D370">
        <v>5384086</v>
      </c>
      <c r="E370">
        <v>0.039621792000000003</v>
      </c>
      <c r="F370">
        <v>0</v>
      </c>
      <c r="G370">
        <v>0</v>
      </c>
      <c r="H370">
        <v>0.00020098873936842104</v>
      </c>
      <c r="I370" t="s">
        <v>137</v>
      </c>
      <c r="J370">
        <v>0.0013902383157894736</v>
      </c>
      <c r="K370">
        <v>0.041213019055157896</v>
      </c>
      <c r="L370">
        <v>0.015095224524624912</v>
      </c>
      <c r="M370">
        <v>0.090571347147749476</v>
      </c>
      <c r="N370">
        <v>0.13178436620290737</v>
      </c>
      <c r="O370" t="s">
        <v>90</v>
      </c>
      <c r="P370">
        <v>0</v>
      </c>
      <c r="Q370" t="s">
        <v>90</v>
      </c>
      <c r="R370">
        <v>0</v>
      </c>
      <c r="S370" t="s">
        <v>90</v>
      </c>
      <c r="T370">
        <v>0</v>
      </c>
      <c r="U370">
        <v>0.13178436620290737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700</v>
      </c>
      <c r="AB370">
        <v>1</v>
      </c>
      <c r="AC370">
        <v>0.50</v>
      </c>
      <c r="AD370">
        <v>0.50345253019720215</v>
      </c>
      <c r="AE370">
        <v>75.60</v>
      </c>
      <c r="AF370">
        <v>200000</v>
      </c>
      <c r="AG370">
        <v>16666.666666666668</v>
      </c>
      <c r="AH370">
        <v>1</v>
      </c>
      <c r="AI370">
        <v>1</v>
      </c>
      <c r="AJ370" t="s">
        <v>136</v>
      </c>
      <c r="AK370" t="s">
        <v>137</v>
      </c>
      <c r="AL370">
        <v>0</v>
      </c>
      <c r="AM370" t="s">
        <v>137</v>
      </c>
      <c r="AN370">
        <v>0</v>
      </c>
    </row>
    <row r="371" spans="1:42" ht="12.75">
      <c r="A371" s="2" t="str">
        <f>HYPERLINK("https://ibp.a2mac1.com/costing(costing:projects/details/8191/process/6972359)","Automated Process")</f>
        <v>Automated Process</v>
      </c>
      <c r="C371">
        <v>6972359</v>
      </c>
      <c r="D371">
        <v>5384087</v>
      </c>
      <c r="E371">
        <v>0.039621792000000003</v>
      </c>
      <c r="F371">
        <v>0</v>
      </c>
      <c r="G371">
        <v>0</v>
      </c>
      <c r="H371">
        <v>0.00020098873936842104</v>
      </c>
      <c r="I371" t="s">
        <v>137</v>
      </c>
      <c r="J371">
        <v>0.0013902383157894736</v>
      </c>
      <c r="K371">
        <v>0.041213019055157896</v>
      </c>
      <c r="L371">
        <v>0.012939685922245831</v>
      </c>
      <c r="M371">
        <v>0.077638115533474994</v>
      </c>
      <c r="N371">
        <v>0.11885113458863288</v>
      </c>
      <c r="O371" t="s">
        <v>90</v>
      </c>
      <c r="P371">
        <v>0</v>
      </c>
      <c r="Q371" t="s">
        <v>90</v>
      </c>
      <c r="R371">
        <v>0</v>
      </c>
      <c r="S371" t="s">
        <v>90</v>
      </c>
      <c r="T371">
        <v>0</v>
      </c>
      <c r="U371">
        <v>0.11885113458863288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600</v>
      </c>
      <c r="AB371">
        <v>1</v>
      </c>
      <c r="AC371">
        <v>0.50</v>
      </c>
      <c r="AD371">
        <v>0.50345253019720215</v>
      </c>
      <c r="AE371">
        <v>75.60</v>
      </c>
      <c r="AF371">
        <v>200000</v>
      </c>
      <c r="AG371">
        <v>16666.666666666668</v>
      </c>
      <c r="AH371">
        <v>1</v>
      </c>
      <c r="AI371">
        <v>1</v>
      </c>
      <c r="AJ371" t="s">
        <v>136</v>
      </c>
      <c r="AK371" t="s">
        <v>137</v>
      </c>
      <c r="AL371">
        <v>0</v>
      </c>
      <c r="AM371" t="s">
        <v>137</v>
      </c>
      <c r="AN371">
        <v>0</v>
      </c>
    </row>
    <row r="372" spans="1:42" ht="12.75">
      <c r="A372" s="2" t="str">
        <f>HYPERLINK("https://ibp.a2mac1.com/costing(costing:projects/details/8191/process/6972360)","Automated Process")</f>
        <v>Automated Process</v>
      </c>
      <c r="C372">
        <v>6972360</v>
      </c>
      <c r="D372">
        <v>5384089</v>
      </c>
      <c r="E372">
        <v>0.096311040000000001</v>
      </c>
      <c r="F372">
        <v>0</v>
      </c>
      <c r="G372">
        <v>0</v>
      </c>
      <c r="H372">
        <v>0.00048855525052631584</v>
      </c>
      <c r="I372" t="s">
        <v>137</v>
      </c>
      <c r="J372">
        <v>0.0033793347368421055</v>
      </c>
      <c r="K372">
        <v>0.10017892998736842</v>
      </c>
      <c r="L372">
        <v>0.01848532187793377</v>
      </c>
      <c r="M372">
        <v>0.11091193126760261</v>
      </c>
      <c r="N372">
        <v>0.21109086125497104</v>
      </c>
      <c r="O372" t="s">
        <v>90</v>
      </c>
      <c r="P372">
        <v>0</v>
      </c>
      <c r="Q372" t="s">
        <v>90</v>
      </c>
      <c r="R372">
        <v>0</v>
      </c>
      <c r="S372" t="s">
        <v>90</v>
      </c>
      <c r="T372">
        <v>0</v>
      </c>
      <c r="U372">
        <v>0.21109086125497104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600</v>
      </c>
      <c r="AB372">
        <v>1</v>
      </c>
      <c r="AC372">
        <v>0.50</v>
      </c>
      <c r="AD372">
        <v>0.50345253019720215</v>
      </c>
      <c r="AE372">
        <v>108</v>
      </c>
      <c r="AF372">
        <v>200000</v>
      </c>
      <c r="AG372">
        <v>16666.666666666668</v>
      </c>
      <c r="AH372">
        <v>1</v>
      </c>
      <c r="AI372">
        <v>1</v>
      </c>
      <c r="AJ372" t="s">
        <v>136</v>
      </c>
      <c r="AK372" t="s">
        <v>137</v>
      </c>
      <c r="AL372">
        <v>0</v>
      </c>
      <c r="AM372" t="s">
        <v>137</v>
      </c>
      <c r="AN372">
        <v>0</v>
      </c>
    </row>
    <row r="373" spans="1:42" ht="12.75">
      <c r="A373" s="2" t="str">
        <f>HYPERLINK("https://ibp.a2mac1.com/costing(costing:projects/details/8191/process/6972361)","Automated Process")</f>
        <v>Automated Process</v>
      </c>
      <c r="C373">
        <v>6972361</v>
      </c>
      <c r="D373">
        <v>5384090</v>
      </c>
      <c r="E373">
        <v>0.041036855999999997</v>
      </c>
      <c r="F373">
        <v>0</v>
      </c>
      <c r="G373">
        <v>0</v>
      </c>
      <c r="H373">
        <v>0.00020816690863157894</v>
      </c>
      <c r="I373" t="s">
        <v>137</v>
      </c>
      <c r="J373">
        <v>0.0014398896842105263</v>
      </c>
      <c r="K373">
        <v>0.042684912592842107</v>
      </c>
      <c r="L373">
        <v>0.013401820962257368</v>
      </c>
      <c r="M373">
        <v>0.080410925773544209</v>
      </c>
      <c r="N373">
        <v>0.12309583836638631</v>
      </c>
      <c r="O373" t="s">
        <v>90</v>
      </c>
      <c r="P373">
        <v>0</v>
      </c>
      <c r="Q373" t="s">
        <v>90</v>
      </c>
      <c r="R373">
        <v>0</v>
      </c>
      <c r="S373" t="s">
        <v>90</v>
      </c>
      <c r="T373">
        <v>0</v>
      </c>
      <c r="U373">
        <v>0.12309583836638631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600</v>
      </c>
      <c r="AB373">
        <v>1</v>
      </c>
      <c r="AC373">
        <v>0.50</v>
      </c>
      <c r="AD373">
        <v>0.50345253019720215</v>
      </c>
      <c r="AE373">
        <v>78.30</v>
      </c>
      <c r="AF373">
        <v>200000</v>
      </c>
      <c r="AG373">
        <v>16666.666666666668</v>
      </c>
      <c r="AH373">
        <v>1</v>
      </c>
      <c r="AI373">
        <v>1</v>
      </c>
      <c r="AJ373" t="s">
        <v>136</v>
      </c>
      <c r="AK373" t="s">
        <v>137</v>
      </c>
      <c r="AL373">
        <v>0</v>
      </c>
      <c r="AM373" t="s">
        <v>137</v>
      </c>
      <c r="AN373">
        <v>0</v>
      </c>
    </row>
    <row r="374" spans="1:42" ht="12.75">
      <c r="A374" s="2" t="str">
        <f>HYPERLINK("https://ibp.a2mac1.com/costing(costing:projects/details/8191/process/6972362)","Automated Process")</f>
        <v>Automated Process</v>
      </c>
      <c r="C374">
        <v>6972362</v>
      </c>
      <c r="D374">
        <v>5384091</v>
      </c>
      <c r="E374">
        <v>1.1516769389999999</v>
      </c>
      <c r="F374">
        <v>0</v>
      </c>
      <c r="G374">
        <v>0</v>
      </c>
      <c r="H374">
        <v>0.0058420905376842108</v>
      </c>
      <c r="I374" t="s">
        <v>137</v>
      </c>
      <c r="J374">
        <v>0.040409717157894737</v>
      </c>
      <c r="K374">
        <v>1.197928746695579</v>
      </c>
      <c r="L374">
        <v>0.020167208758434019</v>
      </c>
      <c r="M374">
        <v>0.12100325255060411</v>
      </c>
      <c r="N374">
        <v>1.318931999246183</v>
      </c>
      <c r="O374" t="s">
        <v>90</v>
      </c>
      <c r="P374">
        <v>0</v>
      </c>
      <c r="Q374" t="s">
        <v>90</v>
      </c>
      <c r="R374">
        <v>0</v>
      </c>
      <c r="S374" t="s">
        <v>90</v>
      </c>
      <c r="T374">
        <v>0</v>
      </c>
      <c r="U374">
        <v>1.318931999246183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60</v>
      </c>
      <c r="AB374">
        <v>1</v>
      </c>
      <c r="AC374">
        <v>0.50</v>
      </c>
      <c r="AD374">
        <v>0.50345253019720215</v>
      </c>
      <c r="AE374">
        <v>1171.80</v>
      </c>
      <c r="AF374">
        <v>200000</v>
      </c>
      <c r="AG374">
        <v>16666.666666666668</v>
      </c>
      <c r="AH374">
        <v>1</v>
      </c>
      <c r="AI374">
        <v>1</v>
      </c>
      <c r="AJ374" t="s">
        <v>136</v>
      </c>
      <c r="AK374" t="s">
        <v>137</v>
      </c>
      <c r="AL374">
        <v>0</v>
      </c>
      <c r="AM374" t="s">
        <v>137</v>
      </c>
      <c r="AN374">
        <v>0</v>
      </c>
    </row>
    <row r="375" spans="1:42" ht="12.75">
      <c r="A375" s="2" t="str">
        <f>HYPERLINK("https://ibp.a2mac1.com/costing(costing:projects/details/8191/process/6972363)","Automated Process")</f>
        <v>Automated Process</v>
      </c>
      <c r="C375">
        <v>6972363</v>
      </c>
      <c r="D375">
        <v>5384092</v>
      </c>
      <c r="E375">
        <v>0.063687203999999997</v>
      </c>
      <c r="F375">
        <v>0</v>
      </c>
      <c r="G375">
        <v>0</v>
      </c>
      <c r="H375">
        <v>0.00032306491452631581</v>
      </c>
      <c r="I375" t="s">
        <v>137</v>
      </c>
      <c r="J375">
        <v>0.0022346387368421053</v>
      </c>
      <c r="K375">
        <v>0.066244907651368423</v>
      </c>
      <c r="L375">
        <v>0.0029616882351502314</v>
      </c>
      <c r="M375">
        <v>0.017770129410901388</v>
      </c>
      <c r="N375">
        <v>0.084015037062269815</v>
      </c>
      <c r="O375" t="s">
        <v>90</v>
      </c>
      <c r="P375">
        <v>0</v>
      </c>
      <c r="Q375" t="s">
        <v>90</v>
      </c>
      <c r="R375">
        <v>0</v>
      </c>
      <c r="S375" t="s">
        <v>90</v>
      </c>
      <c r="T375">
        <v>0</v>
      </c>
      <c r="U375">
        <v>0.084015037062269815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160</v>
      </c>
      <c r="AB375">
        <v>1</v>
      </c>
      <c r="AC375">
        <v>0.50</v>
      </c>
      <c r="AD375">
        <v>0.50345253019720215</v>
      </c>
      <c r="AE375">
        <v>64.80</v>
      </c>
      <c r="AF375">
        <v>200000</v>
      </c>
      <c r="AG375">
        <v>16666.666666666668</v>
      </c>
      <c r="AH375">
        <v>1</v>
      </c>
      <c r="AI375">
        <v>1</v>
      </c>
      <c r="AJ375" t="s">
        <v>136</v>
      </c>
      <c r="AK375" t="s">
        <v>137</v>
      </c>
      <c r="AL375">
        <v>0</v>
      </c>
      <c r="AM375" t="s">
        <v>137</v>
      </c>
      <c r="AN375">
        <v>0</v>
      </c>
    </row>
    <row r="376" spans="1:42" ht="12.75">
      <c r="A376" s="2" t="str">
        <f>HYPERLINK("https://ibp.a2mac1.com/costing(costing:projects/details/8191/process/6972364)","Automated Process")</f>
        <v>Automated Process</v>
      </c>
      <c r="C376">
        <v>6972364</v>
      </c>
      <c r="D376">
        <v>5384093</v>
      </c>
      <c r="E376">
        <v>0.26536335</v>
      </c>
      <c r="F376">
        <v>0</v>
      </c>
      <c r="G376">
        <v>0</v>
      </c>
      <c r="H376">
        <v>0.0013461038105263157</v>
      </c>
      <c r="I376" t="s">
        <v>137</v>
      </c>
      <c r="J376">
        <v>0.0093109947368421059</v>
      </c>
      <c r="K376">
        <v>0.2760204485473684</v>
      </c>
      <c r="L376">
        <v>0.0046429065115915586</v>
      </c>
      <c r="M376">
        <v>0.02785743906954935</v>
      </c>
      <c r="N376">
        <v>0.30387788761691775</v>
      </c>
      <c r="O376" t="s">
        <v>90</v>
      </c>
      <c r="P376">
        <v>0</v>
      </c>
      <c r="Q376" t="s">
        <v>90</v>
      </c>
      <c r="R376">
        <v>0</v>
      </c>
      <c r="S376" t="s">
        <v>90</v>
      </c>
      <c r="T376">
        <v>0</v>
      </c>
      <c r="U376">
        <v>0.30387788761691775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60</v>
      </c>
      <c r="AB376">
        <v>1</v>
      </c>
      <c r="AC376">
        <v>0.50</v>
      </c>
      <c r="AD376">
        <v>0.50345253019720215</v>
      </c>
      <c r="AE376">
        <v>270</v>
      </c>
      <c r="AF376">
        <v>200000</v>
      </c>
      <c r="AG376">
        <v>16666.666666666668</v>
      </c>
      <c r="AH376">
        <v>1</v>
      </c>
      <c r="AI376">
        <v>1</v>
      </c>
      <c r="AJ376" t="s">
        <v>136</v>
      </c>
      <c r="AK376" t="s">
        <v>137</v>
      </c>
      <c r="AL376">
        <v>0</v>
      </c>
      <c r="AM376" t="s">
        <v>137</v>
      </c>
      <c r="AN376">
        <v>0</v>
      </c>
    </row>
    <row r="377" spans="1:42" ht="12.75">
      <c r="A377" s="2" t="str">
        <f>HYPERLINK("https://ibp.a2mac1.com/costing(costing:projects/details/8191/process/6972365)","Automated Process")</f>
        <v>Automated Process</v>
      </c>
      <c r="C377">
        <v>6972365</v>
      </c>
      <c r="D377">
        <v>5384094</v>
      </c>
      <c r="E377">
        <v>1.5356747965170068</v>
      </c>
      <c r="F377">
        <v>0</v>
      </c>
      <c r="G377">
        <v>0</v>
      </c>
      <c r="H377">
        <v>0.0088267504881360537</v>
      </c>
      <c r="I377" t="s">
        <v>137</v>
      </c>
      <c r="J377">
        <v>0.06105459823809524</v>
      </c>
      <c r="K377">
        <v>1.6055561452432381</v>
      </c>
      <c r="L377">
        <v>0.17346939201326614</v>
      </c>
      <c r="M377">
        <v>1.0408163520795968</v>
      </c>
      <c r="N377">
        <v>2.6463724973228349</v>
      </c>
      <c r="O377" t="s">
        <v>90</v>
      </c>
      <c r="P377">
        <v>0</v>
      </c>
      <c r="Q377" t="s">
        <v>90</v>
      </c>
      <c r="R377">
        <v>0</v>
      </c>
      <c r="S377" t="s">
        <v>90</v>
      </c>
      <c r="T377">
        <v>0</v>
      </c>
      <c r="U377">
        <v>2.6463724973228349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150</v>
      </c>
      <c r="AB377">
        <v>1</v>
      </c>
      <c r="AC377">
        <v>0.50</v>
      </c>
      <c r="AD377">
        <v>0.50345253019720215</v>
      </c>
      <c r="AE377">
        <v>4041.90</v>
      </c>
      <c r="AF377">
        <v>200000</v>
      </c>
      <c r="AG377">
        <v>16666.666666666668</v>
      </c>
      <c r="AH377">
        <v>1</v>
      </c>
      <c r="AI377">
        <v>1</v>
      </c>
      <c r="AJ377" t="s">
        <v>136</v>
      </c>
      <c r="AK377" t="s">
        <v>137</v>
      </c>
      <c r="AL377">
        <v>0</v>
      </c>
      <c r="AM377" t="s">
        <v>137</v>
      </c>
      <c r="AN377">
        <v>0</v>
      </c>
    </row>
    <row r="378" spans="1:42" ht="12.75">
      <c r="A378" s="2" t="str">
        <f>HYPERLINK("https://ibp.a2mac1.com/costing(costing:projects/details/8191/process/6972366)","Automated Process")</f>
        <v>Automated Process</v>
      </c>
      <c r="C378">
        <v>6972366</v>
      </c>
      <c r="D378">
        <v>5384095</v>
      </c>
      <c r="E378">
        <v>0.39007145100000001</v>
      </c>
      <c r="F378">
        <v>0</v>
      </c>
      <c r="G378">
        <v>0</v>
      </c>
      <c r="H378">
        <v>0.0019787083128421051</v>
      </c>
      <c r="I378" t="s">
        <v>137</v>
      </c>
      <c r="J378">
        <v>0.013686717578947368</v>
      </c>
      <c r="K378">
        <v>0.4057368768917895</v>
      </c>
      <c r="L378">
        <v>0.064316071421585727</v>
      </c>
      <c r="M378">
        <v>0.38589642852951439</v>
      </c>
      <c r="N378">
        <v>0.79163330542130383</v>
      </c>
      <c r="O378" t="s">
        <v>90</v>
      </c>
      <c r="P378">
        <v>0</v>
      </c>
      <c r="Q378" t="s">
        <v>90</v>
      </c>
      <c r="R378">
        <v>0</v>
      </c>
      <c r="S378" t="s">
        <v>90</v>
      </c>
      <c r="T378">
        <v>0</v>
      </c>
      <c r="U378">
        <v>0.79163330542130383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460</v>
      </c>
      <c r="AB378">
        <v>1</v>
      </c>
      <c r="AC378">
        <v>0.50</v>
      </c>
      <c r="AD378">
        <v>0.50345253019720215</v>
      </c>
      <c r="AE378">
        <v>490.05</v>
      </c>
      <c r="AF378">
        <v>200000</v>
      </c>
      <c r="AG378">
        <v>16666.666666666668</v>
      </c>
      <c r="AH378">
        <v>1</v>
      </c>
      <c r="AI378">
        <v>1</v>
      </c>
      <c r="AJ378" t="s">
        <v>136</v>
      </c>
      <c r="AK378" t="s">
        <v>137</v>
      </c>
      <c r="AL378">
        <v>0</v>
      </c>
      <c r="AM378" t="s">
        <v>137</v>
      </c>
      <c r="AN378">
        <v>0</v>
      </c>
    </row>
    <row r="379" spans="1:42" ht="12.75">
      <c r="A379" s="2" t="str">
        <f>HYPERLINK("https://ibp.a2mac1.com/costing(costing:projects/details/8191/process/6972367)","Automated Process")</f>
        <v>Automated Process</v>
      </c>
      <c r="C379">
        <v>6972367</v>
      </c>
      <c r="D379">
        <v>5384096</v>
      </c>
      <c r="E379">
        <v>0.068994471000000002</v>
      </c>
      <c r="F379">
        <v>0</v>
      </c>
      <c r="G379">
        <v>0</v>
      </c>
      <c r="H379">
        <v>0.00034998699073684211</v>
      </c>
      <c r="I379" t="s">
        <v>137</v>
      </c>
      <c r="J379">
        <v>0.0024208586315789473</v>
      </c>
      <c r="K379">
        <v>0.071765316622315792</v>
      </c>
      <c r="L379">
        <v>0.0012069301251560023</v>
      </c>
      <c r="M379">
        <v>0.007241580750936014</v>
      </c>
      <c r="N379">
        <v>0.079006897373251797</v>
      </c>
      <c r="O379" t="s">
        <v>90</v>
      </c>
      <c r="P379">
        <v>0</v>
      </c>
      <c r="Q379" t="s">
        <v>90</v>
      </c>
      <c r="R379">
        <v>0</v>
      </c>
      <c r="S379" t="s">
        <v>90</v>
      </c>
      <c r="T379">
        <v>0</v>
      </c>
      <c r="U379">
        <v>0.079006897373251797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60</v>
      </c>
      <c r="AB379">
        <v>1</v>
      </c>
      <c r="AC379">
        <v>0.50</v>
      </c>
      <c r="AD379">
        <v>0.50345253019720215</v>
      </c>
      <c r="AE379">
        <v>70.20</v>
      </c>
      <c r="AF379">
        <v>200000</v>
      </c>
      <c r="AG379">
        <v>16666.666666666668</v>
      </c>
      <c r="AH379">
        <v>1</v>
      </c>
      <c r="AI379">
        <v>1</v>
      </c>
      <c r="AJ379" t="s">
        <v>136</v>
      </c>
      <c r="AK379" t="s">
        <v>137</v>
      </c>
      <c r="AL379">
        <v>0</v>
      </c>
      <c r="AM379" t="s">
        <v>137</v>
      </c>
      <c r="AN379">
        <v>0</v>
      </c>
    </row>
    <row r="380" spans="1:42" ht="12.75">
      <c r="A380" s="2" t="str">
        <f>HYPERLINK("https://ibp.a2mac1.com/costing(costing:projects/details/8191/process/6972368)","Automated Process")</f>
        <v>Automated Process</v>
      </c>
      <c r="C380">
        <v>6972368</v>
      </c>
      <c r="D380">
        <v>5384097</v>
      </c>
      <c r="E380">
        <v>0.01724861775</v>
      </c>
      <c r="F380">
        <v>0</v>
      </c>
      <c r="G380">
        <v>0</v>
      </c>
      <c r="H380">
        <v>8.6977992263157901E-05</v>
      </c>
      <c r="I380" t="s">
        <v>137</v>
      </c>
      <c r="J380">
        <v>0.00060521465789473681</v>
      </c>
      <c r="K380">
        <v>0.017940810400157894</v>
      </c>
      <c r="L380">
        <v>0.0030030086683247646</v>
      </c>
      <c r="M380">
        <v>0.018018052009948587</v>
      </c>
      <c r="N380">
        <v>0.035958862410106485</v>
      </c>
      <c r="O380" t="s">
        <v>90</v>
      </c>
      <c r="P380">
        <v>0</v>
      </c>
      <c r="Q380" t="s">
        <v>90</v>
      </c>
      <c r="R380">
        <v>0</v>
      </c>
      <c r="S380" t="s">
        <v>90</v>
      </c>
      <c r="T380">
        <v>0</v>
      </c>
      <c r="U380">
        <v>0.035958862410106485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600</v>
      </c>
      <c r="AB380">
        <v>1</v>
      </c>
      <c r="AC380">
        <v>0.50</v>
      </c>
      <c r="AD380">
        <v>0.50048257265952256</v>
      </c>
      <c r="AE380">
        <v>17.55</v>
      </c>
      <c r="AF380">
        <v>400000</v>
      </c>
      <c r="AG380">
        <v>33333.333333333336</v>
      </c>
      <c r="AH380">
        <v>1</v>
      </c>
      <c r="AI380">
        <v>1</v>
      </c>
      <c r="AJ380" t="s">
        <v>136</v>
      </c>
      <c r="AK380" t="s">
        <v>137</v>
      </c>
      <c r="AL380">
        <v>0</v>
      </c>
      <c r="AM380" t="s">
        <v>137</v>
      </c>
      <c r="AN380">
        <v>0</v>
      </c>
    </row>
    <row r="381" spans="1:42" ht="12.75">
      <c r="A381" s="2" t="str">
        <f>HYPERLINK("https://ibp.a2mac1.com/costing(costing:projects/details/8191/process/6972369)","Automated Process")</f>
        <v>Automated Process</v>
      </c>
      <c r="C381">
        <v>6972369</v>
      </c>
      <c r="D381">
        <v>5384098</v>
      </c>
      <c r="E381">
        <v>0.24</v>
      </c>
      <c r="F381">
        <v>0</v>
      </c>
      <c r="G381">
        <v>0</v>
      </c>
      <c r="H381">
        <v>0.0012144</v>
      </c>
      <c r="I381" t="s">
        <v>137</v>
      </c>
      <c r="J381">
        <v>0.0083999999999999995</v>
      </c>
      <c r="K381">
        <v>0.24961439999999999</v>
      </c>
      <c r="L381">
        <v>0.0080732909543054579</v>
      </c>
      <c r="M381">
        <v>0.048439745725832754</v>
      </c>
      <c r="N381">
        <v>0.29805414572583278</v>
      </c>
      <c r="O381" t="s">
        <v>90</v>
      </c>
      <c r="P381">
        <v>0</v>
      </c>
      <c r="Q381" t="s">
        <v>90</v>
      </c>
      <c r="R381">
        <v>0</v>
      </c>
      <c r="S381" t="s">
        <v>90</v>
      </c>
      <c r="T381">
        <v>0</v>
      </c>
      <c r="U381">
        <v>0.29805414572583278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40</v>
      </c>
      <c r="AB381">
        <v>1</v>
      </c>
      <c r="AC381">
        <v>0.50</v>
      </c>
      <c r="AD381">
        <v>0.50345253019720215</v>
      </c>
      <c r="AE381">
        <v>702</v>
      </c>
      <c r="AF381">
        <v>200000</v>
      </c>
      <c r="AG381">
        <v>16666.666666666668</v>
      </c>
      <c r="AH381">
        <v>1</v>
      </c>
      <c r="AI381">
        <v>1</v>
      </c>
      <c r="AJ381" t="s">
        <v>136</v>
      </c>
      <c r="AK381" t="s">
        <v>137</v>
      </c>
      <c r="AL381">
        <v>0</v>
      </c>
      <c r="AM381" t="s">
        <v>137</v>
      </c>
      <c r="AN381">
        <v>0</v>
      </c>
    </row>
    <row r="382" spans="1:42" ht="12.75">
      <c r="A382" s="2" t="str">
        <f>HYPERLINK("https://ibp.a2mac1.com/costing(costing:projects/details/8191/process/6972573)","Automated Process")</f>
        <v>Automated Process</v>
      </c>
      <c r="C382">
        <v>6972573</v>
      </c>
      <c r="D382">
        <v>5384255</v>
      </c>
      <c r="E382">
        <v>0.033443235000000002</v>
      </c>
      <c r="F382">
        <v>0</v>
      </c>
      <c r="G382">
        <v>0</v>
      </c>
      <c r="H382">
        <v>0.00016964688631578947</v>
      </c>
      <c r="I382" t="s">
        <v>137</v>
      </c>
      <c r="J382">
        <v>0.0011734468421052632</v>
      </c>
      <c r="K382">
        <v>0.034786328728421051</v>
      </c>
      <c r="L382">
        <v>0.00069628649699928532</v>
      </c>
      <c r="M382">
        <v>0.0041777189819957126</v>
      </c>
      <c r="N382">
        <v>0.038964047710416762</v>
      </c>
      <c r="O382" t="s">
        <v>90</v>
      </c>
      <c r="P382">
        <v>0</v>
      </c>
      <c r="Q382" t="s">
        <v>90</v>
      </c>
      <c r="R382">
        <v>0</v>
      </c>
      <c r="S382" t="s">
        <v>90</v>
      </c>
      <c r="T382">
        <v>0</v>
      </c>
      <c r="U382">
        <v>0.038964047710416762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60</v>
      </c>
      <c r="AB382">
        <v>1</v>
      </c>
      <c r="AC382">
        <v>0.50</v>
      </c>
      <c r="AD382">
        <v>0.50345253019720215</v>
      </c>
      <c r="AE382">
        <v>40.50</v>
      </c>
      <c r="AF382">
        <v>200000</v>
      </c>
      <c r="AG382">
        <v>16666.666666666668</v>
      </c>
      <c r="AH382">
        <v>1</v>
      </c>
      <c r="AI382">
        <v>1</v>
      </c>
      <c r="AJ382" t="s">
        <v>136</v>
      </c>
      <c r="AK382" t="s">
        <v>137</v>
      </c>
      <c r="AL382">
        <v>0</v>
      </c>
      <c r="AM382" t="s">
        <v>137</v>
      </c>
      <c r="AN382">
        <v>0</v>
      </c>
    </row>
    <row r="383" spans="1:42" ht="12.75">
      <c r="A383" s="2" t="str">
        <f>HYPERLINK("https://ibp.a2mac1.com/costing(costing:projects/details/8191/process/6972574)","Automated Process")</f>
        <v>Automated Process</v>
      </c>
      <c r="C383">
        <v>6972574</v>
      </c>
      <c r="D383">
        <v>5384256</v>
      </c>
      <c r="E383">
        <v>0.035672783999999999</v>
      </c>
      <c r="F383">
        <v>0</v>
      </c>
      <c r="G383">
        <v>0</v>
      </c>
      <c r="H383">
        <v>0.00018095667873684211</v>
      </c>
      <c r="I383" t="s">
        <v>137</v>
      </c>
      <c r="J383">
        <v>0.0012516766315789473</v>
      </c>
      <c r="K383">
        <v>0.037105417310315789</v>
      </c>
      <c r="L383">
        <v>0.00074270747262341903</v>
      </c>
      <c r="M383">
        <v>0.004456244835740514</v>
      </c>
      <c r="N383">
        <v>0.041561662146056305</v>
      </c>
      <c r="O383" t="s">
        <v>90</v>
      </c>
      <c r="P383">
        <v>0</v>
      </c>
      <c r="Q383" t="s">
        <v>90</v>
      </c>
      <c r="R383">
        <v>0</v>
      </c>
      <c r="S383" t="s">
        <v>90</v>
      </c>
      <c r="T383">
        <v>0</v>
      </c>
      <c r="U383">
        <v>0.041561662146056305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60</v>
      </c>
      <c r="AB383">
        <v>1</v>
      </c>
      <c r="AC383">
        <v>0.50</v>
      </c>
      <c r="AD383">
        <v>0.50345253019720215</v>
      </c>
      <c r="AE383">
        <v>43.20</v>
      </c>
      <c r="AF383">
        <v>200000</v>
      </c>
      <c r="AG383">
        <v>16666.666666666668</v>
      </c>
      <c r="AH383">
        <v>1</v>
      </c>
      <c r="AI383">
        <v>1</v>
      </c>
      <c r="AJ383" t="s">
        <v>136</v>
      </c>
      <c r="AK383" t="s">
        <v>137</v>
      </c>
      <c r="AL383">
        <v>0</v>
      </c>
      <c r="AM383" t="s">
        <v>137</v>
      </c>
      <c r="AN383">
        <v>0</v>
      </c>
    </row>
    <row r="384" spans="1:42" ht="12.75">
      <c r="A384" s="2" t="str">
        <f>HYPERLINK("https://ibp.a2mac1.com/costing(costing:projects/details/8191/process/6972575)","Automated Process")</f>
        <v>Automated Process</v>
      </c>
      <c r="C384">
        <v>6972575</v>
      </c>
      <c r="D384">
        <v>5384257</v>
      </c>
      <c r="E384">
        <v>0.30501424799999999</v>
      </c>
      <c r="F384">
        <v>0</v>
      </c>
      <c r="G384">
        <v>0</v>
      </c>
      <c r="H384">
        <v>0.001547240195368421</v>
      </c>
      <c r="I384" t="s">
        <v>137</v>
      </c>
      <c r="J384">
        <v>0.010702254315789474</v>
      </c>
      <c r="K384">
        <v>0.31726374251115791</v>
      </c>
      <c r="L384">
        <v>0.017770939766947717</v>
      </c>
      <c r="M384">
        <v>0.10662563860168629</v>
      </c>
      <c r="N384">
        <v>0.42388938111284419</v>
      </c>
      <c r="O384" t="s">
        <v>90</v>
      </c>
      <c r="P384">
        <v>0</v>
      </c>
      <c r="Q384" t="s">
        <v>90</v>
      </c>
      <c r="R384">
        <v>0</v>
      </c>
      <c r="S384" t="s">
        <v>90</v>
      </c>
      <c r="T384">
        <v>0</v>
      </c>
      <c r="U384">
        <v>0.42388938111284419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160</v>
      </c>
      <c r="AB384">
        <v>1</v>
      </c>
      <c r="AC384">
        <v>0.50</v>
      </c>
      <c r="AD384">
        <v>0.50345253019720215</v>
      </c>
      <c r="AE384">
        <v>388.80</v>
      </c>
      <c r="AF384">
        <v>200000</v>
      </c>
      <c r="AG384">
        <v>16666.666666666668</v>
      </c>
      <c r="AH384">
        <v>1</v>
      </c>
      <c r="AI384">
        <v>1</v>
      </c>
      <c r="AJ384" t="s">
        <v>136</v>
      </c>
      <c r="AK384" t="s">
        <v>137</v>
      </c>
      <c r="AL384">
        <v>0</v>
      </c>
      <c r="AM384" t="s">
        <v>137</v>
      </c>
      <c r="AN384">
        <v>0</v>
      </c>
    </row>
    <row r="385" spans="1:42" ht="12.75">
      <c r="A385" s="2" t="str">
        <f>HYPERLINK("https://ibp.a2mac1.com/costing(costing:projects/details/8191/process/6972576)","Automated Process")</f>
        <v>Automated Process</v>
      </c>
      <c r="C385">
        <v>6972576</v>
      </c>
      <c r="D385">
        <v>5384258</v>
      </c>
      <c r="E385">
        <v>0.96592259400000002</v>
      </c>
      <c r="F385">
        <v>0</v>
      </c>
      <c r="G385">
        <v>0</v>
      </c>
      <c r="H385">
        <v>0.0048998178703157898</v>
      </c>
      <c r="I385" t="s">
        <v>137</v>
      </c>
      <c r="J385">
        <v>0.033892020842105262</v>
      </c>
      <c r="K385">
        <v>1.0047144327124211</v>
      </c>
      <c r="L385">
        <v>0.016911445902226242</v>
      </c>
      <c r="M385">
        <v>0.10146867541335745</v>
      </c>
      <c r="N385">
        <v>1.1061831081257785</v>
      </c>
      <c r="O385" t="s">
        <v>90</v>
      </c>
      <c r="P385">
        <v>0</v>
      </c>
      <c r="Q385" t="s">
        <v>90</v>
      </c>
      <c r="R385">
        <v>0</v>
      </c>
      <c r="S385" t="s">
        <v>90</v>
      </c>
      <c r="T385">
        <v>0</v>
      </c>
      <c r="U385">
        <v>1.1061831081257785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60</v>
      </c>
      <c r="AB385">
        <v>1</v>
      </c>
      <c r="AC385">
        <v>0.50</v>
      </c>
      <c r="AD385">
        <v>0.50345253019720215</v>
      </c>
      <c r="AE385">
        <v>982.80</v>
      </c>
      <c r="AF385">
        <v>200000</v>
      </c>
      <c r="AG385">
        <v>16666.666666666668</v>
      </c>
      <c r="AH385">
        <v>1</v>
      </c>
      <c r="AI385">
        <v>1</v>
      </c>
      <c r="AJ385" t="s">
        <v>136</v>
      </c>
      <c r="AK385" t="s">
        <v>137</v>
      </c>
      <c r="AL385">
        <v>0</v>
      </c>
      <c r="AM385" t="s">
        <v>137</v>
      </c>
      <c r="AN385">
        <v>0</v>
      </c>
    </row>
    <row r="386" spans="1:42" ht="12.75">
      <c r="A386" s="2" t="str">
        <f>HYPERLINK("https://ibp.a2mac1.com/costing(costing:projects/details/8191/process/6972370)","Cutting")</f>
        <v>Cutting</v>
      </c>
      <c r="B386" t="s">
        <v>2695</v>
      </c>
      <c r="C386">
        <v>6972370</v>
      </c>
      <c r="D386">
        <v>5384099</v>
      </c>
      <c r="E386">
        <v>4.5750666666666664</v>
      </c>
      <c r="F386">
        <v>0</v>
      </c>
      <c r="G386">
        <v>0</v>
      </c>
      <c r="H386">
        <v>0.0094246373333333328</v>
      </c>
      <c r="I386" t="s">
        <v>137</v>
      </c>
      <c r="J386">
        <v>0.16012733333333334</v>
      </c>
      <c r="K386">
        <v>4.7446186373333337</v>
      </c>
      <c r="L386">
        <v>0.0057740083350317365</v>
      </c>
      <c r="M386">
        <v>0.034644050010190414</v>
      </c>
      <c r="N386">
        <v>4.7792626873435236</v>
      </c>
      <c r="O386" t="s">
        <v>90</v>
      </c>
      <c r="P386">
        <v>0</v>
      </c>
      <c r="Q386" t="s">
        <v>90</v>
      </c>
      <c r="R386">
        <v>0</v>
      </c>
      <c r="S386" t="s">
        <v>90</v>
      </c>
      <c r="T386">
        <v>0</v>
      </c>
      <c r="U386">
        <v>4.7792626873435236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8.13</v>
      </c>
      <c r="AB386">
        <v>1</v>
      </c>
      <c r="AC386">
        <v>0.10</v>
      </c>
      <c r="AD386">
        <v>0.20557651238448796</v>
      </c>
      <c r="AE386">
        <v>900</v>
      </c>
      <c r="AF386">
        <v>200000</v>
      </c>
      <c r="AG386">
        <v>16666.666666666668</v>
      </c>
      <c r="AH386">
        <v>1</v>
      </c>
      <c r="AI386">
        <v>1</v>
      </c>
      <c r="AJ386" t="s">
        <v>2693</v>
      </c>
      <c r="AK386" t="s">
        <v>137</v>
      </c>
      <c r="AL386">
        <v>0</v>
      </c>
      <c r="AM386" t="s">
        <v>137</v>
      </c>
      <c r="AN386">
        <v>0</v>
      </c>
    </row>
    <row r="387" spans="1:42" ht="12.75">
      <c r="A387" s="2" t="str">
        <f>HYPERLINK("https://ibp.a2mac1.com/costing(costing:projects/details/8191/process/6972371)","Sewing")</f>
        <v>Sewing</v>
      </c>
      <c r="C387">
        <v>6972371</v>
      </c>
      <c r="D387">
        <v>5384099</v>
      </c>
      <c r="E387">
        <v>0</v>
      </c>
      <c r="F387">
        <v>0</v>
      </c>
      <c r="G387">
        <v>0</v>
      </c>
      <c r="H387">
        <v>0</v>
      </c>
      <c r="I387" t="s">
        <v>137</v>
      </c>
      <c r="J387">
        <v>0</v>
      </c>
      <c r="K387">
        <v>0</v>
      </c>
      <c r="L387">
        <v>0.22233006657357374</v>
      </c>
      <c r="M387">
        <v>1.3339803994414423</v>
      </c>
      <c r="N387">
        <v>1.3339803994414423</v>
      </c>
      <c r="O387" t="s">
        <v>90</v>
      </c>
      <c r="P387">
        <v>0</v>
      </c>
      <c r="Q387" t="s">
        <v>90</v>
      </c>
      <c r="R387">
        <v>0</v>
      </c>
      <c r="S387" t="s">
        <v>90</v>
      </c>
      <c r="T387">
        <v>0</v>
      </c>
      <c r="U387">
        <v>1.3339803994414423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304.72</v>
      </c>
      <c r="AB387">
        <v>1</v>
      </c>
      <c r="AC387">
        <v>0.10</v>
      </c>
      <c r="AD387">
        <v>0.10389195236953569</v>
      </c>
      <c r="AE387">
        <v>900</v>
      </c>
      <c r="AF387">
        <v>200000</v>
      </c>
      <c r="AG387">
        <v>16666.666666666668</v>
      </c>
      <c r="AH387">
        <v>1</v>
      </c>
      <c r="AI387">
        <v>1</v>
      </c>
      <c r="AJ387" t="s">
        <v>2693</v>
      </c>
      <c r="AK387" t="s">
        <v>137</v>
      </c>
      <c r="AL387">
        <v>0</v>
      </c>
      <c r="AM387" t="s">
        <v>137</v>
      </c>
      <c r="AN387">
        <v>0</v>
      </c>
    </row>
    <row r="388" spans="1:42" ht="12.75">
      <c r="A388" s="2" t="str">
        <f>HYPERLINK("https://ibp.a2mac1.com/costing(costing:projects/details/8191/process/6972372)","Automated Process")</f>
        <v>Automated Process</v>
      </c>
      <c r="C388">
        <v>6972372</v>
      </c>
      <c r="D388">
        <v>5384100</v>
      </c>
      <c r="E388">
        <v>1.9898052698299999</v>
      </c>
      <c r="F388">
        <v>0</v>
      </c>
      <c r="G388">
        <v>0</v>
      </c>
      <c r="H388">
        <v>0.010247556232922105</v>
      </c>
      <c r="I388" t="s">
        <v>137</v>
      </c>
      <c r="J388">
        <v>0.070882305958947373</v>
      </c>
      <c r="K388">
        <v>2.0709351320218694</v>
      </c>
      <c r="L388">
        <v>0.10402766849300187</v>
      </c>
      <c r="M388">
        <v>0.62416601095801116</v>
      </c>
      <c r="N388">
        <v>2.6951011429798806</v>
      </c>
      <c r="O388" t="s">
        <v>90</v>
      </c>
      <c r="P388">
        <v>0</v>
      </c>
      <c r="Q388" t="s">
        <v>90</v>
      </c>
      <c r="R388">
        <v>0</v>
      </c>
      <c r="S388" t="s">
        <v>90</v>
      </c>
      <c r="T388">
        <v>0</v>
      </c>
      <c r="U388">
        <v>2.6951011429798806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160</v>
      </c>
      <c r="AB388">
        <v>1</v>
      </c>
      <c r="AC388">
        <v>0.50</v>
      </c>
      <c r="AD388">
        <v>0.50345253019720215</v>
      </c>
      <c r="AE388">
        <v>2275.20</v>
      </c>
      <c r="AF388">
        <v>200000</v>
      </c>
      <c r="AG388">
        <v>16666.666666666668</v>
      </c>
      <c r="AH388">
        <v>1</v>
      </c>
      <c r="AI388">
        <v>1</v>
      </c>
      <c r="AJ388" t="s">
        <v>136</v>
      </c>
      <c r="AK388" t="s">
        <v>137</v>
      </c>
      <c r="AL388">
        <v>0</v>
      </c>
      <c r="AM388" t="s">
        <v>137</v>
      </c>
      <c r="AN388">
        <v>0</v>
      </c>
    </row>
    <row r="389" spans="1:42" ht="12.75">
      <c r="A389" s="2" t="str">
        <f>HYPERLINK("https://ibp.a2mac1.com/costing(costing:projects/details/8191/process/6972373)","Automated Process")</f>
        <v>Automated Process</v>
      </c>
      <c r="C389">
        <v>6972373</v>
      </c>
      <c r="D389">
        <v>5384104</v>
      </c>
      <c r="E389">
        <v>0.24109066800000001</v>
      </c>
      <c r="F389">
        <v>0</v>
      </c>
      <c r="G389">
        <v>0</v>
      </c>
      <c r="H389">
        <v>0.0012229762206315789</v>
      </c>
      <c r="I389" t="s">
        <v>137</v>
      </c>
      <c r="J389">
        <v>0.0084593216842105256</v>
      </c>
      <c r="K389">
        <v>0.2507729659048421</v>
      </c>
      <c r="L389">
        <v>0.0031569213157936009</v>
      </c>
      <c r="M389">
        <v>0.018941527894761608</v>
      </c>
      <c r="N389">
        <v>0.26971449379960372</v>
      </c>
      <c r="O389" t="s">
        <v>90</v>
      </c>
      <c r="P389">
        <v>0</v>
      </c>
      <c r="Q389" t="s">
        <v>90</v>
      </c>
      <c r="R389">
        <v>0</v>
      </c>
      <c r="S389" t="s">
        <v>90</v>
      </c>
      <c r="T389">
        <v>0</v>
      </c>
      <c r="U389">
        <v>0.26971449379960372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60</v>
      </c>
      <c r="AB389">
        <v>1</v>
      </c>
      <c r="AC389">
        <v>0.50</v>
      </c>
      <c r="AD389">
        <v>0.50345253019720215</v>
      </c>
      <c r="AE389">
        <v>183.60</v>
      </c>
      <c r="AF389">
        <v>200000</v>
      </c>
      <c r="AG389">
        <v>16666.666666666668</v>
      </c>
      <c r="AH389">
        <v>1</v>
      </c>
      <c r="AI389">
        <v>1</v>
      </c>
      <c r="AJ389" t="s">
        <v>136</v>
      </c>
      <c r="AK389" t="s">
        <v>137</v>
      </c>
      <c r="AL389">
        <v>0</v>
      </c>
      <c r="AM389" t="s">
        <v>137</v>
      </c>
      <c r="AN389">
        <v>0</v>
      </c>
    </row>
    <row r="390" spans="1:42" ht="12.75">
      <c r="A390" s="2" t="str">
        <f>HYPERLINK("https://ibp.a2mac1.com/costing(costing:projects/details/8191/process/6972374)","Cutting")</f>
        <v>Cutting</v>
      </c>
      <c r="B390" t="s">
        <v>2695</v>
      </c>
      <c r="C390">
        <v>6972374</v>
      </c>
      <c r="D390">
        <v>5384105</v>
      </c>
      <c r="E390">
        <v>1.3674666666666666</v>
      </c>
      <c r="F390">
        <v>0</v>
      </c>
      <c r="G390">
        <v>0</v>
      </c>
      <c r="H390">
        <v>0.0028169813333333332</v>
      </c>
      <c r="I390" t="s">
        <v>137</v>
      </c>
      <c r="J390">
        <v>0.047861333333333332</v>
      </c>
      <c r="K390">
        <v>1.4181449813333333</v>
      </c>
      <c r="L390">
        <v>0.0029371079868522904</v>
      </c>
      <c r="M390">
        <v>0.017622647921113743</v>
      </c>
      <c r="N390">
        <v>1.435767629254447</v>
      </c>
      <c r="O390" t="s">
        <v>90</v>
      </c>
      <c r="P390">
        <v>0</v>
      </c>
      <c r="Q390" t="s">
        <v>90</v>
      </c>
      <c r="R390">
        <v>0</v>
      </c>
      <c r="S390" t="s">
        <v>90</v>
      </c>
      <c r="T390">
        <v>0</v>
      </c>
      <c r="U390">
        <v>1.435767629254447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4.10</v>
      </c>
      <c r="AB390">
        <v>1</v>
      </c>
      <c r="AC390">
        <v>0.10</v>
      </c>
      <c r="AD390">
        <v>0.20557651238448796</v>
      </c>
      <c r="AE390">
        <v>900</v>
      </c>
      <c r="AF390">
        <v>200000</v>
      </c>
      <c r="AG390">
        <v>16666.666666666668</v>
      </c>
      <c r="AH390">
        <v>1</v>
      </c>
      <c r="AI390">
        <v>1</v>
      </c>
      <c r="AJ390" t="s">
        <v>2693</v>
      </c>
      <c r="AK390" t="s">
        <v>137</v>
      </c>
      <c r="AL390">
        <v>0</v>
      </c>
      <c r="AM390" t="s">
        <v>137</v>
      </c>
      <c r="AN390">
        <v>0</v>
      </c>
    </row>
    <row r="391" spans="1:42" ht="12.75">
      <c r="A391" s="2" t="str">
        <f>HYPERLINK("https://ibp.a2mac1.com/costing(costing:projects/details/8191/process/6972375)","Sewing")</f>
        <v>Sewing</v>
      </c>
      <c r="C391">
        <v>6972375</v>
      </c>
      <c r="D391">
        <v>5384105</v>
      </c>
      <c r="E391">
        <v>0</v>
      </c>
      <c r="F391">
        <v>0</v>
      </c>
      <c r="G391">
        <v>0</v>
      </c>
      <c r="H391">
        <v>0</v>
      </c>
      <c r="I391" t="s">
        <v>137</v>
      </c>
      <c r="J391">
        <v>0</v>
      </c>
      <c r="K391">
        <v>0</v>
      </c>
      <c r="L391">
        <v>0.12090155739500308</v>
      </c>
      <c r="M391">
        <v>0.72540934437001847</v>
      </c>
      <c r="N391">
        <v>0.72540934437001847</v>
      </c>
      <c r="O391" t="s">
        <v>90</v>
      </c>
      <c r="P391">
        <v>0</v>
      </c>
      <c r="Q391" t="s">
        <v>90</v>
      </c>
      <c r="R391">
        <v>0</v>
      </c>
      <c r="S391" t="s">
        <v>90</v>
      </c>
      <c r="T391">
        <v>0</v>
      </c>
      <c r="U391">
        <v>0.72540934437001847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165.68</v>
      </c>
      <c r="AB391">
        <v>1</v>
      </c>
      <c r="AC391">
        <v>0.10</v>
      </c>
      <c r="AD391">
        <v>0.10389195236953569</v>
      </c>
      <c r="AE391">
        <v>900</v>
      </c>
      <c r="AF391">
        <v>200000</v>
      </c>
      <c r="AG391">
        <v>16666.666666666668</v>
      </c>
      <c r="AH391">
        <v>1</v>
      </c>
      <c r="AI391">
        <v>1</v>
      </c>
      <c r="AJ391" t="s">
        <v>2693</v>
      </c>
      <c r="AK391" t="s">
        <v>137</v>
      </c>
      <c r="AL391">
        <v>0</v>
      </c>
      <c r="AM391" t="s">
        <v>137</v>
      </c>
      <c r="AN391">
        <v>0</v>
      </c>
    </row>
    <row r="392" spans="1:42" ht="12.75">
      <c r="A392" s="2" t="str">
        <f>HYPERLINK("https://ibp.a2mac1.com/costing(costing:projects/details/8191/process/6972376)","Automated Process")</f>
        <v>Automated Process</v>
      </c>
      <c r="C392">
        <v>6972376</v>
      </c>
      <c r="D392">
        <v>5384106</v>
      </c>
      <c r="E392">
        <v>0.16772710499999999</v>
      </c>
      <c r="F392">
        <v>0</v>
      </c>
      <c r="G392">
        <v>0</v>
      </c>
      <c r="H392">
        <v>0.00085082621684210531</v>
      </c>
      <c r="I392" t="s">
        <v>137</v>
      </c>
      <c r="J392">
        <v>0.0058851615789473682</v>
      </c>
      <c r="K392">
        <v>0.17446309279578948</v>
      </c>
      <c r="L392">
        <v>0.010119659058834518</v>
      </c>
      <c r="M392">
        <v>0.060717954353007114</v>
      </c>
      <c r="N392">
        <v>0.23518104714879659</v>
      </c>
      <c r="O392" t="s">
        <v>90</v>
      </c>
      <c r="P392">
        <v>0</v>
      </c>
      <c r="Q392" t="s">
        <v>90</v>
      </c>
      <c r="R392">
        <v>0</v>
      </c>
      <c r="S392" t="s">
        <v>90</v>
      </c>
      <c r="T392">
        <v>0</v>
      </c>
      <c r="U392">
        <v>0.23518104714879659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160</v>
      </c>
      <c r="AB392">
        <v>1</v>
      </c>
      <c r="AC392">
        <v>0.50</v>
      </c>
      <c r="AD392">
        <v>0.50345253019720215</v>
      </c>
      <c r="AE392">
        <v>221.40</v>
      </c>
      <c r="AF392">
        <v>200000</v>
      </c>
      <c r="AG392">
        <v>16666.666666666668</v>
      </c>
      <c r="AH392">
        <v>1</v>
      </c>
      <c r="AI392">
        <v>1</v>
      </c>
      <c r="AJ392" t="s">
        <v>136</v>
      </c>
      <c r="AK392" t="s">
        <v>137</v>
      </c>
      <c r="AL392">
        <v>0</v>
      </c>
      <c r="AM392" t="s">
        <v>137</v>
      </c>
      <c r="AN392">
        <v>0</v>
      </c>
    </row>
    <row r="393" spans="1:42" ht="12.75">
      <c r="A393" s="2" t="str">
        <f>HYPERLINK("https://ibp.a2mac1.com/costing(costing:projects/details/8191/process/6972214)","Cutting")</f>
        <v>Cutting</v>
      </c>
      <c r="B393" t="s">
        <v>2695</v>
      </c>
      <c r="C393">
        <v>6972214</v>
      </c>
      <c r="D393">
        <v>5383960</v>
      </c>
      <c r="E393">
        <v>13.1774398</v>
      </c>
      <c r="F393">
        <v>0</v>
      </c>
      <c r="G393">
        <v>0</v>
      </c>
      <c r="H393">
        <v>0.030423311605333334</v>
      </c>
      <c r="I393" t="s">
        <v>137</v>
      </c>
      <c r="J393">
        <v>0.51690092533333332</v>
      </c>
      <c r="K393">
        <v>13.724764036938666</v>
      </c>
      <c r="L393">
        <v>0.017910028683074824</v>
      </c>
      <c r="M393">
        <v>0.10746017209844895</v>
      </c>
      <c r="N393">
        <v>13.832224209037115</v>
      </c>
      <c r="O393" t="s">
        <v>90</v>
      </c>
      <c r="P393">
        <v>0</v>
      </c>
      <c r="Q393" t="s">
        <v>90</v>
      </c>
      <c r="R393">
        <v>0</v>
      </c>
      <c r="S393" t="s">
        <v>90</v>
      </c>
      <c r="T393">
        <v>0</v>
      </c>
      <c r="U393">
        <v>13.832224209037115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25.37</v>
      </c>
      <c r="AB393">
        <v>1</v>
      </c>
      <c r="AC393">
        <v>0.10</v>
      </c>
      <c r="AD393">
        <v>0.20557651238448796</v>
      </c>
      <c r="AE393">
        <v>900</v>
      </c>
      <c r="AF393">
        <v>200000</v>
      </c>
      <c r="AG393">
        <v>16666.666666666668</v>
      </c>
      <c r="AH393">
        <v>1</v>
      </c>
      <c r="AI393">
        <v>1</v>
      </c>
      <c r="AJ393" t="s">
        <v>2693</v>
      </c>
      <c r="AK393" t="s">
        <v>137</v>
      </c>
      <c r="AL393">
        <v>0</v>
      </c>
      <c r="AM393" t="s">
        <v>137</v>
      </c>
      <c r="AN393">
        <v>0</v>
      </c>
    </row>
    <row r="394" spans="1:42" ht="12.75">
      <c r="A394" s="2" t="str">
        <f>HYPERLINK("https://ibp.a2mac1.com/costing(costing:projects/details/8191/process/6972213)","Sewing")</f>
        <v>Sewing</v>
      </c>
      <c r="C394">
        <v>6972213</v>
      </c>
      <c r="D394">
        <v>5383960</v>
      </c>
      <c r="E394">
        <v>0</v>
      </c>
      <c r="F394">
        <v>0</v>
      </c>
      <c r="G394">
        <v>0</v>
      </c>
      <c r="H394">
        <v>0</v>
      </c>
      <c r="I394" t="s">
        <v>137</v>
      </c>
      <c r="J394">
        <v>0</v>
      </c>
      <c r="K394">
        <v>0</v>
      </c>
      <c r="L394">
        <v>0.65206626099247611</v>
      </c>
      <c r="M394">
        <v>3.9123975659548567</v>
      </c>
      <c r="N394">
        <v>3.9123975659548567</v>
      </c>
      <c r="O394" t="s">
        <v>90</v>
      </c>
      <c r="P394">
        <v>0</v>
      </c>
      <c r="Q394" t="s">
        <v>90</v>
      </c>
      <c r="R394">
        <v>0</v>
      </c>
      <c r="S394" t="s">
        <v>90</v>
      </c>
      <c r="T394">
        <v>0</v>
      </c>
      <c r="U394">
        <v>3.9123975659548567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893.81</v>
      </c>
      <c r="AB394">
        <v>1</v>
      </c>
      <c r="AC394">
        <v>0.10</v>
      </c>
      <c r="AD394">
        <v>0.10389195236953569</v>
      </c>
      <c r="AE394">
        <v>900</v>
      </c>
      <c r="AF394">
        <v>200000</v>
      </c>
      <c r="AG394">
        <v>16666.666666666668</v>
      </c>
      <c r="AH394">
        <v>1</v>
      </c>
      <c r="AI394">
        <v>1</v>
      </c>
      <c r="AJ394" t="s">
        <v>2693</v>
      </c>
      <c r="AK394" t="s">
        <v>137</v>
      </c>
      <c r="AL394">
        <v>0</v>
      </c>
      <c r="AM394" t="s">
        <v>137</v>
      </c>
      <c r="AN394">
        <v>0</v>
      </c>
    </row>
    <row r="395" spans="1:42" ht="12.75">
      <c r="A395" s="2" t="str">
        <f>HYPERLINK("https://ibp.a2mac1.com/costing(costing:projects/details/8191/process/6972215)","Automated Process")</f>
        <v>Automated Process</v>
      </c>
      <c r="C395">
        <v>6972215</v>
      </c>
      <c r="D395">
        <v>5383961</v>
      </c>
      <c r="E395">
        <v>3.5950873140000001</v>
      </c>
      <c r="F395">
        <v>0</v>
      </c>
      <c r="G395">
        <v>0</v>
      </c>
      <c r="H395">
        <v>0.018236733642947367</v>
      </c>
      <c r="I395" t="s">
        <v>137</v>
      </c>
      <c r="J395">
        <v>0.12614341452631578</v>
      </c>
      <c r="K395">
        <v>3.7394674621692632</v>
      </c>
      <c r="L395">
        <v>0.086218374081649021</v>
      </c>
      <c r="M395">
        <v>0.51731024448989416</v>
      </c>
      <c r="N395">
        <v>4.2567777066591574</v>
      </c>
      <c r="O395" t="s">
        <v>90</v>
      </c>
      <c r="P395">
        <v>0</v>
      </c>
      <c r="Q395" t="s">
        <v>90</v>
      </c>
      <c r="R395">
        <v>0</v>
      </c>
      <c r="S395" t="s">
        <v>90</v>
      </c>
      <c r="T395">
        <v>0</v>
      </c>
      <c r="U395">
        <v>4.2567777066591574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110</v>
      </c>
      <c r="AB395">
        <v>1</v>
      </c>
      <c r="AC395">
        <v>0.50</v>
      </c>
      <c r="AD395">
        <v>0.50345253019720215</v>
      </c>
      <c r="AE395">
        <v>2737.80</v>
      </c>
      <c r="AF395">
        <v>200000</v>
      </c>
      <c r="AG395">
        <v>16666.666666666668</v>
      </c>
      <c r="AH395">
        <v>1</v>
      </c>
      <c r="AI395">
        <v>1</v>
      </c>
      <c r="AJ395" t="s">
        <v>136</v>
      </c>
      <c r="AK395" t="s">
        <v>137</v>
      </c>
      <c r="AL395">
        <v>0</v>
      </c>
      <c r="AM395" t="s">
        <v>137</v>
      </c>
      <c r="AN395">
        <v>0</v>
      </c>
    </row>
    <row r="396" spans="1:42" ht="12.75">
      <c r="A396" s="2" t="str">
        <f>HYPERLINK("https://ibp.a2mac1.com/costing(costing:projects/details/8191/process/6972216)","Automated Process")</f>
        <v>Automated Process</v>
      </c>
      <c r="C396">
        <v>6972216</v>
      </c>
      <c r="D396">
        <v>5383962</v>
      </c>
      <c r="E396">
        <v>5.521101055292517</v>
      </c>
      <c r="F396">
        <v>0</v>
      </c>
      <c r="G396">
        <v>0</v>
      </c>
      <c r="H396">
        <v>0.031323882088340138</v>
      </c>
      <c r="I396" t="s">
        <v>137</v>
      </c>
      <c r="J396">
        <v>0.2166671685952381</v>
      </c>
      <c r="K396">
        <v>5.7690921059760951</v>
      </c>
      <c r="L396">
        <v>0.54801347005700995</v>
      </c>
      <c r="M396">
        <v>3.2880808203420595</v>
      </c>
      <c r="N396">
        <v>9.0571729263181542</v>
      </c>
      <c r="O396" t="s">
        <v>90</v>
      </c>
      <c r="P396">
        <v>0</v>
      </c>
      <c r="Q396" t="s">
        <v>90</v>
      </c>
      <c r="R396">
        <v>0</v>
      </c>
      <c r="S396" t="s">
        <v>90</v>
      </c>
      <c r="T396">
        <v>0</v>
      </c>
      <c r="U396">
        <v>9.0571729263181542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475</v>
      </c>
      <c r="AB396">
        <v>1</v>
      </c>
      <c r="AC396">
        <v>0.50</v>
      </c>
      <c r="AD396">
        <v>0.50345253019720215</v>
      </c>
      <c r="AE396">
        <v>4041.90</v>
      </c>
      <c r="AF396">
        <v>200000</v>
      </c>
      <c r="AG396">
        <v>16666.666666666668</v>
      </c>
      <c r="AH396">
        <v>1</v>
      </c>
      <c r="AI396">
        <v>1</v>
      </c>
      <c r="AJ396" t="s">
        <v>136</v>
      </c>
      <c r="AK396" t="s">
        <v>137</v>
      </c>
      <c r="AL396">
        <v>0</v>
      </c>
      <c r="AM396" t="s">
        <v>137</v>
      </c>
      <c r="AN396">
        <v>0</v>
      </c>
    </row>
    <row r="397" spans="1:42" ht="12.75">
      <c r="A397" s="2" t="str">
        <f>HYPERLINK("https://ibp.a2mac1.com/costing(costing:projects/details/8191/process/6972217)","Automated Process")</f>
        <v>Automated Process</v>
      </c>
      <c r="C397">
        <v>6972217</v>
      </c>
      <c r="D397">
        <v>5383963</v>
      </c>
      <c r="E397">
        <v>1.08</v>
      </c>
      <c r="F397">
        <v>0</v>
      </c>
      <c r="G397">
        <v>0</v>
      </c>
      <c r="H397">
        <v>0.0054647999999999997</v>
      </c>
      <c r="I397" t="s">
        <v>137</v>
      </c>
      <c r="J397">
        <v>0.0378</v>
      </c>
      <c r="K397">
        <v>1.1232648000000001</v>
      </c>
      <c r="L397">
        <v>0.012076434073009467</v>
      </c>
      <c r="M397">
        <v>0.072458604438056809</v>
      </c>
      <c r="N397">
        <v>1.1957234044380569</v>
      </c>
      <c r="O397" t="s">
        <v>90</v>
      </c>
      <c r="P397">
        <v>0</v>
      </c>
      <c r="Q397" t="s">
        <v>90</v>
      </c>
      <c r="R397">
        <v>0</v>
      </c>
      <c r="S397" t="s">
        <v>90</v>
      </c>
      <c r="T397">
        <v>0</v>
      </c>
      <c r="U397">
        <v>1.1957234044380569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60</v>
      </c>
      <c r="AB397">
        <v>1</v>
      </c>
      <c r="AC397">
        <v>0.50</v>
      </c>
      <c r="AD397">
        <v>0.50345253019720215</v>
      </c>
      <c r="AE397">
        <v>702</v>
      </c>
      <c r="AF397">
        <v>200000</v>
      </c>
      <c r="AG397">
        <v>16666.666666666668</v>
      </c>
      <c r="AH397">
        <v>1</v>
      </c>
      <c r="AI397">
        <v>1</v>
      </c>
      <c r="AJ397" t="s">
        <v>136</v>
      </c>
      <c r="AK397" t="s">
        <v>137</v>
      </c>
      <c r="AL397">
        <v>0</v>
      </c>
      <c r="AM397" t="s">
        <v>137</v>
      </c>
      <c r="AN397">
        <v>0</v>
      </c>
    </row>
    <row r="398" spans="1:42" ht="12.75">
      <c r="A398" s="2" t="str">
        <f>HYPERLINK("https://ibp.a2mac1.com/costing(costing:projects/details/8191/process/6972218)","Automated Process")</f>
        <v>Automated Process</v>
      </c>
      <c r="C398">
        <v>6972218</v>
      </c>
      <c r="D398">
        <v>5383964</v>
      </c>
      <c r="E398">
        <v>0.041540033499999997</v>
      </c>
      <c r="F398">
        <v>0</v>
      </c>
      <c r="G398">
        <v>0</v>
      </c>
      <c r="H398">
        <v>0.00022360911649999999</v>
      </c>
      <c r="I398" t="s">
        <v>137</v>
      </c>
      <c r="J398">
        <v>0.001546703375</v>
      </c>
      <c r="K398">
        <v>0.0433103459915</v>
      </c>
      <c r="L398">
        <v>0.0063651110399035099</v>
      </c>
      <c r="M398">
        <v>0.038190666239421057</v>
      </c>
      <c r="N398">
        <v>0.081501012230921058</v>
      </c>
      <c r="O398" t="s">
        <v>90</v>
      </c>
      <c r="P398">
        <v>0</v>
      </c>
      <c r="Q398" t="s">
        <v>90</v>
      </c>
      <c r="R398">
        <v>0</v>
      </c>
      <c r="S398" t="s">
        <v>90</v>
      </c>
      <c r="T398">
        <v>0</v>
      </c>
      <c r="U398">
        <v>0.081501012230921058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5</v>
      </c>
      <c r="AB398">
        <v>1</v>
      </c>
      <c r="AC398">
        <v>0.50</v>
      </c>
      <c r="AD398">
        <v>0.50345253019720215</v>
      </c>
      <c r="AE398">
        <v>4041.90</v>
      </c>
      <c r="AF398">
        <v>200000</v>
      </c>
      <c r="AG398">
        <v>16666.666666666668</v>
      </c>
      <c r="AH398">
        <v>1</v>
      </c>
      <c r="AI398">
        <v>1</v>
      </c>
      <c r="AJ398" t="s">
        <v>136</v>
      </c>
      <c r="AK398" t="s">
        <v>137</v>
      </c>
      <c r="AL398">
        <v>0</v>
      </c>
      <c r="AM398" t="s">
        <v>137</v>
      </c>
      <c r="AN398">
        <v>0</v>
      </c>
    </row>
    <row r="399" spans="1:42" ht="12.75">
      <c r="A399" s="2" t="str">
        <f>HYPERLINK("https://ibp.a2mac1.com/costing(costing:projects/details/8191/process/6972149)","Automated Process")</f>
        <v>Automated Process</v>
      </c>
      <c r="C399">
        <v>6972149</v>
      </c>
      <c r="D399">
        <v>5383690</v>
      </c>
      <c r="E399">
        <v>4.6074875706666667</v>
      </c>
      <c r="F399">
        <v>0</v>
      </c>
      <c r="G399">
        <v>0</v>
      </c>
      <c r="H399">
        <v>0.024711877954133335</v>
      </c>
      <c r="I399" t="s">
        <v>137</v>
      </c>
      <c r="J399">
        <v>0.17093196213333334</v>
      </c>
      <c r="K399">
        <v>4.8031314107541334</v>
      </c>
      <c r="L399">
        <v>0.63444671883633541</v>
      </c>
      <c r="M399">
        <v>3.8066803130180125</v>
      </c>
      <c r="N399">
        <v>8.6098117237721468</v>
      </c>
      <c r="O399" t="s">
        <v>90</v>
      </c>
      <c r="P399">
        <v>0</v>
      </c>
      <c r="Q399" t="s">
        <v>90</v>
      </c>
      <c r="R399">
        <v>0</v>
      </c>
      <c r="S399" t="s">
        <v>90</v>
      </c>
      <c r="T399">
        <v>0</v>
      </c>
      <c r="U399">
        <v>8.6098117237721468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550</v>
      </c>
      <c r="AB399">
        <v>1</v>
      </c>
      <c r="AC399">
        <v>0.50</v>
      </c>
      <c r="AD399">
        <v>0.50345253019720215</v>
      </c>
      <c r="AE399">
        <v>4041.90</v>
      </c>
      <c r="AF399">
        <v>200000</v>
      </c>
      <c r="AG399">
        <v>16666.666666666668</v>
      </c>
      <c r="AH399">
        <v>1</v>
      </c>
      <c r="AI399">
        <v>1</v>
      </c>
      <c r="AJ399" t="s">
        <v>136</v>
      </c>
      <c r="AK399" t="s">
        <v>137</v>
      </c>
      <c r="AL399">
        <v>0</v>
      </c>
      <c r="AM399" t="s">
        <v>137</v>
      </c>
      <c r="AN399">
        <v>0</v>
      </c>
    </row>
    <row r="400" spans="1:42" ht="12.75">
      <c r="A400" s="2" t="str">
        <f>HYPERLINK("https://ibp.a2mac1.com/costing(costing:projects/details/8191/process/6972150)","Automated Process ")</f>
        <v xml:space="preserve">Automated Process </v>
      </c>
      <c r="C400">
        <v>6972150</v>
      </c>
      <c r="D400">
        <v>5383691</v>
      </c>
      <c r="E400">
        <v>7.9163500000000004</v>
      </c>
      <c r="F400">
        <v>0</v>
      </c>
      <c r="G400">
        <v>0</v>
      </c>
      <c r="H400">
        <v>0.056206085000000003</v>
      </c>
      <c r="I400" t="s">
        <v>137</v>
      </c>
      <c r="J400">
        <v>0.27707225000000002</v>
      </c>
      <c r="K400">
        <v>8.2496283350000006</v>
      </c>
      <c r="L400">
        <v>0.65714040243245508</v>
      </c>
      <c r="M400">
        <v>3.9428424145947307</v>
      </c>
      <c r="N400">
        <v>12.192470749594731</v>
      </c>
      <c r="O400" t="s">
        <v>90</v>
      </c>
      <c r="P400">
        <v>0</v>
      </c>
      <c r="Q400" t="s">
        <v>90</v>
      </c>
      <c r="R400">
        <v>0</v>
      </c>
      <c r="S400" t="s">
        <v>90</v>
      </c>
      <c r="T400">
        <v>0</v>
      </c>
      <c r="U400">
        <v>12.192470749594731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370</v>
      </c>
      <c r="AB400">
        <v>1</v>
      </c>
      <c r="AC400">
        <v>0.50</v>
      </c>
      <c r="AD400">
        <v>0.70499453877469964</v>
      </c>
      <c r="AE400">
        <v>10800</v>
      </c>
      <c r="AF400">
        <v>200000</v>
      </c>
      <c r="AG400">
        <v>16666.666666666668</v>
      </c>
      <c r="AH400">
        <v>1</v>
      </c>
      <c r="AI400">
        <v>1</v>
      </c>
      <c r="AJ400" t="s">
        <v>136</v>
      </c>
      <c r="AK400" t="s">
        <v>137</v>
      </c>
      <c r="AL400">
        <v>0</v>
      </c>
      <c r="AM400" t="s">
        <v>137</v>
      </c>
      <c r="AN400">
        <v>0</v>
      </c>
    </row>
    <row r="401" spans="1:42" ht="12.75">
      <c r="A401" s="2" t="str">
        <f>HYPERLINK("https://ibp.a2mac1.com/costing(costing:projects/details/8191/process/6972151)","Cutting")</f>
        <v>Cutting</v>
      </c>
      <c r="B401" t="s">
        <v>2695</v>
      </c>
      <c r="C401">
        <v>6972151</v>
      </c>
      <c r="D401">
        <v>5383691</v>
      </c>
      <c r="E401">
        <v>20.286767533333332</v>
      </c>
      <c r="F401">
        <v>0</v>
      </c>
      <c r="G401">
        <v>0</v>
      </c>
      <c r="H401">
        <v>0.045245685087999997</v>
      </c>
      <c r="I401" t="s">
        <v>137</v>
      </c>
      <c r="J401">
        <v>0.76873736800000003</v>
      </c>
      <c r="K401">
        <v>21.100750586421334</v>
      </c>
      <c r="L401">
        <v>0.023562711014558931</v>
      </c>
      <c r="M401">
        <v>0.1413762660873536</v>
      </c>
      <c r="N401">
        <v>21.242126852508687</v>
      </c>
      <c r="O401" t="s">
        <v>90</v>
      </c>
      <c r="P401">
        <v>0</v>
      </c>
      <c r="Q401" t="s">
        <v>90</v>
      </c>
      <c r="R401">
        <v>0</v>
      </c>
      <c r="S401" t="s">
        <v>90</v>
      </c>
      <c r="T401">
        <v>0</v>
      </c>
      <c r="U401">
        <v>21.242126852508687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33.40</v>
      </c>
      <c r="AB401">
        <v>1</v>
      </c>
      <c r="AC401">
        <v>0.10</v>
      </c>
      <c r="AD401">
        <v>0.20557651238448796</v>
      </c>
      <c r="AE401">
        <v>900</v>
      </c>
      <c r="AF401">
        <v>200000</v>
      </c>
      <c r="AG401">
        <v>16666.666666666668</v>
      </c>
      <c r="AH401">
        <v>1</v>
      </c>
      <c r="AI401">
        <v>1</v>
      </c>
      <c r="AJ401" t="s">
        <v>2693</v>
      </c>
      <c r="AK401" t="s">
        <v>137</v>
      </c>
      <c r="AL401">
        <v>0</v>
      </c>
      <c r="AM401" t="s">
        <v>137</v>
      </c>
      <c r="AN401">
        <v>0</v>
      </c>
    </row>
    <row r="402" spans="1:42" ht="12.75">
      <c r="A402" s="2" t="str">
        <f>HYPERLINK("https://ibp.a2mac1.com/costing(costing:projects/details/8191/process/6972152)","Sewing")</f>
        <v>Sewing</v>
      </c>
      <c r="C402">
        <v>6972152</v>
      </c>
      <c r="D402">
        <v>5383691</v>
      </c>
      <c r="E402">
        <v>0</v>
      </c>
      <c r="F402">
        <v>0</v>
      </c>
      <c r="G402">
        <v>0</v>
      </c>
      <c r="H402">
        <v>0</v>
      </c>
      <c r="I402" t="s">
        <v>137</v>
      </c>
      <c r="J402">
        <v>0</v>
      </c>
      <c r="K402">
        <v>0</v>
      </c>
      <c r="L402">
        <v>0.79920471252669434</v>
      </c>
      <c r="M402">
        <v>4.7952282751601656</v>
      </c>
      <c r="N402">
        <v>4.7952282751601656</v>
      </c>
      <c r="O402" t="s">
        <v>90</v>
      </c>
      <c r="P402">
        <v>0</v>
      </c>
      <c r="Q402" t="s">
        <v>90</v>
      </c>
      <c r="R402">
        <v>0</v>
      </c>
      <c r="S402" t="s">
        <v>90</v>
      </c>
      <c r="T402">
        <v>0</v>
      </c>
      <c r="U402">
        <v>4.7952282751601656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1095.51</v>
      </c>
      <c r="AB402">
        <v>1</v>
      </c>
      <c r="AC402">
        <v>0.10</v>
      </c>
      <c r="AD402">
        <v>0.10389195236953569</v>
      </c>
      <c r="AE402">
        <v>900</v>
      </c>
      <c r="AF402">
        <v>200000</v>
      </c>
      <c r="AG402">
        <v>16666.666666666668</v>
      </c>
      <c r="AH402">
        <v>1</v>
      </c>
      <c r="AI402">
        <v>1</v>
      </c>
      <c r="AJ402" t="s">
        <v>2693</v>
      </c>
      <c r="AK402" t="s">
        <v>137</v>
      </c>
      <c r="AL402">
        <v>0</v>
      </c>
      <c r="AM402" t="s">
        <v>137</v>
      </c>
      <c r="AN402">
        <v>0</v>
      </c>
    </row>
    <row r="403" spans="1:42" ht="12.75">
      <c r="A403" s="2" t="str">
        <f>HYPERLINK("https://ibp.a2mac1.com/costing(costing:projects/details/8191/process/6972153)","Automated Process")</f>
        <v>Automated Process</v>
      </c>
      <c r="C403">
        <v>6972153</v>
      </c>
      <c r="D403">
        <v>5383692</v>
      </c>
      <c r="E403">
        <v>11.554809555</v>
      </c>
      <c r="F403">
        <v>0</v>
      </c>
      <c r="G403">
        <v>0</v>
      </c>
      <c r="H403">
        <v>0.058628312943067667</v>
      </c>
      <c r="I403" t="s">
        <v>137</v>
      </c>
      <c r="J403">
        <v>0.40553180889473683</v>
      </c>
      <c r="K403">
        <v>12.018969676837804</v>
      </c>
      <c r="L403">
        <v>0.7612947765227891</v>
      </c>
      <c r="M403">
        <v>4.5677686591367346</v>
      </c>
      <c r="N403">
        <v>16.586738335974538</v>
      </c>
      <c r="O403" t="s">
        <v>90</v>
      </c>
      <c r="P403">
        <v>0</v>
      </c>
      <c r="Q403" t="s">
        <v>90</v>
      </c>
      <c r="R403">
        <v>0</v>
      </c>
      <c r="S403" t="s">
        <v>90</v>
      </c>
      <c r="T403">
        <v>0</v>
      </c>
      <c r="U403">
        <v>16.586738335974538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450</v>
      </c>
      <c r="AB403">
        <v>1</v>
      </c>
      <c r="AC403">
        <v>0.50</v>
      </c>
      <c r="AD403">
        <v>0.50345253019720215</v>
      </c>
      <c r="AE403">
        <v>5925.15</v>
      </c>
      <c r="AF403">
        <v>200000</v>
      </c>
      <c r="AG403">
        <v>16666.666666666668</v>
      </c>
      <c r="AH403">
        <v>1</v>
      </c>
      <c r="AI403">
        <v>1</v>
      </c>
      <c r="AJ403" t="s">
        <v>136</v>
      </c>
      <c r="AK403" t="s">
        <v>137</v>
      </c>
      <c r="AL403">
        <v>0</v>
      </c>
      <c r="AM403" t="s">
        <v>137</v>
      </c>
      <c r="AN403">
        <v>0</v>
      </c>
    </row>
    <row r="404" spans="1:42" ht="12.75">
      <c r="A404" s="2" t="str">
        <f>HYPERLINK("https://ibp.a2mac1.com/costing(costing:projects/details/8191/process/6972154)","Automated Process")</f>
        <v>Automated Process</v>
      </c>
      <c r="C404">
        <v>6972154</v>
      </c>
      <c r="D404">
        <v>5383693</v>
      </c>
      <c r="E404">
        <v>0.057924384000000002</v>
      </c>
      <c r="F404">
        <v>0</v>
      </c>
      <c r="G404">
        <v>0</v>
      </c>
      <c r="H404">
        <v>0.00029208987621052632</v>
      </c>
      <c r="I404" t="s">
        <v>137</v>
      </c>
      <c r="J404">
        <v>0.0020324345263157896</v>
      </c>
      <c r="K404">
        <v>0.060248908402526315</v>
      </c>
      <c r="L404">
        <v>0.0049286460971341766</v>
      </c>
      <c r="M404">
        <v>0.029571876582805058</v>
      </c>
      <c r="N404">
        <v>0.089820784985331373</v>
      </c>
      <c r="O404" t="s">
        <v>90</v>
      </c>
      <c r="P404">
        <v>0</v>
      </c>
      <c r="Q404" t="s">
        <v>90</v>
      </c>
      <c r="R404">
        <v>0</v>
      </c>
      <c r="S404" t="s">
        <v>90</v>
      </c>
      <c r="T404">
        <v>0</v>
      </c>
      <c r="U404">
        <v>0.089820784985331373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200</v>
      </c>
      <c r="AB404">
        <v>1</v>
      </c>
      <c r="AC404">
        <v>0.50</v>
      </c>
      <c r="AD404">
        <v>0.50048257265952256</v>
      </c>
      <c r="AE404">
        <v>86.40</v>
      </c>
      <c r="AF404">
        <v>800000</v>
      </c>
      <c r="AG404">
        <v>66666.666666666672</v>
      </c>
      <c r="AH404">
        <v>1</v>
      </c>
      <c r="AI404">
        <v>1</v>
      </c>
      <c r="AJ404" t="s">
        <v>136</v>
      </c>
      <c r="AK404" t="s">
        <v>137</v>
      </c>
      <c r="AL404">
        <v>0</v>
      </c>
      <c r="AM404" t="s">
        <v>137</v>
      </c>
      <c r="AN404">
        <v>0</v>
      </c>
    </row>
    <row r="405" spans="1:42" ht="12.75">
      <c r="A405" s="2" t="str">
        <f>HYPERLINK("https://ibp.a2mac1.com/costing(costing:projects/details/8191/process/6971943)","Automated Process")</f>
        <v>Automated Process</v>
      </c>
      <c r="C405">
        <v>6971943</v>
      </c>
      <c r="D405">
        <v>5383545</v>
      </c>
      <c r="E405">
        <v>0.044348356499999998</v>
      </c>
      <c r="F405">
        <v>0</v>
      </c>
      <c r="G405">
        <v>0</v>
      </c>
      <c r="H405">
        <v>0.00022363131147368421</v>
      </c>
      <c r="I405" t="s">
        <v>137</v>
      </c>
      <c r="J405">
        <v>0.0015560826842105262</v>
      </c>
      <c r="K405">
        <v>0.046128070495684209</v>
      </c>
      <c r="L405">
        <v>0.0011344426364154074</v>
      </c>
      <c r="M405">
        <v>0.006806655818492444</v>
      </c>
      <c r="N405">
        <v>0.052934726314176651</v>
      </c>
      <c r="O405" t="s">
        <v>90</v>
      </c>
      <c r="P405">
        <v>0</v>
      </c>
      <c r="Q405" t="s">
        <v>90</v>
      </c>
      <c r="R405">
        <v>0</v>
      </c>
      <c r="S405" t="s">
        <v>90</v>
      </c>
      <c r="T405">
        <v>0</v>
      </c>
      <c r="U405">
        <v>0.052934726314176651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60</v>
      </c>
      <c r="AB405">
        <v>1</v>
      </c>
      <c r="AC405">
        <v>0.50</v>
      </c>
      <c r="AD405">
        <v>0.50048257265952256</v>
      </c>
      <c r="AE405">
        <v>66.15</v>
      </c>
      <c r="AF405">
        <v>400000</v>
      </c>
      <c r="AG405">
        <v>33333.333333333336</v>
      </c>
      <c r="AH405">
        <v>1</v>
      </c>
      <c r="AI405">
        <v>1</v>
      </c>
      <c r="AJ405" t="s">
        <v>136</v>
      </c>
      <c r="AK405" t="s">
        <v>137</v>
      </c>
      <c r="AL405">
        <v>0</v>
      </c>
      <c r="AM405" t="s">
        <v>137</v>
      </c>
      <c r="AN405">
        <v>0</v>
      </c>
    </row>
    <row r="406" spans="1:42" ht="12.75">
      <c r="A406" s="2" t="str">
        <f>HYPERLINK("https://ibp.a2mac1.com/costing(costing:projects/details/8191/process/6971834)","J.I.T. Assembly")</f>
        <v>J.I.T. Assembly</v>
      </c>
      <c r="C406">
        <v>6971834</v>
      </c>
      <c r="D406">
        <v>5383401</v>
      </c>
      <c r="E406">
        <v>0</v>
      </c>
      <c r="F406">
        <v>0</v>
      </c>
      <c r="G406">
        <v>0</v>
      </c>
      <c r="H406">
        <v>0</v>
      </c>
      <c r="I406" t="s">
        <v>137</v>
      </c>
      <c r="J406">
        <v>0</v>
      </c>
      <c r="K406">
        <v>0</v>
      </c>
      <c r="L406">
        <v>1.255927680297962</v>
      </c>
      <c r="M406">
        <v>7.5355660817877723</v>
      </c>
      <c r="N406">
        <v>7.5355660817877723</v>
      </c>
      <c r="O406" t="s">
        <v>90</v>
      </c>
      <c r="P406">
        <v>0</v>
      </c>
      <c r="Q406" t="s">
        <v>90</v>
      </c>
      <c r="R406">
        <v>0</v>
      </c>
      <c r="S406" t="s">
        <v>90</v>
      </c>
      <c r="T406">
        <v>0</v>
      </c>
      <c r="U406">
        <v>7.5355660817877723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1380</v>
      </c>
      <c r="AB406">
        <v>1</v>
      </c>
      <c r="AC406">
        <v>0.10</v>
      </c>
      <c r="AD406">
        <v>0.10987913295375087</v>
      </c>
      <c r="AE406">
        <v>900</v>
      </c>
      <c r="AF406">
        <v>200000</v>
      </c>
      <c r="AG406">
        <v>10000</v>
      </c>
      <c r="AH406">
        <v>1</v>
      </c>
      <c r="AI406">
        <v>1</v>
      </c>
      <c r="AJ406" t="s">
        <v>79</v>
      </c>
      <c r="AK406" t="s">
        <v>137</v>
      </c>
      <c r="AL406">
        <v>0</v>
      </c>
      <c r="AM406" t="s">
        <v>137</v>
      </c>
      <c r="AN406">
        <v>0</v>
      </c>
      <c r="AP406">
        <v>0</v>
      </c>
    </row>
    <row r="407" spans="1:42" ht="12.75">
      <c r="A407" s="2" t="str">
        <f>HYPERLINK("https://ibp.a2mac1.com/costing(costing:projects/details/8191/process/6973913)","Automated Process")</f>
        <v>Automated Process</v>
      </c>
      <c r="C407">
        <v>6973913</v>
      </c>
      <c r="D407">
        <v>5384852</v>
      </c>
      <c r="E407">
        <v>4.2645481199999997</v>
      </c>
      <c r="F407">
        <v>0</v>
      </c>
      <c r="G407">
        <v>0</v>
      </c>
      <c r="H407">
        <v>0.021578613487199999</v>
      </c>
      <c r="I407" t="s">
        <v>137</v>
      </c>
      <c r="J407">
        <v>0.14925918420000001</v>
      </c>
      <c r="K407">
        <v>4.4353859176872001</v>
      </c>
      <c r="L407">
        <v>2.0510154348260112</v>
      </c>
      <c r="M407">
        <v>12.306092608956066</v>
      </c>
      <c r="N407">
        <v>16.741478526643267</v>
      </c>
      <c r="O407" t="s">
        <v>138</v>
      </c>
      <c r="P407">
        <v>0.26612315506123202</v>
      </c>
      <c r="Q407" t="s">
        <v>138</v>
      </c>
      <c r="R407">
        <v>0.73836555653736402</v>
      </c>
      <c r="S407" t="s">
        <v>139</v>
      </c>
      <c r="T407">
        <v>2.0089774231971922</v>
      </c>
      <c r="U407">
        <v>19.754944661439055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1160</v>
      </c>
      <c r="AB407">
        <v>1</v>
      </c>
      <c r="AC407">
        <v>0.50</v>
      </c>
      <c r="AD407">
        <v>0.50345253019720215</v>
      </c>
      <c r="AE407">
        <v>10800</v>
      </c>
      <c r="AF407">
        <v>200000</v>
      </c>
      <c r="AG407">
        <v>16666.666666666668</v>
      </c>
      <c r="AH407">
        <v>1</v>
      </c>
      <c r="AI407">
        <v>1</v>
      </c>
      <c r="AJ407" t="s">
        <v>136</v>
      </c>
      <c r="AK407" t="s">
        <v>137</v>
      </c>
      <c r="AL407">
        <v>0</v>
      </c>
      <c r="AM407" t="s">
        <v>137</v>
      </c>
      <c r="AN407">
        <v>0</v>
      </c>
    </row>
    <row r="408" spans="1:42" ht="12.75">
      <c r="A408" s="2" t="str">
        <f>HYPERLINK("https://ibp.a2mac1.com/costing(costing:projects/details/8191/process/6973914)","Automated Process")</f>
        <v>Automated Process</v>
      </c>
      <c r="C408">
        <v>6973914</v>
      </c>
      <c r="D408">
        <v>5384853</v>
      </c>
      <c r="E408">
        <v>0.36514071999999997</v>
      </c>
      <c r="F408">
        <v>0</v>
      </c>
      <c r="G408">
        <v>0</v>
      </c>
      <c r="H408">
        <v>0.0018476120432</v>
      </c>
      <c r="I408" t="s">
        <v>137</v>
      </c>
      <c r="J408">
        <v>0.0127799252</v>
      </c>
      <c r="K408">
        <v>0.37976825724320001</v>
      </c>
      <c r="L408">
        <v>0.069469488026516396</v>
      </c>
      <c r="M408">
        <v>0.41681692815909838</v>
      </c>
      <c r="N408">
        <v>0.79658518540229839</v>
      </c>
      <c r="O408" t="s">
        <v>138</v>
      </c>
      <c r="P408">
        <v>0.022786095434592001</v>
      </c>
      <c r="Q408" t="s">
        <v>138</v>
      </c>
      <c r="R408">
        <v>0.025009015689545902</v>
      </c>
      <c r="S408" t="s">
        <v>139</v>
      </c>
      <c r="T408">
        <v>0.095590222248275805</v>
      </c>
      <c r="U408">
        <v>0.93997051877471205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38</v>
      </c>
      <c r="AB408">
        <v>1</v>
      </c>
      <c r="AC408">
        <v>0.50</v>
      </c>
      <c r="AD408">
        <v>0.50345253019720215</v>
      </c>
      <c r="AE408">
        <v>10800</v>
      </c>
      <c r="AF408">
        <v>200000</v>
      </c>
      <c r="AG408">
        <v>16666.666666666668</v>
      </c>
      <c r="AH408">
        <v>1</v>
      </c>
      <c r="AI408">
        <v>1</v>
      </c>
      <c r="AJ408" t="s">
        <v>136</v>
      </c>
      <c r="AK408" t="s">
        <v>137</v>
      </c>
      <c r="AL408">
        <v>0</v>
      </c>
      <c r="AM408" t="s">
        <v>137</v>
      </c>
      <c r="AN408">
        <v>0</v>
      </c>
    </row>
    <row r="409" spans="1:42" ht="12.75">
      <c r="A409" s="2" t="str">
        <f>HYPERLINK("https://ibp.a2mac1.com/costing(costing:projects/details/8191/process/6973915)","Automated Process")</f>
        <v>Automated Process</v>
      </c>
      <c r="C409">
        <v>6973915</v>
      </c>
      <c r="D409">
        <v>5384854</v>
      </c>
      <c r="E409">
        <v>0.39055766400000003</v>
      </c>
      <c r="F409">
        <v>0</v>
      </c>
      <c r="G409">
        <v>0</v>
      </c>
      <c r="H409">
        <v>0.0019811747166315788</v>
      </c>
      <c r="I409" t="s">
        <v>137</v>
      </c>
      <c r="J409">
        <v>0.013703777684210527</v>
      </c>
      <c r="K409">
        <v>0.40624261640084208</v>
      </c>
      <c r="L409">
        <v>0.012820116974207169</v>
      </c>
      <c r="M409">
        <v>0.076920701845243009</v>
      </c>
      <c r="N409">
        <v>0.48316331824608511</v>
      </c>
      <c r="O409" t="s">
        <v>138</v>
      </c>
      <c r="P409">
        <v>0.024374556984050527</v>
      </c>
      <c r="Q409" t="s">
        <v>138</v>
      </c>
      <c r="R409">
        <v>0.004615242110714581</v>
      </c>
      <c r="S409" t="s">
        <v>139</v>
      </c>
      <c r="T409">
        <v>0.057979598189530211</v>
      </c>
      <c r="U409">
        <v>0.57013271553038047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60</v>
      </c>
      <c r="AB409">
        <v>1</v>
      </c>
      <c r="AC409">
        <v>0.50</v>
      </c>
      <c r="AD409">
        <v>0.50345253019720215</v>
      </c>
      <c r="AE409">
        <v>745.20</v>
      </c>
      <c r="AF409">
        <v>200000</v>
      </c>
      <c r="AG409">
        <v>16666.666666666668</v>
      </c>
      <c r="AH409">
        <v>1</v>
      </c>
      <c r="AI409">
        <v>1</v>
      </c>
      <c r="AJ409" t="s">
        <v>136</v>
      </c>
      <c r="AK409" t="s">
        <v>137</v>
      </c>
      <c r="AL409">
        <v>0</v>
      </c>
      <c r="AM409" t="s">
        <v>137</v>
      </c>
      <c r="AN409">
        <v>0</v>
      </c>
    </row>
    <row r="410" spans="1:42" ht="12.75">
      <c r="A410" s="2" t="str">
        <f>HYPERLINK("https://ibp.a2mac1.com/costing(costing:projects/details/8191/process/6973916)","Automated Process")</f>
        <v>Automated Process</v>
      </c>
      <c r="C410">
        <v>6973916</v>
      </c>
      <c r="D410">
        <v>5384855</v>
      </c>
      <c r="E410">
        <v>0.103299672</v>
      </c>
      <c r="F410">
        <v>0</v>
      </c>
      <c r="G410">
        <v>0</v>
      </c>
      <c r="H410">
        <v>0.00052400635621052628</v>
      </c>
      <c r="I410" t="s">
        <v>137</v>
      </c>
      <c r="J410">
        <v>0.0036245498947368423</v>
      </c>
      <c r="K410">
        <v>0.10744822825094737</v>
      </c>
      <c r="L410">
        <v>0.0033890906753705021</v>
      </c>
      <c r="M410">
        <v>0.020334544052223014</v>
      </c>
      <c r="N410">
        <v>0.12778277230317039</v>
      </c>
      <c r="O410" t="s">
        <v>138</v>
      </c>
      <c r="P410">
        <v>0.0064468936950568424</v>
      </c>
      <c r="Q410" t="s">
        <v>138</v>
      </c>
      <c r="R410">
        <v>0.0012200726431333807</v>
      </c>
      <c r="S410" t="s">
        <v>139</v>
      </c>
      <c r="T410">
        <v>0.015333932676380446</v>
      </c>
      <c r="U410">
        <v>0.15078367131774106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60</v>
      </c>
      <c r="AB410">
        <v>1</v>
      </c>
      <c r="AC410">
        <v>0.50</v>
      </c>
      <c r="AD410">
        <v>0.50345253019720215</v>
      </c>
      <c r="AE410">
        <v>197.10</v>
      </c>
      <c r="AF410">
        <v>200000</v>
      </c>
      <c r="AG410">
        <v>16666.666666666668</v>
      </c>
      <c r="AH410">
        <v>1</v>
      </c>
      <c r="AI410">
        <v>1</v>
      </c>
      <c r="AJ410" t="s">
        <v>136</v>
      </c>
      <c r="AK410" t="s">
        <v>137</v>
      </c>
      <c r="AL410">
        <v>0</v>
      </c>
      <c r="AM410" t="s">
        <v>137</v>
      </c>
      <c r="AN410">
        <v>0</v>
      </c>
    </row>
    <row r="411" spans="1:42" ht="12.75">
      <c r="A411" s="2" t="str">
        <f>HYPERLINK("https://ibp.a2mac1.com/costing(costing:projects/details/8191/process/6973917)","Automated Process")</f>
        <v>Automated Process</v>
      </c>
      <c r="C411">
        <v>6973917</v>
      </c>
      <c r="D411">
        <v>5384856</v>
      </c>
      <c r="E411">
        <v>0.234900624</v>
      </c>
      <c r="F411">
        <v>0</v>
      </c>
      <c r="G411">
        <v>0</v>
      </c>
      <c r="H411">
        <v>0.0011915760976842105</v>
      </c>
      <c r="I411" t="s">
        <v>137</v>
      </c>
      <c r="J411">
        <v>0.0082421271578947373</v>
      </c>
      <c r="K411">
        <v>0.24433432725557894</v>
      </c>
      <c r="L411">
        <v>0.0077085092798501419</v>
      </c>
      <c r="M411">
        <v>0.046251055679100851</v>
      </c>
      <c r="N411">
        <v>0.29058538293467978</v>
      </c>
      <c r="O411" t="s">
        <v>138</v>
      </c>
      <c r="P411">
        <v>0.014660059635334738</v>
      </c>
      <c r="Q411" t="s">
        <v>138</v>
      </c>
      <c r="R411">
        <v>0.0027750633407460511</v>
      </c>
      <c r="S411" t="s">
        <v>139</v>
      </c>
      <c r="T411">
        <v>0.034870245952161573</v>
      </c>
      <c r="U411">
        <v>0.34289075186292217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60</v>
      </c>
      <c r="AB411">
        <v>1</v>
      </c>
      <c r="AC411">
        <v>0.50</v>
      </c>
      <c r="AD411">
        <v>0.50345253019720215</v>
      </c>
      <c r="AE411">
        <v>448.20</v>
      </c>
      <c r="AF411">
        <v>200000</v>
      </c>
      <c r="AG411">
        <v>16666.666666666668</v>
      </c>
      <c r="AH411">
        <v>1</v>
      </c>
      <c r="AI411">
        <v>1</v>
      </c>
      <c r="AJ411" t="s">
        <v>136</v>
      </c>
      <c r="AK411" t="s">
        <v>137</v>
      </c>
      <c r="AL411">
        <v>0</v>
      </c>
      <c r="AM411" t="s">
        <v>137</v>
      </c>
      <c r="AN411">
        <v>0</v>
      </c>
    </row>
    <row r="412" spans="1:42" ht="12.75">
      <c r="A412" s="2" t="str">
        <f>HYPERLINK("https://ibp.a2mac1.com/costing(costing:projects/details/8191/process/6973985)","Automated Process")</f>
        <v>Automated Process</v>
      </c>
      <c r="C412">
        <v>6973985</v>
      </c>
      <c r="D412">
        <v>5384965</v>
      </c>
      <c r="E412">
        <v>1.044317232</v>
      </c>
      <c r="F412">
        <v>0</v>
      </c>
      <c r="G412">
        <v>0</v>
      </c>
      <c r="H412">
        <v>0.0052974889162105262</v>
      </c>
      <c r="I412" t="s">
        <v>137</v>
      </c>
      <c r="J412">
        <v>0.036642709894736843</v>
      </c>
      <c r="K412">
        <v>1.0862574308109474</v>
      </c>
      <c r="L412">
        <v>0.034319851340597347</v>
      </c>
      <c r="M412">
        <v>0.2059191080435841</v>
      </c>
      <c r="N412">
        <v>1.2921765388545314</v>
      </c>
      <c r="O412" t="s">
        <v>90</v>
      </c>
      <c r="P412">
        <v>0</v>
      </c>
      <c r="Q412" t="s">
        <v>90</v>
      </c>
      <c r="R412">
        <v>0</v>
      </c>
      <c r="S412" t="s">
        <v>90</v>
      </c>
      <c r="T412">
        <v>0</v>
      </c>
      <c r="U412">
        <v>1.2921765388545314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60</v>
      </c>
      <c r="AB412">
        <v>1</v>
      </c>
      <c r="AC412">
        <v>0.50</v>
      </c>
      <c r="AD412">
        <v>0.50345253019720215</v>
      </c>
      <c r="AE412">
        <v>1992.60</v>
      </c>
      <c r="AF412">
        <v>200000</v>
      </c>
      <c r="AG412">
        <v>16666.666666666668</v>
      </c>
      <c r="AH412">
        <v>1</v>
      </c>
      <c r="AI412">
        <v>1</v>
      </c>
      <c r="AJ412" t="s">
        <v>136</v>
      </c>
      <c r="AK412" t="s">
        <v>137</v>
      </c>
      <c r="AL412">
        <v>0</v>
      </c>
      <c r="AM412" t="s">
        <v>137</v>
      </c>
      <c r="AN412">
        <v>0</v>
      </c>
    </row>
    <row r="413" spans="1:42" ht="12.75">
      <c r="A413" s="2" t="str">
        <f>HYPERLINK("https://ibp.a2mac1.com/costing(costing:projects/details/8191/process/6973986)","Automated Process")</f>
        <v>Automated Process</v>
      </c>
      <c r="C413">
        <v>6973986</v>
      </c>
      <c r="D413">
        <v>5384966</v>
      </c>
      <c r="E413">
        <v>0.53913938400000005</v>
      </c>
      <c r="F413">
        <v>0</v>
      </c>
      <c r="G413">
        <v>0</v>
      </c>
      <c r="H413">
        <v>0.0027348824892631579</v>
      </c>
      <c r="I413" t="s">
        <v>137</v>
      </c>
      <c r="J413">
        <v>0.018917171368421054</v>
      </c>
      <c r="K413">
        <v>0.56079143785768426</v>
      </c>
      <c r="L413">
        <v>0.017702025534956062</v>
      </c>
      <c r="M413">
        <v>0.10621215320973638</v>
      </c>
      <c r="N413">
        <v>0.66700359106742058</v>
      </c>
      <c r="O413" t="s">
        <v>90</v>
      </c>
      <c r="P413">
        <v>0</v>
      </c>
      <c r="Q413" t="s">
        <v>90</v>
      </c>
      <c r="R413">
        <v>0</v>
      </c>
      <c r="S413" t="s">
        <v>90</v>
      </c>
      <c r="T413">
        <v>0</v>
      </c>
      <c r="U413">
        <v>0.66700359106742058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60</v>
      </c>
      <c r="AB413">
        <v>1</v>
      </c>
      <c r="AC413">
        <v>0.50</v>
      </c>
      <c r="AD413">
        <v>0.50345253019720215</v>
      </c>
      <c r="AE413">
        <v>1028.70</v>
      </c>
      <c r="AF413">
        <v>200000</v>
      </c>
      <c r="AG413">
        <v>16666.666666666668</v>
      </c>
      <c r="AH413">
        <v>1</v>
      </c>
      <c r="AI413">
        <v>1</v>
      </c>
      <c r="AJ413" t="s">
        <v>136</v>
      </c>
      <c r="AK413" t="s">
        <v>137</v>
      </c>
      <c r="AL413">
        <v>0</v>
      </c>
      <c r="AM413" t="s">
        <v>137</v>
      </c>
      <c r="AN413">
        <v>0</v>
      </c>
    </row>
    <row r="414" spans="1:42" ht="12.75">
      <c r="A414" s="2" t="str">
        <f>HYPERLINK("https://ibp.a2mac1.com/costing(costing:projects/details/8191/process/6973987)","Automated Process")</f>
        <v>Automated Process</v>
      </c>
      <c r="C414">
        <v>6973987</v>
      </c>
      <c r="D414">
        <v>5384967</v>
      </c>
      <c r="E414">
        <v>0.25380581099999999</v>
      </c>
      <c r="F414">
        <v>0</v>
      </c>
      <c r="G414">
        <v>0</v>
      </c>
      <c r="H414">
        <v>0.0012874760938947369</v>
      </c>
      <c r="I414" t="s">
        <v>137</v>
      </c>
      <c r="J414">
        <v>0.0089054670526315782</v>
      </c>
      <c r="K414">
        <v>0.26399875414652629</v>
      </c>
      <c r="L414">
        <v>0.011100441359899288</v>
      </c>
      <c r="M414">
        <v>0.066602648159395733</v>
      </c>
      <c r="N414">
        <v>0.33060140230592205</v>
      </c>
      <c r="O414" t="s">
        <v>90</v>
      </c>
      <c r="P414">
        <v>0</v>
      </c>
      <c r="Q414" t="s">
        <v>90</v>
      </c>
      <c r="R414">
        <v>0</v>
      </c>
      <c r="S414" t="s">
        <v>90</v>
      </c>
      <c r="T414">
        <v>0</v>
      </c>
      <c r="U414">
        <v>0.33060140230592205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60</v>
      </c>
      <c r="AB414">
        <v>1</v>
      </c>
      <c r="AC414">
        <v>0.50</v>
      </c>
      <c r="AD414">
        <v>0.50345253019720215</v>
      </c>
      <c r="AE414">
        <v>645.30</v>
      </c>
      <c r="AF414">
        <v>200000</v>
      </c>
      <c r="AG414">
        <v>16666.666666666668</v>
      </c>
      <c r="AH414">
        <v>1</v>
      </c>
      <c r="AI414">
        <v>1</v>
      </c>
      <c r="AJ414" t="s">
        <v>136</v>
      </c>
      <c r="AK414" t="s">
        <v>137</v>
      </c>
      <c r="AL414">
        <v>0</v>
      </c>
      <c r="AM414" t="s">
        <v>137</v>
      </c>
      <c r="AN414">
        <v>0</v>
      </c>
    </row>
    <row r="415" spans="1:42" ht="12.75">
      <c r="A415" s="2" t="str">
        <f>HYPERLINK("https://ibp.a2mac1.com/costing(costing:projects/details/8191/process/6973988)","Automated Process")</f>
        <v>Automated Process</v>
      </c>
      <c r="C415">
        <v>6973988</v>
      </c>
      <c r="D415">
        <v>5384968</v>
      </c>
      <c r="E415">
        <v>0.17532</v>
      </c>
      <c r="F415">
        <v>0</v>
      </c>
      <c r="G415">
        <v>0</v>
      </c>
      <c r="H415">
        <v>0.00088711919999999997</v>
      </c>
      <c r="I415" t="s">
        <v>137</v>
      </c>
      <c r="J415">
        <v>0.0061361999999999996</v>
      </c>
      <c r="K415">
        <v>0.18234331919999999</v>
      </c>
      <c r="L415">
        <v>0.012071766751129963</v>
      </c>
      <c r="M415">
        <v>0.072430600506779783</v>
      </c>
      <c r="N415">
        <v>0.25477391970677976</v>
      </c>
      <c r="O415" t="s">
        <v>90</v>
      </c>
      <c r="P415">
        <v>0</v>
      </c>
      <c r="Q415" t="s">
        <v>90</v>
      </c>
      <c r="R415">
        <v>0</v>
      </c>
      <c r="S415" t="s">
        <v>90</v>
      </c>
      <c r="T415">
        <v>0</v>
      </c>
      <c r="U415">
        <v>0.25477391970677976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5.50</v>
      </c>
      <c r="AB415">
        <v>1</v>
      </c>
      <c r="AC415">
        <v>0.50</v>
      </c>
      <c r="AD415">
        <v>0.50345253019720215</v>
      </c>
      <c r="AE415">
        <v>10800</v>
      </c>
      <c r="AF415">
        <v>200000</v>
      </c>
      <c r="AG415">
        <v>16666.666666666668</v>
      </c>
      <c r="AH415">
        <v>1</v>
      </c>
      <c r="AI415">
        <v>1</v>
      </c>
      <c r="AJ415" t="s">
        <v>136</v>
      </c>
      <c r="AK415" t="s">
        <v>137</v>
      </c>
      <c r="AL415">
        <v>0</v>
      </c>
      <c r="AM415" t="s">
        <v>137</v>
      </c>
      <c r="AN415">
        <v>0</v>
      </c>
    </row>
    <row r="416" spans="1:42" ht="12.75">
      <c r="A416" s="2" t="str">
        <f>HYPERLINK("https://ibp.a2mac1.com/costing(costing:projects/details/8191/process/6973989)","Automated Process")</f>
        <v>Automated Process</v>
      </c>
      <c r="C416">
        <v>6973989</v>
      </c>
      <c r="D416">
        <v>5384969</v>
      </c>
      <c r="E416">
        <v>1.574966232</v>
      </c>
      <c r="F416">
        <v>0</v>
      </c>
      <c r="G416">
        <v>0</v>
      </c>
      <c r="H416">
        <v>0.0079893023898947365</v>
      </c>
      <c r="I416" t="s">
        <v>137</v>
      </c>
      <c r="J416">
        <v>0.055261973052631579</v>
      </c>
      <c r="K416">
        <v>1.6382175074425263</v>
      </c>
      <c r="L416">
        <v>0.05180773282488163</v>
      </c>
      <c r="M416">
        <v>0.31084639694928978</v>
      </c>
      <c r="N416">
        <v>1.9490639043918161</v>
      </c>
      <c r="O416" t="s">
        <v>90</v>
      </c>
      <c r="P416">
        <v>0</v>
      </c>
      <c r="Q416" t="s">
        <v>90</v>
      </c>
      <c r="R416">
        <v>0</v>
      </c>
      <c r="S416" t="s">
        <v>90</v>
      </c>
      <c r="T416">
        <v>0</v>
      </c>
      <c r="U416">
        <v>1.9490639043918161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60</v>
      </c>
      <c r="AB416">
        <v>1</v>
      </c>
      <c r="AC416">
        <v>0.50</v>
      </c>
      <c r="AD416">
        <v>0.50345253019720215</v>
      </c>
      <c r="AE416">
        <v>3005.10</v>
      </c>
      <c r="AF416">
        <v>200000</v>
      </c>
      <c r="AG416">
        <v>16666.666666666668</v>
      </c>
      <c r="AH416">
        <v>1</v>
      </c>
      <c r="AI416">
        <v>1</v>
      </c>
      <c r="AJ416" t="s">
        <v>136</v>
      </c>
      <c r="AK416" t="s">
        <v>137</v>
      </c>
      <c r="AL416">
        <v>0</v>
      </c>
      <c r="AM416" t="s">
        <v>137</v>
      </c>
      <c r="AN416">
        <v>0</v>
      </c>
    </row>
    <row r="417" spans="1:42" ht="12.75">
      <c r="A417" s="2" t="str">
        <f>HYPERLINK("https://ibp.a2mac1.com/costing(costing:projects/details/8191/process/6973990)","Automated Process")</f>
        <v>Automated Process</v>
      </c>
      <c r="C417">
        <v>6973990</v>
      </c>
      <c r="D417">
        <v>5384970</v>
      </c>
      <c r="E417">
        <v>0.82781243999999998</v>
      </c>
      <c r="F417">
        <v>0</v>
      </c>
      <c r="G417">
        <v>0</v>
      </c>
      <c r="H417">
        <v>0.0041992290189473685</v>
      </c>
      <c r="I417" t="s">
        <v>137</v>
      </c>
      <c r="J417">
        <v>0.02904605052631579</v>
      </c>
      <c r="K417">
        <v>0.86105771954526311</v>
      </c>
      <c r="L417">
        <v>0.027194266731300817</v>
      </c>
      <c r="M417">
        <v>0.16316560038780489</v>
      </c>
      <c r="N417">
        <v>1.0242233199330681</v>
      </c>
      <c r="O417" t="s">
        <v>90</v>
      </c>
      <c r="P417">
        <v>0</v>
      </c>
      <c r="Q417" t="s">
        <v>90</v>
      </c>
      <c r="R417">
        <v>0</v>
      </c>
      <c r="S417" t="s">
        <v>90</v>
      </c>
      <c r="T417">
        <v>0</v>
      </c>
      <c r="U417">
        <v>1.0242233199330681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60</v>
      </c>
      <c r="AB417">
        <v>1</v>
      </c>
      <c r="AC417">
        <v>0.50</v>
      </c>
      <c r="AD417">
        <v>0.50345253019720215</v>
      </c>
      <c r="AE417">
        <v>1579.50</v>
      </c>
      <c r="AF417">
        <v>200000</v>
      </c>
      <c r="AG417">
        <v>16666.666666666668</v>
      </c>
      <c r="AH417">
        <v>1</v>
      </c>
      <c r="AI417">
        <v>1</v>
      </c>
      <c r="AJ417" t="s">
        <v>136</v>
      </c>
      <c r="AK417" t="s">
        <v>137</v>
      </c>
      <c r="AL417">
        <v>0</v>
      </c>
      <c r="AM417" t="s">
        <v>137</v>
      </c>
      <c r="AN417">
        <v>0</v>
      </c>
    </row>
    <row r="418" spans="1:42" ht="12.75">
      <c r="A418" s="2" t="str">
        <f>HYPERLINK("https://ibp.a2mac1.com/costing(costing:projects/details/8191/process/6973918)","Automated Process")</f>
        <v>Automated Process</v>
      </c>
      <c r="C418">
        <v>6973918</v>
      </c>
      <c r="D418">
        <v>5384857</v>
      </c>
      <c r="E418">
        <v>0.16556248800000001</v>
      </c>
      <c r="F418">
        <v>0</v>
      </c>
      <c r="G418">
        <v>0</v>
      </c>
      <c r="H418">
        <v>0.00083984580378947365</v>
      </c>
      <c r="I418" t="s">
        <v>137</v>
      </c>
      <c r="J418">
        <v>0.005809210105263158</v>
      </c>
      <c r="K418">
        <v>0.17221154390905263</v>
      </c>
      <c r="L418">
        <v>0.0054324338069556633</v>
      </c>
      <c r="M418">
        <v>0.032594602841733974</v>
      </c>
      <c r="N418">
        <v>0.20480614675078662</v>
      </c>
      <c r="O418" t="s">
        <v>90</v>
      </c>
      <c r="P418">
        <v>0</v>
      </c>
      <c r="Q418" t="s">
        <v>90</v>
      </c>
      <c r="R418">
        <v>0</v>
      </c>
      <c r="S418" t="s">
        <v>90</v>
      </c>
      <c r="T418">
        <v>0</v>
      </c>
      <c r="U418">
        <v>0.20480614675078662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60</v>
      </c>
      <c r="AB418">
        <v>1</v>
      </c>
      <c r="AC418">
        <v>0.50</v>
      </c>
      <c r="AD418">
        <v>0.50345253019720215</v>
      </c>
      <c r="AE418">
        <v>315.90</v>
      </c>
      <c r="AF418">
        <v>200000</v>
      </c>
      <c r="AG418">
        <v>16666.666666666668</v>
      </c>
      <c r="AH418">
        <v>1</v>
      </c>
      <c r="AI418">
        <v>1</v>
      </c>
      <c r="AJ418" t="s">
        <v>136</v>
      </c>
      <c r="AK418" t="s">
        <v>137</v>
      </c>
      <c r="AL418">
        <v>0</v>
      </c>
      <c r="AM418" t="s">
        <v>137</v>
      </c>
      <c r="AN418">
        <v>0</v>
      </c>
    </row>
    <row r="419" spans="1:42" ht="12.75">
      <c r="A419" s="2" t="str">
        <f>HYPERLINK("https://ibp.a2mac1.com/costing(costing:projects/details/8191/process/6973919)","Automated Process")</f>
        <v>Automated Process</v>
      </c>
      <c r="C419">
        <v>6973919</v>
      </c>
      <c r="D419">
        <v>5384858</v>
      </c>
      <c r="E419">
        <v>0.166977552</v>
      </c>
      <c r="F419">
        <v>0</v>
      </c>
      <c r="G419">
        <v>0</v>
      </c>
      <c r="H419">
        <v>0.00084702397305263155</v>
      </c>
      <c r="I419" t="s">
        <v>137</v>
      </c>
      <c r="J419">
        <v>0.0058588614736842107</v>
      </c>
      <c r="K419">
        <v>0.17368343744673684</v>
      </c>
      <c r="L419">
        <v>0.0054788786993381087</v>
      </c>
      <c r="M419">
        <v>0.032873272196028654</v>
      </c>
      <c r="N419">
        <v>0.20655670964276548</v>
      </c>
      <c r="O419" t="s">
        <v>90</v>
      </c>
      <c r="P419">
        <v>0</v>
      </c>
      <c r="Q419" t="s">
        <v>90</v>
      </c>
      <c r="R419">
        <v>0</v>
      </c>
      <c r="S419" t="s">
        <v>90</v>
      </c>
      <c r="T419">
        <v>0</v>
      </c>
      <c r="U419">
        <v>0.20655670964276548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60</v>
      </c>
      <c r="AB419">
        <v>1</v>
      </c>
      <c r="AC419">
        <v>0.50</v>
      </c>
      <c r="AD419">
        <v>0.50345253019720215</v>
      </c>
      <c r="AE419">
        <v>318.60</v>
      </c>
      <c r="AF419">
        <v>200000</v>
      </c>
      <c r="AG419">
        <v>16666.666666666668</v>
      </c>
      <c r="AH419">
        <v>1</v>
      </c>
      <c r="AI419">
        <v>1</v>
      </c>
      <c r="AJ419" t="s">
        <v>136</v>
      </c>
      <c r="AK419" t="s">
        <v>137</v>
      </c>
      <c r="AL419">
        <v>0</v>
      </c>
      <c r="AM419" t="s">
        <v>137</v>
      </c>
      <c r="AN419">
        <v>0</v>
      </c>
    </row>
    <row r="420" spans="1:42" ht="12.75">
      <c r="A420" s="2" t="str">
        <f>HYPERLINK("https://ibp.a2mac1.com/costing(costing:projects/details/8191/process/6973920)","Automated Process")</f>
        <v>Automated Process</v>
      </c>
      <c r="C420">
        <v>6973920</v>
      </c>
      <c r="D420">
        <v>5384859</v>
      </c>
      <c r="E420">
        <v>0.35044317000000003</v>
      </c>
      <c r="F420">
        <v>0</v>
      </c>
      <c r="G420">
        <v>0</v>
      </c>
      <c r="H420">
        <v>0.0017776866568421053</v>
      </c>
      <c r="I420" t="s">
        <v>137</v>
      </c>
      <c r="J420">
        <v>0.012296251578947369</v>
      </c>
      <c r="K420">
        <v>0.36451710823578948</v>
      </c>
      <c r="L420">
        <v>0.015330489929212248</v>
      </c>
      <c r="M420">
        <v>0.091982939575273495</v>
      </c>
      <c r="N420">
        <v>0.45650004781106296</v>
      </c>
      <c r="O420" t="s">
        <v>90</v>
      </c>
      <c r="P420">
        <v>0</v>
      </c>
      <c r="Q420" t="s">
        <v>90</v>
      </c>
      <c r="R420">
        <v>0</v>
      </c>
      <c r="S420" t="s">
        <v>90</v>
      </c>
      <c r="T420">
        <v>0</v>
      </c>
      <c r="U420">
        <v>0.45650004781106296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60</v>
      </c>
      <c r="AB420">
        <v>1</v>
      </c>
      <c r="AC420">
        <v>0.50</v>
      </c>
      <c r="AD420">
        <v>0.50345253019720215</v>
      </c>
      <c r="AE420">
        <v>891</v>
      </c>
      <c r="AF420">
        <v>200000</v>
      </c>
      <c r="AG420">
        <v>16666.666666666668</v>
      </c>
      <c r="AH420">
        <v>1</v>
      </c>
      <c r="AI420">
        <v>1</v>
      </c>
      <c r="AJ420" t="s">
        <v>136</v>
      </c>
      <c r="AK420" t="s">
        <v>137</v>
      </c>
      <c r="AL420">
        <v>0</v>
      </c>
      <c r="AM420" t="s">
        <v>137</v>
      </c>
      <c r="AN420">
        <v>0</v>
      </c>
    </row>
    <row r="421" spans="1:42" ht="12.75">
      <c r="A421" s="2" t="str">
        <f>HYPERLINK("https://ibp.a2mac1.com/costing(costing:projects/details/8191/process/6973991)","Automated Process")</f>
        <v>Automated Process</v>
      </c>
      <c r="C421">
        <v>6973991</v>
      </c>
      <c r="D421">
        <v>5384971</v>
      </c>
      <c r="E421">
        <v>0.026485536</v>
      </c>
      <c r="F421">
        <v>0</v>
      </c>
      <c r="G421">
        <v>0</v>
      </c>
      <c r="H421">
        <v>0.00096117935157894732</v>
      </c>
      <c r="I421" t="s">
        <v>137</v>
      </c>
      <c r="J421">
        <v>0.00092931705263157892</v>
      </c>
      <c r="K421">
        <v>0.028376032404210525</v>
      </c>
      <c r="L421">
        <v>0.00017720276214233449</v>
      </c>
      <c r="M421">
        <v>0.0010632165728540069</v>
      </c>
      <c r="N421">
        <v>0.029439248977064535</v>
      </c>
      <c r="O421" t="s">
        <v>138</v>
      </c>
      <c r="P421">
        <v>0.0017025619442526316</v>
      </c>
      <c r="Q421" t="s">
        <v>138</v>
      </c>
      <c r="R421">
        <v>6.379299437124042E-05</v>
      </c>
      <c r="S421" t="s">
        <v>139</v>
      </c>
      <c r="T421">
        <v>0.0035327098772477438</v>
      </c>
      <c r="U421">
        <v>0.034738313792936147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20</v>
      </c>
      <c r="AB421">
        <v>1</v>
      </c>
      <c r="AC421">
        <v>0.50</v>
      </c>
      <c r="AD421">
        <v>3.4935340667824746</v>
      </c>
      <c r="AE421">
        <v>29.70</v>
      </c>
      <c r="AF421">
        <v>200000</v>
      </c>
      <c r="AG421">
        <v>16666.666666666668</v>
      </c>
      <c r="AH421">
        <v>1</v>
      </c>
      <c r="AI421">
        <v>1</v>
      </c>
      <c r="AJ421" t="s">
        <v>136</v>
      </c>
      <c r="AK421" t="s">
        <v>137</v>
      </c>
      <c r="AL421">
        <v>0</v>
      </c>
      <c r="AM421" t="s">
        <v>137</v>
      </c>
      <c r="AN421">
        <v>0</v>
      </c>
    </row>
    <row r="422" spans="1:42" ht="12.75">
      <c r="A422" s="2" t="str">
        <f>HYPERLINK("https://ibp.a2mac1.com/costing(costing:projects/details/8191/process/6973993)","Chroming line - Small Parts")</f>
        <v>Chroming line - Small Parts</v>
      </c>
      <c r="C422">
        <v>6973993</v>
      </c>
      <c r="D422">
        <v>5384971</v>
      </c>
      <c r="E422">
        <v>0.18239537555555554</v>
      </c>
      <c r="F422">
        <v>0</v>
      </c>
      <c r="G422">
        <v>0</v>
      </c>
      <c r="H422">
        <v>0.0056506087347111111</v>
      </c>
      <c r="I422" t="s">
        <v>137</v>
      </c>
      <c r="J422">
        <v>0.0063838381444444444</v>
      </c>
      <c r="K422">
        <v>0.1944298224347111</v>
      </c>
      <c r="L422">
        <v>0.04291476061918352</v>
      </c>
      <c r="M422">
        <v>0.25748856371510109</v>
      </c>
      <c r="N422">
        <v>0.45191838614981222</v>
      </c>
      <c r="O422" t="s">
        <v>138</v>
      </c>
      <c r="P422">
        <v>0.011665789346082667</v>
      </c>
      <c r="Q422" t="s">
        <v>138</v>
      </c>
      <c r="R422">
        <v>0.015449313822906067</v>
      </c>
      <c r="S422" t="s">
        <v>139</v>
      </c>
      <c r="T422">
        <v>0.054230206337977468</v>
      </c>
      <c r="U422">
        <v>0.53326369565677845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402</v>
      </c>
      <c r="AB422">
        <v>168</v>
      </c>
      <c r="AC422">
        <v>3</v>
      </c>
      <c r="AD422">
        <v>3.0049079516576462</v>
      </c>
      <c r="AE422">
        <v>0</v>
      </c>
      <c r="AF422">
        <v>200000</v>
      </c>
      <c r="AG422">
        <v>16666.666666666668</v>
      </c>
      <c r="AH422">
        <v>1</v>
      </c>
      <c r="AI422">
        <v>1</v>
      </c>
      <c r="AJ422" t="s">
        <v>136</v>
      </c>
      <c r="AK422" t="s">
        <v>137</v>
      </c>
      <c r="AL422">
        <v>0</v>
      </c>
      <c r="AM422" t="s">
        <v>137</v>
      </c>
      <c r="AN422">
        <v>0</v>
      </c>
    </row>
    <row r="423" spans="1:42" ht="12.75">
      <c r="A423" s="2" t="str">
        <f>HYPERLINK("https://ibp.a2mac1.com/costing(costing:projects/details/8191/process/6973992)","Chroming line - Load and Unload parts to and from jig")</f>
        <v>Chroming line - Load and Unload parts to and from jig</v>
      </c>
      <c r="C423">
        <v>6973992</v>
      </c>
      <c r="D423">
        <v>5384971</v>
      </c>
      <c r="E423">
        <v>0</v>
      </c>
      <c r="F423">
        <v>0</v>
      </c>
      <c r="G423">
        <v>0</v>
      </c>
      <c r="H423">
        <v>0</v>
      </c>
      <c r="I423" t="s">
        <v>137</v>
      </c>
      <c r="J423">
        <v>0</v>
      </c>
      <c r="K423">
        <v>0</v>
      </c>
      <c r="L423">
        <v>0.0006868472109389746</v>
      </c>
      <c r="M423">
        <v>0.0041210832656338476</v>
      </c>
      <c r="N423">
        <v>0.0041210832656338476</v>
      </c>
      <c r="O423" t="s">
        <v>138</v>
      </c>
      <c r="P423">
        <v>0</v>
      </c>
      <c r="Q423" t="s">
        <v>138</v>
      </c>
      <c r="R423">
        <v>0.00024726499593803085</v>
      </c>
      <c r="S423" t="s">
        <v>139</v>
      </c>
      <c r="T423">
        <v>0.00049452999187606171</v>
      </c>
      <c r="U423">
        <v>0.0048628782534479399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99</v>
      </c>
      <c r="AB423">
        <v>168</v>
      </c>
      <c r="AC423">
        <v>0</v>
      </c>
      <c r="AD423">
        <v>0.0019999600007999841</v>
      </c>
      <c r="AE423">
        <v>0</v>
      </c>
      <c r="AF423">
        <v>200000</v>
      </c>
      <c r="AG423">
        <v>16666.666666666668</v>
      </c>
      <c r="AH423">
        <v>1</v>
      </c>
      <c r="AI423">
        <v>1</v>
      </c>
      <c r="AJ423" t="s">
        <v>136</v>
      </c>
      <c r="AK423" t="s">
        <v>137</v>
      </c>
      <c r="AL423">
        <v>0</v>
      </c>
      <c r="AM423" t="s">
        <v>137</v>
      </c>
      <c r="AN423">
        <v>0</v>
      </c>
    </row>
    <row r="424" spans="1:42" ht="12.75">
      <c r="A424" s="2" t="str">
        <f>HYPERLINK("https://ibp.a2mac1.com/costing(costing:projects/details/8191/process/6973994)","Automated Process")</f>
        <v>Automated Process</v>
      </c>
      <c r="C424">
        <v>6973994</v>
      </c>
      <c r="D424">
        <v>5384972</v>
      </c>
      <c r="E424">
        <v>0.48877852799999999</v>
      </c>
      <c r="F424">
        <v>0</v>
      </c>
      <c r="G424">
        <v>0</v>
      </c>
      <c r="H424">
        <v>0.0074774539722105267</v>
      </c>
      <c r="I424" t="s">
        <v>137</v>
      </c>
      <c r="J424">
        <v>0.017150123789473684</v>
      </c>
      <c r="K424">
        <v>0.51340610576168422</v>
      </c>
      <c r="L424">
        <v>0.0095232284699043185</v>
      </c>
      <c r="M424">
        <v>0.057139370819425904</v>
      </c>
      <c r="N424">
        <v>0.5705454765811101</v>
      </c>
      <c r="O424" t="s">
        <v>138</v>
      </c>
      <c r="P424">
        <v>0.030804366345701054</v>
      </c>
      <c r="Q424" t="s">
        <v>138</v>
      </c>
      <c r="R424">
        <v>0.0034283622491655544</v>
      </c>
      <c r="S424" t="s">
        <v>139</v>
      </c>
      <c r="T424">
        <v>0.068465457189733209</v>
      </c>
      <c r="U424">
        <v>0.67324366236570998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60</v>
      </c>
      <c r="AB424">
        <v>1</v>
      </c>
      <c r="AC424">
        <v>0.50</v>
      </c>
      <c r="AD424">
        <v>1.5030632547327778</v>
      </c>
      <c r="AE424">
        <v>548.10</v>
      </c>
      <c r="AF424">
        <v>200000</v>
      </c>
      <c r="AG424">
        <v>16666.666666666668</v>
      </c>
      <c r="AH424">
        <v>1</v>
      </c>
      <c r="AI424">
        <v>1</v>
      </c>
      <c r="AJ424" t="s">
        <v>136</v>
      </c>
      <c r="AK424" t="s">
        <v>137</v>
      </c>
      <c r="AL424">
        <v>0</v>
      </c>
      <c r="AM424" t="s">
        <v>137</v>
      </c>
      <c r="AN424">
        <v>0</v>
      </c>
    </row>
    <row r="425" spans="1:42" ht="12.75">
      <c r="A425" s="2" t="str">
        <f>HYPERLINK("https://ibp.a2mac1.com/costing(costing:projects/details/8191/process/6973995)","Painting")</f>
        <v>Painting</v>
      </c>
      <c r="C425">
        <v>6973995</v>
      </c>
      <c r="D425">
        <v>5384972</v>
      </c>
      <c r="E425">
        <v>0.31659589999999999</v>
      </c>
      <c r="F425">
        <v>0</v>
      </c>
      <c r="G425">
        <v>0</v>
      </c>
      <c r="H425">
        <v>0.0032166143439999999</v>
      </c>
      <c r="I425" t="s">
        <v>137</v>
      </c>
      <c r="J425">
        <v>0.0110808565</v>
      </c>
      <c r="K425">
        <v>0.330893370844</v>
      </c>
      <c r="L425">
        <v>0.66440147087201884</v>
      </c>
      <c r="M425">
        <v>3.9864088252321128</v>
      </c>
      <c r="N425">
        <v>4.3173021960761133</v>
      </c>
      <c r="O425" t="s">
        <v>138</v>
      </c>
      <c r="P425">
        <v>0.01985360225064</v>
      </c>
      <c r="Q425" t="s">
        <v>138</v>
      </c>
      <c r="R425">
        <v>0.23918452951392677</v>
      </c>
      <c r="S425" t="s">
        <v>139</v>
      </c>
      <c r="T425">
        <v>0.51807626352913361</v>
      </c>
      <c r="U425">
        <v>5.0944165913698134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18.80</v>
      </c>
      <c r="AB425">
        <v>1</v>
      </c>
      <c r="AC425">
        <v>1</v>
      </c>
      <c r="AD425">
        <v>1.0057812623742775</v>
      </c>
      <c r="AE425">
        <v>0</v>
      </c>
      <c r="AF425">
        <v>200000</v>
      </c>
      <c r="AG425">
        <v>16666.666666666668</v>
      </c>
      <c r="AH425">
        <v>1</v>
      </c>
      <c r="AI425">
        <v>1</v>
      </c>
      <c r="AJ425" t="s">
        <v>136</v>
      </c>
      <c r="AK425" t="s">
        <v>137</v>
      </c>
      <c r="AL425">
        <v>0</v>
      </c>
      <c r="AM425" t="s">
        <v>137</v>
      </c>
      <c r="AN425">
        <v>0</v>
      </c>
    </row>
    <row r="426" spans="1:42" ht="12.75">
      <c r="A426" s="2" t="str">
        <f>HYPERLINK("https://ibp.a2mac1.com/costing(costing:projects/details/8191/process/6973996)","Process")</f>
        <v>Process</v>
      </c>
      <c r="C426">
        <v>6973996</v>
      </c>
      <c r="D426">
        <v>5384973</v>
      </c>
      <c r="E426">
        <v>0</v>
      </c>
      <c r="F426">
        <v>0</v>
      </c>
      <c r="G426">
        <v>0</v>
      </c>
      <c r="H426">
        <v>0</v>
      </c>
      <c r="I426" t="s">
        <v>137</v>
      </c>
      <c r="J426">
        <v>0</v>
      </c>
      <c r="K426">
        <v>0</v>
      </c>
      <c r="L426">
        <v>2.2142123324945331</v>
      </c>
      <c r="M426">
        <v>7.7497431637308667</v>
      </c>
      <c r="N426">
        <v>7.7497431637308667</v>
      </c>
      <c r="O426" t="s">
        <v>138</v>
      </c>
      <c r="P426">
        <v>0</v>
      </c>
      <c r="Q426" t="s">
        <v>138</v>
      </c>
      <c r="R426">
        <v>0.46498458982385199</v>
      </c>
      <c r="S426" t="s">
        <v>139</v>
      </c>
      <c r="T426">
        <v>0.92996917964770398</v>
      </c>
      <c r="U426">
        <v>9.1446969332024217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970</v>
      </c>
      <c r="AB426">
        <v>1</v>
      </c>
      <c r="AC426">
        <v>5</v>
      </c>
      <c r="AD426">
        <v>5.0007599939200489</v>
      </c>
      <c r="AE426">
        <v>216</v>
      </c>
      <c r="AF426">
        <v>200000</v>
      </c>
      <c r="AG426">
        <v>16666.666666666668</v>
      </c>
      <c r="AH426">
        <v>1</v>
      </c>
      <c r="AI426">
        <v>1</v>
      </c>
      <c r="AJ426" t="s">
        <v>136</v>
      </c>
      <c r="AK426" t="s">
        <v>137</v>
      </c>
      <c r="AL426">
        <v>0</v>
      </c>
      <c r="AM426" t="s">
        <v>137</v>
      </c>
      <c r="AN426">
        <v>0</v>
      </c>
    </row>
    <row r="427" spans="1:42" ht="12.75">
      <c r="A427" s="2" t="str">
        <f>HYPERLINK("https://ibp.a2mac1.com/costing(costing:projects/details/8191/process/6973997)","Process")</f>
        <v>Process</v>
      </c>
      <c r="C427">
        <v>6973997</v>
      </c>
      <c r="D427">
        <v>5384975</v>
      </c>
      <c r="E427">
        <v>0</v>
      </c>
      <c r="F427">
        <v>0</v>
      </c>
      <c r="G427">
        <v>0</v>
      </c>
      <c r="H427">
        <v>0</v>
      </c>
      <c r="I427" t="s">
        <v>137</v>
      </c>
      <c r="J427">
        <v>0</v>
      </c>
      <c r="K427">
        <v>0</v>
      </c>
      <c r="L427">
        <v>2.3283454935855432</v>
      </c>
      <c r="M427">
        <v>8.1492092275494024</v>
      </c>
      <c r="N427">
        <v>8.1492092275494024</v>
      </c>
      <c r="O427" t="s">
        <v>138</v>
      </c>
      <c r="P427">
        <v>0</v>
      </c>
      <c r="Q427" t="s">
        <v>138</v>
      </c>
      <c r="R427">
        <v>0.48895255365296414</v>
      </c>
      <c r="S427" t="s">
        <v>139</v>
      </c>
      <c r="T427">
        <v>0.97790510730592828</v>
      </c>
      <c r="U427">
        <v>9.6160668885082945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1020</v>
      </c>
      <c r="AB427">
        <v>1</v>
      </c>
      <c r="AC427">
        <v>5</v>
      </c>
      <c r="AD427">
        <v>5.0007599939200489</v>
      </c>
      <c r="AE427">
        <v>216</v>
      </c>
      <c r="AF427">
        <v>200000</v>
      </c>
      <c r="AG427">
        <v>16666.666666666668</v>
      </c>
      <c r="AH427">
        <v>1</v>
      </c>
      <c r="AI427">
        <v>1</v>
      </c>
      <c r="AJ427" t="s">
        <v>136</v>
      </c>
      <c r="AK427" t="s">
        <v>137</v>
      </c>
      <c r="AL427">
        <v>0</v>
      </c>
      <c r="AM427" t="s">
        <v>137</v>
      </c>
      <c r="AN427">
        <v>0</v>
      </c>
    </row>
    <row r="428" spans="1:42" ht="12.75">
      <c r="A428" s="2" t="str">
        <f>HYPERLINK("https://ibp.a2mac1.com/costing(costing:projects/details/8191/process/6973998)","Process")</f>
        <v>Process</v>
      </c>
      <c r="C428">
        <v>6973998</v>
      </c>
      <c r="D428">
        <v>5384977</v>
      </c>
      <c r="E428">
        <v>14.394740000000001</v>
      </c>
      <c r="F428">
        <v>0</v>
      </c>
      <c r="G428">
        <v>0</v>
      </c>
      <c r="H428">
        <v>0</v>
      </c>
      <c r="I428" t="s">
        <v>74</v>
      </c>
      <c r="J428">
        <v>0</v>
      </c>
      <c r="K428">
        <v>14.394740000000001</v>
      </c>
      <c r="L428">
        <v>0</v>
      </c>
      <c r="M428">
        <v>0</v>
      </c>
      <c r="N428">
        <v>14.394740000000001</v>
      </c>
      <c r="O428" t="s">
        <v>74</v>
      </c>
      <c r="P428">
        <v>0</v>
      </c>
      <c r="Q428" t="s">
        <v>74</v>
      </c>
      <c r="R428">
        <v>0</v>
      </c>
      <c r="S428" t="s">
        <v>74</v>
      </c>
      <c r="T428">
        <v>0</v>
      </c>
      <c r="U428">
        <v>14.394740000000001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500</v>
      </c>
      <c r="AB428">
        <v>1</v>
      </c>
      <c r="AC428">
        <v>20</v>
      </c>
      <c r="AD428">
        <v>0</v>
      </c>
      <c r="AE428">
        <v>216</v>
      </c>
      <c r="AF428">
        <v>200000</v>
      </c>
      <c r="AG428">
        <v>16666.666666666668</v>
      </c>
      <c r="AH428">
        <v>1</v>
      </c>
      <c r="AI428">
        <v>1</v>
      </c>
      <c r="AJ428" t="s">
        <v>136</v>
      </c>
      <c r="AK428" t="s">
        <v>74</v>
      </c>
      <c r="AL428">
        <v>0</v>
      </c>
      <c r="AM428" t="s">
        <v>74</v>
      </c>
      <c r="AN428">
        <v>0</v>
      </c>
      <c r="AO428">
        <v>14.394740000000001</v>
      </c>
    </row>
    <row r="429" spans="1:42" ht="12.75">
      <c r="A429" s="2" t="str">
        <f>HYPERLINK("https://ibp.a2mac1.com/costing(costing:projects/details/8191/process/6973999)","Automated Process")</f>
        <v>Automated Process</v>
      </c>
      <c r="C429">
        <v>6973999</v>
      </c>
      <c r="D429">
        <v>5384978</v>
      </c>
      <c r="E429">
        <v>0.32745753599999999</v>
      </c>
      <c r="F429">
        <v>0</v>
      </c>
      <c r="G429">
        <v>0</v>
      </c>
      <c r="H429">
        <v>0.0016610878517894737</v>
      </c>
      <c r="I429" t="s">
        <v>137</v>
      </c>
      <c r="J429">
        <v>0.011489738105263159</v>
      </c>
      <c r="K429">
        <v>0.34060836195705263</v>
      </c>
      <c r="L429">
        <v>0.0063149268579640013</v>
      </c>
      <c r="M429">
        <v>0.037889561147784009</v>
      </c>
      <c r="N429">
        <v>0.37849792310483665</v>
      </c>
      <c r="O429" t="s">
        <v>90</v>
      </c>
      <c r="P429">
        <v>0</v>
      </c>
      <c r="Q429" t="s">
        <v>90</v>
      </c>
      <c r="R429">
        <v>0</v>
      </c>
      <c r="S429" t="s">
        <v>90</v>
      </c>
      <c r="T429">
        <v>0</v>
      </c>
      <c r="U429">
        <v>0.37849792310483665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60</v>
      </c>
      <c r="AB429">
        <v>1</v>
      </c>
      <c r="AC429">
        <v>0.50</v>
      </c>
      <c r="AD429">
        <v>0.50345253019720215</v>
      </c>
      <c r="AE429">
        <v>367.20</v>
      </c>
      <c r="AF429">
        <v>200000</v>
      </c>
      <c r="AG429">
        <v>16666.666666666668</v>
      </c>
      <c r="AH429">
        <v>1</v>
      </c>
      <c r="AI429">
        <v>1</v>
      </c>
      <c r="AJ429" t="s">
        <v>136</v>
      </c>
      <c r="AK429" t="s">
        <v>137</v>
      </c>
      <c r="AL429">
        <v>0</v>
      </c>
      <c r="AM429" t="s">
        <v>137</v>
      </c>
      <c r="AN429">
        <v>0</v>
      </c>
    </row>
    <row r="430" spans="1:42" ht="12.75">
      <c r="A430" s="2" t="str">
        <f>HYPERLINK("https://ibp.a2mac1.com/costing(costing:projects/details/8191/process/6974000)","Automated Process")</f>
        <v>Automated Process</v>
      </c>
      <c r="C430">
        <v>6974000</v>
      </c>
      <c r="D430">
        <v>5384979</v>
      </c>
      <c r="E430">
        <v>0.050563296000000001</v>
      </c>
      <c r="F430">
        <v>0</v>
      </c>
      <c r="G430">
        <v>0</v>
      </c>
      <c r="H430">
        <v>0.00025649150652631581</v>
      </c>
      <c r="I430" t="s">
        <v>137</v>
      </c>
      <c r="J430">
        <v>0.0017741507368421053</v>
      </c>
      <c r="K430">
        <v>0.052593938243368422</v>
      </c>
      <c r="L430">
        <v>0.00097481586791442736</v>
      </c>
      <c r="M430">
        <v>0.0058488952074865642</v>
      </c>
      <c r="N430">
        <v>0.058442833450854985</v>
      </c>
      <c r="O430" t="s">
        <v>90</v>
      </c>
      <c r="P430">
        <v>0</v>
      </c>
      <c r="Q430" t="s">
        <v>90</v>
      </c>
      <c r="R430">
        <v>0</v>
      </c>
      <c r="S430" t="s">
        <v>90</v>
      </c>
      <c r="T430">
        <v>0</v>
      </c>
      <c r="U430">
        <v>0.058442833450854985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60</v>
      </c>
      <c r="AB430">
        <v>1</v>
      </c>
      <c r="AC430">
        <v>0.50</v>
      </c>
      <c r="AD430">
        <v>0.50345253019720215</v>
      </c>
      <c r="AE430">
        <v>56.70</v>
      </c>
      <c r="AF430">
        <v>200000</v>
      </c>
      <c r="AG430">
        <v>16666.666666666668</v>
      </c>
      <c r="AH430">
        <v>1</v>
      </c>
      <c r="AI430">
        <v>1</v>
      </c>
      <c r="AJ430" t="s">
        <v>136</v>
      </c>
      <c r="AK430" t="s">
        <v>137</v>
      </c>
      <c r="AL430">
        <v>0</v>
      </c>
      <c r="AM430" t="s">
        <v>137</v>
      </c>
      <c r="AN430">
        <v>0</v>
      </c>
    </row>
    <row r="431" spans="1:42" ht="12.75">
      <c r="A431" s="2" t="str">
        <f>HYPERLINK("https://ibp.a2mac1.com/costing(costing:projects/details/8191/process/6974001)","Process")</f>
        <v>Process</v>
      </c>
      <c r="C431">
        <v>6974001</v>
      </c>
      <c r="D431">
        <v>5384993</v>
      </c>
      <c r="E431">
        <v>0</v>
      </c>
      <c r="F431">
        <v>0</v>
      </c>
      <c r="G431">
        <v>0</v>
      </c>
      <c r="H431">
        <v>0</v>
      </c>
      <c r="I431" t="s">
        <v>137</v>
      </c>
      <c r="J431">
        <v>0</v>
      </c>
      <c r="K431">
        <v>0</v>
      </c>
      <c r="L431">
        <v>0.091321032537276317</v>
      </c>
      <c r="M431">
        <v>0.54792619522365793</v>
      </c>
      <c r="N431">
        <v>0.54792619522365793</v>
      </c>
      <c r="O431" t="s">
        <v>90</v>
      </c>
      <c r="P431">
        <v>0</v>
      </c>
      <c r="Q431" t="s">
        <v>90</v>
      </c>
      <c r="R431">
        <v>0</v>
      </c>
      <c r="S431" t="s">
        <v>90</v>
      </c>
      <c r="T431">
        <v>0</v>
      </c>
      <c r="U431">
        <v>0.54792619522365793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80</v>
      </c>
      <c r="AB431">
        <v>1</v>
      </c>
      <c r="AC431">
        <v>5</v>
      </c>
      <c r="AD431">
        <v>5.0007599939200489</v>
      </c>
      <c r="AE431">
        <v>216</v>
      </c>
      <c r="AF431">
        <v>200000</v>
      </c>
      <c r="AG431">
        <v>16666.666666666668</v>
      </c>
      <c r="AH431">
        <v>1</v>
      </c>
      <c r="AI431">
        <v>1</v>
      </c>
      <c r="AJ431" t="s">
        <v>136</v>
      </c>
      <c r="AK431" t="s">
        <v>137</v>
      </c>
      <c r="AL431">
        <v>0</v>
      </c>
      <c r="AM431" t="s">
        <v>137</v>
      </c>
      <c r="AN431">
        <v>0</v>
      </c>
    </row>
    <row r="432" spans="1:42" ht="12.75">
      <c r="A432" s="2" t="str">
        <f>HYPERLINK("https://ibp.a2mac1.com/costing(costing:projects/details/8191/process/6974002)","Process")</f>
        <v>Process</v>
      </c>
      <c r="C432">
        <v>6974002</v>
      </c>
      <c r="D432">
        <v>5384994</v>
      </c>
      <c r="E432">
        <v>0</v>
      </c>
      <c r="F432">
        <v>0</v>
      </c>
      <c r="G432">
        <v>0</v>
      </c>
      <c r="H432">
        <v>0</v>
      </c>
      <c r="I432" t="s">
        <v>137</v>
      </c>
      <c r="J432">
        <v>0</v>
      </c>
      <c r="K432">
        <v>0</v>
      </c>
      <c r="L432">
        <v>0.091321032537276317</v>
      </c>
      <c r="M432">
        <v>0.54792619522365793</v>
      </c>
      <c r="N432">
        <v>0.54792619522365793</v>
      </c>
      <c r="O432" t="s">
        <v>90</v>
      </c>
      <c r="P432">
        <v>0</v>
      </c>
      <c r="Q432" t="s">
        <v>90</v>
      </c>
      <c r="R432">
        <v>0</v>
      </c>
      <c r="S432" t="s">
        <v>90</v>
      </c>
      <c r="T432">
        <v>0</v>
      </c>
      <c r="U432">
        <v>0.54792619522365793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80</v>
      </c>
      <c r="AB432">
        <v>1</v>
      </c>
      <c r="AC432">
        <v>5</v>
      </c>
      <c r="AD432">
        <v>5.0007599939200489</v>
      </c>
      <c r="AE432">
        <v>216</v>
      </c>
      <c r="AF432">
        <v>200000</v>
      </c>
      <c r="AG432">
        <v>16666.666666666668</v>
      </c>
      <c r="AH432">
        <v>1</v>
      </c>
      <c r="AI432">
        <v>1</v>
      </c>
      <c r="AJ432" t="s">
        <v>136</v>
      </c>
      <c r="AK432" t="s">
        <v>137</v>
      </c>
      <c r="AL432">
        <v>0</v>
      </c>
      <c r="AM432" t="s">
        <v>137</v>
      </c>
      <c r="AN432">
        <v>0</v>
      </c>
    </row>
    <row r="433" spans="1:42" ht="12.75">
      <c r="A433" s="2" t="str">
        <f>HYPERLINK("https://ibp.a2mac1.com/costing(costing:projects/details/8191/process/6974003)","Process")</f>
        <v>Process</v>
      </c>
      <c r="C433">
        <v>6974003</v>
      </c>
      <c r="D433">
        <v>5384995</v>
      </c>
      <c r="E433">
        <v>0</v>
      </c>
      <c r="F433">
        <v>0</v>
      </c>
      <c r="G433">
        <v>0</v>
      </c>
      <c r="H433">
        <v>0</v>
      </c>
      <c r="I433" t="s">
        <v>137</v>
      </c>
      <c r="J433">
        <v>0</v>
      </c>
      <c r="K433">
        <v>0</v>
      </c>
      <c r="L433">
        <v>0.091321032537276317</v>
      </c>
      <c r="M433">
        <v>0.54792619522365793</v>
      </c>
      <c r="N433">
        <v>0.54792619522365793</v>
      </c>
      <c r="O433" t="s">
        <v>90</v>
      </c>
      <c r="P433">
        <v>0</v>
      </c>
      <c r="Q433" t="s">
        <v>90</v>
      </c>
      <c r="R433">
        <v>0</v>
      </c>
      <c r="S433" t="s">
        <v>90</v>
      </c>
      <c r="T433">
        <v>0</v>
      </c>
      <c r="U433">
        <v>0.54792619522365793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80</v>
      </c>
      <c r="AB433">
        <v>1</v>
      </c>
      <c r="AC433">
        <v>5</v>
      </c>
      <c r="AD433">
        <v>5.0007599939200489</v>
      </c>
      <c r="AE433">
        <v>216</v>
      </c>
      <c r="AF433">
        <v>200000</v>
      </c>
      <c r="AG433">
        <v>16666.666666666668</v>
      </c>
      <c r="AH433">
        <v>1</v>
      </c>
      <c r="AI433">
        <v>1</v>
      </c>
      <c r="AJ433" t="s">
        <v>136</v>
      </c>
      <c r="AK433" t="s">
        <v>137</v>
      </c>
      <c r="AL433">
        <v>0</v>
      </c>
      <c r="AM433" t="s">
        <v>137</v>
      </c>
      <c r="AN433">
        <v>0</v>
      </c>
    </row>
    <row r="434" spans="1:42" ht="12.75">
      <c r="A434" s="2" t="str">
        <f>HYPERLINK("https://ibp.a2mac1.com/costing(costing:projects/details/8191/process/6974104)","Automated Process")</f>
        <v>Automated Process</v>
      </c>
      <c r="C434">
        <v>6974104</v>
      </c>
      <c r="D434">
        <v>5385097</v>
      </c>
      <c r="E434">
        <v>0.033708863999999998</v>
      </c>
      <c r="F434">
        <v>0</v>
      </c>
      <c r="G434">
        <v>0</v>
      </c>
      <c r="H434">
        <v>0.00017099433768421053</v>
      </c>
      <c r="I434" t="s">
        <v>137</v>
      </c>
      <c r="J434">
        <v>0.0011827671578947369</v>
      </c>
      <c r="K434">
        <v>0.035062625495578946</v>
      </c>
      <c r="L434">
        <v>0.00064986575585317433</v>
      </c>
      <c r="M434">
        <v>0.0038991945351190462</v>
      </c>
      <c r="N434">
        <v>0.038961820030697994</v>
      </c>
      <c r="O434" t="s">
        <v>90</v>
      </c>
      <c r="P434">
        <v>0</v>
      </c>
      <c r="Q434" t="s">
        <v>90</v>
      </c>
      <c r="R434">
        <v>0</v>
      </c>
      <c r="S434" t="s">
        <v>90</v>
      </c>
      <c r="T434">
        <v>0</v>
      </c>
      <c r="U434">
        <v>0.038961820030697994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60</v>
      </c>
      <c r="AB434">
        <v>1</v>
      </c>
      <c r="AC434">
        <v>0.50</v>
      </c>
      <c r="AD434">
        <v>0.50345253019720215</v>
      </c>
      <c r="AE434">
        <v>37.80</v>
      </c>
      <c r="AF434">
        <v>200000</v>
      </c>
      <c r="AG434">
        <v>16666.666666666668</v>
      </c>
      <c r="AH434">
        <v>1</v>
      </c>
      <c r="AI434">
        <v>1</v>
      </c>
      <c r="AJ434" t="s">
        <v>136</v>
      </c>
      <c r="AK434" t="s">
        <v>137</v>
      </c>
      <c r="AL434">
        <v>0</v>
      </c>
      <c r="AM434" t="s">
        <v>137</v>
      </c>
      <c r="AN434">
        <v>0</v>
      </c>
    </row>
    <row r="435" spans="1:42" ht="12.75">
      <c r="A435" s="2" t="str">
        <f>HYPERLINK("https://ibp.a2mac1.com/costing(costing:projects/details/8191/process/6974105)","Automated Process")</f>
        <v>Automated Process</v>
      </c>
      <c r="C435">
        <v>6974105</v>
      </c>
      <c r="D435">
        <v>5385098</v>
      </c>
      <c r="E435">
        <v>0.019222811999999999</v>
      </c>
      <c r="F435">
        <v>0</v>
      </c>
      <c r="G435">
        <v>0</v>
      </c>
      <c r="H435">
        <v>9.7511206736842105E-05</v>
      </c>
      <c r="I435" t="s">
        <v>137</v>
      </c>
      <c r="J435">
        <v>0.00067448463157894739</v>
      </c>
      <c r="K435">
        <v>0.019994807838315788</v>
      </c>
      <c r="L435">
        <v>0.00041776556729295931</v>
      </c>
      <c r="M435">
        <v>0.0025065934037577556</v>
      </c>
      <c r="N435">
        <v>0.022501401242073546</v>
      </c>
      <c r="O435" t="s">
        <v>90</v>
      </c>
      <c r="P435">
        <v>0</v>
      </c>
      <c r="Q435" t="s">
        <v>90</v>
      </c>
      <c r="R435">
        <v>0</v>
      </c>
      <c r="S435" t="s">
        <v>90</v>
      </c>
      <c r="T435">
        <v>0</v>
      </c>
      <c r="U435">
        <v>0.022501401242073546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60</v>
      </c>
      <c r="AB435">
        <v>1</v>
      </c>
      <c r="AC435">
        <v>0.50</v>
      </c>
      <c r="AD435">
        <v>0.50345253019720215</v>
      </c>
      <c r="AE435">
        <v>24.30</v>
      </c>
      <c r="AF435">
        <v>200000</v>
      </c>
      <c r="AG435">
        <v>16666.666666666668</v>
      </c>
      <c r="AH435">
        <v>1</v>
      </c>
      <c r="AI435">
        <v>1</v>
      </c>
      <c r="AJ435" t="s">
        <v>136</v>
      </c>
      <c r="AK435" t="s">
        <v>137</v>
      </c>
      <c r="AL435">
        <v>0</v>
      </c>
      <c r="AM435" t="s">
        <v>137</v>
      </c>
      <c r="AN435">
        <v>0</v>
      </c>
    </row>
    <row r="436" spans="1:42" ht="12.75">
      <c r="A436" s="2" t="str">
        <f>HYPERLINK("https://ibp.a2mac1.com/costing(costing:projects/details/8191/process/6974106)","Automated Process")</f>
        <v>Automated Process</v>
      </c>
      <c r="C436">
        <v>6974106</v>
      </c>
      <c r="D436">
        <v>5385099</v>
      </c>
      <c r="E436">
        <v>0.0089181959999999998</v>
      </c>
      <c r="F436">
        <v>0</v>
      </c>
      <c r="G436">
        <v>0</v>
      </c>
      <c r="H436">
        <v>4.5239169684210529E-05</v>
      </c>
      <c r="I436" t="s">
        <v>137</v>
      </c>
      <c r="J436">
        <v>0.00031291915789473683</v>
      </c>
      <c r="K436">
        <v>0.0092763543275789472</v>
      </c>
      <c r="L436">
        <v>0.00018567124068331081</v>
      </c>
      <c r="M436">
        <v>0.0011140274440998648</v>
      </c>
      <c r="N436">
        <v>0.010390381771678812</v>
      </c>
      <c r="O436" t="s">
        <v>90</v>
      </c>
      <c r="P436">
        <v>0</v>
      </c>
      <c r="Q436" t="s">
        <v>90</v>
      </c>
      <c r="R436">
        <v>0</v>
      </c>
      <c r="S436" t="s">
        <v>90</v>
      </c>
      <c r="T436">
        <v>0</v>
      </c>
      <c r="U436">
        <v>0.010390381771678812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60</v>
      </c>
      <c r="AB436">
        <v>1</v>
      </c>
      <c r="AC436">
        <v>0.50</v>
      </c>
      <c r="AD436">
        <v>0.50345253019720215</v>
      </c>
      <c r="AE436">
        <v>10.80</v>
      </c>
      <c r="AF436">
        <v>200000</v>
      </c>
      <c r="AG436">
        <v>16666.666666666668</v>
      </c>
      <c r="AH436">
        <v>1</v>
      </c>
      <c r="AI436">
        <v>1</v>
      </c>
      <c r="AJ436" t="s">
        <v>136</v>
      </c>
      <c r="AK436" t="s">
        <v>137</v>
      </c>
      <c r="AL436">
        <v>0</v>
      </c>
      <c r="AM436" t="s">
        <v>137</v>
      </c>
      <c r="AN436">
        <v>0</v>
      </c>
    </row>
    <row r="437" spans="1:42" ht="12.75">
      <c r="A437" s="2" t="str">
        <f>HYPERLINK("https://ibp.a2mac1.com/costing(costing:projects/details/8191/process/6974107)","Automated Process")</f>
        <v>Automated Process</v>
      </c>
      <c r="C437">
        <v>6974107</v>
      </c>
      <c r="D437">
        <v>5385100</v>
      </c>
      <c r="E437">
        <v>0.0066886469999999998</v>
      </c>
      <c r="F437">
        <v>0</v>
      </c>
      <c r="G437">
        <v>0</v>
      </c>
      <c r="H437">
        <v>3.3929377263157895E-05</v>
      </c>
      <c r="I437" t="s">
        <v>137</v>
      </c>
      <c r="J437">
        <v>0.00023468936842105262</v>
      </c>
      <c r="K437">
        <v>0.0069572657456842104</v>
      </c>
      <c r="L437">
        <v>0.0001392530787954491</v>
      </c>
      <c r="M437">
        <v>0.00083551847277269474</v>
      </c>
      <c r="N437">
        <v>0.007792784218456905</v>
      </c>
      <c r="O437" t="s">
        <v>90</v>
      </c>
      <c r="P437">
        <v>0</v>
      </c>
      <c r="Q437" t="s">
        <v>90</v>
      </c>
      <c r="R437">
        <v>0</v>
      </c>
      <c r="S437" t="s">
        <v>90</v>
      </c>
      <c r="T437">
        <v>0</v>
      </c>
      <c r="U437">
        <v>0.007792784218456905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60</v>
      </c>
      <c r="AB437">
        <v>1</v>
      </c>
      <c r="AC437">
        <v>0.50</v>
      </c>
      <c r="AD437">
        <v>0.50345253019720215</v>
      </c>
      <c r="AE437">
        <v>8.10</v>
      </c>
      <c r="AF437">
        <v>200000</v>
      </c>
      <c r="AG437">
        <v>16666.666666666668</v>
      </c>
      <c r="AH437">
        <v>1</v>
      </c>
      <c r="AI437">
        <v>1</v>
      </c>
      <c r="AJ437" t="s">
        <v>136</v>
      </c>
      <c r="AK437" t="s">
        <v>137</v>
      </c>
      <c r="AL437">
        <v>0</v>
      </c>
      <c r="AM437" t="s">
        <v>137</v>
      </c>
      <c r="AN437">
        <v>0</v>
      </c>
    </row>
    <row r="438" spans="1:42" ht="12.75">
      <c r="A438" s="2" t="str">
        <f>HYPERLINK("https://ibp.a2mac1.com/costing(costing:projects/details/8191/process/6974108)","Automated Process")</f>
        <v>Automated Process</v>
      </c>
      <c r="C438">
        <v>6974108</v>
      </c>
      <c r="D438">
        <v>5385101</v>
      </c>
      <c r="E438">
        <v>0.049024552499999999</v>
      </c>
      <c r="F438">
        <v>0</v>
      </c>
      <c r="G438">
        <v>0</v>
      </c>
      <c r="H438">
        <v>0.00024868595052631581</v>
      </c>
      <c r="I438" t="s">
        <v>137</v>
      </c>
      <c r="J438">
        <v>0.0017201597368421053</v>
      </c>
      <c r="K438">
        <v>0.050993398187368422</v>
      </c>
      <c r="L438">
        <v>0.0010212098785659547</v>
      </c>
      <c r="M438">
        <v>0.0061272592713957274</v>
      </c>
      <c r="N438">
        <v>0.05712065745876415</v>
      </c>
      <c r="O438" t="s">
        <v>90</v>
      </c>
      <c r="P438">
        <v>0</v>
      </c>
      <c r="Q438" t="s">
        <v>90</v>
      </c>
      <c r="R438">
        <v>0</v>
      </c>
      <c r="S438" t="s">
        <v>90</v>
      </c>
      <c r="T438">
        <v>0</v>
      </c>
      <c r="U438">
        <v>0.05712065745876415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60</v>
      </c>
      <c r="AB438">
        <v>1</v>
      </c>
      <c r="AC438">
        <v>0.50</v>
      </c>
      <c r="AD438">
        <v>0.50345253019720215</v>
      </c>
      <c r="AE438">
        <v>59.40</v>
      </c>
      <c r="AF438">
        <v>200000</v>
      </c>
      <c r="AG438">
        <v>16666.666666666668</v>
      </c>
      <c r="AH438">
        <v>1</v>
      </c>
      <c r="AI438">
        <v>1</v>
      </c>
      <c r="AJ438" t="s">
        <v>136</v>
      </c>
      <c r="AK438" t="s">
        <v>137</v>
      </c>
      <c r="AL438">
        <v>0</v>
      </c>
      <c r="AM438" t="s">
        <v>137</v>
      </c>
      <c r="AN438">
        <v>0</v>
      </c>
    </row>
    <row r="439" spans="1:42" ht="12.75">
      <c r="A439" s="2" t="str">
        <f>HYPERLINK("https://ibp.a2mac1.com/costing(costing:projects/details/8191/process/6974109)","Automated Process")</f>
        <v>Automated Process</v>
      </c>
      <c r="C439">
        <v>6974109</v>
      </c>
      <c r="D439">
        <v>5385103</v>
      </c>
      <c r="E439">
        <v>0.034173887999999999</v>
      </c>
      <c r="F439">
        <v>0</v>
      </c>
      <c r="G439">
        <v>0</v>
      </c>
      <c r="H439">
        <v>0.00017232547031578946</v>
      </c>
      <c r="I439" t="s">
        <v>137</v>
      </c>
      <c r="J439">
        <v>0.0011990837894736842</v>
      </c>
      <c r="K439">
        <v>0.035545297259789471</v>
      </c>
      <c r="L439">
        <v>0.00074085252523607118</v>
      </c>
      <c r="M439">
        <v>0.0044451151514164275</v>
      </c>
      <c r="N439">
        <v>0.039990412411205899</v>
      </c>
      <c r="O439" t="s">
        <v>90</v>
      </c>
      <c r="P439">
        <v>0</v>
      </c>
      <c r="Q439" t="s">
        <v>90</v>
      </c>
      <c r="R439">
        <v>0</v>
      </c>
      <c r="S439" t="s">
        <v>90</v>
      </c>
      <c r="T439">
        <v>0</v>
      </c>
      <c r="U439">
        <v>0.039990412411205899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60</v>
      </c>
      <c r="AB439">
        <v>1</v>
      </c>
      <c r="AC439">
        <v>0.50</v>
      </c>
      <c r="AD439">
        <v>0.50048257265952256</v>
      </c>
      <c r="AE439">
        <v>43.20</v>
      </c>
      <c r="AF439">
        <v>400000</v>
      </c>
      <c r="AG439">
        <v>33333.333333333336</v>
      </c>
      <c r="AH439">
        <v>1</v>
      </c>
      <c r="AI439">
        <v>1</v>
      </c>
      <c r="AJ439" t="s">
        <v>136</v>
      </c>
      <c r="AK439" t="s">
        <v>137</v>
      </c>
      <c r="AL439">
        <v>0</v>
      </c>
      <c r="AM439" t="s">
        <v>137</v>
      </c>
      <c r="AN439">
        <v>0</v>
      </c>
    </row>
    <row r="440" spans="1:42" ht="12.75">
      <c r="A440" s="2" t="str">
        <f>HYPERLINK("https://ibp.a2mac1.com/costing(costing:projects/details/8191/process/6974110)","Automated Process")</f>
        <v>Automated Process</v>
      </c>
      <c r="C440">
        <v>6974110</v>
      </c>
      <c r="D440">
        <v>5385104</v>
      </c>
      <c r="E440">
        <v>0.013377294</v>
      </c>
      <c r="F440">
        <v>0</v>
      </c>
      <c r="G440">
        <v>0</v>
      </c>
      <c r="H440">
        <v>6.7858754526315789E-05</v>
      </c>
      <c r="I440" t="s">
        <v>137</v>
      </c>
      <c r="J440">
        <v>0.00046937873684210524</v>
      </c>
      <c r="K440">
        <v>0.013914531491368421</v>
      </c>
      <c r="L440">
        <v>0.00027850826789310219</v>
      </c>
      <c r="M440">
        <v>0.0016710496073586132</v>
      </c>
      <c r="N440">
        <v>0.015585581098727035</v>
      </c>
      <c r="O440" t="s">
        <v>90</v>
      </c>
      <c r="P440">
        <v>0</v>
      </c>
      <c r="Q440" t="s">
        <v>90</v>
      </c>
      <c r="R440">
        <v>0</v>
      </c>
      <c r="S440" t="s">
        <v>90</v>
      </c>
      <c r="T440">
        <v>0</v>
      </c>
      <c r="U440">
        <v>0.015585581098727035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60</v>
      </c>
      <c r="AB440">
        <v>1</v>
      </c>
      <c r="AC440">
        <v>0.50</v>
      </c>
      <c r="AD440">
        <v>0.50345253019720215</v>
      </c>
      <c r="AE440">
        <v>16.20</v>
      </c>
      <c r="AF440">
        <v>200000</v>
      </c>
      <c r="AG440">
        <v>16666.666666666668</v>
      </c>
      <c r="AH440">
        <v>1</v>
      </c>
      <c r="AI440">
        <v>1</v>
      </c>
      <c r="AJ440" t="s">
        <v>136</v>
      </c>
      <c r="AK440" t="s">
        <v>137</v>
      </c>
      <c r="AL440">
        <v>0</v>
      </c>
      <c r="AM440" t="s">
        <v>137</v>
      </c>
      <c r="AN440">
        <v>0</v>
      </c>
    </row>
    <row r="441" spans="1:42" ht="12.75">
      <c r="A441" s="2" t="str">
        <f>HYPERLINK("https://ibp.a2mac1.com/costing(costing:projects/details/8191/process/6974111)","Automated Process")</f>
        <v>Automated Process</v>
      </c>
      <c r="C441">
        <v>6974111</v>
      </c>
      <c r="D441">
        <v>5385105</v>
      </c>
      <c r="E441">
        <v>0.00146318025</v>
      </c>
      <c r="F441">
        <v>0</v>
      </c>
      <c r="G441">
        <v>0</v>
      </c>
      <c r="H441">
        <v>7.378242263157895E-06</v>
      </c>
      <c r="I441" t="s">
        <v>137</v>
      </c>
      <c r="J441">
        <v>5.1339657894736841E-05</v>
      </c>
      <c r="K441">
        <v>0.0015218981501578948</v>
      </c>
      <c r="L441">
        <v>2.315118712601873E-05</v>
      </c>
      <c r="M441">
        <v>0.00013890712275611239</v>
      </c>
      <c r="N441">
        <v>0.0016608052729140072</v>
      </c>
      <c r="O441" t="s">
        <v>138</v>
      </c>
      <c r="P441">
        <v>9.1313889009473687E-05</v>
      </c>
      <c r="Q441" t="s">
        <v>138</v>
      </c>
      <c r="R441">
        <v>8.3344273653667435E-06</v>
      </c>
      <c r="S441" t="s">
        <v>139</v>
      </c>
      <c r="T441">
        <v>0.00019929663274968087</v>
      </c>
      <c r="U441">
        <v>0.0019597502220385283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60</v>
      </c>
      <c r="AB441">
        <v>1</v>
      </c>
      <c r="AC441">
        <v>0.50</v>
      </c>
      <c r="AD441">
        <v>0.50048257265952256</v>
      </c>
      <c r="AE441">
        <v>1.35</v>
      </c>
      <c r="AF441">
        <v>400000</v>
      </c>
      <c r="AG441">
        <v>33333.333333333336</v>
      </c>
      <c r="AH441">
        <v>1</v>
      </c>
      <c r="AI441">
        <v>1</v>
      </c>
      <c r="AJ441" t="s">
        <v>136</v>
      </c>
      <c r="AK441" t="s">
        <v>137</v>
      </c>
      <c r="AL441">
        <v>0</v>
      </c>
      <c r="AM441" t="s">
        <v>137</v>
      </c>
      <c r="AN441">
        <v>0</v>
      </c>
    </row>
    <row r="442" spans="1:42" ht="12.75">
      <c r="A442" s="2" t="str">
        <f>HYPERLINK("https://ibp.a2mac1.com/costing(costing:projects/details/8191/process/6974112)","Automated Process")</f>
        <v>Automated Process</v>
      </c>
      <c r="C442">
        <v>6974112</v>
      </c>
      <c r="D442">
        <v>5385106</v>
      </c>
      <c r="E442">
        <v>0.0029263605</v>
      </c>
      <c r="F442">
        <v>0</v>
      </c>
      <c r="G442">
        <v>0</v>
      </c>
      <c r="H442">
        <v>1.4844495368421053E-05</v>
      </c>
      <c r="I442" t="s">
        <v>137</v>
      </c>
      <c r="J442">
        <v>0.00010267931578947368</v>
      </c>
      <c r="K442">
        <v>0.0030438843111578948</v>
      </c>
      <c r="L442">
        <v>4.6417458453793706E-05</v>
      </c>
      <c r="M442">
        <v>0.00027850475072276222</v>
      </c>
      <c r="N442">
        <v>0.0033223890618806571</v>
      </c>
      <c r="O442" t="s">
        <v>90</v>
      </c>
      <c r="P442">
        <v>0</v>
      </c>
      <c r="Q442" t="s">
        <v>90</v>
      </c>
      <c r="R442">
        <v>0</v>
      </c>
      <c r="S442" t="s">
        <v>90</v>
      </c>
      <c r="T442">
        <v>0</v>
      </c>
      <c r="U442">
        <v>0.0033223890618806571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60</v>
      </c>
      <c r="AB442">
        <v>1</v>
      </c>
      <c r="AC442">
        <v>0.50</v>
      </c>
      <c r="AD442">
        <v>0.50345253019720215</v>
      </c>
      <c r="AE442">
        <v>2.70</v>
      </c>
      <c r="AF442">
        <v>200000</v>
      </c>
      <c r="AG442">
        <v>16666.666666666668</v>
      </c>
      <c r="AH442">
        <v>1</v>
      </c>
      <c r="AI442">
        <v>1</v>
      </c>
      <c r="AJ442" t="s">
        <v>136</v>
      </c>
      <c r="AK442" t="s">
        <v>137</v>
      </c>
      <c r="AL442">
        <v>0</v>
      </c>
      <c r="AM442" t="s">
        <v>137</v>
      </c>
      <c r="AN442">
        <v>0</v>
      </c>
    </row>
    <row r="443" spans="1:42" ht="12.75">
      <c r="A443" s="2" t="str">
        <f>HYPERLINK("https://ibp.a2mac1.com/costing(costing:projects/details/8191/process/6974113)","Automated Process")</f>
        <v>Automated Process</v>
      </c>
      <c r="C443">
        <v>6974113</v>
      </c>
      <c r="D443">
        <v>5385107</v>
      </c>
      <c r="E443">
        <v>0.00082952105263157895</v>
      </c>
      <c r="F443">
        <v>0</v>
      </c>
      <c r="G443">
        <v>0</v>
      </c>
      <c r="H443">
        <v>4.1724908947368421E-06</v>
      </c>
      <c r="I443" t="s">
        <v>137</v>
      </c>
      <c r="J443">
        <v>2.9033236842105262E-05</v>
      </c>
      <c r="K443">
        <v>0.000862726780368421</v>
      </c>
      <c r="L443">
        <v>2.315118712601873E-05</v>
      </c>
      <c r="M443">
        <v>0.00013890712275611239</v>
      </c>
      <c r="N443">
        <v>0.0010016339031245335</v>
      </c>
      <c r="O443" t="s">
        <v>90</v>
      </c>
      <c r="P443">
        <v>0</v>
      </c>
      <c r="Q443" t="s">
        <v>90</v>
      </c>
      <c r="R443">
        <v>0</v>
      </c>
      <c r="S443" t="s">
        <v>90</v>
      </c>
      <c r="T443">
        <v>0</v>
      </c>
      <c r="U443">
        <v>0.0010016339031245335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60</v>
      </c>
      <c r="AB443">
        <v>1</v>
      </c>
      <c r="AC443">
        <v>0.50</v>
      </c>
      <c r="AD443">
        <v>0.50048257265952256</v>
      </c>
      <c r="AE443">
        <v>1.35</v>
      </c>
      <c r="AF443">
        <v>400000</v>
      </c>
      <c r="AG443">
        <v>33333.333333333336</v>
      </c>
      <c r="AH443">
        <v>1</v>
      </c>
      <c r="AI443">
        <v>1</v>
      </c>
      <c r="AJ443" t="s">
        <v>136</v>
      </c>
      <c r="AK443" t="s">
        <v>137</v>
      </c>
      <c r="AL443">
        <v>0</v>
      </c>
      <c r="AM443" t="s">
        <v>137</v>
      </c>
      <c r="AN443">
        <v>0</v>
      </c>
    </row>
    <row r="444" spans="1:42" ht="12.75">
      <c r="A444" s="2" t="str">
        <f>HYPERLINK("https://ibp.a2mac1.com/costing(costing:projects/details/8191/process/6974004)","Automated Process")</f>
        <v>Automated Process</v>
      </c>
      <c r="C444">
        <v>6974004</v>
      </c>
      <c r="D444">
        <v>5384999</v>
      </c>
      <c r="E444">
        <v>1.14620184</v>
      </c>
      <c r="F444">
        <v>0</v>
      </c>
      <c r="G444">
        <v>0</v>
      </c>
      <c r="H444">
        <v>0.0058143171031578948</v>
      </c>
      <c r="I444" t="s">
        <v>137</v>
      </c>
      <c r="J444">
        <v>0.040217608421052632</v>
      </c>
      <c r="K444">
        <v>1.1922337655242106</v>
      </c>
      <c r="L444">
        <v>0.037674966899308708</v>
      </c>
      <c r="M444">
        <v>0.22604980139585226</v>
      </c>
      <c r="N444">
        <v>1.4182835669200629</v>
      </c>
      <c r="O444" t="s">
        <v>90</v>
      </c>
      <c r="P444">
        <v>0</v>
      </c>
      <c r="Q444" t="s">
        <v>90</v>
      </c>
      <c r="R444">
        <v>0</v>
      </c>
      <c r="S444" t="s">
        <v>90</v>
      </c>
      <c r="T444">
        <v>0</v>
      </c>
      <c r="U444">
        <v>1.4182835669200629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60</v>
      </c>
      <c r="AB444">
        <v>1</v>
      </c>
      <c r="AC444">
        <v>0.50</v>
      </c>
      <c r="AD444">
        <v>0.50345253019720215</v>
      </c>
      <c r="AE444">
        <v>2187</v>
      </c>
      <c r="AF444">
        <v>200000</v>
      </c>
      <c r="AG444">
        <v>16666.666666666668</v>
      </c>
      <c r="AH444">
        <v>1</v>
      </c>
      <c r="AI444">
        <v>1</v>
      </c>
      <c r="AJ444" t="s">
        <v>136</v>
      </c>
      <c r="AK444" t="s">
        <v>137</v>
      </c>
      <c r="AL444">
        <v>0</v>
      </c>
      <c r="AM444" t="s">
        <v>137</v>
      </c>
      <c r="AN444">
        <v>0</v>
      </c>
    </row>
    <row r="445" spans="1:42" ht="12.75">
      <c r="A445" s="2" t="str">
        <f>HYPERLINK("https://ibp.a2mac1.com/costing(costing:projects/details/8191/process/6974005)","Automated Process")</f>
        <v>Automated Process</v>
      </c>
      <c r="C445">
        <v>6974005</v>
      </c>
      <c r="D445">
        <v>5385000</v>
      </c>
      <c r="E445">
        <v>0.59291181599999998</v>
      </c>
      <c r="F445">
        <v>0</v>
      </c>
      <c r="G445">
        <v>0</v>
      </c>
      <c r="H445">
        <v>0.0030076529212631578</v>
      </c>
      <c r="I445" t="s">
        <v>137</v>
      </c>
      <c r="J445">
        <v>0.020803923368421053</v>
      </c>
      <c r="K445">
        <v>0.6167233922896842</v>
      </c>
      <c r="L445">
        <v>0.01946944856706229</v>
      </c>
      <c r="M445">
        <v>0.11681669140237373</v>
      </c>
      <c r="N445">
        <v>0.73354008369205792</v>
      </c>
      <c r="O445" t="s">
        <v>90</v>
      </c>
      <c r="P445">
        <v>0</v>
      </c>
      <c r="Q445" t="s">
        <v>90</v>
      </c>
      <c r="R445">
        <v>0</v>
      </c>
      <c r="S445" t="s">
        <v>90</v>
      </c>
      <c r="T445">
        <v>0</v>
      </c>
      <c r="U445">
        <v>0.73354008369205792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60</v>
      </c>
      <c r="AB445">
        <v>1</v>
      </c>
      <c r="AC445">
        <v>0.50</v>
      </c>
      <c r="AD445">
        <v>0.50345253019720215</v>
      </c>
      <c r="AE445">
        <v>1131.30</v>
      </c>
      <c r="AF445">
        <v>200000</v>
      </c>
      <c r="AG445">
        <v>16666.666666666668</v>
      </c>
      <c r="AH445">
        <v>1</v>
      </c>
      <c r="AI445">
        <v>1</v>
      </c>
      <c r="AJ445" t="s">
        <v>136</v>
      </c>
      <c r="AK445" t="s">
        <v>137</v>
      </c>
      <c r="AL445">
        <v>0</v>
      </c>
      <c r="AM445" t="s">
        <v>137</v>
      </c>
      <c r="AN445">
        <v>0</v>
      </c>
    </row>
    <row r="446" spans="1:42" ht="12.75">
      <c r="A446" s="2" t="str">
        <f>HYPERLINK("https://ibp.a2mac1.com/costing(costing:projects/details/8191/process/6974006)","Automated Process")</f>
        <v>Automated Process</v>
      </c>
      <c r="C446">
        <v>6974006</v>
      </c>
      <c r="D446">
        <v>5385001</v>
      </c>
      <c r="E446">
        <v>1.0924294080000001</v>
      </c>
      <c r="F446">
        <v>0</v>
      </c>
      <c r="G446">
        <v>0</v>
      </c>
      <c r="H446">
        <v>0.0055415466711578945</v>
      </c>
      <c r="I446" t="s">
        <v>137</v>
      </c>
      <c r="J446">
        <v>0.038330856421052634</v>
      </c>
      <c r="K446">
        <v>1.1363018110922105</v>
      </c>
      <c r="L446">
        <v>0.035904059992741738</v>
      </c>
      <c r="M446">
        <v>0.21542435995645043</v>
      </c>
      <c r="N446">
        <v>1.351726171048661</v>
      </c>
      <c r="O446" t="s">
        <v>90</v>
      </c>
      <c r="P446">
        <v>0</v>
      </c>
      <c r="Q446" t="s">
        <v>90</v>
      </c>
      <c r="R446">
        <v>0</v>
      </c>
      <c r="S446" t="s">
        <v>90</v>
      </c>
      <c r="T446">
        <v>0</v>
      </c>
      <c r="U446">
        <v>1.351726171048661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60</v>
      </c>
      <c r="AB446">
        <v>1</v>
      </c>
      <c r="AC446">
        <v>0.50</v>
      </c>
      <c r="AD446">
        <v>0.50345253019720215</v>
      </c>
      <c r="AE446">
        <v>2084.40</v>
      </c>
      <c r="AF446">
        <v>200000</v>
      </c>
      <c r="AG446">
        <v>16666.666666666668</v>
      </c>
      <c r="AH446">
        <v>1</v>
      </c>
      <c r="AI446">
        <v>1</v>
      </c>
      <c r="AJ446" t="s">
        <v>136</v>
      </c>
      <c r="AK446" t="s">
        <v>137</v>
      </c>
      <c r="AL446">
        <v>0</v>
      </c>
      <c r="AM446" t="s">
        <v>137</v>
      </c>
      <c r="AN446">
        <v>0</v>
      </c>
    </row>
    <row r="447" spans="1:42" ht="12.75">
      <c r="A447" s="2" t="str">
        <f>HYPERLINK("https://ibp.a2mac1.com/costing(costing:projects/details/8191/process/6974007)","Automated Process")</f>
        <v>Automated Process</v>
      </c>
      <c r="C447">
        <v>6974007</v>
      </c>
      <c r="D447">
        <v>5385002</v>
      </c>
      <c r="E447">
        <v>0.63536373599999996</v>
      </c>
      <c r="F447">
        <v>0</v>
      </c>
      <c r="G447">
        <v>0</v>
      </c>
      <c r="H447">
        <v>0.0032229979991578949</v>
      </c>
      <c r="I447" t="s">
        <v>137</v>
      </c>
      <c r="J447">
        <v>0.022293464421052633</v>
      </c>
      <c r="K447">
        <v>0.66088019842021051</v>
      </c>
      <c r="L447">
        <v>0.020865021707360848</v>
      </c>
      <c r="M447">
        <v>0.12519013024416509</v>
      </c>
      <c r="N447">
        <v>0.78607032866437565</v>
      </c>
      <c r="O447" t="s">
        <v>90</v>
      </c>
      <c r="P447">
        <v>0</v>
      </c>
      <c r="Q447" t="s">
        <v>90</v>
      </c>
      <c r="R447">
        <v>0</v>
      </c>
      <c r="S447" t="s">
        <v>90</v>
      </c>
      <c r="T447">
        <v>0</v>
      </c>
      <c r="U447">
        <v>0.78607032866437565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60</v>
      </c>
      <c r="AB447">
        <v>1</v>
      </c>
      <c r="AC447">
        <v>0.50</v>
      </c>
      <c r="AD447">
        <v>0.50345253019720215</v>
      </c>
      <c r="AE447">
        <v>1212.30</v>
      </c>
      <c r="AF447">
        <v>200000</v>
      </c>
      <c r="AG447">
        <v>16666.666666666668</v>
      </c>
      <c r="AH447">
        <v>1</v>
      </c>
      <c r="AI447">
        <v>1</v>
      </c>
      <c r="AJ447" t="s">
        <v>136</v>
      </c>
      <c r="AK447" t="s">
        <v>137</v>
      </c>
      <c r="AL447">
        <v>0</v>
      </c>
      <c r="AM447" t="s">
        <v>137</v>
      </c>
      <c r="AN447">
        <v>0</v>
      </c>
    </row>
    <row r="448" spans="1:42" ht="12.75">
      <c r="A448" s="2" t="str">
        <f>HYPERLINK("https://ibp.a2mac1.com/costing(costing:projects/details/8191/process/6974008)","Automated Process")</f>
        <v>Automated Process</v>
      </c>
      <c r="C448">
        <v>6974008</v>
      </c>
      <c r="D448">
        <v>5385003</v>
      </c>
      <c r="E448">
        <v>0.0264537</v>
      </c>
      <c r="F448">
        <v>0</v>
      </c>
      <c r="G448">
        <v>0</v>
      </c>
      <c r="H448">
        <v>0.00013419119999999999</v>
      </c>
      <c r="I448" t="s">
        <v>137</v>
      </c>
      <c r="J448">
        <v>0.00092820000000000001</v>
      </c>
      <c r="K448">
        <v>0.027516091199999999</v>
      </c>
      <c r="L448">
        <v>0.00088197180636395602</v>
      </c>
      <c r="M448">
        <v>0.0052918308381837359</v>
      </c>
      <c r="N448">
        <v>0.032807922038183737</v>
      </c>
      <c r="O448" t="s">
        <v>138</v>
      </c>
      <c r="P448">
        <v>0.001650965472</v>
      </c>
      <c r="Q448" t="s">
        <v>138</v>
      </c>
      <c r="R448">
        <v>0.00031750985029102417</v>
      </c>
      <c r="S448" t="s">
        <v>139</v>
      </c>
      <c r="T448">
        <v>0.0039369506445820482</v>
      </c>
      <c r="U448">
        <v>0.038713348005056811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60</v>
      </c>
      <c r="AB448">
        <v>1</v>
      </c>
      <c r="AC448">
        <v>0.50</v>
      </c>
      <c r="AD448">
        <v>0.50345253019720215</v>
      </c>
      <c r="AE448">
        <v>51.30</v>
      </c>
      <c r="AF448">
        <v>200000</v>
      </c>
      <c r="AG448">
        <v>16666.666666666668</v>
      </c>
      <c r="AH448">
        <v>1</v>
      </c>
      <c r="AI448">
        <v>1</v>
      </c>
      <c r="AJ448" t="s">
        <v>136</v>
      </c>
      <c r="AK448" t="s">
        <v>137</v>
      </c>
      <c r="AL448">
        <v>0</v>
      </c>
      <c r="AM448" t="s">
        <v>137</v>
      </c>
      <c r="AN448">
        <v>0</v>
      </c>
    </row>
    <row r="449" spans="1:42" ht="12.75">
      <c r="A449" s="2" t="str">
        <f>HYPERLINK("https://ibp.a2mac1.com/costing(costing:projects/details/8191/process/6974009)","Automated Process")</f>
        <v>Automated Process</v>
      </c>
      <c r="C449">
        <v>6974009</v>
      </c>
      <c r="D449">
        <v>5385004</v>
      </c>
      <c r="E449">
        <v>0.54196951199999999</v>
      </c>
      <c r="F449">
        <v>0</v>
      </c>
      <c r="G449">
        <v>0</v>
      </c>
      <c r="H449">
        <v>0.0027492388277894739</v>
      </c>
      <c r="I449" t="s">
        <v>137</v>
      </c>
      <c r="J449">
        <v>0.019016474105263158</v>
      </c>
      <c r="K449">
        <v>0.56373522493305261</v>
      </c>
      <c r="L449">
        <v>0.017795039358594944</v>
      </c>
      <c r="M449">
        <v>0.10677023615156966</v>
      </c>
      <c r="N449">
        <v>0.67050546108462228</v>
      </c>
      <c r="O449" t="s">
        <v>90</v>
      </c>
      <c r="P449">
        <v>0</v>
      </c>
      <c r="Q449" t="s">
        <v>90</v>
      </c>
      <c r="R449">
        <v>0</v>
      </c>
      <c r="S449" t="s">
        <v>90</v>
      </c>
      <c r="T449">
        <v>0</v>
      </c>
      <c r="U449">
        <v>0.67050546108462228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60</v>
      </c>
      <c r="AB449">
        <v>1</v>
      </c>
      <c r="AC449">
        <v>0.50</v>
      </c>
      <c r="AD449">
        <v>0.50345253019720215</v>
      </c>
      <c r="AE449">
        <v>1034.10</v>
      </c>
      <c r="AF449">
        <v>200000</v>
      </c>
      <c r="AG449">
        <v>16666.666666666668</v>
      </c>
      <c r="AH449">
        <v>1</v>
      </c>
      <c r="AI449">
        <v>1</v>
      </c>
      <c r="AJ449" t="s">
        <v>136</v>
      </c>
      <c r="AK449" t="s">
        <v>137</v>
      </c>
      <c r="AL449">
        <v>0</v>
      </c>
      <c r="AM449" t="s">
        <v>137</v>
      </c>
      <c r="AN449">
        <v>0</v>
      </c>
    </row>
    <row r="450" spans="1:42" ht="12.75">
      <c r="A450" s="2" t="str">
        <f>HYPERLINK("https://ibp.a2mac1.com/costing(costing:projects/details/8191/process/6974010)","Automated Process [2]")</f>
        <v>Automated Process [2]</v>
      </c>
      <c r="C450">
        <v>6974010</v>
      </c>
      <c r="D450">
        <v>5385006</v>
      </c>
      <c r="E450">
        <v>5.76</v>
      </c>
      <c r="F450">
        <v>0</v>
      </c>
      <c r="G450">
        <v>0</v>
      </c>
      <c r="H450">
        <v>0.029145600000000001</v>
      </c>
      <c r="I450" t="s">
        <v>137</v>
      </c>
      <c r="J450">
        <v>0.2016</v>
      </c>
      <c r="K450">
        <v>5.9907456000000003</v>
      </c>
      <c r="L450">
        <v>0.12951633490517039</v>
      </c>
      <c r="M450">
        <v>0.77709800943102236</v>
      </c>
      <c r="N450">
        <v>6.7678436094310221</v>
      </c>
      <c r="O450" t="s">
        <v>90</v>
      </c>
      <c r="P450">
        <v>0</v>
      </c>
      <c r="Q450" t="s">
        <v>90</v>
      </c>
      <c r="R450">
        <v>0</v>
      </c>
      <c r="S450" t="s">
        <v>90</v>
      </c>
      <c r="T450">
        <v>0</v>
      </c>
      <c r="U450">
        <v>6.7678436094310221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72</v>
      </c>
      <c r="AB450">
        <v>1</v>
      </c>
      <c r="AC450">
        <v>0.50</v>
      </c>
      <c r="AD450">
        <v>0.50345253019720215</v>
      </c>
      <c r="AE450">
        <v>10800</v>
      </c>
      <c r="AF450">
        <v>200000</v>
      </c>
      <c r="AG450">
        <v>16666.666666666668</v>
      </c>
      <c r="AH450">
        <v>1</v>
      </c>
      <c r="AI450">
        <v>1</v>
      </c>
      <c r="AJ450" t="s">
        <v>136</v>
      </c>
      <c r="AK450" t="s">
        <v>137</v>
      </c>
      <c r="AL450">
        <v>0</v>
      </c>
      <c r="AM450" t="s">
        <v>137</v>
      </c>
      <c r="AN450">
        <v>0</v>
      </c>
    </row>
    <row r="451" spans="1:42" ht="12.75">
      <c r="A451" s="2" t="str">
        <f>HYPERLINK("https://ibp.a2mac1.com/costing(costing:projects/details/8191/process/6974011)","Automated Process")</f>
        <v>Automated Process</v>
      </c>
      <c r="C451">
        <v>6974011</v>
      </c>
      <c r="D451">
        <v>5385007</v>
      </c>
      <c r="E451">
        <v>0.065009951999999996</v>
      </c>
      <c r="F451">
        <v>0</v>
      </c>
      <c r="G451">
        <v>0</v>
      </c>
      <c r="H451">
        <v>0.00032977479410526317</v>
      </c>
      <c r="I451" t="s">
        <v>137</v>
      </c>
      <c r="J451">
        <v>0.0022810509473684209</v>
      </c>
      <c r="K451">
        <v>0.067620777741473681</v>
      </c>
      <c r="L451">
        <v>0.0012533536800383852</v>
      </c>
      <c r="M451">
        <v>0.0075201220802303117</v>
      </c>
      <c r="N451">
        <v>0.075140899821703994</v>
      </c>
      <c r="O451" t="s">
        <v>138</v>
      </c>
      <c r="P451">
        <v>0.0040572466644884213</v>
      </c>
      <c r="Q451" t="s">
        <v>138</v>
      </c>
      <c r="R451">
        <v>0.00045120732481381871</v>
      </c>
      <c r="S451" t="s">
        <v>139</v>
      </c>
      <c r="T451">
        <v>0.0090169079786044798</v>
      </c>
      <c r="U451">
        <v>0.08866626178961072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60</v>
      </c>
      <c r="AB451">
        <v>1</v>
      </c>
      <c r="AC451">
        <v>0.50</v>
      </c>
      <c r="AD451">
        <v>0.50345253019720215</v>
      </c>
      <c r="AE451">
        <v>72.90</v>
      </c>
      <c r="AF451">
        <v>200000</v>
      </c>
      <c r="AG451">
        <v>16666.666666666668</v>
      </c>
      <c r="AH451">
        <v>1</v>
      </c>
      <c r="AI451">
        <v>1</v>
      </c>
      <c r="AJ451" t="s">
        <v>136</v>
      </c>
      <c r="AK451" t="s">
        <v>137</v>
      </c>
      <c r="AL451">
        <v>0</v>
      </c>
      <c r="AM451" t="s">
        <v>137</v>
      </c>
      <c r="AN451">
        <v>0</v>
      </c>
    </row>
    <row r="452" spans="1:42" ht="12.75">
      <c r="A452" s="2" t="str">
        <f>HYPERLINK("https://ibp.a2mac1.com/costing(costing:projects/details/8191/process/6974012)","Automated Process [2]")</f>
        <v>Automated Process [2]</v>
      </c>
      <c r="C452">
        <v>6974012</v>
      </c>
      <c r="D452">
        <v>5385008</v>
      </c>
      <c r="E452">
        <v>9.67</v>
      </c>
      <c r="F452">
        <v>0</v>
      </c>
      <c r="G452">
        <v>0</v>
      </c>
      <c r="H452">
        <v>0.0489302</v>
      </c>
      <c r="I452" t="s">
        <v>137</v>
      </c>
      <c r="J452">
        <v>0.33844999999999997</v>
      </c>
      <c r="K452">
        <v>10.057380200000001</v>
      </c>
      <c r="L452">
        <v>0.22311877268167404</v>
      </c>
      <c r="M452">
        <v>1.3387126360900441</v>
      </c>
      <c r="N452">
        <v>11.396092836090045</v>
      </c>
      <c r="O452" t="s">
        <v>90</v>
      </c>
      <c r="P452">
        <v>0</v>
      </c>
      <c r="Q452" t="s">
        <v>90</v>
      </c>
      <c r="R452">
        <v>0</v>
      </c>
      <c r="S452" t="s">
        <v>90</v>
      </c>
      <c r="T452">
        <v>0</v>
      </c>
      <c r="U452">
        <v>11.396092836090045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125</v>
      </c>
      <c r="AB452">
        <v>1</v>
      </c>
      <c r="AC452">
        <v>0.50</v>
      </c>
      <c r="AD452">
        <v>0.50345253019720215</v>
      </c>
      <c r="AE452">
        <v>10800</v>
      </c>
      <c r="AF452">
        <v>200000</v>
      </c>
      <c r="AG452">
        <v>16666.666666666668</v>
      </c>
      <c r="AH452">
        <v>1</v>
      </c>
      <c r="AI452">
        <v>1</v>
      </c>
      <c r="AJ452" t="s">
        <v>136</v>
      </c>
      <c r="AK452" t="s">
        <v>137</v>
      </c>
      <c r="AL452">
        <v>0</v>
      </c>
      <c r="AM452" t="s">
        <v>137</v>
      </c>
      <c r="AN452">
        <v>0</v>
      </c>
    </row>
    <row r="453" spans="1:42" ht="12.75">
      <c r="A453" s="2" t="str">
        <f>HYPERLINK("https://ibp.a2mac1.com/costing(costing:projects/details/8191/process/6974013)","Automated Process")</f>
        <v>Automated Process</v>
      </c>
      <c r="C453">
        <v>6974013</v>
      </c>
      <c r="D453">
        <v>5385033</v>
      </c>
      <c r="E453">
        <v>0.062602175999999995</v>
      </c>
      <c r="F453">
        <v>0</v>
      </c>
      <c r="G453">
        <v>0</v>
      </c>
      <c r="H453">
        <v>0.00031756091284210528</v>
      </c>
      <c r="I453" t="s">
        <v>137</v>
      </c>
      <c r="J453">
        <v>0.0021965675789473683</v>
      </c>
      <c r="K453">
        <v>0.06511630449178947</v>
      </c>
      <c r="L453">
        <v>0.0012069301251560023</v>
      </c>
      <c r="M453">
        <v>0.007241580750936014</v>
      </c>
      <c r="N453">
        <v>0.072357885242725489</v>
      </c>
      <c r="O453" t="s">
        <v>138</v>
      </c>
      <c r="P453">
        <v>0.003906978269507368</v>
      </c>
      <c r="Q453" t="s">
        <v>138</v>
      </c>
      <c r="R453">
        <v>0.00043449484505616079</v>
      </c>
      <c r="S453" t="s">
        <v>139</v>
      </c>
      <c r="T453">
        <v>0.008682946229127058</v>
      </c>
      <c r="U453">
        <v>0.085382304586416075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60</v>
      </c>
      <c r="AB453">
        <v>1</v>
      </c>
      <c r="AC453">
        <v>0.50</v>
      </c>
      <c r="AD453">
        <v>0.50345253019720215</v>
      </c>
      <c r="AE453">
        <v>70.20</v>
      </c>
      <c r="AF453">
        <v>200000</v>
      </c>
      <c r="AG453">
        <v>16666.666666666668</v>
      </c>
      <c r="AH453">
        <v>1</v>
      </c>
      <c r="AI453">
        <v>1</v>
      </c>
      <c r="AJ453" t="s">
        <v>136</v>
      </c>
      <c r="AK453" t="s">
        <v>137</v>
      </c>
      <c r="AL453">
        <v>0</v>
      </c>
      <c r="AM453" t="s">
        <v>137</v>
      </c>
      <c r="AN453">
        <v>0</v>
      </c>
    </row>
    <row r="454" spans="1:42" ht="12.75">
      <c r="A454" s="2" t="str">
        <f>HYPERLINK("https://ibp.a2mac1.com/costing(costing:projects/details/8191/process/6974014)","Automated Process [2]")</f>
        <v>Automated Process [2]</v>
      </c>
      <c r="C454">
        <v>6974014</v>
      </c>
      <c r="D454">
        <v>5385034</v>
      </c>
      <c r="E454">
        <v>3.69</v>
      </c>
      <c r="F454">
        <v>0</v>
      </c>
      <c r="G454">
        <v>0</v>
      </c>
      <c r="H454">
        <v>0.018671400000000001</v>
      </c>
      <c r="I454" t="s">
        <v>137</v>
      </c>
      <c r="J454">
        <v>0.12914999999999999</v>
      </c>
      <c r="K454">
        <v>3.8378214000000002</v>
      </c>
      <c r="L454">
        <v>0.083598157882734656</v>
      </c>
      <c r="M454">
        <v>0.50158894729640791</v>
      </c>
      <c r="N454">
        <v>4.3394103472964076</v>
      </c>
      <c r="O454" t="s">
        <v>90</v>
      </c>
      <c r="P454">
        <v>0</v>
      </c>
      <c r="Q454" t="s">
        <v>90</v>
      </c>
      <c r="R454">
        <v>0</v>
      </c>
      <c r="S454" t="s">
        <v>90</v>
      </c>
      <c r="T454">
        <v>0</v>
      </c>
      <c r="U454">
        <v>4.3394103472964076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46</v>
      </c>
      <c r="AB454">
        <v>1</v>
      </c>
      <c r="AC454">
        <v>0.50</v>
      </c>
      <c r="AD454">
        <v>0.50345253019720215</v>
      </c>
      <c r="AE454">
        <v>10800</v>
      </c>
      <c r="AF454">
        <v>200000</v>
      </c>
      <c r="AG454">
        <v>16666.666666666668</v>
      </c>
      <c r="AH454">
        <v>1</v>
      </c>
      <c r="AI454">
        <v>1</v>
      </c>
      <c r="AJ454" t="s">
        <v>136</v>
      </c>
      <c r="AK454" t="s">
        <v>137</v>
      </c>
      <c r="AL454">
        <v>0</v>
      </c>
      <c r="AM454" t="s">
        <v>137</v>
      </c>
      <c r="AN454">
        <v>0</v>
      </c>
    </row>
    <row r="455" spans="1:42" ht="12.75">
      <c r="A455" s="2" t="str">
        <f>HYPERLINK("https://ibp.a2mac1.com/costing(costing:projects/details/8191/process/6974015)","Automated Process")</f>
        <v>Automated Process</v>
      </c>
      <c r="C455">
        <v>6974015</v>
      </c>
      <c r="D455">
        <v>5385035</v>
      </c>
      <c r="E455">
        <v>0.062602175999999995</v>
      </c>
      <c r="F455">
        <v>0</v>
      </c>
      <c r="G455">
        <v>0</v>
      </c>
      <c r="H455">
        <v>0.00095770346442105268</v>
      </c>
      <c r="I455" t="s">
        <v>137</v>
      </c>
      <c r="J455">
        <v>0.0021965675789473683</v>
      </c>
      <c r="K455">
        <v>0.065756447043368416</v>
      </c>
      <c r="L455">
        <v>0.0012191788339660148</v>
      </c>
      <c r="M455">
        <v>0.0073150730037960894</v>
      </c>
      <c r="N455">
        <v>0.073071520047164509</v>
      </c>
      <c r="O455" t="s">
        <v>138</v>
      </c>
      <c r="P455">
        <v>0.0039453868226021049</v>
      </c>
      <c r="Q455" t="s">
        <v>138</v>
      </c>
      <c r="R455">
        <v>0.00043890438022776534</v>
      </c>
      <c r="S455" t="s">
        <v>139</v>
      </c>
      <c r="T455">
        <v>0.0087685824056597406</v>
      </c>
      <c r="U455">
        <v>0.086224393655654125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60</v>
      </c>
      <c r="AB455">
        <v>1</v>
      </c>
      <c r="AC455">
        <v>0.50</v>
      </c>
      <c r="AD455">
        <v>1.5030632547327778</v>
      </c>
      <c r="AE455">
        <v>70.20</v>
      </c>
      <c r="AF455">
        <v>200000</v>
      </c>
      <c r="AG455">
        <v>16666.666666666668</v>
      </c>
      <c r="AH455">
        <v>1</v>
      </c>
      <c r="AI455">
        <v>1</v>
      </c>
      <c r="AJ455" t="s">
        <v>136</v>
      </c>
      <c r="AK455" t="s">
        <v>137</v>
      </c>
      <c r="AL455">
        <v>0</v>
      </c>
      <c r="AM455" t="s">
        <v>137</v>
      </c>
      <c r="AN455">
        <v>0</v>
      </c>
    </row>
    <row r="456" spans="1:42" ht="12.75">
      <c r="A456" s="2" t="str">
        <f>HYPERLINK("https://ibp.a2mac1.com/costing(costing:projects/details/8191/process/6974016)","Painting")</f>
        <v>Painting</v>
      </c>
      <c r="C456">
        <v>6974016</v>
      </c>
      <c r="D456">
        <v>5385035</v>
      </c>
      <c r="E456">
        <v>0.0333257</v>
      </c>
      <c r="F456">
        <v>0</v>
      </c>
      <c r="G456">
        <v>0</v>
      </c>
      <c r="H456">
        <v>0.00033858911200000002</v>
      </c>
      <c r="I456" t="s">
        <v>137</v>
      </c>
      <c r="J456">
        <v>0.0011663995</v>
      </c>
      <c r="K456">
        <v>0.034830688611999998</v>
      </c>
      <c r="L456">
        <v>0.084356362374565647</v>
      </c>
      <c r="M456">
        <v>0.50613817424739393</v>
      </c>
      <c r="N456">
        <v>0.54096886285939383</v>
      </c>
      <c r="O456" t="s">
        <v>138</v>
      </c>
      <c r="P456">
        <v>0.0020898413167199999</v>
      </c>
      <c r="Q456" t="s">
        <v>138</v>
      </c>
      <c r="R456">
        <v>0.030368290454843634</v>
      </c>
      <c r="S456" t="s">
        <v>139</v>
      </c>
      <c r="T456">
        <v>0.064916263543127267</v>
      </c>
      <c r="U456">
        <v>0.63834325817408477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2.24</v>
      </c>
      <c r="AB456">
        <v>1</v>
      </c>
      <c r="AC456">
        <v>1</v>
      </c>
      <c r="AD456">
        <v>1.0057812623742775</v>
      </c>
      <c r="AE456">
        <v>0</v>
      </c>
      <c r="AF456">
        <v>200000</v>
      </c>
      <c r="AG456">
        <v>16666.666666666668</v>
      </c>
      <c r="AH456">
        <v>1</v>
      </c>
      <c r="AI456">
        <v>1</v>
      </c>
      <c r="AJ456" t="s">
        <v>136</v>
      </c>
      <c r="AK456" t="s">
        <v>137</v>
      </c>
      <c r="AL456">
        <v>0</v>
      </c>
      <c r="AM456" t="s">
        <v>137</v>
      </c>
      <c r="AN456">
        <v>0</v>
      </c>
    </row>
    <row r="457" spans="1:42" ht="12.75">
      <c r="A457" s="2" t="str">
        <f>HYPERLINK("https://ibp.a2mac1.com/costing(costing:projects/details/8191/process/6973921)","Automated Process")</f>
        <v>Automated Process</v>
      </c>
      <c r="C457">
        <v>6973921</v>
      </c>
      <c r="D457">
        <v>5384879</v>
      </c>
      <c r="E457">
        <v>0.107544864</v>
      </c>
      <c r="F457">
        <v>0</v>
      </c>
      <c r="G457">
        <v>0</v>
      </c>
      <c r="H457">
        <v>0.00054554086399999997</v>
      </c>
      <c r="I457" t="s">
        <v>137</v>
      </c>
      <c r="J457">
        <v>0.003773504</v>
      </c>
      <c r="K457">
        <v>0.11186390886399999</v>
      </c>
      <c r="L457">
        <v>0.0035283951048529147</v>
      </c>
      <c r="M457">
        <v>0.021170370629117488</v>
      </c>
      <c r="N457">
        <v>0.1330342794931175</v>
      </c>
      <c r="O457" t="s">
        <v>90</v>
      </c>
      <c r="P457">
        <v>0</v>
      </c>
      <c r="Q457" t="s">
        <v>90</v>
      </c>
      <c r="R457">
        <v>0</v>
      </c>
      <c r="S457" t="s">
        <v>90</v>
      </c>
      <c r="T457">
        <v>0</v>
      </c>
      <c r="U457">
        <v>0.1330342794931175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60</v>
      </c>
      <c r="AB457">
        <v>1</v>
      </c>
      <c r="AC457">
        <v>0.50</v>
      </c>
      <c r="AD457">
        <v>0.50345253019720215</v>
      </c>
      <c r="AE457">
        <v>205.20</v>
      </c>
      <c r="AF457">
        <v>200000</v>
      </c>
      <c r="AG457">
        <v>16666.666666666668</v>
      </c>
      <c r="AH457">
        <v>1</v>
      </c>
      <c r="AI457">
        <v>1</v>
      </c>
      <c r="AJ457" t="s">
        <v>136</v>
      </c>
      <c r="AK457" t="s">
        <v>137</v>
      </c>
      <c r="AL457">
        <v>0</v>
      </c>
      <c r="AM457" t="s">
        <v>137</v>
      </c>
      <c r="AN457">
        <v>0</v>
      </c>
    </row>
    <row r="458" spans="1:42" ht="12.75">
      <c r="A458" s="2" t="str">
        <f>HYPERLINK("https://ibp.a2mac1.com/costing(costing:projects/details/8191/process/6973922)","Automated Process")</f>
        <v>Automated Process</v>
      </c>
      <c r="C458">
        <v>6973922</v>
      </c>
      <c r="D458">
        <v>5384880</v>
      </c>
      <c r="E458">
        <v>0.090564095999999997</v>
      </c>
      <c r="F458">
        <v>0</v>
      </c>
      <c r="G458">
        <v>0</v>
      </c>
      <c r="H458">
        <v>0.00045940283284210526</v>
      </c>
      <c r="I458" t="s">
        <v>137</v>
      </c>
      <c r="J458">
        <v>0.0031776875789473686</v>
      </c>
      <c r="K458">
        <v>0.09420118641178947</v>
      </c>
      <c r="L458">
        <v>0.0029711900487364882</v>
      </c>
      <c r="M458">
        <v>0.017827140292418931</v>
      </c>
      <c r="N458">
        <v>0.1120283267042084</v>
      </c>
      <c r="O458" t="s">
        <v>90</v>
      </c>
      <c r="P458">
        <v>0</v>
      </c>
      <c r="Q458" t="s">
        <v>90</v>
      </c>
      <c r="R458">
        <v>0</v>
      </c>
      <c r="S458" t="s">
        <v>90</v>
      </c>
      <c r="T458">
        <v>0</v>
      </c>
      <c r="U458">
        <v>0.1120283267042084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60</v>
      </c>
      <c r="AB458">
        <v>1</v>
      </c>
      <c r="AC458">
        <v>0.50</v>
      </c>
      <c r="AD458">
        <v>0.50345253019720215</v>
      </c>
      <c r="AE458">
        <v>172.80</v>
      </c>
      <c r="AF458">
        <v>200000</v>
      </c>
      <c r="AG458">
        <v>16666.666666666668</v>
      </c>
      <c r="AH458">
        <v>1</v>
      </c>
      <c r="AI458">
        <v>1</v>
      </c>
      <c r="AJ458" t="s">
        <v>136</v>
      </c>
      <c r="AK458" t="s">
        <v>137</v>
      </c>
      <c r="AL458">
        <v>0</v>
      </c>
      <c r="AM458" t="s">
        <v>137</v>
      </c>
      <c r="AN458">
        <v>0</v>
      </c>
    </row>
    <row r="459" spans="1:42" ht="12.75">
      <c r="A459" s="2" t="str">
        <f>HYPERLINK("https://ibp.a2mac1.com/costing(costing:projects/details/8191/process/6973875)","Automated Process")</f>
        <v>Automated Process</v>
      </c>
      <c r="C459">
        <v>6973875</v>
      </c>
      <c r="D459">
        <v>5384799</v>
      </c>
      <c r="E459">
        <v>14.075143852352941</v>
      </c>
      <c r="F459">
        <v>0</v>
      </c>
      <c r="G459">
        <v>0</v>
      </c>
      <c r="H459">
        <v>0.072015477884705886</v>
      </c>
      <c r="I459" t="s">
        <v>137</v>
      </c>
      <c r="J459">
        <v>0.49813077588235294</v>
      </c>
      <c r="K459">
        <v>14.645290106119999</v>
      </c>
      <c r="L459">
        <v>0.39352044197891867</v>
      </c>
      <c r="M459">
        <v>2.361122651873512</v>
      </c>
      <c r="N459">
        <v>17.006412757993512</v>
      </c>
      <c r="O459" t="s">
        <v>90</v>
      </c>
      <c r="P459">
        <v>0</v>
      </c>
      <c r="Q459" t="s">
        <v>90</v>
      </c>
      <c r="R459">
        <v>0</v>
      </c>
      <c r="S459" t="s">
        <v>90</v>
      </c>
      <c r="T459">
        <v>0</v>
      </c>
      <c r="U459">
        <v>17.006412757993512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60</v>
      </c>
      <c r="AB459">
        <v>1</v>
      </c>
      <c r="AC459">
        <v>0.50</v>
      </c>
      <c r="AD459">
        <v>0.50345253019720215</v>
      </c>
      <c r="AE459">
        <v>22650.30</v>
      </c>
      <c r="AF459">
        <v>200000</v>
      </c>
      <c r="AG459">
        <v>16666.666666666668</v>
      </c>
      <c r="AH459">
        <v>1</v>
      </c>
      <c r="AI459">
        <v>1</v>
      </c>
      <c r="AJ459" t="s">
        <v>136</v>
      </c>
      <c r="AK459" t="s">
        <v>137</v>
      </c>
      <c r="AL459">
        <v>0</v>
      </c>
      <c r="AM459" t="s">
        <v>137</v>
      </c>
      <c r="AN459">
        <v>0</v>
      </c>
    </row>
    <row r="460" spans="1:42" ht="12.75">
      <c r="A460" s="2" t="str">
        <f>HYPERLINK("https://ibp.a2mac1.com/costing(costing:projects/details/8191/process/6973876)","Automated Process")</f>
        <v>Automated Process</v>
      </c>
      <c r="C460">
        <v>6973876</v>
      </c>
      <c r="D460">
        <v>5384800</v>
      </c>
      <c r="E460">
        <v>0.018523861964999999</v>
      </c>
      <c r="F460">
        <v>0</v>
      </c>
      <c r="G460">
        <v>0</v>
      </c>
      <c r="H460">
        <v>9.3594249928421057E-05</v>
      </c>
      <c r="I460" t="s">
        <v>137</v>
      </c>
      <c r="J460">
        <v>0.00064996006894736842</v>
      </c>
      <c r="K460">
        <v>0.01926741628387579</v>
      </c>
      <c r="L460">
        <v>0.00029305967360096697</v>
      </c>
      <c r="M460">
        <v>0.0017583580416058019</v>
      </c>
      <c r="N460">
        <v>0.02102577432548159</v>
      </c>
      <c r="O460" t="s">
        <v>90</v>
      </c>
      <c r="P460">
        <v>0</v>
      </c>
      <c r="Q460" t="s">
        <v>90</v>
      </c>
      <c r="R460">
        <v>0</v>
      </c>
      <c r="S460" t="s">
        <v>90</v>
      </c>
      <c r="T460">
        <v>0</v>
      </c>
      <c r="U460">
        <v>0.02102577432548159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60</v>
      </c>
      <c r="AB460">
        <v>1</v>
      </c>
      <c r="AC460">
        <v>0.50</v>
      </c>
      <c r="AD460">
        <v>0.50147257820584257</v>
      </c>
      <c r="AE460">
        <v>17.10</v>
      </c>
      <c r="AF460">
        <v>600000</v>
      </c>
      <c r="AG460">
        <v>50000</v>
      </c>
      <c r="AH460">
        <v>1</v>
      </c>
      <c r="AI460">
        <v>1</v>
      </c>
      <c r="AJ460" t="s">
        <v>136</v>
      </c>
      <c r="AK460" t="s">
        <v>137</v>
      </c>
      <c r="AL460">
        <v>0</v>
      </c>
      <c r="AM460" t="s">
        <v>137</v>
      </c>
      <c r="AN460">
        <v>0</v>
      </c>
    </row>
    <row r="461" spans="1:42" ht="12.75">
      <c r="A461" s="2" t="str">
        <f>HYPERLINK("https://ibp.a2mac1.com/costing(costing:projects/details/8191/process/6973877)","Automated Process")</f>
        <v>Automated Process</v>
      </c>
      <c r="C461">
        <v>6973877</v>
      </c>
      <c r="D461">
        <v>5384801</v>
      </c>
      <c r="E461">
        <v>0.032582465999999997</v>
      </c>
      <c r="F461">
        <v>0</v>
      </c>
      <c r="G461">
        <v>0</v>
      </c>
      <c r="H461">
        <v>0.00016528047915789475</v>
      </c>
      <c r="I461" t="s">
        <v>137</v>
      </c>
      <c r="J461">
        <v>0.0011432444210526316</v>
      </c>
      <c r="K461">
        <v>0.033890990900210527</v>
      </c>
      <c r="L461">
        <v>0.00083555012730575438</v>
      </c>
      <c r="M461">
        <v>0.0050133007638345261</v>
      </c>
      <c r="N461">
        <v>0.038904291664045056</v>
      </c>
      <c r="O461" t="s">
        <v>90</v>
      </c>
      <c r="P461">
        <v>0</v>
      </c>
      <c r="Q461" t="s">
        <v>90</v>
      </c>
      <c r="R461">
        <v>0</v>
      </c>
      <c r="S461" t="s">
        <v>90</v>
      </c>
      <c r="T461">
        <v>0</v>
      </c>
      <c r="U461">
        <v>0.038904291664045056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60</v>
      </c>
      <c r="AB461">
        <v>1</v>
      </c>
      <c r="AC461">
        <v>0.50</v>
      </c>
      <c r="AD461">
        <v>0.50345253019720215</v>
      </c>
      <c r="AE461">
        <v>48.60</v>
      </c>
      <c r="AF461">
        <v>200000</v>
      </c>
      <c r="AG461">
        <v>16666.666666666668</v>
      </c>
      <c r="AH461">
        <v>1</v>
      </c>
      <c r="AI461">
        <v>1</v>
      </c>
      <c r="AJ461" t="s">
        <v>136</v>
      </c>
      <c r="AK461" t="s">
        <v>137</v>
      </c>
      <c r="AL461">
        <v>0</v>
      </c>
      <c r="AM461" t="s">
        <v>137</v>
      </c>
      <c r="AN461">
        <v>0</v>
      </c>
    </row>
    <row r="462" spans="1:42" ht="12.75">
      <c r="A462" s="2" t="str">
        <f>HYPERLINK("https://ibp.a2mac1.com/costing(costing:projects/details/8191/process/6973923)","Handling/Visual inspection/packaging")</f>
        <v>Handling/Visual inspection/packaging</v>
      </c>
      <c r="C462">
        <v>6973923</v>
      </c>
      <c r="D462">
        <v>5384882</v>
      </c>
      <c r="E462">
        <v>0</v>
      </c>
      <c r="F462">
        <v>0</v>
      </c>
      <c r="G462">
        <v>0</v>
      </c>
      <c r="H462">
        <v>0</v>
      </c>
      <c r="I462" t="s">
        <v>137</v>
      </c>
      <c r="J462">
        <v>0</v>
      </c>
      <c r="K462">
        <v>0</v>
      </c>
      <c r="L462">
        <v>0.0015127816590566289</v>
      </c>
      <c r="M462">
        <v>0.0090766899543397728</v>
      </c>
      <c r="N462">
        <v>0.0090766899543397728</v>
      </c>
      <c r="O462" t="s">
        <v>138</v>
      </c>
      <c r="P462">
        <v>0</v>
      </c>
      <c r="Q462" t="s">
        <v>138</v>
      </c>
      <c r="R462">
        <v>0.0005446013972603864</v>
      </c>
      <c r="S462" t="s">
        <v>139</v>
      </c>
      <c r="T462">
        <v>0.0010892027945207728</v>
      </c>
      <c r="U462">
        <v>0.010710494146120932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5</v>
      </c>
      <c r="AB462">
        <v>1</v>
      </c>
      <c r="AC462">
        <v>0.10</v>
      </c>
      <c r="AD462">
        <v>4.9411585771592614</v>
      </c>
      <c r="AE462">
        <v>900</v>
      </c>
      <c r="AF462">
        <v>200000</v>
      </c>
      <c r="AG462">
        <v>16666.666666666668</v>
      </c>
      <c r="AH462">
        <v>1</v>
      </c>
      <c r="AI462">
        <v>1</v>
      </c>
      <c r="AJ462" t="s">
        <v>136</v>
      </c>
      <c r="AK462" t="s">
        <v>137</v>
      </c>
      <c r="AL462">
        <v>0</v>
      </c>
      <c r="AM462" t="s">
        <v>137</v>
      </c>
      <c r="AN462">
        <v>0</v>
      </c>
    </row>
    <row r="463" spans="1:42" ht="12.75">
      <c r="A463" s="2" t="str">
        <f>HYPERLINK("https://ibp.a2mac1.com/costing(costing:projects/details/8191/process/6973924)","Water jet cutting machine")</f>
        <v>Water jet cutting machine</v>
      </c>
      <c r="C463">
        <v>6973924</v>
      </c>
      <c r="D463">
        <v>5384882</v>
      </c>
      <c r="E463">
        <v>0</v>
      </c>
      <c r="F463">
        <v>0</v>
      </c>
      <c r="G463">
        <v>0</v>
      </c>
      <c r="H463">
        <v>0</v>
      </c>
      <c r="I463" t="s">
        <v>137</v>
      </c>
      <c r="J463">
        <v>0</v>
      </c>
      <c r="K463">
        <v>0</v>
      </c>
      <c r="L463">
        <v>0.51031791415698591</v>
      </c>
      <c r="M463">
        <v>3.0619074849419157</v>
      </c>
      <c r="N463">
        <v>3.0619074849419157</v>
      </c>
      <c r="O463" t="s">
        <v>138</v>
      </c>
      <c r="P463">
        <v>0</v>
      </c>
      <c r="Q463" t="s">
        <v>138</v>
      </c>
      <c r="R463">
        <v>0.18371444909651494</v>
      </c>
      <c r="S463" t="s">
        <v>139</v>
      </c>
      <c r="T463">
        <v>0.36742889819302987</v>
      </c>
      <c r="U463">
        <v>3.6130508322314605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60</v>
      </c>
      <c r="AB463">
        <v>1</v>
      </c>
      <c r="AC463">
        <v>0.10</v>
      </c>
      <c r="AD463">
        <v>4.8434675040441526</v>
      </c>
      <c r="AE463">
        <v>360</v>
      </c>
      <c r="AF463">
        <v>200000</v>
      </c>
      <c r="AG463">
        <v>16666.666666666668</v>
      </c>
      <c r="AH463">
        <v>1</v>
      </c>
      <c r="AI463">
        <v>1</v>
      </c>
      <c r="AJ463" t="s">
        <v>136</v>
      </c>
      <c r="AK463" t="s">
        <v>137</v>
      </c>
      <c r="AL463">
        <v>0</v>
      </c>
      <c r="AM463" t="s">
        <v>137</v>
      </c>
      <c r="AN463">
        <v>0</v>
      </c>
    </row>
    <row r="464" spans="1:42" ht="12.75">
      <c r="A464" s="2" t="str">
        <f>HYPERLINK("https://ibp.a2mac1.com/costing(costing:projects/details/8191/process/6973925)","Foaming")</f>
        <v>Foaming</v>
      </c>
      <c r="C464">
        <v>6973925</v>
      </c>
      <c r="D464">
        <v>5384882</v>
      </c>
      <c r="E464">
        <v>0.11703089277551021</v>
      </c>
      <c r="F464">
        <v>0</v>
      </c>
      <c r="G464">
        <v>0</v>
      </c>
      <c r="H464">
        <v>0.0058363153934693881</v>
      </c>
      <c r="I464" t="s">
        <v>137</v>
      </c>
      <c r="J464">
        <v>0.0041001814285714288</v>
      </c>
      <c r="K464">
        <v>0.12696738959755102</v>
      </c>
      <c r="L464">
        <v>0.05240011007574942</v>
      </c>
      <c r="M464">
        <v>0.31440066045449655</v>
      </c>
      <c r="N464">
        <v>0.44136805005204754</v>
      </c>
      <c r="O464" t="s">
        <v>138</v>
      </c>
      <c r="P464">
        <v>0.007618043375853061</v>
      </c>
      <c r="Q464" t="s">
        <v>138</v>
      </c>
      <c r="R464">
        <v>0.018864039627269791</v>
      </c>
      <c r="S464" t="s">
        <v>139</v>
      </c>
      <c r="T464">
        <v>0.052964166006245705</v>
      </c>
      <c r="U464">
        <v>0.52081429906141607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60</v>
      </c>
      <c r="AB464">
        <v>1</v>
      </c>
      <c r="AC464">
        <v>0.10</v>
      </c>
      <c r="AD464">
        <v>4.745575431978815</v>
      </c>
      <c r="AE464">
        <v>3600</v>
      </c>
      <c r="AF464">
        <v>200000</v>
      </c>
      <c r="AG464">
        <v>16666.666666666668</v>
      </c>
      <c r="AH464">
        <v>1</v>
      </c>
      <c r="AI464">
        <v>1</v>
      </c>
      <c r="AJ464" t="s">
        <v>136</v>
      </c>
      <c r="AK464" t="s">
        <v>137</v>
      </c>
      <c r="AL464">
        <v>0</v>
      </c>
      <c r="AM464" t="s">
        <v>137</v>
      </c>
      <c r="AN464">
        <v>0</v>
      </c>
    </row>
    <row r="465" spans="1:42" ht="12.75">
      <c r="A465" s="2" t="str">
        <f>HYPERLINK("https://ibp.a2mac1.com/costing(costing:projects/details/8191/process/6973926)","Thermocompression")</f>
        <v>Thermocompression</v>
      </c>
      <c r="C465">
        <v>6973926</v>
      </c>
      <c r="D465">
        <v>5384882</v>
      </c>
      <c r="E465">
        <v>0</v>
      </c>
      <c r="F465">
        <v>0</v>
      </c>
      <c r="G465">
        <v>0</v>
      </c>
      <c r="H465">
        <v>0</v>
      </c>
      <c r="I465" t="s">
        <v>137</v>
      </c>
      <c r="J465">
        <v>0</v>
      </c>
      <c r="K465">
        <v>0</v>
      </c>
      <c r="L465">
        <v>0.095151432128197613</v>
      </c>
      <c r="M465">
        <v>0.5709085927691856</v>
      </c>
      <c r="N465">
        <v>0.5709085927691856</v>
      </c>
      <c r="O465" t="s">
        <v>138</v>
      </c>
      <c r="P465">
        <v>0</v>
      </c>
      <c r="Q465" t="s">
        <v>138</v>
      </c>
      <c r="R465">
        <v>0.034254515566151139</v>
      </c>
      <c r="S465" t="s">
        <v>139</v>
      </c>
      <c r="T465">
        <v>0.068509031132302278</v>
      </c>
      <c r="U465">
        <v>0.67367213946763904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68</v>
      </c>
      <c r="AB465">
        <v>1</v>
      </c>
      <c r="AC465">
        <v>2.70</v>
      </c>
      <c r="AD465">
        <v>4.6474817399927533</v>
      </c>
      <c r="AE465">
        <v>60</v>
      </c>
      <c r="AF465">
        <v>200000</v>
      </c>
      <c r="AG465">
        <v>16666.666666666668</v>
      </c>
      <c r="AH465">
        <v>1</v>
      </c>
      <c r="AI465">
        <v>1</v>
      </c>
      <c r="AJ465" t="s">
        <v>79</v>
      </c>
      <c r="AK465" t="s">
        <v>137</v>
      </c>
      <c r="AL465">
        <v>0</v>
      </c>
      <c r="AM465" t="s">
        <v>137</v>
      </c>
      <c r="AN465">
        <v>0</v>
      </c>
    </row>
    <row r="466" spans="1:42" ht="12.75">
      <c r="A466" s="2" t="str">
        <f>HYPERLINK("https://ibp.a2mac1.com/costing(costing:projects/details/8191/process/6973927)","Die cutting")</f>
        <v>Die cutting</v>
      </c>
      <c r="C466">
        <v>6973927</v>
      </c>
      <c r="D466">
        <v>5384882</v>
      </c>
      <c r="E466">
        <v>0.28317122596984001</v>
      </c>
      <c r="F466">
        <v>0</v>
      </c>
      <c r="G466">
        <v>0</v>
      </c>
      <c r="H466">
        <v>0.0057823564343041324</v>
      </c>
      <c r="I466" t="s">
        <v>137</v>
      </c>
      <c r="J466">
        <v>0.0099109929089443993</v>
      </c>
      <c r="K466">
        <v>0.29886457531308852</v>
      </c>
      <c r="L466">
        <v>0.015718308750898493</v>
      </c>
      <c r="M466">
        <v>0.094309852505390951</v>
      </c>
      <c r="N466">
        <v>0.3931744278184795</v>
      </c>
      <c r="O466" t="s">
        <v>138</v>
      </c>
      <c r="P466">
        <v>0.01793187451878531</v>
      </c>
      <c r="Q466" t="s">
        <v>138</v>
      </c>
      <c r="R466">
        <v>0.0056585911503234569</v>
      </c>
      <c r="S466" t="s">
        <v>139</v>
      </c>
      <c r="T466">
        <v>0.04718093133821754</v>
      </c>
      <c r="U466">
        <v>0.46394582482580576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15</v>
      </c>
      <c r="AB466">
        <v>1</v>
      </c>
      <c r="AC466">
        <v>2</v>
      </c>
      <c r="AD466">
        <v>2.001136786813273</v>
      </c>
      <c r="AE466">
        <v>1800</v>
      </c>
      <c r="AF466">
        <v>200000</v>
      </c>
      <c r="AG466">
        <v>16666.666666666668</v>
      </c>
      <c r="AH466">
        <v>1</v>
      </c>
      <c r="AI466">
        <v>1</v>
      </c>
      <c r="AJ466" t="s">
        <v>136</v>
      </c>
      <c r="AK466" t="s">
        <v>137</v>
      </c>
      <c r="AL466">
        <v>0</v>
      </c>
      <c r="AM466" t="s">
        <v>137</v>
      </c>
      <c r="AN466">
        <v>0</v>
      </c>
    </row>
    <row r="467" spans="1:42" ht="12.75">
      <c r="A467" s="2" t="str">
        <f>HYPERLINK("https://ibp.a2mac1.com/costing(costing:projects/details/8191/process/6973928)","Automated Process")</f>
        <v>Automated Process</v>
      </c>
      <c r="C467">
        <v>6973928</v>
      </c>
      <c r="D467">
        <v>5384883</v>
      </c>
      <c r="E467">
        <v>0.061314220000000003</v>
      </c>
      <c r="F467">
        <v>0</v>
      </c>
      <c r="G467">
        <v>0</v>
      </c>
      <c r="H467">
        <v>0.00031024995320000001</v>
      </c>
      <c r="I467" t="s">
        <v>137</v>
      </c>
      <c r="J467">
        <v>0.0021459977</v>
      </c>
      <c r="K467">
        <v>0.063770467653200005</v>
      </c>
      <c r="L467">
        <v>0.012954808617448894</v>
      </c>
      <c r="M467">
        <v>0.077728851704693361</v>
      </c>
      <c r="N467">
        <v>0.14149931935789337</v>
      </c>
      <c r="O467" t="s">
        <v>138</v>
      </c>
      <c r="P467">
        <v>0.0038262280591919999</v>
      </c>
      <c r="Q467" t="s">
        <v>138</v>
      </c>
      <c r="R467">
        <v>0.0046637311022816015</v>
      </c>
      <c r="S467" t="s">
        <v>139</v>
      </c>
      <c r="T467">
        <v>0.016979918322947204</v>
      </c>
      <c r="U467">
        <v>0.16696919684231418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6</v>
      </c>
      <c r="AB467">
        <v>1</v>
      </c>
      <c r="AC467">
        <v>0.50</v>
      </c>
      <c r="AD467">
        <v>0.50345253019720215</v>
      </c>
      <c r="AE467">
        <v>10800</v>
      </c>
      <c r="AF467">
        <v>200000</v>
      </c>
      <c r="AG467">
        <v>16666.666666666668</v>
      </c>
      <c r="AH467">
        <v>1</v>
      </c>
      <c r="AI467">
        <v>1</v>
      </c>
      <c r="AJ467" t="s">
        <v>136</v>
      </c>
      <c r="AK467" t="s">
        <v>137</v>
      </c>
      <c r="AL467">
        <v>0</v>
      </c>
      <c r="AM467" t="s">
        <v>137</v>
      </c>
      <c r="AN467">
        <v>0</v>
      </c>
    </row>
    <row r="468" spans="1:42" ht="12.75">
      <c r="A468" s="2" t="str">
        <f>HYPERLINK("https://ibp.a2mac1.com/costing(costing:projects/details/8191/process/6973929)","Die cutting")</f>
        <v>Die cutting</v>
      </c>
      <c r="C468">
        <v>6973929</v>
      </c>
      <c r="D468">
        <v>5384884</v>
      </c>
      <c r="E468">
        <v>0.46519433999999998</v>
      </c>
      <c r="F468">
        <v>0</v>
      </c>
      <c r="G468">
        <v>0</v>
      </c>
      <c r="H468">
        <v>0.0095470034400000001</v>
      </c>
      <c r="I468" t="s">
        <v>137</v>
      </c>
      <c r="J468">
        <v>0.016363619999999999</v>
      </c>
      <c r="K468">
        <v>0.49110496343999999</v>
      </c>
      <c r="L468">
        <v>0.015718308750898493</v>
      </c>
      <c r="M468">
        <v>0.094309852505390951</v>
      </c>
      <c r="N468">
        <v>0.58541481594539091</v>
      </c>
      <c r="O468" t="s">
        <v>138</v>
      </c>
      <c r="P468">
        <v>0.029466297806400001</v>
      </c>
      <c r="Q468" t="s">
        <v>138</v>
      </c>
      <c r="R468">
        <v>0.0056585911503234569</v>
      </c>
      <c r="S468" t="s">
        <v>139</v>
      </c>
      <c r="T468">
        <v>0.070249777913446915</v>
      </c>
      <c r="U468">
        <v>0.6907894828155613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15</v>
      </c>
      <c r="AB468">
        <v>1</v>
      </c>
      <c r="AC468">
        <v>2</v>
      </c>
      <c r="AD468">
        <v>2.001136786813273</v>
      </c>
      <c r="AE468">
        <v>1800</v>
      </c>
      <c r="AF468">
        <v>200000</v>
      </c>
      <c r="AG468">
        <v>16666.666666666668</v>
      </c>
      <c r="AH468">
        <v>1</v>
      </c>
      <c r="AI468">
        <v>1</v>
      </c>
      <c r="AJ468" t="s">
        <v>136</v>
      </c>
      <c r="AK468" t="s">
        <v>137</v>
      </c>
      <c r="AL468">
        <v>0</v>
      </c>
      <c r="AM468" t="s">
        <v>137</v>
      </c>
      <c r="AN468">
        <v>0</v>
      </c>
    </row>
    <row r="469" spans="1:42" ht="12.75">
      <c r="A469" s="2" t="str">
        <f>HYPERLINK("https://ibp.a2mac1.com/costing(costing:projects/details/8191/process/6973930)","Die Cutting &amp; Sealing")</f>
        <v>Die Cutting &amp; Sealing</v>
      </c>
      <c r="B469" t="s">
        <v>3891</v>
      </c>
      <c r="C469">
        <v>6973930</v>
      </c>
      <c r="D469">
        <v>5384885</v>
      </c>
      <c r="E469">
        <v>1.5226499925000001</v>
      </c>
      <c r="F469">
        <v>0</v>
      </c>
      <c r="G469">
        <v>0</v>
      </c>
      <c r="H469">
        <v>0.015547863239999999</v>
      </c>
      <c r="I469" t="s">
        <v>137</v>
      </c>
      <c r="J469">
        <v>0.053560552499999997</v>
      </c>
      <c r="K469">
        <v>1.59175840824</v>
      </c>
      <c r="L469">
        <v>0.011552869971529035</v>
      </c>
      <c r="M469">
        <v>0.069317219829174215</v>
      </c>
      <c r="N469">
        <v>1.6610756280691743</v>
      </c>
      <c r="O469" t="s">
        <v>138</v>
      </c>
      <c r="P469">
        <v>0.095505504494399998</v>
      </c>
      <c r="Q469" t="s">
        <v>138</v>
      </c>
      <c r="R469">
        <v>0.0041590331897504527</v>
      </c>
      <c r="S469" t="s">
        <v>139</v>
      </c>
      <c r="T469">
        <v>0.19932907536830091</v>
      </c>
      <c r="U469">
        <v>1.9600692411216256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15</v>
      </c>
      <c r="AB469">
        <v>1</v>
      </c>
      <c r="AC469">
        <v>1</v>
      </c>
      <c r="AD469">
        <v>1.0057812623742775</v>
      </c>
      <c r="AE469">
        <v>3600</v>
      </c>
      <c r="AF469">
        <v>200000</v>
      </c>
      <c r="AG469">
        <v>16666.666666666668</v>
      </c>
      <c r="AH469">
        <v>1</v>
      </c>
      <c r="AI469">
        <v>1</v>
      </c>
      <c r="AJ469" t="s">
        <v>136</v>
      </c>
      <c r="AK469" t="s">
        <v>137</v>
      </c>
      <c r="AL469">
        <v>0</v>
      </c>
      <c r="AM469" t="s">
        <v>137</v>
      </c>
      <c r="AN469">
        <v>0</v>
      </c>
    </row>
    <row r="470" spans="1:42" ht="12.75">
      <c r="A470" s="2" t="str">
        <f>HYPERLINK("https://ibp.a2mac1.com/costing(costing:projects/details/8191/process/6973931)","Die cutting")</f>
        <v>Die cutting</v>
      </c>
      <c r="C470">
        <v>6973931</v>
      </c>
      <c r="D470">
        <v>5384886</v>
      </c>
      <c r="E470">
        <v>1.155</v>
      </c>
      <c r="F470">
        <v>0</v>
      </c>
      <c r="G470">
        <v>0</v>
      </c>
      <c r="H470">
        <v>0.023585100000000001</v>
      </c>
      <c r="I470" t="s">
        <v>137</v>
      </c>
      <c r="J470">
        <v>0.040425000000000003</v>
      </c>
      <c r="K470">
        <v>1.2190101</v>
      </c>
      <c r="L470">
        <v>0.015718308750898493</v>
      </c>
      <c r="M470">
        <v>0.094309852505390951</v>
      </c>
      <c r="N470">
        <v>1.3133199525053909</v>
      </c>
      <c r="O470" t="s">
        <v>138</v>
      </c>
      <c r="P470">
        <v>0.073140605999999997</v>
      </c>
      <c r="Q470" t="s">
        <v>138</v>
      </c>
      <c r="R470">
        <v>0.0056585911503234569</v>
      </c>
      <c r="S470" t="s">
        <v>139</v>
      </c>
      <c r="T470">
        <v>0.15759839430064693</v>
      </c>
      <c r="U470">
        <v>1.5497175439563613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15</v>
      </c>
      <c r="AB470">
        <v>1</v>
      </c>
      <c r="AC470">
        <v>2</v>
      </c>
      <c r="AD470">
        <v>2.001136786813273</v>
      </c>
      <c r="AE470">
        <v>1800</v>
      </c>
      <c r="AF470">
        <v>200000</v>
      </c>
      <c r="AG470">
        <v>16666.666666666668</v>
      </c>
      <c r="AH470">
        <v>1</v>
      </c>
      <c r="AI470">
        <v>1</v>
      </c>
      <c r="AJ470" t="s">
        <v>136</v>
      </c>
      <c r="AK470" t="s">
        <v>137</v>
      </c>
      <c r="AL470">
        <v>0</v>
      </c>
      <c r="AM470" t="s">
        <v>137</v>
      </c>
      <c r="AN470">
        <v>0</v>
      </c>
    </row>
    <row r="471" spans="1:42" ht="12.75">
      <c r="A471" s="2" t="str">
        <f>HYPERLINK("https://ibp.a2mac1.com/costing(costing:projects/details/8191/process/6973932)","Die cutting")</f>
        <v>Die cutting</v>
      </c>
      <c r="C471">
        <v>6973932</v>
      </c>
      <c r="D471">
        <v>5384887</v>
      </c>
      <c r="E471">
        <v>0.45650000000000002</v>
      </c>
      <c r="F471">
        <v>0</v>
      </c>
      <c r="G471">
        <v>0</v>
      </c>
      <c r="H471">
        <v>0.0093217300000000003</v>
      </c>
      <c r="I471" t="s">
        <v>137</v>
      </c>
      <c r="J471">
        <v>0.015977499999999999</v>
      </c>
      <c r="K471">
        <v>0.48179923000000002</v>
      </c>
      <c r="L471">
        <v>0.015718308750898493</v>
      </c>
      <c r="M471">
        <v>0.094309852505390951</v>
      </c>
      <c r="N471">
        <v>0.57610908250539095</v>
      </c>
      <c r="O471" t="s">
        <v>138</v>
      </c>
      <c r="P471">
        <v>0.0289079538</v>
      </c>
      <c r="Q471" t="s">
        <v>138</v>
      </c>
      <c r="R471">
        <v>0.0056585911503234569</v>
      </c>
      <c r="S471" t="s">
        <v>139</v>
      </c>
      <c r="T471">
        <v>0.069133089900646913</v>
      </c>
      <c r="U471">
        <v>0.67980871735636128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15</v>
      </c>
      <c r="AB471">
        <v>1</v>
      </c>
      <c r="AC471">
        <v>2</v>
      </c>
      <c r="AD471">
        <v>2.001136786813273</v>
      </c>
      <c r="AE471">
        <v>1800</v>
      </c>
      <c r="AF471">
        <v>200000</v>
      </c>
      <c r="AG471">
        <v>16666.666666666668</v>
      </c>
      <c r="AH471">
        <v>1</v>
      </c>
      <c r="AI471">
        <v>1</v>
      </c>
      <c r="AJ471" t="s">
        <v>136</v>
      </c>
      <c r="AK471" t="s">
        <v>137</v>
      </c>
      <c r="AL471">
        <v>0</v>
      </c>
      <c r="AM471" t="s">
        <v>137</v>
      </c>
      <c r="AN471">
        <v>0</v>
      </c>
    </row>
    <row r="472" spans="1:42" ht="12.75">
      <c r="A472" s="2" t="str">
        <f>HYPERLINK("https://ibp.a2mac1.com/costing(costing:projects/details/8191/process/6973933)","Die cutting")</f>
        <v>Die cutting</v>
      </c>
      <c r="C472">
        <v>6973933</v>
      </c>
      <c r="D472">
        <v>5384888</v>
      </c>
      <c r="E472">
        <v>0.308</v>
      </c>
      <c r="F472">
        <v>0</v>
      </c>
      <c r="G472">
        <v>0</v>
      </c>
      <c r="H472">
        <v>0.0062893599999999999</v>
      </c>
      <c r="I472" t="s">
        <v>137</v>
      </c>
      <c r="J472">
        <v>0.01078</v>
      </c>
      <c r="K472">
        <v>0.32506935999999997</v>
      </c>
      <c r="L472">
        <v>0.015718308750898493</v>
      </c>
      <c r="M472">
        <v>0.094309852505390951</v>
      </c>
      <c r="N472">
        <v>0.41937921250539095</v>
      </c>
      <c r="O472" t="s">
        <v>138</v>
      </c>
      <c r="P472">
        <v>0.0195041616</v>
      </c>
      <c r="Q472" t="s">
        <v>138</v>
      </c>
      <c r="R472">
        <v>0.0056585911503234569</v>
      </c>
      <c r="S472" t="s">
        <v>139</v>
      </c>
      <c r="T472">
        <v>0.050325505500646912</v>
      </c>
      <c r="U472">
        <v>0.49486747075636134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15</v>
      </c>
      <c r="AB472">
        <v>1</v>
      </c>
      <c r="AC472">
        <v>2</v>
      </c>
      <c r="AD472">
        <v>2.001136786813273</v>
      </c>
      <c r="AE472">
        <v>1800</v>
      </c>
      <c r="AF472">
        <v>200000</v>
      </c>
      <c r="AG472">
        <v>16666.666666666668</v>
      </c>
      <c r="AH472">
        <v>1</v>
      </c>
      <c r="AI472">
        <v>1</v>
      </c>
      <c r="AJ472" t="s">
        <v>136</v>
      </c>
      <c r="AK472" t="s">
        <v>137</v>
      </c>
      <c r="AL472">
        <v>0</v>
      </c>
      <c r="AM472" t="s">
        <v>137</v>
      </c>
      <c r="AN472">
        <v>0</v>
      </c>
    </row>
    <row r="473" spans="1:42" ht="12.75">
      <c r="A473" s="2" t="str">
        <f>HYPERLINK("https://ibp.a2mac1.com/costing(costing:projects/details/8191/process/6973934)","Die cutting")</f>
        <v>Die cutting</v>
      </c>
      <c r="C473">
        <v>6973934</v>
      </c>
      <c r="D473">
        <v>5384889</v>
      </c>
      <c r="E473">
        <v>0.030151484999999999</v>
      </c>
      <c r="F473">
        <v>0</v>
      </c>
      <c r="G473">
        <v>0</v>
      </c>
      <c r="H473">
        <v>0.00061878726000000003</v>
      </c>
      <c r="I473" t="s">
        <v>137</v>
      </c>
      <c r="J473">
        <v>0.0010606050000000001</v>
      </c>
      <c r="K473">
        <v>0.031830877260000001</v>
      </c>
      <c r="L473">
        <v>0.015712859766847623</v>
      </c>
      <c r="M473">
        <v>0.094277158601085737</v>
      </c>
      <c r="N473">
        <v>0.12610803586108574</v>
      </c>
      <c r="O473" t="s">
        <v>138</v>
      </c>
      <c r="P473">
        <v>0.0019098526356</v>
      </c>
      <c r="Q473" t="s">
        <v>138</v>
      </c>
      <c r="R473">
        <v>0.0056566295160651444</v>
      </c>
      <c r="S473" t="s">
        <v>139</v>
      </c>
      <c r="T473">
        <v>0.015132964303330288</v>
      </c>
      <c r="U473">
        <v>0.14880748231608118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15</v>
      </c>
      <c r="AB473">
        <v>1</v>
      </c>
      <c r="AC473">
        <v>2</v>
      </c>
      <c r="AD473">
        <v>2.001136786813273</v>
      </c>
      <c r="AE473">
        <v>1800</v>
      </c>
      <c r="AF473">
        <v>400000</v>
      </c>
      <c r="AG473">
        <v>33333.333333333336</v>
      </c>
      <c r="AH473">
        <v>1</v>
      </c>
      <c r="AI473">
        <v>1</v>
      </c>
      <c r="AJ473" t="s">
        <v>136</v>
      </c>
      <c r="AK473" t="s">
        <v>137</v>
      </c>
      <c r="AL473">
        <v>0</v>
      </c>
      <c r="AM473" t="s">
        <v>137</v>
      </c>
      <c r="AN473">
        <v>0</v>
      </c>
    </row>
    <row r="474" spans="1:42" ht="12.75">
      <c r="A474" s="2" t="str">
        <f>HYPERLINK("https://ibp.a2mac1.com/costing(costing:projects/details/8191/process/6973935)","Die cutting")</f>
        <v>Die cutting</v>
      </c>
      <c r="C474">
        <v>6973935</v>
      </c>
      <c r="D474">
        <v>5384890</v>
      </c>
      <c r="E474">
        <v>0.23100000000000001</v>
      </c>
      <c r="F474">
        <v>0</v>
      </c>
      <c r="G474">
        <v>0</v>
      </c>
      <c r="H474">
        <v>0.0047170199999999997</v>
      </c>
      <c r="I474" t="s">
        <v>137</v>
      </c>
      <c r="J474">
        <v>0.0080850000000000002</v>
      </c>
      <c r="K474">
        <v>0.24380202000000001</v>
      </c>
      <c r="L474">
        <v>0.015712859766847623</v>
      </c>
      <c r="M474">
        <v>0.094277158601085737</v>
      </c>
      <c r="N474">
        <v>0.33807917860108572</v>
      </c>
      <c r="O474" t="s">
        <v>138</v>
      </c>
      <c r="P474">
        <v>0.0146281212</v>
      </c>
      <c r="Q474" t="s">
        <v>138</v>
      </c>
      <c r="R474">
        <v>0.0056566295160651444</v>
      </c>
      <c r="S474" t="s">
        <v>139</v>
      </c>
      <c r="T474">
        <v>0.040569501432130291</v>
      </c>
      <c r="U474">
        <v>0.39893343074928117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15</v>
      </c>
      <c r="AB474">
        <v>1</v>
      </c>
      <c r="AC474">
        <v>2</v>
      </c>
      <c r="AD474">
        <v>2.001136786813273</v>
      </c>
      <c r="AE474">
        <v>1800</v>
      </c>
      <c r="AF474">
        <v>400000</v>
      </c>
      <c r="AG474">
        <v>33333.333333333336</v>
      </c>
      <c r="AH474">
        <v>1</v>
      </c>
      <c r="AI474">
        <v>1</v>
      </c>
      <c r="AJ474" t="s">
        <v>136</v>
      </c>
      <c r="AK474" t="s">
        <v>137</v>
      </c>
      <c r="AL474">
        <v>0</v>
      </c>
      <c r="AM474" t="s">
        <v>137</v>
      </c>
      <c r="AN474">
        <v>0</v>
      </c>
    </row>
    <row r="475" spans="1:42" ht="12.75">
      <c r="A475" s="2" t="str">
        <f>HYPERLINK("https://ibp.a2mac1.com/costing(costing:projects/details/8191/process/6973936)","Die cutting")</f>
        <v>Die cutting</v>
      </c>
      <c r="C475">
        <v>6973936</v>
      </c>
      <c r="D475">
        <v>5384891</v>
      </c>
      <c r="E475">
        <v>0.28050000000000003</v>
      </c>
      <c r="F475">
        <v>0</v>
      </c>
      <c r="G475">
        <v>0</v>
      </c>
      <c r="H475">
        <v>0.0057278099999999998</v>
      </c>
      <c r="I475" t="s">
        <v>137</v>
      </c>
      <c r="J475">
        <v>0.0098174999999999998</v>
      </c>
      <c r="K475">
        <v>0.29604531000000001</v>
      </c>
      <c r="L475">
        <v>0.015718308750898493</v>
      </c>
      <c r="M475">
        <v>0.094309852505390951</v>
      </c>
      <c r="N475">
        <v>0.39035516250539093</v>
      </c>
      <c r="O475" t="s">
        <v>138</v>
      </c>
      <c r="P475">
        <v>0.017762718600000001</v>
      </c>
      <c r="Q475" t="s">
        <v>138</v>
      </c>
      <c r="R475">
        <v>0.0056585911503234569</v>
      </c>
      <c r="S475" t="s">
        <v>139</v>
      </c>
      <c r="T475">
        <v>0.046842619500646915</v>
      </c>
      <c r="U475">
        <v>0.46061909175636134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15</v>
      </c>
      <c r="AB475">
        <v>1</v>
      </c>
      <c r="AC475">
        <v>2</v>
      </c>
      <c r="AD475">
        <v>2.001136786813273</v>
      </c>
      <c r="AE475">
        <v>1800</v>
      </c>
      <c r="AF475">
        <v>200000</v>
      </c>
      <c r="AG475">
        <v>16666.666666666668</v>
      </c>
      <c r="AH475">
        <v>1</v>
      </c>
      <c r="AI475">
        <v>1</v>
      </c>
      <c r="AJ475" t="s">
        <v>136</v>
      </c>
      <c r="AK475" t="s">
        <v>137</v>
      </c>
      <c r="AL475">
        <v>0</v>
      </c>
      <c r="AM475" t="s">
        <v>137</v>
      </c>
      <c r="AN475">
        <v>0</v>
      </c>
    </row>
    <row r="476" spans="1:42" ht="12.75">
      <c r="A476" s="2" t="str">
        <f>HYPERLINK("https://ibp.a2mac1.com/costing(costing:projects/details/8191/process/6973937)","Die cutting")</f>
        <v>Die cutting</v>
      </c>
      <c r="C476">
        <v>6973937</v>
      </c>
      <c r="D476">
        <v>5384892</v>
      </c>
      <c r="E476">
        <v>0.31900000000000001</v>
      </c>
      <c r="F476">
        <v>0</v>
      </c>
      <c r="G476">
        <v>0</v>
      </c>
      <c r="H476">
        <v>0.0065139799999999999</v>
      </c>
      <c r="I476" t="s">
        <v>137</v>
      </c>
      <c r="J476">
        <v>0.011165</v>
      </c>
      <c r="K476">
        <v>0.33667898000000002</v>
      </c>
      <c r="L476">
        <v>0.015718308750898493</v>
      </c>
      <c r="M476">
        <v>0.094309852505390951</v>
      </c>
      <c r="N476">
        <v>0.43098883250539094</v>
      </c>
      <c r="O476" t="s">
        <v>138</v>
      </c>
      <c r="P476">
        <v>0.0202007388</v>
      </c>
      <c r="Q476" t="s">
        <v>138</v>
      </c>
      <c r="R476">
        <v>0.0056585911503234569</v>
      </c>
      <c r="S476" t="s">
        <v>139</v>
      </c>
      <c r="T476">
        <v>0.051718659900646911</v>
      </c>
      <c r="U476">
        <v>0.5085668223563613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15</v>
      </c>
      <c r="AB476">
        <v>1</v>
      </c>
      <c r="AC476">
        <v>2</v>
      </c>
      <c r="AD476">
        <v>2.001136786813273</v>
      </c>
      <c r="AE476">
        <v>1800</v>
      </c>
      <c r="AF476">
        <v>200000</v>
      </c>
      <c r="AG476">
        <v>16666.666666666668</v>
      </c>
      <c r="AH476">
        <v>1</v>
      </c>
      <c r="AI476">
        <v>1</v>
      </c>
      <c r="AJ476" t="s">
        <v>136</v>
      </c>
      <c r="AK476" t="s">
        <v>137</v>
      </c>
      <c r="AL476">
        <v>0</v>
      </c>
      <c r="AM476" t="s">
        <v>137</v>
      </c>
      <c r="AN476">
        <v>0</v>
      </c>
    </row>
    <row r="477" spans="1:42" ht="12.75">
      <c r="A477" s="2" t="str">
        <f>HYPERLINK("https://ibp.a2mac1.com/costing(costing:projects/details/8191/process/6973938)","Die cutting")</f>
        <v>Die cutting</v>
      </c>
      <c r="C477">
        <v>6973938</v>
      </c>
      <c r="D477">
        <v>5384893</v>
      </c>
      <c r="E477">
        <v>0.45650000000000002</v>
      </c>
      <c r="F477">
        <v>0</v>
      </c>
      <c r="G477">
        <v>0</v>
      </c>
      <c r="H477">
        <v>0.0093217300000000003</v>
      </c>
      <c r="I477" t="s">
        <v>137</v>
      </c>
      <c r="J477">
        <v>0.015977499999999999</v>
      </c>
      <c r="K477">
        <v>0.48179923000000002</v>
      </c>
      <c r="L477">
        <v>0.015712859766847623</v>
      </c>
      <c r="M477">
        <v>0.094277158601085737</v>
      </c>
      <c r="N477">
        <v>0.57607638860108579</v>
      </c>
      <c r="O477" t="s">
        <v>138</v>
      </c>
      <c r="P477">
        <v>0.0289079538</v>
      </c>
      <c r="Q477" t="s">
        <v>138</v>
      </c>
      <c r="R477">
        <v>0.0056566295160651444</v>
      </c>
      <c r="S477" t="s">
        <v>139</v>
      </c>
      <c r="T477">
        <v>0.069129166632130284</v>
      </c>
      <c r="U477">
        <v>0.67977013854928114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15</v>
      </c>
      <c r="AB477">
        <v>1</v>
      </c>
      <c r="AC477">
        <v>2</v>
      </c>
      <c r="AD477">
        <v>2.001136786813273</v>
      </c>
      <c r="AE477">
        <v>1800</v>
      </c>
      <c r="AF477">
        <v>400000</v>
      </c>
      <c r="AG477">
        <v>33333.333333333336</v>
      </c>
      <c r="AH477">
        <v>1</v>
      </c>
      <c r="AI477">
        <v>1</v>
      </c>
      <c r="AJ477" t="s">
        <v>136</v>
      </c>
      <c r="AK477" t="s">
        <v>137</v>
      </c>
      <c r="AL477">
        <v>0</v>
      </c>
      <c r="AM477" t="s">
        <v>137</v>
      </c>
      <c r="AN477">
        <v>0</v>
      </c>
    </row>
    <row r="478" spans="1:42" ht="12.75">
      <c r="A478" s="2" t="str">
        <f>HYPERLINK("https://ibp.a2mac1.com/costing(costing:projects/details/8191/process/6973939)","Die cutting")</f>
        <v>Die cutting</v>
      </c>
      <c r="C478">
        <v>6973939</v>
      </c>
      <c r="D478">
        <v>5384894</v>
      </c>
      <c r="E478">
        <v>0.4328891775</v>
      </c>
      <c r="F478">
        <v>0</v>
      </c>
      <c r="G478">
        <v>0</v>
      </c>
      <c r="H478">
        <v>0.0088840170899999998</v>
      </c>
      <c r="I478" t="s">
        <v>137</v>
      </c>
      <c r="J478">
        <v>0.015227257500000001</v>
      </c>
      <c r="K478">
        <v>0.45700045209000001</v>
      </c>
      <c r="L478">
        <v>0.015712859766847623</v>
      </c>
      <c r="M478">
        <v>0.094277158601085737</v>
      </c>
      <c r="N478">
        <v>0.55127761069108572</v>
      </c>
      <c r="O478" t="s">
        <v>138</v>
      </c>
      <c r="P478">
        <v>0.027420027125399999</v>
      </c>
      <c r="Q478" t="s">
        <v>138</v>
      </c>
      <c r="R478">
        <v>0.0056566295160651444</v>
      </c>
      <c r="S478" t="s">
        <v>139</v>
      </c>
      <c r="T478">
        <v>0.066153313282930296</v>
      </c>
      <c r="U478">
        <v>0.6505075806154812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15</v>
      </c>
      <c r="AB478">
        <v>1</v>
      </c>
      <c r="AC478">
        <v>2</v>
      </c>
      <c r="AD478">
        <v>2.001136786813273</v>
      </c>
      <c r="AE478">
        <v>1800</v>
      </c>
      <c r="AF478">
        <v>400000</v>
      </c>
      <c r="AG478">
        <v>33333.333333333336</v>
      </c>
      <c r="AH478">
        <v>1</v>
      </c>
      <c r="AI478">
        <v>1</v>
      </c>
      <c r="AJ478" t="s">
        <v>136</v>
      </c>
      <c r="AK478" t="s">
        <v>137</v>
      </c>
      <c r="AL478">
        <v>0</v>
      </c>
      <c r="AM478" t="s">
        <v>137</v>
      </c>
      <c r="AN478">
        <v>0</v>
      </c>
    </row>
    <row r="479" spans="1:42" ht="12.75">
      <c r="A479" s="2" t="str">
        <f>HYPERLINK("https://ibp.a2mac1.com/costing(costing:projects/details/8191/process/6973940)","Die cutting")</f>
        <v>Die cutting</v>
      </c>
      <c r="C479">
        <v>6973940</v>
      </c>
      <c r="D479">
        <v>5384895</v>
      </c>
      <c r="E479">
        <v>0.2354</v>
      </c>
      <c r="F479">
        <v>0</v>
      </c>
      <c r="G479">
        <v>0</v>
      </c>
      <c r="H479">
        <v>0.0048068679999999997</v>
      </c>
      <c r="I479" t="s">
        <v>137</v>
      </c>
      <c r="J479">
        <v>0.0082389999999999998</v>
      </c>
      <c r="K479">
        <v>0.24844586799999999</v>
      </c>
      <c r="L479">
        <v>0.015712859766847623</v>
      </c>
      <c r="M479">
        <v>0.094277158601085737</v>
      </c>
      <c r="N479">
        <v>0.34272302660108572</v>
      </c>
      <c r="O479" t="s">
        <v>138</v>
      </c>
      <c r="P479">
        <v>0.01490675208</v>
      </c>
      <c r="Q479" t="s">
        <v>138</v>
      </c>
      <c r="R479">
        <v>0.0056566295160651444</v>
      </c>
      <c r="S479" t="s">
        <v>139</v>
      </c>
      <c r="T479">
        <v>0.041126763192130288</v>
      </c>
      <c r="U479">
        <v>0.40441317138928118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15</v>
      </c>
      <c r="AB479">
        <v>1</v>
      </c>
      <c r="AC479">
        <v>2</v>
      </c>
      <c r="AD479">
        <v>2.001136786813273</v>
      </c>
      <c r="AE479">
        <v>1800</v>
      </c>
      <c r="AF479">
        <v>400000</v>
      </c>
      <c r="AG479">
        <v>33333.333333333336</v>
      </c>
      <c r="AH479">
        <v>1</v>
      </c>
      <c r="AI479">
        <v>1</v>
      </c>
      <c r="AJ479" t="s">
        <v>136</v>
      </c>
      <c r="AK479" t="s">
        <v>137</v>
      </c>
      <c r="AL479">
        <v>0</v>
      </c>
      <c r="AM479" t="s">
        <v>137</v>
      </c>
      <c r="AN479">
        <v>0</v>
      </c>
    </row>
    <row r="480" spans="1:42" ht="12.75">
      <c r="A480" s="2" t="str">
        <f>HYPERLINK("https://ibp.a2mac1.com/costing(costing:projects/details/8191/process/6973941)","Die cutting")</f>
        <v>Die cutting</v>
      </c>
      <c r="C480">
        <v>6973941</v>
      </c>
      <c r="D480">
        <v>5384896</v>
      </c>
      <c r="E480">
        <v>0.075249999999999997</v>
      </c>
      <c r="F480">
        <v>0</v>
      </c>
      <c r="G480">
        <v>0</v>
      </c>
      <c r="H480">
        <v>0.0015366049999999999</v>
      </c>
      <c r="I480" t="s">
        <v>137</v>
      </c>
      <c r="J480">
        <v>0.0026337499999999998</v>
      </c>
      <c r="K480">
        <v>0.079420354999999998</v>
      </c>
      <c r="L480">
        <v>0.015718308750898493</v>
      </c>
      <c r="M480">
        <v>0.094309852505390951</v>
      </c>
      <c r="N480">
        <v>0.17373020750539095</v>
      </c>
      <c r="O480" t="s">
        <v>138</v>
      </c>
      <c r="P480">
        <v>0.0047652212999999997</v>
      </c>
      <c r="Q480" t="s">
        <v>138</v>
      </c>
      <c r="R480">
        <v>0.0056585911503234569</v>
      </c>
      <c r="S480" t="s">
        <v>139</v>
      </c>
      <c r="T480">
        <v>0.020847624900646913</v>
      </c>
      <c r="U480">
        <v>0.20500164485636133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15</v>
      </c>
      <c r="AB480">
        <v>1</v>
      </c>
      <c r="AC480">
        <v>2</v>
      </c>
      <c r="AD480">
        <v>2.001136786813273</v>
      </c>
      <c r="AE480">
        <v>1800</v>
      </c>
      <c r="AF480">
        <v>200000</v>
      </c>
      <c r="AG480">
        <v>16666.666666666668</v>
      </c>
      <c r="AH480">
        <v>1</v>
      </c>
      <c r="AI480">
        <v>1</v>
      </c>
      <c r="AJ480" t="s">
        <v>136</v>
      </c>
      <c r="AK480" t="s">
        <v>137</v>
      </c>
      <c r="AL480">
        <v>0</v>
      </c>
      <c r="AM480" t="s">
        <v>137</v>
      </c>
      <c r="AN480">
        <v>0</v>
      </c>
    </row>
    <row r="481" spans="1:42" ht="12.75">
      <c r="A481" s="2" t="str">
        <f>HYPERLINK("https://ibp.a2mac1.com/costing(costing:projects/details/8191/process/6973942)","Die cutting")</f>
        <v>Die cutting</v>
      </c>
      <c r="C481">
        <v>6973942</v>
      </c>
      <c r="D481">
        <v>5384897</v>
      </c>
      <c r="E481">
        <v>0.075249999999999997</v>
      </c>
      <c r="F481">
        <v>0</v>
      </c>
      <c r="G481">
        <v>0</v>
      </c>
      <c r="H481">
        <v>0.0015366049999999999</v>
      </c>
      <c r="I481" t="s">
        <v>137</v>
      </c>
      <c r="J481">
        <v>0.0026337499999999998</v>
      </c>
      <c r="K481">
        <v>0.079420354999999998</v>
      </c>
      <c r="L481">
        <v>0.015718308750898493</v>
      </c>
      <c r="M481">
        <v>0.094309852505390951</v>
      </c>
      <c r="N481">
        <v>0.17373020750539095</v>
      </c>
      <c r="O481" t="s">
        <v>138</v>
      </c>
      <c r="P481">
        <v>0.0047652212999999997</v>
      </c>
      <c r="Q481" t="s">
        <v>138</v>
      </c>
      <c r="R481">
        <v>0.0056585911503234569</v>
      </c>
      <c r="S481" t="s">
        <v>139</v>
      </c>
      <c r="T481">
        <v>0.020847624900646913</v>
      </c>
      <c r="U481">
        <v>0.20500164485636133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15</v>
      </c>
      <c r="AB481">
        <v>1</v>
      </c>
      <c r="AC481">
        <v>2</v>
      </c>
      <c r="AD481">
        <v>2.001136786813273</v>
      </c>
      <c r="AE481">
        <v>1800</v>
      </c>
      <c r="AF481">
        <v>200000</v>
      </c>
      <c r="AG481">
        <v>16666.666666666668</v>
      </c>
      <c r="AH481">
        <v>1</v>
      </c>
      <c r="AI481">
        <v>1</v>
      </c>
      <c r="AJ481" t="s">
        <v>136</v>
      </c>
      <c r="AK481" t="s">
        <v>137</v>
      </c>
      <c r="AL481">
        <v>0</v>
      </c>
      <c r="AM481" t="s">
        <v>137</v>
      </c>
      <c r="AN481">
        <v>0</v>
      </c>
    </row>
    <row r="482" spans="1:42" ht="12.75">
      <c r="A482" s="2" t="str">
        <f>HYPERLINK("https://ibp.a2mac1.com/costing(costing:projects/details/8191/process/6973943)","Die cutting")</f>
        <v>Die cutting</v>
      </c>
      <c r="C482">
        <v>6973943</v>
      </c>
      <c r="D482">
        <v>5384898</v>
      </c>
      <c r="E482">
        <v>0.121</v>
      </c>
      <c r="F482">
        <v>0</v>
      </c>
      <c r="G482">
        <v>0</v>
      </c>
      <c r="H482">
        <v>0.0024708199999999999</v>
      </c>
      <c r="I482" t="s">
        <v>137</v>
      </c>
      <c r="J482">
        <v>0.004235</v>
      </c>
      <c r="K482">
        <v>0.12770582</v>
      </c>
      <c r="L482">
        <v>0.015712859766847623</v>
      </c>
      <c r="M482">
        <v>0.094277158601085737</v>
      </c>
      <c r="N482">
        <v>0.22198297860108573</v>
      </c>
      <c r="O482" t="s">
        <v>138</v>
      </c>
      <c r="P482">
        <v>0.0076623491999999998</v>
      </c>
      <c r="Q482" t="s">
        <v>138</v>
      </c>
      <c r="R482">
        <v>0.0056566295160651444</v>
      </c>
      <c r="S482" t="s">
        <v>139</v>
      </c>
      <c r="T482">
        <v>0.02663795743213029</v>
      </c>
      <c r="U482">
        <v>0.26193991474928119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15</v>
      </c>
      <c r="AB482">
        <v>1</v>
      </c>
      <c r="AC482">
        <v>2</v>
      </c>
      <c r="AD482">
        <v>2.001136786813273</v>
      </c>
      <c r="AE482">
        <v>1800</v>
      </c>
      <c r="AF482">
        <v>400000</v>
      </c>
      <c r="AG482">
        <v>33333.333333333336</v>
      </c>
      <c r="AH482">
        <v>1</v>
      </c>
      <c r="AI482">
        <v>1</v>
      </c>
      <c r="AJ482" t="s">
        <v>136</v>
      </c>
      <c r="AK482" t="s">
        <v>137</v>
      </c>
      <c r="AL482">
        <v>0</v>
      </c>
      <c r="AM482" t="s">
        <v>137</v>
      </c>
      <c r="AN482">
        <v>0</v>
      </c>
    </row>
    <row r="483" spans="1:42" ht="12.75">
      <c r="A483" s="2" t="str">
        <f>HYPERLINK("https://ibp.a2mac1.com/costing(costing:projects/details/8191/process/6973944)","Die cutting")</f>
        <v>Die cutting</v>
      </c>
      <c r="C483">
        <v>6973944</v>
      </c>
      <c r="D483">
        <v>5384899</v>
      </c>
      <c r="E483">
        <v>1.76</v>
      </c>
      <c r="F483">
        <v>0</v>
      </c>
      <c r="G483">
        <v>0</v>
      </c>
      <c r="H483">
        <v>0.035939199999999998</v>
      </c>
      <c r="I483" t="s">
        <v>137</v>
      </c>
      <c r="J483">
        <v>0.061600000000000002</v>
      </c>
      <c r="K483">
        <v>1.8575391999999999</v>
      </c>
      <c r="L483">
        <v>0.015718308750898493</v>
      </c>
      <c r="M483">
        <v>0.094309852505390951</v>
      </c>
      <c r="N483">
        <v>1.9518490525053909</v>
      </c>
      <c r="O483" t="s">
        <v>138</v>
      </c>
      <c r="P483">
        <v>0.111452352</v>
      </c>
      <c r="Q483" t="s">
        <v>138</v>
      </c>
      <c r="R483">
        <v>0.0056585911503234569</v>
      </c>
      <c r="S483" t="s">
        <v>139</v>
      </c>
      <c r="T483">
        <v>0.23422188630064691</v>
      </c>
      <c r="U483">
        <v>2.3031818819563612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15</v>
      </c>
      <c r="AB483">
        <v>1</v>
      </c>
      <c r="AC483">
        <v>2</v>
      </c>
      <c r="AD483">
        <v>2.001136786813273</v>
      </c>
      <c r="AE483">
        <v>1800</v>
      </c>
      <c r="AF483">
        <v>200000</v>
      </c>
      <c r="AG483">
        <v>16666.666666666668</v>
      </c>
      <c r="AH483">
        <v>1</v>
      </c>
      <c r="AI483">
        <v>1</v>
      </c>
      <c r="AJ483" t="s">
        <v>136</v>
      </c>
      <c r="AK483" t="s">
        <v>137</v>
      </c>
      <c r="AL483">
        <v>0</v>
      </c>
      <c r="AM483" t="s">
        <v>137</v>
      </c>
      <c r="AN483">
        <v>0</v>
      </c>
    </row>
    <row r="484" spans="1:42" ht="12.75">
      <c r="A484" s="2" t="str">
        <f>HYPERLINK("https://ibp.a2mac1.com/costing(costing:projects/details/8191/process/6973945)","Die cutting")</f>
        <v>Die cutting</v>
      </c>
      <c r="C484">
        <v>6973945</v>
      </c>
      <c r="D484">
        <v>5384900</v>
      </c>
      <c r="E484">
        <v>1.76</v>
      </c>
      <c r="F484">
        <v>0</v>
      </c>
      <c r="G484">
        <v>0</v>
      </c>
      <c r="H484">
        <v>0.035939199999999998</v>
      </c>
      <c r="I484" t="s">
        <v>137</v>
      </c>
      <c r="J484">
        <v>0.061600000000000002</v>
      </c>
      <c r="K484">
        <v>1.8575391999999999</v>
      </c>
      <c r="L484">
        <v>0.015718308750898493</v>
      </c>
      <c r="M484">
        <v>0.094309852505390951</v>
      </c>
      <c r="N484">
        <v>1.9518490525053909</v>
      </c>
      <c r="O484" t="s">
        <v>138</v>
      </c>
      <c r="P484">
        <v>0.111452352</v>
      </c>
      <c r="Q484" t="s">
        <v>138</v>
      </c>
      <c r="R484">
        <v>0.0056585911503234569</v>
      </c>
      <c r="S484" t="s">
        <v>139</v>
      </c>
      <c r="T484">
        <v>0.23422188630064691</v>
      </c>
      <c r="U484">
        <v>2.3031818819563612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15</v>
      </c>
      <c r="AB484">
        <v>1</v>
      </c>
      <c r="AC484">
        <v>2</v>
      </c>
      <c r="AD484">
        <v>2.001136786813273</v>
      </c>
      <c r="AE484">
        <v>1800</v>
      </c>
      <c r="AF484">
        <v>200000</v>
      </c>
      <c r="AG484">
        <v>16666.666666666668</v>
      </c>
      <c r="AH484">
        <v>1</v>
      </c>
      <c r="AI484">
        <v>1</v>
      </c>
      <c r="AJ484" t="s">
        <v>136</v>
      </c>
      <c r="AK484" t="s">
        <v>137</v>
      </c>
      <c r="AL484">
        <v>0</v>
      </c>
      <c r="AM484" t="s">
        <v>137</v>
      </c>
      <c r="AN484">
        <v>0</v>
      </c>
    </row>
    <row r="485" spans="1:42" ht="12.75">
      <c r="A485" s="2" t="str">
        <f>HYPERLINK("https://ibp.a2mac1.com/costing(costing:projects/details/8191/process/6974017)","Die Cutting &amp; Sealing")</f>
        <v>Die Cutting &amp; Sealing</v>
      </c>
      <c r="B485" t="s">
        <v>3891</v>
      </c>
      <c r="C485">
        <v>6974017</v>
      </c>
      <c r="D485">
        <v>5385037</v>
      </c>
      <c r="E485">
        <v>0.058149292499999998</v>
      </c>
      <c r="F485">
        <v>0</v>
      </c>
      <c r="G485">
        <v>0</v>
      </c>
      <c r="H485">
        <v>0.00059376564000000005</v>
      </c>
      <c r="I485" t="s">
        <v>137</v>
      </c>
      <c r="J485">
        <v>0.0020454524999999999</v>
      </c>
      <c r="K485">
        <v>0.060788510640000001</v>
      </c>
      <c r="L485">
        <v>0.011552869971529035</v>
      </c>
      <c r="M485">
        <v>0.069317219829174215</v>
      </c>
      <c r="N485">
        <v>0.1301057304691742</v>
      </c>
      <c r="O485" t="s">
        <v>138</v>
      </c>
      <c r="P485">
        <v>0.0036473106383999999</v>
      </c>
      <c r="Q485" t="s">
        <v>138</v>
      </c>
      <c r="R485">
        <v>0.0041590331897504527</v>
      </c>
      <c r="S485" t="s">
        <v>139</v>
      </c>
      <c r="T485">
        <v>0.015612687656300906</v>
      </c>
      <c r="U485">
        <v>0.15352476195362558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15</v>
      </c>
      <c r="AB485">
        <v>1</v>
      </c>
      <c r="AC485">
        <v>1</v>
      </c>
      <c r="AD485">
        <v>1.0057812623742775</v>
      </c>
      <c r="AE485">
        <v>3600</v>
      </c>
      <c r="AF485">
        <v>200000</v>
      </c>
      <c r="AG485">
        <v>16666.666666666668</v>
      </c>
      <c r="AH485">
        <v>1</v>
      </c>
      <c r="AI485">
        <v>1</v>
      </c>
      <c r="AJ485" t="s">
        <v>136</v>
      </c>
      <c r="AK485" t="s">
        <v>137</v>
      </c>
      <c r="AL485">
        <v>0</v>
      </c>
      <c r="AM485" t="s">
        <v>137</v>
      </c>
      <c r="AN485">
        <v>0</v>
      </c>
    </row>
    <row r="486" spans="1:42" ht="12.75">
      <c r="A486" s="2" t="str">
        <f>HYPERLINK("https://ibp.a2mac1.com/costing(costing:projects/details/8191/process/6973946)","Die Cutting &amp; Sealing")</f>
        <v>Die Cutting &amp; Sealing</v>
      </c>
      <c r="B486" t="s">
        <v>3891</v>
      </c>
      <c r="C486">
        <v>6973946</v>
      </c>
      <c r="D486">
        <v>5384901</v>
      </c>
      <c r="E486">
        <v>0.99069165000000003</v>
      </c>
      <c r="F486">
        <v>0</v>
      </c>
      <c r="G486">
        <v>0</v>
      </c>
      <c r="H486">
        <v>0.010116007200000001</v>
      </c>
      <c r="I486" t="s">
        <v>137</v>
      </c>
      <c r="J486">
        <v>0.034848450000000003</v>
      </c>
      <c r="K486">
        <v>1.0356561071999999</v>
      </c>
      <c r="L486">
        <v>0.011552869971529035</v>
      </c>
      <c r="M486">
        <v>0.069317219829174215</v>
      </c>
      <c r="N486">
        <v>1.1049733270291742</v>
      </c>
      <c r="O486" t="s">
        <v>138</v>
      </c>
      <c r="P486">
        <v>0.062139366432</v>
      </c>
      <c r="Q486" t="s">
        <v>138</v>
      </c>
      <c r="R486">
        <v>0.0041590331897504527</v>
      </c>
      <c r="S486" t="s">
        <v>139</v>
      </c>
      <c r="T486">
        <v>0.1325967992435009</v>
      </c>
      <c r="U486">
        <v>1.3038685258944256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15</v>
      </c>
      <c r="AB486">
        <v>1</v>
      </c>
      <c r="AC486">
        <v>1</v>
      </c>
      <c r="AD486">
        <v>1.0057812623742775</v>
      </c>
      <c r="AE486">
        <v>3600</v>
      </c>
      <c r="AF486">
        <v>200000</v>
      </c>
      <c r="AG486">
        <v>16666.666666666668</v>
      </c>
      <c r="AH486">
        <v>1</v>
      </c>
      <c r="AI486">
        <v>1</v>
      </c>
      <c r="AJ486" t="s">
        <v>136</v>
      </c>
      <c r="AK486" t="s">
        <v>137</v>
      </c>
      <c r="AL486">
        <v>0</v>
      </c>
      <c r="AM486" t="s">
        <v>137</v>
      </c>
      <c r="AN486">
        <v>0</v>
      </c>
    </row>
    <row r="487" spans="1:42" ht="12.75">
      <c r="A487" s="2" t="str">
        <f>HYPERLINK("https://ibp.a2mac1.com/costing(costing:projects/details/8191/process/6973878)","Handling/Visual inspection/packaging")</f>
        <v>Handling/Visual inspection/packaging</v>
      </c>
      <c r="C487">
        <v>6973878</v>
      </c>
      <c r="D487">
        <v>5384811</v>
      </c>
      <c r="E487">
        <v>0</v>
      </c>
      <c r="F487">
        <v>0</v>
      </c>
      <c r="G487">
        <v>0</v>
      </c>
      <c r="H487">
        <v>0</v>
      </c>
      <c r="I487" t="s">
        <v>137</v>
      </c>
      <c r="J487">
        <v>0</v>
      </c>
      <c r="K487">
        <v>0</v>
      </c>
      <c r="L487">
        <v>0.0015112285837208038</v>
      </c>
      <c r="M487">
        <v>0.0090673715023248235</v>
      </c>
      <c r="N487">
        <v>0.0090673715023248235</v>
      </c>
      <c r="O487" t="s">
        <v>138</v>
      </c>
      <c r="P487">
        <v>0</v>
      </c>
      <c r="Q487" t="s">
        <v>138</v>
      </c>
      <c r="R487">
        <v>0.00054404229013948937</v>
      </c>
      <c r="S487" t="s">
        <v>139</v>
      </c>
      <c r="T487">
        <v>0.0010880845802789787</v>
      </c>
      <c r="U487">
        <v>0.010699498372743291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5</v>
      </c>
      <c r="AB487">
        <v>1</v>
      </c>
      <c r="AC487">
        <v>0.10</v>
      </c>
      <c r="AD487">
        <v>4.8434675040441526</v>
      </c>
      <c r="AE487">
        <v>900</v>
      </c>
      <c r="AF487">
        <v>200000</v>
      </c>
      <c r="AG487">
        <v>16666.666666666668</v>
      </c>
      <c r="AH487">
        <v>1</v>
      </c>
      <c r="AI487">
        <v>1</v>
      </c>
      <c r="AJ487" t="s">
        <v>136</v>
      </c>
      <c r="AK487" t="s">
        <v>137</v>
      </c>
      <c r="AL487">
        <v>0</v>
      </c>
      <c r="AM487" t="s">
        <v>137</v>
      </c>
      <c r="AN487">
        <v>0</v>
      </c>
    </row>
    <row r="488" spans="1:42" ht="12.75">
      <c r="A488" s="2" t="str">
        <f>HYPERLINK("https://ibp.a2mac1.com/costing(costing:projects/details/8191/process/6973879)","Water jet cutting machine")</f>
        <v>Water jet cutting machine</v>
      </c>
      <c r="C488">
        <v>6973879</v>
      </c>
      <c r="D488">
        <v>5384811</v>
      </c>
      <c r="E488">
        <v>0</v>
      </c>
      <c r="F488">
        <v>0</v>
      </c>
      <c r="G488">
        <v>0</v>
      </c>
      <c r="H488">
        <v>0</v>
      </c>
      <c r="I488" t="s">
        <v>137</v>
      </c>
      <c r="J488">
        <v>0</v>
      </c>
      <c r="K488">
        <v>0</v>
      </c>
      <c r="L488">
        <v>0.67965906179568136</v>
      </c>
      <c r="M488">
        <v>4.077954370774088</v>
      </c>
      <c r="N488">
        <v>4.077954370774088</v>
      </c>
      <c r="O488" t="s">
        <v>138</v>
      </c>
      <c r="P488">
        <v>0</v>
      </c>
      <c r="Q488" t="s">
        <v>138</v>
      </c>
      <c r="R488">
        <v>0.24467726224644529</v>
      </c>
      <c r="S488" t="s">
        <v>139</v>
      </c>
      <c r="T488">
        <v>0.48935452449289057</v>
      </c>
      <c r="U488">
        <v>4.8119861575134246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80</v>
      </c>
      <c r="AB488">
        <v>1</v>
      </c>
      <c r="AC488">
        <v>0.10</v>
      </c>
      <c r="AD488">
        <v>4.745575431978815</v>
      </c>
      <c r="AE488">
        <v>360</v>
      </c>
      <c r="AF488">
        <v>200000</v>
      </c>
      <c r="AG488">
        <v>16666.666666666668</v>
      </c>
      <c r="AH488">
        <v>1</v>
      </c>
      <c r="AI488">
        <v>1</v>
      </c>
      <c r="AJ488" t="s">
        <v>136</v>
      </c>
      <c r="AK488" t="s">
        <v>137</v>
      </c>
      <c r="AL488">
        <v>0</v>
      </c>
      <c r="AM488" t="s">
        <v>137</v>
      </c>
      <c r="AN488">
        <v>0</v>
      </c>
    </row>
    <row r="489" spans="1:42" ht="12.75">
      <c r="A489" s="2" t="str">
        <f>HYPERLINK("https://ibp.a2mac1.com/costing(costing:projects/details/8191/process/6973880)","Thermocompression")</f>
        <v>Thermocompression</v>
      </c>
      <c r="C489">
        <v>6973880</v>
      </c>
      <c r="D489">
        <v>5384811</v>
      </c>
      <c r="E489">
        <v>0</v>
      </c>
      <c r="F489">
        <v>0</v>
      </c>
      <c r="G489">
        <v>0</v>
      </c>
      <c r="H489">
        <v>0</v>
      </c>
      <c r="I489" t="s">
        <v>137</v>
      </c>
      <c r="J489">
        <v>0</v>
      </c>
      <c r="K489">
        <v>0</v>
      </c>
      <c r="L489">
        <v>0.095151432128197613</v>
      </c>
      <c r="M489">
        <v>0.5709085927691856</v>
      </c>
      <c r="N489">
        <v>0.5709085927691856</v>
      </c>
      <c r="O489" t="s">
        <v>138</v>
      </c>
      <c r="P489">
        <v>0</v>
      </c>
      <c r="Q489" t="s">
        <v>138</v>
      </c>
      <c r="R489">
        <v>0.034254515566151139</v>
      </c>
      <c r="S489" t="s">
        <v>139</v>
      </c>
      <c r="T489">
        <v>0.068509031132302278</v>
      </c>
      <c r="U489">
        <v>0.67367213946763904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68</v>
      </c>
      <c r="AB489">
        <v>1</v>
      </c>
      <c r="AC489">
        <v>2.70</v>
      </c>
      <c r="AD489">
        <v>4.6474817399927533</v>
      </c>
      <c r="AE489">
        <v>60</v>
      </c>
      <c r="AF489">
        <v>200000</v>
      </c>
      <c r="AG489">
        <v>16666.666666666668</v>
      </c>
      <c r="AH489">
        <v>1</v>
      </c>
      <c r="AI489">
        <v>1</v>
      </c>
      <c r="AJ489" t="s">
        <v>79</v>
      </c>
      <c r="AK489" t="s">
        <v>137</v>
      </c>
      <c r="AL489">
        <v>0</v>
      </c>
      <c r="AM489" t="s">
        <v>137</v>
      </c>
      <c r="AN489">
        <v>0</v>
      </c>
    </row>
    <row r="490" spans="1:42" ht="12.75">
      <c r="A490" s="2" t="str">
        <f>HYPERLINK("https://ibp.a2mac1.com/costing(costing:projects/details/8191/process/6973881)","Die cutting")</f>
        <v>Die cutting</v>
      </c>
      <c r="C490">
        <v>6973881</v>
      </c>
      <c r="D490">
        <v>5384811</v>
      </c>
      <c r="E490">
        <v>7.9214846322090482</v>
      </c>
      <c r="F490">
        <v>0</v>
      </c>
      <c r="G490">
        <v>0</v>
      </c>
      <c r="H490">
        <v>0.16175671618970877</v>
      </c>
      <c r="I490" t="s">
        <v>137</v>
      </c>
      <c r="J490">
        <v>0.27725196212731668</v>
      </c>
      <c r="K490">
        <v>8.3604933105260741</v>
      </c>
      <c r="L490">
        <v>0.015718308750898493</v>
      </c>
      <c r="M490">
        <v>0.094309852505390951</v>
      </c>
      <c r="N490">
        <v>8.454803163031464</v>
      </c>
      <c r="O490" t="s">
        <v>138</v>
      </c>
      <c r="P490">
        <v>0.50162959863156442</v>
      </c>
      <c r="Q490" t="s">
        <v>138</v>
      </c>
      <c r="R490">
        <v>0.0056585911503234569</v>
      </c>
      <c r="S490" t="s">
        <v>139</v>
      </c>
      <c r="T490">
        <v>1.0145763795637757</v>
      </c>
      <c r="U490">
        <v>9.9766677323771287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15</v>
      </c>
      <c r="AB490">
        <v>1</v>
      </c>
      <c r="AC490">
        <v>2</v>
      </c>
      <c r="AD490">
        <v>2.001136786813273</v>
      </c>
      <c r="AE490">
        <v>1800</v>
      </c>
      <c r="AF490">
        <v>200000</v>
      </c>
      <c r="AG490">
        <v>16666.666666666668</v>
      </c>
      <c r="AH490">
        <v>1</v>
      </c>
      <c r="AI490">
        <v>1</v>
      </c>
      <c r="AJ490" t="s">
        <v>136</v>
      </c>
      <c r="AK490" t="s">
        <v>137</v>
      </c>
      <c r="AL490">
        <v>0</v>
      </c>
      <c r="AM490" t="s">
        <v>137</v>
      </c>
      <c r="AN490">
        <v>0</v>
      </c>
    </row>
    <row r="491" spans="1:42" ht="12.75">
      <c r="A491" s="2" t="str">
        <f>HYPERLINK("https://ibp.a2mac1.com/costing(costing:projects/details/8191/process/6973882)","Handling/Visual inspection/packaging")</f>
        <v>Handling/Visual inspection/packaging</v>
      </c>
      <c r="C491">
        <v>6973882</v>
      </c>
      <c r="D491">
        <v>5384812</v>
      </c>
      <c r="E491">
        <v>0</v>
      </c>
      <c r="F491">
        <v>0</v>
      </c>
      <c r="G491">
        <v>0</v>
      </c>
      <c r="H491">
        <v>0</v>
      </c>
      <c r="I491" t="s">
        <v>137</v>
      </c>
      <c r="J491">
        <v>0</v>
      </c>
      <c r="K491">
        <v>0</v>
      </c>
      <c r="L491">
        <v>0.0015127816590566289</v>
      </c>
      <c r="M491">
        <v>0.0090766899543397728</v>
      </c>
      <c r="N491">
        <v>0.0090766899543397728</v>
      </c>
      <c r="O491" t="s">
        <v>138</v>
      </c>
      <c r="P491">
        <v>0</v>
      </c>
      <c r="Q491" t="s">
        <v>138</v>
      </c>
      <c r="R491">
        <v>0.0005446013972603864</v>
      </c>
      <c r="S491" t="s">
        <v>139</v>
      </c>
      <c r="T491">
        <v>0.0010892027945207728</v>
      </c>
      <c r="U491">
        <v>0.010710494146120932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5</v>
      </c>
      <c r="AB491">
        <v>1</v>
      </c>
      <c r="AC491">
        <v>0.10</v>
      </c>
      <c r="AD491">
        <v>4.9411585771592614</v>
      </c>
      <c r="AE491">
        <v>900</v>
      </c>
      <c r="AF491">
        <v>200000</v>
      </c>
      <c r="AG491">
        <v>16666.666666666668</v>
      </c>
      <c r="AH491">
        <v>1</v>
      </c>
      <c r="AI491">
        <v>1</v>
      </c>
      <c r="AJ491" t="s">
        <v>136</v>
      </c>
      <c r="AK491" t="s">
        <v>137</v>
      </c>
      <c r="AL491">
        <v>0</v>
      </c>
      <c r="AM491" t="s">
        <v>137</v>
      </c>
      <c r="AN491">
        <v>0</v>
      </c>
    </row>
    <row r="492" spans="1:42" ht="12.75">
      <c r="A492" s="2" t="str">
        <f>HYPERLINK("https://ibp.a2mac1.com/costing(costing:projects/details/8191/process/6973883)","Water jet cutting machine")</f>
        <v>Water jet cutting machine</v>
      </c>
      <c r="C492">
        <v>6973883</v>
      </c>
      <c r="D492">
        <v>5384812</v>
      </c>
      <c r="E492">
        <v>0</v>
      </c>
      <c r="F492">
        <v>0</v>
      </c>
      <c r="G492">
        <v>0</v>
      </c>
      <c r="H492">
        <v>0</v>
      </c>
      <c r="I492" t="s">
        <v>137</v>
      </c>
      <c r="J492">
        <v>0</v>
      </c>
      <c r="K492">
        <v>0</v>
      </c>
      <c r="L492">
        <v>0.51031791415698591</v>
      </c>
      <c r="M492">
        <v>3.0619074849419157</v>
      </c>
      <c r="N492">
        <v>3.0619074849419157</v>
      </c>
      <c r="O492" t="s">
        <v>138</v>
      </c>
      <c r="P492">
        <v>0</v>
      </c>
      <c r="Q492" t="s">
        <v>138</v>
      </c>
      <c r="R492">
        <v>0.18371444909651494</v>
      </c>
      <c r="S492" t="s">
        <v>139</v>
      </c>
      <c r="T492">
        <v>0.36742889819302987</v>
      </c>
      <c r="U492">
        <v>3.6130508322314605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60</v>
      </c>
      <c r="AB492">
        <v>1</v>
      </c>
      <c r="AC492">
        <v>0.10</v>
      </c>
      <c r="AD492">
        <v>4.8434675040441526</v>
      </c>
      <c r="AE492">
        <v>360</v>
      </c>
      <c r="AF492">
        <v>200000</v>
      </c>
      <c r="AG492">
        <v>16666.666666666668</v>
      </c>
      <c r="AH492">
        <v>1</v>
      </c>
      <c r="AI492">
        <v>1</v>
      </c>
      <c r="AJ492" t="s">
        <v>136</v>
      </c>
      <c r="AK492" t="s">
        <v>137</v>
      </c>
      <c r="AL492">
        <v>0</v>
      </c>
      <c r="AM492" t="s">
        <v>137</v>
      </c>
      <c r="AN492">
        <v>0</v>
      </c>
    </row>
    <row r="493" spans="1:42" ht="12.75">
      <c r="A493" s="2" t="str">
        <f>HYPERLINK("https://ibp.a2mac1.com/costing(costing:projects/details/8191/process/6973884)","Foaming")</f>
        <v>Foaming</v>
      </c>
      <c r="C493">
        <v>6973884</v>
      </c>
      <c r="D493">
        <v>5384812</v>
      </c>
      <c r="E493">
        <v>3.3732433799999999</v>
      </c>
      <c r="F493">
        <v>0</v>
      </c>
      <c r="G493">
        <v>0</v>
      </c>
      <c r="H493">
        <v>0.16822320839999999</v>
      </c>
      <c r="I493" t="s">
        <v>137</v>
      </c>
      <c r="J493">
        <v>0.1181817</v>
      </c>
      <c r="K493">
        <v>3.6596482884000001</v>
      </c>
      <c r="L493">
        <v>0.10450645314656551</v>
      </c>
      <c r="M493">
        <v>0.627038718879393</v>
      </c>
      <c r="N493">
        <v>4.2866870072793928</v>
      </c>
      <c r="O493" t="s">
        <v>138</v>
      </c>
      <c r="P493">
        <v>0.21957889730399999</v>
      </c>
      <c r="Q493" t="s">
        <v>138</v>
      </c>
      <c r="R493">
        <v>0.037622323132763584</v>
      </c>
      <c r="S493" t="s">
        <v>139</v>
      </c>
      <c r="T493">
        <v>0.51440244087352716</v>
      </c>
      <c r="U493">
        <v>5.0582906685896836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120</v>
      </c>
      <c r="AB493">
        <v>1</v>
      </c>
      <c r="AC493">
        <v>0.10</v>
      </c>
      <c r="AD493">
        <v>4.745575431978815</v>
      </c>
      <c r="AE493">
        <v>3600</v>
      </c>
      <c r="AF493">
        <v>200000</v>
      </c>
      <c r="AG493">
        <v>16666.666666666668</v>
      </c>
      <c r="AH493">
        <v>1</v>
      </c>
      <c r="AI493">
        <v>1</v>
      </c>
      <c r="AJ493" t="s">
        <v>136</v>
      </c>
      <c r="AK493" t="s">
        <v>137</v>
      </c>
      <c r="AL493">
        <v>0</v>
      </c>
      <c r="AM493" t="s">
        <v>137</v>
      </c>
      <c r="AN493">
        <v>0</v>
      </c>
    </row>
    <row r="494" spans="1:42" ht="12.75">
      <c r="A494" s="2" t="str">
        <f>HYPERLINK("https://ibp.a2mac1.com/costing(costing:projects/details/8191/process/6973885)","Thermocompression")</f>
        <v>Thermocompression</v>
      </c>
      <c r="C494">
        <v>6973885</v>
      </c>
      <c r="D494">
        <v>5384812</v>
      </c>
      <c r="E494">
        <v>0</v>
      </c>
      <c r="F494">
        <v>0</v>
      </c>
      <c r="G494">
        <v>0</v>
      </c>
      <c r="H494">
        <v>0</v>
      </c>
      <c r="I494" t="s">
        <v>137</v>
      </c>
      <c r="J494">
        <v>0</v>
      </c>
      <c r="K494">
        <v>0</v>
      </c>
      <c r="L494">
        <v>0.095151432128197613</v>
      </c>
      <c r="M494">
        <v>0.5709085927691856</v>
      </c>
      <c r="N494">
        <v>0.5709085927691856</v>
      </c>
      <c r="O494" t="s">
        <v>138</v>
      </c>
      <c r="P494">
        <v>0</v>
      </c>
      <c r="Q494" t="s">
        <v>138</v>
      </c>
      <c r="R494">
        <v>0.034254515566151139</v>
      </c>
      <c r="S494" t="s">
        <v>139</v>
      </c>
      <c r="T494">
        <v>0.068509031132302278</v>
      </c>
      <c r="U494">
        <v>0.67367213946763904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68</v>
      </c>
      <c r="AB494">
        <v>1</v>
      </c>
      <c r="AC494">
        <v>2.70</v>
      </c>
      <c r="AD494">
        <v>4.6474817399927533</v>
      </c>
      <c r="AE494">
        <v>60</v>
      </c>
      <c r="AF494">
        <v>200000</v>
      </c>
      <c r="AG494">
        <v>16666.666666666668</v>
      </c>
      <c r="AH494">
        <v>1</v>
      </c>
      <c r="AI494">
        <v>1</v>
      </c>
      <c r="AJ494" t="s">
        <v>79</v>
      </c>
      <c r="AK494" t="s">
        <v>137</v>
      </c>
      <c r="AL494">
        <v>0</v>
      </c>
      <c r="AM494" t="s">
        <v>137</v>
      </c>
      <c r="AN494">
        <v>0</v>
      </c>
    </row>
    <row r="495" spans="1:42" ht="12.75">
      <c r="A495" s="2" t="str">
        <f>HYPERLINK("https://ibp.a2mac1.com/costing(costing:projects/details/8191/process/6973886)","Die cutting")</f>
        <v>Die cutting</v>
      </c>
      <c r="C495">
        <v>6973886</v>
      </c>
      <c r="D495">
        <v>5384812</v>
      </c>
      <c r="E495">
        <v>9.2451750431679525</v>
      </c>
      <c r="F495">
        <v>0</v>
      </c>
      <c r="G495">
        <v>0</v>
      </c>
      <c r="H495">
        <v>0.18878647438148957</v>
      </c>
      <c r="I495" t="s">
        <v>137</v>
      </c>
      <c r="J495">
        <v>0.32358112651087834</v>
      </c>
      <c r="K495">
        <v>9.7575426440603206</v>
      </c>
      <c r="L495">
        <v>0.015718308750898493</v>
      </c>
      <c r="M495">
        <v>0.094309852505390951</v>
      </c>
      <c r="N495">
        <v>9.8518524965657104</v>
      </c>
      <c r="O495" t="s">
        <v>138</v>
      </c>
      <c r="P495">
        <v>0.58545255864361923</v>
      </c>
      <c r="Q495" t="s">
        <v>138</v>
      </c>
      <c r="R495">
        <v>0.0056585911503234569</v>
      </c>
      <c r="S495" t="s">
        <v>139</v>
      </c>
      <c r="T495">
        <v>1.1822222995878853</v>
      </c>
      <c r="U495">
        <v>11.625185945947539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15</v>
      </c>
      <c r="AB495">
        <v>1</v>
      </c>
      <c r="AC495">
        <v>2</v>
      </c>
      <c r="AD495">
        <v>2.001136786813273</v>
      </c>
      <c r="AE495">
        <v>1800</v>
      </c>
      <c r="AF495">
        <v>200000</v>
      </c>
      <c r="AG495">
        <v>16666.666666666668</v>
      </c>
      <c r="AH495">
        <v>1</v>
      </c>
      <c r="AI495">
        <v>1</v>
      </c>
      <c r="AJ495" t="s">
        <v>136</v>
      </c>
      <c r="AK495" t="s">
        <v>137</v>
      </c>
      <c r="AL495">
        <v>0</v>
      </c>
      <c r="AM495" t="s">
        <v>137</v>
      </c>
      <c r="AN495">
        <v>0</v>
      </c>
    </row>
    <row r="496" spans="1:42" ht="12.75">
      <c r="A496" s="2" t="str">
        <f>HYPERLINK("https://ibp.a2mac1.com/costing(costing:projects/details/8191/process/6973887)","Die cutting")</f>
        <v>Die cutting</v>
      </c>
      <c r="C496">
        <v>6973887</v>
      </c>
      <c r="D496">
        <v>5384813</v>
      </c>
      <c r="E496">
        <v>0.85799999999999998</v>
      </c>
      <c r="F496">
        <v>0</v>
      </c>
      <c r="G496">
        <v>0</v>
      </c>
      <c r="H496">
        <v>0.017520359999999999</v>
      </c>
      <c r="I496" t="s">
        <v>137</v>
      </c>
      <c r="J496">
        <v>0.030030000000000001</v>
      </c>
      <c r="K496">
        <v>0.90555036</v>
      </c>
      <c r="L496">
        <v>0.015718308750898493</v>
      </c>
      <c r="M496">
        <v>0.094309852505390951</v>
      </c>
      <c r="N496">
        <v>0.99986021250539092</v>
      </c>
      <c r="O496" t="s">
        <v>138</v>
      </c>
      <c r="P496">
        <v>0.054333021600000003</v>
      </c>
      <c r="Q496" t="s">
        <v>138</v>
      </c>
      <c r="R496">
        <v>0.0056585911503234569</v>
      </c>
      <c r="S496" t="s">
        <v>139</v>
      </c>
      <c r="T496">
        <v>0.11998322550064691</v>
      </c>
      <c r="U496">
        <v>1.1798350507563613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15</v>
      </c>
      <c r="AB496">
        <v>1</v>
      </c>
      <c r="AC496">
        <v>2</v>
      </c>
      <c r="AD496">
        <v>2.001136786813273</v>
      </c>
      <c r="AE496">
        <v>1800</v>
      </c>
      <c r="AF496">
        <v>200000</v>
      </c>
      <c r="AG496">
        <v>16666.666666666668</v>
      </c>
      <c r="AH496">
        <v>1</v>
      </c>
      <c r="AI496">
        <v>1</v>
      </c>
      <c r="AJ496" t="s">
        <v>136</v>
      </c>
      <c r="AK496" t="s">
        <v>137</v>
      </c>
      <c r="AL496">
        <v>0</v>
      </c>
      <c r="AM496" t="s">
        <v>137</v>
      </c>
      <c r="AN496">
        <v>0</v>
      </c>
    </row>
    <row r="497" spans="1:42" ht="12.75">
      <c r="A497" s="2" t="str">
        <f>HYPERLINK("https://ibp.a2mac1.com/costing(costing:projects/details/8191/process/6973888)","Die cutting")</f>
        <v>Die cutting</v>
      </c>
      <c r="C497">
        <v>6973888</v>
      </c>
      <c r="D497">
        <v>5384814</v>
      </c>
      <c r="E497">
        <v>0.150757425</v>
      </c>
      <c r="F497">
        <v>0</v>
      </c>
      <c r="G497">
        <v>0</v>
      </c>
      <c r="H497">
        <v>0.0030939362999999999</v>
      </c>
      <c r="I497" t="s">
        <v>137</v>
      </c>
      <c r="J497">
        <v>0.0053030250000000003</v>
      </c>
      <c r="K497">
        <v>0.15915438630000001</v>
      </c>
      <c r="L497">
        <v>0.015718308750898493</v>
      </c>
      <c r="M497">
        <v>0.094309852505390951</v>
      </c>
      <c r="N497">
        <v>0.25346423880539093</v>
      </c>
      <c r="O497" t="s">
        <v>138</v>
      </c>
      <c r="P497">
        <v>0.0095492631780000007</v>
      </c>
      <c r="Q497" t="s">
        <v>138</v>
      </c>
      <c r="R497">
        <v>0.0056585911503234569</v>
      </c>
      <c r="S497" t="s">
        <v>139</v>
      </c>
      <c r="T497">
        <v>0.030415708656646914</v>
      </c>
      <c r="U497">
        <v>0.29908780179036132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15</v>
      </c>
      <c r="AB497">
        <v>1</v>
      </c>
      <c r="AC497">
        <v>2</v>
      </c>
      <c r="AD497">
        <v>2.001136786813273</v>
      </c>
      <c r="AE497">
        <v>1800</v>
      </c>
      <c r="AF497">
        <v>200000</v>
      </c>
      <c r="AG497">
        <v>16666.666666666668</v>
      </c>
      <c r="AH497">
        <v>1</v>
      </c>
      <c r="AI497">
        <v>1</v>
      </c>
      <c r="AJ497" t="s">
        <v>136</v>
      </c>
      <c r="AK497" t="s">
        <v>137</v>
      </c>
      <c r="AL497">
        <v>0</v>
      </c>
      <c r="AM497" t="s">
        <v>137</v>
      </c>
      <c r="AN497">
        <v>0</v>
      </c>
    </row>
    <row r="498" spans="1:42" ht="12.75">
      <c r="A498" s="2" t="str">
        <f>HYPERLINK("https://ibp.a2mac1.com/costing(costing:projects/details/8191/process/6973889)","Die cutting")</f>
        <v>Die cutting</v>
      </c>
      <c r="C498">
        <v>6973889</v>
      </c>
      <c r="D498">
        <v>5384815</v>
      </c>
      <c r="E498">
        <v>0.14645006999999999</v>
      </c>
      <c r="F498">
        <v>0</v>
      </c>
      <c r="G498">
        <v>0</v>
      </c>
      <c r="H498">
        <v>0.0030055381199999998</v>
      </c>
      <c r="I498" t="s">
        <v>137</v>
      </c>
      <c r="J498">
        <v>0.0051515099999999998</v>
      </c>
      <c r="K498">
        <v>0.15460711812</v>
      </c>
      <c r="L498">
        <v>0.015718308750898493</v>
      </c>
      <c r="M498">
        <v>0.094309852505390951</v>
      </c>
      <c r="N498">
        <v>0.24891697062539095</v>
      </c>
      <c r="O498" t="s">
        <v>138</v>
      </c>
      <c r="P498">
        <v>0.0092764270871999992</v>
      </c>
      <c r="Q498" t="s">
        <v>138</v>
      </c>
      <c r="R498">
        <v>0.0056585911503234569</v>
      </c>
      <c r="S498" t="s">
        <v>139</v>
      </c>
      <c r="T498">
        <v>0.029870036475046914</v>
      </c>
      <c r="U498">
        <v>0.29372202533796132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15</v>
      </c>
      <c r="AB498">
        <v>1</v>
      </c>
      <c r="AC498">
        <v>2</v>
      </c>
      <c r="AD498">
        <v>2.001136786813273</v>
      </c>
      <c r="AE498">
        <v>1800</v>
      </c>
      <c r="AF498">
        <v>200000</v>
      </c>
      <c r="AG498">
        <v>16666.666666666668</v>
      </c>
      <c r="AH498">
        <v>1</v>
      </c>
      <c r="AI498">
        <v>1</v>
      </c>
      <c r="AJ498" t="s">
        <v>136</v>
      </c>
      <c r="AK498" t="s">
        <v>137</v>
      </c>
      <c r="AL498">
        <v>0</v>
      </c>
      <c r="AM498" t="s">
        <v>137</v>
      </c>
      <c r="AN498">
        <v>0</v>
      </c>
    </row>
    <row r="499" spans="1:42" ht="12.75">
      <c r="A499" s="2" t="str">
        <f>HYPERLINK("https://ibp.a2mac1.com/costing(costing:projects/details/8191/process/6973890)","Die cutting")</f>
        <v>Die cutting</v>
      </c>
      <c r="C499">
        <v>6973890</v>
      </c>
      <c r="D499">
        <v>5384816</v>
      </c>
      <c r="E499">
        <v>0.14645006999999999</v>
      </c>
      <c r="F499">
        <v>0</v>
      </c>
      <c r="G499">
        <v>0</v>
      </c>
      <c r="H499">
        <v>0.0030055381199999998</v>
      </c>
      <c r="I499" t="s">
        <v>137</v>
      </c>
      <c r="J499">
        <v>0.0051515099999999998</v>
      </c>
      <c r="K499">
        <v>0.15460711812</v>
      </c>
      <c r="L499">
        <v>0.015718308750898493</v>
      </c>
      <c r="M499">
        <v>0.094309852505390951</v>
      </c>
      <c r="N499">
        <v>0.24891697062539095</v>
      </c>
      <c r="O499" t="s">
        <v>138</v>
      </c>
      <c r="P499">
        <v>0.0092764270871999992</v>
      </c>
      <c r="Q499" t="s">
        <v>138</v>
      </c>
      <c r="R499">
        <v>0.0056585911503234569</v>
      </c>
      <c r="S499" t="s">
        <v>139</v>
      </c>
      <c r="T499">
        <v>0.029870036475046914</v>
      </c>
      <c r="U499">
        <v>0.29372202533796132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15</v>
      </c>
      <c r="AB499">
        <v>1</v>
      </c>
      <c r="AC499">
        <v>2</v>
      </c>
      <c r="AD499">
        <v>2.001136786813273</v>
      </c>
      <c r="AE499">
        <v>1800</v>
      </c>
      <c r="AF499">
        <v>200000</v>
      </c>
      <c r="AG499">
        <v>16666.666666666668</v>
      </c>
      <c r="AH499">
        <v>1</v>
      </c>
      <c r="AI499">
        <v>1</v>
      </c>
      <c r="AJ499" t="s">
        <v>136</v>
      </c>
      <c r="AK499" t="s">
        <v>137</v>
      </c>
      <c r="AL499">
        <v>0</v>
      </c>
      <c r="AM499" t="s">
        <v>137</v>
      </c>
      <c r="AN499">
        <v>0</v>
      </c>
    </row>
    <row r="500" spans="1:42" ht="12.75">
      <c r="A500" s="2" t="str">
        <f>HYPERLINK("https://ibp.a2mac1.com/costing(costing:projects/details/8191/process/6973891)","Die cutting")</f>
        <v>Die cutting</v>
      </c>
      <c r="C500">
        <v>6973891</v>
      </c>
      <c r="D500">
        <v>5384817</v>
      </c>
      <c r="E500">
        <v>0.38120091750000001</v>
      </c>
      <c r="F500">
        <v>0</v>
      </c>
      <c r="G500">
        <v>0</v>
      </c>
      <c r="H500">
        <v>0.0078232389300000003</v>
      </c>
      <c r="I500" t="s">
        <v>137</v>
      </c>
      <c r="J500">
        <v>0.0134090775</v>
      </c>
      <c r="K500">
        <v>0.40243323393000002</v>
      </c>
      <c r="L500">
        <v>0.015718308750898493</v>
      </c>
      <c r="M500">
        <v>0.094309852505390951</v>
      </c>
      <c r="N500">
        <v>0.49674308643539095</v>
      </c>
      <c r="O500" t="s">
        <v>138</v>
      </c>
      <c r="P500">
        <v>0.024145994035799999</v>
      </c>
      <c r="Q500" t="s">
        <v>138</v>
      </c>
      <c r="R500">
        <v>0.0056585911503234569</v>
      </c>
      <c r="S500" t="s">
        <v>139</v>
      </c>
      <c r="T500">
        <v>0.059609170372246917</v>
      </c>
      <c r="U500">
        <v>0.58615684199376128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15</v>
      </c>
      <c r="AB500">
        <v>1</v>
      </c>
      <c r="AC500">
        <v>2</v>
      </c>
      <c r="AD500">
        <v>2.001136786813273</v>
      </c>
      <c r="AE500">
        <v>1800</v>
      </c>
      <c r="AF500">
        <v>200000</v>
      </c>
      <c r="AG500">
        <v>16666.666666666668</v>
      </c>
      <c r="AH500">
        <v>1</v>
      </c>
      <c r="AI500">
        <v>1</v>
      </c>
      <c r="AJ500" t="s">
        <v>136</v>
      </c>
      <c r="AK500" t="s">
        <v>137</v>
      </c>
      <c r="AL500">
        <v>0</v>
      </c>
      <c r="AM500" t="s">
        <v>137</v>
      </c>
      <c r="AN500">
        <v>0</v>
      </c>
    </row>
    <row r="501" spans="1:42" ht="12.75">
      <c r="A501" s="2" t="str">
        <f>HYPERLINK("https://ibp.a2mac1.com/costing(costing:projects/details/8191/process/6973892)","Die Cutting &amp; Sealing")</f>
        <v>Die Cutting &amp; Sealing</v>
      </c>
      <c r="B501" t="s">
        <v>3891</v>
      </c>
      <c r="C501">
        <v>6973892</v>
      </c>
      <c r="D501">
        <v>5384818</v>
      </c>
      <c r="E501">
        <v>0.17888888888888888</v>
      </c>
      <c r="F501">
        <v>0</v>
      </c>
      <c r="G501">
        <v>0</v>
      </c>
      <c r="H501">
        <v>0.0018121444444444445</v>
      </c>
      <c r="I501" t="s">
        <v>137</v>
      </c>
      <c r="J501">
        <v>0.0062611111111111114</v>
      </c>
      <c r="K501">
        <v>0.18696214444444445</v>
      </c>
      <c r="L501">
        <v>0.011420169760221505</v>
      </c>
      <c r="M501">
        <v>0.068521018561329028</v>
      </c>
      <c r="N501">
        <v>0.25548316300577345</v>
      </c>
      <c r="O501" t="s">
        <v>138</v>
      </c>
      <c r="P501">
        <v>0.011217728666666666</v>
      </c>
      <c r="Q501" t="s">
        <v>138</v>
      </c>
      <c r="R501">
        <v>0.0041112611136797416</v>
      </c>
      <c r="S501" t="s">
        <v>139</v>
      </c>
      <c r="T501">
        <v>0.030657979560692817</v>
      </c>
      <c r="U501">
        <v>0.30147013234681269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15</v>
      </c>
      <c r="AB501">
        <v>1</v>
      </c>
      <c r="AC501">
        <v>1</v>
      </c>
      <c r="AD501">
        <v>1.0028412184570303</v>
      </c>
      <c r="AE501">
        <v>3600</v>
      </c>
      <c r="AF501">
        <v>400000</v>
      </c>
      <c r="AG501">
        <v>33333.333333333336</v>
      </c>
      <c r="AH501">
        <v>1</v>
      </c>
      <c r="AI501">
        <v>1</v>
      </c>
      <c r="AJ501" t="s">
        <v>136</v>
      </c>
      <c r="AK501" t="s">
        <v>137</v>
      </c>
      <c r="AL501">
        <v>0</v>
      </c>
      <c r="AM501" t="s">
        <v>137</v>
      </c>
      <c r="AN501">
        <v>0</v>
      </c>
    </row>
    <row r="502" spans="1:42" ht="12.75">
      <c r="A502" s="2" t="str">
        <f>HYPERLINK("https://ibp.a2mac1.com/costing(costing:projects/details/8191/process/6973893)","Die Cutting &amp; Sealing")</f>
        <v>Die Cutting &amp; Sealing</v>
      </c>
      <c r="B502" t="s">
        <v>3891</v>
      </c>
      <c r="C502">
        <v>6973893</v>
      </c>
      <c r="D502">
        <v>5384819</v>
      </c>
      <c r="E502">
        <v>0.11244444444444444</v>
      </c>
      <c r="F502">
        <v>0</v>
      </c>
      <c r="G502">
        <v>0</v>
      </c>
      <c r="H502">
        <v>0.0011390622222222223</v>
      </c>
      <c r="I502" t="s">
        <v>137</v>
      </c>
      <c r="J502">
        <v>0.0039355555555555559</v>
      </c>
      <c r="K502">
        <v>0.11751906222222222</v>
      </c>
      <c r="L502">
        <v>0.011420169760221505</v>
      </c>
      <c r="M502">
        <v>0.068521018561329028</v>
      </c>
      <c r="N502">
        <v>0.18604008078355125</v>
      </c>
      <c r="O502" t="s">
        <v>138</v>
      </c>
      <c r="P502">
        <v>0.0070511437333333335</v>
      </c>
      <c r="Q502" t="s">
        <v>138</v>
      </c>
      <c r="R502">
        <v>0.0041112611136797416</v>
      </c>
      <c r="S502" t="s">
        <v>139</v>
      </c>
      <c r="T502">
        <v>0.02232480969402615</v>
      </c>
      <c r="U502">
        <v>0.21952729532459048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15</v>
      </c>
      <c r="AB502">
        <v>1</v>
      </c>
      <c r="AC502">
        <v>1</v>
      </c>
      <c r="AD502">
        <v>1.0028412184570303</v>
      </c>
      <c r="AE502">
        <v>3600</v>
      </c>
      <c r="AF502">
        <v>400000</v>
      </c>
      <c r="AG502">
        <v>33333.333333333336</v>
      </c>
      <c r="AH502">
        <v>1</v>
      </c>
      <c r="AI502">
        <v>1</v>
      </c>
      <c r="AJ502" t="s">
        <v>136</v>
      </c>
      <c r="AK502" t="s">
        <v>137</v>
      </c>
      <c r="AL502">
        <v>0</v>
      </c>
      <c r="AM502" t="s">
        <v>137</v>
      </c>
      <c r="AN502">
        <v>0</v>
      </c>
    </row>
    <row r="503" spans="1:42" ht="12.75">
      <c r="A503" s="2" t="str">
        <f>HYPERLINK("https://ibp.a2mac1.com/costing(costing:projects/details/8191/process/6973894)","Die Cutting &amp; Sealing")</f>
        <v>Die Cutting &amp; Sealing</v>
      </c>
      <c r="B503" t="s">
        <v>3891</v>
      </c>
      <c r="C503">
        <v>6973894</v>
      </c>
      <c r="D503">
        <v>5384820</v>
      </c>
      <c r="E503">
        <v>0.2975</v>
      </c>
      <c r="F503">
        <v>0</v>
      </c>
      <c r="G503">
        <v>0</v>
      </c>
      <c r="H503">
        <v>0.0030136749999999999</v>
      </c>
      <c r="I503" t="s">
        <v>137</v>
      </c>
      <c r="J503">
        <v>0.0104125</v>
      </c>
      <c r="K503">
        <v>0.31092617500000003</v>
      </c>
      <c r="L503">
        <v>0.011420169760221505</v>
      </c>
      <c r="M503">
        <v>0.068521018561329028</v>
      </c>
      <c r="N503">
        <v>0.379447193561329</v>
      </c>
      <c r="O503" t="s">
        <v>138</v>
      </c>
      <c r="P503">
        <v>0.0186555705</v>
      </c>
      <c r="Q503" t="s">
        <v>138</v>
      </c>
      <c r="R503">
        <v>0.0041112611136797416</v>
      </c>
      <c r="S503" t="s">
        <v>139</v>
      </c>
      <c r="T503">
        <v>0.04553366322735948</v>
      </c>
      <c r="U503">
        <v>0.44774768840236823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15</v>
      </c>
      <c r="AB503">
        <v>1</v>
      </c>
      <c r="AC503">
        <v>1</v>
      </c>
      <c r="AD503">
        <v>1.0028412184570303</v>
      </c>
      <c r="AE503">
        <v>3600</v>
      </c>
      <c r="AF503">
        <v>400000</v>
      </c>
      <c r="AG503">
        <v>33333.333333333336</v>
      </c>
      <c r="AH503">
        <v>1</v>
      </c>
      <c r="AI503">
        <v>1</v>
      </c>
      <c r="AJ503" t="s">
        <v>136</v>
      </c>
      <c r="AK503" t="s">
        <v>137</v>
      </c>
      <c r="AL503">
        <v>0</v>
      </c>
      <c r="AM503" t="s">
        <v>137</v>
      </c>
      <c r="AN503">
        <v>0</v>
      </c>
    </row>
    <row r="504" spans="1:42" ht="12.75">
      <c r="A504" s="2" t="str">
        <f>HYPERLINK("https://ibp.a2mac1.com/costing(costing:projects/details/8191/process/6973895)","Die cutting")</f>
        <v>Die cutting</v>
      </c>
      <c r="C504">
        <v>6973895</v>
      </c>
      <c r="D504">
        <v>5384821</v>
      </c>
      <c r="E504">
        <v>0.40919872499999999</v>
      </c>
      <c r="F504">
        <v>0</v>
      </c>
      <c r="G504">
        <v>0</v>
      </c>
      <c r="H504">
        <v>0.0083978270999999997</v>
      </c>
      <c r="I504" t="s">
        <v>137</v>
      </c>
      <c r="J504">
        <v>0.014393925</v>
      </c>
      <c r="K504">
        <v>0.43199047709999999</v>
      </c>
      <c r="L504">
        <v>0.015718308750898493</v>
      </c>
      <c r="M504">
        <v>0.094309852505390951</v>
      </c>
      <c r="N504">
        <v>0.52630032960539097</v>
      </c>
      <c r="O504" t="s">
        <v>138</v>
      </c>
      <c r="P504">
        <v>0.025919428626</v>
      </c>
      <c r="Q504" t="s">
        <v>138</v>
      </c>
      <c r="R504">
        <v>0.0056585911503234569</v>
      </c>
      <c r="S504" t="s">
        <v>139</v>
      </c>
      <c r="T504">
        <v>0.063156039552646911</v>
      </c>
      <c r="U504">
        <v>0.62103438893436136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15</v>
      </c>
      <c r="AB504">
        <v>1</v>
      </c>
      <c r="AC504">
        <v>2</v>
      </c>
      <c r="AD504">
        <v>2.001136786813273</v>
      </c>
      <c r="AE504">
        <v>1800</v>
      </c>
      <c r="AF504">
        <v>200000</v>
      </c>
      <c r="AG504">
        <v>16666.666666666668</v>
      </c>
      <c r="AH504">
        <v>1</v>
      </c>
      <c r="AI504">
        <v>1</v>
      </c>
      <c r="AJ504" t="s">
        <v>136</v>
      </c>
      <c r="AK504" t="s">
        <v>137</v>
      </c>
      <c r="AL504">
        <v>0</v>
      </c>
      <c r="AM504" t="s">
        <v>137</v>
      </c>
      <c r="AN504">
        <v>0</v>
      </c>
    </row>
    <row r="505" spans="1:42" ht="12.75">
      <c r="A505" s="2" t="str">
        <f>HYPERLINK("https://ibp.a2mac1.com/costing(costing:projects/details/8191/process/6973896)","Handling/Visual inspection/packaging")</f>
        <v>Handling/Visual inspection/packaging</v>
      </c>
      <c r="C505">
        <v>6973896</v>
      </c>
      <c r="D505">
        <v>5384823</v>
      </c>
      <c r="E505">
        <v>0</v>
      </c>
      <c r="F505">
        <v>0</v>
      </c>
      <c r="G505">
        <v>0</v>
      </c>
      <c r="H505">
        <v>0</v>
      </c>
      <c r="I505" t="s">
        <v>137</v>
      </c>
      <c r="J505">
        <v>0</v>
      </c>
      <c r="K505">
        <v>0</v>
      </c>
      <c r="L505">
        <v>0.0015112285837208038</v>
      </c>
      <c r="M505">
        <v>0.0090673715023248235</v>
      </c>
      <c r="N505">
        <v>0.0090673715023248235</v>
      </c>
      <c r="O505" t="s">
        <v>138</v>
      </c>
      <c r="P505">
        <v>0</v>
      </c>
      <c r="Q505" t="s">
        <v>138</v>
      </c>
      <c r="R505">
        <v>0.00054404229013948937</v>
      </c>
      <c r="S505" t="s">
        <v>139</v>
      </c>
      <c r="T505">
        <v>0.0010880845802789787</v>
      </c>
      <c r="U505">
        <v>0.010699498372743291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5</v>
      </c>
      <c r="AB505">
        <v>1</v>
      </c>
      <c r="AC505">
        <v>0.10</v>
      </c>
      <c r="AD505">
        <v>4.8434675040441526</v>
      </c>
      <c r="AE505">
        <v>900</v>
      </c>
      <c r="AF505">
        <v>200000</v>
      </c>
      <c r="AG505">
        <v>16666.666666666668</v>
      </c>
      <c r="AH505">
        <v>1</v>
      </c>
      <c r="AI505">
        <v>1</v>
      </c>
      <c r="AJ505" t="s">
        <v>136</v>
      </c>
      <c r="AK505" t="s">
        <v>137</v>
      </c>
      <c r="AL505">
        <v>0</v>
      </c>
      <c r="AM505" t="s">
        <v>137</v>
      </c>
      <c r="AN505">
        <v>0</v>
      </c>
    </row>
    <row r="506" spans="1:42" ht="12.75">
      <c r="A506" s="2" t="str">
        <f>HYPERLINK("https://ibp.a2mac1.com/costing(costing:projects/details/8191/process/6973897)","Water jet cutting machine")</f>
        <v>Water jet cutting machine</v>
      </c>
      <c r="C506">
        <v>6973897</v>
      </c>
      <c r="D506">
        <v>5384823</v>
      </c>
      <c r="E506">
        <v>0</v>
      </c>
      <c r="F506">
        <v>0</v>
      </c>
      <c r="G506">
        <v>0</v>
      </c>
      <c r="H506">
        <v>0</v>
      </c>
      <c r="I506" t="s">
        <v>137</v>
      </c>
      <c r="J506">
        <v>0</v>
      </c>
      <c r="K506">
        <v>0</v>
      </c>
      <c r="L506">
        <v>0.12759587305024178</v>
      </c>
      <c r="M506">
        <v>0.76557523830145069</v>
      </c>
      <c r="N506">
        <v>0.76557523830145069</v>
      </c>
      <c r="O506" t="s">
        <v>138</v>
      </c>
      <c r="P506">
        <v>0</v>
      </c>
      <c r="Q506" t="s">
        <v>138</v>
      </c>
      <c r="R506">
        <v>0.045934514298087044</v>
      </c>
      <c r="S506" t="s">
        <v>139</v>
      </c>
      <c r="T506">
        <v>0.091869028596174088</v>
      </c>
      <c r="U506">
        <v>0.9033787811957118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15</v>
      </c>
      <c r="AB506">
        <v>1</v>
      </c>
      <c r="AC506">
        <v>0.10</v>
      </c>
      <c r="AD506">
        <v>4.745575431978815</v>
      </c>
      <c r="AE506">
        <v>360</v>
      </c>
      <c r="AF506">
        <v>200000</v>
      </c>
      <c r="AG506">
        <v>16666.666666666668</v>
      </c>
      <c r="AH506">
        <v>1</v>
      </c>
      <c r="AI506">
        <v>1</v>
      </c>
      <c r="AJ506" t="s">
        <v>136</v>
      </c>
      <c r="AK506" t="s">
        <v>137</v>
      </c>
      <c r="AL506">
        <v>0</v>
      </c>
      <c r="AM506" t="s">
        <v>137</v>
      </c>
      <c r="AN506">
        <v>0</v>
      </c>
    </row>
    <row r="507" spans="1:42" ht="12.75">
      <c r="A507" s="2" t="str">
        <f>HYPERLINK("https://ibp.a2mac1.com/costing(costing:projects/details/8191/process/6973898)","Thermocompression")</f>
        <v>Thermocompression</v>
      </c>
      <c r="C507">
        <v>6973898</v>
      </c>
      <c r="D507">
        <v>5384823</v>
      </c>
      <c r="E507">
        <v>0</v>
      </c>
      <c r="F507">
        <v>0</v>
      </c>
      <c r="G507">
        <v>0</v>
      </c>
      <c r="H507">
        <v>0</v>
      </c>
      <c r="I507" t="s">
        <v>137</v>
      </c>
      <c r="J507">
        <v>0</v>
      </c>
      <c r="K507">
        <v>0</v>
      </c>
      <c r="L507">
        <v>0.055972420058606004</v>
      </c>
      <c r="M507">
        <v>0.33583452035163602</v>
      </c>
      <c r="N507">
        <v>0.33583452035163602</v>
      </c>
      <c r="O507" t="s">
        <v>138</v>
      </c>
      <c r="P507">
        <v>0</v>
      </c>
      <c r="Q507" t="s">
        <v>138</v>
      </c>
      <c r="R507">
        <v>0.020150071221098163</v>
      </c>
      <c r="S507" t="s">
        <v>139</v>
      </c>
      <c r="T507">
        <v>0.040300142442196325</v>
      </c>
      <c r="U507">
        <v>0.39628473401493053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40</v>
      </c>
      <c r="AB507">
        <v>1</v>
      </c>
      <c r="AC507">
        <v>2.70</v>
      </c>
      <c r="AD507">
        <v>4.6474817399927533</v>
      </c>
      <c r="AE507">
        <v>60</v>
      </c>
      <c r="AF507">
        <v>200000</v>
      </c>
      <c r="AG507">
        <v>16666.666666666668</v>
      </c>
      <c r="AH507">
        <v>1</v>
      </c>
      <c r="AI507">
        <v>1</v>
      </c>
      <c r="AJ507" t="s">
        <v>79</v>
      </c>
      <c r="AK507" t="s">
        <v>137</v>
      </c>
      <c r="AL507">
        <v>0</v>
      </c>
      <c r="AM507" t="s">
        <v>137</v>
      </c>
      <c r="AN507">
        <v>0</v>
      </c>
    </row>
    <row r="508" spans="1:42" ht="12.75">
      <c r="A508" s="2" t="str">
        <f>HYPERLINK("https://ibp.a2mac1.com/costing(costing:projects/details/8191/process/6973899)","Die cutting")</f>
        <v>Die cutting</v>
      </c>
      <c r="C508">
        <v>6973899</v>
      </c>
      <c r="D508">
        <v>5384823</v>
      </c>
      <c r="E508">
        <v>0.61240934730056407</v>
      </c>
      <c r="F508">
        <v>0</v>
      </c>
      <c r="G508">
        <v>0</v>
      </c>
      <c r="H508">
        <v>0.012505398871877517</v>
      </c>
      <c r="I508" t="s">
        <v>137</v>
      </c>
      <c r="J508">
        <v>0.021434327155519742</v>
      </c>
      <c r="K508">
        <v>0.64634907332796132</v>
      </c>
      <c r="L508">
        <v>0.015718308750898493</v>
      </c>
      <c r="M508">
        <v>0.094309852505390951</v>
      </c>
      <c r="N508">
        <v>0.74065892583335224</v>
      </c>
      <c r="O508" t="s">
        <v>138</v>
      </c>
      <c r="P508">
        <v>0.038780944399677678</v>
      </c>
      <c r="Q508" t="s">
        <v>138</v>
      </c>
      <c r="R508">
        <v>0.0056585911503234569</v>
      </c>
      <c r="S508" t="s">
        <v>139</v>
      </c>
      <c r="T508">
        <v>0.088879071100002274</v>
      </c>
      <c r="U508">
        <v>0.87397753248335563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15</v>
      </c>
      <c r="AB508">
        <v>1</v>
      </c>
      <c r="AC508">
        <v>2</v>
      </c>
      <c r="AD508">
        <v>2.001136786813273</v>
      </c>
      <c r="AE508">
        <v>1800</v>
      </c>
      <c r="AF508">
        <v>200000</v>
      </c>
      <c r="AG508">
        <v>16666.666666666668</v>
      </c>
      <c r="AH508">
        <v>1</v>
      </c>
      <c r="AI508">
        <v>1</v>
      </c>
      <c r="AJ508" t="s">
        <v>136</v>
      </c>
      <c r="AK508" t="s">
        <v>137</v>
      </c>
      <c r="AL508">
        <v>0</v>
      </c>
      <c r="AM508" t="s">
        <v>137</v>
      </c>
      <c r="AN508">
        <v>0</v>
      </c>
    </row>
    <row r="509" spans="1:42" ht="12.75">
      <c r="A509" s="2" t="str">
        <f>HYPERLINK("https://ibp.a2mac1.com/costing(costing:projects/details/8191/process/6973900)","Handling/Visual inspection/packaging")</f>
        <v>Handling/Visual inspection/packaging</v>
      </c>
      <c r="C509">
        <v>6973900</v>
      </c>
      <c r="D509">
        <v>5384824</v>
      </c>
      <c r="E509">
        <v>0</v>
      </c>
      <c r="F509">
        <v>0</v>
      </c>
      <c r="G509">
        <v>0</v>
      </c>
      <c r="H509">
        <v>0</v>
      </c>
      <c r="I509" t="s">
        <v>137</v>
      </c>
      <c r="J509">
        <v>0</v>
      </c>
      <c r="K509">
        <v>0</v>
      </c>
      <c r="L509">
        <v>0.0015112285837208038</v>
      </c>
      <c r="M509">
        <v>0.0090673715023248235</v>
      </c>
      <c r="N509">
        <v>0.0090673715023248235</v>
      </c>
      <c r="O509" t="s">
        <v>138</v>
      </c>
      <c r="P509">
        <v>0</v>
      </c>
      <c r="Q509" t="s">
        <v>138</v>
      </c>
      <c r="R509">
        <v>0.00054404229013948937</v>
      </c>
      <c r="S509" t="s">
        <v>139</v>
      </c>
      <c r="T509">
        <v>0.0010880845802789787</v>
      </c>
      <c r="U509">
        <v>0.010699498372743291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5</v>
      </c>
      <c r="AB509">
        <v>1</v>
      </c>
      <c r="AC509">
        <v>0.10</v>
      </c>
      <c r="AD509">
        <v>4.8434675040441526</v>
      </c>
      <c r="AE509">
        <v>900</v>
      </c>
      <c r="AF509">
        <v>200000</v>
      </c>
      <c r="AG509">
        <v>16666.666666666668</v>
      </c>
      <c r="AH509">
        <v>1</v>
      </c>
      <c r="AI509">
        <v>1</v>
      </c>
      <c r="AJ509" t="s">
        <v>136</v>
      </c>
      <c r="AK509" t="s">
        <v>137</v>
      </c>
      <c r="AL509">
        <v>0</v>
      </c>
      <c r="AM509" t="s">
        <v>137</v>
      </c>
      <c r="AN509">
        <v>0</v>
      </c>
    </row>
    <row r="510" spans="1:42" ht="12.75">
      <c r="A510" s="2" t="str">
        <f>HYPERLINK("https://ibp.a2mac1.com/costing(costing:projects/details/8191/process/6973901)","Water jet cutting machine")</f>
        <v>Water jet cutting machine</v>
      </c>
      <c r="C510">
        <v>6973901</v>
      </c>
      <c r="D510">
        <v>5384824</v>
      </c>
      <c r="E510">
        <v>0</v>
      </c>
      <c r="F510">
        <v>0</v>
      </c>
      <c r="G510">
        <v>0</v>
      </c>
      <c r="H510">
        <v>0</v>
      </c>
      <c r="I510" t="s">
        <v>137</v>
      </c>
      <c r="J510">
        <v>0</v>
      </c>
      <c r="K510">
        <v>0</v>
      </c>
      <c r="L510">
        <v>0.25499507045303554</v>
      </c>
      <c r="M510">
        <v>1.5299704227182132</v>
      </c>
      <c r="N510">
        <v>1.5299704227182132</v>
      </c>
      <c r="O510" t="s">
        <v>138</v>
      </c>
      <c r="P510">
        <v>0</v>
      </c>
      <c r="Q510" t="s">
        <v>138</v>
      </c>
      <c r="R510">
        <v>0.091798225363092789</v>
      </c>
      <c r="S510" t="s">
        <v>139</v>
      </c>
      <c r="T510">
        <v>0.18359645072618558</v>
      </c>
      <c r="U510">
        <v>1.8053650988074916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30</v>
      </c>
      <c r="AB510">
        <v>1</v>
      </c>
      <c r="AC510">
        <v>0.10</v>
      </c>
      <c r="AD510">
        <v>4.745575431978815</v>
      </c>
      <c r="AE510">
        <v>360</v>
      </c>
      <c r="AF510">
        <v>200000</v>
      </c>
      <c r="AG510">
        <v>16666.666666666668</v>
      </c>
      <c r="AH510">
        <v>1</v>
      </c>
      <c r="AI510">
        <v>1</v>
      </c>
      <c r="AJ510" t="s">
        <v>136</v>
      </c>
      <c r="AK510" t="s">
        <v>137</v>
      </c>
      <c r="AL510">
        <v>0</v>
      </c>
      <c r="AM510" t="s">
        <v>137</v>
      </c>
      <c r="AN510">
        <v>0</v>
      </c>
    </row>
    <row r="511" spans="1:42" ht="12.75">
      <c r="A511" s="2" t="str">
        <f>HYPERLINK("https://ibp.a2mac1.com/costing(costing:projects/details/8191/process/6973902)","Thermocompression")</f>
        <v>Thermocompression</v>
      </c>
      <c r="C511">
        <v>6973902</v>
      </c>
      <c r="D511">
        <v>5384824</v>
      </c>
      <c r="E511">
        <v>0</v>
      </c>
      <c r="F511">
        <v>0</v>
      </c>
      <c r="G511">
        <v>0</v>
      </c>
      <c r="H511">
        <v>0</v>
      </c>
      <c r="I511" t="s">
        <v>137</v>
      </c>
      <c r="J511">
        <v>0</v>
      </c>
      <c r="K511">
        <v>0</v>
      </c>
      <c r="L511">
        <v>0.095151432128197613</v>
      </c>
      <c r="M511">
        <v>0.5709085927691856</v>
      </c>
      <c r="N511">
        <v>0.5709085927691856</v>
      </c>
      <c r="O511" t="s">
        <v>138</v>
      </c>
      <c r="P511">
        <v>0</v>
      </c>
      <c r="Q511" t="s">
        <v>138</v>
      </c>
      <c r="R511">
        <v>0.034254515566151139</v>
      </c>
      <c r="S511" t="s">
        <v>139</v>
      </c>
      <c r="T511">
        <v>0.068509031132302278</v>
      </c>
      <c r="U511">
        <v>0.67367213946763904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68</v>
      </c>
      <c r="AB511">
        <v>1</v>
      </c>
      <c r="AC511">
        <v>2.70</v>
      </c>
      <c r="AD511">
        <v>4.6474817399927533</v>
      </c>
      <c r="AE511">
        <v>60</v>
      </c>
      <c r="AF511">
        <v>200000</v>
      </c>
      <c r="AG511">
        <v>16666.666666666668</v>
      </c>
      <c r="AH511">
        <v>1</v>
      </c>
      <c r="AI511">
        <v>1</v>
      </c>
      <c r="AJ511" t="s">
        <v>79</v>
      </c>
      <c r="AK511" t="s">
        <v>137</v>
      </c>
      <c r="AL511">
        <v>0</v>
      </c>
      <c r="AM511" t="s">
        <v>137</v>
      </c>
      <c r="AN511">
        <v>0</v>
      </c>
    </row>
    <row r="512" spans="1:42" ht="12.75">
      <c r="A512" s="2" t="str">
        <f>HYPERLINK("https://ibp.a2mac1.com/costing(costing:projects/details/8191/process/6973903)","Die cutting")</f>
        <v>Die cutting</v>
      </c>
      <c r="C512">
        <v>6973903</v>
      </c>
      <c r="D512">
        <v>5384824</v>
      </c>
      <c r="E512">
        <v>4.2868654311039487</v>
      </c>
      <c r="F512">
        <v>0</v>
      </c>
      <c r="G512">
        <v>0</v>
      </c>
      <c r="H512">
        <v>0.087537792103142623</v>
      </c>
      <c r="I512" t="s">
        <v>137</v>
      </c>
      <c r="J512">
        <v>0.1500402900886382</v>
      </c>
      <c r="K512">
        <v>4.5244435132957292</v>
      </c>
      <c r="L512">
        <v>0.015718308750898493</v>
      </c>
      <c r="M512">
        <v>0.094309852505390951</v>
      </c>
      <c r="N512">
        <v>4.6187533658011199</v>
      </c>
      <c r="O512" t="s">
        <v>138</v>
      </c>
      <c r="P512">
        <v>0.27146661079774376</v>
      </c>
      <c r="Q512" t="s">
        <v>138</v>
      </c>
      <c r="R512">
        <v>0.0056585911503234569</v>
      </c>
      <c r="S512" t="s">
        <v>139</v>
      </c>
      <c r="T512">
        <v>0.55425040389613445</v>
      </c>
      <c r="U512">
        <v>5.4501289716453218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15</v>
      </c>
      <c r="AB512">
        <v>1</v>
      </c>
      <c r="AC512">
        <v>2</v>
      </c>
      <c r="AD512">
        <v>2.001136786813273</v>
      </c>
      <c r="AE512">
        <v>1800</v>
      </c>
      <c r="AF512">
        <v>200000</v>
      </c>
      <c r="AG512">
        <v>16666.666666666668</v>
      </c>
      <c r="AH512">
        <v>1</v>
      </c>
      <c r="AI512">
        <v>1</v>
      </c>
      <c r="AJ512" t="s">
        <v>136</v>
      </c>
      <c r="AK512" t="s">
        <v>137</v>
      </c>
      <c r="AL512">
        <v>0</v>
      </c>
      <c r="AM512" t="s">
        <v>137</v>
      </c>
      <c r="AN512">
        <v>0</v>
      </c>
    </row>
    <row r="513" spans="1:42" ht="12.75">
      <c r="A513" s="2" t="str">
        <f>HYPERLINK("https://ibp.a2mac1.com/costing(costing:projects/details/8191/process/6973904)","Handling/Visual inspection/packaging")</f>
        <v>Handling/Visual inspection/packaging</v>
      </c>
      <c r="C513">
        <v>6973904</v>
      </c>
      <c r="D513">
        <v>5384825</v>
      </c>
      <c r="E513">
        <v>0</v>
      </c>
      <c r="F513">
        <v>0</v>
      </c>
      <c r="G513">
        <v>0</v>
      </c>
      <c r="H513">
        <v>0</v>
      </c>
      <c r="I513" t="s">
        <v>137</v>
      </c>
      <c r="J513">
        <v>0</v>
      </c>
      <c r="K513">
        <v>0</v>
      </c>
      <c r="L513">
        <v>0.0015112285837208038</v>
      </c>
      <c r="M513">
        <v>0.0090673715023248235</v>
      </c>
      <c r="N513">
        <v>0.0090673715023248235</v>
      </c>
      <c r="O513" t="s">
        <v>138</v>
      </c>
      <c r="P513">
        <v>0</v>
      </c>
      <c r="Q513" t="s">
        <v>138</v>
      </c>
      <c r="R513">
        <v>0.00054404229013948937</v>
      </c>
      <c r="S513" t="s">
        <v>139</v>
      </c>
      <c r="T513">
        <v>0.0010880845802789787</v>
      </c>
      <c r="U513">
        <v>0.010699498372743291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5</v>
      </c>
      <c r="AB513">
        <v>1</v>
      </c>
      <c r="AC513">
        <v>0.10</v>
      </c>
      <c r="AD513">
        <v>4.8434675040441526</v>
      </c>
      <c r="AE513">
        <v>900</v>
      </c>
      <c r="AF513">
        <v>200000</v>
      </c>
      <c r="AG513">
        <v>16666.666666666668</v>
      </c>
      <c r="AH513">
        <v>1</v>
      </c>
      <c r="AI513">
        <v>1</v>
      </c>
      <c r="AJ513" t="s">
        <v>136</v>
      </c>
      <c r="AK513" t="s">
        <v>137</v>
      </c>
      <c r="AL513">
        <v>0</v>
      </c>
      <c r="AM513" t="s">
        <v>137</v>
      </c>
      <c r="AN513">
        <v>0</v>
      </c>
    </row>
    <row r="514" spans="1:42" ht="12.75">
      <c r="A514" s="2" t="str">
        <f>HYPERLINK("https://ibp.a2mac1.com/costing(costing:projects/details/8191/process/6973905)","Water jet cutting machine")</f>
        <v>Water jet cutting machine</v>
      </c>
      <c r="C514">
        <v>6973905</v>
      </c>
      <c r="D514">
        <v>5384825</v>
      </c>
      <c r="E514">
        <v>0</v>
      </c>
      <c r="F514">
        <v>0</v>
      </c>
      <c r="G514">
        <v>0</v>
      </c>
      <c r="H514">
        <v>0</v>
      </c>
      <c r="I514" t="s">
        <v>137</v>
      </c>
      <c r="J514">
        <v>0</v>
      </c>
      <c r="K514">
        <v>0</v>
      </c>
      <c r="L514">
        <v>0.33992786872156472</v>
      </c>
      <c r="M514">
        <v>2.0395672123293882</v>
      </c>
      <c r="N514">
        <v>2.0395672123293882</v>
      </c>
      <c r="O514" t="s">
        <v>138</v>
      </c>
      <c r="P514">
        <v>0</v>
      </c>
      <c r="Q514" t="s">
        <v>138</v>
      </c>
      <c r="R514">
        <v>0.1223740327397633</v>
      </c>
      <c r="S514" t="s">
        <v>139</v>
      </c>
      <c r="T514">
        <v>0.2447480654795266</v>
      </c>
      <c r="U514">
        <v>2.406689310548678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40</v>
      </c>
      <c r="AB514">
        <v>1</v>
      </c>
      <c r="AC514">
        <v>0.10</v>
      </c>
      <c r="AD514">
        <v>4.745575431978815</v>
      </c>
      <c r="AE514">
        <v>360</v>
      </c>
      <c r="AF514">
        <v>200000</v>
      </c>
      <c r="AG514">
        <v>16666.666666666668</v>
      </c>
      <c r="AH514">
        <v>1</v>
      </c>
      <c r="AI514">
        <v>1</v>
      </c>
      <c r="AJ514" t="s">
        <v>136</v>
      </c>
      <c r="AK514" t="s">
        <v>137</v>
      </c>
      <c r="AL514">
        <v>0</v>
      </c>
      <c r="AM514" t="s">
        <v>137</v>
      </c>
      <c r="AN514">
        <v>0</v>
      </c>
    </row>
    <row r="515" spans="1:42" ht="12.75">
      <c r="A515" s="2" t="str">
        <f>HYPERLINK("https://ibp.a2mac1.com/costing(costing:projects/details/8191/process/6973906)","Thermocompression")</f>
        <v>Thermocompression</v>
      </c>
      <c r="C515">
        <v>6973906</v>
      </c>
      <c r="D515">
        <v>5384825</v>
      </c>
      <c r="E515">
        <v>0</v>
      </c>
      <c r="F515">
        <v>0</v>
      </c>
      <c r="G515">
        <v>0</v>
      </c>
      <c r="H515">
        <v>0</v>
      </c>
      <c r="I515" t="s">
        <v>137</v>
      </c>
      <c r="J515">
        <v>0</v>
      </c>
      <c r="K515">
        <v>0</v>
      </c>
      <c r="L515">
        <v>0.095151432128197613</v>
      </c>
      <c r="M515">
        <v>0.5709085927691856</v>
      </c>
      <c r="N515">
        <v>0.5709085927691856</v>
      </c>
      <c r="O515" t="s">
        <v>138</v>
      </c>
      <c r="P515">
        <v>0</v>
      </c>
      <c r="Q515" t="s">
        <v>138</v>
      </c>
      <c r="R515">
        <v>0.034254515566151139</v>
      </c>
      <c r="S515" t="s">
        <v>139</v>
      </c>
      <c r="T515">
        <v>0.068509031132302278</v>
      </c>
      <c r="U515">
        <v>0.67367213946763904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68</v>
      </c>
      <c r="AB515">
        <v>1</v>
      </c>
      <c r="AC515">
        <v>2.70</v>
      </c>
      <c r="AD515">
        <v>4.6474817399927533</v>
      </c>
      <c r="AE515">
        <v>60</v>
      </c>
      <c r="AF515">
        <v>200000</v>
      </c>
      <c r="AG515">
        <v>16666.666666666668</v>
      </c>
      <c r="AH515">
        <v>1</v>
      </c>
      <c r="AI515">
        <v>1</v>
      </c>
      <c r="AJ515" t="s">
        <v>79</v>
      </c>
      <c r="AK515" t="s">
        <v>137</v>
      </c>
      <c r="AL515">
        <v>0</v>
      </c>
      <c r="AM515" t="s">
        <v>137</v>
      </c>
      <c r="AN515">
        <v>0</v>
      </c>
    </row>
    <row r="516" spans="1:42" ht="12.75">
      <c r="A516" s="2" t="str">
        <f>HYPERLINK("https://ibp.a2mac1.com/costing(costing:projects/details/8191/process/6973907)","Die cutting")</f>
        <v>Die cutting</v>
      </c>
      <c r="C516">
        <v>6973907</v>
      </c>
      <c r="D516">
        <v>5384825</v>
      </c>
      <c r="E516">
        <v>2.3577759871071717</v>
      </c>
      <c r="F516">
        <v>0</v>
      </c>
      <c r="G516">
        <v>0</v>
      </c>
      <c r="H516">
        <v>0.048145785656728446</v>
      </c>
      <c r="I516" t="s">
        <v>137</v>
      </c>
      <c r="J516">
        <v>0.082522159548751001</v>
      </c>
      <c r="K516">
        <v>2.4884439323126513</v>
      </c>
      <c r="L516">
        <v>0.015718308750898493</v>
      </c>
      <c r="M516">
        <v>0.094309852505390951</v>
      </c>
      <c r="N516">
        <v>2.582753784818042</v>
      </c>
      <c r="O516" t="s">
        <v>138</v>
      </c>
      <c r="P516">
        <v>0.14930663593875906</v>
      </c>
      <c r="Q516" t="s">
        <v>138</v>
      </c>
      <c r="R516">
        <v>0.0056585911503234569</v>
      </c>
      <c r="S516" t="s">
        <v>139</v>
      </c>
      <c r="T516">
        <v>0.30993045417816506</v>
      </c>
      <c r="U516">
        <v>3.0476494660852897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15</v>
      </c>
      <c r="AB516">
        <v>1</v>
      </c>
      <c r="AC516">
        <v>2</v>
      </c>
      <c r="AD516">
        <v>2.001136786813273</v>
      </c>
      <c r="AE516">
        <v>1800</v>
      </c>
      <c r="AF516">
        <v>200000</v>
      </c>
      <c r="AG516">
        <v>16666.666666666668</v>
      </c>
      <c r="AH516">
        <v>1</v>
      </c>
      <c r="AI516">
        <v>1</v>
      </c>
      <c r="AJ516" t="s">
        <v>136</v>
      </c>
      <c r="AK516" t="s">
        <v>137</v>
      </c>
      <c r="AL516">
        <v>0</v>
      </c>
      <c r="AM516" t="s">
        <v>137</v>
      </c>
      <c r="AN516">
        <v>0</v>
      </c>
    </row>
    <row r="517" spans="1:42" ht="12.75">
      <c r="A517" s="2" t="str">
        <f>HYPERLINK("https://ibp.a2mac1.com/costing(costing:projects/details/8191/process/6973947)","Automated Process")</f>
        <v>Automated Process</v>
      </c>
      <c r="C517">
        <v>6973947</v>
      </c>
      <c r="D517">
        <v>5384903</v>
      </c>
      <c r="E517">
        <v>3.7633994159999999</v>
      </c>
      <c r="F517">
        <v>0</v>
      </c>
      <c r="G517">
        <v>0</v>
      </c>
      <c r="H517">
        <v>0.019090527363368422</v>
      </c>
      <c r="I517" t="s">
        <v>137</v>
      </c>
      <c r="J517">
        <v>0.13204910231578948</v>
      </c>
      <c r="K517">
        <v>3.9145390456791578</v>
      </c>
      <c r="L517">
        <v>0.082151340613544663</v>
      </c>
      <c r="M517">
        <v>0.49290804368126795</v>
      </c>
      <c r="N517">
        <v>4.4074470893604261</v>
      </c>
      <c r="O517" t="s">
        <v>90</v>
      </c>
      <c r="P517">
        <v>0</v>
      </c>
      <c r="Q517" t="s">
        <v>90</v>
      </c>
      <c r="R517">
        <v>0</v>
      </c>
      <c r="S517" t="s">
        <v>90</v>
      </c>
      <c r="T517">
        <v>0</v>
      </c>
      <c r="U517">
        <v>4.4074470893604261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60</v>
      </c>
      <c r="AB517">
        <v>1</v>
      </c>
      <c r="AC517">
        <v>0.50</v>
      </c>
      <c r="AD517">
        <v>0.50345253019720215</v>
      </c>
      <c r="AE517">
        <v>4757.40</v>
      </c>
      <c r="AF517">
        <v>200000</v>
      </c>
      <c r="AG517">
        <v>16666.666666666668</v>
      </c>
      <c r="AH517">
        <v>1</v>
      </c>
      <c r="AI517">
        <v>1</v>
      </c>
      <c r="AJ517" t="s">
        <v>136</v>
      </c>
      <c r="AK517" t="s">
        <v>137</v>
      </c>
      <c r="AL517">
        <v>0</v>
      </c>
      <c r="AM517" t="s">
        <v>137</v>
      </c>
      <c r="AN517">
        <v>0</v>
      </c>
    </row>
    <row r="518" spans="1:42" ht="12.75">
      <c r="A518" s="2" t="str">
        <f>HYPERLINK("https://ibp.a2mac1.com/costing(costing:projects/details/8191/process/6973948)","Automated Process")</f>
        <v>Automated Process</v>
      </c>
      <c r="C518">
        <v>6973948</v>
      </c>
      <c r="D518">
        <v>5384904</v>
      </c>
      <c r="E518">
        <v>0.85328359200000004</v>
      </c>
      <c r="F518">
        <v>0</v>
      </c>
      <c r="G518">
        <v>0</v>
      </c>
      <c r="H518">
        <v>0.0043284360656842104</v>
      </c>
      <c r="I518" t="s">
        <v>137</v>
      </c>
      <c r="J518">
        <v>0.029939775157894737</v>
      </c>
      <c r="K518">
        <v>0.88755180322357896</v>
      </c>
      <c r="L518">
        <v>0.028032285912185224</v>
      </c>
      <c r="M518">
        <v>0.16819371547311135</v>
      </c>
      <c r="N518">
        <v>1.0557455186966902</v>
      </c>
      <c r="O518" t="s">
        <v>90</v>
      </c>
      <c r="P518">
        <v>0</v>
      </c>
      <c r="Q518" t="s">
        <v>90</v>
      </c>
      <c r="R518">
        <v>0</v>
      </c>
      <c r="S518" t="s">
        <v>90</v>
      </c>
      <c r="T518">
        <v>0</v>
      </c>
      <c r="U518">
        <v>1.0557455186966902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60</v>
      </c>
      <c r="AB518">
        <v>1</v>
      </c>
      <c r="AC518">
        <v>0.50</v>
      </c>
      <c r="AD518">
        <v>0.50345253019720215</v>
      </c>
      <c r="AE518">
        <v>1628.10</v>
      </c>
      <c r="AF518">
        <v>200000</v>
      </c>
      <c r="AG518">
        <v>16666.666666666668</v>
      </c>
      <c r="AH518">
        <v>1</v>
      </c>
      <c r="AI518">
        <v>1</v>
      </c>
      <c r="AJ518" t="s">
        <v>136</v>
      </c>
      <c r="AK518" t="s">
        <v>137</v>
      </c>
      <c r="AL518">
        <v>0</v>
      </c>
      <c r="AM518" t="s">
        <v>137</v>
      </c>
      <c r="AN518">
        <v>0</v>
      </c>
    </row>
    <row r="519" spans="1:42" ht="12.75">
      <c r="A519" s="2" t="str">
        <f>HYPERLINK("https://ibp.a2mac1.com/costing(costing:projects/details/8191/process/6973949)","Automated Process")</f>
        <v>Automated Process</v>
      </c>
      <c r="C519">
        <v>6973949</v>
      </c>
      <c r="D519">
        <v>5384905</v>
      </c>
      <c r="E519">
        <v>0.53211849600000005</v>
      </c>
      <c r="F519">
        <v>0</v>
      </c>
      <c r="G519">
        <v>0</v>
      </c>
      <c r="H519">
        <v>0.002699267759157895</v>
      </c>
      <c r="I519" t="s">
        <v>137</v>
      </c>
      <c r="J519">
        <v>0.018670824421052633</v>
      </c>
      <c r="K519">
        <v>0.55348858818021052</v>
      </c>
      <c r="L519">
        <v>0.010263958479019376</v>
      </c>
      <c r="M519">
        <v>0.061583750874116258</v>
      </c>
      <c r="N519">
        <v>0.61507233905432679</v>
      </c>
      <c r="O519" t="s">
        <v>138</v>
      </c>
      <c r="P519">
        <v>0.033209315290812634</v>
      </c>
      <c r="Q519" t="s">
        <v>138</v>
      </c>
      <c r="R519">
        <v>0.0036950250524469754</v>
      </c>
      <c r="S519" t="s">
        <v>139</v>
      </c>
      <c r="T519">
        <v>0.073808680686519218</v>
      </c>
      <c r="U519">
        <v>0.72578536008410555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60</v>
      </c>
      <c r="AB519">
        <v>1</v>
      </c>
      <c r="AC519">
        <v>0.50</v>
      </c>
      <c r="AD519">
        <v>0.50345253019720215</v>
      </c>
      <c r="AE519">
        <v>596.70</v>
      </c>
      <c r="AF519">
        <v>200000</v>
      </c>
      <c r="AG519">
        <v>16666.666666666668</v>
      </c>
      <c r="AH519">
        <v>1</v>
      </c>
      <c r="AI519">
        <v>1</v>
      </c>
      <c r="AJ519" t="s">
        <v>136</v>
      </c>
      <c r="AK519" t="s">
        <v>137</v>
      </c>
      <c r="AL519">
        <v>0</v>
      </c>
      <c r="AM519" t="s">
        <v>137</v>
      </c>
      <c r="AN519">
        <v>0</v>
      </c>
    </row>
    <row r="520" spans="1:42" ht="12.75">
      <c r="A520" s="2" t="str">
        <f>HYPERLINK("https://ibp.a2mac1.com/costing(costing:projects/details/8191/process/6974018)","Automated Process")</f>
        <v>Automated Process</v>
      </c>
      <c r="C520">
        <v>6974018</v>
      </c>
      <c r="D520">
        <v>5385038</v>
      </c>
      <c r="E520">
        <v>0.56602560000000002</v>
      </c>
      <c r="F520">
        <v>0</v>
      </c>
      <c r="G520">
        <v>0</v>
      </c>
      <c r="H520">
        <v>0.002871267705263158</v>
      </c>
      <c r="I520" t="s">
        <v>137</v>
      </c>
      <c r="J520">
        <v>0.019860547368421053</v>
      </c>
      <c r="K520">
        <v>0.58875741507368418</v>
      </c>
      <c r="L520">
        <v>0.018585694727726084</v>
      </c>
      <c r="M520">
        <v>0.11151416836635651</v>
      </c>
      <c r="N520">
        <v>0.7002715834400407</v>
      </c>
      <c r="O520" t="s">
        <v>90</v>
      </c>
      <c r="P520">
        <v>0</v>
      </c>
      <c r="Q520" t="s">
        <v>90</v>
      </c>
      <c r="R520">
        <v>0</v>
      </c>
      <c r="S520" t="s">
        <v>90</v>
      </c>
      <c r="T520">
        <v>0</v>
      </c>
      <c r="U520">
        <v>0.7002715834400407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60</v>
      </c>
      <c r="AB520">
        <v>1</v>
      </c>
      <c r="AC520">
        <v>0.50</v>
      </c>
      <c r="AD520">
        <v>0.50345253019720215</v>
      </c>
      <c r="AE520">
        <v>1080</v>
      </c>
      <c r="AF520">
        <v>200000</v>
      </c>
      <c r="AG520">
        <v>16666.666666666668</v>
      </c>
      <c r="AH520">
        <v>1</v>
      </c>
      <c r="AI520">
        <v>1</v>
      </c>
      <c r="AJ520" t="s">
        <v>136</v>
      </c>
      <c r="AK520" t="s">
        <v>137</v>
      </c>
      <c r="AL520">
        <v>0</v>
      </c>
      <c r="AM520" t="s">
        <v>137</v>
      </c>
      <c r="AN520">
        <v>0</v>
      </c>
    </row>
    <row r="521" spans="1:42" ht="12.75">
      <c r="A521" s="2" t="str">
        <f>HYPERLINK("https://ibp.a2mac1.com/costing(costing:projects/details/8191/process/6974019)","Automated Process")</f>
        <v>Automated Process</v>
      </c>
      <c r="C521">
        <v>6974019</v>
      </c>
      <c r="D521">
        <v>5385039</v>
      </c>
      <c r="E521">
        <v>0.56885572799999995</v>
      </c>
      <c r="F521">
        <v>0</v>
      </c>
      <c r="G521">
        <v>0</v>
      </c>
      <c r="H521">
        <v>0.0028856240437894736</v>
      </c>
      <c r="I521" t="s">
        <v>137</v>
      </c>
      <c r="J521">
        <v>0.019959850105263157</v>
      </c>
      <c r="K521">
        <v>0.59170120214905264</v>
      </c>
      <c r="L521">
        <v>0.018678717461529826</v>
      </c>
      <c r="M521">
        <v>0.11207230476917895</v>
      </c>
      <c r="N521">
        <v>0.7037735069182316</v>
      </c>
      <c r="O521" t="s">
        <v>90</v>
      </c>
      <c r="P521">
        <v>0</v>
      </c>
      <c r="Q521" t="s">
        <v>90</v>
      </c>
      <c r="R521">
        <v>0</v>
      </c>
      <c r="S521" t="s">
        <v>90</v>
      </c>
      <c r="T521">
        <v>0</v>
      </c>
      <c r="U521">
        <v>0.7037735069182316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60</v>
      </c>
      <c r="AB521">
        <v>1</v>
      </c>
      <c r="AC521">
        <v>0.50</v>
      </c>
      <c r="AD521">
        <v>0.50345253019720215</v>
      </c>
      <c r="AE521">
        <v>1085.40</v>
      </c>
      <c r="AF521">
        <v>200000</v>
      </c>
      <c r="AG521">
        <v>16666.666666666668</v>
      </c>
      <c r="AH521">
        <v>1</v>
      </c>
      <c r="AI521">
        <v>1</v>
      </c>
      <c r="AJ521" t="s">
        <v>136</v>
      </c>
      <c r="AK521" t="s">
        <v>137</v>
      </c>
      <c r="AL521">
        <v>0</v>
      </c>
      <c r="AM521" t="s">
        <v>137</v>
      </c>
      <c r="AN521">
        <v>0</v>
      </c>
    </row>
    <row r="522" spans="1:42" ht="12.75">
      <c r="A522" s="2" t="str">
        <f>HYPERLINK("https://ibp.a2mac1.com/costing(costing:projects/details/8191/process/6973950)","Automated Process")</f>
        <v>Automated Process</v>
      </c>
      <c r="C522">
        <v>6973950</v>
      </c>
      <c r="D522">
        <v>5384908</v>
      </c>
      <c r="E522">
        <v>0</v>
      </c>
      <c r="F522">
        <v>0</v>
      </c>
      <c r="G522">
        <v>0</v>
      </c>
      <c r="H522">
        <v>0</v>
      </c>
      <c r="I522" t="s">
        <v>137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138</v>
      </c>
      <c r="P522">
        <v>0</v>
      </c>
      <c r="Q522" t="s">
        <v>138</v>
      </c>
      <c r="R522">
        <v>0</v>
      </c>
      <c r="S522" t="s">
        <v>139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0.50</v>
      </c>
      <c r="AD522">
        <v>0.81136305024896349</v>
      </c>
      <c r="AE522">
        <v>0</v>
      </c>
      <c r="AF522">
        <v>200000</v>
      </c>
      <c r="AG522">
        <v>16666.666666666668</v>
      </c>
      <c r="AH522">
        <v>1</v>
      </c>
      <c r="AI522">
        <v>1</v>
      </c>
      <c r="AJ522" t="s">
        <v>136</v>
      </c>
      <c r="AK522" t="s">
        <v>137</v>
      </c>
      <c r="AL522">
        <v>0</v>
      </c>
      <c r="AM522" t="s">
        <v>137</v>
      </c>
      <c r="AN522">
        <v>0</v>
      </c>
    </row>
    <row r="523" spans="1:42" ht="12.75">
      <c r="A523" s="2" t="str">
        <f>HYPERLINK("https://ibp.a2mac1.com/costing(costing:projects/details/8191/process/6973953)","Stamping")</f>
        <v>Stamping</v>
      </c>
      <c r="C523">
        <v>6973953</v>
      </c>
      <c r="D523">
        <v>5384908</v>
      </c>
      <c r="E523">
        <v>0.37252795999999999</v>
      </c>
      <c r="F523">
        <v>0</v>
      </c>
      <c r="G523">
        <v>0</v>
      </c>
      <c r="H523">
        <v>0.0011473861168</v>
      </c>
      <c r="I523" t="s">
        <v>137</v>
      </c>
      <c r="J523">
        <v>0.0130384786</v>
      </c>
      <c r="K523">
        <v>0.38671382471679999</v>
      </c>
      <c r="L523">
        <v>0.0038479505137935782</v>
      </c>
      <c r="M523">
        <v>0.023087703082761469</v>
      </c>
      <c r="N523">
        <v>0.40980152779956147</v>
      </c>
      <c r="O523" t="s">
        <v>138</v>
      </c>
      <c r="P523">
        <v>0.023202829483007999</v>
      </c>
      <c r="Q523" t="s">
        <v>138</v>
      </c>
      <c r="R523">
        <v>0.0013852621849656881</v>
      </c>
      <c r="S523" t="s">
        <v>139</v>
      </c>
      <c r="T523">
        <v>0.049176183335947379</v>
      </c>
      <c r="U523">
        <v>0.48356580280348255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0.85511000000000004</v>
      </c>
      <c r="AB523">
        <v>1</v>
      </c>
      <c r="AC523">
        <v>0.10</v>
      </c>
      <c r="AD523">
        <v>0.30705427283965386</v>
      </c>
      <c r="AE523">
        <v>1800</v>
      </c>
      <c r="AF523">
        <v>200000</v>
      </c>
      <c r="AG523">
        <v>16666.666666666668</v>
      </c>
      <c r="AH523">
        <v>1</v>
      </c>
      <c r="AI523">
        <v>1</v>
      </c>
      <c r="AJ523" t="s">
        <v>136</v>
      </c>
      <c r="AK523" t="s">
        <v>137</v>
      </c>
      <c r="AL523">
        <v>0</v>
      </c>
      <c r="AM523" t="s">
        <v>137</v>
      </c>
      <c r="AN523">
        <v>0</v>
      </c>
    </row>
    <row r="524" spans="1:42" ht="12.75">
      <c r="A524" s="2" t="str">
        <f>HYPERLINK("https://ibp.a2mac1.com/costing(costing:projects/details/8191/process/6973952)","Cleaning")</f>
        <v>Cleaning</v>
      </c>
      <c r="C524">
        <v>6973952</v>
      </c>
      <c r="D524">
        <v>5384908</v>
      </c>
      <c r="E524">
        <v>0</v>
      </c>
      <c r="F524">
        <v>0</v>
      </c>
      <c r="G524">
        <v>0</v>
      </c>
      <c r="H524">
        <v>0</v>
      </c>
      <c r="I524" t="s">
        <v>137</v>
      </c>
      <c r="J524">
        <v>0</v>
      </c>
      <c r="K524">
        <v>0</v>
      </c>
      <c r="L524">
        <v>0.013387064771013693</v>
      </c>
      <c r="M524">
        <v>0.080322388626082167</v>
      </c>
      <c r="N524">
        <v>0.080322388626082167</v>
      </c>
      <c r="O524" t="s">
        <v>138</v>
      </c>
      <c r="P524">
        <v>0</v>
      </c>
      <c r="Q524" t="s">
        <v>138</v>
      </c>
      <c r="R524">
        <v>0.0048193433175649295</v>
      </c>
      <c r="S524" t="s">
        <v>139</v>
      </c>
      <c r="T524">
        <v>0.0096386866351298589</v>
      </c>
      <c r="U524">
        <v>0.094780418578776948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10</v>
      </c>
      <c r="AB524">
        <v>1</v>
      </c>
      <c r="AC524">
        <v>0.10</v>
      </c>
      <c r="AD524">
        <v>0.20557651238448796</v>
      </c>
      <c r="AE524">
        <v>0</v>
      </c>
      <c r="AF524">
        <v>200000</v>
      </c>
      <c r="AG524">
        <v>16666.666666666668</v>
      </c>
      <c r="AH524">
        <v>1</v>
      </c>
      <c r="AI524">
        <v>1</v>
      </c>
      <c r="AJ524" t="s">
        <v>136</v>
      </c>
      <c r="AK524" t="s">
        <v>137</v>
      </c>
      <c r="AL524">
        <v>0</v>
      </c>
      <c r="AM524" t="s">
        <v>137</v>
      </c>
      <c r="AN524">
        <v>0</v>
      </c>
    </row>
    <row r="525" spans="1:42" ht="12.75">
      <c r="A525" s="2" t="str">
        <f>HYPERLINK("https://ibp.a2mac1.com/costing(costing:projects/details/8191/process/6973951)","Packaging")</f>
        <v>Packaging</v>
      </c>
      <c r="C525">
        <v>6973951</v>
      </c>
      <c r="D525">
        <v>5384908</v>
      </c>
      <c r="E525">
        <v>0</v>
      </c>
      <c r="F525">
        <v>0</v>
      </c>
      <c r="G525">
        <v>0</v>
      </c>
      <c r="H525">
        <v>0</v>
      </c>
      <c r="I525" t="s">
        <v>137</v>
      </c>
      <c r="J525">
        <v>0</v>
      </c>
      <c r="K525">
        <v>0</v>
      </c>
      <c r="L525">
        <v>0.0060707770319905078</v>
      </c>
      <c r="M525">
        <v>0.036424662191943048</v>
      </c>
      <c r="N525">
        <v>0.036424662191943048</v>
      </c>
      <c r="O525" t="s">
        <v>138</v>
      </c>
      <c r="P525">
        <v>0</v>
      </c>
      <c r="Q525" t="s">
        <v>138</v>
      </c>
      <c r="R525">
        <v>0.0021854797315165827</v>
      </c>
      <c r="S525" t="s">
        <v>139</v>
      </c>
      <c r="T525">
        <v>0.0043709594630331654</v>
      </c>
      <c r="U525">
        <v>0.042981101386492797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8</v>
      </c>
      <c r="AB525">
        <v>1</v>
      </c>
      <c r="AC525">
        <v>0.10</v>
      </c>
      <c r="AD525">
        <v>0.10389195236953569</v>
      </c>
      <c r="AE525">
        <v>900</v>
      </c>
      <c r="AF525">
        <v>200000</v>
      </c>
      <c r="AG525">
        <v>16666.666666666668</v>
      </c>
      <c r="AH525">
        <v>1</v>
      </c>
      <c r="AI525">
        <v>1</v>
      </c>
      <c r="AJ525" t="s">
        <v>136</v>
      </c>
      <c r="AK525" t="s">
        <v>137</v>
      </c>
      <c r="AL525">
        <v>0</v>
      </c>
      <c r="AM525" t="s">
        <v>137</v>
      </c>
      <c r="AN525">
        <v>0</v>
      </c>
    </row>
    <row r="526" spans="1:42" ht="12.75">
      <c r="A526" s="2" t="str">
        <f>HYPERLINK("https://ibp.a2mac1.com/costing(costing:projects/details/8191/process/6973954)","Stamping")</f>
        <v>Stamping</v>
      </c>
      <c r="C526">
        <v>6973954</v>
      </c>
      <c r="D526">
        <v>5384909</v>
      </c>
      <c r="E526">
        <v>0.14932777999999999</v>
      </c>
      <c r="F526">
        <v>0</v>
      </c>
      <c r="G526">
        <v>0</v>
      </c>
      <c r="H526">
        <v>0.00045992956239999998</v>
      </c>
      <c r="I526" t="s">
        <v>137</v>
      </c>
      <c r="J526">
        <v>0.0052264722999999999</v>
      </c>
      <c r="K526">
        <v>0.15501418186240001</v>
      </c>
      <c r="L526">
        <v>0.0038479505137935782</v>
      </c>
      <c r="M526">
        <v>0.023087703082761469</v>
      </c>
      <c r="N526">
        <v>0.17810188494516146</v>
      </c>
      <c r="O526" t="s">
        <v>138</v>
      </c>
      <c r="P526">
        <v>0.0093008509117439991</v>
      </c>
      <c r="Q526" t="s">
        <v>138</v>
      </c>
      <c r="R526">
        <v>0.0013852621849656881</v>
      </c>
      <c r="S526" t="s">
        <v>139</v>
      </c>
      <c r="T526">
        <v>0.021372226193419375</v>
      </c>
      <c r="U526">
        <v>0.21016022423529054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0.85511000000000004</v>
      </c>
      <c r="AB526">
        <v>1</v>
      </c>
      <c r="AC526">
        <v>0.10</v>
      </c>
      <c r="AD526">
        <v>0.30705427283965386</v>
      </c>
      <c r="AE526">
        <v>1800</v>
      </c>
      <c r="AF526">
        <v>200000</v>
      </c>
      <c r="AG526">
        <v>16666.666666666668</v>
      </c>
      <c r="AH526">
        <v>1</v>
      </c>
      <c r="AI526">
        <v>1</v>
      </c>
      <c r="AJ526" t="s">
        <v>136</v>
      </c>
      <c r="AK526" t="s">
        <v>137</v>
      </c>
      <c r="AL526">
        <v>0</v>
      </c>
      <c r="AM526" t="s">
        <v>137</v>
      </c>
      <c r="AN526">
        <v>0</v>
      </c>
    </row>
    <row r="527" spans="1:42" ht="12.75">
      <c r="A527" s="2" t="str">
        <f>HYPERLINK("https://ibp.a2mac1.com/costing(costing:projects/details/8191/process/6973955)","Cleaning")</f>
        <v>Cleaning</v>
      </c>
      <c r="C527">
        <v>6973955</v>
      </c>
      <c r="D527">
        <v>5384909</v>
      </c>
      <c r="E527">
        <v>0</v>
      </c>
      <c r="F527">
        <v>0</v>
      </c>
      <c r="G527">
        <v>0</v>
      </c>
      <c r="H527">
        <v>0</v>
      </c>
      <c r="I527" t="s">
        <v>137</v>
      </c>
      <c r="J527">
        <v>0</v>
      </c>
      <c r="K527">
        <v>0</v>
      </c>
      <c r="L527">
        <v>0.013387064771013693</v>
      </c>
      <c r="M527">
        <v>0.080322388626082167</v>
      </c>
      <c r="N527">
        <v>0.080322388626082167</v>
      </c>
      <c r="O527" t="s">
        <v>138</v>
      </c>
      <c r="P527">
        <v>0</v>
      </c>
      <c r="Q527" t="s">
        <v>138</v>
      </c>
      <c r="R527">
        <v>0.0048193433175649295</v>
      </c>
      <c r="S527" t="s">
        <v>139</v>
      </c>
      <c r="T527">
        <v>0.0096386866351298589</v>
      </c>
      <c r="U527">
        <v>0.094780418578776948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10</v>
      </c>
      <c r="AB527">
        <v>1</v>
      </c>
      <c r="AC527">
        <v>0.10</v>
      </c>
      <c r="AD527">
        <v>0.20557651238448796</v>
      </c>
      <c r="AE527">
        <v>0</v>
      </c>
      <c r="AF527">
        <v>200000</v>
      </c>
      <c r="AG527">
        <v>16666.666666666668</v>
      </c>
      <c r="AH527">
        <v>1</v>
      </c>
      <c r="AI527">
        <v>1</v>
      </c>
      <c r="AJ527" t="s">
        <v>136</v>
      </c>
      <c r="AK527" t="s">
        <v>137</v>
      </c>
      <c r="AL527">
        <v>0</v>
      </c>
      <c r="AM527" t="s">
        <v>137</v>
      </c>
      <c r="AN527">
        <v>0</v>
      </c>
    </row>
    <row r="528" spans="1:42" ht="12.75">
      <c r="A528" s="2" t="str">
        <f>HYPERLINK("https://ibp.a2mac1.com/costing(costing:projects/details/8191/process/6973956)","Packaging")</f>
        <v>Packaging</v>
      </c>
      <c r="C528">
        <v>6973956</v>
      </c>
      <c r="D528">
        <v>5384909</v>
      </c>
      <c r="E528">
        <v>0</v>
      </c>
      <c r="F528">
        <v>0</v>
      </c>
      <c r="G528">
        <v>0</v>
      </c>
      <c r="H528">
        <v>0</v>
      </c>
      <c r="I528" t="s">
        <v>137</v>
      </c>
      <c r="J528">
        <v>0</v>
      </c>
      <c r="K528">
        <v>0</v>
      </c>
      <c r="L528">
        <v>0.0060707770319905078</v>
      </c>
      <c r="M528">
        <v>0.036424662191943048</v>
      </c>
      <c r="N528">
        <v>0.036424662191943048</v>
      </c>
      <c r="O528" t="s">
        <v>138</v>
      </c>
      <c r="P528">
        <v>0</v>
      </c>
      <c r="Q528" t="s">
        <v>138</v>
      </c>
      <c r="R528">
        <v>0.0021854797315165827</v>
      </c>
      <c r="S528" t="s">
        <v>139</v>
      </c>
      <c r="T528">
        <v>0.0043709594630331654</v>
      </c>
      <c r="U528">
        <v>0.042981101386492797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8</v>
      </c>
      <c r="AB528">
        <v>1</v>
      </c>
      <c r="AC528">
        <v>0.10</v>
      </c>
      <c r="AD528">
        <v>0.10389195236953569</v>
      </c>
      <c r="AE528">
        <v>900</v>
      </c>
      <c r="AF528">
        <v>200000</v>
      </c>
      <c r="AG528">
        <v>16666.666666666668</v>
      </c>
      <c r="AH528">
        <v>1</v>
      </c>
      <c r="AI528">
        <v>1</v>
      </c>
      <c r="AJ528" t="s">
        <v>136</v>
      </c>
      <c r="AK528" t="s">
        <v>137</v>
      </c>
      <c r="AL528">
        <v>0</v>
      </c>
      <c r="AM528" t="s">
        <v>137</v>
      </c>
      <c r="AN528">
        <v>0</v>
      </c>
    </row>
    <row r="529" spans="1:42" ht="12.75">
      <c r="A529" s="2" t="str">
        <f>HYPERLINK("https://ibp.a2mac1.com/costing(costing:projects/details/8191/process/6974020)","Process [2]")</f>
        <v>Process [2]</v>
      </c>
      <c r="B529" t="s">
        <v>1394</v>
      </c>
      <c r="C529">
        <v>6974020</v>
      </c>
      <c r="D529">
        <v>5385040</v>
      </c>
      <c r="E529">
        <v>0</v>
      </c>
      <c r="F529">
        <v>0</v>
      </c>
      <c r="G529">
        <v>0</v>
      </c>
      <c r="H529">
        <v>0</v>
      </c>
      <c r="I529" t="s">
        <v>137</v>
      </c>
      <c r="J529">
        <v>0</v>
      </c>
      <c r="K529">
        <v>0</v>
      </c>
      <c r="L529">
        <v>0.078089421606286083</v>
      </c>
      <c r="M529">
        <v>0.46853652963771647</v>
      </c>
      <c r="N529">
        <v>0.46853652963771647</v>
      </c>
      <c r="O529" t="s">
        <v>90</v>
      </c>
      <c r="P529">
        <v>0</v>
      </c>
      <c r="Q529" t="s">
        <v>90</v>
      </c>
      <c r="R529">
        <v>0</v>
      </c>
      <c r="S529" t="s">
        <v>90</v>
      </c>
      <c r="T529">
        <v>0</v>
      </c>
      <c r="U529">
        <v>0.46853652963771647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72</v>
      </c>
      <c r="AB529">
        <v>1</v>
      </c>
      <c r="AC529">
        <v>0</v>
      </c>
      <c r="AD529">
        <v>0</v>
      </c>
      <c r="AE529">
        <v>216</v>
      </c>
      <c r="AF529">
        <v>200000</v>
      </c>
      <c r="AG529">
        <v>10000</v>
      </c>
      <c r="AH529">
        <v>1</v>
      </c>
      <c r="AI529">
        <v>1</v>
      </c>
      <c r="AJ529" t="s">
        <v>79</v>
      </c>
      <c r="AK529" t="s">
        <v>137</v>
      </c>
      <c r="AL529">
        <v>0</v>
      </c>
      <c r="AM529" t="s">
        <v>137</v>
      </c>
      <c r="AN529">
        <v>0</v>
      </c>
      <c r="AP529">
        <v>0</v>
      </c>
    </row>
    <row r="530" spans="1:42" ht="12.75">
      <c r="A530" s="2" t="str">
        <f>HYPERLINK("https://ibp.a2mac1.com/costing(costing:projects/details/8191/process/6973957)","Injection molding")</f>
        <v>Injection molding</v>
      </c>
      <c r="B530" t="s">
        <v>4122</v>
      </c>
      <c r="C530">
        <v>6973957</v>
      </c>
      <c r="D530">
        <v>5384911</v>
      </c>
      <c r="E530">
        <v>0.34731097898307617</v>
      </c>
      <c r="F530">
        <v>0</v>
      </c>
      <c r="G530">
        <v>0</v>
      </c>
      <c r="H530">
        <v>0.00036155788949726234</v>
      </c>
      <c r="I530" t="s">
        <v>137</v>
      </c>
      <c r="J530">
        <v>0.012167813588850175</v>
      </c>
      <c r="K530">
        <v>0.3598403504614236</v>
      </c>
      <c r="L530">
        <v>0.011605503457385705</v>
      </c>
      <c r="M530">
        <v>0.069633020744314225</v>
      </c>
      <c r="N530">
        <v>0.42947337120573781</v>
      </c>
      <c r="O530" t="s">
        <v>90</v>
      </c>
      <c r="P530">
        <v>0</v>
      </c>
      <c r="Q530" t="s">
        <v>90</v>
      </c>
      <c r="R530">
        <v>0</v>
      </c>
      <c r="S530" t="s">
        <v>90</v>
      </c>
      <c r="T530">
        <v>0</v>
      </c>
      <c r="U530">
        <v>0.42947337120573781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17.929819999999999</v>
      </c>
      <c r="AB530">
        <v>1</v>
      </c>
      <c r="AC530">
        <v>0.10</v>
      </c>
      <c r="AD530">
        <v>0.10389195236953569</v>
      </c>
      <c r="AE530">
        <v>7200</v>
      </c>
      <c r="AF530">
        <v>200000</v>
      </c>
      <c r="AG530">
        <v>16666.666666666668</v>
      </c>
      <c r="AH530">
        <v>1</v>
      </c>
      <c r="AI530">
        <v>1</v>
      </c>
      <c r="AJ530" t="s">
        <v>136</v>
      </c>
      <c r="AK530" t="s">
        <v>137</v>
      </c>
      <c r="AL530">
        <v>0</v>
      </c>
      <c r="AM530" t="s">
        <v>137</v>
      </c>
      <c r="AN530">
        <v>0</v>
      </c>
    </row>
    <row r="531" spans="1:42" ht="12.75">
      <c r="A531" s="2" t="str">
        <f>HYPERLINK("https://ibp.a2mac1.com/costing(costing:projects/details/8191/process/6973958)","Automated Process")</f>
        <v>Automated Process</v>
      </c>
      <c r="C531">
        <v>6973958</v>
      </c>
      <c r="D531">
        <v>5384912</v>
      </c>
      <c r="E531">
        <v>0.31541865600000002</v>
      </c>
      <c r="F531">
        <v>0</v>
      </c>
      <c r="G531">
        <v>0</v>
      </c>
      <c r="H531">
        <v>0.0016000184454736841</v>
      </c>
      <c r="I531" t="s">
        <v>137</v>
      </c>
      <c r="J531">
        <v>0.011067321263157895</v>
      </c>
      <c r="K531">
        <v>0.32808599570863156</v>
      </c>
      <c r="L531">
        <v>0.0060826836378099613</v>
      </c>
      <c r="M531">
        <v>0.036496101826859764</v>
      </c>
      <c r="N531">
        <v>0.36458209753549137</v>
      </c>
      <c r="O531" t="s">
        <v>90</v>
      </c>
      <c r="P531">
        <v>0</v>
      </c>
      <c r="Q531" t="s">
        <v>90</v>
      </c>
      <c r="R531">
        <v>0</v>
      </c>
      <c r="S531" t="s">
        <v>90</v>
      </c>
      <c r="T531">
        <v>0</v>
      </c>
      <c r="U531">
        <v>0.36458209753549137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60</v>
      </c>
      <c r="AB531">
        <v>1</v>
      </c>
      <c r="AC531">
        <v>0.50</v>
      </c>
      <c r="AD531">
        <v>0.50345253019720215</v>
      </c>
      <c r="AE531">
        <v>353.70</v>
      </c>
      <c r="AF531">
        <v>200000</v>
      </c>
      <c r="AG531">
        <v>16666.666666666668</v>
      </c>
      <c r="AH531">
        <v>1</v>
      </c>
      <c r="AI531">
        <v>1</v>
      </c>
      <c r="AJ531" t="s">
        <v>136</v>
      </c>
      <c r="AK531" t="s">
        <v>137</v>
      </c>
      <c r="AL531">
        <v>0</v>
      </c>
      <c r="AM531" t="s">
        <v>137</v>
      </c>
      <c r="AN531">
        <v>0</v>
      </c>
    </row>
    <row r="532" spans="1:42" ht="12.75">
      <c r="A532" s="2" t="str">
        <f>HYPERLINK("https://ibp.a2mac1.com/costing(costing:projects/details/8191/process/6973959)","Automated Process")</f>
        <v>Automated Process</v>
      </c>
      <c r="C532">
        <v>6973959</v>
      </c>
      <c r="D532">
        <v>5384913</v>
      </c>
      <c r="E532">
        <v>0.031301087999999998</v>
      </c>
      <c r="F532">
        <v>0</v>
      </c>
      <c r="G532">
        <v>0</v>
      </c>
      <c r="H532">
        <v>0.00015878045642105264</v>
      </c>
      <c r="I532" t="s">
        <v>137</v>
      </c>
      <c r="J532">
        <v>0.0010982837894736842</v>
      </c>
      <c r="K532">
        <v>0.032558152245894735</v>
      </c>
      <c r="L532">
        <v>0.00060344524918508596</v>
      </c>
      <c r="M532">
        <v>0.0036206714951105162</v>
      </c>
      <c r="N532">
        <v>0.036178823741005256</v>
      </c>
      <c r="O532" t="s">
        <v>90</v>
      </c>
      <c r="P532">
        <v>0</v>
      </c>
      <c r="Q532" t="s">
        <v>90</v>
      </c>
      <c r="R532">
        <v>0</v>
      </c>
      <c r="S532" t="s">
        <v>90</v>
      </c>
      <c r="T532">
        <v>0</v>
      </c>
      <c r="U532">
        <v>0.036178823741005256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60</v>
      </c>
      <c r="AB532">
        <v>1</v>
      </c>
      <c r="AC532">
        <v>0.50</v>
      </c>
      <c r="AD532">
        <v>0.50345253019720215</v>
      </c>
      <c r="AE532">
        <v>35.10</v>
      </c>
      <c r="AF532">
        <v>200000</v>
      </c>
      <c r="AG532">
        <v>16666.666666666668</v>
      </c>
      <c r="AH532">
        <v>1</v>
      </c>
      <c r="AI532">
        <v>1</v>
      </c>
      <c r="AJ532" t="s">
        <v>136</v>
      </c>
      <c r="AK532" t="s">
        <v>137</v>
      </c>
      <c r="AL532">
        <v>0</v>
      </c>
      <c r="AM532" t="s">
        <v>137</v>
      </c>
      <c r="AN532">
        <v>0</v>
      </c>
    </row>
    <row r="533" spans="1:42" ht="12.75">
      <c r="A533" s="2" t="str">
        <f>HYPERLINK("https://ibp.a2mac1.com/costing(costing:projects/details/8191/process/6973960)","Automated Process")</f>
        <v>Automated Process</v>
      </c>
      <c r="C533">
        <v>6973960</v>
      </c>
      <c r="D533">
        <v>5384914</v>
      </c>
      <c r="E533">
        <v>0.64137077549999999</v>
      </c>
      <c r="F533">
        <v>0</v>
      </c>
      <c r="G533">
        <v>0</v>
      </c>
      <c r="H533">
        <v>0.003253469798526316</v>
      </c>
      <c r="I533" t="s">
        <v>137</v>
      </c>
      <c r="J533">
        <v>0.022504237736842105</v>
      </c>
      <c r="K533">
        <v>0.66712848303536842</v>
      </c>
      <c r="L533">
        <v>0.012676303004773373</v>
      </c>
      <c r="M533">
        <v>0.076057818028640242</v>
      </c>
      <c r="N533">
        <v>0.74318630106400863</v>
      </c>
      <c r="O533" t="s">
        <v>90</v>
      </c>
      <c r="P533">
        <v>0</v>
      </c>
      <c r="Q533" t="s">
        <v>90</v>
      </c>
      <c r="R533">
        <v>0</v>
      </c>
      <c r="S533" t="s">
        <v>90</v>
      </c>
      <c r="T533">
        <v>0</v>
      </c>
      <c r="U533">
        <v>0.74318630106400863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60</v>
      </c>
      <c r="AB533">
        <v>1</v>
      </c>
      <c r="AC533">
        <v>0.50</v>
      </c>
      <c r="AD533">
        <v>0.50345253019720215</v>
      </c>
      <c r="AE533">
        <v>737.10</v>
      </c>
      <c r="AF533">
        <v>200000</v>
      </c>
      <c r="AG533">
        <v>16666.666666666668</v>
      </c>
      <c r="AH533">
        <v>1</v>
      </c>
      <c r="AI533">
        <v>1</v>
      </c>
      <c r="AJ533" t="s">
        <v>136</v>
      </c>
      <c r="AK533" t="s">
        <v>137</v>
      </c>
      <c r="AL533">
        <v>0</v>
      </c>
      <c r="AM533" t="s">
        <v>137</v>
      </c>
      <c r="AN533">
        <v>0</v>
      </c>
    </row>
    <row r="534" spans="1:42" ht="12.75">
      <c r="A534" s="2" t="str">
        <f>HYPERLINK("https://ibp.a2mac1.com/costing(costing:projects/details/8191/process/6973961)","Automated Process")</f>
        <v>Automated Process</v>
      </c>
      <c r="C534">
        <v>6973961</v>
      </c>
      <c r="D534">
        <v>5384915</v>
      </c>
      <c r="E534">
        <v>0.399690816</v>
      </c>
      <c r="F534">
        <v>0</v>
      </c>
      <c r="G534">
        <v>0</v>
      </c>
      <c r="H534">
        <v>0.0020275042896842105</v>
      </c>
      <c r="I534" t="s">
        <v>137</v>
      </c>
      <c r="J534">
        <v>0.014024239157894736</v>
      </c>
      <c r="K534">
        <v>0.41574255944757893</v>
      </c>
      <c r="L534">
        <v>0.0077085092798501419</v>
      </c>
      <c r="M534">
        <v>0.046251055679100851</v>
      </c>
      <c r="N534">
        <v>0.4619936151266798</v>
      </c>
      <c r="O534" t="s">
        <v>90</v>
      </c>
      <c r="P534">
        <v>0</v>
      </c>
      <c r="Q534" t="s">
        <v>90</v>
      </c>
      <c r="R534">
        <v>0</v>
      </c>
      <c r="S534" t="s">
        <v>90</v>
      </c>
      <c r="T534">
        <v>0</v>
      </c>
      <c r="U534">
        <v>0.4619936151266798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60</v>
      </c>
      <c r="AB534">
        <v>1</v>
      </c>
      <c r="AC534">
        <v>0.50</v>
      </c>
      <c r="AD534">
        <v>0.50345253019720215</v>
      </c>
      <c r="AE534">
        <v>448.20</v>
      </c>
      <c r="AF534">
        <v>200000</v>
      </c>
      <c r="AG534">
        <v>16666.666666666668</v>
      </c>
      <c r="AH534">
        <v>1</v>
      </c>
      <c r="AI534">
        <v>1</v>
      </c>
      <c r="AJ534" t="s">
        <v>136</v>
      </c>
      <c r="AK534" t="s">
        <v>137</v>
      </c>
      <c r="AL534">
        <v>0</v>
      </c>
      <c r="AM534" t="s">
        <v>137</v>
      </c>
      <c r="AN534">
        <v>0</v>
      </c>
    </row>
    <row r="535" spans="1:42" ht="12.75">
      <c r="A535" s="2" t="str">
        <f>HYPERLINK("https://ibp.a2mac1.com/costing(costing:projects/details/8191/process/6973962)","Automated Process")</f>
        <v>Automated Process</v>
      </c>
      <c r="C535">
        <v>6973962</v>
      </c>
      <c r="D535">
        <v>5384916</v>
      </c>
      <c r="E535">
        <v>0.375613056</v>
      </c>
      <c r="F535">
        <v>0</v>
      </c>
      <c r="G535">
        <v>0</v>
      </c>
      <c r="H535">
        <v>0.0019053654770526316</v>
      </c>
      <c r="I535" t="s">
        <v>137</v>
      </c>
      <c r="J535">
        <v>0.01317940547368421</v>
      </c>
      <c r="K535">
        <v>0.39069782695073685</v>
      </c>
      <c r="L535">
        <v>0.0072439583580858283</v>
      </c>
      <c r="M535">
        <v>0.043463750148514974</v>
      </c>
      <c r="N535">
        <v>0.43416157709925179</v>
      </c>
      <c r="O535" t="s">
        <v>90</v>
      </c>
      <c r="P535">
        <v>0</v>
      </c>
      <c r="Q535" t="s">
        <v>90</v>
      </c>
      <c r="R535">
        <v>0</v>
      </c>
      <c r="S535" t="s">
        <v>90</v>
      </c>
      <c r="T535">
        <v>0</v>
      </c>
      <c r="U535">
        <v>0.43416157709925179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60</v>
      </c>
      <c r="AB535">
        <v>1</v>
      </c>
      <c r="AC535">
        <v>0.50</v>
      </c>
      <c r="AD535">
        <v>0.50345253019720215</v>
      </c>
      <c r="AE535">
        <v>421.20</v>
      </c>
      <c r="AF535">
        <v>200000</v>
      </c>
      <c r="AG535">
        <v>16666.666666666668</v>
      </c>
      <c r="AH535">
        <v>1</v>
      </c>
      <c r="AI535">
        <v>1</v>
      </c>
      <c r="AJ535" t="s">
        <v>136</v>
      </c>
      <c r="AK535" t="s">
        <v>137</v>
      </c>
      <c r="AL535">
        <v>0</v>
      </c>
      <c r="AM535" t="s">
        <v>137</v>
      </c>
      <c r="AN535">
        <v>0</v>
      </c>
    </row>
    <row r="536" spans="1:42" ht="12.75">
      <c r="A536" s="2" t="str">
        <f>HYPERLINK("https://ibp.a2mac1.com/costing(costing:projects/details/8191/process/6973963)","Automated Process")</f>
        <v>Automated Process</v>
      </c>
      <c r="C536">
        <v>6973963</v>
      </c>
      <c r="D536">
        <v>5384917</v>
      </c>
      <c r="E536">
        <v>0.13136206650000001</v>
      </c>
      <c r="F536">
        <v>0</v>
      </c>
      <c r="G536">
        <v>0</v>
      </c>
      <c r="H536">
        <v>0.00066635795136842102</v>
      </c>
      <c r="I536" t="s">
        <v>137</v>
      </c>
      <c r="J536">
        <v>0.0046091953157894735</v>
      </c>
      <c r="K536">
        <v>0.13663761976715791</v>
      </c>
      <c r="L536">
        <v>0.0038534469803760039</v>
      </c>
      <c r="M536">
        <v>0.023120681882256022</v>
      </c>
      <c r="N536">
        <v>0.15975830164941393</v>
      </c>
      <c r="O536" t="s">
        <v>90</v>
      </c>
      <c r="P536">
        <v>0</v>
      </c>
      <c r="Q536" t="s">
        <v>90</v>
      </c>
      <c r="R536">
        <v>0</v>
      </c>
      <c r="S536" t="s">
        <v>90</v>
      </c>
      <c r="T536">
        <v>0</v>
      </c>
      <c r="U536">
        <v>0.15975830164941393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60</v>
      </c>
      <c r="AB536">
        <v>1</v>
      </c>
      <c r="AC536">
        <v>0.50</v>
      </c>
      <c r="AD536">
        <v>0.50345253019720215</v>
      </c>
      <c r="AE536">
        <v>224.10</v>
      </c>
      <c r="AF536">
        <v>200000</v>
      </c>
      <c r="AG536">
        <v>16666.666666666668</v>
      </c>
      <c r="AH536">
        <v>1</v>
      </c>
      <c r="AI536">
        <v>1</v>
      </c>
      <c r="AJ536" t="s">
        <v>136</v>
      </c>
      <c r="AK536" t="s">
        <v>137</v>
      </c>
      <c r="AL536">
        <v>0</v>
      </c>
      <c r="AM536" t="s">
        <v>137</v>
      </c>
      <c r="AN536">
        <v>0</v>
      </c>
    </row>
    <row r="537" spans="1:42" ht="12.75">
      <c r="A537" s="2" t="str">
        <f>HYPERLINK("https://ibp.a2mac1.com/costing(costing:projects/details/8191/process/6973964)","Automated Process")</f>
        <v>Automated Process</v>
      </c>
      <c r="C537">
        <v>6973964</v>
      </c>
      <c r="D537">
        <v>5384921</v>
      </c>
      <c r="E537">
        <v>0.0024077759999999999</v>
      </c>
      <c r="F537">
        <v>0</v>
      </c>
      <c r="G537">
        <v>0</v>
      </c>
      <c r="H537">
        <v>1.2213881263157895E-05</v>
      </c>
      <c r="I537" t="s">
        <v>137</v>
      </c>
      <c r="J537">
        <v>8.4483368421052628E-05</v>
      </c>
      <c r="K537">
        <v>0.0025044732496842105</v>
      </c>
      <c r="L537">
        <v>4.6417458453793706E-05</v>
      </c>
      <c r="M537">
        <v>0.00027850475072276222</v>
      </c>
      <c r="N537">
        <v>0.0027829780004069728</v>
      </c>
      <c r="O537" t="s">
        <v>138</v>
      </c>
      <c r="P537">
        <v>0.00015026839498105264</v>
      </c>
      <c r="Q537" t="s">
        <v>138</v>
      </c>
      <c r="R537">
        <v>1.6710285043365736E-05</v>
      </c>
      <c r="S537" t="s">
        <v>139</v>
      </c>
      <c r="T537">
        <v>0.00033395736004883673</v>
      </c>
      <c r="U537">
        <v>0.0032839140404802279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60</v>
      </c>
      <c r="AB537">
        <v>1</v>
      </c>
      <c r="AC537">
        <v>0.50</v>
      </c>
      <c r="AD537">
        <v>0.50345253019720215</v>
      </c>
      <c r="AE537">
        <v>2.70</v>
      </c>
      <c r="AF537">
        <v>200000</v>
      </c>
      <c r="AG537">
        <v>16666.666666666668</v>
      </c>
      <c r="AH537">
        <v>1</v>
      </c>
      <c r="AI537">
        <v>1</v>
      </c>
      <c r="AJ537" t="s">
        <v>136</v>
      </c>
      <c r="AK537" t="s">
        <v>137</v>
      </c>
      <c r="AL537">
        <v>0</v>
      </c>
      <c r="AM537" t="s">
        <v>137</v>
      </c>
      <c r="AN537">
        <v>0</v>
      </c>
    </row>
    <row r="538" spans="1:42" ht="12.75">
      <c r="A538" s="2" t="str">
        <f>HYPERLINK("https://ibp.a2mac1.com/costing(costing:projects/details/8191/process/6973965)","Automated Process")</f>
        <v>Automated Process</v>
      </c>
      <c r="C538">
        <v>6973965</v>
      </c>
      <c r="D538">
        <v>5384922</v>
      </c>
      <c r="E538">
        <v>0.14599570526315789</v>
      </c>
      <c r="F538">
        <v>0</v>
      </c>
      <c r="G538">
        <v>0</v>
      </c>
      <c r="H538">
        <v>0.00073435839747368423</v>
      </c>
      <c r="I538" t="s">
        <v>137</v>
      </c>
      <c r="J538">
        <v>0.0051098496842105264</v>
      </c>
      <c r="K538">
        <v>0.15183991334484209</v>
      </c>
      <c r="L538">
        <v>0.0040750602908999926</v>
      </c>
      <c r="M538">
        <v>0.024450361745399954</v>
      </c>
      <c r="N538">
        <v>0.17629027509024206</v>
      </c>
      <c r="O538" t="s">
        <v>90</v>
      </c>
      <c r="P538">
        <v>0</v>
      </c>
      <c r="Q538" t="s">
        <v>90</v>
      </c>
      <c r="R538">
        <v>0</v>
      </c>
      <c r="S538" t="s">
        <v>90</v>
      </c>
      <c r="T538">
        <v>0</v>
      </c>
      <c r="U538">
        <v>0.17629027509024206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60</v>
      </c>
      <c r="AB538">
        <v>1</v>
      </c>
      <c r="AC538">
        <v>0.50</v>
      </c>
      <c r="AD538">
        <v>0.50048257265952256</v>
      </c>
      <c r="AE538">
        <v>237.60</v>
      </c>
      <c r="AF538">
        <v>400000</v>
      </c>
      <c r="AG538">
        <v>33333.333333333336</v>
      </c>
      <c r="AH538">
        <v>1</v>
      </c>
      <c r="AI538">
        <v>1</v>
      </c>
      <c r="AJ538" t="s">
        <v>136</v>
      </c>
      <c r="AK538" t="s">
        <v>137</v>
      </c>
      <c r="AL538">
        <v>0</v>
      </c>
      <c r="AM538" t="s">
        <v>137</v>
      </c>
      <c r="AN538">
        <v>0</v>
      </c>
    </row>
    <row r="539" spans="1:42" ht="12.75">
      <c r="A539" s="2" t="str">
        <f>HYPERLINK("https://ibp.a2mac1.com/costing(costing:projects/details/8191/process/6973966)","Automated Process")</f>
        <v>Automated Process</v>
      </c>
      <c r="C539">
        <v>6973966</v>
      </c>
      <c r="D539">
        <v>5384923</v>
      </c>
      <c r="E539">
        <v>0.018058319999999999</v>
      </c>
      <c r="F539">
        <v>0</v>
      </c>
      <c r="G539">
        <v>0</v>
      </c>
      <c r="H539">
        <v>9.1061002105263163E-05</v>
      </c>
      <c r="I539" t="s">
        <v>137</v>
      </c>
      <c r="J539">
        <v>0.00063362526315789475</v>
      </c>
      <c r="K539">
        <v>0.018783006265263157</v>
      </c>
      <c r="L539">
        <v>0.00034727088432246752</v>
      </c>
      <c r="M539">
        <v>0.0020836253059348052</v>
      </c>
      <c r="N539">
        <v>0.020866631571197964</v>
      </c>
      <c r="O539" t="s">
        <v>138</v>
      </c>
      <c r="P539">
        <v>0.0011269803759157895</v>
      </c>
      <c r="Q539" t="s">
        <v>138</v>
      </c>
      <c r="R539">
        <v>0.0001250175183560883</v>
      </c>
      <c r="S539" t="s">
        <v>139</v>
      </c>
      <c r="T539">
        <v>0.0025039957885437556</v>
      </c>
      <c r="U539">
        <v>0.024622625254013597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60</v>
      </c>
      <c r="AB539">
        <v>1</v>
      </c>
      <c r="AC539">
        <v>0.50</v>
      </c>
      <c r="AD539">
        <v>0.50048257265952256</v>
      </c>
      <c r="AE539">
        <v>20.25</v>
      </c>
      <c r="AF539">
        <v>400000</v>
      </c>
      <c r="AG539">
        <v>33333.333333333336</v>
      </c>
      <c r="AH539">
        <v>1</v>
      </c>
      <c r="AI539">
        <v>1</v>
      </c>
      <c r="AJ539" t="s">
        <v>136</v>
      </c>
      <c r="AK539" t="s">
        <v>137</v>
      </c>
      <c r="AL539">
        <v>0</v>
      </c>
      <c r="AM539" t="s">
        <v>137</v>
      </c>
      <c r="AN539">
        <v>0</v>
      </c>
    </row>
    <row r="540" spans="1:42" ht="12.75">
      <c r="A540" s="2" t="str">
        <f>HYPERLINK("https://ibp.a2mac1.com/costing(costing:projects/details/8191/process/6973967)","Automated Process")</f>
        <v>Automated Process</v>
      </c>
      <c r="C540">
        <v>6973967</v>
      </c>
      <c r="D540">
        <v>5384924</v>
      </c>
      <c r="E540">
        <v>0.042990423333333333</v>
      </c>
      <c r="F540">
        <v>0</v>
      </c>
      <c r="G540">
        <v>0</v>
      </c>
      <c r="H540">
        <v>0.00023516923466666666</v>
      </c>
      <c r="I540" t="s">
        <v>137</v>
      </c>
      <c r="J540">
        <v>0.0016266646666666666</v>
      </c>
      <c r="K540">
        <v>0.044852257234666668</v>
      </c>
      <c r="L540">
        <v>8.1324526927853343E-05</v>
      </c>
      <c r="M540">
        <v>0.00048794716156712006</v>
      </c>
      <c r="N540">
        <v>0.045340204396233784</v>
      </c>
      <c r="O540" t="s">
        <v>90</v>
      </c>
      <c r="P540">
        <v>0</v>
      </c>
      <c r="Q540" t="s">
        <v>90</v>
      </c>
      <c r="R540">
        <v>0</v>
      </c>
      <c r="S540" t="s">
        <v>90</v>
      </c>
      <c r="T540">
        <v>0</v>
      </c>
      <c r="U540">
        <v>0.045340204396233784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60</v>
      </c>
      <c r="AB540">
        <v>1</v>
      </c>
      <c r="AC540">
        <v>0.50</v>
      </c>
      <c r="AD540">
        <v>0.50345253019720215</v>
      </c>
      <c r="AE540">
        <v>180</v>
      </c>
      <c r="AF540">
        <v>200000</v>
      </c>
      <c r="AG540">
        <v>16666.666666666668</v>
      </c>
      <c r="AH540">
        <v>1</v>
      </c>
      <c r="AI540">
        <v>1</v>
      </c>
      <c r="AJ540" t="s">
        <v>136</v>
      </c>
      <c r="AK540" t="s">
        <v>137</v>
      </c>
      <c r="AL540">
        <v>0</v>
      </c>
      <c r="AM540" t="s">
        <v>137</v>
      </c>
      <c r="AN540">
        <v>0</v>
      </c>
    </row>
    <row r="541" spans="1:42" ht="12.75">
      <c r="A541" s="2" t="str">
        <f>HYPERLINK("https://ibp.a2mac1.com/costing(costing:projects/details/8191/process/6973968)","Automated Process [2]")</f>
        <v>Automated Process [2]</v>
      </c>
      <c r="C541">
        <v>6973968</v>
      </c>
      <c r="D541">
        <v>5384925</v>
      </c>
      <c r="E541">
        <v>3.37</v>
      </c>
      <c r="F541">
        <v>0</v>
      </c>
      <c r="G541">
        <v>0</v>
      </c>
      <c r="H541">
        <v>0.0170522</v>
      </c>
      <c r="I541" t="s">
        <v>137</v>
      </c>
      <c r="J541">
        <v>0.11795</v>
      </c>
      <c r="K541">
        <v>3.5050021999999998</v>
      </c>
      <c r="L541">
        <v>0.076533822956206074</v>
      </c>
      <c r="M541">
        <v>0.45920293773723647</v>
      </c>
      <c r="N541">
        <v>3.9642051377372365</v>
      </c>
      <c r="O541" t="s">
        <v>90</v>
      </c>
      <c r="P541">
        <v>0</v>
      </c>
      <c r="Q541" t="s">
        <v>90</v>
      </c>
      <c r="R541">
        <v>0</v>
      </c>
      <c r="S541" t="s">
        <v>90</v>
      </c>
      <c r="T541">
        <v>0</v>
      </c>
      <c r="U541">
        <v>3.9642051377372365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42</v>
      </c>
      <c r="AB541">
        <v>1</v>
      </c>
      <c r="AC541">
        <v>0.50</v>
      </c>
      <c r="AD541">
        <v>0.50345253019720215</v>
      </c>
      <c r="AE541">
        <v>10800</v>
      </c>
      <c r="AF541">
        <v>200000</v>
      </c>
      <c r="AG541">
        <v>16666.666666666668</v>
      </c>
      <c r="AH541">
        <v>1</v>
      </c>
      <c r="AI541">
        <v>1</v>
      </c>
      <c r="AJ541" t="s">
        <v>136</v>
      </c>
      <c r="AK541" t="s">
        <v>137</v>
      </c>
      <c r="AL541">
        <v>0</v>
      </c>
      <c r="AM541" t="s">
        <v>137</v>
      </c>
      <c r="AN541">
        <v>0</v>
      </c>
    </row>
    <row r="542" spans="1:42" ht="12.75">
      <c r="A542" s="2" t="str">
        <f>HYPERLINK("https://ibp.a2mac1.com/costing(costing:projects/details/8191/process/6973969)","Automated Process")</f>
        <v>Automated Process</v>
      </c>
      <c r="C542">
        <v>6973969</v>
      </c>
      <c r="D542">
        <v>5384926</v>
      </c>
      <c r="E542">
        <v>0.13483545599999999</v>
      </c>
      <c r="F542">
        <v>0</v>
      </c>
      <c r="G542">
        <v>0</v>
      </c>
      <c r="H542">
        <v>0.00068397735073684213</v>
      </c>
      <c r="I542" t="s">
        <v>137</v>
      </c>
      <c r="J542">
        <v>0.0047310686315789477</v>
      </c>
      <c r="K542">
        <v>0.14025050198231578</v>
      </c>
      <c r="L542">
        <v>0.0025997387695673507</v>
      </c>
      <c r="M542">
        <v>0.015598432617404102</v>
      </c>
      <c r="N542">
        <v>0.15584893459971988</v>
      </c>
      <c r="O542" t="s">
        <v>90</v>
      </c>
      <c r="P542">
        <v>0</v>
      </c>
      <c r="Q542" t="s">
        <v>90</v>
      </c>
      <c r="R542">
        <v>0</v>
      </c>
      <c r="S542" t="s">
        <v>90</v>
      </c>
      <c r="T542">
        <v>0</v>
      </c>
      <c r="U542">
        <v>0.15584893459971988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60</v>
      </c>
      <c r="AB542">
        <v>1</v>
      </c>
      <c r="AC542">
        <v>0.50</v>
      </c>
      <c r="AD542">
        <v>0.50345253019720215</v>
      </c>
      <c r="AE542">
        <v>151.20</v>
      </c>
      <c r="AF542">
        <v>200000</v>
      </c>
      <c r="AG542">
        <v>16666.666666666668</v>
      </c>
      <c r="AH542">
        <v>1</v>
      </c>
      <c r="AI542">
        <v>1</v>
      </c>
      <c r="AJ542" t="s">
        <v>136</v>
      </c>
      <c r="AK542" t="s">
        <v>137</v>
      </c>
      <c r="AL542">
        <v>0</v>
      </c>
      <c r="AM542" t="s">
        <v>137</v>
      </c>
      <c r="AN542">
        <v>0</v>
      </c>
    </row>
    <row r="543" spans="1:42" ht="12.75">
      <c r="A543" s="2" t="str">
        <f>HYPERLINK("https://ibp.a2mac1.com/costing(costing:projects/details/8191/process/6973970)","Automated Process")</f>
        <v>Automated Process</v>
      </c>
      <c r="C543">
        <v>6973970</v>
      </c>
      <c r="D543">
        <v>5384927</v>
      </c>
      <c r="E543">
        <v>0.10834992</v>
      </c>
      <c r="F543">
        <v>0</v>
      </c>
      <c r="G543">
        <v>0</v>
      </c>
      <c r="H543">
        <v>0.0016575636884210527</v>
      </c>
      <c r="I543" t="s">
        <v>137</v>
      </c>
      <c r="J543">
        <v>0.0038017515789473683</v>
      </c>
      <c r="K543">
        <v>0.11380923526736843</v>
      </c>
      <c r="L543">
        <v>0.0021102184692820868</v>
      </c>
      <c r="M543">
        <v>0.012661310815692521</v>
      </c>
      <c r="N543">
        <v>0.12647054608306094</v>
      </c>
      <c r="O543" t="s">
        <v>90</v>
      </c>
      <c r="P543">
        <v>0</v>
      </c>
      <c r="Q543" t="s">
        <v>90</v>
      </c>
      <c r="R543">
        <v>0</v>
      </c>
      <c r="S543" t="s">
        <v>90</v>
      </c>
      <c r="T543">
        <v>0</v>
      </c>
      <c r="U543">
        <v>0.12647054608306094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60</v>
      </c>
      <c r="AB543">
        <v>1</v>
      </c>
      <c r="AC543">
        <v>0.50</v>
      </c>
      <c r="AD543">
        <v>1.5030632547327778</v>
      </c>
      <c r="AE543">
        <v>121.50</v>
      </c>
      <c r="AF543">
        <v>200000</v>
      </c>
      <c r="AG543">
        <v>16666.666666666668</v>
      </c>
      <c r="AH543">
        <v>1</v>
      </c>
      <c r="AI543">
        <v>1</v>
      </c>
      <c r="AJ543" t="s">
        <v>136</v>
      </c>
      <c r="AK543" t="s">
        <v>137</v>
      </c>
      <c r="AL543">
        <v>0</v>
      </c>
      <c r="AM543" t="s">
        <v>137</v>
      </c>
      <c r="AN543">
        <v>0</v>
      </c>
    </row>
    <row r="544" spans="1:42" ht="12.75">
      <c r="A544" s="2" t="str">
        <f>HYPERLINK("https://ibp.a2mac1.com/costing(costing:projects/details/8191/process/6973971)","Painting")</f>
        <v>Painting</v>
      </c>
      <c r="C544">
        <v>6973971</v>
      </c>
      <c r="D544">
        <v>5384927</v>
      </c>
      <c r="E544">
        <v>0.034417700000000002</v>
      </c>
      <c r="F544">
        <v>0</v>
      </c>
      <c r="G544">
        <v>0</v>
      </c>
      <c r="H544">
        <v>0.00034968383199999997</v>
      </c>
      <c r="I544" t="s">
        <v>137</v>
      </c>
      <c r="J544">
        <v>0.0012046195</v>
      </c>
      <c r="K544">
        <v>0.035972003331999999</v>
      </c>
      <c r="L544">
        <v>0.048902876370575998</v>
      </c>
      <c r="M544">
        <v>0.29341725822345599</v>
      </c>
      <c r="N544">
        <v>0.329389261555456</v>
      </c>
      <c r="O544" t="s">
        <v>90</v>
      </c>
      <c r="P544">
        <v>0</v>
      </c>
      <c r="Q544" t="s">
        <v>90</v>
      </c>
      <c r="R544">
        <v>0</v>
      </c>
      <c r="S544" t="s">
        <v>90</v>
      </c>
      <c r="T544">
        <v>0</v>
      </c>
      <c r="U544">
        <v>0.329389261555456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2.61</v>
      </c>
      <c r="AB544">
        <v>1</v>
      </c>
      <c r="AC544">
        <v>1</v>
      </c>
      <c r="AD544">
        <v>1.0057812623742775</v>
      </c>
      <c r="AE544">
        <v>0</v>
      </c>
      <c r="AF544">
        <v>200000</v>
      </c>
      <c r="AG544">
        <v>16666.666666666668</v>
      </c>
      <c r="AH544">
        <v>1</v>
      </c>
      <c r="AI544">
        <v>1</v>
      </c>
      <c r="AJ544" t="s">
        <v>136</v>
      </c>
      <c r="AK544" t="s">
        <v>137</v>
      </c>
      <c r="AL544">
        <v>0</v>
      </c>
      <c r="AM544" t="s">
        <v>137</v>
      </c>
      <c r="AN544">
        <v>0</v>
      </c>
    </row>
    <row r="545" spans="1:42" ht="12.75">
      <c r="A545" s="2" t="str">
        <f>HYPERLINK("https://ibp.a2mac1.com/costing(costing:projects/details/8191/process/6974021)","Automated Process")</f>
        <v>Automated Process</v>
      </c>
      <c r="C545">
        <v>6974021</v>
      </c>
      <c r="D545">
        <v>5385041</v>
      </c>
      <c r="E545">
        <v>0.161320992</v>
      </c>
      <c r="F545">
        <v>0</v>
      </c>
      <c r="G545">
        <v>0</v>
      </c>
      <c r="H545">
        <v>0.00081833004463157896</v>
      </c>
      <c r="I545" t="s">
        <v>137</v>
      </c>
      <c r="J545">
        <v>0.0056603856842105263</v>
      </c>
      <c r="K545">
        <v>0.16779970772884212</v>
      </c>
      <c r="L545">
        <v>0.0031104881473122889</v>
      </c>
      <c r="M545">
        <v>0.018662928883873733</v>
      </c>
      <c r="N545">
        <v>0.18646263661271584</v>
      </c>
      <c r="O545" t="s">
        <v>90</v>
      </c>
      <c r="P545">
        <v>0</v>
      </c>
      <c r="Q545" t="s">
        <v>90</v>
      </c>
      <c r="R545">
        <v>0</v>
      </c>
      <c r="S545" t="s">
        <v>90</v>
      </c>
      <c r="T545">
        <v>0</v>
      </c>
      <c r="U545">
        <v>0.18646263661271584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60</v>
      </c>
      <c r="AB545">
        <v>1</v>
      </c>
      <c r="AC545">
        <v>0.50</v>
      </c>
      <c r="AD545">
        <v>0.50345253019720215</v>
      </c>
      <c r="AE545">
        <v>180.90</v>
      </c>
      <c r="AF545">
        <v>200000</v>
      </c>
      <c r="AG545">
        <v>16666.666666666668</v>
      </c>
      <c r="AH545">
        <v>1</v>
      </c>
      <c r="AI545">
        <v>1</v>
      </c>
      <c r="AJ545" t="s">
        <v>136</v>
      </c>
      <c r="AK545" t="s">
        <v>137</v>
      </c>
      <c r="AL545">
        <v>0</v>
      </c>
      <c r="AM545" t="s">
        <v>137</v>
      </c>
      <c r="AN545">
        <v>0</v>
      </c>
    </row>
    <row r="546" spans="1:42" ht="12.75">
      <c r="A546" s="2" t="str">
        <f>HYPERLINK("https://ibp.a2mac1.com/costing(costing:projects/details/8191/process/6974022)","Automated Process")</f>
        <v>Automated Process</v>
      </c>
      <c r="C546">
        <v>6974022</v>
      </c>
      <c r="D546">
        <v>5385042</v>
      </c>
      <c r="E546">
        <v>0.18419486400000001</v>
      </c>
      <c r="F546">
        <v>0</v>
      </c>
      <c r="G546">
        <v>0</v>
      </c>
      <c r="H546">
        <v>0.000934361916631579</v>
      </c>
      <c r="I546" t="s">
        <v>137</v>
      </c>
      <c r="J546">
        <v>0.0064629776842105267</v>
      </c>
      <c r="K546">
        <v>0.19159220360084211</v>
      </c>
      <c r="L546">
        <v>0.0035516127149349199</v>
      </c>
      <c r="M546">
        <v>0.02130967628960952</v>
      </c>
      <c r="N546">
        <v>0.21290187989045162</v>
      </c>
      <c r="O546" t="s">
        <v>90</v>
      </c>
      <c r="P546">
        <v>0</v>
      </c>
      <c r="Q546" t="s">
        <v>90</v>
      </c>
      <c r="R546">
        <v>0</v>
      </c>
      <c r="S546" t="s">
        <v>90</v>
      </c>
      <c r="T546">
        <v>0</v>
      </c>
      <c r="U546">
        <v>0.21290187989045162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60</v>
      </c>
      <c r="AB546">
        <v>1</v>
      </c>
      <c r="AC546">
        <v>0.50</v>
      </c>
      <c r="AD546">
        <v>0.50345253019720215</v>
      </c>
      <c r="AE546">
        <v>206.55</v>
      </c>
      <c r="AF546">
        <v>200000</v>
      </c>
      <c r="AG546">
        <v>16666.666666666668</v>
      </c>
      <c r="AH546">
        <v>1</v>
      </c>
      <c r="AI546">
        <v>1</v>
      </c>
      <c r="AJ546" t="s">
        <v>136</v>
      </c>
      <c r="AK546" t="s">
        <v>137</v>
      </c>
      <c r="AL546">
        <v>0</v>
      </c>
      <c r="AM546" t="s">
        <v>137</v>
      </c>
      <c r="AN546">
        <v>0</v>
      </c>
    </row>
    <row r="547" spans="1:42" ht="12.75">
      <c r="A547" s="2" t="str">
        <f>HYPERLINK("https://ibp.a2mac1.com/costing(costing:projects/details/8191/process/6974023)","Automated Process")</f>
        <v>Automated Process</v>
      </c>
      <c r="C547">
        <v>6974023</v>
      </c>
      <c r="D547">
        <v>5385043</v>
      </c>
      <c r="E547">
        <v>0.74400278399999997</v>
      </c>
      <c r="F547">
        <v>0</v>
      </c>
      <c r="G547">
        <v>0</v>
      </c>
      <c r="H547">
        <v>0.0037740893103157896</v>
      </c>
      <c r="I547" t="s">
        <v>137</v>
      </c>
      <c r="J547">
        <v>0.026105360842105262</v>
      </c>
      <c r="K547">
        <v>0.77388223415242108</v>
      </c>
      <c r="L547">
        <v>0.014354152533408753</v>
      </c>
      <c r="M547">
        <v>0.086124915200452526</v>
      </c>
      <c r="N547">
        <v>0.86000714935287359</v>
      </c>
      <c r="O547" t="s">
        <v>90</v>
      </c>
      <c r="P547">
        <v>0</v>
      </c>
      <c r="Q547" t="s">
        <v>90</v>
      </c>
      <c r="R547">
        <v>0</v>
      </c>
      <c r="S547" t="s">
        <v>90</v>
      </c>
      <c r="T547">
        <v>0</v>
      </c>
      <c r="U547">
        <v>0.86000714935287359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60</v>
      </c>
      <c r="AB547">
        <v>1</v>
      </c>
      <c r="AC547">
        <v>0.50</v>
      </c>
      <c r="AD547">
        <v>0.50345253019720215</v>
      </c>
      <c r="AE547">
        <v>834.30</v>
      </c>
      <c r="AF547">
        <v>200000</v>
      </c>
      <c r="AG547">
        <v>16666.666666666668</v>
      </c>
      <c r="AH547">
        <v>1</v>
      </c>
      <c r="AI547">
        <v>1</v>
      </c>
      <c r="AJ547" t="s">
        <v>136</v>
      </c>
      <c r="AK547" t="s">
        <v>137</v>
      </c>
      <c r="AL547">
        <v>0</v>
      </c>
      <c r="AM547" t="s">
        <v>137</v>
      </c>
      <c r="AN547">
        <v>0</v>
      </c>
    </row>
    <row r="548" spans="1:42" ht="12.75">
      <c r="A548" s="2" t="str">
        <f>HYPERLINK("https://ibp.a2mac1.com/costing(costing:projects/details/8191/process/6974024)","Automated Process")</f>
        <v>Automated Process</v>
      </c>
      <c r="C548">
        <v>6974024</v>
      </c>
      <c r="D548">
        <v>5385044</v>
      </c>
      <c r="E548">
        <v>0.0072233280000000002</v>
      </c>
      <c r="F548">
        <v>0</v>
      </c>
      <c r="G548">
        <v>0</v>
      </c>
      <c r="H548">
        <v>3.6424400842105265E-05</v>
      </c>
      <c r="I548" t="s">
        <v>137</v>
      </c>
      <c r="J548">
        <v>0.0002534501052631579</v>
      </c>
      <c r="K548">
        <v>0.0075132025061052628</v>
      </c>
      <c r="L548">
        <v>0.000138736882466283</v>
      </c>
      <c r="M548">
        <v>0.00083242129479769794</v>
      </c>
      <c r="N548">
        <v>0.0083456238009029619</v>
      </c>
      <c r="O548" t="s">
        <v>90</v>
      </c>
      <c r="P548">
        <v>0</v>
      </c>
      <c r="Q548" t="s">
        <v>90</v>
      </c>
      <c r="R548">
        <v>0</v>
      </c>
      <c r="S548" t="s">
        <v>90</v>
      </c>
      <c r="T548">
        <v>0</v>
      </c>
      <c r="U548">
        <v>0.0083456238009029619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60</v>
      </c>
      <c r="AB548">
        <v>1</v>
      </c>
      <c r="AC548">
        <v>0.50</v>
      </c>
      <c r="AD548">
        <v>0.50048257265952256</v>
      </c>
      <c r="AE548">
        <v>8.10</v>
      </c>
      <c r="AF548">
        <v>800000</v>
      </c>
      <c r="AG548">
        <v>66666.666666666672</v>
      </c>
      <c r="AH548">
        <v>1</v>
      </c>
      <c r="AI548">
        <v>1</v>
      </c>
      <c r="AJ548" t="s">
        <v>136</v>
      </c>
      <c r="AK548" t="s">
        <v>137</v>
      </c>
      <c r="AL548">
        <v>0</v>
      </c>
      <c r="AM548" t="s">
        <v>137</v>
      </c>
      <c r="AN548">
        <v>0</v>
      </c>
    </row>
    <row r="549" spans="1:42" ht="12.75">
      <c r="A549" s="2" t="str">
        <f>HYPERLINK("https://ibp.a2mac1.com/costing(costing:projects/details/8191/process/6974025)","Automated Process")</f>
        <v>Automated Process</v>
      </c>
      <c r="C549">
        <v>6974025</v>
      </c>
      <c r="D549">
        <v>5385045</v>
      </c>
      <c r="E549">
        <v>0.11711798700000001</v>
      </c>
      <c r="F549">
        <v>0</v>
      </c>
      <c r="G549">
        <v>0</v>
      </c>
      <c r="H549">
        <v>0.00059410226989473687</v>
      </c>
      <c r="I549" t="s">
        <v>137</v>
      </c>
      <c r="J549">
        <v>0.004109403052631579</v>
      </c>
      <c r="K549">
        <v>0.12182149232252631</v>
      </c>
      <c r="L549">
        <v>0.0034355252507199505</v>
      </c>
      <c r="M549">
        <v>0.020613151504319704</v>
      </c>
      <c r="N549">
        <v>0.14243464382684601</v>
      </c>
      <c r="O549" t="s">
        <v>90</v>
      </c>
      <c r="P549">
        <v>0</v>
      </c>
      <c r="Q549" t="s">
        <v>90</v>
      </c>
      <c r="R549">
        <v>0</v>
      </c>
      <c r="S549" t="s">
        <v>90</v>
      </c>
      <c r="T549">
        <v>0</v>
      </c>
      <c r="U549">
        <v>0.14243464382684601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60</v>
      </c>
      <c r="AB549">
        <v>1</v>
      </c>
      <c r="AC549">
        <v>0.50</v>
      </c>
      <c r="AD549">
        <v>0.50345253019720215</v>
      </c>
      <c r="AE549">
        <v>199.80</v>
      </c>
      <c r="AF549">
        <v>200000</v>
      </c>
      <c r="AG549">
        <v>16666.666666666668</v>
      </c>
      <c r="AH549">
        <v>1</v>
      </c>
      <c r="AI549">
        <v>1</v>
      </c>
      <c r="AJ549" t="s">
        <v>136</v>
      </c>
      <c r="AK549" t="s">
        <v>137</v>
      </c>
      <c r="AL549">
        <v>0</v>
      </c>
      <c r="AM549" t="s">
        <v>137</v>
      </c>
      <c r="AN549">
        <v>0</v>
      </c>
    </row>
    <row r="550" spans="1:42" ht="12.75">
      <c r="A550" s="2" t="str">
        <f>HYPERLINK("https://ibp.a2mac1.com/costing(costing:projects/details/8191/process/6974026)","Automated Process")</f>
        <v>Automated Process</v>
      </c>
      <c r="C550">
        <v>6974026</v>
      </c>
      <c r="D550">
        <v>5385046</v>
      </c>
      <c r="E550">
        <v>0.0096311039999999997</v>
      </c>
      <c r="F550">
        <v>0</v>
      </c>
      <c r="G550">
        <v>0</v>
      </c>
      <c r="H550">
        <v>4.8565867789473682E-05</v>
      </c>
      <c r="I550" t="s">
        <v>137</v>
      </c>
      <c r="J550">
        <v>0.00033793347368421051</v>
      </c>
      <c r="K550">
        <v>0.010017603341473684</v>
      </c>
      <c r="L550">
        <v>0.00018521031765673295</v>
      </c>
      <c r="M550">
        <v>0.0011112619059403977</v>
      </c>
      <c r="N550">
        <v>0.011128865247414082</v>
      </c>
      <c r="O550" t="s">
        <v>90</v>
      </c>
      <c r="P550">
        <v>0</v>
      </c>
      <c r="Q550" t="s">
        <v>90</v>
      </c>
      <c r="R550">
        <v>0</v>
      </c>
      <c r="S550" t="s">
        <v>90</v>
      </c>
      <c r="T550">
        <v>0</v>
      </c>
      <c r="U550">
        <v>0.011128865247414082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60</v>
      </c>
      <c r="AB550">
        <v>1</v>
      </c>
      <c r="AC550">
        <v>0.50</v>
      </c>
      <c r="AD550">
        <v>0.50048257265952256</v>
      </c>
      <c r="AE550">
        <v>10.80</v>
      </c>
      <c r="AF550">
        <v>400000</v>
      </c>
      <c r="AG550">
        <v>33333.333333333336</v>
      </c>
      <c r="AH550">
        <v>1</v>
      </c>
      <c r="AI550">
        <v>1</v>
      </c>
      <c r="AJ550" t="s">
        <v>136</v>
      </c>
      <c r="AK550" t="s">
        <v>137</v>
      </c>
      <c r="AL550">
        <v>0</v>
      </c>
      <c r="AM550" t="s">
        <v>137</v>
      </c>
      <c r="AN550">
        <v>0</v>
      </c>
    </row>
    <row r="551" spans="1:42" ht="12.75">
      <c r="A551" s="2" t="str">
        <f>HYPERLINK("https://ibp.a2mac1.com/costing(costing:projects/details/8191/process/6973972)","Automated Process")</f>
        <v>Automated Process</v>
      </c>
      <c r="C551">
        <v>6973972</v>
      </c>
      <c r="D551">
        <v>5384929</v>
      </c>
      <c r="E551">
        <v>0.29615644800000002</v>
      </c>
      <c r="F551">
        <v>0</v>
      </c>
      <c r="G551">
        <v>0</v>
      </c>
      <c r="H551">
        <v>0.001502307395368421</v>
      </c>
      <c r="I551" t="s">
        <v>137</v>
      </c>
      <c r="J551">
        <v>0.010391454315789474</v>
      </c>
      <c r="K551">
        <v>0.30805020971115787</v>
      </c>
      <c r="L551">
        <v>0.0057111066784206752</v>
      </c>
      <c r="M551">
        <v>0.034266640070524053</v>
      </c>
      <c r="N551">
        <v>0.34231684978168192</v>
      </c>
      <c r="O551" t="s">
        <v>90</v>
      </c>
      <c r="P551">
        <v>0</v>
      </c>
      <c r="Q551" t="s">
        <v>90</v>
      </c>
      <c r="R551">
        <v>0</v>
      </c>
      <c r="S551" t="s">
        <v>90</v>
      </c>
      <c r="T551">
        <v>0</v>
      </c>
      <c r="U551">
        <v>0.34231684978168192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60</v>
      </c>
      <c r="AB551">
        <v>1</v>
      </c>
      <c r="AC551">
        <v>0.50</v>
      </c>
      <c r="AD551">
        <v>0.50345253019720215</v>
      </c>
      <c r="AE551">
        <v>332.10</v>
      </c>
      <c r="AF551">
        <v>200000</v>
      </c>
      <c r="AG551">
        <v>16666.666666666668</v>
      </c>
      <c r="AH551">
        <v>1</v>
      </c>
      <c r="AI551">
        <v>1</v>
      </c>
      <c r="AJ551" t="s">
        <v>136</v>
      </c>
      <c r="AK551" t="s">
        <v>137</v>
      </c>
      <c r="AL551">
        <v>0</v>
      </c>
      <c r="AM551" t="s">
        <v>137</v>
      </c>
      <c r="AN551">
        <v>0</v>
      </c>
    </row>
    <row r="552" spans="1:42" ht="12.75">
      <c r="A552" s="2" t="str">
        <f>HYPERLINK("https://ibp.a2mac1.com/costing(costing:projects/details/8191/process/6973908)","Automated Process")</f>
        <v>Automated Process</v>
      </c>
      <c r="C552">
        <v>6973908</v>
      </c>
      <c r="D552">
        <v>5384830</v>
      </c>
      <c r="E552">
        <v>0.23207049599999999</v>
      </c>
      <c r="F552">
        <v>0</v>
      </c>
      <c r="G552">
        <v>0</v>
      </c>
      <c r="H552">
        <v>0.0011772197591578947</v>
      </c>
      <c r="I552" t="s">
        <v>137</v>
      </c>
      <c r="J552">
        <v>0.0081428244210526319</v>
      </c>
      <c r="K552">
        <v>0.24139054018021053</v>
      </c>
      <c r="L552">
        <v>0.0076155972196730974</v>
      </c>
      <c r="M552">
        <v>0.045693583318038584</v>
      </c>
      <c r="N552">
        <v>0.28708412349824913</v>
      </c>
      <c r="O552" t="s">
        <v>90</v>
      </c>
      <c r="P552">
        <v>0</v>
      </c>
      <c r="Q552" t="s">
        <v>90</v>
      </c>
      <c r="R552">
        <v>0</v>
      </c>
      <c r="S552" t="s">
        <v>90</v>
      </c>
      <c r="T552">
        <v>0</v>
      </c>
      <c r="U552">
        <v>0.28708412349824913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60</v>
      </c>
      <c r="AB552">
        <v>1</v>
      </c>
      <c r="AC552">
        <v>0.50</v>
      </c>
      <c r="AD552">
        <v>0.50345253019720215</v>
      </c>
      <c r="AE552">
        <v>442.80</v>
      </c>
      <c r="AF552">
        <v>200000</v>
      </c>
      <c r="AG552">
        <v>16666.666666666668</v>
      </c>
      <c r="AH552">
        <v>1</v>
      </c>
      <c r="AI552">
        <v>1</v>
      </c>
      <c r="AJ552" t="s">
        <v>136</v>
      </c>
      <c r="AK552" t="s">
        <v>137</v>
      </c>
      <c r="AL552">
        <v>0</v>
      </c>
      <c r="AM552" t="s">
        <v>137</v>
      </c>
      <c r="AN552">
        <v>0</v>
      </c>
    </row>
    <row r="553" spans="1:42" ht="12.75">
      <c r="A553" s="2" t="str">
        <f>HYPERLINK("https://ibp.a2mac1.com/costing(costing:projects/details/8191/process/6973909)","Automated Process")</f>
        <v>Automated Process</v>
      </c>
      <c r="C553">
        <v>6973909</v>
      </c>
      <c r="D553">
        <v>5384831</v>
      </c>
      <c r="E553">
        <v>0.042451919999999997</v>
      </c>
      <c r="F553">
        <v>0</v>
      </c>
      <c r="G553">
        <v>0</v>
      </c>
      <c r="H553">
        <v>0.00021534507789473684</v>
      </c>
      <c r="I553" t="s">
        <v>137</v>
      </c>
      <c r="J553">
        <v>0.001489541052631579</v>
      </c>
      <c r="K553">
        <v>0.044156806130526319</v>
      </c>
      <c r="L553">
        <v>0.0013926257515536702</v>
      </c>
      <c r="M553">
        <v>0.0083557545093220203</v>
      </c>
      <c r="N553">
        <v>0.052512560639848334</v>
      </c>
      <c r="O553" t="s">
        <v>90</v>
      </c>
      <c r="P553">
        <v>0</v>
      </c>
      <c r="Q553" t="s">
        <v>90</v>
      </c>
      <c r="R553">
        <v>0</v>
      </c>
      <c r="S553" t="s">
        <v>90</v>
      </c>
      <c r="T553">
        <v>0</v>
      </c>
      <c r="U553">
        <v>0.052512560639848334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60</v>
      </c>
      <c r="AB553">
        <v>1</v>
      </c>
      <c r="AC553">
        <v>0.50</v>
      </c>
      <c r="AD553">
        <v>0.50345253019720215</v>
      </c>
      <c r="AE553">
        <v>81</v>
      </c>
      <c r="AF553">
        <v>200000</v>
      </c>
      <c r="AG553">
        <v>16666.666666666668</v>
      </c>
      <c r="AH553">
        <v>1</v>
      </c>
      <c r="AI553">
        <v>1</v>
      </c>
      <c r="AJ553" t="s">
        <v>136</v>
      </c>
      <c r="AK553" t="s">
        <v>137</v>
      </c>
      <c r="AL553">
        <v>0</v>
      </c>
      <c r="AM553" t="s">
        <v>137</v>
      </c>
      <c r="AN553">
        <v>0</v>
      </c>
    </row>
    <row r="554" spans="1:42" ht="12.75">
      <c r="A554" s="2" t="str">
        <f>HYPERLINK("https://ibp.a2mac1.com/costing(costing:projects/details/8191/process/6973910)","Automated Process")</f>
        <v>Automated Process</v>
      </c>
      <c r="C554">
        <v>6973910</v>
      </c>
      <c r="D554">
        <v>5384832</v>
      </c>
      <c r="E554">
        <v>0.067417727999999996</v>
      </c>
      <c r="F554">
        <v>0</v>
      </c>
      <c r="G554">
        <v>0</v>
      </c>
      <c r="H554">
        <v>0.00034198867536842107</v>
      </c>
      <c r="I554" t="s">
        <v>137</v>
      </c>
      <c r="J554">
        <v>0.0023655343157894739</v>
      </c>
      <c r="K554">
        <v>0.070125250991157892</v>
      </c>
      <c r="L554">
        <v>0.0012997774693987909</v>
      </c>
      <c r="M554">
        <v>0.0077986648163927454</v>
      </c>
      <c r="N554">
        <v>0.077923915807550634</v>
      </c>
      <c r="O554" t="s">
        <v>90</v>
      </c>
      <c r="P554">
        <v>0</v>
      </c>
      <c r="Q554" t="s">
        <v>90</v>
      </c>
      <c r="R554">
        <v>0</v>
      </c>
      <c r="S554" t="s">
        <v>90</v>
      </c>
      <c r="T554">
        <v>0</v>
      </c>
      <c r="U554">
        <v>0.077923915807550634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60</v>
      </c>
      <c r="AB554">
        <v>1</v>
      </c>
      <c r="AC554">
        <v>0.50</v>
      </c>
      <c r="AD554">
        <v>0.50345253019720215</v>
      </c>
      <c r="AE554">
        <v>75.60</v>
      </c>
      <c r="AF554">
        <v>200000</v>
      </c>
      <c r="AG554">
        <v>16666.666666666668</v>
      </c>
      <c r="AH554">
        <v>1</v>
      </c>
      <c r="AI554">
        <v>1</v>
      </c>
      <c r="AJ554" t="s">
        <v>136</v>
      </c>
      <c r="AK554" t="s">
        <v>137</v>
      </c>
      <c r="AL554">
        <v>0</v>
      </c>
      <c r="AM554" t="s">
        <v>137</v>
      </c>
      <c r="AN554">
        <v>0</v>
      </c>
    </row>
    <row r="555" spans="1:42" ht="12.75">
      <c r="A555" s="2" t="str">
        <f>HYPERLINK("https://ibp.a2mac1.com/costing(costing:projects/details/8191/process/6973911)","Automated Process")</f>
        <v>Automated Process</v>
      </c>
      <c r="C555">
        <v>6973911</v>
      </c>
      <c r="D555">
        <v>5384833</v>
      </c>
      <c r="E555">
        <v>0.045747744</v>
      </c>
      <c r="F555">
        <v>0</v>
      </c>
      <c r="G555">
        <v>0</v>
      </c>
      <c r="H555">
        <v>0.000232063744</v>
      </c>
      <c r="I555" t="s">
        <v>137</v>
      </c>
      <c r="J555">
        <v>0.001605184</v>
      </c>
      <c r="K555">
        <v>0.047584991744000001</v>
      </c>
      <c r="L555">
        <v>0.00088197180636395602</v>
      </c>
      <c r="M555">
        <v>0.0052918308381837359</v>
      </c>
      <c r="N555">
        <v>0.052876822582183736</v>
      </c>
      <c r="O555" t="s">
        <v>90</v>
      </c>
      <c r="P555">
        <v>0</v>
      </c>
      <c r="Q555" t="s">
        <v>90</v>
      </c>
      <c r="R555">
        <v>0</v>
      </c>
      <c r="S555" t="s">
        <v>90</v>
      </c>
      <c r="T555">
        <v>0</v>
      </c>
      <c r="U555">
        <v>0.052876822582183736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60</v>
      </c>
      <c r="AB555">
        <v>1</v>
      </c>
      <c r="AC555">
        <v>0.50</v>
      </c>
      <c r="AD555">
        <v>0.50345253019720215</v>
      </c>
      <c r="AE555">
        <v>51.30</v>
      </c>
      <c r="AF555">
        <v>200000</v>
      </c>
      <c r="AG555">
        <v>16666.666666666668</v>
      </c>
      <c r="AH555">
        <v>1</v>
      </c>
      <c r="AI555">
        <v>1</v>
      </c>
      <c r="AJ555" t="s">
        <v>136</v>
      </c>
      <c r="AK555" t="s">
        <v>137</v>
      </c>
      <c r="AL555">
        <v>0</v>
      </c>
      <c r="AM555" t="s">
        <v>137</v>
      </c>
      <c r="AN555">
        <v>0</v>
      </c>
    </row>
    <row r="556" spans="1:42" ht="12.75">
      <c r="A556" s="2" t="str">
        <f>HYPERLINK("https://ibp.a2mac1.com/costing(costing:projects/details/8191/process/6974027)","Automated Process")</f>
        <v>Automated Process</v>
      </c>
      <c r="C556">
        <v>6974027</v>
      </c>
      <c r="D556">
        <v>5385047</v>
      </c>
      <c r="E556">
        <v>4.68</v>
      </c>
      <c r="F556">
        <v>0</v>
      </c>
      <c r="G556">
        <v>0</v>
      </c>
      <c r="H556">
        <v>0.023680799999999998</v>
      </c>
      <c r="I556" t="s">
        <v>137</v>
      </c>
      <c r="J556">
        <v>0.1638</v>
      </c>
      <c r="K556">
        <v>4.8674808000000001</v>
      </c>
      <c r="L556">
        <v>0.56750510034994206</v>
      </c>
      <c r="M556">
        <v>3.4050306020996528</v>
      </c>
      <c r="N556">
        <v>8.2725114020996529</v>
      </c>
      <c r="O556" t="s">
        <v>138</v>
      </c>
      <c r="P556">
        <v>0.29204884800000003</v>
      </c>
      <c r="Q556" t="s">
        <v>138</v>
      </c>
      <c r="R556">
        <v>0.20430183612597916</v>
      </c>
      <c r="S556" t="s">
        <v>139</v>
      </c>
      <c r="T556">
        <v>0.99270136825195832</v>
      </c>
      <c r="U556">
        <v>9.7615634544775904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320</v>
      </c>
      <c r="AB556">
        <v>1</v>
      </c>
      <c r="AC556">
        <v>0.50</v>
      </c>
      <c r="AD556">
        <v>0.50345253019720215</v>
      </c>
      <c r="AE556">
        <v>10800</v>
      </c>
      <c r="AF556">
        <v>200000</v>
      </c>
      <c r="AG556">
        <v>16666.666666666668</v>
      </c>
      <c r="AH556">
        <v>1</v>
      </c>
      <c r="AI556">
        <v>1</v>
      </c>
      <c r="AJ556" t="s">
        <v>136</v>
      </c>
      <c r="AK556" t="s">
        <v>137</v>
      </c>
      <c r="AL556">
        <v>0</v>
      </c>
      <c r="AM556" t="s">
        <v>137</v>
      </c>
      <c r="AN556">
        <v>0</v>
      </c>
    </row>
    <row r="557" spans="1:42" ht="12.75">
      <c r="A557" s="2" t="str">
        <f>HYPERLINK("https://ibp.a2mac1.com/costing(costing:projects/details/8191/process/6974028)","Automated Process [2]")</f>
        <v>Automated Process [2]</v>
      </c>
      <c r="C557">
        <v>6974028</v>
      </c>
      <c r="D557">
        <v>5385048</v>
      </c>
      <c r="E557">
        <v>4.68</v>
      </c>
      <c r="F557">
        <v>0</v>
      </c>
      <c r="G557">
        <v>0</v>
      </c>
      <c r="H557">
        <v>0.023680799999999998</v>
      </c>
      <c r="I557" t="s">
        <v>137</v>
      </c>
      <c r="J557">
        <v>0.1638</v>
      </c>
      <c r="K557">
        <v>4.8674808000000001</v>
      </c>
      <c r="L557">
        <v>0.56750510034994206</v>
      </c>
      <c r="M557">
        <v>3.4050306020996528</v>
      </c>
      <c r="N557">
        <v>8.2725114020996529</v>
      </c>
      <c r="O557" t="s">
        <v>138</v>
      </c>
      <c r="P557">
        <v>0.29204884800000003</v>
      </c>
      <c r="Q557" t="s">
        <v>138</v>
      </c>
      <c r="R557">
        <v>0.20430183612597916</v>
      </c>
      <c r="S557" t="s">
        <v>139</v>
      </c>
      <c r="T557">
        <v>0.99270136825195832</v>
      </c>
      <c r="U557">
        <v>9.7615634544775904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320</v>
      </c>
      <c r="AB557">
        <v>1</v>
      </c>
      <c r="AC557">
        <v>0.50</v>
      </c>
      <c r="AD557">
        <v>0.50345253019720215</v>
      </c>
      <c r="AE557">
        <v>10800</v>
      </c>
      <c r="AF557">
        <v>200000</v>
      </c>
      <c r="AG557">
        <v>16666.666666666668</v>
      </c>
      <c r="AH557">
        <v>1</v>
      </c>
      <c r="AI557">
        <v>1</v>
      </c>
      <c r="AJ557" t="s">
        <v>136</v>
      </c>
      <c r="AK557" t="s">
        <v>137</v>
      </c>
      <c r="AL557">
        <v>0</v>
      </c>
      <c r="AM557" t="s">
        <v>137</v>
      </c>
      <c r="AN557">
        <v>0</v>
      </c>
    </row>
    <row r="558" spans="1:42" ht="12.75">
      <c r="A558" s="2" t="str">
        <f>HYPERLINK("https://ibp.a2mac1.com/costing(costing:projects/details/8191/process/6974029)","Process")</f>
        <v>Process</v>
      </c>
      <c r="C558">
        <v>6974029</v>
      </c>
      <c r="D558">
        <v>5385049</v>
      </c>
      <c r="E558">
        <v>0</v>
      </c>
      <c r="F558">
        <v>0</v>
      </c>
      <c r="G558">
        <v>0</v>
      </c>
      <c r="H558">
        <v>0</v>
      </c>
      <c r="I558" t="s">
        <v>137</v>
      </c>
      <c r="J558">
        <v>0</v>
      </c>
      <c r="K558">
        <v>0</v>
      </c>
      <c r="L558">
        <v>0.69624128998409829</v>
      </c>
      <c r="M558">
        <v>2.4368445149443443</v>
      </c>
      <c r="N558">
        <v>2.4368445149443443</v>
      </c>
      <c r="O558" t="s">
        <v>138</v>
      </c>
      <c r="P558">
        <v>0</v>
      </c>
      <c r="Q558" t="s">
        <v>138</v>
      </c>
      <c r="R558">
        <v>0.14621067089666065</v>
      </c>
      <c r="S558" t="s">
        <v>139</v>
      </c>
      <c r="T558">
        <v>0.2924213417933213</v>
      </c>
      <c r="U558">
        <v>2.8754765276343259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305</v>
      </c>
      <c r="AB558">
        <v>1</v>
      </c>
      <c r="AC558">
        <v>5</v>
      </c>
      <c r="AD558">
        <v>5.0007599939200489</v>
      </c>
      <c r="AE558">
        <v>216</v>
      </c>
      <c r="AF558">
        <v>200000</v>
      </c>
      <c r="AG558">
        <v>16666.666666666668</v>
      </c>
      <c r="AH558">
        <v>1</v>
      </c>
      <c r="AI558">
        <v>1</v>
      </c>
      <c r="AJ558" t="s">
        <v>136</v>
      </c>
      <c r="AK558" t="s">
        <v>137</v>
      </c>
      <c r="AL558">
        <v>0</v>
      </c>
      <c r="AM558" t="s">
        <v>137</v>
      </c>
      <c r="AN558">
        <v>0</v>
      </c>
    </row>
    <row r="559" spans="1:42" ht="12.75">
      <c r="A559" s="2" t="str">
        <f>HYPERLINK("https://ibp.a2mac1.com/costing(costing:projects/details/8191/process/6974030)","Automated Process")</f>
        <v>Automated Process</v>
      </c>
      <c r="C559">
        <v>6974030</v>
      </c>
      <c r="D559">
        <v>5385054</v>
      </c>
      <c r="E559">
        <v>0.010834992</v>
      </c>
      <c r="F559">
        <v>0</v>
      </c>
      <c r="G559">
        <v>0</v>
      </c>
      <c r="H559">
        <v>5.4636601263157898E-05</v>
      </c>
      <c r="I559" t="s">
        <v>137</v>
      </c>
      <c r="J559">
        <v>0.00038017515789473685</v>
      </c>
      <c r="K559">
        <v>0.011269803759157895</v>
      </c>
      <c r="L559">
        <v>0.0012476082583284061</v>
      </c>
      <c r="M559">
        <v>0.0074856495499704368</v>
      </c>
      <c r="N559">
        <v>0.018755453309128332</v>
      </c>
      <c r="O559" t="s">
        <v>138</v>
      </c>
      <c r="P559">
        <v>0.00067618822554947372</v>
      </c>
      <c r="Q559" t="s">
        <v>138</v>
      </c>
      <c r="R559">
        <v>0.00044913897299822617</v>
      </c>
      <c r="S559" t="s">
        <v>139</v>
      </c>
      <c r="T559">
        <v>0.0022506543970953999</v>
      </c>
      <c r="U559">
        <v>0.02213143490477143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360</v>
      </c>
      <c r="AB559">
        <v>1</v>
      </c>
      <c r="AC559">
        <v>0.50</v>
      </c>
      <c r="AD559">
        <v>0.50048257265952256</v>
      </c>
      <c r="AE559">
        <v>12.15</v>
      </c>
      <c r="AF559">
        <v>400000</v>
      </c>
      <c r="AG559">
        <v>33333.333333333336</v>
      </c>
      <c r="AH559">
        <v>1</v>
      </c>
      <c r="AI559">
        <v>1</v>
      </c>
      <c r="AJ559" t="s">
        <v>136</v>
      </c>
      <c r="AK559" t="s">
        <v>137</v>
      </c>
      <c r="AL559">
        <v>0</v>
      </c>
      <c r="AM559" t="s">
        <v>137</v>
      </c>
      <c r="AN559">
        <v>0</v>
      </c>
    </row>
    <row r="560" spans="1:42" ht="12.75">
      <c r="A560" s="2" t="str">
        <f>HYPERLINK("https://ibp.a2mac1.com/costing(costing:projects/details/8191/process/6974031)","Injection molding")</f>
        <v>Injection molding</v>
      </c>
      <c r="B560" t="s">
        <v>4282</v>
      </c>
      <c r="C560">
        <v>6974031</v>
      </c>
      <c r="D560">
        <v>5385055</v>
      </c>
      <c r="E560">
        <v>0.014167565166104661</v>
      </c>
      <c r="F560">
        <v>0</v>
      </c>
      <c r="G560">
        <v>0</v>
      </c>
      <c r="H560">
        <v>2.8548920349694022E-07</v>
      </c>
      <c r="I560" t="s">
        <v>137</v>
      </c>
      <c r="J560">
        <v>0.00049960610611964539</v>
      </c>
      <c r="K560">
        <v>0.014667456761427803</v>
      </c>
      <c r="L560">
        <v>0.0045239620229456431</v>
      </c>
      <c r="M560">
        <v>0.027143772137673858</v>
      </c>
      <c r="N560">
        <v>0.04181122889910166</v>
      </c>
      <c r="O560" t="s">
        <v>138</v>
      </c>
      <c r="P560">
        <v>0.00088004740568566823</v>
      </c>
      <c r="Q560" t="s">
        <v>138</v>
      </c>
      <c r="R560">
        <v>0.0016286263282604314</v>
      </c>
      <c r="S560" t="s">
        <v>139</v>
      </c>
      <c r="T560">
        <v>0.0050173474678921991</v>
      </c>
      <c r="U560">
        <v>0.049337250100939957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13.7462</v>
      </c>
      <c r="AB560">
        <v>1</v>
      </c>
      <c r="AC560">
        <v>0</v>
      </c>
      <c r="AD560">
        <v>0.0019999600007999841</v>
      </c>
      <c r="AE560">
        <v>7200</v>
      </c>
      <c r="AF560">
        <v>400000</v>
      </c>
      <c r="AG560">
        <v>33333.333333333336</v>
      </c>
      <c r="AH560">
        <v>1</v>
      </c>
      <c r="AI560">
        <v>1</v>
      </c>
      <c r="AJ560" t="s">
        <v>136</v>
      </c>
      <c r="AK560" t="s">
        <v>137</v>
      </c>
      <c r="AL560">
        <v>0</v>
      </c>
      <c r="AM560" t="s">
        <v>137</v>
      </c>
      <c r="AN560">
        <v>0</v>
      </c>
    </row>
    <row r="561" spans="1:42" ht="12.75">
      <c r="A561" s="2" t="str">
        <f>HYPERLINK("https://ibp.a2mac1.com/costing(costing:projects/details/8191/process/6974032)","Injection molding")</f>
        <v>Injection molding</v>
      </c>
      <c r="B561" t="s">
        <v>4282</v>
      </c>
      <c r="C561">
        <v>6974032</v>
      </c>
      <c r="D561">
        <v>5385056</v>
      </c>
      <c r="E561">
        <v>0.014167565166104661</v>
      </c>
      <c r="F561">
        <v>0</v>
      </c>
      <c r="G561">
        <v>0</v>
      </c>
      <c r="H561">
        <v>2.8548920349694022E-07</v>
      </c>
      <c r="I561" t="s">
        <v>137</v>
      </c>
      <c r="J561">
        <v>0.00049960610611964539</v>
      </c>
      <c r="K561">
        <v>0.014667456761427803</v>
      </c>
      <c r="L561">
        <v>0.0045253269276274719</v>
      </c>
      <c r="M561">
        <v>0.027151961565764833</v>
      </c>
      <c r="N561">
        <v>0.041819418327192638</v>
      </c>
      <c r="O561" t="s">
        <v>138</v>
      </c>
      <c r="P561">
        <v>0.00088004740568566823</v>
      </c>
      <c r="Q561" t="s">
        <v>138</v>
      </c>
      <c r="R561">
        <v>0.0016291176939458899</v>
      </c>
      <c r="S561" t="s">
        <v>139</v>
      </c>
      <c r="T561">
        <v>0.0050183301992631161</v>
      </c>
      <c r="U561">
        <v>0.049346913626087313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13.7507</v>
      </c>
      <c r="AB561">
        <v>1</v>
      </c>
      <c r="AC561">
        <v>0</v>
      </c>
      <c r="AD561">
        <v>0.0019999600007999841</v>
      </c>
      <c r="AE561">
        <v>7200</v>
      </c>
      <c r="AF561">
        <v>400000</v>
      </c>
      <c r="AG561">
        <v>33333.333333333336</v>
      </c>
      <c r="AH561">
        <v>1</v>
      </c>
      <c r="AI561">
        <v>1</v>
      </c>
      <c r="AJ561" t="s">
        <v>136</v>
      </c>
      <c r="AK561" t="s">
        <v>137</v>
      </c>
      <c r="AL561">
        <v>0</v>
      </c>
      <c r="AM561" t="s">
        <v>137</v>
      </c>
      <c r="AN561">
        <v>0</v>
      </c>
    </row>
    <row r="562" spans="1:42" ht="12.75">
      <c r="A562" s="2" t="str">
        <f>HYPERLINK("https://ibp.a2mac1.com/costing(costing:projects/details/8191/process/6974035)","Automated process")</f>
        <v>Automated process</v>
      </c>
      <c r="B562" t="s">
        <v>4289</v>
      </c>
      <c r="C562">
        <v>6974035</v>
      </c>
      <c r="D562">
        <v>5385057</v>
      </c>
      <c r="E562">
        <v>0.78</v>
      </c>
      <c r="F562">
        <v>0</v>
      </c>
      <c r="G562">
        <v>0</v>
      </c>
      <c r="H562">
        <v>0.0079013999999999994</v>
      </c>
      <c r="I562" t="s">
        <v>137</v>
      </c>
      <c r="J562">
        <v>0.027300000000000001</v>
      </c>
      <c r="K562">
        <v>0.81520139999999996</v>
      </c>
      <c r="L562">
        <v>0.045559918741876634</v>
      </c>
      <c r="M562">
        <v>0.27335951245125983</v>
      </c>
      <c r="N562">
        <v>1.0885609124512599</v>
      </c>
      <c r="O562" t="s">
        <v>138</v>
      </c>
      <c r="P562">
        <v>0.048912084000000002</v>
      </c>
      <c r="Q562" t="s">
        <v>138</v>
      </c>
      <c r="R562">
        <v>0.01640157074707559</v>
      </c>
      <c r="S562" t="s">
        <v>139</v>
      </c>
      <c r="T562">
        <v>0.13062730949415119</v>
      </c>
      <c r="U562">
        <v>1.2845018766924865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25</v>
      </c>
      <c r="AB562">
        <v>1</v>
      </c>
      <c r="AC562">
        <v>1</v>
      </c>
      <c r="AD562">
        <v>1.0028412184570303</v>
      </c>
      <c r="AE562">
        <v>10800</v>
      </c>
      <c r="AF562">
        <v>400000</v>
      </c>
      <c r="AG562">
        <v>33333.333333333336</v>
      </c>
      <c r="AH562">
        <v>1</v>
      </c>
      <c r="AI562">
        <v>1</v>
      </c>
      <c r="AJ562" t="s">
        <v>136</v>
      </c>
      <c r="AK562" t="s">
        <v>137</v>
      </c>
      <c r="AL562">
        <v>0</v>
      </c>
      <c r="AM562" t="s">
        <v>137</v>
      </c>
      <c r="AN562">
        <v>0</v>
      </c>
    </row>
    <row r="563" spans="1:42" ht="12.75">
      <c r="A563" s="2" t="str">
        <f>HYPERLINK("https://ibp.a2mac1.com/costing(costing:projects/details/8191/process/6974036)","Automated process")</f>
        <v>Automated process</v>
      </c>
      <c r="B563" t="s">
        <v>4289</v>
      </c>
      <c r="C563">
        <v>6974036</v>
      </c>
      <c r="D563">
        <v>5385058</v>
      </c>
      <c r="E563">
        <v>0.72</v>
      </c>
      <c r="F563">
        <v>0</v>
      </c>
      <c r="G563">
        <v>0</v>
      </c>
      <c r="H563">
        <v>0.0072935999999999999</v>
      </c>
      <c r="I563" t="s">
        <v>137</v>
      </c>
      <c r="J563">
        <v>0.0252</v>
      </c>
      <c r="K563">
        <v>0.75249359999999998</v>
      </c>
      <c r="L563">
        <v>0.043784926045088809</v>
      </c>
      <c r="M563">
        <v>0.26270955627053283</v>
      </c>
      <c r="N563">
        <v>1.0152031562705328</v>
      </c>
      <c r="O563" t="s">
        <v>138</v>
      </c>
      <c r="P563">
        <v>0.045149615999999997</v>
      </c>
      <c r="Q563" t="s">
        <v>138</v>
      </c>
      <c r="R563">
        <v>0.015762573376231971</v>
      </c>
      <c r="S563" t="s">
        <v>139</v>
      </c>
      <c r="T563">
        <v>0.12182437875246394</v>
      </c>
      <c r="U563">
        <v>1.1979397243992287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24</v>
      </c>
      <c r="AB563">
        <v>1</v>
      </c>
      <c r="AC563">
        <v>1</v>
      </c>
      <c r="AD563">
        <v>1.0028412184570303</v>
      </c>
      <c r="AE563">
        <v>10800</v>
      </c>
      <c r="AF563">
        <v>400000</v>
      </c>
      <c r="AG563">
        <v>33333.333333333336</v>
      </c>
      <c r="AH563">
        <v>1</v>
      </c>
      <c r="AI563">
        <v>1</v>
      </c>
      <c r="AJ563" t="s">
        <v>136</v>
      </c>
      <c r="AK563" t="s">
        <v>137</v>
      </c>
      <c r="AL563">
        <v>0</v>
      </c>
      <c r="AM563" t="s">
        <v>137</v>
      </c>
      <c r="AN563">
        <v>0</v>
      </c>
    </row>
    <row r="564" spans="1:42" ht="12.75">
      <c r="A564" s="2" t="str">
        <f>HYPERLINK("https://ibp.a2mac1.com/costing(costing:projects/details/8191/process/6973973)","Injection molding")</f>
        <v>Injection molding</v>
      </c>
      <c r="B564" t="s">
        <v>4300</v>
      </c>
      <c r="C564">
        <v>6973973</v>
      </c>
      <c r="D564">
        <v>5384933</v>
      </c>
      <c r="E564">
        <v>0.0049913600899799786</v>
      </c>
      <c r="F564">
        <v>0</v>
      </c>
      <c r="G564">
        <v>0</v>
      </c>
      <c r="H564">
        <v>1.0101835978905217E-07</v>
      </c>
      <c r="I564" t="s">
        <v>137</v>
      </c>
      <c r="J564">
        <v>0.0001767821296308413</v>
      </c>
      <c r="K564">
        <v>0.0051682432379706088</v>
      </c>
      <c r="L564">
        <v>0.0036719506065288746</v>
      </c>
      <c r="M564">
        <v>0.022031703639173249</v>
      </c>
      <c r="N564">
        <v>0.027199946877143857</v>
      </c>
      <c r="O564" t="s">
        <v>138</v>
      </c>
      <c r="P564">
        <v>0.0003100945942782365</v>
      </c>
      <c r="Q564" t="s">
        <v>138</v>
      </c>
      <c r="R564">
        <v>0.0013219022183503949</v>
      </c>
      <c r="S564" t="s">
        <v>139</v>
      </c>
      <c r="T564">
        <v>0.0032639936252572628</v>
      </c>
      <c r="U564">
        <v>0.03209593731502975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21.87435</v>
      </c>
      <c r="AB564">
        <v>2</v>
      </c>
      <c r="AC564">
        <v>0</v>
      </c>
      <c r="AD564">
        <v>0.0019999600007999841</v>
      </c>
      <c r="AE564">
        <v>7200</v>
      </c>
      <c r="AF564">
        <v>400000</v>
      </c>
      <c r="AG564">
        <v>33333.333333333336</v>
      </c>
      <c r="AH564">
        <v>1</v>
      </c>
      <c r="AI564">
        <v>1</v>
      </c>
      <c r="AJ564" t="s">
        <v>136</v>
      </c>
      <c r="AK564" t="s">
        <v>137</v>
      </c>
      <c r="AL564">
        <v>0</v>
      </c>
      <c r="AM564" t="s">
        <v>137</v>
      </c>
      <c r="AN564">
        <v>0</v>
      </c>
    </row>
    <row r="565" spans="1:42" ht="12.75">
      <c r="A565" s="2" t="str">
        <f>HYPERLINK("https://ibp.a2mac1.com/costing(costing:projects/details/8191/process/6974114)","Automated Process")</f>
        <v>Automated Process</v>
      </c>
      <c r="C565">
        <v>6974114</v>
      </c>
      <c r="D565">
        <v>5385108</v>
      </c>
      <c r="E565">
        <v>0.56319547199999997</v>
      </c>
      <c r="F565">
        <v>0</v>
      </c>
      <c r="G565">
        <v>0</v>
      </c>
      <c r="H565">
        <v>0.002856911366736842</v>
      </c>
      <c r="I565" t="s">
        <v>137</v>
      </c>
      <c r="J565">
        <v>0.019761244631578946</v>
      </c>
      <c r="K565">
        <v>0.58581362799831582</v>
      </c>
      <c r="L565">
        <v>0.018492672931834434</v>
      </c>
      <c r="M565">
        <v>0.11095603759100661</v>
      </c>
      <c r="N565">
        <v>0.69676966558932241</v>
      </c>
      <c r="O565" t="s">
        <v>138</v>
      </c>
      <c r="P565">
        <v>0.035148817679898949</v>
      </c>
      <c r="Q565" t="s">
        <v>138</v>
      </c>
      <c r="R565">
        <v>0.0066573622554603968</v>
      </c>
      <c r="S565" t="s">
        <v>139</v>
      </c>
      <c r="T565">
        <v>0.083612359870718689</v>
      </c>
      <c r="U565">
        <v>0.82218820539540038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60</v>
      </c>
      <c r="AB565">
        <v>1</v>
      </c>
      <c r="AC565">
        <v>0.50</v>
      </c>
      <c r="AD565">
        <v>0.50345253019720215</v>
      </c>
      <c r="AE565">
        <v>1074.60</v>
      </c>
      <c r="AF565">
        <v>200000</v>
      </c>
      <c r="AG565">
        <v>16666.666666666668</v>
      </c>
      <c r="AH565">
        <v>1</v>
      </c>
      <c r="AI565">
        <v>1</v>
      </c>
      <c r="AJ565" t="s">
        <v>136</v>
      </c>
      <c r="AK565" t="s">
        <v>137</v>
      </c>
      <c r="AL565">
        <v>0</v>
      </c>
      <c r="AM565" t="s">
        <v>137</v>
      </c>
      <c r="AN565">
        <v>0</v>
      </c>
    </row>
    <row r="566" spans="1:42" ht="12.75">
      <c r="A566" s="2" t="str">
        <f>HYPERLINK("https://ibp.a2mac1.com/costing(costing:projects/details/8191/process/6974037)","Automated Process")</f>
        <v>Automated Process</v>
      </c>
      <c r="C566">
        <v>6974037</v>
      </c>
      <c r="D566">
        <v>5385059</v>
      </c>
      <c r="E566">
        <v>0.6140727980526316</v>
      </c>
      <c r="F566">
        <v>0</v>
      </c>
      <c r="G566">
        <v>0</v>
      </c>
      <c r="H566">
        <v>0.0031418274498947367</v>
      </c>
      <c r="I566" t="s">
        <v>137</v>
      </c>
      <c r="J566">
        <v>0.02173200805263158</v>
      </c>
      <c r="K566">
        <v>0.63894663355515791</v>
      </c>
      <c r="L566">
        <v>0.015376984765413522</v>
      </c>
      <c r="M566">
        <v>0.092261908592481137</v>
      </c>
      <c r="N566">
        <v>0.73120854214763897</v>
      </c>
      <c r="O566" t="s">
        <v>138</v>
      </c>
      <c r="P566">
        <v>0.038336798013309477</v>
      </c>
      <c r="Q566" t="s">
        <v>138</v>
      </c>
      <c r="R566">
        <v>0.0055357145155488681</v>
      </c>
      <c r="S566" t="s">
        <v>139</v>
      </c>
      <c r="T566">
        <v>0.087745025057716683</v>
      </c>
      <c r="U566">
        <v>0.8628260797342141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60</v>
      </c>
      <c r="AB566">
        <v>1</v>
      </c>
      <c r="AC566">
        <v>0.50</v>
      </c>
      <c r="AD566">
        <v>0.50345253019720215</v>
      </c>
      <c r="AE566">
        <v>893.70</v>
      </c>
      <c r="AF566">
        <v>200000</v>
      </c>
      <c r="AG566">
        <v>16666.666666666668</v>
      </c>
      <c r="AH566">
        <v>1</v>
      </c>
      <c r="AI566">
        <v>1</v>
      </c>
      <c r="AJ566" t="s">
        <v>136</v>
      </c>
      <c r="AK566" t="s">
        <v>137</v>
      </c>
      <c r="AL566">
        <v>0</v>
      </c>
      <c r="AM566" t="s">
        <v>137</v>
      </c>
      <c r="AN566">
        <v>0</v>
      </c>
    </row>
    <row r="567" spans="1:42" ht="12.75">
      <c r="A567" s="2" t="str">
        <f>HYPERLINK("https://ibp.a2mac1.com/costing(costing:projects/details/8191/process/6974038)","Automated Process")</f>
        <v>Automated Process</v>
      </c>
      <c r="C567">
        <v>6974038</v>
      </c>
      <c r="D567">
        <v>5385060</v>
      </c>
      <c r="E567">
        <v>0.073583328000000003</v>
      </c>
      <c r="F567">
        <v>0</v>
      </c>
      <c r="G567">
        <v>0</v>
      </c>
      <c r="H567">
        <v>0.00037326480168421055</v>
      </c>
      <c r="I567" t="s">
        <v>137</v>
      </c>
      <c r="J567">
        <v>0.0025818711578947367</v>
      </c>
      <c r="K567">
        <v>0.076538463959578945</v>
      </c>
      <c r="L567">
        <v>0.0024140187574553254</v>
      </c>
      <c r="M567">
        <v>0.014484112544731953</v>
      </c>
      <c r="N567">
        <v>0.091022576504310906</v>
      </c>
      <c r="O567" t="s">
        <v>138</v>
      </c>
      <c r="P567">
        <v>0.0045923078375747365</v>
      </c>
      <c r="Q567" t="s">
        <v>138</v>
      </c>
      <c r="R567">
        <v>0.0008690467526839172</v>
      </c>
      <c r="S567" t="s">
        <v>139</v>
      </c>
      <c r="T567">
        <v>0.010922709180517309</v>
      </c>
      <c r="U567">
        <v>0.10740664027508687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60</v>
      </c>
      <c r="AB567">
        <v>1</v>
      </c>
      <c r="AC567">
        <v>0.50</v>
      </c>
      <c r="AD567">
        <v>0.50345253019720215</v>
      </c>
      <c r="AE567">
        <v>140.40</v>
      </c>
      <c r="AF567">
        <v>200000</v>
      </c>
      <c r="AG567">
        <v>16666.666666666668</v>
      </c>
      <c r="AH567">
        <v>1</v>
      </c>
      <c r="AI567">
        <v>1</v>
      </c>
      <c r="AJ567" t="s">
        <v>136</v>
      </c>
      <c r="AK567" t="s">
        <v>137</v>
      </c>
      <c r="AL567">
        <v>0</v>
      </c>
      <c r="AM567" t="s">
        <v>137</v>
      </c>
      <c r="AN567">
        <v>0</v>
      </c>
    </row>
    <row r="568" spans="1:42" ht="12.75">
      <c r="A568" s="2" t="str">
        <f>HYPERLINK("https://ibp.a2mac1.com/costing(costing:projects/details/8191/process/6974039)","Automated Process")</f>
        <v>Automated Process</v>
      </c>
      <c r="C568">
        <v>6974039</v>
      </c>
      <c r="D568">
        <v>5385061</v>
      </c>
      <c r="E568">
        <v>0.40329324</v>
      </c>
      <c r="F568">
        <v>0</v>
      </c>
      <c r="G568">
        <v>0</v>
      </c>
      <c r="H568">
        <v>0.0020457782400000002</v>
      </c>
      <c r="I568" t="s">
        <v>137</v>
      </c>
      <c r="J568">
        <v>0.014150640000000001</v>
      </c>
      <c r="K568">
        <v>0.41948965824000001</v>
      </c>
      <c r="L568">
        <v>0.013238464984908426</v>
      </c>
      <c r="M568">
        <v>0.079430789909450558</v>
      </c>
      <c r="N568">
        <v>0.49892044814945058</v>
      </c>
      <c r="O568" t="s">
        <v>138</v>
      </c>
      <c r="P568">
        <v>0.025169379494399999</v>
      </c>
      <c r="Q568" t="s">
        <v>138</v>
      </c>
      <c r="R568">
        <v>0.0047658473945670337</v>
      </c>
      <c r="S568" t="s">
        <v>139</v>
      </c>
      <c r="T568">
        <v>0.059870453777934068</v>
      </c>
      <c r="U568">
        <v>0.58872612881635167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60</v>
      </c>
      <c r="AB568">
        <v>1</v>
      </c>
      <c r="AC568">
        <v>0.50</v>
      </c>
      <c r="AD568">
        <v>0.50345253019720215</v>
      </c>
      <c r="AE568">
        <v>769.50</v>
      </c>
      <c r="AF568">
        <v>200000</v>
      </c>
      <c r="AG568">
        <v>16666.666666666668</v>
      </c>
      <c r="AH568">
        <v>1</v>
      </c>
      <c r="AI568">
        <v>1</v>
      </c>
      <c r="AJ568" t="s">
        <v>136</v>
      </c>
      <c r="AK568" t="s">
        <v>137</v>
      </c>
      <c r="AL568">
        <v>0</v>
      </c>
      <c r="AM568" t="s">
        <v>137</v>
      </c>
      <c r="AN568">
        <v>0</v>
      </c>
    </row>
    <row r="569" spans="1:42" ht="12.75">
      <c r="A569" s="2" t="str">
        <f>HYPERLINK("https://ibp.a2mac1.com/costing(costing:projects/details/8191/process/6974040)","Automated Process")</f>
        <v>Automated Process</v>
      </c>
      <c r="C569">
        <v>6974040</v>
      </c>
      <c r="D569">
        <v>5385062</v>
      </c>
      <c r="E569">
        <v>0.56602358249999996</v>
      </c>
      <c r="F569">
        <v>0</v>
      </c>
      <c r="G569">
        <v>0</v>
      </c>
      <c r="H569">
        <v>0.0028694548936842104</v>
      </c>
      <c r="I569" t="s">
        <v>137</v>
      </c>
      <c r="J569">
        <v>0.019848008157894736</v>
      </c>
      <c r="K569">
        <v>0.58874104555157891</v>
      </c>
      <c r="L569">
        <v>0.013703318383321976</v>
      </c>
      <c r="M569">
        <v>0.082219910299931864</v>
      </c>
      <c r="N569">
        <v>0.67096095585151083</v>
      </c>
      <c r="O569" t="s">
        <v>138</v>
      </c>
      <c r="P569">
        <v>0.035324462733094739</v>
      </c>
      <c r="Q569" t="s">
        <v>138</v>
      </c>
      <c r="R569">
        <v>0.0049331946179959115</v>
      </c>
      <c r="S569" t="s">
        <v>139</v>
      </c>
      <c r="T569">
        <v>0.08051531470218129</v>
      </c>
      <c r="U569">
        <v>0.7917339279047827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60</v>
      </c>
      <c r="AB569">
        <v>1</v>
      </c>
      <c r="AC569">
        <v>0.50</v>
      </c>
      <c r="AD569">
        <v>0.50345253019720215</v>
      </c>
      <c r="AE569">
        <v>796.50</v>
      </c>
      <c r="AF569">
        <v>200000</v>
      </c>
      <c r="AG569">
        <v>16666.666666666668</v>
      </c>
      <c r="AH569">
        <v>1</v>
      </c>
      <c r="AI569">
        <v>1</v>
      </c>
      <c r="AJ569" t="s">
        <v>136</v>
      </c>
      <c r="AK569" t="s">
        <v>137</v>
      </c>
      <c r="AL569">
        <v>0</v>
      </c>
      <c r="AM569" t="s">
        <v>137</v>
      </c>
      <c r="AN569">
        <v>0</v>
      </c>
    </row>
    <row r="570" spans="1:42" ht="12.75">
      <c r="A570" s="2" t="str">
        <f>HYPERLINK("https://ibp.a2mac1.com/costing(costing:projects/details/8191/process/6974041)","Automated Process")</f>
        <v>Automated Process</v>
      </c>
      <c r="C570">
        <v>6974041</v>
      </c>
      <c r="D570">
        <v>5385063</v>
      </c>
      <c r="E570">
        <v>0.645269184</v>
      </c>
      <c r="F570">
        <v>0</v>
      </c>
      <c r="G570">
        <v>0</v>
      </c>
      <c r="H570">
        <v>0.0032732451839999998</v>
      </c>
      <c r="I570" t="s">
        <v>137</v>
      </c>
      <c r="J570">
        <v>0.022641023999999999</v>
      </c>
      <c r="K570">
        <v>0.67118345318399997</v>
      </c>
      <c r="L570">
        <v>0.021190685805001112</v>
      </c>
      <c r="M570">
        <v>0.12714411483000668</v>
      </c>
      <c r="N570">
        <v>0.79832756801400673</v>
      </c>
      <c r="O570" t="s">
        <v>138</v>
      </c>
      <c r="P570">
        <v>0.040271007191040001</v>
      </c>
      <c r="Q570" t="s">
        <v>138</v>
      </c>
      <c r="R570">
        <v>0.0076286468898004011</v>
      </c>
      <c r="S570" t="s">
        <v>139</v>
      </c>
      <c r="T570">
        <v>0.095799308161680807</v>
      </c>
      <c r="U570">
        <v>0.94202653025652783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60</v>
      </c>
      <c r="AB570">
        <v>1</v>
      </c>
      <c r="AC570">
        <v>0.50</v>
      </c>
      <c r="AD570">
        <v>0.50345253019720215</v>
      </c>
      <c r="AE570">
        <v>1231.20</v>
      </c>
      <c r="AF570">
        <v>200000</v>
      </c>
      <c r="AG570">
        <v>16666.666666666668</v>
      </c>
      <c r="AH570">
        <v>1</v>
      </c>
      <c r="AI570">
        <v>1</v>
      </c>
      <c r="AJ570" t="s">
        <v>136</v>
      </c>
      <c r="AK570" t="s">
        <v>137</v>
      </c>
      <c r="AL570">
        <v>0</v>
      </c>
      <c r="AM570" t="s">
        <v>137</v>
      </c>
      <c r="AN570">
        <v>0</v>
      </c>
    </row>
    <row r="571" spans="1:42" ht="12.75">
      <c r="A571" s="2" t="str">
        <f>HYPERLINK("https://ibp.a2mac1.com/costing(costing:projects/details/8191/process/6974042)","Automated Process")</f>
        <v>Automated Process</v>
      </c>
      <c r="C571">
        <v>6974042</v>
      </c>
      <c r="D571">
        <v>5385064</v>
      </c>
      <c r="E571">
        <v>0.057475739999999997</v>
      </c>
      <c r="F571">
        <v>0</v>
      </c>
      <c r="G571">
        <v>0</v>
      </c>
      <c r="H571">
        <v>0.00029155613473684212</v>
      </c>
      <c r="I571" t="s">
        <v>137</v>
      </c>
      <c r="J571">
        <v>0.0020166926315789472</v>
      </c>
      <c r="K571">
        <v>0.059783988766315792</v>
      </c>
      <c r="L571">
        <v>0.0018568812310094263</v>
      </c>
      <c r="M571">
        <v>0.011141287386056558</v>
      </c>
      <c r="N571">
        <v>0.070925276152372346</v>
      </c>
      <c r="O571" t="s">
        <v>138</v>
      </c>
      <c r="P571">
        <v>0.0035870393259789472</v>
      </c>
      <c r="Q571" t="s">
        <v>138</v>
      </c>
      <c r="R571">
        <v>0.0006684772431633935</v>
      </c>
      <c r="S571" t="s">
        <v>139</v>
      </c>
      <c r="T571">
        <v>0.0085110331382846818</v>
      </c>
      <c r="U571">
        <v>0.083691825859799368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60</v>
      </c>
      <c r="AB571">
        <v>1</v>
      </c>
      <c r="AC571">
        <v>0.50</v>
      </c>
      <c r="AD571">
        <v>0.50345253019720215</v>
      </c>
      <c r="AE571">
        <v>108</v>
      </c>
      <c r="AF571">
        <v>200000</v>
      </c>
      <c r="AG571">
        <v>16666.666666666668</v>
      </c>
      <c r="AH571">
        <v>1</v>
      </c>
      <c r="AI571">
        <v>1</v>
      </c>
      <c r="AJ571" t="s">
        <v>136</v>
      </c>
      <c r="AK571" t="s">
        <v>137</v>
      </c>
      <c r="AL571">
        <v>0</v>
      </c>
      <c r="AM571" t="s">
        <v>137</v>
      </c>
      <c r="AN571">
        <v>0</v>
      </c>
    </row>
    <row r="572" spans="1:42" ht="12.75">
      <c r="A572" s="2" t="str">
        <f>HYPERLINK("https://ibp.a2mac1.com/costing(costing:projects/details/8191/process/6974043)","Automated Process")</f>
        <v>Automated Process</v>
      </c>
      <c r="C572">
        <v>6974043</v>
      </c>
      <c r="D572">
        <v>5385065</v>
      </c>
      <c r="E572">
        <v>1.1518620959999999</v>
      </c>
      <c r="F572">
        <v>0</v>
      </c>
      <c r="G572">
        <v>0</v>
      </c>
      <c r="H572">
        <v>0.005843029780210526</v>
      </c>
      <c r="I572" t="s">
        <v>137</v>
      </c>
      <c r="J572">
        <v>0.04041621389473684</v>
      </c>
      <c r="K572">
        <v>1.1981213396749473</v>
      </c>
      <c r="L572">
        <v>0.03786139784878545</v>
      </c>
      <c r="M572">
        <v>0.22716838709271273</v>
      </c>
      <c r="N572">
        <v>1.4252897267676601</v>
      </c>
      <c r="O572" t="s">
        <v>138</v>
      </c>
      <c r="P572">
        <v>0.07188728038049684</v>
      </c>
      <c r="Q572" t="s">
        <v>138</v>
      </c>
      <c r="R572">
        <v>0.013630103225562764</v>
      </c>
      <c r="S572" t="s">
        <v>139</v>
      </c>
      <c r="T572">
        <v>0.17103476721211922</v>
      </c>
      <c r="U572">
        <v>1.6818418775858388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60</v>
      </c>
      <c r="AB572">
        <v>1</v>
      </c>
      <c r="AC572">
        <v>0.50</v>
      </c>
      <c r="AD572">
        <v>0.50345253019720215</v>
      </c>
      <c r="AE572">
        <v>2197.80</v>
      </c>
      <c r="AF572">
        <v>200000</v>
      </c>
      <c r="AG572">
        <v>16666.666666666668</v>
      </c>
      <c r="AH572">
        <v>1</v>
      </c>
      <c r="AI572">
        <v>1</v>
      </c>
      <c r="AJ572" t="s">
        <v>136</v>
      </c>
      <c r="AK572" t="s">
        <v>137</v>
      </c>
      <c r="AL572">
        <v>0</v>
      </c>
      <c r="AM572" t="s">
        <v>137</v>
      </c>
      <c r="AN572">
        <v>0</v>
      </c>
    </row>
    <row r="573" spans="1:42" ht="12.75">
      <c r="A573" s="2" t="str">
        <f>HYPERLINK("https://ibp.a2mac1.com/costing(costing:projects/details/8191/process/6974044)","Automated Process")</f>
        <v>Automated Process</v>
      </c>
      <c r="C573">
        <v>6974044</v>
      </c>
      <c r="D573">
        <v>5385066</v>
      </c>
      <c r="E573">
        <v>1.0354027834999999</v>
      </c>
      <c r="F573">
        <v>0</v>
      </c>
      <c r="G573">
        <v>0</v>
      </c>
      <c r="H573">
        <v>0.0052488725960000001</v>
      </c>
      <c r="I573" t="s">
        <v>137</v>
      </c>
      <c r="J573">
        <v>0.036306431</v>
      </c>
      <c r="K573">
        <v>1.076958087096</v>
      </c>
      <c r="L573">
        <v>0.012796875974942404</v>
      </c>
      <c r="M573">
        <v>0.076781255849654423</v>
      </c>
      <c r="N573">
        <v>1.1537393429456544</v>
      </c>
      <c r="O573" t="s">
        <v>138</v>
      </c>
      <c r="P573">
        <v>0.064617485225759996</v>
      </c>
      <c r="Q573" t="s">
        <v>138</v>
      </c>
      <c r="R573">
        <v>0.0046068753509792655</v>
      </c>
      <c r="S573" t="s">
        <v>139</v>
      </c>
      <c r="T573">
        <v>0.13844872115347853</v>
      </c>
      <c r="U573">
        <v>1.3614124246758723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60</v>
      </c>
      <c r="AB573">
        <v>1</v>
      </c>
      <c r="AC573">
        <v>0.50</v>
      </c>
      <c r="AD573">
        <v>0.50345253019720215</v>
      </c>
      <c r="AE573">
        <v>743.85</v>
      </c>
      <c r="AF573">
        <v>200000</v>
      </c>
      <c r="AG573">
        <v>16666.666666666668</v>
      </c>
      <c r="AH573">
        <v>1</v>
      </c>
      <c r="AI573">
        <v>1</v>
      </c>
      <c r="AJ573" t="s">
        <v>136</v>
      </c>
      <c r="AK573" t="s">
        <v>137</v>
      </c>
      <c r="AL573">
        <v>0</v>
      </c>
      <c r="AM573" t="s">
        <v>137</v>
      </c>
      <c r="AN573">
        <v>0</v>
      </c>
    </row>
    <row r="574" spans="1:42" ht="12.75">
      <c r="A574" s="2" t="str">
        <f>HYPERLINK("https://ibp.a2mac1.com/costing(costing:projects/details/8191/process/6974115)","Automated Process")</f>
        <v>Automated Process</v>
      </c>
      <c r="C574">
        <v>6974115</v>
      </c>
      <c r="D574">
        <v>5385109</v>
      </c>
      <c r="E574">
        <v>0.55895028000000002</v>
      </c>
      <c r="F574">
        <v>0</v>
      </c>
      <c r="G574">
        <v>0</v>
      </c>
      <c r="H574">
        <v>0.0028353768589473682</v>
      </c>
      <c r="I574" t="s">
        <v>137</v>
      </c>
      <c r="J574">
        <v>0.019612290526315791</v>
      </c>
      <c r="K574">
        <v>0.58139794738526318</v>
      </c>
      <c r="L574">
        <v>0.018353141996582129</v>
      </c>
      <c r="M574">
        <v>0.11011885197949277</v>
      </c>
      <c r="N574">
        <v>0.69151679936475596</v>
      </c>
      <c r="O574" t="s">
        <v>138</v>
      </c>
      <c r="P574">
        <v>0.034883876843115787</v>
      </c>
      <c r="Q574" t="s">
        <v>138</v>
      </c>
      <c r="R574">
        <v>0.0066071311187695658</v>
      </c>
      <c r="S574" t="s">
        <v>139</v>
      </c>
      <c r="T574">
        <v>0.082982015923770705</v>
      </c>
      <c r="U574">
        <v>0.81598982325041203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60</v>
      </c>
      <c r="AB574">
        <v>1</v>
      </c>
      <c r="AC574">
        <v>0.50</v>
      </c>
      <c r="AD574">
        <v>0.50345253019720215</v>
      </c>
      <c r="AE574">
        <v>1066.50</v>
      </c>
      <c r="AF574">
        <v>200000</v>
      </c>
      <c r="AG574">
        <v>16666.666666666668</v>
      </c>
      <c r="AH574">
        <v>1</v>
      </c>
      <c r="AI574">
        <v>1</v>
      </c>
      <c r="AJ574" t="s">
        <v>136</v>
      </c>
      <c r="AK574" t="s">
        <v>137</v>
      </c>
      <c r="AL574">
        <v>0</v>
      </c>
      <c r="AM574" t="s">
        <v>137</v>
      </c>
      <c r="AN574">
        <v>0</v>
      </c>
    </row>
    <row r="575" spans="1:42" ht="12.75">
      <c r="A575" s="2" t="str">
        <f>HYPERLINK("https://ibp.a2mac1.com/costing(costing:projects/details/8191/process/6974045)","Automated Process")</f>
        <v>Automated Process</v>
      </c>
      <c r="C575">
        <v>6974045</v>
      </c>
      <c r="D575">
        <v>5385068</v>
      </c>
      <c r="E575">
        <v>0.6140727980526316</v>
      </c>
      <c r="F575">
        <v>0</v>
      </c>
      <c r="G575">
        <v>0</v>
      </c>
      <c r="H575">
        <v>0.0031418274498947367</v>
      </c>
      <c r="I575" t="s">
        <v>137</v>
      </c>
      <c r="J575">
        <v>0.02173200805263158</v>
      </c>
      <c r="K575">
        <v>0.63894663355515791</v>
      </c>
      <c r="L575">
        <v>0.015376984765413522</v>
      </c>
      <c r="M575">
        <v>0.092261908592481137</v>
      </c>
      <c r="N575">
        <v>0.73120854214763897</v>
      </c>
      <c r="O575" t="s">
        <v>138</v>
      </c>
      <c r="P575">
        <v>0.038336798013309477</v>
      </c>
      <c r="Q575" t="s">
        <v>138</v>
      </c>
      <c r="R575">
        <v>0.0055357145155488681</v>
      </c>
      <c r="S575" t="s">
        <v>139</v>
      </c>
      <c r="T575">
        <v>0.087745025057716683</v>
      </c>
      <c r="U575">
        <v>0.8628260797342141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60</v>
      </c>
      <c r="AB575">
        <v>1</v>
      </c>
      <c r="AC575">
        <v>0.50</v>
      </c>
      <c r="AD575">
        <v>0.50345253019720215</v>
      </c>
      <c r="AE575">
        <v>893.70</v>
      </c>
      <c r="AF575">
        <v>200000</v>
      </c>
      <c r="AG575">
        <v>16666.666666666668</v>
      </c>
      <c r="AH575">
        <v>1</v>
      </c>
      <c r="AI575">
        <v>1</v>
      </c>
      <c r="AJ575" t="s">
        <v>136</v>
      </c>
      <c r="AK575" t="s">
        <v>137</v>
      </c>
      <c r="AL575">
        <v>0</v>
      </c>
      <c r="AM575" t="s">
        <v>137</v>
      </c>
      <c r="AN575">
        <v>0</v>
      </c>
    </row>
    <row r="576" spans="1:42" ht="12.75">
      <c r="A576" s="2" t="str">
        <f>HYPERLINK("https://ibp.a2mac1.com/costing(costing:projects/details/8191/process/6974046)","Automated Process")</f>
        <v>Automated Process</v>
      </c>
      <c r="C576">
        <v>6974046</v>
      </c>
      <c r="D576">
        <v>5385069</v>
      </c>
      <c r="E576">
        <v>0.073583328000000003</v>
      </c>
      <c r="F576">
        <v>0</v>
      </c>
      <c r="G576">
        <v>0</v>
      </c>
      <c r="H576">
        <v>0.00037326480168421055</v>
      </c>
      <c r="I576" t="s">
        <v>137</v>
      </c>
      <c r="J576">
        <v>0.0025818711578947367</v>
      </c>
      <c r="K576">
        <v>0.076538463959578945</v>
      </c>
      <c r="L576">
        <v>0.0024140187574553254</v>
      </c>
      <c r="M576">
        <v>0.014484112544731953</v>
      </c>
      <c r="N576">
        <v>0.091022576504310906</v>
      </c>
      <c r="O576" t="s">
        <v>138</v>
      </c>
      <c r="P576">
        <v>0.0045923078375747365</v>
      </c>
      <c r="Q576" t="s">
        <v>138</v>
      </c>
      <c r="R576">
        <v>0.0008690467526839172</v>
      </c>
      <c r="S576" t="s">
        <v>139</v>
      </c>
      <c r="T576">
        <v>0.010922709180517309</v>
      </c>
      <c r="U576">
        <v>0.10740664027508687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60</v>
      </c>
      <c r="AB576">
        <v>1</v>
      </c>
      <c r="AC576">
        <v>0.50</v>
      </c>
      <c r="AD576">
        <v>0.50345253019720215</v>
      </c>
      <c r="AE576">
        <v>140.40</v>
      </c>
      <c r="AF576">
        <v>200000</v>
      </c>
      <c r="AG576">
        <v>16666.666666666668</v>
      </c>
      <c r="AH576">
        <v>1</v>
      </c>
      <c r="AI576">
        <v>1</v>
      </c>
      <c r="AJ576" t="s">
        <v>136</v>
      </c>
      <c r="AK576" t="s">
        <v>137</v>
      </c>
      <c r="AL576">
        <v>0</v>
      </c>
      <c r="AM576" t="s">
        <v>137</v>
      </c>
      <c r="AN576">
        <v>0</v>
      </c>
    </row>
    <row r="577" spans="1:42" ht="12.75">
      <c r="A577" s="2" t="str">
        <f>HYPERLINK("https://ibp.a2mac1.com/costing(costing:projects/details/8191/process/6974047)","Automated Process")</f>
        <v>Automated Process</v>
      </c>
      <c r="C577">
        <v>6974047</v>
      </c>
      <c r="D577">
        <v>5385070</v>
      </c>
      <c r="E577">
        <v>0.40329324</v>
      </c>
      <c r="F577">
        <v>0</v>
      </c>
      <c r="G577">
        <v>0</v>
      </c>
      <c r="H577">
        <v>0.0020457782400000002</v>
      </c>
      <c r="I577" t="s">
        <v>137</v>
      </c>
      <c r="J577">
        <v>0.014150640000000001</v>
      </c>
      <c r="K577">
        <v>0.41948965824000001</v>
      </c>
      <c r="L577">
        <v>0.013238464984908426</v>
      </c>
      <c r="M577">
        <v>0.079430789909450558</v>
      </c>
      <c r="N577">
        <v>0.49892044814945058</v>
      </c>
      <c r="O577" t="s">
        <v>138</v>
      </c>
      <c r="P577">
        <v>0.025169379494399999</v>
      </c>
      <c r="Q577" t="s">
        <v>138</v>
      </c>
      <c r="R577">
        <v>0.0047658473945670337</v>
      </c>
      <c r="S577" t="s">
        <v>139</v>
      </c>
      <c r="T577">
        <v>0.059870453777934068</v>
      </c>
      <c r="U577">
        <v>0.58872612881635167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60</v>
      </c>
      <c r="AB577">
        <v>1</v>
      </c>
      <c r="AC577">
        <v>0.50</v>
      </c>
      <c r="AD577">
        <v>0.50345253019720215</v>
      </c>
      <c r="AE577">
        <v>769.50</v>
      </c>
      <c r="AF577">
        <v>200000</v>
      </c>
      <c r="AG577">
        <v>16666.666666666668</v>
      </c>
      <c r="AH577">
        <v>1</v>
      </c>
      <c r="AI577">
        <v>1</v>
      </c>
      <c r="AJ577" t="s">
        <v>136</v>
      </c>
      <c r="AK577" t="s">
        <v>137</v>
      </c>
      <c r="AL577">
        <v>0</v>
      </c>
      <c r="AM577" t="s">
        <v>137</v>
      </c>
      <c r="AN577">
        <v>0</v>
      </c>
    </row>
    <row r="578" spans="1:42" ht="12.75">
      <c r="A578" s="2" t="str">
        <f>HYPERLINK("https://ibp.a2mac1.com/costing(costing:projects/details/8191/process/6974048)","Automated Process")</f>
        <v>Automated Process</v>
      </c>
      <c r="C578">
        <v>6974048</v>
      </c>
      <c r="D578">
        <v>5385071</v>
      </c>
      <c r="E578">
        <v>0.56602358249999996</v>
      </c>
      <c r="F578">
        <v>0</v>
      </c>
      <c r="G578">
        <v>0</v>
      </c>
      <c r="H578">
        <v>0.0028694548936842104</v>
      </c>
      <c r="I578" t="s">
        <v>137</v>
      </c>
      <c r="J578">
        <v>0.019848008157894736</v>
      </c>
      <c r="K578">
        <v>0.58874104555157891</v>
      </c>
      <c r="L578">
        <v>0.013703318383321976</v>
      </c>
      <c r="M578">
        <v>0.082219910299931864</v>
      </c>
      <c r="N578">
        <v>0.67096095585151083</v>
      </c>
      <c r="O578" t="s">
        <v>138</v>
      </c>
      <c r="P578">
        <v>0.035324462733094739</v>
      </c>
      <c r="Q578" t="s">
        <v>138</v>
      </c>
      <c r="R578">
        <v>0.0049331946179959115</v>
      </c>
      <c r="S578" t="s">
        <v>139</v>
      </c>
      <c r="T578">
        <v>0.08051531470218129</v>
      </c>
      <c r="U578">
        <v>0.7917339279047827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60</v>
      </c>
      <c r="AB578">
        <v>1</v>
      </c>
      <c r="AC578">
        <v>0.50</v>
      </c>
      <c r="AD578">
        <v>0.50345253019720215</v>
      </c>
      <c r="AE578">
        <v>796.50</v>
      </c>
      <c r="AF578">
        <v>200000</v>
      </c>
      <c r="AG578">
        <v>16666.666666666668</v>
      </c>
      <c r="AH578">
        <v>1</v>
      </c>
      <c r="AI578">
        <v>1</v>
      </c>
      <c r="AJ578" t="s">
        <v>136</v>
      </c>
      <c r="AK578" t="s">
        <v>137</v>
      </c>
      <c r="AL578">
        <v>0</v>
      </c>
      <c r="AM578" t="s">
        <v>137</v>
      </c>
      <c r="AN578">
        <v>0</v>
      </c>
    </row>
    <row r="579" spans="1:42" ht="12.75">
      <c r="A579" s="2" t="str">
        <f>HYPERLINK("https://ibp.a2mac1.com/costing(costing:projects/details/8191/process/6974049)","Automated Process")</f>
        <v>Automated Process</v>
      </c>
      <c r="C579">
        <v>6974049</v>
      </c>
      <c r="D579">
        <v>5385072</v>
      </c>
      <c r="E579">
        <v>0.65092943999999997</v>
      </c>
      <c r="F579">
        <v>0</v>
      </c>
      <c r="G579">
        <v>0</v>
      </c>
      <c r="H579">
        <v>0.0033019578610526314</v>
      </c>
      <c r="I579" t="s">
        <v>137</v>
      </c>
      <c r="J579">
        <v>0.02283962947368421</v>
      </c>
      <c r="K579">
        <v>0.6770710273347369</v>
      </c>
      <c r="L579">
        <v>0.021376784733597765</v>
      </c>
      <c r="M579">
        <v>0.12826070840158657</v>
      </c>
      <c r="N579">
        <v>0.80533173573632344</v>
      </c>
      <c r="O579" t="s">
        <v>138</v>
      </c>
      <c r="P579">
        <v>0.04062426164008421</v>
      </c>
      <c r="Q579" t="s">
        <v>138</v>
      </c>
      <c r="R579">
        <v>0.0076956425040951952</v>
      </c>
      <c r="S579" t="s">
        <v>139</v>
      </c>
      <c r="T579">
        <v>0.096639808288358817</v>
      </c>
      <c r="U579">
        <v>0.95029144816886169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60</v>
      </c>
      <c r="AB579">
        <v>1</v>
      </c>
      <c r="AC579">
        <v>0.50</v>
      </c>
      <c r="AD579">
        <v>0.50345253019720215</v>
      </c>
      <c r="AE579">
        <v>1242</v>
      </c>
      <c r="AF579">
        <v>200000</v>
      </c>
      <c r="AG579">
        <v>16666.666666666668</v>
      </c>
      <c r="AH579">
        <v>1</v>
      </c>
      <c r="AI579">
        <v>1</v>
      </c>
      <c r="AJ579" t="s">
        <v>136</v>
      </c>
      <c r="AK579" t="s">
        <v>137</v>
      </c>
      <c r="AL579">
        <v>0</v>
      </c>
      <c r="AM579" t="s">
        <v>137</v>
      </c>
      <c r="AN579">
        <v>0</v>
      </c>
    </row>
    <row r="580" spans="1:42" ht="12.75">
      <c r="A580" s="2" t="str">
        <f>HYPERLINK("https://ibp.a2mac1.com/costing(costing:projects/details/8191/process/6974050)","Automated Process")</f>
        <v>Automated Process</v>
      </c>
      <c r="C580">
        <v>6974050</v>
      </c>
      <c r="D580">
        <v>5385073</v>
      </c>
      <c r="E580">
        <v>0.057475739999999997</v>
      </c>
      <c r="F580">
        <v>0</v>
      </c>
      <c r="G580">
        <v>0</v>
      </c>
      <c r="H580">
        <v>0.00029155613473684212</v>
      </c>
      <c r="I580" t="s">
        <v>137</v>
      </c>
      <c r="J580">
        <v>0.0020166926315789472</v>
      </c>
      <c r="K580">
        <v>0.059783988766315792</v>
      </c>
      <c r="L580">
        <v>0.0018568812310094263</v>
      </c>
      <c r="M580">
        <v>0.011141287386056558</v>
      </c>
      <c r="N580">
        <v>0.070925276152372346</v>
      </c>
      <c r="O580" t="s">
        <v>138</v>
      </c>
      <c r="P580">
        <v>0.0035870393259789472</v>
      </c>
      <c r="Q580" t="s">
        <v>138</v>
      </c>
      <c r="R580">
        <v>0.0006684772431633935</v>
      </c>
      <c r="S580" t="s">
        <v>139</v>
      </c>
      <c r="T580">
        <v>0.0085110331382846818</v>
      </c>
      <c r="U580">
        <v>0.083691825859799368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60</v>
      </c>
      <c r="AB580">
        <v>1</v>
      </c>
      <c r="AC580">
        <v>0.50</v>
      </c>
      <c r="AD580">
        <v>0.50345253019720215</v>
      </c>
      <c r="AE580">
        <v>108</v>
      </c>
      <c r="AF580">
        <v>200000</v>
      </c>
      <c r="AG580">
        <v>16666.666666666668</v>
      </c>
      <c r="AH580">
        <v>1</v>
      </c>
      <c r="AI580">
        <v>1</v>
      </c>
      <c r="AJ580" t="s">
        <v>136</v>
      </c>
      <c r="AK580" t="s">
        <v>137</v>
      </c>
      <c r="AL580">
        <v>0</v>
      </c>
      <c r="AM580" t="s">
        <v>137</v>
      </c>
      <c r="AN580">
        <v>0</v>
      </c>
    </row>
    <row r="581" spans="1:42" ht="12.75">
      <c r="A581" s="2" t="str">
        <f>HYPERLINK("https://ibp.a2mac1.com/costing(costing:projects/details/8191/process/6974051)","Automated Process")</f>
        <v>Automated Process</v>
      </c>
      <c r="C581">
        <v>6974051</v>
      </c>
      <c r="D581">
        <v>5385074</v>
      </c>
      <c r="E581">
        <v>1.1263909439999999</v>
      </c>
      <c r="F581">
        <v>0</v>
      </c>
      <c r="G581">
        <v>0</v>
      </c>
      <c r="H581">
        <v>0.005713822733473684</v>
      </c>
      <c r="I581" t="s">
        <v>137</v>
      </c>
      <c r="J581">
        <v>0.039522489263157892</v>
      </c>
      <c r="K581">
        <v>1.1716272559966316</v>
      </c>
      <c r="L581">
        <v>0.037022488120370969</v>
      </c>
      <c r="M581">
        <v>0.22213492872222579</v>
      </c>
      <c r="N581">
        <v>1.3937621847188573</v>
      </c>
      <c r="O581" t="s">
        <v>138</v>
      </c>
      <c r="P581">
        <v>0.070297635359797897</v>
      </c>
      <c r="Q581" t="s">
        <v>138</v>
      </c>
      <c r="R581">
        <v>0.013328095723333547</v>
      </c>
      <c r="S581" t="s">
        <v>139</v>
      </c>
      <c r="T581">
        <v>0.16725146216626288</v>
      </c>
      <c r="U581">
        <v>1.6446393779682518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60</v>
      </c>
      <c r="AB581">
        <v>1</v>
      </c>
      <c r="AC581">
        <v>0.50</v>
      </c>
      <c r="AD581">
        <v>0.50345253019720215</v>
      </c>
      <c r="AE581">
        <v>2149.20</v>
      </c>
      <c r="AF581">
        <v>200000</v>
      </c>
      <c r="AG581">
        <v>16666.666666666668</v>
      </c>
      <c r="AH581">
        <v>1</v>
      </c>
      <c r="AI581">
        <v>1</v>
      </c>
      <c r="AJ581" t="s">
        <v>136</v>
      </c>
      <c r="AK581" t="s">
        <v>137</v>
      </c>
      <c r="AL581">
        <v>0</v>
      </c>
      <c r="AM581" t="s">
        <v>137</v>
      </c>
      <c r="AN581">
        <v>0</v>
      </c>
    </row>
    <row r="582" spans="1:42" ht="12.75">
      <c r="A582" s="2" t="str">
        <f>HYPERLINK("https://ibp.a2mac1.com/costing(costing:projects/details/8191/process/6974052)","Automated Process")</f>
        <v>Automated Process</v>
      </c>
      <c r="C582">
        <v>6974052</v>
      </c>
      <c r="D582">
        <v>5385075</v>
      </c>
      <c r="E582">
        <v>1.0479407599999999</v>
      </c>
      <c r="F582">
        <v>0</v>
      </c>
      <c r="G582">
        <v>0</v>
      </c>
      <c r="H582">
        <v>0.0053124737600000003</v>
      </c>
      <c r="I582" t="s">
        <v>137</v>
      </c>
      <c r="J582">
        <v>0.036746359999999999</v>
      </c>
      <c r="K582">
        <v>1.08999959376</v>
      </c>
      <c r="L582">
        <v>0.026030477234231873</v>
      </c>
      <c r="M582">
        <v>0.15618286340539125</v>
      </c>
      <c r="N582">
        <v>1.2461824571653912</v>
      </c>
      <c r="O582" t="s">
        <v>138</v>
      </c>
      <c r="P582">
        <v>0.065399975625600001</v>
      </c>
      <c r="Q582" t="s">
        <v>138</v>
      </c>
      <c r="R582">
        <v>0.0093709718043234747</v>
      </c>
      <c r="S582" t="s">
        <v>139</v>
      </c>
      <c r="T582">
        <v>0.14954189485984695</v>
      </c>
      <c r="U582">
        <v>1.4704952994551617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60</v>
      </c>
      <c r="AB582">
        <v>1</v>
      </c>
      <c r="AC582">
        <v>0.50</v>
      </c>
      <c r="AD582">
        <v>0.50345253019720215</v>
      </c>
      <c r="AE582">
        <v>1512</v>
      </c>
      <c r="AF582">
        <v>200000</v>
      </c>
      <c r="AG582">
        <v>16666.666666666668</v>
      </c>
      <c r="AH582">
        <v>1</v>
      </c>
      <c r="AI582">
        <v>1</v>
      </c>
      <c r="AJ582" t="s">
        <v>136</v>
      </c>
      <c r="AK582" t="s">
        <v>137</v>
      </c>
      <c r="AL582">
        <v>0</v>
      </c>
      <c r="AM582" t="s">
        <v>137</v>
      </c>
      <c r="AN582">
        <v>0</v>
      </c>
    </row>
    <row r="583" spans="1:42" ht="12.75">
      <c r="A583" s="2" t="str">
        <f>HYPERLINK("https://ibp.a2mac1.com/costing(costing:projects/details/8191/process/6974116)","Automated Process")</f>
        <v>Automated Process</v>
      </c>
      <c r="C583">
        <v>6974116</v>
      </c>
      <c r="D583">
        <v>5385110</v>
      </c>
      <c r="E583">
        <v>0.84400373200000001</v>
      </c>
      <c r="F583">
        <v>0</v>
      </c>
      <c r="G583">
        <v>0</v>
      </c>
      <c r="H583">
        <v>0.0042796938846315791</v>
      </c>
      <c r="I583" t="s">
        <v>137</v>
      </c>
      <c r="J583">
        <v>0.029602625684210526</v>
      </c>
      <c r="K583">
        <v>0.87788605156884214</v>
      </c>
      <c r="L583">
        <v>0.10832333012062413</v>
      </c>
      <c r="M583">
        <v>0.64993998072374481</v>
      </c>
      <c r="N583">
        <v>1.527826032292587</v>
      </c>
      <c r="O583" t="s">
        <v>138</v>
      </c>
      <c r="P583">
        <v>0.052673163094130525</v>
      </c>
      <c r="Q583" t="s">
        <v>138</v>
      </c>
      <c r="R583">
        <v>0.038996398843424686</v>
      </c>
      <c r="S583" t="s">
        <v>139</v>
      </c>
      <c r="T583">
        <v>0.18333912387511042</v>
      </c>
      <c r="U583">
        <v>1.8028347181052526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60</v>
      </c>
      <c r="AB583">
        <v>1</v>
      </c>
      <c r="AC583">
        <v>0.50</v>
      </c>
      <c r="AD583">
        <v>0.50345253019720215</v>
      </c>
      <c r="AE583">
        <v>10800</v>
      </c>
      <c r="AF583">
        <v>200000</v>
      </c>
      <c r="AG583">
        <v>16666.666666666668</v>
      </c>
      <c r="AH583">
        <v>1</v>
      </c>
      <c r="AI583">
        <v>1</v>
      </c>
      <c r="AJ583" t="s">
        <v>136</v>
      </c>
      <c r="AK583" t="s">
        <v>137</v>
      </c>
      <c r="AL583">
        <v>0</v>
      </c>
      <c r="AM583" t="s">
        <v>137</v>
      </c>
      <c r="AN583">
        <v>0</v>
      </c>
    </row>
    <row r="584" spans="1:42" ht="12.75">
      <c r="A584" s="2" t="str">
        <f>HYPERLINK("https://ibp.a2mac1.com/costing(costing:projects/details/8191/process/6974117)","Automated Process")</f>
        <v>Automated Process</v>
      </c>
      <c r="C584">
        <v>6974117</v>
      </c>
      <c r="D584">
        <v>5385111</v>
      </c>
      <c r="E584">
        <v>0.91099047899999996</v>
      </c>
      <c r="F584">
        <v>0</v>
      </c>
      <c r="G584">
        <v>0</v>
      </c>
      <c r="H584">
        <v>0.0046211647355789472</v>
      </c>
      <c r="I584" t="s">
        <v>137</v>
      </c>
      <c r="J584">
        <v>0.031964578210526319</v>
      </c>
      <c r="K584">
        <v>0.94757622194610525</v>
      </c>
      <c r="L584">
        <v>0.029475719254211028</v>
      </c>
      <c r="M584">
        <v>0.17685431552526618</v>
      </c>
      <c r="N584">
        <v>1.1244305374713714</v>
      </c>
      <c r="O584" t="s">
        <v>138</v>
      </c>
      <c r="P584">
        <v>0.056854573316766313</v>
      </c>
      <c r="Q584" t="s">
        <v>138</v>
      </c>
      <c r="R584">
        <v>0.01061125893151597</v>
      </c>
      <c r="S584" t="s">
        <v>139</v>
      </c>
      <c r="T584">
        <v>0.13493166449656457</v>
      </c>
      <c r="U584">
        <v>1.3268280342162182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60</v>
      </c>
      <c r="AB584">
        <v>1</v>
      </c>
      <c r="AC584">
        <v>0.50</v>
      </c>
      <c r="AD584">
        <v>0.50345253019720215</v>
      </c>
      <c r="AE584">
        <v>1711.80</v>
      </c>
      <c r="AF584">
        <v>200000</v>
      </c>
      <c r="AG584">
        <v>16666.666666666668</v>
      </c>
      <c r="AH584">
        <v>1</v>
      </c>
      <c r="AI584">
        <v>1</v>
      </c>
      <c r="AJ584" t="s">
        <v>136</v>
      </c>
      <c r="AK584" t="s">
        <v>137</v>
      </c>
      <c r="AL584">
        <v>0</v>
      </c>
      <c r="AM584" t="s">
        <v>137</v>
      </c>
      <c r="AN584">
        <v>0</v>
      </c>
    </row>
    <row r="585" spans="1:42" ht="12.75">
      <c r="A585" s="2" t="str">
        <f>HYPERLINK("https://ibp.a2mac1.com/costing(costing:projects/details/8191/process/6974118)","Automated Process")</f>
        <v>Automated Process</v>
      </c>
      <c r="C585">
        <v>6974118</v>
      </c>
      <c r="D585">
        <v>5385112</v>
      </c>
      <c r="E585">
        <v>0.82334629800000003</v>
      </c>
      <c r="F585">
        <v>0</v>
      </c>
      <c r="G585">
        <v>0</v>
      </c>
      <c r="H585">
        <v>0.0041749461322105261</v>
      </c>
      <c r="I585" t="s">
        <v>137</v>
      </c>
      <c r="J585">
        <v>0.028878085894736841</v>
      </c>
      <c r="K585">
        <v>0.85639933002694735</v>
      </c>
      <c r="L585">
        <v>0.10832333012062413</v>
      </c>
      <c r="M585">
        <v>0.64993998072374481</v>
      </c>
      <c r="N585">
        <v>1.5063393107506922</v>
      </c>
      <c r="O585" t="s">
        <v>138</v>
      </c>
      <c r="P585">
        <v>0.051383959801616842</v>
      </c>
      <c r="Q585" t="s">
        <v>138</v>
      </c>
      <c r="R585">
        <v>0.038996398843424686</v>
      </c>
      <c r="S585" t="s">
        <v>139</v>
      </c>
      <c r="T585">
        <v>0.18076071729008306</v>
      </c>
      <c r="U585">
        <v>1.7774803866858169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60</v>
      </c>
      <c r="AB585">
        <v>1</v>
      </c>
      <c r="AC585">
        <v>0.50</v>
      </c>
      <c r="AD585">
        <v>0.50345253019720215</v>
      </c>
      <c r="AE585">
        <v>10800</v>
      </c>
      <c r="AF585">
        <v>200000</v>
      </c>
      <c r="AG585">
        <v>16666.666666666668</v>
      </c>
      <c r="AH585">
        <v>1</v>
      </c>
      <c r="AI585">
        <v>1</v>
      </c>
      <c r="AJ585" t="s">
        <v>136</v>
      </c>
      <c r="AK585" t="s">
        <v>137</v>
      </c>
      <c r="AL585">
        <v>0</v>
      </c>
      <c r="AM585" t="s">
        <v>137</v>
      </c>
      <c r="AN585">
        <v>0</v>
      </c>
    </row>
    <row r="586" spans="1:42" ht="12.75">
      <c r="A586" s="2" t="str">
        <f>HYPERLINK("https://ibp.a2mac1.com/costing(costing:projects/details/8191/process/6974119)","Automated Process")</f>
        <v>Automated Process</v>
      </c>
      <c r="C586">
        <v>6974119</v>
      </c>
      <c r="D586">
        <v>5385113</v>
      </c>
      <c r="E586">
        <v>0.89805843750000003</v>
      </c>
      <c r="F586">
        <v>0</v>
      </c>
      <c r="G586">
        <v>0</v>
      </c>
      <c r="H586">
        <v>0.004555564605263158</v>
      </c>
      <c r="I586" t="s">
        <v>137</v>
      </c>
      <c r="J586">
        <v>0.031510822368421051</v>
      </c>
      <c r="K586">
        <v>0.93412482447368417</v>
      </c>
      <c r="L586">
        <v>0.029056634748040582</v>
      </c>
      <c r="M586">
        <v>0.17433980848824351</v>
      </c>
      <c r="N586">
        <v>1.1084646329619277</v>
      </c>
      <c r="O586" t="s">
        <v>138</v>
      </c>
      <c r="P586">
        <v>0.056047489468421051</v>
      </c>
      <c r="Q586" t="s">
        <v>138</v>
      </c>
      <c r="R586">
        <v>0.010460388509294609</v>
      </c>
      <c r="S586" t="s">
        <v>139</v>
      </c>
      <c r="T586">
        <v>0.13301575595543133</v>
      </c>
      <c r="U586">
        <v>1.3079882668950746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60</v>
      </c>
      <c r="AB586">
        <v>1</v>
      </c>
      <c r="AC586">
        <v>0.50</v>
      </c>
      <c r="AD586">
        <v>0.50345253019720215</v>
      </c>
      <c r="AE586">
        <v>1687.50</v>
      </c>
      <c r="AF586">
        <v>200000</v>
      </c>
      <c r="AG586">
        <v>16666.666666666668</v>
      </c>
      <c r="AH586">
        <v>1</v>
      </c>
      <c r="AI586">
        <v>1</v>
      </c>
      <c r="AJ586" t="s">
        <v>136</v>
      </c>
      <c r="AK586" t="s">
        <v>137</v>
      </c>
      <c r="AL586">
        <v>0</v>
      </c>
      <c r="AM586" t="s">
        <v>137</v>
      </c>
      <c r="AN586">
        <v>0</v>
      </c>
    </row>
    <row r="587" spans="1:42" ht="12.75">
      <c r="A587" s="2" t="str">
        <f>HYPERLINK("https://ibp.a2mac1.com/costing(costing:projects/details/8191/process/6974120)","Automated Process")</f>
        <v>Automated Process</v>
      </c>
      <c r="C587">
        <v>6974120</v>
      </c>
      <c r="D587">
        <v>5385114</v>
      </c>
      <c r="E587">
        <v>0.0086213609999999993</v>
      </c>
      <c r="F587">
        <v>0</v>
      </c>
      <c r="G587">
        <v>0</v>
      </c>
      <c r="H587">
        <v>4.3733420210526317E-05</v>
      </c>
      <c r="I587" t="s">
        <v>137</v>
      </c>
      <c r="J587">
        <v>0.0003025038947368421</v>
      </c>
      <c r="K587">
        <v>0.0089675983149473688</v>
      </c>
      <c r="L587">
        <v>0.00027850615759089821</v>
      </c>
      <c r="M587">
        <v>0.0016710369455453895</v>
      </c>
      <c r="N587">
        <v>0.010638635260492758</v>
      </c>
      <c r="O587" t="s">
        <v>138</v>
      </c>
      <c r="P587">
        <v>0.00053805589889684212</v>
      </c>
      <c r="Q587" t="s">
        <v>138</v>
      </c>
      <c r="R587">
        <v>0.00010026221673272336</v>
      </c>
      <c r="S587" t="s">
        <v>139</v>
      </c>
      <c r="T587">
        <v>0.001276636231259131</v>
      </c>
      <c r="U587">
        <v>0.012553589607381455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60</v>
      </c>
      <c r="AB587">
        <v>1</v>
      </c>
      <c r="AC587">
        <v>0.50</v>
      </c>
      <c r="AD587">
        <v>0.50345253019720215</v>
      </c>
      <c r="AE587">
        <v>16.20</v>
      </c>
      <c r="AF587">
        <v>200000</v>
      </c>
      <c r="AG587">
        <v>16666.666666666668</v>
      </c>
      <c r="AH587">
        <v>1</v>
      </c>
      <c r="AI587">
        <v>1</v>
      </c>
      <c r="AJ587" t="s">
        <v>136</v>
      </c>
      <c r="AK587" t="s">
        <v>137</v>
      </c>
      <c r="AL587">
        <v>0</v>
      </c>
      <c r="AM587" t="s">
        <v>137</v>
      </c>
      <c r="AN587">
        <v>0</v>
      </c>
    </row>
    <row r="588" spans="1:42" ht="12.75">
      <c r="A588" s="2" t="str">
        <f>HYPERLINK("https://ibp.a2mac1.com/costing(costing:projects/details/8191/process/6974053)","Automated Process")</f>
        <v>Automated Process</v>
      </c>
      <c r="C588">
        <v>6974053</v>
      </c>
      <c r="D588">
        <v>5385077</v>
      </c>
      <c r="E588">
        <v>1.459957052631579</v>
      </c>
      <c r="F588">
        <v>0</v>
      </c>
      <c r="G588">
        <v>0</v>
      </c>
      <c r="H588">
        <v>0.0073873826863157894</v>
      </c>
      <c r="I588" t="s">
        <v>137</v>
      </c>
      <c r="J588">
        <v>0.051098496842105261</v>
      </c>
      <c r="K588">
        <v>1.5184429321599999</v>
      </c>
      <c r="L588">
        <v>0.040938050159384065</v>
      </c>
      <c r="M588">
        <v>0.24562830095630439</v>
      </c>
      <c r="N588">
        <v>1.7640712331163044</v>
      </c>
      <c r="O588" t="s">
        <v>138</v>
      </c>
      <c r="P588">
        <v>0.091106575929600003</v>
      </c>
      <c r="Q588" t="s">
        <v>138</v>
      </c>
      <c r="R588">
        <v>0.014737698057378262</v>
      </c>
      <c r="S588" t="s">
        <v>139</v>
      </c>
      <c r="T588">
        <v>0.21168854797395653</v>
      </c>
      <c r="U588">
        <v>2.0816040550772392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60</v>
      </c>
      <c r="AB588">
        <v>1</v>
      </c>
      <c r="AC588">
        <v>0.50</v>
      </c>
      <c r="AD588">
        <v>0.50345253019720215</v>
      </c>
      <c r="AE588">
        <v>2376</v>
      </c>
      <c r="AF588">
        <v>200000</v>
      </c>
      <c r="AG588">
        <v>16666.666666666668</v>
      </c>
      <c r="AH588">
        <v>1</v>
      </c>
      <c r="AI588">
        <v>1</v>
      </c>
      <c r="AJ588" t="s">
        <v>136</v>
      </c>
      <c r="AK588" t="s">
        <v>137</v>
      </c>
      <c r="AL588">
        <v>0</v>
      </c>
      <c r="AM588" t="s">
        <v>137</v>
      </c>
      <c r="AN588">
        <v>0</v>
      </c>
    </row>
    <row r="589" spans="1:42" ht="12.75">
      <c r="A589" s="2" t="str">
        <f>HYPERLINK("https://ibp.a2mac1.com/costing(costing:projects/details/8191/process/6973974)","Process")</f>
        <v>Process</v>
      </c>
      <c r="C589">
        <v>6973974</v>
      </c>
      <c r="D589">
        <v>5384938</v>
      </c>
      <c r="E589">
        <v>0</v>
      </c>
      <c r="F589">
        <v>0</v>
      </c>
      <c r="G589">
        <v>0</v>
      </c>
      <c r="H589">
        <v>0</v>
      </c>
      <c r="I589" t="s">
        <v>137</v>
      </c>
      <c r="J589">
        <v>0</v>
      </c>
      <c r="K589">
        <v>0</v>
      </c>
      <c r="L589">
        <v>0.23398748390103902</v>
      </c>
      <c r="M589">
        <v>1.403924903406234</v>
      </c>
      <c r="N589">
        <v>1.403924903406234</v>
      </c>
      <c r="O589" t="s">
        <v>691</v>
      </c>
      <c r="P589">
        <v>0</v>
      </c>
      <c r="Q589" t="s">
        <v>691</v>
      </c>
      <c r="R589">
        <v>0.05615699613624936</v>
      </c>
      <c r="S589" t="s">
        <v>138</v>
      </c>
      <c r="T589">
        <v>0.08423549420437404</v>
      </c>
      <c r="U589">
        <v>1.5443173937468575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205</v>
      </c>
      <c r="AB589">
        <v>1</v>
      </c>
      <c r="AC589">
        <v>5</v>
      </c>
      <c r="AD589">
        <v>5.0007599939200489</v>
      </c>
      <c r="AE589">
        <v>216</v>
      </c>
      <c r="AF589">
        <v>200000</v>
      </c>
      <c r="AG589">
        <v>16666.666666666668</v>
      </c>
      <c r="AH589">
        <v>1</v>
      </c>
      <c r="AI589">
        <v>1</v>
      </c>
      <c r="AJ589" t="s">
        <v>136</v>
      </c>
      <c r="AK589" t="s">
        <v>137</v>
      </c>
      <c r="AL589">
        <v>0</v>
      </c>
      <c r="AM589" t="s">
        <v>137</v>
      </c>
      <c r="AN589">
        <v>0</v>
      </c>
    </row>
    <row r="590" spans="1:42" ht="12.75">
      <c r="A590" s="2" t="str">
        <f>HYPERLINK("https://ibp.a2mac1.com/costing(costing:projects/details/8191/process/6973975)","Automated Process")</f>
        <v>Automated Process</v>
      </c>
      <c r="C590">
        <v>6973975</v>
      </c>
      <c r="D590">
        <v>5384939</v>
      </c>
      <c r="E590">
        <v>0.211916628</v>
      </c>
      <c r="F590">
        <v>0</v>
      </c>
      <c r="G590">
        <v>0</v>
      </c>
      <c r="H590">
        <v>0.0010749856016842106</v>
      </c>
      <c r="I590" t="s">
        <v>137</v>
      </c>
      <c r="J590">
        <v>0.0074356711578947368</v>
      </c>
      <c r="K590">
        <v>0.22042728475957896</v>
      </c>
      <c r="L590">
        <v>0.0033426563344990767</v>
      </c>
      <c r="M590">
        <v>0.020055938006994459</v>
      </c>
      <c r="N590">
        <v>0.24048322276657341</v>
      </c>
      <c r="O590" t="s">
        <v>138</v>
      </c>
      <c r="P590">
        <v>0.013225637085574737</v>
      </c>
      <c r="Q590" t="s">
        <v>138</v>
      </c>
      <c r="R590">
        <v>0.0012033562804196676</v>
      </c>
      <c r="S590" t="s">
        <v>139</v>
      </c>
      <c r="T590">
        <v>0.028857986731988809</v>
      </c>
      <c r="U590">
        <v>0.28377020286455662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60</v>
      </c>
      <c r="AB590">
        <v>1</v>
      </c>
      <c r="AC590">
        <v>0.50</v>
      </c>
      <c r="AD590">
        <v>0.50345253019720215</v>
      </c>
      <c r="AE590">
        <v>194.40</v>
      </c>
      <c r="AF590">
        <v>200000</v>
      </c>
      <c r="AG590">
        <v>16666.666666666668</v>
      </c>
      <c r="AH590">
        <v>1</v>
      </c>
      <c r="AI590">
        <v>1</v>
      </c>
      <c r="AJ590" t="s">
        <v>136</v>
      </c>
      <c r="AK590" t="s">
        <v>137</v>
      </c>
      <c r="AL590">
        <v>0</v>
      </c>
      <c r="AM590" t="s">
        <v>137</v>
      </c>
      <c r="AN590">
        <v>0</v>
      </c>
    </row>
    <row r="591" spans="1:42" ht="12.75">
      <c r="A591" s="2" t="str">
        <f>HYPERLINK("https://ibp.a2mac1.com/costing(costing:projects/details/8191/process/6973976)","Automated Process")</f>
        <v>Automated Process</v>
      </c>
      <c r="C591">
        <v>6973976</v>
      </c>
      <c r="D591">
        <v>5384940</v>
      </c>
      <c r="E591">
        <v>0.0047489400000000001</v>
      </c>
      <c r="F591">
        <v>0</v>
      </c>
      <c r="G591">
        <v>0</v>
      </c>
      <c r="H591">
        <v>2.4029636399999999E-05</v>
      </c>
      <c r="I591" t="s">
        <v>137</v>
      </c>
      <c r="J591">
        <v>0.00016621290000000001</v>
      </c>
      <c r="K591">
        <v>0.0049391825364000002</v>
      </c>
      <c r="L591">
        <v>0.00412438995915338</v>
      </c>
      <c r="M591">
        <v>0.024746339754920278</v>
      </c>
      <c r="N591">
        <v>0.029685522291320279</v>
      </c>
      <c r="O591" t="s">
        <v>138</v>
      </c>
      <c r="P591">
        <v>0.00029635095218400002</v>
      </c>
      <c r="Q591" t="s">
        <v>138</v>
      </c>
      <c r="R591">
        <v>0.0014847803852952167</v>
      </c>
      <c r="S591" t="s">
        <v>139</v>
      </c>
      <c r="T591">
        <v>0.0035622626749584334</v>
      </c>
      <c r="U591">
        <v>0.035028916303757929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1</v>
      </c>
      <c r="AC591">
        <v>0.50</v>
      </c>
      <c r="AD591">
        <v>0.50345253019720215</v>
      </c>
      <c r="AE591">
        <v>10800</v>
      </c>
      <c r="AF591">
        <v>200000</v>
      </c>
      <c r="AG591">
        <v>16666.666666666668</v>
      </c>
      <c r="AH591">
        <v>1</v>
      </c>
      <c r="AI591">
        <v>1</v>
      </c>
      <c r="AJ591" t="s">
        <v>136</v>
      </c>
      <c r="AK591" t="s">
        <v>137</v>
      </c>
      <c r="AL591">
        <v>0</v>
      </c>
      <c r="AM591" t="s">
        <v>137</v>
      </c>
      <c r="AN591">
        <v>0</v>
      </c>
    </row>
    <row r="592" spans="1:42" ht="12.75">
      <c r="A592" s="2" t="str">
        <f>HYPERLINK("https://ibp.a2mac1.com/costing(costing:projects/details/8191/process/6973977)","Automated Process")</f>
        <v>Automated Process</v>
      </c>
      <c r="C592">
        <v>6973977</v>
      </c>
      <c r="D592">
        <v>5384941</v>
      </c>
      <c r="E592">
        <v>0.226884</v>
      </c>
      <c r="F592">
        <v>0</v>
      </c>
      <c r="G592">
        <v>0</v>
      </c>
      <c r="H592">
        <v>0.0011509103157894738</v>
      </c>
      <c r="I592" t="s">
        <v>137</v>
      </c>
      <c r="J592">
        <v>0.0079608421052631585</v>
      </c>
      <c r="K592">
        <v>0.23599575242105264</v>
      </c>
      <c r="L592">
        <v>0.0034355252507199505</v>
      </c>
      <c r="M592">
        <v>0.020613151504319704</v>
      </c>
      <c r="N592">
        <v>0.25660890392537233</v>
      </c>
      <c r="O592" t="s">
        <v>138</v>
      </c>
      <c r="P592">
        <v>0.014159745145263157</v>
      </c>
      <c r="Q592" t="s">
        <v>138</v>
      </c>
      <c r="R592">
        <v>0.0012367890902591821</v>
      </c>
      <c r="S592" t="s">
        <v>139</v>
      </c>
      <c r="T592">
        <v>0.030793068471044679</v>
      </c>
      <c r="U592">
        <v>0.30279850663193936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60</v>
      </c>
      <c r="AB592">
        <v>1</v>
      </c>
      <c r="AC592">
        <v>0.50</v>
      </c>
      <c r="AD592">
        <v>0.50345253019720215</v>
      </c>
      <c r="AE592">
        <v>199.80</v>
      </c>
      <c r="AF592">
        <v>200000</v>
      </c>
      <c r="AG592">
        <v>16666.666666666668</v>
      </c>
      <c r="AH592">
        <v>1</v>
      </c>
      <c r="AI592">
        <v>1</v>
      </c>
      <c r="AJ592" t="s">
        <v>136</v>
      </c>
      <c r="AK592" t="s">
        <v>137</v>
      </c>
      <c r="AL592">
        <v>0</v>
      </c>
      <c r="AM592" t="s">
        <v>137</v>
      </c>
      <c r="AN592">
        <v>0</v>
      </c>
    </row>
    <row r="593" spans="1:42" ht="12.75">
      <c r="A593" s="2" t="str">
        <f>HYPERLINK("https://ibp.a2mac1.com/costing(costing:projects/details/8191/process/6973978)","Automated process")</f>
        <v>Automated process</v>
      </c>
      <c r="B593" t="s">
        <v>4458</v>
      </c>
      <c r="C593">
        <v>6973978</v>
      </c>
      <c r="D593">
        <v>5384942</v>
      </c>
      <c r="E593">
        <v>4.8727799999999997</v>
      </c>
      <c r="F593">
        <v>0</v>
      </c>
      <c r="G593">
        <v>0</v>
      </c>
      <c r="H593">
        <v>0.049507444800000001</v>
      </c>
      <c r="I593" t="s">
        <v>137</v>
      </c>
      <c r="J593">
        <v>0.17054730000000001</v>
      </c>
      <c r="K593">
        <v>5.0928347448000002</v>
      </c>
      <c r="L593">
        <v>0.66121212152154818</v>
      </c>
      <c r="M593">
        <v>3.9672727291292889</v>
      </c>
      <c r="N593">
        <v>9.0601074739292891</v>
      </c>
      <c r="O593" t="s">
        <v>138</v>
      </c>
      <c r="P593">
        <v>0.30557008468800001</v>
      </c>
      <c r="Q593" t="s">
        <v>138</v>
      </c>
      <c r="R593">
        <v>0.23803636374775733</v>
      </c>
      <c r="S593" t="s">
        <v>139</v>
      </c>
      <c r="T593">
        <v>1.0872128968715147</v>
      </c>
      <c r="U593">
        <v>10.690926819236561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371.16901000000001</v>
      </c>
      <c r="AB593">
        <v>1</v>
      </c>
      <c r="AC593">
        <v>1</v>
      </c>
      <c r="AD593">
        <v>1.0057812623742775</v>
      </c>
      <c r="AE593">
        <v>10800</v>
      </c>
      <c r="AF593">
        <v>200000</v>
      </c>
      <c r="AG593">
        <v>16666.666666666668</v>
      </c>
      <c r="AH593">
        <v>1</v>
      </c>
      <c r="AI593">
        <v>1</v>
      </c>
      <c r="AJ593" t="s">
        <v>136</v>
      </c>
      <c r="AK593" t="s">
        <v>137</v>
      </c>
      <c r="AL593">
        <v>0</v>
      </c>
      <c r="AM593" t="s">
        <v>137</v>
      </c>
      <c r="AN593">
        <v>0</v>
      </c>
    </row>
    <row r="594" spans="1:42" ht="12.75">
      <c r="A594" s="2" t="str">
        <f>HYPERLINK("https://ibp.a2mac1.com/costing(costing:projects/details/8191/process/6974121)","Automated process")</f>
        <v>Automated process</v>
      </c>
      <c r="B594" t="s">
        <v>4458</v>
      </c>
      <c r="C594">
        <v>6974121</v>
      </c>
      <c r="D594">
        <v>5385115</v>
      </c>
      <c r="E594">
        <v>3.1893500000000001</v>
      </c>
      <c r="F594">
        <v>0</v>
      </c>
      <c r="G594">
        <v>0</v>
      </c>
      <c r="H594">
        <v>0.032403795999999999</v>
      </c>
      <c r="I594" t="s">
        <v>137</v>
      </c>
      <c r="J594">
        <v>0.11162725</v>
      </c>
      <c r="K594">
        <v>3.333381046</v>
      </c>
      <c r="L594">
        <v>0.21178294187702998</v>
      </c>
      <c r="M594">
        <v>1.2706976512621799</v>
      </c>
      <c r="N594">
        <v>4.6040786972621799</v>
      </c>
      <c r="O594" t="s">
        <v>138</v>
      </c>
      <c r="P594">
        <v>0.20000286276000001</v>
      </c>
      <c r="Q594" t="s">
        <v>138</v>
      </c>
      <c r="R594">
        <v>0.076241859075730792</v>
      </c>
      <c r="S594" t="s">
        <v>139</v>
      </c>
      <c r="T594">
        <v>0.55248944367146158</v>
      </c>
      <c r="U594">
        <v>5.4328128627693726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117.97595</v>
      </c>
      <c r="AB594">
        <v>1</v>
      </c>
      <c r="AC594">
        <v>1</v>
      </c>
      <c r="AD594">
        <v>1.0057812623742775</v>
      </c>
      <c r="AE594">
        <v>10800</v>
      </c>
      <c r="AF594">
        <v>200000</v>
      </c>
      <c r="AG594">
        <v>16666.666666666668</v>
      </c>
      <c r="AH594">
        <v>1</v>
      </c>
      <c r="AI594">
        <v>1</v>
      </c>
      <c r="AJ594" t="s">
        <v>136</v>
      </c>
      <c r="AK594" t="s">
        <v>137</v>
      </c>
      <c r="AL594">
        <v>0</v>
      </c>
      <c r="AM594" t="s">
        <v>137</v>
      </c>
      <c r="AN594">
        <v>0</v>
      </c>
    </row>
    <row r="595" spans="1:42" ht="12.75">
      <c r="A595" s="2" t="str">
        <f>HYPERLINK("https://ibp.a2mac1.com/costing(costing:projects/details/8191/process/6974122)","Automated process")</f>
        <v>Automated process</v>
      </c>
      <c r="B595" t="s">
        <v>4458</v>
      </c>
      <c r="C595">
        <v>6974122</v>
      </c>
      <c r="D595">
        <v>5385116</v>
      </c>
      <c r="E595">
        <v>3.1956799999999999</v>
      </c>
      <c r="F595">
        <v>0</v>
      </c>
      <c r="G595">
        <v>0</v>
      </c>
      <c r="H595">
        <v>0.032468108799999999</v>
      </c>
      <c r="I595" t="s">
        <v>137</v>
      </c>
      <c r="J595">
        <v>0.1118488</v>
      </c>
      <c r="K595">
        <v>3.3399969087999999</v>
      </c>
      <c r="L595">
        <v>0.21197995416736978</v>
      </c>
      <c r="M595">
        <v>1.2718797250042186</v>
      </c>
      <c r="N595">
        <v>4.6118766338042185</v>
      </c>
      <c r="O595" t="s">
        <v>138</v>
      </c>
      <c r="P595">
        <v>0.20039981452799999</v>
      </c>
      <c r="Q595" t="s">
        <v>138</v>
      </c>
      <c r="R595">
        <v>0.076312783500253126</v>
      </c>
      <c r="S595" t="s">
        <v>139</v>
      </c>
      <c r="T595">
        <v>0.5534251960565062</v>
      </c>
      <c r="U595">
        <v>5.4420144278889779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118.08694</v>
      </c>
      <c r="AB595">
        <v>1</v>
      </c>
      <c r="AC595">
        <v>1</v>
      </c>
      <c r="AD595">
        <v>1.0057812623742775</v>
      </c>
      <c r="AE595">
        <v>10800</v>
      </c>
      <c r="AF595">
        <v>200000</v>
      </c>
      <c r="AG595">
        <v>16666.666666666668</v>
      </c>
      <c r="AH595">
        <v>1</v>
      </c>
      <c r="AI595">
        <v>1</v>
      </c>
      <c r="AJ595" t="s">
        <v>136</v>
      </c>
      <c r="AK595" t="s">
        <v>137</v>
      </c>
      <c r="AL595">
        <v>0</v>
      </c>
      <c r="AM595" t="s">
        <v>137</v>
      </c>
      <c r="AN595">
        <v>0</v>
      </c>
    </row>
    <row r="596" spans="1:42" ht="12.75">
      <c r="A596" s="2" t="str">
        <f>HYPERLINK("https://ibp.a2mac1.com/costing(costing:projects/details/8191/process/6974123)","Automated process")</f>
        <v>Automated process</v>
      </c>
      <c r="B596" t="s">
        <v>4458</v>
      </c>
      <c r="C596">
        <v>6974123</v>
      </c>
      <c r="D596">
        <v>5385117</v>
      </c>
      <c r="E596">
        <v>4.7430300000000001</v>
      </c>
      <c r="F596">
        <v>0</v>
      </c>
      <c r="G596">
        <v>0</v>
      </c>
      <c r="H596">
        <v>0.0481891848</v>
      </c>
      <c r="I596" t="s">
        <v>137</v>
      </c>
      <c r="J596">
        <v>0.16600604999999999</v>
      </c>
      <c r="K596">
        <v>4.9572252348000001</v>
      </c>
      <c r="L596">
        <v>0.26015340863149639</v>
      </c>
      <c r="M596">
        <v>1.5609204517889783</v>
      </c>
      <c r="N596">
        <v>6.5181456865889782</v>
      </c>
      <c r="O596" t="s">
        <v>138</v>
      </c>
      <c r="P596">
        <v>0.29743351408800001</v>
      </c>
      <c r="Q596" t="s">
        <v>138</v>
      </c>
      <c r="R596">
        <v>0.093655227107338701</v>
      </c>
      <c r="S596" t="s">
        <v>139</v>
      </c>
      <c r="T596">
        <v>0.78217748239067741</v>
      </c>
      <c r="U596">
        <v>7.6914119101749945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145.22622000000001</v>
      </c>
      <c r="AB596">
        <v>1</v>
      </c>
      <c r="AC596">
        <v>1</v>
      </c>
      <c r="AD596">
        <v>1.0057812623742775</v>
      </c>
      <c r="AE596">
        <v>10800</v>
      </c>
      <c r="AF596">
        <v>200000</v>
      </c>
      <c r="AG596">
        <v>16666.666666666668</v>
      </c>
      <c r="AH596">
        <v>1</v>
      </c>
      <c r="AI596">
        <v>1</v>
      </c>
      <c r="AJ596" t="s">
        <v>136</v>
      </c>
      <c r="AK596" t="s">
        <v>137</v>
      </c>
      <c r="AL596">
        <v>0</v>
      </c>
      <c r="AM596" t="s">
        <v>137</v>
      </c>
      <c r="AN596">
        <v>0</v>
      </c>
    </row>
    <row r="597" spans="1:42" ht="12.75">
      <c r="A597" s="2" t="str">
        <f>HYPERLINK("https://ibp.a2mac1.com/costing(costing:projects/details/8191/process/6974124)","Automated process")</f>
        <v>Automated process</v>
      </c>
      <c r="B597" t="s">
        <v>4458</v>
      </c>
      <c r="C597">
        <v>6974124</v>
      </c>
      <c r="D597">
        <v>5385118</v>
      </c>
      <c r="E597">
        <v>3.4626600000000001</v>
      </c>
      <c r="F597">
        <v>0</v>
      </c>
      <c r="G597">
        <v>0</v>
      </c>
      <c r="H597">
        <v>0.035180625600000001</v>
      </c>
      <c r="I597" t="s">
        <v>137</v>
      </c>
      <c r="J597">
        <v>0.1211931</v>
      </c>
      <c r="K597">
        <v>3.6190337256</v>
      </c>
      <c r="L597">
        <v>0.22029169306394317</v>
      </c>
      <c r="M597">
        <v>1.3217501583836591</v>
      </c>
      <c r="N597">
        <v>4.9407838839836593</v>
      </c>
      <c r="O597" t="s">
        <v>138</v>
      </c>
      <c r="P597">
        <v>0.21714202353600001</v>
      </c>
      <c r="Q597" t="s">
        <v>138</v>
      </c>
      <c r="R597">
        <v>0.079305009503019538</v>
      </c>
      <c r="S597" t="s">
        <v>139</v>
      </c>
      <c r="T597">
        <v>0.59289406607803907</v>
      </c>
      <c r="U597">
        <v>5.8301249831007178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122.76949</v>
      </c>
      <c r="AB597">
        <v>1</v>
      </c>
      <c r="AC597">
        <v>1</v>
      </c>
      <c r="AD597">
        <v>1.0057812623742775</v>
      </c>
      <c r="AE597">
        <v>10800</v>
      </c>
      <c r="AF597">
        <v>200000</v>
      </c>
      <c r="AG597">
        <v>16666.666666666668</v>
      </c>
      <c r="AH597">
        <v>1</v>
      </c>
      <c r="AI597">
        <v>1</v>
      </c>
      <c r="AJ597" t="s">
        <v>136</v>
      </c>
      <c r="AK597" t="s">
        <v>137</v>
      </c>
      <c r="AL597">
        <v>0</v>
      </c>
      <c r="AM597" t="s">
        <v>137</v>
      </c>
      <c r="AN597">
        <v>0</v>
      </c>
    </row>
    <row r="598" spans="1:42" ht="12.75">
      <c r="A598" s="2" t="str">
        <f>HYPERLINK("https://ibp.a2mac1.com/costing(costing:projects/details/8191/process/6974054)","Automated Process")</f>
        <v>Automated Process</v>
      </c>
      <c r="C598">
        <v>6974054</v>
      </c>
      <c r="D598">
        <v>5385080</v>
      </c>
      <c r="E598">
        <v>0.010679340000000001</v>
      </c>
      <c r="F598">
        <v>0</v>
      </c>
      <c r="G598">
        <v>0</v>
      </c>
      <c r="H598">
        <v>5.3851709473684212E-05</v>
      </c>
      <c r="I598" t="s">
        <v>137</v>
      </c>
      <c r="J598">
        <v>0.00037471368421052633</v>
      </c>
      <c r="K598">
        <v>0.01110790539368421</v>
      </c>
      <c r="L598">
        <v>0.00023122843053258467</v>
      </c>
      <c r="M598">
        <v>0.0013873705831955079</v>
      </c>
      <c r="N598">
        <v>0.012495275976879718</v>
      </c>
      <c r="O598" t="s">
        <v>138</v>
      </c>
      <c r="P598">
        <v>0.00066647432362105261</v>
      </c>
      <c r="Q598" t="s">
        <v>138</v>
      </c>
      <c r="R598">
        <v>8.3242234991730475E-05</v>
      </c>
      <c r="S598" t="s">
        <v>139</v>
      </c>
      <c r="T598">
        <v>0.0014994331172255662</v>
      </c>
      <c r="U598">
        <v>0.014744425652718067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60</v>
      </c>
      <c r="AB598">
        <v>1</v>
      </c>
      <c r="AC598">
        <v>0.50</v>
      </c>
      <c r="AD598">
        <v>0.50048257265952256</v>
      </c>
      <c r="AE598">
        <v>13.50</v>
      </c>
      <c r="AF598">
        <v>800000</v>
      </c>
      <c r="AG598">
        <v>66666.666666666672</v>
      </c>
      <c r="AH598">
        <v>1</v>
      </c>
      <c r="AI598">
        <v>1</v>
      </c>
      <c r="AJ598" t="s">
        <v>136</v>
      </c>
      <c r="AK598" t="s">
        <v>137</v>
      </c>
      <c r="AL598">
        <v>0</v>
      </c>
      <c r="AM598" t="s">
        <v>137</v>
      </c>
      <c r="AN598">
        <v>0</v>
      </c>
    </row>
    <row r="599" spans="1:42" ht="12.75">
      <c r="A599" s="2" t="str">
        <f>HYPERLINK("https://ibp.a2mac1.com/costing(costing:projects/details/8191/process/6974055)","Injection molding")</f>
        <v>Injection molding</v>
      </c>
      <c r="B599" t="s">
        <v>4488</v>
      </c>
      <c r="C599">
        <v>6974055</v>
      </c>
      <c r="D599">
        <v>5385081</v>
      </c>
      <c r="E599">
        <v>0.0022293662598603247</v>
      </c>
      <c r="F599">
        <v>0</v>
      </c>
      <c r="G599">
        <v>0</v>
      </c>
      <c r="H599">
        <v>4.5410437049691047E-08</v>
      </c>
      <c r="I599" t="s">
        <v>137</v>
      </c>
      <c r="J599">
        <v>7.9468264836959334E-05</v>
      </c>
      <c r="K599">
        <v>0.0023088799351343339</v>
      </c>
      <c r="L599">
        <v>0.0019891194354414951</v>
      </c>
      <c r="M599">
        <v>0.011934716612648971</v>
      </c>
      <c r="N599">
        <v>0.014243596547783306</v>
      </c>
      <c r="O599" t="s">
        <v>138</v>
      </c>
      <c r="P599">
        <v>0.00013853279610806003</v>
      </c>
      <c r="Q599" t="s">
        <v>138</v>
      </c>
      <c r="R599">
        <v>0.00071608299675893824</v>
      </c>
      <c r="S599" t="s">
        <v>139</v>
      </c>
      <c r="T599">
        <v>0.0017092315857339965</v>
      </c>
      <c r="U599">
        <v>0.016807443926384301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21.555969999999999</v>
      </c>
      <c r="AB599">
        <v>4</v>
      </c>
      <c r="AC599">
        <v>0</v>
      </c>
      <c r="AD599">
        <v>0.0019999600007999841</v>
      </c>
      <c r="AE599">
        <v>7200</v>
      </c>
      <c r="AF599">
        <v>400000</v>
      </c>
      <c r="AG599">
        <v>33333.333333333336</v>
      </c>
      <c r="AH599">
        <v>1</v>
      </c>
      <c r="AI599">
        <v>1</v>
      </c>
      <c r="AJ599" t="s">
        <v>136</v>
      </c>
      <c r="AK599" t="s">
        <v>137</v>
      </c>
      <c r="AL599">
        <v>0</v>
      </c>
      <c r="AM599" t="s">
        <v>137</v>
      </c>
      <c r="AN599">
        <v>0</v>
      </c>
    </row>
    <row r="600" spans="1:42" ht="12.75">
      <c r="A600" s="2" t="str">
        <f>HYPERLINK("https://ibp.a2mac1.com/costing(costing:projects/details/8191/process/6974056)","Thermocompression")</f>
        <v>Thermocompression</v>
      </c>
      <c r="B600" t="s">
        <v>4494</v>
      </c>
      <c r="C600">
        <v>6974056</v>
      </c>
      <c r="D600">
        <v>5385082</v>
      </c>
      <c r="E600">
        <v>21.373333333333335</v>
      </c>
      <c r="F600">
        <v>0</v>
      </c>
      <c r="G600">
        <v>0</v>
      </c>
      <c r="H600">
        <v>1.5906034666666666</v>
      </c>
      <c r="I600" t="s">
        <v>137</v>
      </c>
      <c r="J600">
        <v>0.74806666666666666</v>
      </c>
      <c r="K600">
        <v>23.712003466666665</v>
      </c>
      <c r="L600">
        <v>0.36784280966666139</v>
      </c>
      <c r="M600">
        <v>2.2070568579999681</v>
      </c>
      <c r="N600">
        <v>25.919060324666635</v>
      </c>
      <c r="O600" t="s">
        <v>138</v>
      </c>
      <c r="P600">
        <v>1.4227202080000001</v>
      </c>
      <c r="Q600" t="s">
        <v>138</v>
      </c>
      <c r="R600">
        <v>0.13242341147999809</v>
      </c>
      <c r="S600" t="s">
        <v>139</v>
      </c>
      <c r="T600">
        <v>3.1102872389599963</v>
      </c>
      <c r="U600">
        <v>30.584491183106628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343.85625</v>
      </c>
      <c r="AB600">
        <v>1</v>
      </c>
      <c r="AC600">
        <v>2</v>
      </c>
      <c r="AD600">
        <v>6.926527801046146</v>
      </c>
      <c r="AE600">
        <v>360</v>
      </c>
      <c r="AF600">
        <v>200000</v>
      </c>
      <c r="AG600">
        <v>16666.666666666668</v>
      </c>
      <c r="AH600">
        <v>1</v>
      </c>
      <c r="AI600">
        <v>1</v>
      </c>
      <c r="AJ600" t="s">
        <v>136</v>
      </c>
      <c r="AK600" t="s">
        <v>137</v>
      </c>
      <c r="AL600">
        <v>0</v>
      </c>
      <c r="AM600" t="s">
        <v>137</v>
      </c>
      <c r="AN600">
        <v>0</v>
      </c>
    </row>
    <row r="601" spans="1:42" ht="12.75">
      <c r="A601" s="2" t="str">
        <f>HYPERLINK("https://ibp.a2mac1.com/costing(costing:projects/details/8191/process/6974057)","Waterjet cutting")</f>
        <v>Waterjet cutting</v>
      </c>
      <c r="B601" t="s">
        <v>4496</v>
      </c>
      <c r="C601">
        <v>6974057</v>
      </c>
      <c r="D601">
        <v>5385082</v>
      </c>
      <c r="E601">
        <v>0</v>
      </c>
      <c r="F601">
        <v>0</v>
      </c>
      <c r="G601">
        <v>0</v>
      </c>
      <c r="H601">
        <v>0</v>
      </c>
      <c r="I601" t="s">
        <v>137</v>
      </c>
      <c r="J601">
        <v>0</v>
      </c>
      <c r="K601">
        <v>0</v>
      </c>
      <c r="L601">
        <v>1.0240528358229628</v>
      </c>
      <c r="M601">
        <v>6.1443170149377764</v>
      </c>
      <c r="N601">
        <v>6.1443170149377764</v>
      </c>
      <c r="O601" t="s">
        <v>138</v>
      </c>
      <c r="P601">
        <v>0</v>
      </c>
      <c r="Q601" t="s">
        <v>138</v>
      </c>
      <c r="R601">
        <v>0.36865902089626662</v>
      </c>
      <c r="S601" t="s">
        <v>139</v>
      </c>
      <c r="T601">
        <v>0.73731804179253324</v>
      </c>
      <c r="U601">
        <v>7.2502940776265765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121.92813</v>
      </c>
      <c r="AB601">
        <v>1</v>
      </c>
      <c r="AC601">
        <v>2</v>
      </c>
      <c r="AD601">
        <v>5.0224147101284098</v>
      </c>
      <c r="AE601">
        <v>360</v>
      </c>
      <c r="AF601">
        <v>200000</v>
      </c>
      <c r="AG601">
        <v>16666.666666666668</v>
      </c>
      <c r="AH601">
        <v>1</v>
      </c>
      <c r="AI601">
        <v>1</v>
      </c>
      <c r="AJ601" t="s">
        <v>136</v>
      </c>
      <c r="AK601" t="s">
        <v>137</v>
      </c>
      <c r="AL601">
        <v>0</v>
      </c>
      <c r="AM601" t="s">
        <v>137</v>
      </c>
      <c r="AN601">
        <v>0</v>
      </c>
    </row>
    <row r="602" spans="1:42" ht="12.75">
      <c r="A602" s="2" t="str">
        <f>HYPERLINK("https://ibp.a2mac1.com/costing(costing:projects/details/8191/process/6974058)","Gluing")</f>
        <v>Gluing</v>
      </c>
      <c r="B602" t="s">
        <v>4499</v>
      </c>
      <c r="C602">
        <v>6974058</v>
      </c>
      <c r="D602">
        <v>5385082</v>
      </c>
      <c r="E602">
        <v>9.9254568027210883</v>
      </c>
      <c r="F602">
        <v>0</v>
      </c>
      <c r="G602">
        <v>0</v>
      </c>
      <c r="H602">
        <v>0.31582803546258503</v>
      </c>
      <c r="I602" t="s">
        <v>137</v>
      </c>
      <c r="J602">
        <v>0.34739098809523811</v>
      </c>
      <c r="K602">
        <v>10.588675826278912</v>
      </c>
      <c r="L602">
        <v>0.022516864771522899</v>
      </c>
      <c r="M602">
        <v>0.13510118862913739</v>
      </c>
      <c r="N602">
        <v>10.723777014908048</v>
      </c>
      <c r="O602" t="s">
        <v>138</v>
      </c>
      <c r="P602">
        <v>0.63532054957673467</v>
      </c>
      <c r="Q602" t="s">
        <v>138</v>
      </c>
      <c r="R602">
        <v>0.0081060713177482438</v>
      </c>
      <c r="S602" t="s">
        <v>139</v>
      </c>
      <c r="T602">
        <v>1.286853241788966</v>
      </c>
      <c r="U602">
        <v>12.654056877591497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90</v>
      </c>
      <c r="AB602">
        <v>1</v>
      </c>
      <c r="AC602">
        <v>2</v>
      </c>
      <c r="AD602">
        <v>3.0838712178480745</v>
      </c>
      <c r="AE602">
        <v>300</v>
      </c>
      <c r="AF602">
        <v>200000</v>
      </c>
      <c r="AG602">
        <v>16666.666666666668</v>
      </c>
      <c r="AH602">
        <v>1</v>
      </c>
      <c r="AI602">
        <v>1</v>
      </c>
      <c r="AJ602" t="s">
        <v>136</v>
      </c>
      <c r="AK602" t="s">
        <v>137</v>
      </c>
      <c r="AL602">
        <v>0</v>
      </c>
      <c r="AM602" t="s">
        <v>137</v>
      </c>
      <c r="AN602">
        <v>0</v>
      </c>
    </row>
    <row r="603" spans="1:42" ht="12.75">
      <c r="A603" s="2" t="str">
        <f>HYPERLINK("https://ibp.a2mac1.com/costing(costing:projects/details/8191/process/6974059)","Assembly")</f>
        <v>Assembly</v>
      </c>
      <c r="B603" t="s">
        <v>4501</v>
      </c>
      <c r="C603">
        <v>6974059</v>
      </c>
      <c r="D603">
        <v>5385082</v>
      </c>
      <c r="E603">
        <v>0</v>
      </c>
      <c r="F603">
        <v>0</v>
      </c>
      <c r="G603">
        <v>0</v>
      </c>
      <c r="H603">
        <v>0</v>
      </c>
      <c r="I603" t="s">
        <v>137</v>
      </c>
      <c r="J603">
        <v>0</v>
      </c>
      <c r="K603">
        <v>0</v>
      </c>
      <c r="L603">
        <v>0.022862438688021531</v>
      </c>
      <c r="M603">
        <v>0.13717463212812919</v>
      </c>
      <c r="N603">
        <v>0.13717463212812919</v>
      </c>
      <c r="O603" t="s">
        <v>138</v>
      </c>
      <c r="P603">
        <v>0</v>
      </c>
      <c r="Q603" t="s">
        <v>138</v>
      </c>
      <c r="R603">
        <v>0.0082304779276877512</v>
      </c>
      <c r="S603" t="s">
        <v>139</v>
      </c>
      <c r="T603">
        <v>0.016460955855375502</v>
      </c>
      <c r="U603">
        <v>0.16186606591119246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60</v>
      </c>
      <c r="AB603">
        <v>1</v>
      </c>
      <c r="AC603">
        <v>1</v>
      </c>
      <c r="AD603">
        <v>1.1056389564667022</v>
      </c>
      <c r="AE603">
        <v>1800</v>
      </c>
      <c r="AF603">
        <v>200000</v>
      </c>
      <c r="AG603">
        <v>16666.666666666668</v>
      </c>
      <c r="AH603">
        <v>1</v>
      </c>
      <c r="AI603">
        <v>1</v>
      </c>
      <c r="AJ603" t="s">
        <v>136</v>
      </c>
      <c r="AK603" t="s">
        <v>137</v>
      </c>
      <c r="AL603">
        <v>0</v>
      </c>
      <c r="AM603" t="s">
        <v>137</v>
      </c>
      <c r="AN603">
        <v>0</v>
      </c>
    </row>
    <row r="604" spans="1:42" ht="12.75">
      <c r="A604" s="2" t="str">
        <f>HYPERLINK("https://ibp.a2mac1.com/costing(costing:projects/details/8191/process/6974060)","Handling/Inspection")</f>
        <v>Handling/Inspection</v>
      </c>
      <c r="B604" t="s">
        <v>4503</v>
      </c>
      <c r="C604">
        <v>6974060</v>
      </c>
      <c r="D604">
        <v>5385082</v>
      </c>
      <c r="E604">
        <v>0</v>
      </c>
      <c r="F604">
        <v>0</v>
      </c>
      <c r="G604">
        <v>0</v>
      </c>
      <c r="H604">
        <v>0</v>
      </c>
      <c r="I604" t="s">
        <v>137</v>
      </c>
      <c r="J604">
        <v>0</v>
      </c>
      <c r="K604">
        <v>0</v>
      </c>
      <c r="L604">
        <v>0.0028759505149332097</v>
      </c>
      <c r="M604">
        <v>0.017255703089599259</v>
      </c>
      <c r="N604">
        <v>0.017255703089599259</v>
      </c>
      <c r="O604" t="s">
        <v>138</v>
      </c>
      <c r="P604">
        <v>0</v>
      </c>
      <c r="Q604" t="s">
        <v>138</v>
      </c>
      <c r="R604">
        <v>0.0010353421853759555</v>
      </c>
      <c r="S604" t="s">
        <v>139</v>
      </c>
      <c r="T604">
        <v>0.0020706843707519111</v>
      </c>
      <c r="U604">
        <v>0.020361729645727127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10</v>
      </c>
      <c r="AB604">
        <v>1</v>
      </c>
      <c r="AC604">
        <v>0.10</v>
      </c>
      <c r="AD604">
        <v>0.10389195236953569</v>
      </c>
      <c r="AE604">
        <v>900</v>
      </c>
      <c r="AF604">
        <v>200000</v>
      </c>
      <c r="AG604">
        <v>16666.666666666668</v>
      </c>
      <c r="AH604">
        <v>1</v>
      </c>
      <c r="AI604">
        <v>1</v>
      </c>
      <c r="AJ604" t="s">
        <v>136</v>
      </c>
      <c r="AK604" t="s">
        <v>137</v>
      </c>
      <c r="AL604">
        <v>0</v>
      </c>
      <c r="AM604" t="s">
        <v>137</v>
      </c>
      <c r="AN604">
        <v>0</v>
      </c>
    </row>
    <row r="605" spans="1:42" ht="12.75">
      <c r="A605" s="2" t="str">
        <f>HYPERLINK("https://ibp.a2mac1.com/costing(costing:projects/details/8191/process/6974125)","Automated Process")</f>
        <v>Automated Process</v>
      </c>
      <c r="C605">
        <v>6974125</v>
      </c>
      <c r="D605">
        <v>5385119</v>
      </c>
      <c r="E605">
        <v>10.27</v>
      </c>
      <c r="F605">
        <v>0</v>
      </c>
      <c r="G605">
        <v>0</v>
      </c>
      <c r="H605">
        <v>0.051966199999999997</v>
      </c>
      <c r="I605" t="s">
        <v>137</v>
      </c>
      <c r="J605">
        <v>0.35944999999999999</v>
      </c>
      <c r="K605">
        <v>10.681416199999999</v>
      </c>
      <c r="L605">
        <v>0.48979741615812777</v>
      </c>
      <c r="M605">
        <v>2.9387844969487666</v>
      </c>
      <c r="N605">
        <v>13.620200696948766</v>
      </c>
      <c r="O605" t="s">
        <v>138</v>
      </c>
      <c r="P605">
        <v>0.64088497200000005</v>
      </c>
      <c r="Q605" t="s">
        <v>138</v>
      </c>
      <c r="R605">
        <v>0.176327069816926</v>
      </c>
      <c r="S605" t="s">
        <v>139</v>
      </c>
      <c r="T605">
        <v>1.6344240836338519</v>
      </c>
      <c r="U605">
        <v>16.071836822399543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276</v>
      </c>
      <c r="AB605">
        <v>1</v>
      </c>
      <c r="AC605">
        <v>0.50</v>
      </c>
      <c r="AD605">
        <v>0.50345253019720215</v>
      </c>
      <c r="AE605">
        <v>10800</v>
      </c>
      <c r="AF605">
        <v>200000</v>
      </c>
      <c r="AG605">
        <v>16666.666666666668</v>
      </c>
      <c r="AH605">
        <v>1</v>
      </c>
      <c r="AI605">
        <v>1</v>
      </c>
      <c r="AJ605" t="s">
        <v>136</v>
      </c>
      <c r="AK605" t="s">
        <v>137</v>
      </c>
      <c r="AL605">
        <v>0</v>
      </c>
      <c r="AM605" t="s">
        <v>137</v>
      </c>
      <c r="AN605">
        <v>0</v>
      </c>
    </row>
    <row r="606" spans="1:42" ht="12.75">
      <c r="A606" s="2" t="str">
        <f>HYPERLINK("https://ibp.a2mac1.com/costing(costing:projects/details/8191/process/6974126)","Injection molding")</f>
        <v>Injection molding</v>
      </c>
      <c r="B606" t="s">
        <v>4518</v>
      </c>
      <c r="C606">
        <v>6974126</v>
      </c>
      <c r="D606">
        <v>5385120</v>
      </c>
      <c r="E606">
        <v>0.74924058052729814</v>
      </c>
      <c r="F606">
        <v>0</v>
      </c>
      <c r="G606">
        <v>0</v>
      </c>
      <c r="H606">
        <v>1.5034646200574699E-05</v>
      </c>
      <c r="I606" t="s">
        <v>137</v>
      </c>
      <c r="J606">
        <v>0.026310630851005722</v>
      </c>
      <c r="K606">
        <v>0.77556624602450452</v>
      </c>
      <c r="L606">
        <v>0.052442371535373788</v>
      </c>
      <c r="M606">
        <v>0.31465422921224273</v>
      </c>
      <c r="N606">
        <v>1.0902204752367473</v>
      </c>
      <c r="O606" t="s">
        <v>138</v>
      </c>
      <c r="P606">
        <v>0.046533974761470268</v>
      </c>
      <c r="Q606" t="s">
        <v>138</v>
      </c>
      <c r="R606">
        <v>0.018879253752734564</v>
      </c>
      <c r="S606" t="s">
        <v>139</v>
      </c>
      <c r="T606">
        <v>0.13082645702840967</v>
      </c>
      <c r="U606">
        <v>1.2864601607793618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35.369770000000003</v>
      </c>
      <c r="AB606">
        <v>1</v>
      </c>
      <c r="AC606">
        <v>0</v>
      </c>
      <c r="AD606">
        <v>0.0019999600007999841</v>
      </c>
      <c r="AE606">
        <v>14400</v>
      </c>
      <c r="AF606">
        <v>200000</v>
      </c>
      <c r="AG606">
        <v>16666.666666666668</v>
      </c>
      <c r="AH606">
        <v>1</v>
      </c>
      <c r="AI606">
        <v>1</v>
      </c>
      <c r="AJ606" t="s">
        <v>136</v>
      </c>
      <c r="AK606" t="s">
        <v>137</v>
      </c>
      <c r="AL606">
        <v>0</v>
      </c>
      <c r="AM606" t="s">
        <v>137</v>
      </c>
      <c r="AN606">
        <v>0</v>
      </c>
    </row>
    <row r="607" spans="1:42" ht="12.75">
      <c r="A607" s="2" t="str">
        <f>HYPERLINK("https://ibp.a2mac1.com/costing(costing:projects/details/8191/process/6974127)","Injection molding")</f>
        <v>Injection molding</v>
      </c>
      <c r="B607" t="s">
        <v>4518</v>
      </c>
      <c r="C607">
        <v>6974127</v>
      </c>
      <c r="D607">
        <v>5385121</v>
      </c>
      <c r="E607">
        <v>0.73736500936620264</v>
      </c>
      <c r="F607">
        <v>0</v>
      </c>
      <c r="G607">
        <v>0</v>
      </c>
      <c r="H607">
        <v>1.4796344891920057E-05</v>
      </c>
      <c r="I607" t="s">
        <v>137</v>
      </c>
      <c r="J607">
        <v>0.025893603560860099</v>
      </c>
      <c r="K607">
        <v>0.76327340927195464</v>
      </c>
      <c r="L607">
        <v>0.052441461435985888</v>
      </c>
      <c r="M607">
        <v>0.31464876861591534</v>
      </c>
      <c r="N607">
        <v>1.07792217788787</v>
      </c>
      <c r="O607" t="s">
        <v>138</v>
      </c>
      <c r="P607">
        <v>0.045796404556317283</v>
      </c>
      <c r="Q607" t="s">
        <v>138</v>
      </c>
      <c r="R607">
        <v>0.018878926116954919</v>
      </c>
      <c r="S607" t="s">
        <v>139</v>
      </c>
      <c r="T607">
        <v>0.12935066134654441</v>
      </c>
      <c r="U607">
        <v>1.2719481699076867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35.369120000000002</v>
      </c>
      <c r="AB607">
        <v>1</v>
      </c>
      <c r="AC607">
        <v>0</v>
      </c>
      <c r="AD607">
        <v>0.0019999600007999841</v>
      </c>
      <c r="AE607">
        <v>14400</v>
      </c>
      <c r="AF607">
        <v>200000</v>
      </c>
      <c r="AG607">
        <v>16666.666666666668</v>
      </c>
      <c r="AH607">
        <v>1</v>
      </c>
      <c r="AI607">
        <v>1</v>
      </c>
      <c r="AJ607" t="s">
        <v>136</v>
      </c>
      <c r="AK607" t="s">
        <v>137</v>
      </c>
      <c r="AL607">
        <v>0</v>
      </c>
      <c r="AM607" t="s">
        <v>137</v>
      </c>
      <c r="AN607">
        <v>0</v>
      </c>
    </row>
    <row r="608" spans="1:42" ht="12.75">
      <c r="A608" s="2" t="str">
        <f>HYPERLINK("https://ibp.a2mac1.com/costing(costing:projects/details/8191/process/6974128)","Handling/Visual Inspection/Packaging")</f>
        <v>Handling/Visual Inspection/Packaging</v>
      </c>
      <c r="B608" t="s">
        <v>4527</v>
      </c>
      <c r="C608">
        <v>6974128</v>
      </c>
      <c r="D608">
        <v>5385122</v>
      </c>
      <c r="E608">
        <v>0</v>
      </c>
      <c r="F608">
        <v>0</v>
      </c>
      <c r="G608">
        <v>0</v>
      </c>
      <c r="H608">
        <v>0</v>
      </c>
      <c r="I608" t="s">
        <v>137</v>
      </c>
      <c r="J608">
        <v>0</v>
      </c>
      <c r="K608">
        <v>0</v>
      </c>
      <c r="L608">
        <v>0.0028759505149332097</v>
      </c>
      <c r="M608">
        <v>0.017255703089599259</v>
      </c>
      <c r="N608">
        <v>0.017255703089599259</v>
      </c>
      <c r="O608" t="s">
        <v>138</v>
      </c>
      <c r="P608">
        <v>0</v>
      </c>
      <c r="Q608" t="s">
        <v>138</v>
      </c>
      <c r="R608">
        <v>0.0010353421853759555</v>
      </c>
      <c r="S608" t="s">
        <v>139</v>
      </c>
      <c r="T608">
        <v>0.0020706843707519111</v>
      </c>
      <c r="U608">
        <v>0.020361729645727127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10</v>
      </c>
      <c r="AB608">
        <v>1</v>
      </c>
      <c r="AC608">
        <v>0.10</v>
      </c>
      <c r="AD608">
        <v>0.10389195236953569</v>
      </c>
      <c r="AE608">
        <v>900</v>
      </c>
      <c r="AF608">
        <v>200000</v>
      </c>
      <c r="AG608">
        <v>16666.666666666668</v>
      </c>
      <c r="AH608">
        <v>1</v>
      </c>
      <c r="AI608">
        <v>1</v>
      </c>
      <c r="AJ608" t="s">
        <v>136</v>
      </c>
      <c r="AK608" t="s">
        <v>137</v>
      </c>
      <c r="AL608">
        <v>0</v>
      </c>
      <c r="AM608" t="s">
        <v>137</v>
      </c>
      <c r="AN608">
        <v>0</v>
      </c>
    </row>
    <row r="609" spans="1:42" ht="12.75">
      <c r="A609" s="2" t="str">
        <f>HYPERLINK("https://ibp.a2mac1.com/costing(costing:projects/details/8191/process/6974129)","Injection molding")</f>
        <v>Injection molding</v>
      </c>
      <c r="B609" t="s">
        <v>4530</v>
      </c>
      <c r="C609">
        <v>6974129</v>
      </c>
      <c r="D609">
        <v>5385122</v>
      </c>
      <c r="E609">
        <v>0.088719744717782323</v>
      </c>
      <c r="F609">
        <v>0</v>
      </c>
      <c r="G609">
        <v>0</v>
      </c>
      <c r="H609">
        <v>1.782655004584891E-06</v>
      </c>
      <c r="I609" t="s">
        <v>137</v>
      </c>
      <c r="J609">
        <v>0.0031196462580235593</v>
      </c>
      <c r="K609">
        <v>0.091841173630810471</v>
      </c>
      <c r="L609">
        <v>0.0086098431503279296</v>
      </c>
      <c r="M609">
        <v>0.051659058901967578</v>
      </c>
      <c r="N609">
        <v>0.14350023253277805</v>
      </c>
      <c r="O609" t="s">
        <v>138</v>
      </c>
      <c r="P609">
        <v>0.005510470417848628</v>
      </c>
      <c r="Q609" t="s">
        <v>138</v>
      </c>
      <c r="R609">
        <v>0.0030995435341180546</v>
      </c>
      <c r="S609" t="s">
        <v>139</v>
      </c>
      <c r="T609">
        <v>0.017220027903933365</v>
      </c>
      <c r="U609">
        <v>0.16933027438867809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19.51745</v>
      </c>
      <c r="AB609">
        <v>1</v>
      </c>
      <c r="AC609">
        <v>0</v>
      </c>
      <c r="AD609">
        <v>0.0019999600007999841</v>
      </c>
      <c r="AE609">
        <v>7200</v>
      </c>
      <c r="AF609">
        <v>200000</v>
      </c>
      <c r="AG609">
        <v>16666.666666666668</v>
      </c>
      <c r="AH609">
        <v>1</v>
      </c>
      <c r="AI609">
        <v>1</v>
      </c>
      <c r="AJ609" t="s">
        <v>136</v>
      </c>
      <c r="AK609" t="s">
        <v>137</v>
      </c>
      <c r="AL609">
        <v>0</v>
      </c>
      <c r="AM609" t="s">
        <v>137</v>
      </c>
      <c r="AN609">
        <v>0</v>
      </c>
    </row>
    <row r="610" spans="1:42" ht="12.75">
      <c r="A610" s="2" t="str">
        <f>HYPERLINK("https://ibp.a2mac1.com/costing(costing:projects/details/8191/process/6974130)","Handling/Visual Inspection/Packaging")</f>
        <v>Handling/Visual Inspection/Packaging</v>
      </c>
      <c r="B610" t="s">
        <v>4527</v>
      </c>
      <c r="C610">
        <v>6974130</v>
      </c>
      <c r="D610">
        <v>5385123</v>
      </c>
      <c r="E610">
        <v>0</v>
      </c>
      <c r="F610">
        <v>0</v>
      </c>
      <c r="G610">
        <v>0</v>
      </c>
      <c r="H610">
        <v>0</v>
      </c>
      <c r="I610" t="s">
        <v>137</v>
      </c>
      <c r="J610">
        <v>0</v>
      </c>
      <c r="K610">
        <v>0</v>
      </c>
      <c r="L610">
        <v>0.0028759505149332097</v>
      </c>
      <c r="M610">
        <v>0.017255703089599259</v>
      </c>
      <c r="N610">
        <v>0.017255703089599259</v>
      </c>
      <c r="O610" t="s">
        <v>138</v>
      </c>
      <c r="P610">
        <v>0</v>
      </c>
      <c r="Q610" t="s">
        <v>138</v>
      </c>
      <c r="R610">
        <v>0.0010353421853759555</v>
      </c>
      <c r="S610" t="s">
        <v>139</v>
      </c>
      <c r="T610">
        <v>0.0020706843707519111</v>
      </c>
      <c r="U610">
        <v>0.020361729645727127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10</v>
      </c>
      <c r="AB610">
        <v>1</v>
      </c>
      <c r="AC610">
        <v>0.10</v>
      </c>
      <c r="AD610">
        <v>0.10389195236953569</v>
      </c>
      <c r="AE610">
        <v>900</v>
      </c>
      <c r="AF610">
        <v>200000</v>
      </c>
      <c r="AG610">
        <v>16666.666666666668</v>
      </c>
      <c r="AH610">
        <v>1</v>
      </c>
      <c r="AI610">
        <v>1</v>
      </c>
      <c r="AJ610" t="s">
        <v>136</v>
      </c>
      <c r="AK610" t="s">
        <v>137</v>
      </c>
      <c r="AL610">
        <v>0</v>
      </c>
      <c r="AM610" t="s">
        <v>137</v>
      </c>
      <c r="AN610">
        <v>0</v>
      </c>
    </row>
    <row r="611" spans="1:42" ht="12.75">
      <c r="A611" s="2" t="str">
        <f>HYPERLINK("https://ibp.a2mac1.com/costing(costing:projects/details/8191/process/6974131)","Injection molding")</f>
        <v>Injection molding</v>
      </c>
      <c r="B611" t="s">
        <v>4538</v>
      </c>
      <c r="C611">
        <v>6974131</v>
      </c>
      <c r="D611">
        <v>5385123</v>
      </c>
      <c r="E611">
        <v>0.11610973236409422</v>
      </c>
      <c r="F611">
        <v>0</v>
      </c>
      <c r="G611">
        <v>0</v>
      </c>
      <c r="H611">
        <v>2.3300909760861939E-06</v>
      </c>
      <c r="I611" t="s">
        <v>137</v>
      </c>
      <c r="J611">
        <v>0.0040776592081508394</v>
      </c>
      <c r="K611">
        <v>0.12018972166322114</v>
      </c>
      <c r="L611">
        <v>0.0068675197392223256</v>
      </c>
      <c r="M611">
        <v>0.041205118435333948</v>
      </c>
      <c r="N611">
        <v>0.16139484009855509</v>
      </c>
      <c r="O611" t="s">
        <v>138</v>
      </c>
      <c r="P611">
        <v>0.0072113832997932684</v>
      </c>
      <c r="Q611" t="s">
        <v>138</v>
      </c>
      <c r="R611">
        <v>0.0024723071061200372</v>
      </c>
      <c r="S611" t="s">
        <v>139</v>
      </c>
      <c r="T611">
        <v>0.019367380811826609</v>
      </c>
      <c r="U611">
        <v>0.19044591131629501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17.065650000000002</v>
      </c>
      <c r="AB611">
        <v>1</v>
      </c>
      <c r="AC611">
        <v>0</v>
      </c>
      <c r="AD611">
        <v>0.0019999600007999841</v>
      </c>
      <c r="AE611">
        <v>7200</v>
      </c>
      <c r="AF611">
        <v>200000</v>
      </c>
      <c r="AG611">
        <v>16666.666666666668</v>
      </c>
      <c r="AH611">
        <v>1</v>
      </c>
      <c r="AI611">
        <v>1</v>
      </c>
      <c r="AJ611" t="s">
        <v>136</v>
      </c>
      <c r="AK611" t="s">
        <v>137</v>
      </c>
      <c r="AL611">
        <v>0</v>
      </c>
      <c r="AM611" t="s">
        <v>137</v>
      </c>
      <c r="AN611">
        <v>0</v>
      </c>
    </row>
    <row r="612" spans="1:42" ht="12.75">
      <c r="A612" s="2" t="str">
        <f>HYPERLINK("https://ibp.a2mac1.com/costing(costing:projects/details/8191/process/6974061)","Automated Process")</f>
        <v>Automated Process</v>
      </c>
      <c r="C612">
        <v>6974061</v>
      </c>
      <c r="D612">
        <v>5385084</v>
      </c>
      <c r="E612">
        <v>9.50</v>
      </c>
      <c r="F612">
        <v>0</v>
      </c>
      <c r="G612">
        <v>0</v>
      </c>
      <c r="H612">
        <v>0.048070000000000002</v>
      </c>
      <c r="I612" t="s">
        <v>137</v>
      </c>
      <c r="J612">
        <v>0.3325</v>
      </c>
      <c r="K612">
        <v>9.8805700000000005</v>
      </c>
      <c r="L612">
        <v>0.48979741615812777</v>
      </c>
      <c r="M612">
        <v>2.9387844969487666</v>
      </c>
      <c r="N612">
        <v>12.819354496948767</v>
      </c>
      <c r="O612" t="s">
        <v>138</v>
      </c>
      <c r="P612">
        <v>0.59283419999999998</v>
      </c>
      <c r="Q612" t="s">
        <v>138</v>
      </c>
      <c r="R612">
        <v>0.176327069816926</v>
      </c>
      <c r="S612" t="s">
        <v>139</v>
      </c>
      <c r="T612">
        <v>1.538322539633852</v>
      </c>
      <c r="U612">
        <v>15.126838306399545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276</v>
      </c>
      <c r="AB612">
        <v>1</v>
      </c>
      <c r="AC612">
        <v>0.50</v>
      </c>
      <c r="AD612">
        <v>0.50345253019720215</v>
      </c>
      <c r="AE612">
        <v>10800</v>
      </c>
      <c r="AF612">
        <v>200000</v>
      </c>
      <c r="AG612">
        <v>16666.666666666668</v>
      </c>
      <c r="AH612">
        <v>1</v>
      </c>
      <c r="AI612">
        <v>1</v>
      </c>
      <c r="AJ612" t="s">
        <v>136</v>
      </c>
      <c r="AK612" t="s">
        <v>137</v>
      </c>
      <c r="AL612">
        <v>0</v>
      </c>
      <c r="AM612" t="s">
        <v>137</v>
      </c>
      <c r="AN612">
        <v>0</v>
      </c>
    </row>
    <row r="613" spans="1:42" ht="12.75">
      <c r="A613" s="2" t="str">
        <f>HYPERLINK("https://ibp.a2mac1.com/costing(costing:projects/details/8191/process/6973979)","Injection molding")</f>
        <v>Injection molding</v>
      </c>
      <c r="B613" t="s">
        <v>4559</v>
      </c>
      <c r="C613">
        <v>6973979</v>
      </c>
      <c r="D613">
        <v>5384946</v>
      </c>
      <c r="E613">
        <v>0.0088341856923447124</v>
      </c>
      <c r="F613">
        <v>0</v>
      </c>
      <c r="G613">
        <v>0</v>
      </c>
      <c r="H613">
        <v>1.7927744615462552E-07</v>
      </c>
      <c r="I613" t="s">
        <v>137</v>
      </c>
      <c r="J613">
        <v>0.00031373553077059462</v>
      </c>
      <c r="K613">
        <v>0.0091481005005614614</v>
      </c>
      <c r="L613">
        <v>0.0066803816166408451</v>
      </c>
      <c r="M613">
        <v>0.040082289699845071</v>
      </c>
      <c r="N613">
        <v>0.049230390200406531</v>
      </c>
      <c r="O613" t="s">
        <v>138</v>
      </c>
      <c r="P613">
        <v>0.00054888603003368762</v>
      </c>
      <c r="Q613" t="s">
        <v>138</v>
      </c>
      <c r="R613">
        <v>0.0024049373819907045</v>
      </c>
      <c r="S613" t="s">
        <v>139</v>
      </c>
      <c r="T613">
        <v>0.005907646824048784</v>
      </c>
      <c r="U613">
        <v>0.058091860436479709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19.686769999999999</v>
      </c>
      <c r="AB613">
        <v>1</v>
      </c>
      <c r="AC613">
        <v>0</v>
      </c>
      <c r="AD613">
        <v>0.0019999600007999841</v>
      </c>
      <c r="AE613">
        <v>7200</v>
      </c>
      <c r="AF613">
        <v>200000</v>
      </c>
      <c r="AG613">
        <v>16666.666666666668</v>
      </c>
      <c r="AH613">
        <v>1</v>
      </c>
      <c r="AI613">
        <v>1</v>
      </c>
      <c r="AJ613" t="s">
        <v>136</v>
      </c>
      <c r="AK613" t="s">
        <v>137</v>
      </c>
      <c r="AL613">
        <v>0</v>
      </c>
      <c r="AM613" t="s">
        <v>137</v>
      </c>
      <c r="AN613">
        <v>0</v>
      </c>
    </row>
    <row r="614" spans="1:42" ht="12.75">
      <c r="A614" s="2" t="str">
        <f>HYPERLINK("https://ibp.a2mac1.com/costing(costing:projects/details/8191/process/6973980)","Press")</f>
        <v>Press</v>
      </c>
      <c r="C614">
        <v>6973980</v>
      </c>
      <c r="D614">
        <v>5384948</v>
      </c>
      <c r="E614">
        <v>0.8689574922680412</v>
      </c>
      <c r="F614">
        <v>0</v>
      </c>
      <c r="G614">
        <v>0</v>
      </c>
      <c r="H614">
        <v>0.017770768144329898</v>
      </c>
      <c r="I614" t="s">
        <v>137</v>
      </c>
      <c r="J614">
        <v>0.030459201030927835</v>
      </c>
      <c r="K614">
        <v>0.91718746144329899</v>
      </c>
      <c r="L614">
        <v>0.057016818375226014</v>
      </c>
      <c r="M614">
        <v>0.34210091025135608</v>
      </c>
      <c r="N614">
        <v>1.259288371694655</v>
      </c>
      <c r="O614" t="s">
        <v>138</v>
      </c>
      <c r="P614">
        <v>0.055031247686597937</v>
      </c>
      <c r="Q614" t="s">
        <v>138</v>
      </c>
      <c r="R614">
        <v>0.020526054615081366</v>
      </c>
      <c r="S614" t="s">
        <v>139</v>
      </c>
      <c r="T614">
        <v>0.1511146046033586</v>
      </c>
      <c r="U614">
        <v>1.485960278599693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138</v>
      </c>
      <c r="AB614">
        <v>2</v>
      </c>
      <c r="AC614">
        <v>1</v>
      </c>
      <c r="AD614">
        <v>2.001136786813273</v>
      </c>
      <c r="AE614">
        <v>3600</v>
      </c>
      <c r="AF614">
        <v>200000</v>
      </c>
      <c r="AG614">
        <v>16666.666666666668</v>
      </c>
      <c r="AH614">
        <v>1</v>
      </c>
      <c r="AI614">
        <v>1</v>
      </c>
      <c r="AJ614" t="s">
        <v>136</v>
      </c>
      <c r="AK614" t="s">
        <v>137</v>
      </c>
      <c r="AL614">
        <v>0</v>
      </c>
      <c r="AM614" t="s">
        <v>137</v>
      </c>
      <c r="AN614">
        <v>0</v>
      </c>
    </row>
    <row r="615" spans="1:42" ht="12.75">
      <c r="A615" s="2" t="str">
        <f>HYPERLINK("https://ibp.a2mac1.com/costing(costing:projects/details/8191/process/6973981)","Steam facility")</f>
        <v>Steam facility</v>
      </c>
      <c r="C615">
        <v>6973981</v>
      </c>
      <c r="D615">
        <v>5384948</v>
      </c>
      <c r="E615">
        <v>0</v>
      </c>
      <c r="F615">
        <v>0</v>
      </c>
      <c r="G615">
        <v>0</v>
      </c>
      <c r="H615">
        <v>0</v>
      </c>
      <c r="I615" t="s">
        <v>137</v>
      </c>
      <c r="J615">
        <v>0</v>
      </c>
      <c r="K615">
        <v>0</v>
      </c>
      <c r="L615">
        <v>0.0050875558492526748</v>
      </c>
      <c r="M615">
        <v>0.030525335095516047</v>
      </c>
      <c r="N615">
        <v>0.030525335095516047</v>
      </c>
      <c r="O615" t="s">
        <v>138</v>
      </c>
      <c r="P615">
        <v>0</v>
      </c>
      <c r="Q615" t="s">
        <v>138</v>
      </c>
      <c r="R615">
        <v>0.0018315201057309627</v>
      </c>
      <c r="S615" t="s">
        <v>139</v>
      </c>
      <c r="T615">
        <v>0.0036630402114619254</v>
      </c>
      <c r="U615">
        <v>0.036019895412708933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138</v>
      </c>
      <c r="AB615">
        <v>24</v>
      </c>
      <c r="AC615">
        <v>1</v>
      </c>
      <c r="AD615">
        <v>1.0057812623742775</v>
      </c>
      <c r="AE615">
        <v>3600</v>
      </c>
      <c r="AF615">
        <v>200000</v>
      </c>
      <c r="AG615">
        <v>16666.666666666668</v>
      </c>
      <c r="AH615">
        <v>1</v>
      </c>
      <c r="AI615">
        <v>1</v>
      </c>
      <c r="AJ615" t="s">
        <v>136</v>
      </c>
      <c r="AK615" t="s">
        <v>137</v>
      </c>
      <c r="AL615">
        <v>0</v>
      </c>
      <c r="AM615" t="s">
        <v>137</v>
      </c>
      <c r="AN615">
        <v>0</v>
      </c>
    </row>
    <row r="616" spans="1:42" ht="12.75">
      <c r="A616" s="2" t="str">
        <f>HYPERLINK("https://ibp.a2mac1.com/costing(costing:projects/details/8191/process/6973982)","Press")</f>
        <v>Press</v>
      </c>
      <c r="C616">
        <v>6973982</v>
      </c>
      <c r="D616">
        <v>5384949</v>
      </c>
      <c r="E616">
        <v>0.63634425587628862</v>
      </c>
      <c r="F616">
        <v>0</v>
      </c>
      <c r="G616">
        <v>0</v>
      </c>
      <c r="H616">
        <v>0.013013670210309278</v>
      </c>
      <c r="I616" t="s">
        <v>137</v>
      </c>
      <c r="J616">
        <v>0.022305507216494845</v>
      </c>
      <c r="K616">
        <v>0.67166343330309275</v>
      </c>
      <c r="L616">
        <v>0.057016818375226014</v>
      </c>
      <c r="M616">
        <v>0.34210091025135608</v>
      </c>
      <c r="N616">
        <v>1.0137643435544488</v>
      </c>
      <c r="O616" t="s">
        <v>138</v>
      </c>
      <c r="P616">
        <v>0.04029980599818557</v>
      </c>
      <c r="Q616" t="s">
        <v>138</v>
      </c>
      <c r="R616">
        <v>0.020526054615081366</v>
      </c>
      <c r="S616" t="s">
        <v>139</v>
      </c>
      <c r="T616">
        <v>0.12165172122653387</v>
      </c>
      <c r="U616">
        <v>1.1962419253942498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138</v>
      </c>
      <c r="AB616">
        <v>2</v>
      </c>
      <c r="AC616">
        <v>1</v>
      </c>
      <c r="AD616">
        <v>2.001136786813273</v>
      </c>
      <c r="AE616">
        <v>3600</v>
      </c>
      <c r="AF616">
        <v>200000</v>
      </c>
      <c r="AG616">
        <v>16666.666666666668</v>
      </c>
      <c r="AH616">
        <v>1</v>
      </c>
      <c r="AI616">
        <v>1</v>
      </c>
      <c r="AJ616" t="s">
        <v>136</v>
      </c>
      <c r="AK616" t="s">
        <v>137</v>
      </c>
      <c r="AL616">
        <v>0</v>
      </c>
      <c r="AM616" t="s">
        <v>137</v>
      </c>
      <c r="AN616">
        <v>0</v>
      </c>
    </row>
    <row r="617" spans="1:42" ht="12.75">
      <c r="A617" s="2" t="str">
        <f>HYPERLINK("https://ibp.a2mac1.com/costing(costing:projects/details/8191/process/6973983)","Steam facility")</f>
        <v>Steam facility</v>
      </c>
      <c r="C617">
        <v>6973983</v>
      </c>
      <c r="D617">
        <v>5384949</v>
      </c>
      <c r="E617">
        <v>0</v>
      </c>
      <c r="F617">
        <v>0</v>
      </c>
      <c r="G617">
        <v>0</v>
      </c>
      <c r="H617">
        <v>0</v>
      </c>
      <c r="I617" t="s">
        <v>137</v>
      </c>
      <c r="J617">
        <v>0</v>
      </c>
      <c r="K617">
        <v>0</v>
      </c>
      <c r="L617">
        <v>0.0050875558492526748</v>
      </c>
      <c r="M617">
        <v>0.030525335095516047</v>
      </c>
      <c r="N617">
        <v>0.030525335095516047</v>
      </c>
      <c r="O617" t="s">
        <v>138</v>
      </c>
      <c r="P617">
        <v>0</v>
      </c>
      <c r="Q617" t="s">
        <v>138</v>
      </c>
      <c r="R617">
        <v>0.0018315201057309627</v>
      </c>
      <c r="S617" t="s">
        <v>139</v>
      </c>
      <c r="T617">
        <v>0.0036630402114619254</v>
      </c>
      <c r="U617">
        <v>0.036019895412708933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138</v>
      </c>
      <c r="AB617">
        <v>24</v>
      </c>
      <c r="AC617">
        <v>1</v>
      </c>
      <c r="AD617">
        <v>1.0057812623742775</v>
      </c>
      <c r="AE617">
        <v>3600</v>
      </c>
      <c r="AF617">
        <v>200000</v>
      </c>
      <c r="AG617">
        <v>16666.666666666668</v>
      </c>
      <c r="AH617">
        <v>1</v>
      </c>
      <c r="AI617">
        <v>1</v>
      </c>
      <c r="AJ617" t="s">
        <v>136</v>
      </c>
      <c r="AK617" t="s">
        <v>137</v>
      </c>
      <c r="AL617">
        <v>0</v>
      </c>
      <c r="AM617" t="s">
        <v>137</v>
      </c>
      <c r="AN617">
        <v>0</v>
      </c>
    </row>
    <row r="618" spans="1:42" ht="12.75">
      <c r="A618" s="2" t="str">
        <f>HYPERLINK("https://ibp.a2mac1.com/costing(costing:projects/details/8191/process/6973984)","Automated process")</f>
        <v>Automated process</v>
      </c>
      <c r="B618" t="s">
        <v>4582</v>
      </c>
      <c r="C618">
        <v>6973984</v>
      </c>
      <c r="D618">
        <v>5384950</v>
      </c>
      <c r="E618">
        <v>41.682020000000001</v>
      </c>
      <c r="F618">
        <v>0</v>
      </c>
      <c r="G618">
        <v>0</v>
      </c>
      <c r="H618">
        <v>0.85114684839999999</v>
      </c>
      <c r="I618" t="s">
        <v>137</v>
      </c>
      <c r="J618">
        <v>1.4588707000000001</v>
      </c>
      <c r="K618">
        <v>43.992037548399999</v>
      </c>
      <c r="L618">
        <v>1.8880829340268666</v>
      </c>
      <c r="M618">
        <v>11.3284976041612</v>
      </c>
      <c r="N618">
        <v>55.320535152561199</v>
      </c>
      <c r="O618" t="s">
        <v>138</v>
      </c>
      <c r="P618">
        <v>2.6395222529039999</v>
      </c>
      <c r="Q618" t="s">
        <v>138</v>
      </c>
      <c r="R618">
        <v>0.67970985624967195</v>
      </c>
      <c r="S618" t="s">
        <v>139</v>
      </c>
      <c r="T618">
        <v>6.6384642183073437</v>
      </c>
      <c r="U618">
        <v>65.278231480022214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1051.6511700000001</v>
      </c>
      <c r="AB618">
        <v>1</v>
      </c>
      <c r="AC618">
        <v>2</v>
      </c>
      <c r="AD618">
        <v>2.001136786813273</v>
      </c>
      <c r="AE618">
        <v>10800</v>
      </c>
      <c r="AF618">
        <v>200000</v>
      </c>
      <c r="AG618">
        <v>16666.666666666668</v>
      </c>
      <c r="AH618">
        <v>1</v>
      </c>
      <c r="AI618">
        <v>1</v>
      </c>
      <c r="AJ618" t="s">
        <v>136</v>
      </c>
      <c r="AK618" t="s">
        <v>137</v>
      </c>
      <c r="AL618">
        <v>0</v>
      </c>
      <c r="AM618" t="s">
        <v>137</v>
      </c>
      <c r="AN618">
        <v>0</v>
      </c>
    </row>
    <row r="619" spans="1:42" ht="12.75">
      <c r="A619" s="2" t="str">
        <f>HYPERLINK("https://ibp.a2mac1.com/costing(costing:projects/details/8191/process/6975797)","Manufacturing Process")</f>
        <v>Manufacturing Process</v>
      </c>
      <c r="C619">
        <v>6975797</v>
      </c>
      <c r="D619">
        <v>5389145</v>
      </c>
      <c r="E619">
        <v>5.4223421454545457</v>
      </c>
      <c r="F619">
        <v>0</v>
      </c>
      <c r="G619">
        <v>0</v>
      </c>
      <c r="H619">
        <v>0.0065193477818181822</v>
      </c>
      <c r="I619" t="s">
        <v>137</v>
      </c>
      <c r="J619">
        <v>0.21940112727272729</v>
      </c>
      <c r="K619">
        <v>5.6482626205090911</v>
      </c>
      <c r="L619">
        <v>0.325343368290124</v>
      </c>
      <c r="M619">
        <v>1.9520602097407442</v>
      </c>
      <c r="N619">
        <v>7.6003228302498353</v>
      </c>
      <c r="O619" t="s">
        <v>90</v>
      </c>
      <c r="P619">
        <v>0</v>
      </c>
      <c r="Q619" t="s">
        <v>90</v>
      </c>
      <c r="R619">
        <v>0</v>
      </c>
      <c r="S619" t="s">
        <v>90</v>
      </c>
      <c r="T619">
        <v>0</v>
      </c>
      <c r="U619">
        <v>7.6003228302498353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64.80</v>
      </c>
      <c r="AB619">
        <v>1</v>
      </c>
      <c r="AC619">
        <v>0.10</v>
      </c>
      <c r="AD619">
        <v>0.10389195236953569</v>
      </c>
      <c r="AE619">
        <v>5400</v>
      </c>
      <c r="AF619">
        <v>200000</v>
      </c>
      <c r="AG619">
        <v>16666.666666666668</v>
      </c>
      <c r="AH619">
        <v>1</v>
      </c>
      <c r="AI619">
        <v>1</v>
      </c>
      <c r="AJ619" t="s">
        <v>136</v>
      </c>
      <c r="AK619" t="s">
        <v>137</v>
      </c>
      <c r="AL619">
        <v>0</v>
      </c>
      <c r="AM619" t="s">
        <v>137</v>
      </c>
      <c r="AN619">
        <v>0</v>
      </c>
    </row>
    <row r="620" spans="1:42" ht="12.75">
      <c r="A620" s="2" t="str">
        <f>HYPERLINK("https://ibp.a2mac1.com/costing(costing:projects/details/8191/process/6975798)","Manufacturing Process")</f>
        <v>Manufacturing Process</v>
      </c>
      <c r="C620">
        <v>6975798</v>
      </c>
      <c r="D620">
        <v>5389146</v>
      </c>
      <c r="E620">
        <v>0.30906608823529413</v>
      </c>
      <c r="F620">
        <v>0</v>
      </c>
      <c r="G620">
        <v>0</v>
      </c>
      <c r="H620">
        <v>0.0003365745882352941</v>
      </c>
      <c r="I620" t="s">
        <v>137</v>
      </c>
      <c r="J620">
        <v>0.011327029411764706</v>
      </c>
      <c r="K620">
        <v>0.32072969223529413</v>
      </c>
      <c r="L620">
        <v>0.037922540539062424</v>
      </c>
      <c r="M620">
        <v>0.22753524323437452</v>
      </c>
      <c r="N620">
        <v>0.5482649354696687</v>
      </c>
      <c r="O620" t="s">
        <v>138</v>
      </c>
      <c r="P620">
        <v>0.019243781534117647</v>
      </c>
      <c r="Q620" t="s">
        <v>138</v>
      </c>
      <c r="R620">
        <v>0.013652114594062471</v>
      </c>
      <c r="S620" t="s">
        <v>139</v>
      </c>
      <c r="T620">
        <v>0.06579179225636024</v>
      </c>
      <c r="U620">
        <v>0.64695262385420904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7.20</v>
      </c>
      <c r="AB620">
        <v>1</v>
      </c>
      <c r="AC620">
        <v>0.10</v>
      </c>
      <c r="AD620">
        <v>0.10389195236953569</v>
      </c>
      <c r="AE620">
        <v>5400</v>
      </c>
      <c r="AF620">
        <v>200000</v>
      </c>
      <c r="AG620">
        <v>16666.666666666668</v>
      </c>
      <c r="AH620">
        <v>1</v>
      </c>
      <c r="AI620">
        <v>1</v>
      </c>
      <c r="AJ620" t="s">
        <v>136</v>
      </c>
      <c r="AK620" t="s">
        <v>137</v>
      </c>
      <c r="AL620">
        <v>0</v>
      </c>
      <c r="AM620" t="s">
        <v>137</v>
      </c>
      <c r="AN620">
        <v>0</v>
      </c>
    </row>
    <row r="621" spans="1:42" ht="12.75">
      <c r="A621" s="2" t="str">
        <f>HYPERLINK("https://ibp.a2mac1.com/costing(costing:projects/details/8191/process/6975799)","Manufacturing Process")</f>
        <v>Manufacturing Process</v>
      </c>
      <c r="C621">
        <v>6975799</v>
      </c>
      <c r="D621">
        <v>5389147</v>
      </c>
      <c r="E621">
        <v>0.55307367500000004</v>
      </c>
      <c r="F621">
        <v>0</v>
      </c>
      <c r="G621">
        <v>0</v>
      </c>
      <c r="H621">
        <v>0.00061191130000000002</v>
      </c>
      <c r="I621" t="s">
        <v>137</v>
      </c>
      <c r="J621">
        <v>0.020593168750000002</v>
      </c>
      <c r="K621">
        <v>0.57427875505000003</v>
      </c>
      <c r="L621">
        <v>0.037922540539062424</v>
      </c>
      <c r="M621">
        <v>0.22753524323437452</v>
      </c>
      <c r="N621">
        <v>0.8018139982843745</v>
      </c>
      <c r="O621" t="s">
        <v>138</v>
      </c>
      <c r="P621">
        <v>0.034456725303000001</v>
      </c>
      <c r="Q621" t="s">
        <v>138</v>
      </c>
      <c r="R621">
        <v>0.013652114594062471</v>
      </c>
      <c r="S621" t="s">
        <v>139</v>
      </c>
      <c r="T621">
        <v>0.096217679794124947</v>
      </c>
      <c r="U621">
        <v>0.94614051797556198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7.20</v>
      </c>
      <c r="AB621">
        <v>1</v>
      </c>
      <c r="AC621">
        <v>0.10</v>
      </c>
      <c r="AD621">
        <v>0.10389195236953569</v>
      </c>
      <c r="AE621">
        <v>5400</v>
      </c>
      <c r="AF621">
        <v>200000</v>
      </c>
      <c r="AG621">
        <v>16666.666666666668</v>
      </c>
      <c r="AH621">
        <v>1</v>
      </c>
      <c r="AI621">
        <v>1</v>
      </c>
      <c r="AJ621" t="s">
        <v>136</v>
      </c>
      <c r="AK621" t="s">
        <v>137</v>
      </c>
      <c r="AL621">
        <v>0</v>
      </c>
      <c r="AM621" t="s">
        <v>137</v>
      </c>
      <c r="AN621">
        <v>0</v>
      </c>
    </row>
    <row r="622" spans="1:42" ht="12.75">
      <c r="A622" s="2" t="str">
        <f>HYPERLINK("https://ibp.a2mac1.com/costing(costing:projects/details/8191/process/6975878)","Manufacturing Process")</f>
        <v>Manufacturing Process</v>
      </c>
      <c r="C622">
        <v>6975878</v>
      </c>
      <c r="D622">
        <v>5389409</v>
      </c>
      <c r="E622">
        <v>0.49005883333333333</v>
      </c>
      <c r="F622">
        <v>0</v>
      </c>
      <c r="G622">
        <v>0</v>
      </c>
      <c r="H622">
        <v>0.00055098506666666669</v>
      </c>
      <c r="I622" t="s">
        <v>137</v>
      </c>
      <c r="J622">
        <v>0.018542766666666665</v>
      </c>
      <c r="K622">
        <v>0.50915258506666672</v>
      </c>
      <c r="L622">
        <v>0.019958738804621071</v>
      </c>
      <c r="M622">
        <v>0.11975243282772643</v>
      </c>
      <c r="N622">
        <v>0.62890501789439313</v>
      </c>
      <c r="O622" t="s">
        <v>138</v>
      </c>
      <c r="P622">
        <v>0.030549155104000001</v>
      </c>
      <c r="Q622" t="s">
        <v>138</v>
      </c>
      <c r="R622">
        <v>0.007185145969663586</v>
      </c>
      <c r="S622" t="s">
        <v>139</v>
      </c>
      <c r="T622">
        <v>0.075468602147327174</v>
      </c>
      <c r="U622">
        <v>0.74210792111538382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3.60</v>
      </c>
      <c r="AB622">
        <v>1</v>
      </c>
      <c r="AC622">
        <v>0.10</v>
      </c>
      <c r="AD622">
        <v>0.10389195236953569</v>
      </c>
      <c r="AE622">
        <v>5400</v>
      </c>
      <c r="AF622">
        <v>200000</v>
      </c>
      <c r="AG622">
        <v>16666.666666666668</v>
      </c>
      <c r="AH622">
        <v>1</v>
      </c>
      <c r="AI622">
        <v>1</v>
      </c>
      <c r="AJ622" t="s">
        <v>136</v>
      </c>
      <c r="AK622" t="s">
        <v>137</v>
      </c>
      <c r="AL622">
        <v>0</v>
      </c>
      <c r="AM622" t="s">
        <v>137</v>
      </c>
      <c r="AN622">
        <v>0</v>
      </c>
    </row>
    <row r="623" spans="1:42" ht="12.75">
      <c r="A623" s="2" t="str">
        <f>HYPERLINK("https://ibp.a2mac1.com/costing(costing:projects/details/8191/process/6975879)","Manufacturing Process")</f>
        <v>Manufacturing Process</v>
      </c>
      <c r="C623">
        <v>6975879</v>
      </c>
      <c r="D623">
        <v>5389410</v>
      </c>
      <c r="E623">
        <v>0.51654849999999997</v>
      </c>
      <c r="F623">
        <v>0</v>
      </c>
      <c r="G623">
        <v>0</v>
      </c>
      <c r="H623">
        <v>0.00059034114285714287</v>
      </c>
      <c r="I623" t="s">
        <v>137</v>
      </c>
      <c r="J623">
        <v>0.019867249999999999</v>
      </c>
      <c r="K623">
        <v>0.53700609114285713</v>
      </c>
      <c r="L623">
        <v>0.019958738804621071</v>
      </c>
      <c r="M623">
        <v>0.11975243282772643</v>
      </c>
      <c r="N623">
        <v>0.65675852397058354</v>
      </c>
      <c r="O623" t="s">
        <v>138</v>
      </c>
      <c r="P623">
        <v>0.032220365468571426</v>
      </c>
      <c r="Q623" t="s">
        <v>138</v>
      </c>
      <c r="R623">
        <v>0.007185145969663586</v>
      </c>
      <c r="S623" t="s">
        <v>139</v>
      </c>
      <c r="T623">
        <v>0.07881102287647003</v>
      </c>
      <c r="U623">
        <v>0.77497505828528856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3.60</v>
      </c>
      <c r="AB623">
        <v>1</v>
      </c>
      <c r="AC623">
        <v>0.10</v>
      </c>
      <c r="AD623">
        <v>0.10389195236953569</v>
      </c>
      <c r="AE623">
        <v>5400</v>
      </c>
      <c r="AF623">
        <v>200000</v>
      </c>
      <c r="AG623">
        <v>16666.666666666668</v>
      </c>
      <c r="AH623">
        <v>1</v>
      </c>
      <c r="AI623">
        <v>1</v>
      </c>
      <c r="AJ623" t="s">
        <v>136</v>
      </c>
      <c r="AK623" t="s">
        <v>137</v>
      </c>
      <c r="AL623">
        <v>0</v>
      </c>
      <c r="AM623" t="s">
        <v>137</v>
      </c>
      <c r="AN623">
        <v>0</v>
      </c>
    </row>
    <row r="624" spans="1:42" ht="12.75">
      <c r="A624" s="2" t="str">
        <f>HYPERLINK("https://ibp.a2mac1.com/costing(costing:projects/details/8191/process/6975880)","Manufacturing Process")</f>
        <v>Manufacturing Process</v>
      </c>
      <c r="C624">
        <v>6975880</v>
      </c>
      <c r="D624">
        <v>5389411</v>
      </c>
      <c r="E624">
        <v>0.04120881176470588</v>
      </c>
      <c r="F624">
        <v>0</v>
      </c>
      <c r="G624">
        <v>0</v>
      </c>
      <c r="H624">
        <v>4.4876611764705885E-05</v>
      </c>
      <c r="I624" t="s">
        <v>137</v>
      </c>
      <c r="J624">
        <v>0.0015102705882352942</v>
      </c>
      <c r="K624">
        <v>0.042763958964705882</v>
      </c>
      <c r="L624">
        <v>0.010976837937400397</v>
      </c>
      <c r="M624">
        <v>0.06586102762440238</v>
      </c>
      <c r="N624">
        <v>0.10862498658910825</v>
      </c>
      <c r="O624" t="s">
        <v>138</v>
      </c>
      <c r="P624">
        <v>0.0025658375378823529</v>
      </c>
      <c r="Q624" t="s">
        <v>138</v>
      </c>
      <c r="R624">
        <v>0.0039516616574641426</v>
      </c>
      <c r="S624" t="s">
        <v>139</v>
      </c>
      <c r="T624">
        <v>0.013034998390692991</v>
      </c>
      <c r="U624">
        <v>0.12817748417514774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1.80</v>
      </c>
      <c r="AB624">
        <v>1</v>
      </c>
      <c r="AC624">
        <v>0.10</v>
      </c>
      <c r="AD624">
        <v>0.10389195236953569</v>
      </c>
      <c r="AE624">
        <v>5400</v>
      </c>
      <c r="AF624">
        <v>200000</v>
      </c>
      <c r="AG624">
        <v>16666.666666666668</v>
      </c>
      <c r="AH624">
        <v>1</v>
      </c>
      <c r="AI624">
        <v>1</v>
      </c>
      <c r="AJ624" t="s">
        <v>136</v>
      </c>
      <c r="AK624" t="s">
        <v>137</v>
      </c>
      <c r="AL624">
        <v>0</v>
      </c>
      <c r="AM624" t="s">
        <v>137</v>
      </c>
      <c r="AN624">
        <v>0</v>
      </c>
    </row>
    <row r="625" spans="1:42" ht="12.75">
      <c r="A625" s="2" t="str">
        <f>HYPERLINK("https://ibp.a2mac1.com/costing(costing:projects/details/8191/process/6975881)","Manufacturing Process")</f>
        <v>Manufacturing Process</v>
      </c>
      <c r="C625">
        <v>6975881</v>
      </c>
      <c r="D625">
        <v>5389412</v>
      </c>
      <c r="E625">
        <v>1.4133256000000001</v>
      </c>
      <c r="F625">
        <v>0</v>
      </c>
      <c r="G625">
        <v>0</v>
      </c>
      <c r="H625">
        <v>0.0017292454400000001</v>
      </c>
      <c r="I625" t="s">
        <v>137</v>
      </c>
      <c r="J625">
        <v>0.058195759999999999</v>
      </c>
      <c r="K625">
        <v>1.4732506054400001</v>
      </c>
      <c r="L625">
        <v>0.16366915268015186</v>
      </c>
      <c r="M625">
        <v>0.98201491608091118</v>
      </c>
      <c r="N625">
        <v>2.4552655215209112</v>
      </c>
      <c r="O625" t="s">
        <v>138</v>
      </c>
      <c r="P625">
        <v>0.088395036326400001</v>
      </c>
      <c r="Q625" t="s">
        <v>138</v>
      </c>
      <c r="R625">
        <v>0.058920894964854677</v>
      </c>
      <c r="S625" t="s">
        <v>139</v>
      </c>
      <c r="T625">
        <v>0.29463186258250934</v>
      </c>
      <c r="U625">
        <v>2.8972133153946751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32.40</v>
      </c>
      <c r="AB625">
        <v>1</v>
      </c>
      <c r="AC625">
        <v>0.10</v>
      </c>
      <c r="AD625">
        <v>0.10389195236953569</v>
      </c>
      <c r="AE625">
        <v>5400</v>
      </c>
      <c r="AF625">
        <v>200000</v>
      </c>
      <c r="AG625">
        <v>16666.666666666668</v>
      </c>
      <c r="AH625">
        <v>1</v>
      </c>
      <c r="AI625">
        <v>1</v>
      </c>
      <c r="AJ625" t="s">
        <v>136</v>
      </c>
      <c r="AK625" t="s">
        <v>137</v>
      </c>
      <c r="AL625">
        <v>0</v>
      </c>
      <c r="AM625" t="s">
        <v>137</v>
      </c>
      <c r="AN625">
        <v>0</v>
      </c>
    </row>
    <row r="626" spans="1:42" ht="12.75">
      <c r="A626" s="2" t="str">
        <f>HYPERLINK("https://ibp.a2mac1.com/costing(costing:projects/details/8191/process/6975800)","Manufacturing Process")</f>
        <v>Manufacturing Process</v>
      </c>
      <c r="C626">
        <v>6975800</v>
      </c>
      <c r="D626">
        <v>5389150</v>
      </c>
      <c r="E626">
        <v>0.16586606666666667</v>
      </c>
      <c r="F626">
        <v>0</v>
      </c>
      <c r="G626">
        <v>0</v>
      </c>
      <c r="H626">
        <v>0.00018648725333333333</v>
      </c>
      <c r="I626" t="s">
        <v>137</v>
      </c>
      <c r="J626">
        <v>0.0062760133333333336</v>
      </c>
      <c r="K626">
        <v>0.17232856725333334</v>
      </c>
      <c r="L626">
        <v>0.010976837937400397</v>
      </c>
      <c r="M626">
        <v>0.06586102762440238</v>
      </c>
      <c r="N626">
        <v>0.23818959487773572</v>
      </c>
      <c r="O626" t="s">
        <v>138</v>
      </c>
      <c r="P626">
        <v>0.010339714035200001</v>
      </c>
      <c r="Q626" t="s">
        <v>138</v>
      </c>
      <c r="R626">
        <v>0.0039516616574641426</v>
      </c>
      <c r="S626" t="s">
        <v>139</v>
      </c>
      <c r="T626">
        <v>0.028582751385328287</v>
      </c>
      <c r="U626">
        <v>0.28106372195572815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1.80</v>
      </c>
      <c r="AB626">
        <v>1</v>
      </c>
      <c r="AC626">
        <v>0.10</v>
      </c>
      <c r="AD626">
        <v>0.10389195236953569</v>
      </c>
      <c r="AE626">
        <v>5400</v>
      </c>
      <c r="AF626">
        <v>200000</v>
      </c>
      <c r="AG626">
        <v>16666.666666666668</v>
      </c>
      <c r="AH626">
        <v>1</v>
      </c>
      <c r="AI626">
        <v>1</v>
      </c>
      <c r="AJ626" t="s">
        <v>136</v>
      </c>
      <c r="AK626" t="s">
        <v>137</v>
      </c>
      <c r="AL626">
        <v>0</v>
      </c>
      <c r="AM626" t="s">
        <v>137</v>
      </c>
      <c r="AN626">
        <v>0</v>
      </c>
    </row>
    <row r="627" spans="1:42" ht="12.75">
      <c r="A627" s="2" t="str">
        <f>HYPERLINK("https://ibp.a2mac1.com/costing(costing:projects/details/8191/process/6976137)","Manufacturing Process")</f>
        <v>Manufacturing Process</v>
      </c>
      <c r="C627">
        <v>6976137</v>
      </c>
      <c r="D627">
        <v>5389713</v>
      </c>
      <c r="E627">
        <v>0.14324796666666667</v>
      </c>
      <c r="F627">
        <v>0</v>
      </c>
      <c r="G627">
        <v>0</v>
      </c>
      <c r="H627">
        <v>0.00016105717333333332</v>
      </c>
      <c r="I627" t="s">
        <v>137</v>
      </c>
      <c r="J627">
        <v>0.0054201933333333334</v>
      </c>
      <c r="K627">
        <v>0.14882921717333333</v>
      </c>
      <c r="L627">
        <v>0.010976837937400397</v>
      </c>
      <c r="M627">
        <v>0.06586102762440238</v>
      </c>
      <c r="N627">
        <v>0.21469024479773571</v>
      </c>
      <c r="O627" t="s">
        <v>138</v>
      </c>
      <c r="P627">
        <v>0.0089297530304000006</v>
      </c>
      <c r="Q627" t="s">
        <v>138</v>
      </c>
      <c r="R627">
        <v>0.0039516616574641426</v>
      </c>
      <c r="S627" t="s">
        <v>139</v>
      </c>
      <c r="T627">
        <v>0.025762829375728286</v>
      </c>
      <c r="U627">
        <v>0.25333448886132814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1.80</v>
      </c>
      <c r="AB627">
        <v>1</v>
      </c>
      <c r="AC627">
        <v>0.10</v>
      </c>
      <c r="AD627">
        <v>0.10389195236953569</v>
      </c>
      <c r="AE627">
        <v>5400</v>
      </c>
      <c r="AF627">
        <v>200000</v>
      </c>
      <c r="AG627">
        <v>16666.666666666668</v>
      </c>
      <c r="AH627">
        <v>1</v>
      </c>
      <c r="AI627">
        <v>1</v>
      </c>
      <c r="AJ627" t="s">
        <v>136</v>
      </c>
      <c r="AK627" t="s">
        <v>137</v>
      </c>
      <c r="AL627">
        <v>0</v>
      </c>
      <c r="AM627" t="s">
        <v>137</v>
      </c>
      <c r="AN627">
        <v>0</v>
      </c>
    </row>
    <row r="628" spans="1:42" ht="12.75">
      <c r="A628" s="2" t="str">
        <f>HYPERLINK("https://ibp.a2mac1.com/costing(costing:projects/details/8191/process/6975801)","Manufacturing Process")</f>
        <v>Manufacturing Process</v>
      </c>
      <c r="C628">
        <v>6975801</v>
      </c>
      <c r="D628">
        <v>5389152</v>
      </c>
      <c r="E628">
        <v>1.4133256000000001</v>
      </c>
      <c r="F628">
        <v>0</v>
      </c>
      <c r="G628">
        <v>0</v>
      </c>
      <c r="H628">
        <v>0.0017292454400000001</v>
      </c>
      <c r="I628" t="s">
        <v>137</v>
      </c>
      <c r="J628">
        <v>0.058195759999999999</v>
      </c>
      <c r="K628">
        <v>1.4732506054400001</v>
      </c>
      <c r="L628">
        <v>0.16366915268015186</v>
      </c>
      <c r="M628">
        <v>0.98201491608091118</v>
      </c>
      <c r="N628">
        <v>2.4552655215209112</v>
      </c>
      <c r="O628" t="s">
        <v>138</v>
      </c>
      <c r="P628">
        <v>0.088395036326400001</v>
      </c>
      <c r="Q628" t="s">
        <v>138</v>
      </c>
      <c r="R628">
        <v>0.058920894964854677</v>
      </c>
      <c r="S628" t="s">
        <v>139</v>
      </c>
      <c r="T628">
        <v>0.29463186258250934</v>
      </c>
      <c r="U628">
        <v>2.8972133153946751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32.40</v>
      </c>
      <c r="AB628">
        <v>1</v>
      </c>
      <c r="AC628">
        <v>0.10</v>
      </c>
      <c r="AD628">
        <v>0.10389195236953569</v>
      </c>
      <c r="AE628">
        <v>5400</v>
      </c>
      <c r="AF628">
        <v>200000</v>
      </c>
      <c r="AG628">
        <v>16666.666666666668</v>
      </c>
      <c r="AH628">
        <v>1</v>
      </c>
      <c r="AI628">
        <v>1</v>
      </c>
      <c r="AJ628" t="s">
        <v>136</v>
      </c>
      <c r="AK628" t="s">
        <v>137</v>
      </c>
      <c r="AL628">
        <v>0</v>
      </c>
      <c r="AM628" t="s">
        <v>137</v>
      </c>
      <c r="AN628">
        <v>0</v>
      </c>
    </row>
    <row r="629" spans="1:42" ht="12.75">
      <c r="A629" s="2" t="str">
        <f>HYPERLINK("https://ibp.a2mac1.com/costing(costing:projects/details/8191/process/6975882)","Manufacturing Process")</f>
        <v>Manufacturing Process</v>
      </c>
      <c r="C629">
        <v>6975882</v>
      </c>
      <c r="D629">
        <v>5389414</v>
      </c>
      <c r="E629">
        <v>0.70870046666666664</v>
      </c>
      <c r="F629">
        <v>0</v>
      </c>
      <c r="G629">
        <v>0</v>
      </c>
      <c r="H629">
        <v>0.00079680917333333336</v>
      </c>
      <c r="I629" t="s">
        <v>137</v>
      </c>
      <c r="J629">
        <v>0.026815693333333335</v>
      </c>
      <c r="K629">
        <v>0.73631296917333333</v>
      </c>
      <c r="L629">
        <v>0.019958738804621071</v>
      </c>
      <c r="M629">
        <v>0.11975243282772643</v>
      </c>
      <c r="N629">
        <v>0.85606540200105974</v>
      </c>
      <c r="O629" t="s">
        <v>138</v>
      </c>
      <c r="P629">
        <v>0.0441787781504</v>
      </c>
      <c r="Q629" t="s">
        <v>138</v>
      </c>
      <c r="R629">
        <v>0.007185145969663586</v>
      </c>
      <c r="S629" t="s">
        <v>139</v>
      </c>
      <c r="T629">
        <v>0.10272784824012716</v>
      </c>
      <c r="U629">
        <v>1.0101571743612505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3.60</v>
      </c>
      <c r="AB629">
        <v>1</v>
      </c>
      <c r="AC629">
        <v>0.10</v>
      </c>
      <c r="AD629">
        <v>0.10389195236953569</v>
      </c>
      <c r="AE629">
        <v>5400</v>
      </c>
      <c r="AF629">
        <v>200000</v>
      </c>
      <c r="AG629">
        <v>16666.666666666668</v>
      </c>
      <c r="AH629">
        <v>1</v>
      </c>
      <c r="AI629">
        <v>1</v>
      </c>
      <c r="AJ629" t="s">
        <v>136</v>
      </c>
      <c r="AK629" t="s">
        <v>137</v>
      </c>
      <c r="AL629">
        <v>0</v>
      </c>
      <c r="AM629" t="s">
        <v>137</v>
      </c>
      <c r="AN629">
        <v>0</v>
      </c>
    </row>
    <row r="630" spans="1:42" ht="12.75">
      <c r="A630" s="2" t="str">
        <f>HYPERLINK("https://ibp.a2mac1.com/costing(costing:projects/details/8191/process/6975883)","Manufacturing Process")</f>
        <v>Manufacturing Process</v>
      </c>
      <c r="C630">
        <v>6975883</v>
      </c>
      <c r="D630">
        <v>5389415</v>
      </c>
      <c r="E630">
        <v>0.20830047500000001</v>
      </c>
      <c r="F630">
        <v>0</v>
      </c>
      <c r="G630">
        <v>0</v>
      </c>
      <c r="H630">
        <v>0.00023046009999999999</v>
      </c>
      <c r="I630" t="s">
        <v>137</v>
      </c>
      <c r="J630">
        <v>0.0077558687499999996</v>
      </c>
      <c r="K630">
        <v>0.21628680384999999</v>
      </c>
      <c r="L630">
        <v>0.010976837937400397</v>
      </c>
      <c r="M630">
        <v>0.06586102762440238</v>
      </c>
      <c r="N630">
        <v>0.28214783147440237</v>
      </c>
      <c r="O630" t="s">
        <v>138</v>
      </c>
      <c r="P630">
        <v>0.012977208230999999</v>
      </c>
      <c r="Q630" t="s">
        <v>138</v>
      </c>
      <c r="R630">
        <v>0.0039516616574641426</v>
      </c>
      <c r="S630" t="s">
        <v>139</v>
      </c>
      <c r="T630">
        <v>0.033857739776928283</v>
      </c>
      <c r="U630">
        <v>0.33293444113979481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1.80</v>
      </c>
      <c r="AB630">
        <v>1</v>
      </c>
      <c r="AC630">
        <v>0.10</v>
      </c>
      <c r="AD630">
        <v>0.10389195236953569</v>
      </c>
      <c r="AE630">
        <v>5400</v>
      </c>
      <c r="AF630">
        <v>200000</v>
      </c>
      <c r="AG630">
        <v>16666.666666666668</v>
      </c>
      <c r="AH630">
        <v>1</v>
      </c>
      <c r="AI630">
        <v>1</v>
      </c>
      <c r="AJ630" t="s">
        <v>136</v>
      </c>
      <c r="AK630" t="s">
        <v>137</v>
      </c>
      <c r="AL630">
        <v>0</v>
      </c>
      <c r="AM630" t="s">
        <v>137</v>
      </c>
      <c r="AN630">
        <v>0</v>
      </c>
    </row>
    <row r="631" spans="1:42" ht="12.75">
      <c r="A631" s="2" t="str">
        <f>HYPERLINK("https://ibp.a2mac1.com/costing(costing:projects/details/8191/process/6975884)","Manufacturing Process")</f>
        <v>Manufacturing Process</v>
      </c>
      <c r="C631">
        <v>6975884</v>
      </c>
      <c r="D631">
        <v>5389416</v>
      </c>
      <c r="E631">
        <v>0.24421435</v>
      </c>
      <c r="F631">
        <v>0</v>
      </c>
      <c r="G631">
        <v>0</v>
      </c>
      <c r="H631">
        <v>0.00027019460000000001</v>
      </c>
      <c r="I631" t="s">
        <v>137</v>
      </c>
      <c r="J631">
        <v>0.0090930874999999994</v>
      </c>
      <c r="K631">
        <v>0.25357763210000001</v>
      </c>
      <c r="L631">
        <v>0.010976837937400397</v>
      </c>
      <c r="M631">
        <v>0.06586102762440238</v>
      </c>
      <c r="N631">
        <v>0.31943865972440239</v>
      </c>
      <c r="O631" t="s">
        <v>138</v>
      </c>
      <c r="P631">
        <v>0.015214657926</v>
      </c>
      <c r="Q631" t="s">
        <v>138</v>
      </c>
      <c r="R631">
        <v>0.0039516616574641426</v>
      </c>
      <c r="S631" t="s">
        <v>139</v>
      </c>
      <c r="T631">
        <v>0.038332639166928285</v>
      </c>
      <c r="U631">
        <v>0.37693761847479479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1.80</v>
      </c>
      <c r="AB631">
        <v>1</v>
      </c>
      <c r="AC631">
        <v>0.10</v>
      </c>
      <c r="AD631">
        <v>0.10389195236953569</v>
      </c>
      <c r="AE631">
        <v>5400</v>
      </c>
      <c r="AF631">
        <v>200000</v>
      </c>
      <c r="AG631">
        <v>16666.666666666668</v>
      </c>
      <c r="AH631">
        <v>1</v>
      </c>
      <c r="AI631">
        <v>1</v>
      </c>
      <c r="AJ631" t="s">
        <v>136</v>
      </c>
      <c r="AK631" t="s">
        <v>137</v>
      </c>
      <c r="AL631">
        <v>0</v>
      </c>
      <c r="AM631" t="s">
        <v>137</v>
      </c>
      <c r="AN631">
        <v>0</v>
      </c>
    </row>
    <row r="632" spans="1:42" ht="12.75">
      <c r="A632" s="2" t="str">
        <f>HYPERLINK("https://ibp.a2mac1.com/costing(costing:projects/details/8191/process/6975885)","Manufacturing Process")</f>
        <v>Manufacturing Process</v>
      </c>
      <c r="C632">
        <v>6975885</v>
      </c>
      <c r="D632">
        <v>5389417</v>
      </c>
      <c r="E632">
        <v>1.6926897000000001</v>
      </c>
      <c r="F632">
        <v>0</v>
      </c>
      <c r="G632">
        <v>0</v>
      </c>
      <c r="H632">
        <v>0.0019345025142857143</v>
      </c>
      <c r="I632" t="s">
        <v>137</v>
      </c>
      <c r="J632">
        <v>0.065103449999999993</v>
      </c>
      <c r="K632">
        <v>1.7597276525142858</v>
      </c>
      <c r="L632">
        <v>0.028940639671841746</v>
      </c>
      <c r="M632">
        <v>0.17364383803105049</v>
      </c>
      <c r="N632">
        <v>1.9333714905453363</v>
      </c>
      <c r="O632" t="s">
        <v>138</v>
      </c>
      <c r="P632">
        <v>0.10558365915085714</v>
      </c>
      <c r="Q632" t="s">
        <v>138</v>
      </c>
      <c r="R632">
        <v>0.010418630281863029</v>
      </c>
      <c r="S632" t="s">
        <v>139</v>
      </c>
      <c r="T632">
        <v>0.23200457886544035</v>
      </c>
      <c r="U632">
        <v>2.2813783588434968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5.40</v>
      </c>
      <c r="AB632">
        <v>1</v>
      </c>
      <c r="AC632">
        <v>0.10</v>
      </c>
      <c r="AD632">
        <v>0.10389195236953569</v>
      </c>
      <c r="AE632">
        <v>5400</v>
      </c>
      <c r="AF632">
        <v>200000</v>
      </c>
      <c r="AG632">
        <v>16666.666666666668</v>
      </c>
      <c r="AH632">
        <v>1</v>
      </c>
      <c r="AI632">
        <v>1</v>
      </c>
      <c r="AJ632" t="s">
        <v>136</v>
      </c>
      <c r="AK632" t="s">
        <v>137</v>
      </c>
      <c r="AL632">
        <v>0</v>
      </c>
      <c r="AM632" t="s">
        <v>137</v>
      </c>
      <c r="AN632">
        <v>0</v>
      </c>
    </row>
    <row r="633" spans="1:42" ht="12.75">
      <c r="A633" s="2" t="str">
        <f>HYPERLINK("https://ibp.a2mac1.com/costing(costing:projects/details/8191/process/6975802)","Manufacturing Process")</f>
        <v>Manufacturing Process</v>
      </c>
      <c r="C633">
        <v>6975802</v>
      </c>
      <c r="D633">
        <v>5389156</v>
      </c>
      <c r="E633">
        <v>3.1868147764705883</v>
      </c>
      <c r="F633">
        <v>0</v>
      </c>
      <c r="G633">
        <v>0</v>
      </c>
      <c r="H633">
        <v>0.0034704579764705881</v>
      </c>
      <c r="I633" t="s">
        <v>137</v>
      </c>
      <c r="J633">
        <v>0.11679425882352941</v>
      </c>
      <c r="K633">
        <v>3.3070794932705883</v>
      </c>
      <c r="L633">
        <v>0.16366915268015186</v>
      </c>
      <c r="M633">
        <v>0.98201491608091118</v>
      </c>
      <c r="N633">
        <v>4.2890944093514998</v>
      </c>
      <c r="O633" t="s">
        <v>90</v>
      </c>
      <c r="P633">
        <v>0</v>
      </c>
      <c r="Q633" t="s">
        <v>90</v>
      </c>
      <c r="R633">
        <v>0</v>
      </c>
      <c r="S633" t="s">
        <v>90</v>
      </c>
      <c r="T633">
        <v>0</v>
      </c>
      <c r="U633">
        <v>4.2890944093514998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32.40</v>
      </c>
      <c r="AB633">
        <v>1</v>
      </c>
      <c r="AC633">
        <v>0.10</v>
      </c>
      <c r="AD633">
        <v>0.10389195236953569</v>
      </c>
      <c r="AE633">
        <v>5400</v>
      </c>
      <c r="AF633">
        <v>200000</v>
      </c>
      <c r="AG633">
        <v>16666.666666666668</v>
      </c>
      <c r="AH633">
        <v>1</v>
      </c>
      <c r="AI633">
        <v>1</v>
      </c>
      <c r="AJ633" t="s">
        <v>136</v>
      </c>
      <c r="AK633" t="s">
        <v>137</v>
      </c>
      <c r="AL633">
        <v>0</v>
      </c>
      <c r="AM633" t="s">
        <v>137</v>
      </c>
      <c r="AN633">
        <v>0</v>
      </c>
    </row>
    <row r="634" spans="1:42" ht="12.75">
      <c r="A634" s="2" t="str">
        <f>HYPERLINK("https://ibp.a2mac1.com/costing(costing:projects/details/8191/process/6975277)","Assembly")</f>
        <v>Assembly</v>
      </c>
      <c r="C634">
        <v>6975277</v>
      </c>
      <c r="D634">
        <v>5388171</v>
      </c>
      <c r="E634">
        <v>0</v>
      </c>
      <c r="F634">
        <v>0</v>
      </c>
      <c r="G634">
        <v>0</v>
      </c>
      <c r="H634">
        <v>0</v>
      </c>
      <c r="I634" t="s">
        <v>137</v>
      </c>
      <c r="J634">
        <v>0</v>
      </c>
      <c r="K634">
        <v>0</v>
      </c>
      <c r="L634">
        <v>0.19662147150774253</v>
      </c>
      <c r="M634">
        <v>1.1797288290464552</v>
      </c>
      <c r="N634">
        <v>1.1797288290464552</v>
      </c>
      <c r="O634" t="s">
        <v>90</v>
      </c>
      <c r="P634">
        <v>0</v>
      </c>
      <c r="Q634" t="s">
        <v>90</v>
      </c>
      <c r="R634">
        <v>0</v>
      </c>
      <c r="S634" t="s">
        <v>90</v>
      </c>
      <c r="T634">
        <v>0</v>
      </c>
      <c r="U634">
        <v>1.1797288290464552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150</v>
      </c>
      <c r="AB634">
        <v>1</v>
      </c>
      <c r="AC634">
        <v>1.99</v>
      </c>
      <c r="AD634">
        <v>1.9992159937279499</v>
      </c>
      <c r="AE634">
        <v>1800</v>
      </c>
      <c r="AF634">
        <v>200000</v>
      </c>
      <c r="AG634">
        <v>10000</v>
      </c>
      <c r="AH634">
        <v>1</v>
      </c>
      <c r="AI634">
        <v>1</v>
      </c>
      <c r="AJ634" t="s">
        <v>79</v>
      </c>
      <c r="AK634" t="s">
        <v>137</v>
      </c>
      <c r="AL634">
        <v>0</v>
      </c>
      <c r="AM634" t="s">
        <v>137</v>
      </c>
      <c r="AN634">
        <v>0</v>
      </c>
      <c r="AP634">
        <v>0</v>
      </c>
    </row>
    <row r="635" spans="1:42" ht="12.75">
      <c r="A635" s="2" t="str">
        <f>HYPERLINK("https://ibp.a2mac1.com/costing(costing:projects/details/8191/process/6975601)","Automated Process")</f>
        <v>Automated Process</v>
      </c>
      <c r="C635">
        <v>6975601</v>
      </c>
      <c r="D635">
        <v>5388743</v>
      </c>
      <c r="E635">
        <v>0.62625750599999996</v>
      </c>
      <c r="F635">
        <v>0</v>
      </c>
      <c r="G635">
        <v>0</v>
      </c>
      <c r="H635">
        <v>0.0031768049928421051</v>
      </c>
      <c r="I635" t="s">
        <v>137</v>
      </c>
      <c r="J635">
        <v>0.02197394757894737</v>
      </c>
      <c r="K635">
        <v>0.65140825857178952</v>
      </c>
      <c r="L635">
        <v>0.010961022270663793</v>
      </c>
      <c r="M635">
        <v>0.065766133623982759</v>
      </c>
      <c r="N635">
        <v>0.71717439219577228</v>
      </c>
      <c r="O635" t="s">
        <v>90</v>
      </c>
      <c r="P635">
        <v>0</v>
      </c>
      <c r="Q635" t="s">
        <v>90</v>
      </c>
      <c r="R635">
        <v>0</v>
      </c>
      <c r="S635" t="s">
        <v>90</v>
      </c>
      <c r="T635">
        <v>0</v>
      </c>
      <c r="U635">
        <v>0.71717439219577228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60</v>
      </c>
      <c r="AB635">
        <v>1</v>
      </c>
      <c r="AC635">
        <v>0.50</v>
      </c>
      <c r="AD635">
        <v>0.50345253019720215</v>
      </c>
      <c r="AE635">
        <v>637.20</v>
      </c>
      <c r="AF635">
        <v>200000</v>
      </c>
      <c r="AG635">
        <v>16666.666666666668</v>
      </c>
      <c r="AH635">
        <v>1</v>
      </c>
      <c r="AI635">
        <v>1</v>
      </c>
      <c r="AJ635" t="s">
        <v>136</v>
      </c>
      <c r="AK635" t="s">
        <v>137</v>
      </c>
      <c r="AL635">
        <v>0</v>
      </c>
      <c r="AM635" t="s">
        <v>137</v>
      </c>
      <c r="AN635">
        <v>0</v>
      </c>
    </row>
    <row r="636" spans="1:42" ht="12.75">
      <c r="A636" s="2" t="str">
        <f>HYPERLINK("https://ibp.a2mac1.com/costing(costing:projects/details/8191/process/6975602)","Automated Process")</f>
        <v>Automated Process</v>
      </c>
      <c r="C636">
        <v>6975602</v>
      </c>
      <c r="D636">
        <v>5388744</v>
      </c>
      <c r="E636">
        <v>0.045111769500000003</v>
      </c>
      <c r="F636">
        <v>0</v>
      </c>
      <c r="G636">
        <v>0</v>
      </c>
      <c r="H636">
        <v>0.00022883764778947369</v>
      </c>
      <c r="I636" t="s">
        <v>137</v>
      </c>
      <c r="J636">
        <v>0.001582869105263158</v>
      </c>
      <c r="K636">
        <v>0.046923476253052633</v>
      </c>
      <c r="L636">
        <v>0.00078912868272557534</v>
      </c>
      <c r="M636">
        <v>0.0047347720963534521</v>
      </c>
      <c r="N636">
        <v>0.051658248349406084</v>
      </c>
      <c r="O636" t="s">
        <v>90</v>
      </c>
      <c r="P636">
        <v>0</v>
      </c>
      <c r="Q636" t="s">
        <v>90</v>
      </c>
      <c r="R636">
        <v>0</v>
      </c>
      <c r="S636" t="s">
        <v>90</v>
      </c>
      <c r="T636">
        <v>0</v>
      </c>
      <c r="U636">
        <v>0.051658248349406084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60</v>
      </c>
      <c r="AB636">
        <v>1</v>
      </c>
      <c r="AC636">
        <v>0.50</v>
      </c>
      <c r="AD636">
        <v>0.50345253019720215</v>
      </c>
      <c r="AE636">
        <v>45.90</v>
      </c>
      <c r="AF636">
        <v>200000</v>
      </c>
      <c r="AG636">
        <v>16666.666666666668</v>
      </c>
      <c r="AH636">
        <v>1</v>
      </c>
      <c r="AI636">
        <v>1</v>
      </c>
      <c r="AJ636" t="s">
        <v>136</v>
      </c>
      <c r="AK636" t="s">
        <v>137</v>
      </c>
      <c r="AL636">
        <v>0</v>
      </c>
      <c r="AM636" t="s">
        <v>137</v>
      </c>
      <c r="AN636">
        <v>0</v>
      </c>
    </row>
    <row r="637" spans="1:42" ht="12.75">
      <c r="A637" s="2" t="str">
        <f>HYPERLINK("https://ibp.a2mac1.com/costing(costing:projects/details/8191/process/6975366)","Automated Process")</f>
        <v>Automated Process</v>
      </c>
      <c r="C637">
        <v>6975366</v>
      </c>
      <c r="D637">
        <v>5388350</v>
      </c>
      <c r="E637">
        <v>1.4240736089999999</v>
      </c>
      <c r="F637">
        <v>0</v>
      </c>
      <c r="G637">
        <v>0</v>
      </c>
      <c r="H637">
        <v>0.0072238721418947365</v>
      </c>
      <c r="I637" t="s">
        <v>137</v>
      </c>
      <c r="J637">
        <v>0.04996749505263158</v>
      </c>
      <c r="K637">
        <v>1.4812649761945262</v>
      </c>
      <c r="L637">
        <v>0.062456483255560455</v>
      </c>
      <c r="M637">
        <v>0.3747388995333627</v>
      </c>
      <c r="N637">
        <v>1.8560038757278889</v>
      </c>
      <c r="O637" t="s">
        <v>90</v>
      </c>
      <c r="P637">
        <v>0</v>
      </c>
      <c r="Q637" t="s">
        <v>90</v>
      </c>
      <c r="R637">
        <v>0</v>
      </c>
      <c r="S637" t="s">
        <v>90</v>
      </c>
      <c r="T637">
        <v>0</v>
      </c>
      <c r="U637">
        <v>1.8560038757278889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60</v>
      </c>
      <c r="AB637">
        <v>1</v>
      </c>
      <c r="AC637">
        <v>0.50</v>
      </c>
      <c r="AD637">
        <v>0.50345253019720215</v>
      </c>
      <c r="AE637">
        <v>3620.70</v>
      </c>
      <c r="AF637">
        <v>200000</v>
      </c>
      <c r="AG637">
        <v>16666.666666666668</v>
      </c>
      <c r="AH637">
        <v>1</v>
      </c>
      <c r="AI637">
        <v>1</v>
      </c>
      <c r="AJ637" t="s">
        <v>136</v>
      </c>
      <c r="AK637" t="s">
        <v>137</v>
      </c>
      <c r="AL637">
        <v>0</v>
      </c>
      <c r="AM637" t="s">
        <v>137</v>
      </c>
      <c r="AN637">
        <v>0</v>
      </c>
    </row>
    <row r="638" spans="1:42" ht="12.75">
      <c r="A638" s="2" t="str">
        <f>HYPERLINK("https://ibp.a2mac1.com/costing(costing:projects/details/8191/process/6975367)","Automated Process")</f>
        <v>Automated Process</v>
      </c>
      <c r="C638">
        <v>6975367</v>
      </c>
      <c r="D638">
        <v>5388351</v>
      </c>
      <c r="E638">
        <v>0.67348990799999997</v>
      </c>
      <c r="F638">
        <v>0</v>
      </c>
      <c r="G638">
        <v>0</v>
      </c>
      <c r="H638">
        <v>0.0034163999343157893</v>
      </c>
      <c r="I638" t="s">
        <v>137</v>
      </c>
      <c r="J638">
        <v>0.023631224842105263</v>
      </c>
      <c r="K638">
        <v>0.70053753277642106</v>
      </c>
      <c r="L638">
        <v>0.32908379657960268</v>
      </c>
      <c r="M638">
        <v>1.974502779477616</v>
      </c>
      <c r="N638">
        <v>2.6750403122540369</v>
      </c>
      <c r="O638" t="s">
        <v>90</v>
      </c>
      <c r="P638">
        <v>0</v>
      </c>
      <c r="Q638" t="s">
        <v>90</v>
      </c>
      <c r="R638">
        <v>0</v>
      </c>
      <c r="S638" t="s">
        <v>90</v>
      </c>
      <c r="T638">
        <v>0</v>
      </c>
      <c r="U638">
        <v>2.6750403122540369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185</v>
      </c>
      <c r="AB638">
        <v>1</v>
      </c>
      <c r="AC638">
        <v>0.50</v>
      </c>
      <c r="AD638">
        <v>0.50345253019720215</v>
      </c>
      <c r="AE638">
        <v>10800</v>
      </c>
      <c r="AF638">
        <v>200000</v>
      </c>
      <c r="AG638">
        <v>16666.666666666668</v>
      </c>
      <c r="AH638">
        <v>1</v>
      </c>
      <c r="AI638">
        <v>1</v>
      </c>
      <c r="AJ638" t="s">
        <v>136</v>
      </c>
      <c r="AK638" t="s">
        <v>137</v>
      </c>
      <c r="AL638">
        <v>0</v>
      </c>
      <c r="AM638" t="s">
        <v>137</v>
      </c>
      <c r="AN638">
        <v>0</v>
      </c>
    </row>
    <row r="639" spans="1:42" ht="12.75">
      <c r="A639" s="2" t="str">
        <f>HYPERLINK("https://ibp.a2mac1.com/costing(costing:projects/details/8191/process/6975368)","Automated Process")</f>
        <v>Automated Process</v>
      </c>
      <c r="C639">
        <v>6975368</v>
      </c>
      <c r="D639">
        <v>5388352</v>
      </c>
      <c r="E639">
        <v>1.02633563025</v>
      </c>
      <c r="F639">
        <v>0</v>
      </c>
      <c r="G639">
        <v>0</v>
      </c>
      <c r="H639">
        <v>0.0052062739740000004</v>
      </c>
      <c r="I639" t="s">
        <v>137</v>
      </c>
      <c r="J639">
        <v>0.036011776500000002</v>
      </c>
      <c r="K639">
        <v>1.067553680724</v>
      </c>
      <c r="L639">
        <v>0.30259254060512053</v>
      </c>
      <c r="M639">
        <v>1.815555243630723</v>
      </c>
      <c r="N639">
        <v>2.883108924354723</v>
      </c>
      <c r="O639" t="s">
        <v>90</v>
      </c>
      <c r="P639">
        <v>0</v>
      </c>
      <c r="Q639" t="s">
        <v>90</v>
      </c>
      <c r="R639">
        <v>0</v>
      </c>
      <c r="S639" t="s">
        <v>90</v>
      </c>
      <c r="T639">
        <v>0</v>
      </c>
      <c r="U639">
        <v>2.883108924354723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170</v>
      </c>
      <c r="AB639">
        <v>1</v>
      </c>
      <c r="AC639">
        <v>0.50</v>
      </c>
      <c r="AD639">
        <v>0.50345253019720215</v>
      </c>
      <c r="AE639">
        <v>10800</v>
      </c>
      <c r="AF639">
        <v>200000</v>
      </c>
      <c r="AG639">
        <v>16666.666666666668</v>
      </c>
      <c r="AH639">
        <v>1</v>
      </c>
      <c r="AI639">
        <v>1</v>
      </c>
      <c r="AJ639" t="s">
        <v>136</v>
      </c>
      <c r="AK639" t="s">
        <v>137</v>
      </c>
      <c r="AL639">
        <v>0</v>
      </c>
      <c r="AM639" t="s">
        <v>137</v>
      </c>
      <c r="AN639">
        <v>0</v>
      </c>
    </row>
    <row r="640" spans="1:42" ht="12.75">
      <c r="A640" s="2" t="str">
        <f>HYPERLINK("https://ibp.a2mac1.com/costing(costing:projects/details/8191/process/6975369)","Automated Process")</f>
        <v>Automated Process</v>
      </c>
      <c r="C640">
        <v>6975369</v>
      </c>
      <c r="D640">
        <v>5388353</v>
      </c>
      <c r="E640">
        <v>0.601063134</v>
      </c>
      <c r="F640">
        <v>0</v>
      </c>
      <c r="G640">
        <v>0</v>
      </c>
      <c r="H640">
        <v>0.0030490019629473685</v>
      </c>
      <c r="I640" t="s">
        <v>137</v>
      </c>
      <c r="J640">
        <v>0.021089934526315791</v>
      </c>
      <c r="K640">
        <v>0.62520207048926313</v>
      </c>
      <c r="L640">
        <v>0.026309773348281128</v>
      </c>
      <c r="M640">
        <v>0.15785864008968678</v>
      </c>
      <c r="N640">
        <v>0.78306071057894988</v>
      </c>
      <c r="O640" t="s">
        <v>90</v>
      </c>
      <c r="P640">
        <v>0</v>
      </c>
      <c r="Q640" t="s">
        <v>90</v>
      </c>
      <c r="R640">
        <v>0</v>
      </c>
      <c r="S640" t="s">
        <v>90</v>
      </c>
      <c r="T640">
        <v>0</v>
      </c>
      <c r="U640">
        <v>0.78306071057894988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60</v>
      </c>
      <c r="AB640">
        <v>1</v>
      </c>
      <c r="AC640">
        <v>0.50</v>
      </c>
      <c r="AD640">
        <v>0.50345253019720215</v>
      </c>
      <c r="AE640">
        <v>1528.20</v>
      </c>
      <c r="AF640">
        <v>200000</v>
      </c>
      <c r="AG640">
        <v>16666.666666666668</v>
      </c>
      <c r="AH640">
        <v>1</v>
      </c>
      <c r="AI640">
        <v>1</v>
      </c>
      <c r="AJ640" t="s">
        <v>136</v>
      </c>
      <c r="AK640" t="s">
        <v>137</v>
      </c>
      <c r="AL640">
        <v>0</v>
      </c>
      <c r="AM640" t="s">
        <v>137</v>
      </c>
      <c r="AN640">
        <v>0</v>
      </c>
    </row>
    <row r="641" spans="1:42" ht="12.75">
      <c r="A641" s="2" t="str">
        <f>HYPERLINK("https://ibp.a2mac1.com/costing(costing:projects/details/8191/process/6975370)","Automated Process")</f>
        <v>Automated Process</v>
      </c>
      <c r="C641">
        <v>6975370</v>
      </c>
      <c r="D641">
        <v>5388354</v>
      </c>
      <c r="E641">
        <v>0.0026536335</v>
      </c>
      <c r="F641">
        <v>0</v>
      </c>
      <c r="G641">
        <v>0</v>
      </c>
      <c r="H641">
        <v>1.3461038105263157E-05</v>
      </c>
      <c r="I641" t="s">
        <v>137</v>
      </c>
      <c r="J641">
        <v>9.3109947368421049E-05</v>
      </c>
      <c r="K641">
        <v>0.0027602044854736843</v>
      </c>
      <c r="L641">
        <v>4.6417458453793706E-05</v>
      </c>
      <c r="M641">
        <v>0.00027850475072276222</v>
      </c>
      <c r="N641">
        <v>0.0030387092361964466</v>
      </c>
      <c r="O641" t="s">
        <v>90</v>
      </c>
      <c r="P641">
        <v>0</v>
      </c>
      <c r="Q641" t="s">
        <v>90</v>
      </c>
      <c r="R641">
        <v>0</v>
      </c>
      <c r="S641" t="s">
        <v>90</v>
      </c>
      <c r="T641">
        <v>0</v>
      </c>
      <c r="U641">
        <v>0.0030387092361964466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60</v>
      </c>
      <c r="AB641">
        <v>1</v>
      </c>
      <c r="AC641">
        <v>0.50</v>
      </c>
      <c r="AD641">
        <v>0.50345253019720215</v>
      </c>
      <c r="AE641">
        <v>2.70</v>
      </c>
      <c r="AF641">
        <v>200000</v>
      </c>
      <c r="AG641">
        <v>16666.666666666668</v>
      </c>
      <c r="AH641">
        <v>1</v>
      </c>
      <c r="AI641">
        <v>1</v>
      </c>
      <c r="AJ641" t="s">
        <v>136</v>
      </c>
      <c r="AK641" t="s">
        <v>137</v>
      </c>
      <c r="AL641">
        <v>0</v>
      </c>
      <c r="AM641" t="s">
        <v>137</v>
      </c>
      <c r="AN641">
        <v>0</v>
      </c>
    </row>
    <row r="642" spans="1:42" ht="12.75">
      <c r="A642" s="2" t="str">
        <f>HYPERLINK("https://ibp.a2mac1.com/costing(costing:projects/details/8191/process/6975603)","Injection molding")</f>
        <v>Injection molding</v>
      </c>
      <c r="B642" t="s">
        <v>4715</v>
      </c>
      <c r="C642">
        <v>6975603</v>
      </c>
      <c r="D642">
        <v>5388745</v>
      </c>
      <c r="E642">
        <v>0.072233279999999997</v>
      </c>
      <c r="F642">
        <v>0</v>
      </c>
      <c r="G642">
        <v>0</v>
      </c>
      <c r="H642">
        <v>0.00036641643789473685</v>
      </c>
      <c r="I642" t="s">
        <v>137</v>
      </c>
      <c r="J642">
        <v>0.002534501052631579</v>
      </c>
      <c r="K642">
        <v>0.075134197490526314</v>
      </c>
      <c r="L642">
        <v>0.0013926257515536702</v>
      </c>
      <c r="M642">
        <v>0.0083557545093220203</v>
      </c>
      <c r="N642">
        <v>0.083489951999848336</v>
      </c>
      <c r="O642" t="s">
        <v>138</v>
      </c>
      <c r="P642">
        <v>0.0045080518494315788</v>
      </c>
      <c r="Q642" t="s">
        <v>138</v>
      </c>
      <c r="R642">
        <v>0.0005013452705593213</v>
      </c>
      <c r="S642" t="s">
        <v>139</v>
      </c>
      <c r="T642">
        <v>0.010018794239981801</v>
      </c>
      <c r="U642">
        <v>0.098518143359821037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60</v>
      </c>
      <c r="AB642">
        <v>1</v>
      </c>
      <c r="AC642">
        <v>0.50</v>
      </c>
      <c r="AD642">
        <v>0.50345253019720215</v>
      </c>
      <c r="AE642">
        <v>81</v>
      </c>
      <c r="AF642">
        <v>200000</v>
      </c>
      <c r="AG642">
        <v>16666.666666666668</v>
      </c>
      <c r="AH642">
        <v>1</v>
      </c>
      <c r="AI642">
        <v>1</v>
      </c>
      <c r="AJ642" t="s">
        <v>136</v>
      </c>
      <c r="AK642" t="s">
        <v>137</v>
      </c>
      <c r="AL642">
        <v>0</v>
      </c>
      <c r="AM642" t="s">
        <v>137</v>
      </c>
      <c r="AN642">
        <v>0</v>
      </c>
    </row>
    <row r="643" spans="1:42" ht="12.75">
      <c r="A643" s="2" t="str">
        <f>HYPERLINK("https://ibp.a2mac1.com/costing(costing:projects/details/8191/process/6975605)","Injection molding")</f>
        <v>Injection molding</v>
      </c>
      <c r="C643">
        <v>6975605</v>
      </c>
      <c r="D643">
        <v>5388746</v>
      </c>
      <c r="E643">
        <v>0.21731213610386049</v>
      </c>
      <c r="F643">
        <v>0</v>
      </c>
      <c r="G643">
        <v>0</v>
      </c>
      <c r="H643">
        <v>0.00044810231988837119</v>
      </c>
      <c r="I643" t="s">
        <v>137</v>
      </c>
      <c r="J643">
        <v>0.0076133889301422284</v>
      </c>
      <c r="K643">
        <v>0.2253736273538911</v>
      </c>
      <c r="L643">
        <v>0.012574065505521207</v>
      </c>
      <c r="M643">
        <v>0.075444393033127249</v>
      </c>
      <c r="N643">
        <v>0.30081802038701833</v>
      </c>
      <c r="O643" t="s">
        <v>138</v>
      </c>
      <c r="P643">
        <v>0.013522417641233466</v>
      </c>
      <c r="Q643" t="s">
        <v>138</v>
      </c>
      <c r="R643">
        <v>0.0045266635819876345</v>
      </c>
      <c r="S643" t="s">
        <v>139</v>
      </c>
      <c r="T643">
        <v>0.036098162446442199</v>
      </c>
      <c r="U643">
        <v>0.35496526405668166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26.80114</v>
      </c>
      <c r="AB643">
        <v>1</v>
      </c>
      <c r="AC643">
        <v>0.10</v>
      </c>
      <c r="AD643">
        <v>0.20557651238448796</v>
      </c>
      <c r="AE643">
        <v>7200</v>
      </c>
      <c r="AF643">
        <v>200000</v>
      </c>
      <c r="AG643">
        <v>16666.666666666668</v>
      </c>
      <c r="AH643">
        <v>1</v>
      </c>
      <c r="AI643">
        <v>1</v>
      </c>
      <c r="AJ643" t="s">
        <v>136</v>
      </c>
      <c r="AK643" t="s">
        <v>137</v>
      </c>
      <c r="AL643">
        <v>0</v>
      </c>
      <c r="AM643" t="s">
        <v>137</v>
      </c>
      <c r="AN643">
        <v>0</v>
      </c>
    </row>
    <row r="644" spans="1:42" ht="12.75">
      <c r="A644" s="2" t="str">
        <f>HYPERLINK("https://ibp.a2mac1.com/costing(costing:projects/details/8191/process/6975604)","Handling/Visual Inspection/Packaging")</f>
        <v>Handling/Visual Inspection/Packaging</v>
      </c>
      <c r="C644">
        <v>6975604</v>
      </c>
      <c r="D644">
        <v>5388746</v>
      </c>
      <c r="E644">
        <v>0</v>
      </c>
      <c r="F644">
        <v>0</v>
      </c>
      <c r="G644">
        <v>0</v>
      </c>
      <c r="H644">
        <v>0</v>
      </c>
      <c r="I644" t="s">
        <v>137</v>
      </c>
      <c r="J644">
        <v>0</v>
      </c>
      <c r="K644">
        <v>0</v>
      </c>
      <c r="L644">
        <v>0.0086216394843006</v>
      </c>
      <c r="M644">
        <v>0.0517298369058036</v>
      </c>
      <c r="N644">
        <v>0.0517298369058036</v>
      </c>
      <c r="O644" t="s">
        <v>138</v>
      </c>
      <c r="P644">
        <v>0</v>
      </c>
      <c r="Q644" t="s">
        <v>138</v>
      </c>
      <c r="R644">
        <v>0.0031037902143482162</v>
      </c>
      <c r="S644" t="s">
        <v>139</v>
      </c>
      <c r="T644">
        <v>0.0062075804286964324</v>
      </c>
      <c r="U644">
        <v>0.061041207548848252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30</v>
      </c>
      <c r="AB644">
        <v>1</v>
      </c>
      <c r="AC644">
        <v>0.10</v>
      </c>
      <c r="AD644">
        <v>0.10389195236953569</v>
      </c>
      <c r="AE644">
        <v>900</v>
      </c>
      <c r="AF644">
        <v>200000</v>
      </c>
      <c r="AG644">
        <v>16666.666666666668</v>
      </c>
      <c r="AH644">
        <v>1</v>
      </c>
      <c r="AI644">
        <v>1</v>
      </c>
      <c r="AJ644" t="s">
        <v>136</v>
      </c>
      <c r="AK644" t="s">
        <v>137</v>
      </c>
      <c r="AL644">
        <v>0</v>
      </c>
      <c r="AM644" t="s">
        <v>137</v>
      </c>
      <c r="AN644">
        <v>0</v>
      </c>
    </row>
    <row r="645" spans="1:42" ht="12.75">
      <c r="A645" s="2" t="str">
        <f>HYPERLINK("https://ibp.a2mac1.com/costing(costing:projects/details/8191/process/6975606)","Injection molding")</f>
        <v>Injection molding</v>
      </c>
      <c r="C645">
        <v>6975606</v>
      </c>
      <c r="D645">
        <v>5388748</v>
      </c>
      <c r="E645">
        <v>0.20263788362206139</v>
      </c>
      <c r="F645">
        <v>0</v>
      </c>
      <c r="G645">
        <v>0</v>
      </c>
      <c r="H645">
        <v>0.00041743404026144647</v>
      </c>
      <c r="I645" t="s">
        <v>137</v>
      </c>
      <c r="J645">
        <v>0.0070923259267721486</v>
      </c>
      <c r="K645">
        <v>0.21014764358909496</v>
      </c>
      <c r="L645">
        <v>0.007899167688106749</v>
      </c>
      <c r="M645">
        <v>0.047395006128640491</v>
      </c>
      <c r="N645">
        <v>0.25754264971773544</v>
      </c>
      <c r="O645" t="s">
        <v>138</v>
      </c>
      <c r="P645">
        <v>0.012608858615345699</v>
      </c>
      <c r="Q645" t="s">
        <v>138</v>
      </c>
      <c r="R645">
        <v>0.0028437003677184293</v>
      </c>
      <c r="S645" t="s">
        <v>139</v>
      </c>
      <c r="T645">
        <v>0.030905117966128257</v>
      </c>
      <c r="U645">
        <v>0.30390032666692784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17.712309999999999</v>
      </c>
      <c r="AB645">
        <v>1</v>
      </c>
      <c r="AC645">
        <v>0.10</v>
      </c>
      <c r="AD645">
        <v>0.20557651238448796</v>
      </c>
      <c r="AE645">
        <v>7200</v>
      </c>
      <c r="AF645">
        <v>200000</v>
      </c>
      <c r="AG645">
        <v>16666.666666666668</v>
      </c>
      <c r="AH645">
        <v>1</v>
      </c>
      <c r="AI645">
        <v>1</v>
      </c>
      <c r="AJ645" t="s">
        <v>136</v>
      </c>
      <c r="AK645" t="s">
        <v>137</v>
      </c>
      <c r="AL645">
        <v>0</v>
      </c>
      <c r="AM645" t="s">
        <v>137</v>
      </c>
      <c r="AN645">
        <v>0</v>
      </c>
    </row>
    <row r="646" spans="1:42" ht="12.75">
      <c r="A646" s="2" t="str">
        <f>HYPERLINK("https://ibp.a2mac1.com/costing(costing:projects/details/8191/process/6975607)","Handling/Visual Inspection/Packaging")</f>
        <v>Handling/Visual Inspection/Packaging</v>
      </c>
      <c r="C646">
        <v>6975607</v>
      </c>
      <c r="D646">
        <v>5388748</v>
      </c>
      <c r="E646">
        <v>0</v>
      </c>
      <c r="F646">
        <v>0</v>
      </c>
      <c r="G646">
        <v>0</v>
      </c>
      <c r="H646">
        <v>0</v>
      </c>
      <c r="I646" t="s">
        <v>137</v>
      </c>
      <c r="J646">
        <v>0</v>
      </c>
      <c r="K646">
        <v>0</v>
      </c>
      <c r="L646">
        <v>0.0086216394843006</v>
      </c>
      <c r="M646">
        <v>0.0517298369058036</v>
      </c>
      <c r="N646">
        <v>0.0517298369058036</v>
      </c>
      <c r="O646" t="s">
        <v>138</v>
      </c>
      <c r="P646">
        <v>0</v>
      </c>
      <c r="Q646" t="s">
        <v>138</v>
      </c>
      <c r="R646">
        <v>0.0031037902143482162</v>
      </c>
      <c r="S646" t="s">
        <v>139</v>
      </c>
      <c r="T646">
        <v>0.0062075804286964324</v>
      </c>
      <c r="U646">
        <v>0.061041207548848252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30</v>
      </c>
      <c r="AB646">
        <v>1</v>
      </c>
      <c r="AC646">
        <v>0.10</v>
      </c>
      <c r="AD646">
        <v>0.10389195236953569</v>
      </c>
      <c r="AE646">
        <v>900</v>
      </c>
      <c r="AF646">
        <v>200000</v>
      </c>
      <c r="AG646">
        <v>16666.666666666668</v>
      </c>
      <c r="AH646">
        <v>1</v>
      </c>
      <c r="AI646">
        <v>1</v>
      </c>
      <c r="AJ646" t="s">
        <v>136</v>
      </c>
      <c r="AK646" t="s">
        <v>137</v>
      </c>
      <c r="AL646">
        <v>0</v>
      </c>
      <c r="AM646" t="s">
        <v>137</v>
      </c>
      <c r="AN646">
        <v>0</v>
      </c>
    </row>
    <row r="647" spans="1:42" ht="12.75">
      <c r="A647" s="2" t="str">
        <f>HYPERLINK("https://ibp.a2mac1.com/costing(costing:projects/details/8191/process/6975608)","Injection molding")</f>
        <v>Injection molding</v>
      </c>
      <c r="C647">
        <v>6975608</v>
      </c>
      <c r="D647">
        <v>5388749</v>
      </c>
      <c r="E647">
        <v>0.41690611150191759</v>
      </c>
      <c r="F647">
        <v>0</v>
      </c>
      <c r="G647">
        <v>0</v>
      </c>
      <c r="H647">
        <v>0.00085966940958310558</v>
      </c>
      <c r="I647" t="s">
        <v>137</v>
      </c>
      <c r="J647">
        <v>0.014606033657965384</v>
      </c>
      <c r="K647">
        <v>0.43237181456946611</v>
      </c>
      <c r="L647">
        <v>0.012426812663343759</v>
      </c>
      <c r="M647">
        <v>0.074560875980062558</v>
      </c>
      <c r="N647">
        <v>0.50693269054952861</v>
      </c>
      <c r="O647" t="s">
        <v>138</v>
      </c>
      <c r="P647">
        <v>0.025942308874167964</v>
      </c>
      <c r="Q647" t="s">
        <v>138</v>
      </c>
      <c r="R647">
        <v>0.0044736525588037531</v>
      </c>
      <c r="S647" t="s">
        <v>139</v>
      </c>
      <c r="T647">
        <v>0.060831922865943439</v>
      </c>
      <c r="U647">
        <v>0.59818057484844378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19.276399999999999</v>
      </c>
      <c r="AB647">
        <v>1</v>
      </c>
      <c r="AC647">
        <v>0.10</v>
      </c>
      <c r="AD647">
        <v>0.20557651238448796</v>
      </c>
      <c r="AE647">
        <v>7200</v>
      </c>
      <c r="AF647">
        <v>200000</v>
      </c>
      <c r="AG647">
        <v>16666.666666666668</v>
      </c>
      <c r="AH647">
        <v>1</v>
      </c>
      <c r="AI647">
        <v>1</v>
      </c>
      <c r="AJ647" t="s">
        <v>136</v>
      </c>
      <c r="AK647" t="s">
        <v>137</v>
      </c>
      <c r="AL647">
        <v>0</v>
      </c>
      <c r="AM647" t="s">
        <v>137</v>
      </c>
      <c r="AN647">
        <v>0</v>
      </c>
    </row>
    <row r="648" spans="1:42" ht="12.75">
      <c r="A648" s="2" t="str">
        <f>HYPERLINK("https://ibp.a2mac1.com/costing(costing:projects/details/8191/process/6975609)","Handling/Visual Inspection/Packaging")</f>
        <v>Handling/Visual Inspection/Packaging</v>
      </c>
      <c r="C648">
        <v>6975609</v>
      </c>
      <c r="D648">
        <v>5388749</v>
      </c>
      <c r="E648">
        <v>0</v>
      </c>
      <c r="F648">
        <v>0</v>
      </c>
      <c r="G648">
        <v>0</v>
      </c>
      <c r="H648">
        <v>0</v>
      </c>
      <c r="I648" t="s">
        <v>137</v>
      </c>
      <c r="J648">
        <v>0</v>
      </c>
      <c r="K648">
        <v>0</v>
      </c>
      <c r="L648">
        <v>0.0086216394843006</v>
      </c>
      <c r="M648">
        <v>0.0517298369058036</v>
      </c>
      <c r="N648">
        <v>0.0517298369058036</v>
      </c>
      <c r="O648" t="s">
        <v>138</v>
      </c>
      <c r="P648">
        <v>0</v>
      </c>
      <c r="Q648" t="s">
        <v>138</v>
      </c>
      <c r="R648">
        <v>0.0031037902143482162</v>
      </c>
      <c r="S648" t="s">
        <v>139</v>
      </c>
      <c r="T648">
        <v>0.0062075804286964324</v>
      </c>
      <c r="U648">
        <v>0.061041207548848252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30</v>
      </c>
      <c r="AB648">
        <v>1</v>
      </c>
      <c r="AC648">
        <v>0.10</v>
      </c>
      <c r="AD648">
        <v>0.10389195236953569</v>
      </c>
      <c r="AE648">
        <v>900</v>
      </c>
      <c r="AF648">
        <v>200000</v>
      </c>
      <c r="AG648">
        <v>16666.666666666668</v>
      </c>
      <c r="AH648">
        <v>1</v>
      </c>
      <c r="AI648">
        <v>1</v>
      </c>
      <c r="AJ648" t="s">
        <v>136</v>
      </c>
      <c r="AK648" t="s">
        <v>137</v>
      </c>
      <c r="AL648">
        <v>0</v>
      </c>
      <c r="AM648" t="s">
        <v>137</v>
      </c>
      <c r="AN648">
        <v>0</v>
      </c>
    </row>
    <row r="649" spans="1:42" ht="12.75">
      <c r="A649" s="2" t="str">
        <f>HYPERLINK("https://ibp.a2mac1.com/costing(costing:projects/details/8191/process/6975611)","Injection molding")</f>
        <v>Injection molding</v>
      </c>
      <c r="C649">
        <v>6975611</v>
      </c>
      <c r="D649">
        <v>5388750</v>
      </c>
      <c r="E649">
        <v>0.17250239910609633</v>
      </c>
      <c r="F649">
        <v>0</v>
      </c>
      <c r="G649">
        <v>0</v>
      </c>
      <c r="H649">
        <v>0.00035570367404058785</v>
      </c>
      <c r="I649" t="s">
        <v>137</v>
      </c>
      <c r="J649">
        <v>0.0060435090249614442</v>
      </c>
      <c r="K649">
        <v>0.17890161180509837</v>
      </c>
      <c r="L649">
        <v>0.011044225074770136</v>
      </c>
      <c r="M649">
        <v>0.066265350448620808</v>
      </c>
      <c r="N649">
        <v>0.24516696225371917</v>
      </c>
      <c r="O649" t="s">
        <v>138</v>
      </c>
      <c r="P649">
        <v>0.010734096708305902</v>
      </c>
      <c r="Q649" t="s">
        <v>138</v>
      </c>
      <c r="R649">
        <v>0.0039759210269172491</v>
      </c>
      <c r="S649" t="s">
        <v>139</v>
      </c>
      <c r="T649">
        <v>0.029420035470446301</v>
      </c>
      <c r="U649">
        <v>0.28929701545938863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28.62304</v>
      </c>
      <c r="AB649">
        <v>1</v>
      </c>
      <c r="AC649">
        <v>0.10</v>
      </c>
      <c r="AD649">
        <v>0.20557651238448796</v>
      </c>
      <c r="AE649">
        <v>7200</v>
      </c>
      <c r="AF649">
        <v>200000</v>
      </c>
      <c r="AG649">
        <v>16666.666666666668</v>
      </c>
      <c r="AH649">
        <v>1</v>
      </c>
      <c r="AI649">
        <v>1</v>
      </c>
      <c r="AJ649" t="s">
        <v>136</v>
      </c>
      <c r="AK649" t="s">
        <v>137</v>
      </c>
      <c r="AL649">
        <v>0</v>
      </c>
      <c r="AM649" t="s">
        <v>137</v>
      </c>
      <c r="AN649">
        <v>0</v>
      </c>
    </row>
    <row r="650" spans="1:42" ht="12.75">
      <c r="A650" s="2" t="str">
        <f>HYPERLINK("https://ibp.a2mac1.com/costing(costing:projects/details/8191/process/6975610)","Handling/Visual Inspection/Packaging")</f>
        <v>Handling/Visual Inspection/Packaging</v>
      </c>
      <c r="C650">
        <v>6975610</v>
      </c>
      <c r="D650">
        <v>5388750</v>
      </c>
      <c r="E650">
        <v>0</v>
      </c>
      <c r="F650">
        <v>0</v>
      </c>
      <c r="G650">
        <v>0</v>
      </c>
      <c r="H650">
        <v>0</v>
      </c>
      <c r="I650" t="s">
        <v>137</v>
      </c>
      <c r="J650">
        <v>0</v>
      </c>
      <c r="K650">
        <v>0</v>
      </c>
      <c r="L650">
        <v>0.0086216394843006</v>
      </c>
      <c r="M650">
        <v>0.0517298369058036</v>
      </c>
      <c r="N650">
        <v>0.0517298369058036</v>
      </c>
      <c r="O650" t="s">
        <v>138</v>
      </c>
      <c r="P650">
        <v>0</v>
      </c>
      <c r="Q650" t="s">
        <v>138</v>
      </c>
      <c r="R650">
        <v>0.0031037902143482162</v>
      </c>
      <c r="S650" t="s">
        <v>139</v>
      </c>
      <c r="T650">
        <v>0.0062075804286964324</v>
      </c>
      <c r="U650">
        <v>0.061041207548848252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30</v>
      </c>
      <c r="AB650">
        <v>1</v>
      </c>
      <c r="AC650">
        <v>0.10</v>
      </c>
      <c r="AD650">
        <v>0.10389195236953569</v>
      </c>
      <c r="AE650">
        <v>900</v>
      </c>
      <c r="AF650">
        <v>200000</v>
      </c>
      <c r="AG650">
        <v>16666.666666666668</v>
      </c>
      <c r="AH650">
        <v>1</v>
      </c>
      <c r="AI650">
        <v>1</v>
      </c>
      <c r="AJ650" t="s">
        <v>136</v>
      </c>
      <c r="AK650" t="s">
        <v>137</v>
      </c>
      <c r="AL650">
        <v>0</v>
      </c>
      <c r="AM650" t="s">
        <v>137</v>
      </c>
      <c r="AN650">
        <v>0</v>
      </c>
    </row>
    <row r="651" spans="1:42" ht="12.75">
      <c r="A651" s="2" t="str">
        <f>HYPERLINK("https://ibp.a2mac1.com/costing(costing:projects/details/8191/process/6975612)","Injection molding")</f>
        <v>Injection molding</v>
      </c>
      <c r="B651" t="s">
        <v>4715</v>
      </c>
      <c r="C651">
        <v>6975612</v>
      </c>
      <c r="D651">
        <v>5388751</v>
      </c>
      <c r="E651">
        <v>0.04815552</v>
      </c>
      <c r="F651">
        <v>0</v>
      </c>
      <c r="G651">
        <v>0</v>
      </c>
      <c r="H651">
        <v>0.00024427762526315792</v>
      </c>
      <c r="I651" t="s">
        <v>137</v>
      </c>
      <c r="J651">
        <v>0.0016896673684210527</v>
      </c>
      <c r="K651">
        <v>0.050089464993684212</v>
      </c>
      <c r="L651">
        <v>0.00092839371990018039</v>
      </c>
      <c r="M651">
        <v>0.0055703623194010825</v>
      </c>
      <c r="N651">
        <v>0.055659827313085296</v>
      </c>
      <c r="O651" t="s">
        <v>138</v>
      </c>
      <c r="P651">
        <v>0.0030053678996210527</v>
      </c>
      <c r="Q651" t="s">
        <v>138</v>
      </c>
      <c r="R651">
        <v>0.00033422173916406491</v>
      </c>
      <c r="S651" t="s">
        <v>139</v>
      </c>
      <c r="T651">
        <v>0.0066791792775702354</v>
      </c>
      <c r="U651">
        <v>0.065678596229440639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60</v>
      </c>
      <c r="AB651">
        <v>1</v>
      </c>
      <c r="AC651">
        <v>0.50</v>
      </c>
      <c r="AD651">
        <v>0.50345253019720215</v>
      </c>
      <c r="AE651">
        <v>54</v>
      </c>
      <c r="AF651">
        <v>200000</v>
      </c>
      <c r="AG651">
        <v>16666.666666666668</v>
      </c>
      <c r="AH651">
        <v>1</v>
      </c>
      <c r="AI651">
        <v>1</v>
      </c>
      <c r="AJ651" t="s">
        <v>136</v>
      </c>
      <c r="AK651" t="s">
        <v>137</v>
      </c>
      <c r="AL651">
        <v>0</v>
      </c>
      <c r="AM651" t="s">
        <v>137</v>
      </c>
      <c r="AN651">
        <v>0</v>
      </c>
    </row>
    <row r="652" spans="1:42" ht="12.75">
      <c r="A652" s="2" t="str">
        <f>HYPERLINK("https://ibp.a2mac1.com/costing(costing:projects/details/8191/process/6975613)","Injection molding")</f>
        <v>Injection molding</v>
      </c>
      <c r="B652" t="s">
        <v>4715</v>
      </c>
      <c r="C652">
        <v>6975613</v>
      </c>
      <c r="D652">
        <v>5388754</v>
      </c>
      <c r="E652">
        <v>0.00661156125</v>
      </c>
      <c r="F652">
        <v>0</v>
      </c>
      <c r="G652">
        <v>0</v>
      </c>
      <c r="H652">
        <v>3.3538345789473684E-05</v>
      </c>
      <c r="I652" t="s">
        <v>137</v>
      </c>
      <c r="J652">
        <v>0.00023198460526315789</v>
      </c>
      <c r="K652">
        <v>0.0068770842010526315</v>
      </c>
      <c r="L652">
        <v>0.00023208817156155354</v>
      </c>
      <c r="M652">
        <v>0.0013925290293693212</v>
      </c>
      <c r="N652">
        <v>0.0082696132304219527</v>
      </c>
      <c r="O652" t="s">
        <v>138</v>
      </c>
      <c r="P652">
        <v>0.00041262505206315789</v>
      </c>
      <c r="Q652" t="s">
        <v>138</v>
      </c>
      <c r="R652">
        <v>8.3551741762159277E-05</v>
      </c>
      <c r="S652" t="s">
        <v>139</v>
      </c>
      <c r="T652">
        <v>0.00099235358765063439</v>
      </c>
      <c r="U652">
        <v>0.0097581436118979042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60</v>
      </c>
      <c r="AB652">
        <v>1</v>
      </c>
      <c r="AC652">
        <v>0.50</v>
      </c>
      <c r="AD652">
        <v>0.50345253019720215</v>
      </c>
      <c r="AE652">
        <v>13.50</v>
      </c>
      <c r="AF652">
        <v>200000</v>
      </c>
      <c r="AG652">
        <v>16666.666666666668</v>
      </c>
      <c r="AH652">
        <v>1</v>
      </c>
      <c r="AI652">
        <v>1</v>
      </c>
      <c r="AJ652" t="s">
        <v>136</v>
      </c>
      <c r="AK652" t="s">
        <v>137</v>
      </c>
      <c r="AL652">
        <v>0</v>
      </c>
      <c r="AM652" t="s">
        <v>137</v>
      </c>
      <c r="AN652">
        <v>0</v>
      </c>
    </row>
    <row r="653" spans="1:42" ht="12.75">
      <c r="A653" s="2" t="str">
        <f>HYPERLINK("https://ibp.a2mac1.com/costing(costing:projects/details/8191/process/6975380)","Assembly")</f>
        <v>Assembly</v>
      </c>
      <c r="C653">
        <v>6975380</v>
      </c>
      <c r="D653">
        <v>5388363</v>
      </c>
      <c r="E653">
        <v>0</v>
      </c>
      <c r="F653">
        <v>0</v>
      </c>
      <c r="G653">
        <v>0</v>
      </c>
      <c r="H653">
        <v>0</v>
      </c>
      <c r="I653" t="s">
        <v>90</v>
      </c>
      <c r="J653">
        <v>0</v>
      </c>
      <c r="K653">
        <v>0</v>
      </c>
      <c r="L653">
        <v>0</v>
      </c>
      <c r="M653">
        <v>0.39420764387300394</v>
      </c>
      <c r="N653">
        <v>0.39420764387300394</v>
      </c>
      <c r="O653" t="s">
        <v>90</v>
      </c>
      <c r="P653">
        <v>0</v>
      </c>
      <c r="Q653" t="s">
        <v>90</v>
      </c>
      <c r="R653">
        <v>0</v>
      </c>
      <c r="S653" t="s">
        <v>90</v>
      </c>
      <c r="T653">
        <v>0</v>
      </c>
      <c r="U653">
        <v>0.39420764387300394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60</v>
      </c>
      <c r="AB653">
        <v>1</v>
      </c>
      <c r="AC653">
        <v>1.99</v>
      </c>
      <c r="AD653">
        <v>1.9992159937279499</v>
      </c>
      <c r="AE653">
        <v>1800</v>
      </c>
      <c r="AF653">
        <v>200000</v>
      </c>
      <c r="AG653">
        <v>10000</v>
      </c>
      <c r="AH653">
        <v>1</v>
      </c>
      <c r="AI653">
        <v>1</v>
      </c>
      <c r="AJ653" t="s">
        <v>79</v>
      </c>
      <c r="AK653" t="s">
        <v>90</v>
      </c>
      <c r="AL653">
        <v>0</v>
      </c>
      <c r="AM653" t="s">
        <v>90</v>
      </c>
      <c r="AN653">
        <v>0</v>
      </c>
      <c r="AP653">
        <v>0</v>
      </c>
    </row>
    <row r="654" spans="1:42" ht="12.75">
      <c r="A654" s="2" t="str">
        <f>HYPERLINK("https://ibp.a2mac1.com/costing(costing:projects/details/8191/process/6975371)","Process")</f>
        <v>Process</v>
      </c>
      <c r="C654">
        <v>6975371</v>
      </c>
      <c r="D654">
        <v>5388356</v>
      </c>
      <c r="E654">
        <v>0</v>
      </c>
      <c r="F654">
        <v>0</v>
      </c>
      <c r="G654">
        <v>0</v>
      </c>
      <c r="H654">
        <v>0</v>
      </c>
      <c r="I654" t="s">
        <v>137</v>
      </c>
      <c r="J654">
        <v>0</v>
      </c>
      <c r="K654">
        <v>0</v>
      </c>
      <c r="L654">
        <v>0.10844100670092785</v>
      </c>
      <c r="M654">
        <v>0.65064604020556704</v>
      </c>
      <c r="N654">
        <v>0.65064604020556704</v>
      </c>
      <c r="O654" t="s">
        <v>138</v>
      </c>
      <c r="P654">
        <v>0</v>
      </c>
      <c r="Q654" t="s">
        <v>138</v>
      </c>
      <c r="R654">
        <v>0.039038762412334026</v>
      </c>
      <c r="S654" t="s">
        <v>139</v>
      </c>
      <c r="T654">
        <v>0.078077524824668051</v>
      </c>
      <c r="U654">
        <v>0.76776232744256911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95</v>
      </c>
      <c r="AB654">
        <v>1</v>
      </c>
      <c r="AC654">
        <v>5</v>
      </c>
      <c r="AD654">
        <v>5.0007599939200489</v>
      </c>
      <c r="AE654">
        <v>216</v>
      </c>
      <c r="AF654">
        <v>200000</v>
      </c>
      <c r="AG654">
        <v>16666.666666666668</v>
      </c>
      <c r="AH654">
        <v>1</v>
      </c>
      <c r="AI654">
        <v>1</v>
      </c>
      <c r="AJ654" t="s">
        <v>136</v>
      </c>
      <c r="AK654" t="s">
        <v>137</v>
      </c>
      <c r="AL654">
        <v>0</v>
      </c>
      <c r="AM654" t="s">
        <v>137</v>
      </c>
      <c r="AN654">
        <v>0</v>
      </c>
    </row>
    <row r="655" spans="1:42" ht="12.75">
      <c r="A655" s="2" t="str">
        <f>HYPERLINK("https://ibp.a2mac1.com/costing(costing:projects/details/8191/process/6975373)","Stamping ")</f>
        <v xml:space="preserve">Stamping </v>
      </c>
      <c r="B655" t="s">
        <v>4771</v>
      </c>
      <c r="C655">
        <v>6975373</v>
      </c>
      <c r="D655">
        <v>5388357</v>
      </c>
      <c r="E655">
        <v>0.079468999999999998</v>
      </c>
      <c r="F655">
        <v>0</v>
      </c>
      <c r="G655">
        <v>0</v>
      </c>
      <c r="H655">
        <v>0.0006200328571428572</v>
      </c>
      <c r="I655" t="s">
        <v>137</v>
      </c>
      <c r="J655">
        <v>0.0030565000000000002</v>
      </c>
      <c r="K655">
        <v>0.083145532857142851</v>
      </c>
      <c r="L655">
        <v>0.0002633609256231051</v>
      </c>
      <c r="M655">
        <v>0.0015801655537386306</v>
      </c>
      <c r="N655">
        <v>0.084725698410881484</v>
      </c>
      <c r="O655" t="s">
        <v>138</v>
      </c>
      <c r="P655">
        <v>0.0049887319714285719</v>
      </c>
      <c r="Q655" t="s">
        <v>138</v>
      </c>
      <c r="R655">
        <v>9.4809933224317843E-05</v>
      </c>
      <c r="S655" t="s">
        <v>139</v>
      </c>
      <c r="T655">
        <v>0.010167083809305779</v>
      </c>
      <c r="U655">
        <v>0.099976324124840157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10</v>
      </c>
      <c r="AB655">
        <v>1</v>
      </c>
      <c r="AC655">
        <v>0.50</v>
      </c>
      <c r="AD655">
        <v>0.70499453877469964</v>
      </c>
      <c r="AE655">
        <v>1800</v>
      </c>
      <c r="AF655">
        <v>200000</v>
      </c>
      <c r="AG655">
        <v>16666.666666666668</v>
      </c>
      <c r="AH655">
        <v>1</v>
      </c>
      <c r="AI655">
        <v>1</v>
      </c>
      <c r="AJ655" t="s">
        <v>136</v>
      </c>
      <c r="AK655" t="s">
        <v>137</v>
      </c>
      <c r="AL655">
        <v>0</v>
      </c>
      <c r="AM655" t="s">
        <v>137</v>
      </c>
      <c r="AN655">
        <v>0</v>
      </c>
    </row>
    <row r="656" spans="1:42" ht="12.75">
      <c r="A656" s="2" t="str">
        <f>HYPERLINK("https://ibp.a2mac1.com/costing(costing:projects/details/8191/process/6975374)","Wire Bending")</f>
        <v>Wire Bending</v>
      </c>
      <c r="C656">
        <v>6975374</v>
      </c>
      <c r="D656">
        <v>5388357</v>
      </c>
      <c r="E656">
        <v>0</v>
      </c>
      <c r="F656">
        <v>0</v>
      </c>
      <c r="G656">
        <v>0</v>
      </c>
      <c r="H656">
        <v>0</v>
      </c>
      <c r="I656" t="s">
        <v>137</v>
      </c>
      <c r="J656">
        <v>0</v>
      </c>
      <c r="K656">
        <v>0</v>
      </c>
      <c r="L656">
        <v>0.0036698564783128945</v>
      </c>
      <c r="M656">
        <v>0.022019138869877369</v>
      </c>
      <c r="N656">
        <v>0.022019138869877369</v>
      </c>
      <c r="O656" t="s">
        <v>138</v>
      </c>
      <c r="P656">
        <v>0</v>
      </c>
      <c r="Q656" t="s">
        <v>138</v>
      </c>
      <c r="R656">
        <v>0.001321148332192642</v>
      </c>
      <c r="S656" t="s">
        <v>139</v>
      </c>
      <c r="T656">
        <v>0.0026422966643852839</v>
      </c>
      <c r="U656">
        <v>0.025982583866455293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5</v>
      </c>
      <c r="AB656">
        <v>1</v>
      </c>
      <c r="AC656">
        <v>0.10</v>
      </c>
      <c r="AD656">
        <v>0.20557651238448796</v>
      </c>
      <c r="AE656">
        <v>3600</v>
      </c>
      <c r="AF656">
        <v>200000</v>
      </c>
      <c r="AG656">
        <v>16666.666666666668</v>
      </c>
      <c r="AH656">
        <v>1</v>
      </c>
      <c r="AI656">
        <v>1</v>
      </c>
      <c r="AJ656" t="s">
        <v>136</v>
      </c>
      <c r="AK656" t="s">
        <v>137</v>
      </c>
      <c r="AL656">
        <v>0</v>
      </c>
      <c r="AM656" t="s">
        <v>137</v>
      </c>
      <c r="AN656">
        <v>0</v>
      </c>
    </row>
    <row r="657" spans="1:42" ht="12.75">
      <c r="A657" s="2" t="str">
        <f>HYPERLINK("https://ibp.a2mac1.com/costing(costing:projects/details/8191/process/6975372)","Press fit")</f>
        <v>Press fit</v>
      </c>
      <c r="C657">
        <v>6975372</v>
      </c>
      <c r="D657">
        <v>5388357</v>
      </c>
      <c r="E657">
        <v>0</v>
      </c>
      <c r="F657">
        <v>0</v>
      </c>
      <c r="G657">
        <v>0</v>
      </c>
      <c r="H657">
        <v>0</v>
      </c>
      <c r="I657" t="s">
        <v>137</v>
      </c>
      <c r="J657">
        <v>0</v>
      </c>
      <c r="K657">
        <v>0</v>
      </c>
      <c r="L657">
        <v>0.0061912616210148697</v>
      </c>
      <c r="M657">
        <v>0.037147569726089222</v>
      </c>
      <c r="N657">
        <v>0.037147569726089222</v>
      </c>
      <c r="O657" t="s">
        <v>138</v>
      </c>
      <c r="P657">
        <v>0</v>
      </c>
      <c r="Q657" t="s">
        <v>138</v>
      </c>
      <c r="R657">
        <v>0.0022288541835653532</v>
      </c>
      <c r="S657" t="s">
        <v>139</v>
      </c>
      <c r="T657">
        <v>0.0044577083671307064</v>
      </c>
      <c r="U657">
        <v>0.04383413227678528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15</v>
      </c>
      <c r="AB657">
        <v>1</v>
      </c>
      <c r="AC657">
        <v>0.10</v>
      </c>
      <c r="AD657">
        <v>0.10389195236953569</v>
      </c>
      <c r="AE657">
        <v>180</v>
      </c>
      <c r="AF657">
        <v>200000</v>
      </c>
      <c r="AG657">
        <v>16666.666666666668</v>
      </c>
      <c r="AH657">
        <v>1</v>
      </c>
      <c r="AI657">
        <v>1</v>
      </c>
      <c r="AJ657" t="s">
        <v>136</v>
      </c>
      <c r="AK657" t="s">
        <v>137</v>
      </c>
      <c r="AL657">
        <v>0</v>
      </c>
      <c r="AM657" t="s">
        <v>137</v>
      </c>
      <c r="AN657">
        <v>0</v>
      </c>
    </row>
    <row r="658" spans="1:42" ht="12.75">
      <c r="A658" s="2" t="str">
        <f>HYPERLINK("https://ibp.a2mac1.com/costing(costing:projects/details/8191/process/6975375)","Casting")</f>
        <v>Casting</v>
      </c>
      <c r="C658">
        <v>6975375</v>
      </c>
      <c r="D658">
        <v>5388358</v>
      </c>
      <c r="E658">
        <v>0.49950893666666668</v>
      </c>
      <c r="F658">
        <v>0</v>
      </c>
      <c r="G658">
        <v>0</v>
      </c>
      <c r="H658">
        <v>0.0026056857933333334</v>
      </c>
      <c r="I658" t="s">
        <v>137</v>
      </c>
      <c r="J658">
        <v>0.018023518333333332</v>
      </c>
      <c r="K658">
        <v>0.52013814079333331</v>
      </c>
      <c r="L658">
        <v>0.0022916812920044903</v>
      </c>
      <c r="M658">
        <v>0.01375008775202694</v>
      </c>
      <c r="N658">
        <v>0.53388822854536022</v>
      </c>
      <c r="O658" t="s">
        <v>138</v>
      </c>
      <c r="P658">
        <v>0.031208288447599999</v>
      </c>
      <c r="Q658" t="s">
        <v>138</v>
      </c>
      <c r="R658">
        <v>0.00082500526512161647</v>
      </c>
      <c r="S658" t="s">
        <v>139</v>
      </c>
      <c r="T658">
        <v>0.06406658742544323</v>
      </c>
      <c r="U658">
        <v>0.62998810968352514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90</v>
      </c>
      <c r="AB658">
        <v>1</v>
      </c>
      <c r="AC658">
        <v>0.50</v>
      </c>
      <c r="AD658">
        <v>0.50345253019720215</v>
      </c>
      <c r="AE658">
        <v>1485</v>
      </c>
      <c r="AF658">
        <v>200000</v>
      </c>
      <c r="AG658">
        <v>16666.666666666668</v>
      </c>
      <c r="AH658">
        <v>1</v>
      </c>
      <c r="AI658">
        <v>1</v>
      </c>
      <c r="AJ658" t="s">
        <v>136</v>
      </c>
      <c r="AK658" t="s">
        <v>137</v>
      </c>
      <c r="AL658">
        <v>0</v>
      </c>
      <c r="AM658" t="s">
        <v>137</v>
      </c>
      <c r="AN658">
        <v>0</v>
      </c>
    </row>
    <row r="659" spans="1:42" ht="12.75">
      <c r="A659" s="2" t="str">
        <f>HYPERLINK("https://ibp.a2mac1.com/costing(costing:projects/details/8191/process/6975376)","Stamping ")</f>
        <v xml:space="preserve">Stamping </v>
      </c>
      <c r="B659" t="s">
        <v>4771</v>
      </c>
      <c r="C659">
        <v>6975376</v>
      </c>
      <c r="D659">
        <v>5388359</v>
      </c>
      <c r="E659">
        <v>0.045236199999999997</v>
      </c>
      <c r="F659">
        <v>0</v>
      </c>
      <c r="G659">
        <v>0</v>
      </c>
      <c r="H659">
        <v>0.00024745424</v>
      </c>
      <c r="I659" t="s">
        <v>137</v>
      </c>
      <c r="J659">
        <v>0.0017116399999999999</v>
      </c>
      <c r="K659">
        <v>0.047195294239999998</v>
      </c>
      <c r="L659">
        <v>0.00048337848733072581</v>
      </c>
      <c r="M659">
        <v>0.0029002709239843547</v>
      </c>
      <c r="N659">
        <v>0.050095565163984355</v>
      </c>
      <c r="O659" t="s">
        <v>138</v>
      </c>
      <c r="P659">
        <v>0.0028317176544</v>
      </c>
      <c r="Q659" t="s">
        <v>138</v>
      </c>
      <c r="R659">
        <v>0.0001740162554390613</v>
      </c>
      <c r="S659" t="s">
        <v>139</v>
      </c>
      <c r="T659">
        <v>0.0060114678196781226</v>
      </c>
      <c r="U659">
        <v>0.059112766893501541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30</v>
      </c>
      <c r="AB659">
        <v>1</v>
      </c>
      <c r="AC659">
        <v>0.50</v>
      </c>
      <c r="AD659">
        <v>0.50345253019720215</v>
      </c>
      <c r="AE659">
        <v>1800</v>
      </c>
      <c r="AF659">
        <v>200000</v>
      </c>
      <c r="AG659">
        <v>16666.666666666668</v>
      </c>
      <c r="AH659">
        <v>1</v>
      </c>
      <c r="AI659">
        <v>1</v>
      </c>
      <c r="AJ659" t="s">
        <v>136</v>
      </c>
      <c r="AK659" t="s">
        <v>137</v>
      </c>
      <c r="AL659">
        <v>0</v>
      </c>
      <c r="AM659" t="s">
        <v>137</v>
      </c>
      <c r="AN659">
        <v>0</v>
      </c>
    </row>
    <row r="660" spans="1:42" ht="12.75">
      <c r="A660" s="2" t="str">
        <f>HYPERLINK("https://ibp.a2mac1.com/costing(costing:projects/details/8191/process/6975378)","Injection molding")</f>
        <v>Injection molding</v>
      </c>
      <c r="C660">
        <v>6975378</v>
      </c>
      <c r="D660">
        <v>5388360</v>
      </c>
      <c r="E660">
        <v>0.021030206719728436</v>
      </c>
      <c r="F660">
        <v>0</v>
      </c>
      <c r="G660">
        <v>0</v>
      </c>
      <c r="H660">
        <v>4.3364740634358503E-05</v>
      </c>
      <c r="I660" t="s">
        <v>137</v>
      </c>
      <c r="J660">
        <v>0.00073677957388473185</v>
      </c>
      <c r="K660">
        <v>0.021810351034247527</v>
      </c>
      <c r="L660">
        <v>0.0096561988563691591</v>
      </c>
      <c r="M660">
        <v>0.057937193138214951</v>
      </c>
      <c r="N660">
        <v>0.079747544172462478</v>
      </c>
      <c r="O660" t="s">
        <v>138</v>
      </c>
      <c r="P660">
        <v>0.0013086210620548515</v>
      </c>
      <c r="Q660" t="s">
        <v>138</v>
      </c>
      <c r="R660">
        <v>0.0034762315882928972</v>
      </c>
      <c r="S660" t="s">
        <v>139</v>
      </c>
      <c r="T660">
        <v>0.0095697053006954975</v>
      </c>
      <c r="U660">
        <v>0.094102102123505726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29.433029999999999</v>
      </c>
      <c r="AB660">
        <v>1</v>
      </c>
      <c r="AC660">
        <v>0.10</v>
      </c>
      <c r="AD660">
        <v>0.20557651238448796</v>
      </c>
      <c r="AE660">
        <v>7200</v>
      </c>
      <c r="AF660">
        <v>200000</v>
      </c>
      <c r="AG660">
        <v>16666.666666666668</v>
      </c>
      <c r="AH660">
        <v>1</v>
      </c>
      <c r="AI660">
        <v>1</v>
      </c>
      <c r="AJ660" t="s">
        <v>136</v>
      </c>
      <c r="AK660" t="s">
        <v>137</v>
      </c>
      <c r="AL660">
        <v>0</v>
      </c>
      <c r="AM660" t="s">
        <v>137</v>
      </c>
      <c r="AN660">
        <v>0</v>
      </c>
    </row>
    <row r="661" spans="1:42" ht="12.75">
      <c r="A661" s="2" t="str">
        <f>HYPERLINK("https://ibp.a2mac1.com/costing(costing:projects/details/8191/process/6975377)","Handling/Visual Inspection/Packaging")</f>
        <v>Handling/Visual Inspection/Packaging</v>
      </c>
      <c r="C661">
        <v>6975377</v>
      </c>
      <c r="D661">
        <v>5388360</v>
      </c>
      <c r="E661">
        <v>0</v>
      </c>
      <c r="F661">
        <v>0</v>
      </c>
      <c r="G661">
        <v>0</v>
      </c>
      <c r="H661">
        <v>0</v>
      </c>
      <c r="I661" t="s">
        <v>137</v>
      </c>
      <c r="J661">
        <v>0</v>
      </c>
      <c r="K661">
        <v>0</v>
      </c>
      <c r="L661">
        <v>0.0086216394843006</v>
      </c>
      <c r="M661">
        <v>0.0517298369058036</v>
      </c>
      <c r="N661">
        <v>0.0517298369058036</v>
      </c>
      <c r="O661" t="s">
        <v>138</v>
      </c>
      <c r="P661">
        <v>0</v>
      </c>
      <c r="Q661" t="s">
        <v>138</v>
      </c>
      <c r="R661">
        <v>0.0031037902143482162</v>
      </c>
      <c r="S661" t="s">
        <v>139</v>
      </c>
      <c r="T661">
        <v>0.0062075804286964324</v>
      </c>
      <c r="U661">
        <v>0.061041207548848252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30</v>
      </c>
      <c r="AB661">
        <v>1</v>
      </c>
      <c r="AC661">
        <v>0.10</v>
      </c>
      <c r="AD661">
        <v>0.10389195236953569</v>
      </c>
      <c r="AE661">
        <v>900</v>
      </c>
      <c r="AF661">
        <v>200000</v>
      </c>
      <c r="AG661">
        <v>16666.666666666668</v>
      </c>
      <c r="AH661">
        <v>1</v>
      </c>
      <c r="AI661">
        <v>1</v>
      </c>
      <c r="AJ661" t="s">
        <v>136</v>
      </c>
      <c r="AK661" t="s">
        <v>137</v>
      </c>
      <c r="AL661">
        <v>0</v>
      </c>
      <c r="AM661" t="s">
        <v>137</v>
      </c>
      <c r="AN661">
        <v>0</v>
      </c>
    </row>
    <row r="662" spans="1:42" ht="12.75">
      <c r="A662" s="2" t="str">
        <f>HYPERLINK("https://ibp.a2mac1.com/costing(costing:projects/details/8191/process/6975379)","Stamping ")</f>
        <v xml:space="preserve">Stamping </v>
      </c>
      <c r="B662" t="s">
        <v>4771</v>
      </c>
      <c r="C662">
        <v>6975379</v>
      </c>
      <c r="D662">
        <v>5388361</v>
      </c>
      <c r="E662">
        <v>0.026387783333333335</v>
      </c>
      <c r="F662">
        <v>0</v>
      </c>
      <c r="G662">
        <v>0</v>
      </c>
      <c r="H662">
        <v>0.00014434830666666668</v>
      </c>
      <c r="I662" t="s">
        <v>137</v>
      </c>
      <c r="J662">
        <v>0.00099845666666666675</v>
      </c>
      <c r="K662">
        <v>0.027530588306666666</v>
      </c>
      <c r="L662">
        <v>0.00026282745696232549</v>
      </c>
      <c r="M662">
        <v>0.0015769647417739532</v>
      </c>
      <c r="N662">
        <v>0.029107553048440621</v>
      </c>
      <c r="O662" t="s">
        <v>138</v>
      </c>
      <c r="P662">
        <v>0.0016518352984</v>
      </c>
      <c r="Q662" t="s">
        <v>138</v>
      </c>
      <c r="R662">
        <v>9.4617884506437188E-05</v>
      </c>
      <c r="S662" t="s">
        <v>139</v>
      </c>
      <c r="T662">
        <v>0.0034929063658128744</v>
      </c>
      <c r="U662">
        <v>0.034346912597159933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10</v>
      </c>
      <c r="AB662">
        <v>1</v>
      </c>
      <c r="AC662">
        <v>0.50</v>
      </c>
      <c r="AD662">
        <v>0.50345253019720215</v>
      </c>
      <c r="AE662">
        <v>1800</v>
      </c>
      <c r="AF662">
        <v>200000</v>
      </c>
      <c r="AG662">
        <v>16666.666666666668</v>
      </c>
      <c r="AH662">
        <v>1</v>
      </c>
      <c r="AI662">
        <v>1</v>
      </c>
      <c r="AJ662" t="s">
        <v>136</v>
      </c>
      <c r="AK662" t="s">
        <v>137</v>
      </c>
      <c r="AL662">
        <v>0</v>
      </c>
      <c r="AM662" t="s">
        <v>137</v>
      </c>
      <c r="AN662">
        <v>0</v>
      </c>
    </row>
    <row r="663" spans="1:42" ht="12.75">
      <c r="A663" s="2" t="str">
        <f>HYPERLINK("https://ibp.a2mac1.com/costing(costing:projects/details/8191/process/6975382)","Automated Process")</f>
        <v>Automated Process</v>
      </c>
      <c r="B663" t="s">
        <v>4797</v>
      </c>
      <c r="C663">
        <v>6975382</v>
      </c>
      <c r="D663">
        <v>5388368</v>
      </c>
      <c r="E663">
        <v>6.2653999999999996</v>
      </c>
      <c r="F663">
        <v>0</v>
      </c>
      <c r="G663">
        <v>0</v>
      </c>
      <c r="H663">
        <v>0</v>
      </c>
      <c r="I663" t="s">
        <v>137</v>
      </c>
      <c r="J663">
        <v>0.21928900000000001</v>
      </c>
      <c r="K663">
        <v>6.4846890000000004</v>
      </c>
      <c r="L663">
        <v>0.79464727440540017</v>
      </c>
      <c r="M663">
        <v>4.7678836464324013</v>
      </c>
      <c r="N663">
        <v>11.252572646432402</v>
      </c>
      <c r="O663" t="s">
        <v>90</v>
      </c>
      <c r="P663">
        <v>0</v>
      </c>
      <c r="Q663" t="s">
        <v>90</v>
      </c>
      <c r="R663">
        <v>0</v>
      </c>
      <c r="S663" t="s">
        <v>90</v>
      </c>
      <c r="T663">
        <v>0</v>
      </c>
      <c r="U663">
        <v>11.252572646432402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450</v>
      </c>
      <c r="AB663">
        <v>1</v>
      </c>
      <c r="AC663">
        <v>0</v>
      </c>
      <c r="AD663">
        <v>0</v>
      </c>
      <c r="AE663">
        <v>10800</v>
      </c>
      <c r="AF663">
        <v>200000</v>
      </c>
      <c r="AG663">
        <v>10000</v>
      </c>
      <c r="AH663">
        <v>1</v>
      </c>
      <c r="AI663">
        <v>1</v>
      </c>
      <c r="AJ663" t="s">
        <v>79</v>
      </c>
      <c r="AK663" t="s">
        <v>137</v>
      </c>
      <c r="AL663">
        <v>0</v>
      </c>
      <c r="AM663" t="s">
        <v>137</v>
      </c>
      <c r="AN663">
        <v>0</v>
      </c>
      <c r="AP663">
        <v>0</v>
      </c>
    </row>
    <row r="664" spans="1:42" ht="12.75">
      <c r="A664" s="2" t="str">
        <f>HYPERLINK("https://ibp.a2mac1.com/costing(costing:projects/details/8191/process/6975381)","Automated Process")</f>
        <v>Automated Process</v>
      </c>
      <c r="C664">
        <v>6975381</v>
      </c>
      <c r="D664">
        <v>5388365</v>
      </c>
      <c r="E664">
        <v>0.42358094624999998</v>
      </c>
      <c r="F664">
        <v>0</v>
      </c>
      <c r="G664">
        <v>0</v>
      </c>
      <c r="H664">
        <v>0.0021477858426315788</v>
      </c>
      <c r="I664" t="s">
        <v>137</v>
      </c>
      <c r="J664">
        <v>0.014856226184210525</v>
      </c>
      <c r="K664">
        <v>0.44058495827684213</v>
      </c>
      <c r="L664">
        <v>0.014964213933035313</v>
      </c>
      <c r="M664">
        <v>0.089785283598211876</v>
      </c>
      <c r="N664">
        <v>0.53037024187505399</v>
      </c>
      <c r="O664" t="s">
        <v>138</v>
      </c>
      <c r="P664">
        <v>0.026435097496610525</v>
      </c>
      <c r="Q664" t="s">
        <v>138</v>
      </c>
      <c r="R664">
        <v>0.0053871170158927128</v>
      </c>
      <c r="S664" t="s">
        <v>139</v>
      </c>
      <c r="T664">
        <v>0.063644429025006471</v>
      </c>
      <c r="U664">
        <v>0.62583688541256366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60</v>
      </c>
      <c r="AB664">
        <v>1</v>
      </c>
      <c r="AC664">
        <v>0.50</v>
      </c>
      <c r="AD664">
        <v>0.50345253019720215</v>
      </c>
      <c r="AE664">
        <v>722.925</v>
      </c>
      <c r="AF664">
        <v>200000</v>
      </c>
      <c r="AG664">
        <v>16666.666666666668</v>
      </c>
      <c r="AH664">
        <v>1</v>
      </c>
      <c r="AI664">
        <v>1</v>
      </c>
      <c r="AJ664" t="s">
        <v>136</v>
      </c>
      <c r="AK664" t="s">
        <v>137</v>
      </c>
      <c r="AL664">
        <v>0</v>
      </c>
      <c r="AM664" t="s">
        <v>137</v>
      </c>
      <c r="AN664">
        <v>0</v>
      </c>
    </row>
    <row r="665" spans="1:42" ht="12.75">
      <c r="A665" s="2" t="str">
        <f>HYPERLINK("https://ibp.a2mac1.com/costing(costing:projects/details/8191/process/6975278)","Assembly")</f>
        <v>Assembly</v>
      </c>
      <c r="C665">
        <v>6975278</v>
      </c>
      <c r="D665">
        <v>5388175</v>
      </c>
      <c r="E665">
        <v>0</v>
      </c>
      <c r="F665">
        <v>0</v>
      </c>
      <c r="G665">
        <v>0</v>
      </c>
      <c r="H665">
        <v>0</v>
      </c>
      <c r="I665" t="s">
        <v>90</v>
      </c>
      <c r="J665">
        <v>0</v>
      </c>
      <c r="K665">
        <v>0</v>
      </c>
      <c r="L665">
        <v>0</v>
      </c>
      <c r="M665">
        <v>0.39420764387300394</v>
      </c>
      <c r="N665">
        <v>0.39420764387300394</v>
      </c>
      <c r="O665" t="s">
        <v>90</v>
      </c>
      <c r="P665">
        <v>0</v>
      </c>
      <c r="Q665" t="s">
        <v>90</v>
      </c>
      <c r="R665">
        <v>0</v>
      </c>
      <c r="S665" t="s">
        <v>90</v>
      </c>
      <c r="T665">
        <v>0</v>
      </c>
      <c r="U665">
        <v>0.39420764387300394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60</v>
      </c>
      <c r="AB665">
        <v>1</v>
      </c>
      <c r="AC665">
        <v>1.99</v>
      </c>
      <c r="AD665">
        <v>1.9992159937279499</v>
      </c>
      <c r="AE665">
        <v>1800</v>
      </c>
      <c r="AF665">
        <v>200000</v>
      </c>
      <c r="AG665">
        <v>10000</v>
      </c>
      <c r="AH665">
        <v>1</v>
      </c>
      <c r="AI665">
        <v>1</v>
      </c>
      <c r="AJ665" t="s">
        <v>79</v>
      </c>
      <c r="AK665" t="s">
        <v>90</v>
      </c>
      <c r="AL665">
        <v>0</v>
      </c>
      <c r="AM665" t="s">
        <v>90</v>
      </c>
      <c r="AN665">
        <v>0</v>
      </c>
      <c r="AP665">
        <v>0</v>
      </c>
    </row>
    <row r="666" spans="1:42" ht="12.75">
      <c r="A666" s="2" t="str">
        <f>HYPERLINK("https://ibp.a2mac1.com/costing(costing:projects/details/8191/process/6975615)","Seal Extrusion (Multi Layer)")</f>
        <v>Seal Extrusion (Multi Layer)</v>
      </c>
      <c r="B666" t="s">
        <v>4822</v>
      </c>
      <c r="C666">
        <v>6975615</v>
      </c>
      <c r="D666">
        <v>5388756</v>
      </c>
      <c r="E666">
        <v>3.5907257014736844</v>
      </c>
      <c r="F666">
        <v>0</v>
      </c>
      <c r="G666">
        <v>0</v>
      </c>
      <c r="H666">
        <v>0.0074202673225263159</v>
      </c>
      <c r="I666" t="s">
        <v>137</v>
      </c>
      <c r="J666">
        <v>0.12607250305263157</v>
      </c>
      <c r="K666">
        <v>3.7242184718488422</v>
      </c>
      <c r="L666">
        <v>0.037001546639062834</v>
      </c>
      <c r="M666">
        <v>0.22200927983437699</v>
      </c>
      <c r="N666">
        <v>3.9462277516832192</v>
      </c>
      <c r="O666" t="s">
        <v>138</v>
      </c>
      <c r="P666">
        <v>0.22345310831093051</v>
      </c>
      <c r="Q666" t="s">
        <v>138</v>
      </c>
      <c r="R666">
        <v>0.01332055679006262</v>
      </c>
      <c r="S666" t="s">
        <v>139</v>
      </c>
      <c r="T666">
        <v>0.47354733020198631</v>
      </c>
      <c r="U666">
        <v>4.6565487469861981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15</v>
      </c>
      <c r="AB666">
        <v>1</v>
      </c>
      <c r="AC666">
        <v>0.10</v>
      </c>
      <c r="AD666">
        <v>0.20557651238448796</v>
      </c>
      <c r="AE666">
        <v>1800</v>
      </c>
      <c r="AF666">
        <v>200000</v>
      </c>
      <c r="AG666">
        <v>16666.666666666668</v>
      </c>
      <c r="AH666">
        <v>1</v>
      </c>
      <c r="AI666">
        <v>1</v>
      </c>
      <c r="AJ666" t="s">
        <v>136</v>
      </c>
      <c r="AK666" t="s">
        <v>137</v>
      </c>
      <c r="AL666">
        <v>0</v>
      </c>
      <c r="AM666" t="s">
        <v>137</v>
      </c>
      <c r="AN666">
        <v>0</v>
      </c>
    </row>
    <row r="667" spans="1:42" ht="12.75">
      <c r="A667" s="2" t="str">
        <f>HYPERLINK("https://ibp.a2mac1.com/costing(costing:projects/details/8191/process/6975614)","End Glueing/Vulcanizing, Check and Pack")</f>
        <v>End Glueing/Vulcanizing, Check and Pack</v>
      </c>
      <c r="C667">
        <v>6975614</v>
      </c>
      <c r="D667">
        <v>5388756</v>
      </c>
      <c r="E667">
        <v>0</v>
      </c>
      <c r="F667">
        <v>0</v>
      </c>
      <c r="G667">
        <v>0</v>
      </c>
      <c r="H667">
        <v>0</v>
      </c>
      <c r="I667" t="s">
        <v>137</v>
      </c>
      <c r="J667">
        <v>0</v>
      </c>
      <c r="K667">
        <v>0</v>
      </c>
      <c r="L667">
        <v>0.015680387065327164</v>
      </c>
      <c r="M667">
        <v>0.094082322391962986</v>
      </c>
      <c r="N667">
        <v>0.094082322391962986</v>
      </c>
      <c r="O667" t="s">
        <v>138</v>
      </c>
      <c r="P667">
        <v>0</v>
      </c>
      <c r="Q667" t="s">
        <v>138</v>
      </c>
      <c r="R667">
        <v>0.0056449393435177792</v>
      </c>
      <c r="S667" t="s">
        <v>139</v>
      </c>
      <c r="T667">
        <v>0.011289878687035558</v>
      </c>
      <c r="U667">
        <v>0.11101714042251631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30</v>
      </c>
      <c r="AB667">
        <v>1</v>
      </c>
      <c r="AC667">
        <v>0.10</v>
      </c>
      <c r="AD667">
        <v>0.10389195236953569</v>
      </c>
      <c r="AE667">
        <v>600</v>
      </c>
      <c r="AF667">
        <v>200000</v>
      </c>
      <c r="AG667">
        <v>16666.666666666668</v>
      </c>
      <c r="AH667">
        <v>1</v>
      </c>
      <c r="AI667">
        <v>1</v>
      </c>
      <c r="AJ667" t="s">
        <v>136</v>
      </c>
      <c r="AK667" t="s">
        <v>137</v>
      </c>
      <c r="AL667">
        <v>0</v>
      </c>
      <c r="AM667" t="s">
        <v>137</v>
      </c>
      <c r="AN667">
        <v>0</v>
      </c>
    </row>
    <row r="668" spans="1:42" ht="12.75">
      <c r="A668" s="2" t="str">
        <f>HYPERLINK("https://ibp.a2mac1.com/costing(costing:projects/details/8191/process/6975616)","Seal Extrusion (Multi Layer)")</f>
        <v>Seal Extrusion (Multi Layer)</v>
      </c>
      <c r="B668" t="s">
        <v>4822</v>
      </c>
      <c r="C668">
        <v>6975616</v>
      </c>
      <c r="D668">
        <v>5388757</v>
      </c>
      <c r="E668">
        <v>0.96717579136184206</v>
      </c>
      <c r="F668">
        <v>0</v>
      </c>
      <c r="G668">
        <v>0</v>
      </c>
      <c r="H668">
        <v>0.0019990823467894736</v>
      </c>
      <c r="I668" t="s">
        <v>137</v>
      </c>
      <c r="J668">
        <v>0.033964991328947369</v>
      </c>
      <c r="K668">
        <v>1.0031398650375789</v>
      </c>
      <c r="L668">
        <v>0.037001546639062834</v>
      </c>
      <c r="M668">
        <v>0.22200927983437699</v>
      </c>
      <c r="N668">
        <v>1.225149144871956</v>
      </c>
      <c r="O668" t="s">
        <v>138</v>
      </c>
      <c r="P668">
        <v>0.060188391902254737</v>
      </c>
      <c r="Q668" t="s">
        <v>138</v>
      </c>
      <c r="R668">
        <v>0.01332055679006262</v>
      </c>
      <c r="S668" t="s">
        <v>139</v>
      </c>
      <c r="T668">
        <v>0.14701789738463472</v>
      </c>
      <c r="U668">
        <v>1.4456759909489081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15</v>
      </c>
      <c r="AB668">
        <v>1</v>
      </c>
      <c r="AC668">
        <v>0.10</v>
      </c>
      <c r="AD668">
        <v>0.20557651238448796</v>
      </c>
      <c r="AE668">
        <v>1800</v>
      </c>
      <c r="AF668">
        <v>200000</v>
      </c>
      <c r="AG668">
        <v>16666.666666666668</v>
      </c>
      <c r="AH668">
        <v>1</v>
      </c>
      <c r="AI668">
        <v>1</v>
      </c>
      <c r="AJ668" t="s">
        <v>136</v>
      </c>
      <c r="AK668" t="s">
        <v>137</v>
      </c>
      <c r="AL668">
        <v>0</v>
      </c>
      <c r="AM668" t="s">
        <v>137</v>
      </c>
      <c r="AN668">
        <v>0</v>
      </c>
    </row>
    <row r="669" spans="1:42" ht="12.75">
      <c r="A669" s="2" t="str">
        <f>HYPERLINK("https://ibp.a2mac1.com/costing(costing:projects/details/8191/process/6975617)","End Glueing/Vulcanizing, Check and Pack")</f>
        <v>End Glueing/Vulcanizing, Check and Pack</v>
      </c>
      <c r="C669">
        <v>6975617</v>
      </c>
      <c r="D669">
        <v>5388757</v>
      </c>
      <c r="E669">
        <v>0</v>
      </c>
      <c r="F669">
        <v>0</v>
      </c>
      <c r="G669">
        <v>0</v>
      </c>
      <c r="H669">
        <v>0</v>
      </c>
      <c r="I669" t="s">
        <v>137</v>
      </c>
      <c r="J669">
        <v>0</v>
      </c>
      <c r="K669">
        <v>0</v>
      </c>
      <c r="L669">
        <v>0.015680387065327164</v>
      </c>
      <c r="M669">
        <v>0.094082322391962986</v>
      </c>
      <c r="N669">
        <v>0.094082322391962986</v>
      </c>
      <c r="O669" t="s">
        <v>138</v>
      </c>
      <c r="P669">
        <v>0</v>
      </c>
      <c r="Q669" t="s">
        <v>138</v>
      </c>
      <c r="R669">
        <v>0.0056449393435177792</v>
      </c>
      <c r="S669" t="s">
        <v>139</v>
      </c>
      <c r="T669">
        <v>0.011289878687035558</v>
      </c>
      <c r="U669">
        <v>0.11101714042251631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30</v>
      </c>
      <c r="AB669">
        <v>1</v>
      </c>
      <c r="AC669">
        <v>0.10</v>
      </c>
      <c r="AD669">
        <v>0.10389195236953569</v>
      </c>
      <c r="AE669">
        <v>600</v>
      </c>
      <c r="AF669">
        <v>200000</v>
      </c>
      <c r="AG669">
        <v>16666.666666666668</v>
      </c>
      <c r="AH669">
        <v>1</v>
      </c>
      <c r="AI669">
        <v>1</v>
      </c>
      <c r="AJ669" t="s">
        <v>136</v>
      </c>
      <c r="AK669" t="s">
        <v>137</v>
      </c>
      <c r="AL669">
        <v>0</v>
      </c>
      <c r="AM669" t="s">
        <v>137</v>
      </c>
      <c r="AN669">
        <v>0</v>
      </c>
    </row>
    <row r="670" spans="1:42" ht="12.75">
      <c r="A670" s="2" t="str">
        <f>HYPERLINK("https://ibp.a2mac1.com/costing(costing:projects/details/8191/process/6975383)","Seal Extrusion")</f>
        <v>Seal Extrusion</v>
      </c>
      <c r="B670" t="s">
        <v>4839</v>
      </c>
      <c r="C670">
        <v>6975383</v>
      </c>
      <c r="D670">
        <v>5388369</v>
      </c>
      <c r="E670">
        <v>0.32881327500000002</v>
      </c>
      <c r="F670">
        <v>0</v>
      </c>
      <c r="G670">
        <v>0</v>
      </c>
      <c r="H670">
        <v>0.00034282286315789472</v>
      </c>
      <c r="I670" t="s">
        <v>137</v>
      </c>
      <c r="J670">
        <v>0.011537307894736842</v>
      </c>
      <c r="K670">
        <v>0.34069340575789475</v>
      </c>
      <c r="L670">
        <v>0.02473920957733388</v>
      </c>
      <c r="M670">
        <v>0.14843525746400327</v>
      </c>
      <c r="N670">
        <v>0.48912866322189802</v>
      </c>
      <c r="O670" t="s">
        <v>138</v>
      </c>
      <c r="P670">
        <v>0.020441604345473683</v>
      </c>
      <c r="Q670" t="s">
        <v>138</v>
      </c>
      <c r="R670">
        <v>0.0089061154478401964</v>
      </c>
      <c r="S670" t="s">
        <v>139</v>
      </c>
      <c r="T670">
        <v>0.058695439586627762</v>
      </c>
      <c r="U670">
        <v>0.57717182260183963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10</v>
      </c>
      <c r="AB670">
        <v>1</v>
      </c>
      <c r="AC670">
        <v>0.10</v>
      </c>
      <c r="AD670">
        <v>0.10389195236953569</v>
      </c>
      <c r="AE670">
        <v>1800</v>
      </c>
      <c r="AF670">
        <v>200000</v>
      </c>
      <c r="AG670">
        <v>16666.666666666668</v>
      </c>
      <c r="AH670">
        <v>1</v>
      </c>
      <c r="AI670">
        <v>1</v>
      </c>
      <c r="AJ670" t="s">
        <v>136</v>
      </c>
      <c r="AK670" t="s">
        <v>137</v>
      </c>
      <c r="AL670">
        <v>0</v>
      </c>
      <c r="AM670" t="s">
        <v>137</v>
      </c>
      <c r="AN670">
        <v>0</v>
      </c>
    </row>
    <row r="671" spans="1:42" ht="12.75">
      <c r="A671" s="2" t="str">
        <f>HYPERLINK("https://ibp.a2mac1.com/costing(costing:projects/details/8191/process/6975384)","Seal Extrusion")</f>
        <v>Seal Extrusion</v>
      </c>
      <c r="B671" t="s">
        <v>4839</v>
      </c>
      <c r="C671">
        <v>6975384</v>
      </c>
      <c r="D671">
        <v>5388370</v>
      </c>
      <c r="E671">
        <v>0.75757399999999997</v>
      </c>
      <c r="F671">
        <v>0</v>
      </c>
      <c r="G671">
        <v>0</v>
      </c>
      <c r="H671">
        <v>0.00078940248126315794</v>
      </c>
      <c r="I671" t="s">
        <v>137</v>
      </c>
      <c r="J671">
        <v>0.026566429657894738</v>
      </c>
      <c r="K671">
        <v>0.7849298321391579</v>
      </c>
      <c r="L671">
        <v>0.03696388264930988</v>
      </c>
      <c r="M671">
        <v>0.22178329589585927</v>
      </c>
      <c r="N671">
        <v>1.0067131280350172</v>
      </c>
      <c r="O671" t="s">
        <v>138</v>
      </c>
      <c r="P671">
        <v>0.047095789928349473</v>
      </c>
      <c r="Q671" t="s">
        <v>138</v>
      </c>
      <c r="R671">
        <v>0.013306997753751557</v>
      </c>
      <c r="S671" t="s">
        <v>139</v>
      </c>
      <c r="T671">
        <v>0.12080557536420206</v>
      </c>
      <c r="U671">
        <v>1.1879214910813203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15</v>
      </c>
      <c r="AB671">
        <v>1</v>
      </c>
      <c r="AC671">
        <v>0.10</v>
      </c>
      <c r="AD671">
        <v>0.10389195236953569</v>
      </c>
      <c r="AE671">
        <v>1800</v>
      </c>
      <c r="AF671">
        <v>200000</v>
      </c>
      <c r="AG671">
        <v>16666.666666666668</v>
      </c>
      <c r="AH671">
        <v>1</v>
      </c>
      <c r="AI671">
        <v>1</v>
      </c>
      <c r="AJ671" t="s">
        <v>136</v>
      </c>
      <c r="AK671" t="s">
        <v>137</v>
      </c>
      <c r="AL671">
        <v>0</v>
      </c>
      <c r="AM671" t="s">
        <v>137</v>
      </c>
      <c r="AN671">
        <v>0</v>
      </c>
    </row>
    <row r="672" spans="1:42" ht="12.75">
      <c r="A672" s="2" t="str">
        <f>HYPERLINK("https://ibp.a2mac1.com/costing(costing:projects/details/8191/process/6975385)","Seal Extrusion")</f>
        <v>Seal Extrusion</v>
      </c>
      <c r="B672" t="s">
        <v>4839</v>
      </c>
      <c r="C672">
        <v>6975385</v>
      </c>
      <c r="D672">
        <v>5388371</v>
      </c>
      <c r="E672">
        <v>2.1264245499999999</v>
      </c>
      <c r="F672">
        <v>0</v>
      </c>
      <c r="G672">
        <v>0</v>
      </c>
      <c r="H672">
        <v>0.0022152953351578949</v>
      </c>
      <c r="I672" t="s">
        <v>137</v>
      </c>
      <c r="J672">
        <v>0.074553208394736836</v>
      </c>
      <c r="K672">
        <v>2.2031930537298949</v>
      </c>
      <c r="L672">
        <v>0.03696388264930988</v>
      </c>
      <c r="M672">
        <v>0.22178329589585927</v>
      </c>
      <c r="N672">
        <v>2.4249763496257541</v>
      </c>
      <c r="O672" t="s">
        <v>138</v>
      </c>
      <c r="P672">
        <v>0.13219158322379368</v>
      </c>
      <c r="Q672" t="s">
        <v>138</v>
      </c>
      <c r="R672">
        <v>0.013306997753751557</v>
      </c>
      <c r="S672" t="s">
        <v>139</v>
      </c>
      <c r="T672">
        <v>0.29099716195509046</v>
      </c>
      <c r="U672">
        <v>2.8614720925583899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15</v>
      </c>
      <c r="AB672">
        <v>1</v>
      </c>
      <c r="AC672">
        <v>0.10</v>
      </c>
      <c r="AD672">
        <v>0.10389195236953569</v>
      </c>
      <c r="AE672">
        <v>1800</v>
      </c>
      <c r="AF672">
        <v>200000</v>
      </c>
      <c r="AG672">
        <v>16666.666666666668</v>
      </c>
      <c r="AH672">
        <v>1</v>
      </c>
      <c r="AI672">
        <v>1</v>
      </c>
      <c r="AJ672" t="s">
        <v>136</v>
      </c>
      <c r="AK672" t="s">
        <v>137</v>
      </c>
      <c r="AL672">
        <v>0</v>
      </c>
      <c r="AM672" t="s">
        <v>137</v>
      </c>
      <c r="AN672">
        <v>0</v>
      </c>
    </row>
    <row r="673" spans="1:42" ht="12.75">
      <c r="A673" s="2" t="str">
        <f>HYPERLINK("https://ibp.a2mac1.com/costing(costing:projects/details/8191/process/6975803)","Manufacturing Process")</f>
        <v>Manufacturing Process</v>
      </c>
      <c r="C673">
        <v>6975803</v>
      </c>
      <c r="D673">
        <v>5389157</v>
      </c>
      <c r="E673">
        <v>0.15083827499999999</v>
      </c>
      <c r="F673">
        <v>0</v>
      </c>
      <c r="G673">
        <v>0</v>
      </c>
      <c r="H673">
        <v>0.00016688489999999999</v>
      </c>
      <c r="I673" t="s">
        <v>137</v>
      </c>
      <c r="J673">
        <v>0.00561631875</v>
      </c>
      <c r="K673">
        <v>0.15662147865000001</v>
      </c>
      <c r="L673">
        <v>0.0040251954991824199</v>
      </c>
      <c r="M673">
        <v>0.024151172995094523</v>
      </c>
      <c r="N673">
        <v>0.18077265164509451</v>
      </c>
      <c r="O673" t="s">
        <v>90</v>
      </c>
      <c r="P673">
        <v>0</v>
      </c>
      <c r="Q673" t="s">
        <v>90</v>
      </c>
      <c r="R673">
        <v>0</v>
      </c>
      <c r="S673" t="s">
        <v>90</v>
      </c>
      <c r="T673">
        <v>0</v>
      </c>
      <c r="U673">
        <v>0.18077265164509451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36</v>
      </c>
      <c r="AB673">
        <v>1</v>
      </c>
      <c r="AC673">
        <v>0.10</v>
      </c>
      <c r="AD673">
        <v>0.10389195236953569</v>
      </c>
      <c r="AE673">
        <v>6012</v>
      </c>
      <c r="AF673">
        <v>200000</v>
      </c>
      <c r="AG673">
        <v>16666.666666666668</v>
      </c>
      <c r="AH673">
        <v>1</v>
      </c>
      <c r="AI673">
        <v>1</v>
      </c>
      <c r="AJ673" t="s">
        <v>136</v>
      </c>
      <c r="AK673" t="s">
        <v>137</v>
      </c>
      <c r="AL673">
        <v>0</v>
      </c>
      <c r="AM673" t="s">
        <v>137</v>
      </c>
      <c r="AN673">
        <v>0</v>
      </c>
    </row>
    <row r="674" spans="1:42" ht="12.75">
      <c r="A674" s="2" t="str">
        <f>HYPERLINK("https://ibp.a2mac1.com/costing(costing:projects/details/8191/process/6975804)","Manufacturing Process")</f>
        <v>Manufacturing Process</v>
      </c>
      <c r="C674">
        <v>6975804</v>
      </c>
      <c r="D674">
        <v>5389158</v>
      </c>
      <c r="E674">
        <v>0.093376075000000003</v>
      </c>
      <c r="F674">
        <v>0</v>
      </c>
      <c r="G674">
        <v>0</v>
      </c>
      <c r="H674">
        <v>0.0001033097</v>
      </c>
      <c r="I674" t="s">
        <v>137</v>
      </c>
      <c r="J674">
        <v>0.0034767687499999999</v>
      </c>
      <c r="K674">
        <v>0.096956153449999999</v>
      </c>
      <c r="L674">
        <v>0.18163295441459323</v>
      </c>
      <c r="M674">
        <v>1.0897977264875593</v>
      </c>
      <c r="N674">
        <v>1.1867538799375594</v>
      </c>
      <c r="O674" t="s">
        <v>90</v>
      </c>
      <c r="P674">
        <v>0</v>
      </c>
      <c r="Q674" t="s">
        <v>90</v>
      </c>
      <c r="R674">
        <v>0</v>
      </c>
      <c r="S674" t="s">
        <v>90</v>
      </c>
      <c r="T674">
        <v>0</v>
      </c>
      <c r="U674">
        <v>1.1867538799375594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36</v>
      </c>
      <c r="AB674">
        <v>1</v>
      </c>
      <c r="AC674">
        <v>0.10</v>
      </c>
      <c r="AD674">
        <v>0.10389195236953569</v>
      </c>
      <c r="AE674">
        <v>5400</v>
      </c>
      <c r="AF674">
        <v>200000</v>
      </c>
      <c r="AG674">
        <v>16666.666666666668</v>
      </c>
      <c r="AH674">
        <v>1</v>
      </c>
      <c r="AI674">
        <v>1</v>
      </c>
      <c r="AJ674" t="s">
        <v>136</v>
      </c>
      <c r="AK674" t="s">
        <v>137</v>
      </c>
      <c r="AL674">
        <v>0</v>
      </c>
      <c r="AM674" t="s">
        <v>137</v>
      </c>
      <c r="AN674">
        <v>0</v>
      </c>
    </row>
    <row r="675" spans="1:42" ht="12.75">
      <c r="A675" s="2" t="str">
        <f>HYPERLINK("https://ibp.a2mac1.com/costing(costing:projects/details/8191/process/6975805)","Manufacturing Process")</f>
        <v>Manufacturing Process</v>
      </c>
      <c r="C675">
        <v>6975805</v>
      </c>
      <c r="D675">
        <v>5389159</v>
      </c>
      <c r="E675">
        <v>0.1668849</v>
      </c>
      <c r="F675">
        <v>0</v>
      </c>
      <c r="G675">
        <v>0</v>
      </c>
      <c r="H675">
        <v>0.0001907256</v>
      </c>
      <c r="I675" t="s">
        <v>137</v>
      </c>
      <c r="J675">
        <v>0.0064186499999999997</v>
      </c>
      <c r="K675">
        <v>0.1734942756</v>
      </c>
      <c r="L675">
        <v>0.18163295441459323</v>
      </c>
      <c r="M675">
        <v>1.0897977264875593</v>
      </c>
      <c r="N675">
        <v>1.2632920020875593</v>
      </c>
      <c r="O675" t="s">
        <v>90</v>
      </c>
      <c r="P675">
        <v>0</v>
      </c>
      <c r="Q675" t="s">
        <v>90</v>
      </c>
      <c r="R675">
        <v>0</v>
      </c>
      <c r="S675" t="s">
        <v>90</v>
      </c>
      <c r="T675">
        <v>0</v>
      </c>
      <c r="U675">
        <v>1.2632920020875593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36</v>
      </c>
      <c r="AB675">
        <v>1</v>
      </c>
      <c r="AC675">
        <v>0.10</v>
      </c>
      <c r="AD675">
        <v>0.10389195236953569</v>
      </c>
      <c r="AE675">
        <v>5400</v>
      </c>
      <c r="AF675">
        <v>200000</v>
      </c>
      <c r="AG675">
        <v>16666.666666666668</v>
      </c>
      <c r="AH675">
        <v>1</v>
      </c>
      <c r="AI675">
        <v>1</v>
      </c>
      <c r="AJ675" t="s">
        <v>136</v>
      </c>
      <c r="AK675" t="s">
        <v>137</v>
      </c>
      <c r="AL675">
        <v>0</v>
      </c>
      <c r="AM675" t="s">
        <v>137</v>
      </c>
      <c r="AN675">
        <v>0</v>
      </c>
    </row>
    <row r="676" spans="1:42" ht="12.75">
      <c r="A676" s="2" t="str">
        <f>HYPERLINK("https://ibp.a2mac1.com/costing(costing:projects/details/8191/process/6975806)","Manufacturing Process")</f>
        <v>Manufacturing Process</v>
      </c>
      <c r="C676">
        <v>6975806</v>
      </c>
      <c r="D676">
        <v>5389160</v>
      </c>
      <c r="E676">
        <v>0.079010524999999998</v>
      </c>
      <c r="F676">
        <v>0</v>
      </c>
      <c r="G676">
        <v>0</v>
      </c>
      <c r="H676">
        <v>8.7415899999999998E-05</v>
      </c>
      <c r="I676" t="s">
        <v>137</v>
      </c>
      <c r="J676">
        <v>0.0029418812499999998</v>
      </c>
      <c r="K676">
        <v>0.082039822149999997</v>
      </c>
      <c r="L676">
        <v>0.18163295441459323</v>
      </c>
      <c r="M676">
        <v>1.0897977264875593</v>
      </c>
      <c r="N676">
        <v>1.1718375486375594</v>
      </c>
      <c r="O676" t="s">
        <v>90</v>
      </c>
      <c r="P676">
        <v>0</v>
      </c>
      <c r="Q676" t="s">
        <v>90</v>
      </c>
      <c r="R676">
        <v>0</v>
      </c>
      <c r="S676" t="s">
        <v>90</v>
      </c>
      <c r="T676">
        <v>0</v>
      </c>
      <c r="U676">
        <v>1.1718375486375594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36</v>
      </c>
      <c r="AB676">
        <v>1</v>
      </c>
      <c r="AC676">
        <v>0.10</v>
      </c>
      <c r="AD676">
        <v>0.10389195236953569</v>
      </c>
      <c r="AE676">
        <v>5400</v>
      </c>
      <c r="AF676">
        <v>200000</v>
      </c>
      <c r="AG676">
        <v>16666.666666666668</v>
      </c>
      <c r="AH676">
        <v>1</v>
      </c>
      <c r="AI676">
        <v>1</v>
      </c>
      <c r="AJ676" t="s">
        <v>136</v>
      </c>
      <c r="AK676" t="s">
        <v>137</v>
      </c>
      <c r="AL676">
        <v>0</v>
      </c>
      <c r="AM676" t="s">
        <v>137</v>
      </c>
      <c r="AN676">
        <v>0</v>
      </c>
    </row>
    <row r="677" spans="1:42" ht="12.75">
      <c r="A677" s="2" t="str">
        <f>HYPERLINK("https://ibp.a2mac1.com/costing(costing:projects/details/8191/process/6975386)","Process")</f>
        <v>Process</v>
      </c>
      <c r="C677">
        <v>6975386</v>
      </c>
      <c r="D677">
        <v>5388382</v>
      </c>
      <c r="E677">
        <v>0</v>
      </c>
      <c r="F677">
        <v>0</v>
      </c>
      <c r="G677">
        <v>0</v>
      </c>
      <c r="H677">
        <v>0</v>
      </c>
      <c r="I677" t="s">
        <v>137</v>
      </c>
      <c r="J677">
        <v>0</v>
      </c>
      <c r="K677">
        <v>0</v>
      </c>
      <c r="L677">
        <v>0.36529528151717527</v>
      </c>
      <c r="M677">
        <v>1.2785334853101133</v>
      </c>
      <c r="N677">
        <v>1.2785334853101133</v>
      </c>
      <c r="O677" t="s">
        <v>90</v>
      </c>
      <c r="P677">
        <v>0</v>
      </c>
      <c r="Q677" t="s">
        <v>90</v>
      </c>
      <c r="R677">
        <v>0</v>
      </c>
      <c r="S677" t="s">
        <v>90</v>
      </c>
      <c r="T677">
        <v>0</v>
      </c>
      <c r="U677">
        <v>1.2785334853101133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160</v>
      </c>
      <c r="AB677">
        <v>1</v>
      </c>
      <c r="AC677">
        <v>5</v>
      </c>
      <c r="AD677">
        <v>5.0061745986510875</v>
      </c>
      <c r="AE677">
        <v>216</v>
      </c>
      <c r="AF677">
        <v>200000</v>
      </c>
      <c r="AG677">
        <v>10000</v>
      </c>
      <c r="AH677">
        <v>1</v>
      </c>
      <c r="AI677">
        <v>1</v>
      </c>
      <c r="AJ677" t="s">
        <v>79</v>
      </c>
      <c r="AK677" t="s">
        <v>137</v>
      </c>
      <c r="AL677">
        <v>0</v>
      </c>
      <c r="AM677" t="s">
        <v>137</v>
      </c>
      <c r="AN677">
        <v>0</v>
      </c>
      <c r="AP677">
        <v>0</v>
      </c>
    </row>
    <row r="678" spans="1:42" ht="12.75">
      <c r="A678" s="2" t="str">
        <f>HYPERLINK("https://ibp.a2mac1.com/costing(costing:projects/details/8191/process/6975387)","Injection molding")</f>
        <v>Injection molding</v>
      </c>
      <c r="C678">
        <v>6975387</v>
      </c>
      <c r="D678">
        <v>5388389</v>
      </c>
      <c r="E678">
        <v>0.75202641460019259</v>
      </c>
      <c r="F678">
        <v>0</v>
      </c>
      <c r="G678">
        <v>0</v>
      </c>
      <c r="H678">
        <v>0.0015506947151751544</v>
      </c>
      <c r="I678" t="s">
        <v>137</v>
      </c>
      <c r="J678">
        <v>0.026346754869480779</v>
      </c>
      <c r="K678">
        <v>0.77992386418484849</v>
      </c>
      <c r="L678">
        <v>0.052602625033772228</v>
      </c>
      <c r="M678">
        <v>0.31561575020263338</v>
      </c>
      <c r="N678">
        <v>1.0955396143874818</v>
      </c>
      <c r="O678" t="s">
        <v>138</v>
      </c>
      <c r="P678">
        <v>0.046795431851090911</v>
      </c>
      <c r="Q678" t="s">
        <v>138</v>
      </c>
      <c r="R678">
        <v>0.018936945012158004</v>
      </c>
      <c r="S678" t="s">
        <v>139</v>
      </c>
      <c r="T678">
        <v>0.13146475372649782</v>
      </c>
      <c r="U678">
        <v>1.2927367449772287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29.715689999999999</v>
      </c>
      <c r="AB678">
        <v>1</v>
      </c>
      <c r="AC678">
        <v>0.10</v>
      </c>
      <c r="AD678">
        <v>0.20557651238448796</v>
      </c>
      <c r="AE678">
        <v>14400</v>
      </c>
      <c r="AF678">
        <v>200000</v>
      </c>
      <c r="AG678">
        <v>16666.666666666668</v>
      </c>
      <c r="AH678">
        <v>1</v>
      </c>
      <c r="AI678">
        <v>1</v>
      </c>
      <c r="AJ678" t="s">
        <v>136</v>
      </c>
      <c r="AK678" t="s">
        <v>137</v>
      </c>
      <c r="AL678">
        <v>0</v>
      </c>
      <c r="AM678" t="s">
        <v>137</v>
      </c>
      <c r="AN678">
        <v>0</v>
      </c>
    </row>
    <row r="679" spans="1:42" ht="12.75">
      <c r="A679" s="2" t="str">
        <f>HYPERLINK("https://ibp.a2mac1.com/costing(costing:projects/details/8191/process/6975388)","Handling/Visual Inspection/Packaging")</f>
        <v>Handling/Visual Inspection/Packaging</v>
      </c>
      <c r="C679">
        <v>6975388</v>
      </c>
      <c r="D679">
        <v>5388389</v>
      </c>
      <c r="E679">
        <v>0</v>
      </c>
      <c r="F679">
        <v>0</v>
      </c>
      <c r="G679">
        <v>0</v>
      </c>
      <c r="H679">
        <v>0</v>
      </c>
      <c r="I679" t="s">
        <v>137</v>
      </c>
      <c r="J679">
        <v>0</v>
      </c>
      <c r="K679">
        <v>0</v>
      </c>
      <c r="L679">
        <v>0.0086216394843006</v>
      </c>
      <c r="M679">
        <v>0.0517298369058036</v>
      </c>
      <c r="N679">
        <v>0.0517298369058036</v>
      </c>
      <c r="O679" t="s">
        <v>138</v>
      </c>
      <c r="P679">
        <v>0</v>
      </c>
      <c r="Q679" t="s">
        <v>138</v>
      </c>
      <c r="R679">
        <v>0.0031037902143482162</v>
      </c>
      <c r="S679" t="s">
        <v>139</v>
      </c>
      <c r="T679">
        <v>0.0062075804286964324</v>
      </c>
      <c r="U679">
        <v>0.061041207548848252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30</v>
      </c>
      <c r="AB679">
        <v>1</v>
      </c>
      <c r="AC679">
        <v>0.10</v>
      </c>
      <c r="AD679">
        <v>0.10389195236953569</v>
      </c>
      <c r="AE679">
        <v>900</v>
      </c>
      <c r="AF679">
        <v>200000</v>
      </c>
      <c r="AG679">
        <v>16666.666666666668</v>
      </c>
      <c r="AH679">
        <v>1</v>
      </c>
      <c r="AI679">
        <v>1</v>
      </c>
      <c r="AJ679" t="s">
        <v>136</v>
      </c>
      <c r="AK679" t="s">
        <v>137</v>
      </c>
      <c r="AL679">
        <v>0</v>
      </c>
      <c r="AM679" t="s">
        <v>137</v>
      </c>
      <c r="AN679">
        <v>0</v>
      </c>
    </row>
    <row r="680" spans="1:42" ht="12.75">
      <c r="A680" s="2" t="str">
        <f>HYPERLINK("https://ibp.a2mac1.com/costing(costing:projects/details/8191/process/6975389)","Injection molding")</f>
        <v>Injection molding</v>
      </c>
      <c r="C680">
        <v>6975389</v>
      </c>
      <c r="D680">
        <v>5388390</v>
      </c>
      <c r="E680">
        <v>0.40444116153538584</v>
      </c>
      <c r="F680">
        <v>0</v>
      </c>
      <c r="G680">
        <v>0</v>
      </c>
      <c r="H680">
        <v>0.00083396641343462617</v>
      </c>
      <c r="I680" t="s">
        <v>137</v>
      </c>
      <c r="J680">
        <v>0.014169332267093163</v>
      </c>
      <c r="K680">
        <v>0.41944446021591364</v>
      </c>
      <c r="L680">
        <v>0.041137826810707247</v>
      </c>
      <c r="M680">
        <v>0.24682696086424349</v>
      </c>
      <c r="N680">
        <v>0.66627142108015713</v>
      </c>
      <c r="O680" t="s">
        <v>138</v>
      </c>
      <c r="P680">
        <v>0.025166667612954819</v>
      </c>
      <c r="Q680" t="s">
        <v>138</v>
      </c>
      <c r="R680">
        <v>0.014809617651854609</v>
      </c>
      <c r="S680" t="s">
        <v>139</v>
      </c>
      <c r="T680">
        <v>0.079952570529618849</v>
      </c>
      <c r="U680">
        <v>0.78620027687458538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60.68439</v>
      </c>
      <c r="AB680">
        <v>1</v>
      </c>
      <c r="AC680">
        <v>0.10</v>
      </c>
      <c r="AD680">
        <v>0.20557651238448796</v>
      </c>
      <c r="AE680">
        <v>9000</v>
      </c>
      <c r="AF680">
        <v>200000</v>
      </c>
      <c r="AG680">
        <v>16666.666666666668</v>
      </c>
      <c r="AH680">
        <v>1</v>
      </c>
      <c r="AI680">
        <v>1</v>
      </c>
      <c r="AJ680" t="s">
        <v>136</v>
      </c>
      <c r="AK680" t="s">
        <v>137</v>
      </c>
      <c r="AL680">
        <v>0</v>
      </c>
      <c r="AM680" t="s">
        <v>137</v>
      </c>
      <c r="AN680">
        <v>0</v>
      </c>
    </row>
    <row r="681" spans="1:42" ht="12.75">
      <c r="A681" s="2" t="str">
        <f>HYPERLINK("https://ibp.a2mac1.com/costing(costing:projects/details/8191/process/6975390)","Handling/Visual Inspection/Packaging")</f>
        <v>Handling/Visual Inspection/Packaging</v>
      </c>
      <c r="C681">
        <v>6975390</v>
      </c>
      <c r="D681">
        <v>5388390</v>
      </c>
      <c r="E681">
        <v>0</v>
      </c>
      <c r="F681">
        <v>0</v>
      </c>
      <c r="G681">
        <v>0</v>
      </c>
      <c r="H681">
        <v>0</v>
      </c>
      <c r="I681" t="s">
        <v>137</v>
      </c>
      <c r="J681">
        <v>0</v>
      </c>
      <c r="K681">
        <v>0</v>
      </c>
      <c r="L681">
        <v>0.01724017293860106</v>
      </c>
      <c r="M681">
        <v>0.10344103763160636</v>
      </c>
      <c r="N681">
        <v>0.10344103763160636</v>
      </c>
      <c r="O681" t="s">
        <v>138</v>
      </c>
      <c r="P681">
        <v>0</v>
      </c>
      <c r="Q681" t="s">
        <v>138</v>
      </c>
      <c r="R681">
        <v>0.0062064622578963816</v>
      </c>
      <c r="S681" t="s">
        <v>139</v>
      </c>
      <c r="T681">
        <v>0.012412924515792763</v>
      </c>
      <c r="U681">
        <v>0.12206042440529551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60</v>
      </c>
      <c r="AB681">
        <v>1</v>
      </c>
      <c r="AC681">
        <v>0.10</v>
      </c>
      <c r="AD681">
        <v>0.10389195236953569</v>
      </c>
      <c r="AE681">
        <v>900</v>
      </c>
      <c r="AF681">
        <v>200000</v>
      </c>
      <c r="AG681">
        <v>16666.666666666668</v>
      </c>
      <c r="AH681">
        <v>1</v>
      </c>
      <c r="AI681">
        <v>1</v>
      </c>
      <c r="AJ681" t="s">
        <v>136</v>
      </c>
      <c r="AK681" t="s">
        <v>137</v>
      </c>
      <c r="AL681">
        <v>0</v>
      </c>
      <c r="AM681" t="s">
        <v>137</v>
      </c>
      <c r="AN681">
        <v>0</v>
      </c>
    </row>
    <row r="682" spans="1:42" ht="12.75">
      <c r="A682" s="2" t="str">
        <f>HYPERLINK("https://ibp.a2mac1.com/costing(costing:projects/details/8191/process/6975391)","Injection molding")</f>
        <v>Injection molding</v>
      </c>
      <c r="B682" t="s">
        <v>4715</v>
      </c>
      <c r="C682">
        <v>6975391</v>
      </c>
      <c r="D682">
        <v>5388391</v>
      </c>
      <c r="E682">
        <v>0.063162235499999997</v>
      </c>
      <c r="F682">
        <v>0</v>
      </c>
      <c r="G682">
        <v>0</v>
      </c>
      <c r="H682">
        <v>0.00032040191642105265</v>
      </c>
      <c r="I682" t="s">
        <v>137</v>
      </c>
      <c r="J682">
        <v>0.0022162187894736842</v>
      </c>
      <c r="K682">
        <v>0.065698856205894732</v>
      </c>
      <c r="L682">
        <v>0.0012068904983701719</v>
      </c>
      <c r="M682">
        <v>0.0072413429902210323</v>
      </c>
      <c r="N682">
        <v>0.072940199196115774</v>
      </c>
      <c r="O682" t="s">
        <v>138</v>
      </c>
      <c r="P682">
        <v>0.0039419313723536844</v>
      </c>
      <c r="Q682" t="s">
        <v>138</v>
      </c>
      <c r="R682">
        <v>0.00043448057941326195</v>
      </c>
      <c r="S682" t="s">
        <v>139</v>
      </c>
      <c r="T682">
        <v>0.0087528239035338917</v>
      </c>
      <c r="U682">
        <v>0.086069435051416607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60</v>
      </c>
      <c r="AB682">
        <v>1</v>
      </c>
      <c r="AC682">
        <v>0.50</v>
      </c>
      <c r="AD682">
        <v>0.50345253019720215</v>
      </c>
      <c r="AE682">
        <v>70.20</v>
      </c>
      <c r="AF682">
        <v>200000</v>
      </c>
      <c r="AG682">
        <v>16666.666666666668</v>
      </c>
      <c r="AH682">
        <v>1</v>
      </c>
      <c r="AI682">
        <v>1</v>
      </c>
      <c r="AJ682" t="s">
        <v>136</v>
      </c>
      <c r="AK682" t="s">
        <v>137</v>
      </c>
      <c r="AL682">
        <v>0</v>
      </c>
      <c r="AM682" t="s">
        <v>137</v>
      </c>
      <c r="AN682">
        <v>0</v>
      </c>
    </row>
    <row r="683" spans="1:42" ht="12.75">
      <c r="A683" s="2" t="str">
        <f>HYPERLINK("https://ibp.a2mac1.com/costing(costing:projects/details/8191/process/6975392)","Injection molding")</f>
        <v>Injection molding</v>
      </c>
      <c r="B683" t="s">
        <v>4715</v>
      </c>
      <c r="C683">
        <v>6975392</v>
      </c>
      <c r="D683">
        <v>5388392</v>
      </c>
      <c r="E683">
        <v>0.031843601999999999</v>
      </c>
      <c r="F683">
        <v>0</v>
      </c>
      <c r="G683">
        <v>0</v>
      </c>
      <c r="H683">
        <v>0.0001615324572631579</v>
      </c>
      <c r="I683" t="s">
        <v>137</v>
      </c>
      <c r="J683">
        <v>0.0011173193684210526</v>
      </c>
      <c r="K683">
        <v>0.033122453825684212</v>
      </c>
      <c r="L683">
        <v>0.0005570249769950203</v>
      </c>
      <c r="M683">
        <v>0.003342149861970122</v>
      </c>
      <c r="N683">
        <v>0.036464603687654334</v>
      </c>
      <c r="O683" t="s">
        <v>138</v>
      </c>
      <c r="P683">
        <v>0.0019873472295410528</v>
      </c>
      <c r="Q683" t="s">
        <v>138</v>
      </c>
      <c r="R683">
        <v>0.00020052899171820731</v>
      </c>
      <c r="S683" t="s">
        <v>139</v>
      </c>
      <c r="T683">
        <v>0.0043757524425185202</v>
      </c>
      <c r="U683">
        <v>0.043028232351432112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60</v>
      </c>
      <c r="AB683">
        <v>1</v>
      </c>
      <c r="AC683">
        <v>0.50</v>
      </c>
      <c r="AD683">
        <v>0.50345253019720215</v>
      </c>
      <c r="AE683">
        <v>32.40</v>
      </c>
      <c r="AF683">
        <v>200000</v>
      </c>
      <c r="AG683">
        <v>16666.666666666668</v>
      </c>
      <c r="AH683">
        <v>1</v>
      </c>
      <c r="AI683">
        <v>1</v>
      </c>
      <c r="AJ683" t="s">
        <v>136</v>
      </c>
      <c r="AK683" t="s">
        <v>137</v>
      </c>
      <c r="AL683">
        <v>0</v>
      </c>
      <c r="AM683" t="s">
        <v>137</v>
      </c>
      <c r="AN683">
        <v>0</v>
      </c>
    </row>
    <row r="684" spans="1:42" ht="12.75">
      <c r="A684" s="2" t="str">
        <f>HYPERLINK("https://ibp.a2mac1.com/costing(costing:projects/details/8191/process/6975625)","Furnace heating")</f>
        <v>Furnace heating</v>
      </c>
      <c r="C684">
        <v>6975625</v>
      </c>
      <c r="D684">
        <v>5388769</v>
      </c>
      <c r="E684">
        <v>0.97337253999999995</v>
      </c>
      <c r="F684">
        <v>0</v>
      </c>
      <c r="G684">
        <v>0</v>
      </c>
      <c r="H684">
        <v>0.0079621873771999994</v>
      </c>
      <c r="I684" t="s">
        <v>137</v>
      </c>
      <c r="J684">
        <v>0.0340680389</v>
      </c>
      <c r="K684">
        <v>1.0154027662772001</v>
      </c>
      <c r="L684">
        <v>0.0050786011446949161</v>
      </c>
      <c r="M684">
        <v>0.030471606868169496</v>
      </c>
      <c r="N684">
        <v>1.0458743731453695</v>
      </c>
      <c r="O684" t="s">
        <v>90</v>
      </c>
      <c r="P684">
        <v>0</v>
      </c>
      <c r="Q684" t="s">
        <v>90</v>
      </c>
      <c r="R684">
        <v>0</v>
      </c>
      <c r="S684" t="s">
        <v>90</v>
      </c>
      <c r="T684">
        <v>0</v>
      </c>
      <c r="U684">
        <v>1.0458743731453695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31.69135</v>
      </c>
      <c r="AB684">
        <v>1</v>
      </c>
      <c r="AC684">
        <v>0.10</v>
      </c>
      <c r="AD684">
        <v>0.81136305024896349</v>
      </c>
      <c r="AE684">
        <v>1800</v>
      </c>
      <c r="AF684">
        <v>200000</v>
      </c>
      <c r="AG684">
        <v>16666.666666666668</v>
      </c>
      <c r="AH684">
        <v>1</v>
      </c>
      <c r="AI684">
        <v>1</v>
      </c>
      <c r="AJ684" t="s">
        <v>136</v>
      </c>
      <c r="AK684" t="s">
        <v>137</v>
      </c>
      <c r="AL684">
        <v>0</v>
      </c>
      <c r="AM684" t="s">
        <v>137</v>
      </c>
      <c r="AN684">
        <v>0</v>
      </c>
    </row>
    <row r="685" spans="1:42" ht="12.75">
      <c r="A685" s="2" t="str">
        <f>HYPERLINK("https://ibp.a2mac1.com/costing(costing:projects/details/8191/process/6975624)","Transport with laddle")</f>
        <v>Transport with laddle</v>
      </c>
      <c r="C685">
        <v>6975624</v>
      </c>
      <c r="D685">
        <v>5388769</v>
      </c>
      <c r="E685">
        <v>0</v>
      </c>
      <c r="F685">
        <v>0</v>
      </c>
      <c r="G685">
        <v>0</v>
      </c>
      <c r="H685">
        <v>0</v>
      </c>
      <c r="I685" t="s">
        <v>137</v>
      </c>
      <c r="J685">
        <v>0</v>
      </c>
      <c r="K685">
        <v>0</v>
      </c>
      <c r="L685">
        <v>0.0033461586793041478</v>
      </c>
      <c r="M685">
        <v>0.020076952075824887</v>
      </c>
      <c r="N685">
        <v>0.020076952075824887</v>
      </c>
      <c r="O685" t="s">
        <v>90</v>
      </c>
      <c r="P685">
        <v>0</v>
      </c>
      <c r="Q685" t="s">
        <v>90</v>
      </c>
      <c r="R685">
        <v>0</v>
      </c>
      <c r="S685" t="s">
        <v>90</v>
      </c>
      <c r="T685">
        <v>0</v>
      </c>
      <c r="U685">
        <v>0.020076952075824887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31.69135</v>
      </c>
      <c r="AB685">
        <v>1</v>
      </c>
      <c r="AC685">
        <v>0.10</v>
      </c>
      <c r="AD685">
        <v>0.71090988522181187</v>
      </c>
      <c r="AE685">
        <v>900</v>
      </c>
      <c r="AF685">
        <v>200000</v>
      </c>
      <c r="AG685">
        <v>16666.666666666668</v>
      </c>
      <c r="AH685">
        <v>1</v>
      </c>
      <c r="AI685">
        <v>1</v>
      </c>
      <c r="AJ685" t="s">
        <v>136</v>
      </c>
      <c r="AK685" t="s">
        <v>137</v>
      </c>
      <c r="AL685">
        <v>0</v>
      </c>
      <c r="AM685" t="s">
        <v>137</v>
      </c>
      <c r="AN685">
        <v>0</v>
      </c>
    </row>
    <row r="686" spans="1:42" ht="12.75">
      <c r="A686" s="2" t="str">
        <f>HYPERLINK("https://ibp.a2mac1.com/costing(costing:projects/details/8191/process/6975623)","Pressing (Cold Chamber)")</f>
        <v>Pressing (Cold Chamber)</v>
      </c>
      <c r="C686">
        <v>6975623</v>
      </c>
      <c r="D686">
        <v>5388769</v>
      </c>
      <c r="E686">
        <v>0</v>
      </c>
      <c r="F686">
        <v>0</v>
      </c>
      <c r="G686">
        <v>0</v>
      </c>
      <c r="H686">
        <v>0</v>
      </c>
      <c r="I686" t="s">
        <v>137</v>
      </c>
      <c r="J686">
        <v>0</v>
      </c>
      <c r="K686">
        <v>0</v>
      </c>
      <c r="L686">
        <v>0.03586455477919203</v>
      </c>
      <c r="M686">
        <v>0.21518732867515217</v>
      </c>
      <c r="N686">
        <v>0.21518732867515217</v>
      </c>
      <c r="O686" t="s">
        <v>90</v>
      </c>
      <c r="P686">
        <v>0</v>
      </c>
      <c r="Q686" t="s">
        <v>90</v>
      </c>
      <c r="R686">
        <v>0</v>
      </c>
      <c r="S686" t="s">
        <v>90</v>
      </c>
      <c r="T686">
        <v>0</v>
      </c>
      <c r="U686">
        <v>0.21518732867515217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31.69135</v>
      </c>
      <c r="AB686">
        <v>1</v>
      </c>
      <c r="AC686">
        <v>0.10</v>
      </c>
      <c r="AD686">
        <v>0.61025304629574417</v>
      </c>
      <c r="AE686">
        <v>7200</v>
      </c>
      <c r="AF686">
        <v>200000</v>
      </c>
      <c r="AG686">
        <v>16666.666666666668</v>
      </c>
      <c r="AH686">
        <v>1</v>
      </c>
      <c r="AI686">
        <v>1</v>
      </c>
      <c r="AJ686" t="s">
        <v>136</v>
      </c>
      <c r="AK686" t="s">
        <v>137</v>
      </c>
      <c r="AL686">
        <v>0</v>
      </c>
      <c r="AM686" t="s">
        <v>137</v>
      </c>
      <c r="AN686">
        <v>0</v>
      </c>
    </row>
    <row r="687" spans="1:42" ht="12.75">
      <c r="A687" s="2" t="str">
        <f>HYPERLINK("https://ibp.a2mac1.com/costing(costing:projects/details/8191/process/6975618)","Machining [ Drilling &amp; Threading ]")</f>
        <v>Machining [ Drilling &amp; Threading ]</v>
      </c>
      <c r="C687">
        <v>6975618</v>
      </c>
      <c r="D687">
        <v>5388769</v>
      </c>
      <c r="E687">
        <v>0</v>
      </c>
      <c r="F687">
        <v>0</v>
      </c>
      <c r="G687">
        <v>0</v>
      </c>
      <c r="H687">
        <v>0</v>
      </c>
      <c r="I687" t="s">
        <v>137</v>
      </c>
      <c r="J687">
        <v>0</v>
      </c>
      <c r="K687">
        <v>0</v>
      </c>
      <c r="L687">
        <v>0.076197484162598458</v>
      </c>
      <c r="M687">
        <v>0.45718490497559078</v>
      </c>
      <c r="N687">
        <v>0.45718490497559078</v>
      </c>
      <c r="O687" t="s">
        <v>90</v>
      </c>
      <c r="P687">
        <v>0</v>
      </c>
      <c r="Q687" t="s">
        <v>90</v>
      </c>
      <c r="R687">
        <v>0</v>
      </c>
      <c r="S687" t="s">
        <v>90</v>
      </c>
      <c r="T687">
        <v>0</v>
      </c>
      <c r="U687">
        <v>0.45718490497559078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60</v>
      </c>
      <c r="AB687">
        <v>1</v>
      </c>
      <c r="AC687">
        <v>0.10</v>
      </c>
      <c r="AD687">
        <v>0.50939191340337475</v>
      </c>
      <c r="AE687">
        <v>7200</v>
      </c>
      <c r="AF687">
        <v>200000</v>
      </c>
      <c r="AG687">
        <v>16666.666666666668</v>
      </c>
      <c r="AH687">
        <v>1</v>
      </c>
      <c r="AI687">
        <v>1</v>
      </c>
      <c r="AJ687" t="s">
        <v>136</v>
      </c>
      <c r="AK687" t="s">
        <v>137</v>
      </c>
      <c r="AL687">
        <v>0</v>
      </c>
      <c r="AM687" t="s">
        <v>137</v>
      </c>
      <c r="AN687">
        <v>0</v>
      </c>
    </row>
    <row r="688" spans="1:42" ht="12.75">
      <c r="A688" s="2" t="str">
        <f>HYPERLINK("https://ibp.a2mac1.com/costing(costing:projects/details/8191/process/6975621)","Trimming")</f>
        <v>Trimming</v>
      </c>
      <c r="C688">
        <v>6975621</v>
      </c>
      <c r="D688">
        <v>5388769</v>
      </c>
      <c r="E688">
        <v>0</v>
      </c>
      <c r="F688">
        <v>0</v>
      </c>
      <c r="G688">
        <v>0</v>
      </c>
      <c r="H688">
        <v>0</v>
      </c>
      <c r="I688" t="s">
        <v>137</v>
      </c>
      <c r="J688">
        <v>0</v>
      </c>
      <c r="K688">
        <v>0</v>
      </c>
      <c r="L688">
        <v>0.011854384363076181</v>
      </c>
      <c r="M688">
        <v>0.071126306178457083</v>
      </c>
      <c r="N688">
        <v>0.071126306178457083</v>
      </c>
      <c r="O688" t="s">
        <v>90</v>
      </c>
      <c r="P688">
        <v>0</v>
      </c>
      <c r="Q688" t="s">
        <v>90</v>
      </c>
      <c r="R688">
        <v>0</v>
      </c>
      <c r="S688" t="s">
        <v>90</v>
      </c>
      <c r="T688">
        <v>0</v>
      </c>
      <c r="U688">
        <v>0.071126306178457083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45</v>
      </c>
      <c r="AB688">
        <v>1</v>
      </c>
      <c r="AC688">
        <v>0.10</v>
      </c>
      <c r="AD688">
        <v>0.40832586395777315</v>
      </c>
      <c r="AE688">
        <v>0</v>
      </c>
      <c r="AF688">
        <v>200000</v>
      </c>
      <c r="AG688">
        <v>16666.666666666668</v>
      </c>
      <c r="AH688">
        <v>1</v>
      </c>
      <c r="AI688">
        <v>1</v>
      </c>
      <c r="AJ688" t="s">
        <v>136</v>
      </c>
      <c r="AK688" t="s">
        <v>137</v>
      </c>
      <c r="AL688">
        <v>0</v>
      </c>
      <c r="AM688" t="s">
        <v>137</v>
      </c>
      <c r="AN688">
        <v>0</v>
      </c>
    </row>
    <row r="689" spans="1:42" ht="12.75">
      <c r="A689" s="2" t="str">
        <f>HYPERLINK("https://ibp.a2mac1.com/costing(costing:projects/details/8191/process/6975622)","Deburing ")</f>
        <v xml:space="preserve">Deburing </v>
      </c>
      <c r="C689">
        <v>6975622</v>
      </c>
      <c r="D689">
        <v>5388769</v>
      </c>
      <c r="E689">
        <v>0</v>
      </c>
      <c r="F689">
        <v>0</v>
      </c>
      <c r="G689">
        <v>0</v>
      </c>
      <c r="H689">
        <v>0</v>
      </c>
      <c r="I689" t="s">
        <v>137</v>
      </c>
      <c r="J689">
        <v>0</v>
      </c>
      <c r="K689">
        <v>0</v>
      </c>
      <c r="L689">
        <v>0.034703629026045534</v>
      </c>
      <c r="M689">
        <v>0.20822177415627321</v>
      </c>
      <c r="N689">
        <v>0.20822177415627321</v>
      </c>
      <c r="O689" t="s">
        <v>90</v>
      </c>
      <c r="P689">
        <v>0</v>
      </c>
      <c r="Q689" t="s">
        <v>90</v>
      </c>
      <c r="R689">
        <v>0</v>
      </c>
      <c r="S689" t="s">
        <v>90</v>
      </c>
      <c r="T689">
        <v>0</v>
      </c>
      <c r="U689">
        <v>0.20822177415627321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125</v>
      </c>
      <c r="AB689">
        <v>1</v>
      </c>
      <c r="AC689">
        <v>0.10</v>
      </c>
      <c r="AD689">
        <v>0.30705427283965386</v>
      </c>
      <c r="AE689">
        <v>3600</v>
      </c>
      <c r="AF689">
        <v>200000</v>
      </c>
      <c r="AG689">
        <v>16666.666666666668</v>
      </c>
      <c r="AH689">
        <v>1</v>
      </c>
      <c r="AI689">
        <v>1</v>
      </c>
      <c r="AJ689" t="s">
        <v>136</v>
      </c>
      <c r="AK689" t="s">
        <v>137</v>
      </c>
      <c r="AL689">
        <v>0</v>
      </c>
      <c r="AM689" t="s">
        <v>137</v>
      </c>
      <c r="AN689">
        <v>0</v>
      </c>
    </row>
    <row r="690" spans="1:42" ht="12.75">
      <c r="A690" s="2" t="str">
        <f>HYPERLINK("https://ibp.a2mac1.com/costing(costing:projects/details/8191/process/6975619)","Inspection ")</f>
        <v xml:space="preserve">Inspection </v>
      </c>
      <c r="C690">
        <v>6975619</v>
      </c>
      <c r="D690">
        <v>5388769</v>
      </c>
      <c r="E690">
        <v>0</v>
      </c>
      <c r="F690">
        <v>0</v>
      </c>
      <c r="G690">
        <v>0</v>
      </c>
      <c r="H690">
        <v>0</v>
      </c>
      <c r="I690" t="s">
        <v>137</v>
      </c>
      <c r="J690">
        <v>0</v>
      </c>
      <c r="K690">
        <v>0</v>
      </c>
      <c r="L690">
        <v>0.0069075021292991307</v>
      </c>
      <c r="M690">
        <v>0.041445012775794786</v>
      </c>
      <c r="N690">
        <v>0.041445012775794786</v>
      </c>
      <c r="O690" t="s">
        <v>90</v>
      </c>
      <c r="P690">
        <v>0</v>
      </c>
      <c r="Q690" t="s">
        <v>90</v>
      </c>
      <c r="R690">
        <v>0</v>
      </c>
      <c r="S690" t="s">
        <v>90</v>
      </c>
      <c r="T690">
        <v>0</v>
      </c>
      <c r="U690">
        <v>0.041445012775794786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15</v>
      </c>
      <c r="AB690">
        <v>1</v>
      </c>
      <c r="AC690">
        <v>0.10</v>
      </c>
      <c r="AD690">
        <v>0.20557651238448796</v>
      </c>
      <c r="AE690">
        <v>900</v>
      </c>
      <c r="AF690">
        <v>200000</v>
      </c>
      <c r="AG690">
        <v>16666.666666666668</v>
      </c>
      <c r="AH690">
        <v>1</v>
      </c>
      <c r="AI690">
        <v>1</v>
      </c>
      <c r="AJ690" t="s">
        <v>136</v>
      </c>
      <c r="AK690" t="s">
        <v>137</v>
      </c>
      <c r="AL690">
        <v>0</v>
      </c>
      <c r="AM690" t="s">
        <v>137</v>
      </c>
      <c r="AN690">
        <v>0</v>
      </c>
    </row>
    <row r="691" spans="1:42" ht="12.75">
      <c r="A691" s="2" t="str">
        <f>HYPERLINK("https://ibp.a2mac1.com/costing(costing:projects/details/8191/process/6975620)","Handling/Packiging")</f>
        <v>Handling/Packiging</v>
      </c>
      <c r="C691">
        <v>6975620</v>
      </c>
      <c r="D691">
        <v>5388769</v>
      </c>
      <c r="E691">
        <v>0</v>
      </c>
      <c r="F691">
        <v>0</v>
      </c>
      <c r="G691">
        <v>0</v>
      </c>
      <c r="H691">
        <v>0</v>
      </c>
      <c r="I691" t="s">
        <v>137</v>
      </c>
      <c r="J691">
        <v>0</v>
      </c>
      <c r="K691">
        <v>0</v>
      </c>
      <c r="L691">
        <v>0.001485028192027284</v>
      </c>
      <c r="M691">
        <v>0.0089101691521637043</v>
      </c>
      <c r="N691">
        <v>0.0089101691521637043</v>
      </c>
      <c r="O691" t="s">
        <v>90</v>
      </c>
      <c r="P691">
        <v>0</v>
      </c>
      <c r="Q691" t="s">
        <v>90</v>
      </c>
      <c r="R691">
        <v>0</v>
      </c>
      <c r="S691" t="s">
        <v>90</v>
      </c>
      <c r="T691">
        <v>0</v>
      </c>
      <c r="U691">
        <v>0.0089101691521637043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5</v>
      </c>
      <c r="AB691">
        <v>1</v>
      </c>
      <c r="AC691">
        <v>0.10</v>
      </c>
      <c r="AD691">
        <v>0.10389195236953569</v>
      </c>
      <c r="AE691">
        <v>900</v>
      </c>
      <c r="AF691">
        <v>200000</v>
      </c>
      <c r="AG691">
        <v>16666.666666666668</v>
      </c>
      <c r="AH691">
        <v>1</v>
      </c>
      <c r="AI691">
        <v>1</v>
      </c>
      <c r="AJ691" t="s">
        <v>136</v>
      </c>
      <c r="AK691" t="s">
        <v>137</v>
      </c>
      <c r="AL691">
        <v>0</v>
      </c>
      <c r="AM691" t="s">
        <v>137</v>
      </c>
      <c r="AN691">
        <v>0</v>
      </c>
    </row>
    <row r="692" spans="1:42" ht="12.75">
      <c r="A692" s="2" t="str">
        <f>HYPERLINK("https://ibp.a2mac1.com/costing(costing:projects/details/8191/process/6975626)","Injection molding")</f>
        <v>Injection molding</v>
      </c>
      <c r="C692">
        <v>6975626</v>
      </c>
      <c r="D692">
        <v>5388771</v>
      </c>
      <c r="E692">
        <v>0.54094609622449796</v>
      </c>
      <c r="F692">
        <v>0</v>
      </c>
      <c r="G692">
        <v>0</v>
      </c>
      <c r="H692">
        <v>0.0011154425380868061</v>
      </c>
      <c r="I692" t="s">
        <v>137</v>
      </c>
      <c r="J692">
        <v>0.018951693608270977</v>
      </c>
      <c r="K692">
        <v>0.56101323237085576</v>
      </c>
      <c r="L692">
        <v>0.010304859139537006</v>
      </c>
      <c r="M692">
        <v>0.061829154837222046</v>
      </c>
      <c r="N692">
        <v>0.62284238720807783</v>
      </c>
      <c r="O692" t="s">
        <v>90</v>
      </c>
      <c r="P692">
        <v>0</v>
      </c>
      <c r="Q692" t="s">
        <v>90</v>
      </c>
      <c r="R692">
        <v>0</v>
      </c>
      <c r="S692" t="s">
        <v>90</v>
      </c>
      <c r="T692">
        <v>0</v>
      </c>
      <c r="U692">
        <v>0.62284238720807783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26.570250000000001</v>
      </c>
      <c r="AB692">
        <v>1</v>
      </c>
      <c r="AC692">
        <v>0.10</v>
      </c>
      <c r="AD692">
        <v>0.20557651238448796</v>
      </c>
      <c r="AE692">
        <v>7200</v>
      </c>
      <c r="AF692">
        <v>200000</v>
      </c>
      <c r="AG692">
        <v>16666.666666666668</v>
      </c>
      <c r="AH692">
        <v>1</v>
      </c>
      <c r="AI692">
        <v>1</v>
      </c>
      <c r="AJ692" t="s">
        <v>136</v>
      </c>
      <c r="AK692" t="s">
        <v>137</v>
      </c>
      <c r="AL692">
        <v>0</v>
      </c>
      <c r="AM692" t="s">
        <v>137</v>
      </c>
      <c r="AN692">
        <v>0</v>
      </c>
    </row>
    <row r="693" spans="1:42" ht="12.75">
      <c r="A693" s="2" t="str">
        <f>HYPERLINK("https://ibp.a2mac1.com/costing(costing:projects/details/8191/process/6975627)","Handling/Visual Inspection/Packaging")</f>
        <v>Handling/Visual Inspection/Packaging</v>
      </c>
      <c r="C693">
        <v>6975627</v>
      </c>
      <c r="D693">
        <v>5388771</v>
      </c>
      <c r="E693">
        <v>0</v>
      </c>
      <c r="F693">
        <v>0</v>
      </c>
      <c r="G693">
        <v>0</v>
      </c>
      <c r="H693">
        <v>0</v>
      </c>
      <c r="I693" t="s">
        <v>137</v>
      </c>
      <c r="J693">
        <v>0</v>
      </c>
      <c r="K693">
        <v>0</v>
      </c>
      <c r="L693">
        <v>0.0086216394843006</v>
      </c>
      <c r="M693">
        <v>0.0517298369058036</v>
      </c>
      <c r="N693">
        <v>0.0517298369058036</v>
      </c>
      <c r="O693" t="s">
        <v>90</v>
      </c>
      <c r="P693">
        <v>0</v>
      </c>
      <c r="Q693" t="s">
        <v>90</v>
      </c>
      <c r="R693">
        <v>0</v>
      </c>
      <c r="S693" t="s">
        <v>90</v>
      </c>
      <c r="T693">
        <v>0</v>
      </c>
      <c r="U693">
        <v>0.0517298369058036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30</v>
      </c>
      <c r="AB693">
        <v>1</v>
      </c>
      <c r="AC693">
        <v>0.10</v>
      </c>
      <c r="AD693">
        <v>0.10389195236953569</v>
      </c>
      <c r="AE693">
        <v>900</v>
      </c>
      <c r="AF693">
        <v>200000</v>
      </c>
      <c r="AG693">
        <v>16666.666666666668</v>
      </c>
      <c r="AH693">
        <v>1</v>
      </c>
      <c r="AI693">
        <v>1</v>
      </c>
      <c r="AJ693" t="s">
        <v>136</v>
      </c>
      <c r="AK693" t="s">
        <v>137</v>
      </c>
      <c r="AL693">
        <v>0</v>
      </c>
      <c r="AM693" t="s">
        <v>137</v>
      </c>
      <c r="AN693">
        <v>0</v>
      </c>
    </row>
    <row r="694" spans="1:42" ht="12.75">
      <c r="A694" s="2" t="str">
        <f>HYPERLINK("https://ibp.a2mac1.com/costing(costing:projects/details/8191/process/6975628)","Injection molding")</f>
        <v>Injection molding</v>
      </c>
      <c r="C694">
        <v>6975628</v>
      </c>
      <c r="D694">
        <v>5388774</v>
      </c>
      <c r="E694">
        <v>0.34669604295951417</v>
      </c>
      <c r="F694">
        <v>0</v>
      </c>
      <c r="G694">
        <v>0</v>
      </c>
      <c r="H694">
        <v>0.00071489473129115696</v>
      </c>
      <c r="I694" t="s">
        <v>137</v>
      </c>
      <c r="J694">
        <v>0.012146269706403152</v>
      </c>
      <c r="K694">
        <v>0.35955720739720848</v>
      </c>
      <c r="L694">
        <v>0.013061257845042909</v>
      </c>
      <c r="M694">
        <v>0.078367547070257462</v>
      </c>
      <c r="N694">
        <v>0.43792475446746593</v>
      </c>
      <c r="O694" t="s">
        <v>90</v>
      </c>
      <c r="P694">
        <v>0</v>
      </c>
      <c r="Q694" t="s">
        <v>90</v>
      </c>
      <c r="R694">
        <v>0</v>
      </c>
      <c r="S694" t="s">
        <v>90</v>
      </c>
      <c r="T694">
        <v>0</v>
      </c>
      <c r="U694">
        <v>0.43792475446746593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25.304600000000001</v>
      </c>
      <c r="AB694">
        <v>1</v>
      </c>
      <c r="AC694">
        <v>0.10</v>
      </c>
      <c r="AD694">
        <v>0.20557651238448796</v>
      </c>
      <c r="AE694">
        <v>7200</v>
      </c>
      <c r="AF694">
        <v>200000</v>
      </c>
      <c r="AG694">
        <v>16666.666666666668</v>
      </c>
      <c r="AH694">
        <v>1</v>
      </c>
      <c r="AI694">
        <v>1</v>
      </c>
      <c r="AJ694" t="s">
        <v>136</v>
      </c>
      <c r="AK694" t="s">
        <v>137</v>
      </c>
      <c r="AL694">
        <v>0</v>
      </c>
      <c r="AM694" t="s">
        <v>137</v>
      </c>
      <c r="AN694">
        <v>0</v>
      </c>
    </row>
    <row r="695" spans="1:42" ht="12.75">
      <c r="A695" s="2" t="str">
        <f>HYPERLINK("https://ibp.a2mac1.com/costing(costing:projects/details/8191/process/6975629)","Handling/Visual Inspection/Packaging")</f>
        <v>Handling/Visual Inspection/Packaging</v>
      </c>
      <c r="C695">
        <v>6975629</v>
      </c>
      <c r="D695">
        <v>5388774</v>
      </c>
      <c r="E695">
        <v>0</v>
      </c>
      <c r="F695">
        <v>0</v>
      </c>
      <c r="G695">
        <v>0</v>
      </c>
      <c r="H695">
        <v>0</v>
      </c>
      <c r="I695" t="s">
        <v>137</v>
      </c>
      <c r="J695">
        <v>0</v>
      </c>
      <c r="K695">
        <v>0</v>
      </c>
      <c r="L695">
        <v>0.0086216394843006</v>
      </c>
      <c r="M695">
        <v>0.0517298369058036</v>
      </c>
      <c r="N695">
        <v>0.0517298369058036</v>
      </c>
      <c r="O695" t="s">
        <v>90</v>
      </c>
      <c r="P695">
        <v>0</v>
      </c>
      <c r="Q695" t="s">
        <v>90</v>
      </c>
      <c r="R695">
        <v>0</v>
      </c>
      <c r="S695" t="s">
        <v>90</v>
      </c>
      <c r="T695">
        <v>0</v>
      </c>
      <c r="U695">
        <v>0.0517298369058036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30</v>
      </c>
      <c r="AB695">
        <v>1</v>
      </c>
      <c r="AC695">
        <v>0.10</v>
      </c>
      <c r="AD695">
        <v>0.10389195236953569</v>
      </c>
      <c r="AE695">
        <v>900</v>
      </c>
      <c r="AF695">
        <v>200000</v>
      </c>
      <c r="AG695">
        <v>16666.666666666668</v>
      </c>
      <c r="AH695">
        <v>1</v>
      </c>
      <c r="AI695">
        <v>1</v>
      </c>
      <c r="AJ695" t="s">
        <v>136</v>
      </c>
      <c r="AK695" t="s">
        <v>137</v>
      </c>
      <c r="AL695">
        <v>0</v>
      </c>
      <c r="AM695" t="s">
        <v>137</v>
      </c>
      <c r="AN695">
        <v>0</v>
      </c>
    </row>
    <row r="696" spans="1:42" ht="12.75">
      <c r="A696" s="2" t="str">
        <f>HYPERLINK("https://ibp.a2mac1.com/costing(costing:projects/details/8191/process/6975631)","Injection molding")</f>
        <v>Injection molding</v>
      </c>
      <c r="B696" t="s">
        <v>4969</v>
      </c>
      <c r="C696">
        <v>6975631</v>
      </c>
      <c r="D696">
        <v>5388775</v>
      </c>
      <c r="E696">
        <v>0.24588371841100296</v>
      </c>
      <c r="F696">
        <v>0</v>
      </c>
      <c r="G696">
        <v>0</v>
      </c>
      <c r="H696">
        <v>0.00050701753992280635</v>
      </c>
      <c r="I696" t="s">
        <v>137</v>
      </c>
      <c r="J696">
        <v>0.0086143756783001093</v>
      </c>
      <c r="K696">
        <v>0.25500511162922584</v>
      </c>
      <c r="L696">
        <v>0.0050986253612791618</v>
      </c>
      <c r="M696">
        <v>0.030591752167674971</v>
      </c>
      <c r="N696">
        <v>0.28559686379690086</v>
      </c>
      <c r="O696" t="s">
        <v>90</v>
      </c>
      <c r="P696">
        <v>0</v>
      </c>
      <c r="Q696" t="s">
        <v>90</v>
      </c>
      <c r="R696">
        <v>0</v>
      </c>
      <c r="S696" t="s">
        <v>90</v>
      </c>
      <c r="T696">
        <v>0</v>
      </c>
      <c r="U696">
        <v>0.28559686379690086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9.8287700000000005</v>
      </c>
      <c r="AB696">
        <v>1</v>
      </c>
      <c r="AC696">
        <v>0.10</v>
      </c>
      <c r="AD696">
        <v>0.20557651238448796</v>
      </c>
      <c r="AE696">
        <v>7200</v>
      </c>
      <c r="AF696">
        <v>200000</v>
      </c>
      <c r="AG696">
        <v>16666.666666666668</v>
      </c>
      <c r="AH696">
        <v>1</v>
      </c>
      <c r="AI696">
        <v>1</v>
      </c>
      <c r="AJ696" t="s">
        <v>136</v>
      </c>
      <c r="AK696" t="s">
        <v>137</v>
      </c>
      <c r="AL696">
        <v>0</v>
      </c>
      <c r="AM696" t="s">
        <v>137</v>
      </c>
      <c r="AN696">
        <v>0</v>
      </c>
    </row>
    <row r="697" spans="1:42" ht="12.75">
      <c r="A697" s="2" t="str">
        <f>HYPERLINK("https://ibp.a2mac1.com/costing(costing:projects/details/8191/process/6975630)","Handling/Visual Inspection/Packaging")</f>
        <v>Handling/Visual Inspection/Packaging</v>
      </c>
      <c r="C697">
        <v>6975630</v>
      </c>
      <c r="D697">
        <v>5388775</v>
      </c>
      <c r="E697">
        <v>0</v>
      </c>
      <c r="F697">
        <v>0</v>
      </c>
      <c r="G697">
        <v>0</v>
      </c>
      <c r="H697">
        <v>0</v>
      </c>
      <c r="I697" t="s">
        <v>137</v>
      </c>
      <c r="J697">
        <v>0</v>
      </c>
      <c r="K697">
        <v>0</v>
      </c>
      <c r="L697">
        <v>0.0043123727571503703</v>
      </c>
      <c r="M697">
        <v>0.025874236542902225</v>
      </c>
      <c r="N697">
        <v>0.025874236542902225</v>
      </c>
      <c r="O697" t="s">
        <v>90</v>
      </c>
      <c r="P697">
        <v>0</v>
      </c>
      <c r="Q697" t="s">
        <v>90</v>
      </c>
      <c r="R697">
        <v>0</v>
      </c>
      <c r="S697" t="s">
        <v>90</v>
      </c>
      <c r="T697">
        <v>0</v>
      </c>
      <c r="U697">
        <v>0.025874236542902225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15</v>
      </c>
      <c r="AB697">
        <v>1</v>
      </c>
      <c r="AC697">
        <v>0.10</v>
      </c>
      <c r="AD697">
        <v>0.10389195236953569</v>
      </c>
      <c r="AE697">
        <v>900</v>
      </c>
      <c r="AF697">
        <v>200000</v>
      </c>
      <c r="AG697">
        <v>16666.666666666668</v>
      </c>
      <c r="AH697">
        <v>1</v>
      </c>
      <c r="AI697">
        <v>1</v>
      </c>
      <c r="AJ697" t="s">
        <v>136</v>
      </c>
      <c r="AK697" t="s">
        <v>137</v>
      </c>
      <c r="AL697">
        <v>0</v>
      </c>
      <c r="AM697" t="s">
        <v>137</v>
      </c>
      <c r="AN697">
        <v>0</v>
      </c>
    </row>
    <row r="698" spans="1:42" ht="12.75">
      <c r="A698" s="2" t="str">
        <f>HYPERLINK("https://ibp.a2mac1.com/costing(costing:projects/details/8191/process/6975632)","Injection molding")</f>
        <v>Injection molding</v>
      </c>
      <c r="C698">
        <v>6975632</v>
      </c>
      <c r="D698">
        <v>5388776</v>
      </c>
      <c r="E698">
        <v>0.23850720685867285</v>
      </c>
      <c r="F698">
        <v>0</v>
      </c>
      <c r="G698">
        <v>0</v>
      </c>
      <c r="H698">
        <v>0.0004918070137251222</v>
      </c>
      <c r="I698" t="s">
        <v>137</v>
      </c>
      <c r="J698">
        <v>0.0083559444079511058</v>
      </c>
      <c r="K698">
        <v>0.24735495828034909</v>
      </c>
      <c r="L698">
        <v>0.011832580729144743</v>
      </c>
      <c r="M698">
        <v>0.070995484374868467</v>
      </c>
      <c r="N698">
        <v>0.31835044265521756</v>
      </c>
      <c r="O698" t="s">
        <v>90</v>
      </c>
      <c r="P698">
        <v>0</v>
      </c>
      <c r="Q698" t="s">
        <v>90</v>
      </c>
      <c r="R698">
        <v>0</v>
      </c>
      <c r="S698" t="s">
        <v>90</v>
      </c>
      <c r="T698">
        <v>0</v>
      </c>
      <c r="U698">
        <v>0.31835044265521756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25.117660000000001</v>
      </c>
      <c r="AB698">
        <v>1</v>
      </c>
      <c r="AC698">
        <v>0.10</v>
      </c>
      <c r="AD698">
        <v>0.20557651238448796</v>
      </c>
      <c r="AE698">
        <v>7200</v>
      </c>
      <c r="AF698">
        <v>200000</v>
      </c>
      <c r="AG698">
        <v>16666.666666666668</v>
      </c>
      <c r="AH698">
        <v>1</v>
      </c>
      <c r="AI698">
        <v>1</v>
      </c>
      <c r="AJ698" t="s">
        <v>136</v>
      </c>
      <c r="AK698" t="s">
        <v>137</v>
      </c>
      <c r="AL698">
        <v>0</v>
      </c>
      <c r="AM698" t="s">
        <v>137</v>
      </c>
      <c r="AN698">
        <v>0</v>
      </c>
    </row>
    <row r="699" spans="1:42" ht="12.75">
      <c r="A699" s="2" t="str">
        <f>HYPERLINK("https://ibp.a2mac1.com/costing(costing:projects/details/8191/process/6975633)","Handling/Visual Inspection/Packaging")</f>
        <v>Handling/Visual Inspection/Packaging</v>
      </c>
      <c r="C699">
        <v>6975633</v>
      </c>
      <c r="D699">
        <v>5388776</v>
      </c>
      <c r="E699">
        <v>0</v>
      </c>
      <c r="F699">
        <v>0</v>
      </c>
      <c r="G699">
        <v>0</v>
      </c>
      <c r="H699">
        <v>0</v>
      </c>
      <c r="I699" t="s">
        <v>137</v>
      </c>
      <c r="J699">
        <v>0</v>
      </c>
      <c r="K699">
        <v>0</v>
      </c>
      <c r="L699">
        <v>0.0086216394843006</v>
      </c>
      <c r="M699">
        <v>0.0517298369058036</v>
      </c>
      <c r="N699">
        <v>0.0517298369058036</v>
      </c>
      <c r="O699" t="s">
        <v>90</v>
      </c>
      <c r="P699">
        <v>0</v>
      </c>
      <c r="Q699" t="s">
        <v>90</v>
      </c>
      <c r="R699">
        <v>0</v>
      </c>
      <c r="S699" t="s">
        <v>90</v>
      </c>
      <c r="T699">
        <v>0</v>
      </c>
      <c r="U699">
        <v>0.0517298369058036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30</v>
      </c>
      <c r="AB699">
        <v>1</v>
      </c>
      <c r="AC699">
        <v>0.10</v>
      </c>
      <c r="AD699">
        <v>0.10389195236953569</v>
      </c>
      <c r="AE699">
        <v>900</v>
      </c>
      <c r="AF699">
        <v>200000</v>
      </c>
      <c r="AG699">
        <v>16666.666666666668</v>
      </c>
      <c r="AH699">
        <v>1</v>
      </c>
      <c r="AI699">
        <v>1</v>
      </c>
      <c r="AJ699" t="s">
        <v>136</v>
      </c>
      <c r="AK699" t="s">
        <v>137</v>
      </c>
      <c r="AL699">
        <v>0</v>
      </c>
      <c r="AM699" t="s">
        <v>137</v>
      </c>
      <c r="AN699">
        <v>0</v>
      </c>
    </row>
    <row r="700" spans="1:42" ht="12.75">
      <c r="A700" s="2" t="str">
        <f>HYPERLINK("https://ibp.a2mac1.com/costing(costing:projects/details/8191/process/6975634)","Injection molding")</f>
        <v>Injection molding</v>
      </c>
      <c r="B700" t="s">
        <v>4715</v>
      </c>
      <c r="C700">
        <v>6975634</v>
      </c>
      <c r="D700">
        <v>5388777</v>
      </c>
      <c r="E700">
        <v>0.0449586165</v>
      </c>
      <c r="F700">
        <v>0</v>
      </c>
      <c r="G700">
        <v>0</v>
      </c>
      <c r="H700">
        <v>0.00022806075136842105</v>
      </c>
      <c r="I700" t="s">
        <v>137</v>
      </c>
      <c r="J700">
        <v>0.0015774953157894737</v>
      </c>
      <c r="K700">
        <v>0.046764172567157897</v>
      </c>
      <c r="L700">
        <v>0.0015782573654511507</v>
      </c>
      <c r="M700">
        <v>0.0094695441927069041</v>
      </c>
      <c r="N700">
        <v>0.056233716759864799</v>
      </c>
      <c r="O700" t="s">
        <v>90</v>
      </c>
      <c r="P700">
        <v>0</v>
      </c>
      <c r="Q700" t="s">
        <v>90</v>
      </c>
      <c r="R700">
        <v>0</v>
      </c>
      <c r="S700" t="s">
        <v>90</v>
      </c>
      <c r="T700">
        <v>0</v>
      </c>
      <c r="U700">
        <v>0.056233716759864799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60</v>
      </c>
      <c r="AB700">
        <v>1</v>
      </c>
      <c r="AC700">
        <v>0.50</v>
      </c>
      <c r="AD700">
        <v>0.50345253019720215</v>
      </c>
      <c r="AE700">
        <v>91.80</v>
      </c>
      <c r="AF700">
        <v>200000</v>
      </c>
      <c r="AG700">
        <v>16666.666666666668</v>
      </c>
      <c r="AH700">
        <v>1</v>
      </c>
      <c r="AI700">
        <v>1</v>
      </c>
      <c r="AJ700" t="s">
        <v>136</v>
      </c>
      <c r="AK700" t="s">
        <v>137</v>
      </c>
      <c r="AL700">
        <v>0</v>
      </c>
      <c r="AM700" t="s">
        <v>137</v>
      </c>
      <c r="AN700">
        <v>0</v>
      </c>
    </row>
    <row r="701" spans="1:42" ht="12.75">
      <c r="A701" s="2" t="str">
        <f>HYPERLINK("https://ibp.a2mac1.com/costing(costing:projects/details/8191/process/6975635)","Injection molding")</f>
        <v>Injection molding</v>
      </c>
      <c r="B701" t="s">
        <v>4715</v>
      </c>
      <c r="C701">
        <v>6975635</v>
      </c>
      <c r="D701">
        <v>5388778</v>
      </c>
      <c r="E701">
        <v>0.019834683749999998</v>
      </c>
      <c r="F701">
        <v>0</v>
      </c>
      <c r="G701">
        <v>0</v>
      </c>
      <c r="H701">
        <v>0.00010061503736842106</v>
      </c>
      <c r="I701" t="s">
        <v>137</v>
      </c>
      <c r="J701">
        <v>0.00069595381578947365</v>
      </c>
      <c r="K701">
        <v>0.020631252603157894</v>
      </c>
      <c r="L701">
        <v>0.00069627330761051049</v>
      </c>
      <c r="M701">
        <v>0.0041776398456630634</v>
      </c>
      <c r="N701">
        <v>0.024808892448820959</v>
      </c>
      <c r="O701" t="s">
        <v>90</v>
      </c>
      <c r="P701">
        <v>0</v>
      </c>
      <c r="Q701" t="s">
        <v>90</v>
      </c>
      <c r="R701">
        <v>0</v>
      </c>
      <c r="S701" t="s">
        <v>90</v>
      </c>
      <c r="T701">
        <v>0</v>
      </c>
      <c r="U701">
        <v>0.024808892448820959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60</v>
      </c>
      <c r="AB701">
        <v>1</v>
      </c>
      <c r="AC701">
        <v>0.50</v>
      </c>
      <c r="AD701">
        <v>0.50345253019720215</v>
      </c>
      <c r="AE701">
        <v>40.50</v>
      </c>
      <c r="AF701">
        <v>200000</v>
      </c>
      <c r="AG701">
        <v>16666.666666666668</v>
      </c>
      <c r="AH701">
        <v>1</v>
      </c>
      <c r="AI701">
        <v>1</v>
      </c>
      <c r="AJ701" t="s">
        <v>136</v>
      </c>
      <c r="AK701" t="s">
        <v>137</v>
      </c>
      <c r="AL701">
        <v>0</v>
      </c>
      <c r="AM701" t="s">
        <v>137</v>
      </c>
      <c r="AN701">
        <v>0</v>
      </c>
    </row>
    <row r="702" spans="1:42" ht="12.75">
      <c r="A702" s="2" t="str">
        <f>HYPERLINK("https://ibp.a2mac1.com/costing(costing:projects/details/8191/process/6975636)","Furnace heating")</f>
        <v>Furnace heating</v>
      </c>
      <c r="C702">
        <v>6975636</v>
      </c>
      <c r="D702">
        <v>5388782</v>
      </c>
      <c r="E702">
        <v>0.071102780000000004</v>
      </c>
      <c r="F702">
        <v>0</v>
      </c>
      <c r="G702">
        <v>0</v>
      </c>
      <c r="H702">
        <v>0.0002189965624</v>
      </c>
      <c r="I702" t="s">
        <v>137</v>
      </c>
      <c r="J702">
        <v>0.0024885973</v>
      </c>
      <c r="K702">
        <v>0.073810373862399997</v>
      </c>
      <c r="L702">
        <v>0.00290433098751653</v>
      </c>
      <c r="M702">
        <v>0.017425985925099179</v>
      </c>
      <c r="N702">
        <v>0.09123635978749918</v>
      </c>
      <c r="O702" t="s">
        <v>90</v>
      </c>
      <c r="P702">
        <v>0</v>
      </c>
      <c r="Q702" t="s">
        <v>90</v>
      </c>
      <c r="R702">
        <v>0</v>
      </c>
      <c r="S702" t="s">
        <v>90</v>
      </c>
      <c r="T702">
        <v>0</v>
      </c>
      <c r="U702">
        <v>0.09123635978749918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17.964390000000002</v>
      </c>
      <c r="AB702">
        <v>1</v>
      </c>
      <c r="AC702">
        <v>0.10</v>
      </c>
      <c r="AD702">
        <v>0.30705427283965386</v>
      </c>
      <c r="AE702">
        <v>1800</v>
      </c>
      <c r="AF702">
        <v>200000</v>
      </c>
      <c r="AG702">
        <v>16666.666666666668</v>
      </c>
      <c r="AH702">
        <v>1</v>
      </c>
      <c r="AI702">
        <v>1</v>
      </c>
      <c r="AJ702" t="s">
        <v>136</v>
      </c>
      <c r="AK702" t="s">
        <v>137</v>
      </c>
      <c r="AL702">
        <v>0</v>
      </c>
      <c r="AM702" t="s">
        <v>137</v>
      </c>
      <c r="AN702">
        <v>0</v>
      </c>
    </row>
    <row r="703" spans="1:42" ht="12.75">
      <c r="A703" s="2" t="str">
        <f>HYPERLINK("https://ibp.a2mac1.com/costing(costing:projects/details/8191/process/6975637)","Transport with laddle")</f>
        <v>Transport with laddle</v>
      </c>
      <c r="C703">
        <v>6975637</v>
      </c>
      <c r="D703">
        <v>5388782</v>
      </c>
      <c r="E703">
        <v>0</v>
      </c>
      <c r="F703">
        <v>0</v>
      </c>
      <c r="G703">
        <v>0</v>
      </c>
      <c r="H703">
        <v>0</v>
      </c>
      <c r="I703" t="s">
        <v>137</v>
      </c>
      <c r="J703">
        <v>0</v>
      </c>
      <c r="K703">
        <v>0</v>
      </c>
      <c r="L703">
        <v>0.0018896338163316823</v>
      </c>
      <c r="M703">
        <v>0.011337802897990095</v>
      </c>
      <c r="N703">
        <v>0.011337802897990095</v>
      </c>
      <c r="O703" t="s">
        <v>90</v>
      </c>
      <c r="P703">
        <v>0</v>
      </c>
      <c r="Q703" t="s">
        <v>90</v>
      </c>
      <c r="R703">
        <v>0</v>
      </c>
      <c r="S703" t="s">
        <v>90</v>
      </c>
      <c r="T703">
        <v>0</v>
      </c>
      <c r="U703">
        <v>0.011337802897990095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17.964390000000002</v>
      </c>
      <c r="AB703">
        <v>1</v>
      </c>
      <c r="AC703">
        <v>0.10</v>
      </c>
      <c r="AD703">
        <v>0.20557651238448796</v>
      </c>
      <c r="AE703">
        <v>900</v>
      </c>
      <c r="AF703">
        <v>200000</v>
      </c>
      <c r="AG703">
        <v>16666.666666666668</v>
      </c>
      <c r="AH703">
        <v>1</v>
      </c>
      <c r="AI703">
        <v>1</v>
      </c>
      <c r="AJ703" t="s">
        <v>136</v>
      </c>
      <c r="AK703" t="s">
        <v>137</v>
      </c>
      <c r="AL703">
        <v>0</v>
      </c>
      <c r="AM703" t="s">
        <v>137</v>
      </c>
      <c r="AN703">
        <v>0</v>
      </c>
    </row>
    <row r="704" spans="1:42" ht="12.75">
      <c r="A704" s="2" t="str">
        <f>HYPERLINK("https://ibp.a2mac1.com/costing(costing:projects/details/8191/process/6975638)","Pressing (Cold Chamber)")</f>
        <v>Pressing (Cold Chamber)</v>
      </c>
      <c r="C704">
        <v>6975638</v>
      </c>
      <c r="D704">
        <v>5388782</v>
      </c>
      <c r="E704">
        <v>0</v>
      </c>
      <c r="F704">
        <v>0</v>
      </c>
      <c r="G704">
        <v>0</v>
      </c>
      <c r="H704">
        <v>0</v>
      </c>
      <c r="I704" t="s">
        <v>137</v>
      </c>
      <c r="J704">
        <v>0</v>
      </c>
      <c r="K704">
        <v>0</v>
      </c>
      <c r="L704">
        <v>0.018054282864350648</v>
      </c>
      <c r="M704">
        <v>0.10832569718610388</v>
      </c>
      <c r="N704">
        <v>0.10832569718610388</v>
      </c>
      <c r="O704" t="s">
        <v>90</v>
      </c>
      <c r="P704">
        <v>0</v>
      </c>
      <c r="Q704" t="s">
        <v>90</v>
      </c>
      <c r="R704">
        <v>0</v>
      </c>
      <c r="S704" t="s">
        <v>90</v>
      </c>
      <c r="T704">
        <v>0</v>
      </c>
      <c r="U704">
        <v>0.10832569718610388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17.964390000000002</v>
      </c>
      <c r="AB704">
        <v>1</v>
      </c>
      <c r="AC704">
        <v>0.10</v>
      </c>
      <c r="AD704">
        <v>0.10389195236953569</v>
      </c>
      <c r="AE704">
        <v>7200</v>
      </c>
      <c r="AF704">
        <v>200000</v>
      </c>
      <c r="AG704">
        <v>16666.666666666668</v>
      </c>
      <c r="AH704">
        <v>1</v>
      </c>
      <c r="AI704">
        <v>1</v>
      </c>
      <c r="AJ704" t="s">
        <v>136</v>
      </c>
      <c r="AK704" t="s">
        <v>137</v>
      </c>
      <c r="AL704">
        <v>0</v>
      </c>
      <c r="AM704" t="s">
        <v>137</v>
      </c>
      <c r="AN704">
        <v>0</v>
      </c>
    </row>
    <row r="705" spans="1:42" ht="12.75">
      <c r="A705" s="2" t="str">
        <f>HYPERLINK("https://ibp.a2mac1.com/costing(costing:projects/details/8191/process/6975657)","Injection molding")</f>
        <v>Injection molding</v>
      </c>
      <c r="C705">
        <v>6975657</v>
      </c>
      <c r="D705">
        <v>5388784</v>
      </c>
      <c r="E705">
        <v>0.4558260683635566</v>
      </c>
      <c r="F705">
        <v>0</v>
      </c>
      <c r="G705">
        <v>0</v>
      </c>
      <c r="H705">
        <v>0.0014053220683155308</v>
      </c>
      <c r="I705" t="s">
        <v>137</v>
      </c>
      <c r="J705">
        <v>0.015969568958131033</v>
      </c>
      <c r="K705">
        <v>0.47320095939000317</v>
      </c>
      <c r="L705">
        <v>0.018803950772439838</v>
      </c>
      <c r="M705">
        <v>0.11282370463463903</v>
      </c>
      <c r="N705">
        <v>0.58602466402464226</v>
      </c>
      <c r="O705" t="s">
        <v>90</v>
      </c>
      <c r="P705">
        <v>0</v>
      </c>
      <c r="Q705" t="s">
        <v>90</v>
      </c>
      <c r="R705">
        <v>0</v>
      </c>
      <c r="S705" t="s">
        <v>90</v>
      </c>
      <c r="T705">
        <v>0</v>
      </c>
      <c r="U705">
        <v>0.58602466402464226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37.106050000000003</v>
      </c>
      <c r="AB705">
        <v>1</v>
      </c>
      <c r="AC705">
        <v>0.10</v>
      </c>
      <c r="AD705">
        <v>0.30705427283965386</v>
      </c>
      <c r="AE705">
        <v>7200</v>
      </c>
      <c r="AF705">
        <v>200000</v>
      </c>
      <c r="AG705">
        <v>16666.666666666668</v>
      </c>
      <c r="AH705">
        <v>1</v>
      </c>
      <c r="AI705">
        <v>1</v>
      </c>
      <c r="AJ705" t="s">
        <v>136</v>
      </c>
      <c r="AK705" t="s">
        <v>137</v>
      </c>
      <c r="AL705">
        <v>0</v>
      </c>
      <c r="AM705" t="s">
        <v>137</v>
      </c>
      <c r="AN705">
        <v>0</v>
      </c>
    </row>
    <row r="706" spans="1:42" ht="12.75">
      <c r="A706" s="2" t="str">
        <f>HYPERLINK("https://ibp.a2mac1.com/costing(costing:projects/details/8191/process/6975659)","Handling and Packaging")</f>
        <v>Handling and Packaging</v>
      </c>
      <c r="C706">
        <v>6975659</v>
      </c>
      <c r="D706">
        <v>5388784</v>
      </c>
      <c r="E706">
        <v>0</v>
      </c>
      <c r="F706">
        <v>0</v>
      </c>
      <c r="G706">
        <v>0</v>
      </c>
      <c r="H706">
        <v>0</v>
      </c>
      <c r="I706" t="s">
        <v>137</v>
      </c>
      <c r="J706">
        <v>0</v>
      </c>
      <c r="K706">
        <v>0</v>
      </c>
      <c r="L706">
        <v>0.013182492870361124</v>
      </c>
      <c r="M706">
        <v>0.079094957222166751</v>
      </c>
      <c r="N706">
        <v>0.079094957222166751</v>
      </c>
      <c r="O706" t="s">
        <v>90</v>
      </c>
      <c r="P706">
        <v>0</v>
      </c>
      <c r="Q706" t="s">
        <v>90</v>
      </c>
      <c r="R706">
        <v>0</v>
      </c>
      <c r="S706" t="s">
        <v>90</v>
      </c>
      <c r="T706">
        <v>0</v>
      </c>
      <c r="U706">
        <v>0.079094957222166751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45</v>
      </c>
      <c r="AB706">
        <v>1</v>
      </c>
      <c r="AC706">
        <v>0.10</v>
      </c>
      <c r="AD706">
        <v>0.20557651238448796</v>
      </c>
      <c r="AE706">
        <v>900</v>
      </c>
      <c r="AF706">
        <v>200000</v>
      </c>
      <c r="AG706">
        <v>16666.666666666668</v>
      </c>
      <c r="AH706">
        <v>1</v>
      </c>
      <c r="AI706">
        <v>1</v>
      </c>
      <c r="AJ706" t="s">
        <v>136</v>
      </c>
      <c r="AK706" t="s">
        <v>137</v>
      </c>
      <c r="AL706">
        <v>0</v>
      </c>
      <c r="AM706" t="s">
        <v>137</v>
      </c>
      <c r="AN706">
        <v>0</v>
      </c>
    </row>
    <row r="707" spans="1:42" ht="12.75">
      <c r="A707" s="2" t="str">
        <f>HYPERLINK("https://ibp.a2mac1.com/costing(costing:projects/details/8191/process/6975658)","Painting")</f>
        <v>Painting</v>
      </c>
      <c r="B707" t="s">
        <v>5009</v>
      </c>
      <c r="C707">
        <v>6975658</v>
      </c>
      <c r="D707">
        <v>5388784</v>
      </c>
      <c r="E707">
        <v>0.5144333333333333</v>
      </c>
      <c r="F707">
        <v>0</v>
      </c>
      <c r="G707">
        <v>0</v>
      </c>
      <c r="H707">
        <v>0.00053501066666666668</v>
      </c>
      <c r="I707" t="s">
        <v>137</v>
      </c>
      <c r="J707">
        <v>0.018005166666666666</v>
      </c>
      <c r="K707">
        <v>0.53297351066666665</v>
      </c>
      <c r="L707">
        <v>0.092822400376433509</v>
      </c>
      <c r="M707">
        <v>0.55693440225860102</v>
      </c>
      <c r="N707">
        <v>1.0899079129252678</v>
      </c>
      <c r="O707" t="s">
        <v>90</v>
      </c>
      <c r="P707">
        <v>0</v>
      </c>
      <c r="Q707" t="s">
        <v>90</v>
      </c>
      <c r="R707">
        <v>0</v>
      </c>
      <c r="S707" t="s">
        <v>90</v>
      </c>
      <c r="T707">
        <v>0</v>
      </c>
      <c r="U707">
        <v>1.0899079129252678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6</v>
      </c>
      <c r="AB707">
        <v>1</v>
      </c>
      <c r="AC707">
        <v>0.10</v>
      </c>
      <c r="AD707">
        <v>0.10389195236953569</v>
      </c>
      <c r="AE707">
        <v>1800</v>
      </c>
      <c r="AF707">
        <v>200000</v>
      </c>
      <c r="AG707">
        <v>16666.666666666668</v>
      </c>
      <c r="AH707">
        <v>1</v>
      </c>
      <c r="AI707">
        <v>1</v>
      </c>
      <c r="AJ707" t="s">
        <v>136</v>
      </c>
      <c r="AK707" t="s">
        <v>137</v>
      </c>
      <c r="AL707">
        <v>0</v>
      </c>
      <c r="AM707" t="s">
        <v>137</v>
      </c>
      <c r="AN707">
        <v>0</v>
      </c>
    </row>
    <row r="708" spans="1:42" ht="12.75">
      <c r="A708" s="2" t="str">
        <f>HYPERLINK("https://ibp.a2mac1.com/costing(costing:projects/details/8191/process/6975393)","Rear View Mirror Final Assembly")</f>
        <v>Rear View Mirror Final Assembly</v>
      </c>
      <c r="C708">
        <v>6975393</v>
      </c>
      <c r="D708">
        <v>5388394</v>
      </c>
      <c r="E708">
        <v>0</v>
      </c>
      <c r="F708">
        <v>0</v>
      </c>
      <c r="G708">
        <v>0</v>
      </c>
      <c r="H708">
        <v>0</v>
      </c>
      <c r="I708" t="s">
        <v>137</v>
      </c>
      <c r="J708">
        <v>0</v>
      </c>
      <c r="K708">
        <v>0</v>
      </c>
      <c r="L708">
        <v>0.29705016188448735</v>
      </c>
      <c r="M708">
        <v>1.782300971306924</v>
      </c>
      <c r="N708">
        <v>1.782300971306924</v>
      </c>
      <c r="O708" t="s">
        <v>90</v>
      </c>
      <c r="P708">
        <v>0</v>
      </c>
      <c r="Q708" t="s">
        <v>90</v>
      </c>
      <c r="R708">
        <v>0</v>
      </c>
      <c r="S708" t="s">
        <v>90</v>
      </c>
      <c r="T708">
        <v>0</v>
      </c>
      <c r="U708">
        <v>1.782300971306924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180</v>
      </c>
      <c r="AB708">
        <v>1</v>
      </c>
      <c r="AC708">
        <v>0.10</v>
      </c>
      <c r="AD708">
        <v>0.10987913295375087</v>
      </c>
      <c r="AE708">
        <v>600</v>
      </c>
      <c r="AF708">
        <v>200000</v>
      </c>
      <c r="AG708">
        <v>10000</v>
      </c>
      <c r="AH708">
        <v>1</v>
      </c>
      <c r="AI708">
        <v>1</v>
      </c>
      <c r="AJ708" t="s">
        <v>79</v>
      </c>
      <c r="AK708" t="s">
        <v>137</v>
      </c>
      <c r="AL708">
        <v>0</v>
      </c>
      <c r="AM708" t="s">
        <v>137</v>
      </c>
      <c r="AN708">
        <v>0</v>
      </c>
      <c r="AP708">
        <v>0</v>
      </c>
    </row>
    <row r="709" spans="1:42" ht="12.75">
      <c r="A709" s="2" t="str">
        <f>HYPERLINK("https://ibp.a2mac1.com/costing(costing:projects/details/8191/process/6975394)","Injection molding")</f>
        <v>Injection molding</v>
      </c>
      <c r="C709">
        <v>6975394</v>
      </c>
      <c r="D709">
        <v>5388396</v>
      </c>
      <c r="E709">
        <v>0.42294082403009409</v>
      </c>
      <c r="F709">
        <v>0</v>
      </c>
      <c r="G709">
        <v>0</v>
      </c>
      <c r="H709">
        <v>0.00087211311720209871</v>
      </c>
      <c r="I709" t="s">
        <v>137</v>
      </c>
      <c r="J709">
        <v>0.01481745587479294</v>
      </c>
      <c r="K709">
        <v>0.43863039302208912</v>
      </c>
      <c r="L709">
        <v>0.020625570549574521</v>
      </c>
      <c r="M709">
        <v>0.12375342329744714</v>
      </c>
      <c r="N709">
        <v>0.56238381631953627</v>
      </c>
      <c r="O709" t="s">
        <v>138</v>
      </c>
      <c r="P709">
        <v>0.026317823581325346</v>
      </c>
      <c r="Q709" t="s">
        <v>138</v>
      </c>
      <c r="R709">
        <v>0.0074252053978468282</v>
      </c>
      <c r="S709" t="s">
        <v>139</v>
      </c>
      <c r="T709">
        <v>0.06748605795834435</v>
      </c>
      <c r="U709">
        <v>0.6636129032570528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29.609529999999999</v>
      </c>
      <c r="AB709">
        <v>1</v>
      </c>
      <c r="AC709">
        <v>0.10</v>
      </c>
      <c r="AD709">
        <v>0.20557651238448796</v>
      </c>
      <c r="AE709">
        <v>9000</v>
      </c>
      <c r="AF709">
        <v>200000</v>
      </c>
      <c r="AG709">
        <v>16666.666666666668</v>
      </c>
      <c r="AH709">
        <v>1</v>
      </c>
      <c r="AI709">
        <v>1</v>
      </c>
      <c r="AJ709" t="s">
        <v>136</v>
      </c>
      <c r="AK709" t="s">
        <v>137</v>
      </c>
      <c r="AL709">
        <v>0</v>
      </c>
      <c r="AM709" t="s">
        <v>137</v>
      </c>
      <c r="AN709">
        <v>0</v>
      </c>
    </row>
    <row r="710" spans="1:42" ht="12.75">
      <c r="A710" s="2" t="str">
        <f>HYPERLINK("https://ibp.a2mac1.com/costing(costing:projects/details/8191/process/6975395)","Handling/Visual Inspection/Packaging")</f>
        <v>Handling/Visual Inspection/Packaging</v>
      </c>
      <c r="C710">
        <v>6975395</v>
      </c>
      <c r="D710">
        <v>5388396</v>
      </c>
      <c r="E710">
        <v>0</v>
      </c>
      <c r="F710">
        <v>0</v>
      </c>
      <c r="G710">
        <v>0</v>
      </c>
      <c r="H710">
        <v>0</v>
      </c>
      <c r="I710" t="s">
        <v>137</v>
      </c>
      <c r="J710">
        <v>0</v>
      </c>
      <c r="K710">
        <v>0</v>
      </c>
      <c r="L710">
        <v>0.0086216394843006</v>
      </c>
      <c r="M710">
        <v>0.0517298369058036</v>
      </c>
      <c r="N710">
        <v>0.0517298369058036</v>
      </c>
      <c r="O710" t="s">
        <v>138</v>
      </c>
      <c r="P710">
        <v>0</v>
      </c>
      <c r="Q710" t="s">
        <v>138</v>
      </c>
      <c r="R710">
        <v>0.0031037902143482162</v>
      </c>
      <c r="S710" t="s">
        <v>139</v>
      </c>
      <c r="T710">
        <v>0.0062075804286964324</v>
      </c>
      <c r="U710">
        <v>0.061041207548848252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30</v>
      </c>
      <c r="AB710">
        <v>1</v>
      </c>
      <c r="AC710">
        <v>0.10</v>
      </c>
      <c r="AD710">
        <v>0.10389195236953569</v>
      </c>
      <c r="AE710">
        <v>900</v>
      </c>
      <c r="AF710">
        <v>200000</v>
      </c>
      <c r="AG710">
        <v>16666.666666666668</v>
      </c>
      <c r="AH710">
        <v>1</v>
      </c>
      <c r="AI710">
        <v>1</v>
      </c>
      <c r="AJ710" t="s">
        <v>136</v>
      </c>
      <c r="AK710" t="s">
        <v>137</v>
      </c>
      <c r="AL710">
        <v>0</v>
      </c>
      <c r="AM710" t="s">
        <v>137</v>
      </c>
      <c r="AN710">
        <v>0</v>
      </c>
    </row>
    <row r="711" spans="1:42" ht="12.75">
      <c r="A711" s="2" t="str">
        <f>HYPERLINK("https://ibp.a2mac1.com/costing(costing:projects/details/8191/process/6975807)","Manufacturing Process")</f>
        <v>Manufacturing Process</v>
      </c>
      <c r="C711">
        <v>6975807</v>
      </c>
      <c r="D711">
        <v>5389161</v>
      </c>
      <c r="E711">
        <v>4.9031817272727274</v>
      </c>
      <c r="F711">
        <v>0</v>
      </c>
      <c r="G711">
        <v>0</v>
      </c>
      <c r="H711">
        <v>0.005895154909090909</v>
      </c>
      <c r="I711" t="s">
        <v>137</v>
      </c>
      <c r="J711">
        <v>0.19839463636363636</v>
      </c>
      <c r="K711">
        <v>5.1074715185454549</v>
      </c>
      <c r="L711">
        <v>0.3199542277697916</v>
      </c>
      <c r="M711">
        <v>1.9197253666187497</v>
      </c>
      <c r="N711">
        <v>7.0271968851642042</v>
      </c>
      <c r="O711" t="s">
        <v>90</v>
      </c>
      <c r="P711">
        <v>0</v>
      </c>
      <c r="Q711" t="s">
        <v>90</v>
      </c>
      <c r="R711">
        <v>0</v>
      </c>
      <c r="S711" t="s">
        <v>90</v>
      </c>
      <c r="T711">
        <v>0</v>
      </c>
      <c r="U711">
        <v>7.0271968851642042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63.72</v>
      </c>
      <c r="AB711">
        <v>1</v>
      </c>
      <c r="AC711">
        <v>0.10</v>
      </c>
      <c r="AD711">
        <v>0.10389195236953569</v>
      </c>
      <c r="AE711">
        <v>5400</v>
      </c>
      <c r="AF711">
        <v>200000</v>
      </c>
      <c r="AG711">
        <v>16666.666666666668</v>
      </c>
      <c r="AH711">
        <v>1</v>
      </c>
      <c r="AI711">
        <v>1</v>
      </c>
      <c r="AJ711" t="s">
        <v>136</v>
      </c>
      <c r="AK711" t="s">
        <v>137</v>
      </c>
      <c r="AL711">
        <v>0</v>
      </c>
      <c r="AM711" t="s">
        <v>137</v>
      </c>
      <c r="AN711">
        <v>0</v>
      </c>
    </row>
    <row r="712" spans="1:42" ht="12.75">
      <c r="A712" s="2" t="str">
        <f>HYPERLINK("https://ibp.a2mac1.com/costing(costing:projects/details/8191/process/6975808)","Manufacturing Process")</f>
        <v>Manufacturing Process</v>
      </c>
      <c r="C712">
        <v>6975808</v>
      </c>
      <c r="D712">
        <v>5389162</v>
      </c>
      <c r="E712">
        <v>0.48124592500000002</v>
      </c>
      <c r="F712">
        <v>0</v>
      </c>
      <c r="G712">
        <v>0</v>
      </c>
      <c r="H712">
        <v>0.00053244230000000004</v>
      </c>
      <c r="I712" t="s">
        <v>137</v>
      </c>
      <c r="J712">
        <v>0.01791873125</v>
      </c>
      <c r="K712">
        <v>0.49969709855</v>
      </c>
      <c r="L712">
        <v>0.010976837937400397</v>
      </c>
      <c r="M712">
        <v>0.06586102762440238</v>
      </c>
      <c r="N712">
        <v>0.56555812617440238</v>
      </c>
      <c r="O712" t="s">
        <v>138</v>
      </c>
      <c r="P712">
        <v>0.029981825912999999</v>
      </c>
      <c r="Q712" t="s">
        <v>138</v>
      </c>
      <c r="R712">
        <v>0.0039516616574641426</v>
      </c>
      <c r="S712" t="s">
        <v>139</v>
      </c>
      <c r="T712">
        <v>0.067866975140928279</v>
      </c>
      <c r="U712">
        <v>0.6673585888857948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1.80</v>
      </c>
      <c r="AB712">
        <v>1</v>
      </c>
      <c r="AC712">
        <v>0.10</v>
      </c>
      <c r="AD712">
        <v>0.10389195236953569</v>
      </c>
      <c r="AE712">
        <v>5400</v>
      </c>
      <c r="AF712">
        <v>200000</v>
      </c>
      <c r="AG712">
        <v>16666.666666666668</v>
      </c>
      <c r="AH712">
        <v>1</v>
      </c>
      <c r="AI712">
        <v>1</v>
      </c>
      <c r="AJ712" t="s">
        <v>136</v>
      </c>
      <c r="AK712" t="s">
        <v>137</v>
      </c>
      <c r="AL712">
        <v>0</v>
      </c>
      <c r="AM712" t="s">
        <v>137</v>
      </c>
      <c r="AN712">
        <v>0</v>
      </c>
    </row>
    <row r="713" spans="1:42" ht="12.75">
      <c r="A713" s="2" t="str">
        <f>HYPERLINK("https://ibp.a2mac1.com/costing(costing:projects/details/8191/process/6975809)","Manufacturing Process")</f>
        <v>Manufacturing Process</v>
      </c>
      <c r="C713">
        <v>6975809</v>
      </c>
      <c r="D713">
        <v>5389163</v>
      </c>
      <c r="E713">
        <v>0.30885932500000002</v>
      </c>
      <c r="F713">
        <v>0</v>
      </c>
      <c r="G713">
        <v>0</v>
      </c>
      <c r="H713">
        <v>0.00034171670000000001</v>
      </c>
      <c r="I713" t="s">
        <v>137</v>
      </c>
      <c r="J713">
        <v>0.01150008125</v>
      </c>
      <c r="K713">
        <v>0.32070112294999997</v>
      </c>
      <c r="L713">
        <v>0.010976837937400397</v>
      </c>
      <c r="M713">
        <v>0.06586102762440238</v>
      </c>
      <c r="N713">
        <v>0.38656215057440235</v>
      </c>
      <c r="O713" t="s">
        <v>138</v>
      </c>
      <c r="P713">
        <v>0.019242067376999999</v>
      </c>
      <c r="Q713" t="s">
        <v>138</v>
      </c>
      <c r="R713">
        <v>0.0039516616574641426</v>
      </c>
      <c r="S713" t="s">
        <v>139</v>
      </c>
      <c r="T713">
        <v>0.046387458068928286</v>
      </c>
      <c r="U713">
        <v>0.4561433376777948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1.80</v>
      </c>
      <c r="AB713">
        <v>1</v>
      </c>
      <c r="AC713">
        <v>0.10</v>
      </c>
      <c r="AD713">
        <v>0.10389195236953569</v>
      </c>
      <c r="AE713">
        <v>5400</v>
      </c>
      <c r="AF713">
        <v>200000</v>
      </c>
      <c r="AG713">
        <v>16666.666666666668</v>
      </c>
      <c r="AH713">
        <v>1</v>
      </c>
      <c r="AI713">
        <v>1</v>
      </c>
      <c r="AJ713" t="s">
        <v>136</v>
      </c>
      <c r="AK713" t="s">
        <v>137</v>
      </c>
      <c r="AL713">
        <v>0</v>
      </c>
      <c r="AM713" t="s">
        <v>137</v>
      </c>
      <c r="AN713">
        <v>0</v>
      </c>
    </row>
    <row r="714" spans="1:42" ht="12.75">
      <c r="A714" s="2" t="str">
        <f>HYPERLINK("https://ibp.a2mac1.com/costing(costing:projects/details/8191/process/6975886)","Manufacturing Process")</f>
        <v>Manufacturing Process</v>
      </c>
      <c r="C714">
        <v>6975886</v>
      </c>
      <c r="D714">
        <v>5389418</v>
      </c>
      <c r="E714">
        <v>0.30885932500000002</v>
      </c>
      <c r="F714">
        <v>0</v>
      </c>
      <c r="G714">
        <v>0</v>
      </c>
      <c r="H714">
        <v>0.00034171670000000001</v>
      </c>
      <c r="I714" t="s">
        <v>137</v>
      </c>
      <c r="J714">
        <v>0.01150008125</v>
      </c>
      <c r="K714">
        <v>0.32070112294999997</v>
      </c>
      <c r="L714">
        <v>0.010976837937400397</v>
      </c>
      <c r="M714">
        <v>0.06586102762440238</v>
      </c>
      <c r="N714">
        <v>0.38656215057440235</v>
      </c>
      <c r="O714" t="s">
        <v>138</v>
      </c>
      <c r="P714">
        <v>0.019242067376999999</v>
      </c>
      <c r="Q714" t="s">
        <v>138</v>
      </c>
      <c r="R714">
        <v>0.0039516616574641426</v>
      </c>
      <c r="S714" t="s">
        <v>139</v>
      </c>
      <c r="T714">
        <v>0.046387458068928286</v>
      </c>
      <c r="U714">
        <v>0.4561433376777948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1.80</v>
      </c>
      <c r="AB714">
        <v>1</v>
      </c>
      <c r="AC714">
        <v>0.10</v>
      </c>
      <c r="AD714">
        <v>0.10389195236953569</v>
      </c>
      <c r="AE714">
        <v>5400</v>
      </c>
      <c r="AF714">
        <v>200000</v>
      </c>
      <c r="AG714">
        <v>16666.666666666668</v>
      </c>
      <c r="AH714">
        <v>1</v>
      </c>
      <c r="AI714">
        <v>1</v>
      </c>
      <c r="AJ714" t="s">
        <v>136</v>
      </c>
      <c r="AK714" t="s">
        <v>137</v>
      </c>
      <c r="AL714">
        <v>0</v>
      </c>
      <c r="AM714" t="s">
        <v>137</v>
      </c>
      <c r="AN714">
        <v>0</v>
      </c>
    </row>
    <row r="715" spans="1:42" ht="12.75">
      <c r="A715" s="2" t="str">
        <f>HYPERLINK("https://ibp.a2mac1.com/costing(costing:projects/details/8191/process/6975887)","Manufacturing Process")</f>
        <v>Manufacturing Process</v>
      </c>
      <c r="C715">
        <v>6975887</v>
      </c>
      <c r="D715">
        <v>5389419</v>
      </c>
      <c r="E715">
        <v>0.6895464</v>
      </c>
      <c r="F715">
        <v>0</v>
      </c>
      <c r="G715">
        <v>0</v>
      </c>
      <c r="H715">
        <v>0.00076290240000000001</v>
      </c>
      <c r="I715" t="s">
        <v>137</v>
      </c>
      <c r="J715">
        <v>0.025674599999999999</v>
      </c>
      <c r="K715">
        <v>0.71598390239999998</v>
      </c>
      <c r="L715">
        <v>0.010976837937400397</v>
      </c>
      <c r="M715">
        <v>0.06586102762440238</v>
      </c>
      <c r="N715">
        <v>0.78184493002440236</v>
      </c>
      <c r="O715" t="s">
        <v>138</v>
      </c>
      <c r="P715">
        <v>0.042959034144</v>
      </c>
      <c r="Q715" t="s">
        <v>138</v>
      </c>
      <c r="R715">
        <v>0.0039516616574641426</v>
      </c>
      <c r="S715" t="s">
        <v>139</v>
      </c>
      <c r="T715">
        <v>0.093821391602928281</v>
      </c>
      <c r="U715">
        <v>0.92257701742879483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1.80</v>
      </c>
      <c r="AB715">
        <v>1</v>
      </c>
      <c r="AC715">
        <v>0.10</v>
      </c>
      <c r="AD715">
        <v>0.10389195236953569</v>
      </c>
      <c r="AE715">
        <v>5400</v>
      </c>
      <c r="AF715">
        <v>200000</v>
      </c>
      <c r="AG715">
        <v>16666.666666666668</v>
      </c>
      <c r="AH715">
        <v>1</v>
      </c>
      <c r="AI715">
        <v>1</v>
      </c>
      <c r="AJ715" t="s">
        <v>136</v>
      </c>
      <c r="AK715" t="s">
        <v>137</v>
      </c>
      <c r="AL715">
        <v>0</v>
      </c>
      <c r="AM715" t="s">
        <v>137</v>
      </c>
      <c r="AN715">
        <v>0</v>
      </c>
    </row>
    <row r="716" spans="1:42" ht="12.75">
      <c r="A716" s="2" t="str">
        <f>HYPERLINK("https://ibp.a2mac1.com/costing(costing:projects/details/8191/process/6975888)","Manufacturing Process")</f>
        <v>Manufacturing Process</v>
      </c>
      <c r="C716">
        <v>6975888</v>
      </c>
      <c r="D716">
        <v>5389420</v>
      </c>
      <c r="E716">
        <v>0.65363252500000002</v>
      </c>
      <c r="F716">
        <v>0</v>
      </c>
      <c r="G716">
        <v>0</v>
      </c>
      <c r="H716">
        <v>0.00072316790000000002</v>
      </c>
      <c r="I716" t="s">
        <v>137</v>
      </c>
      <c r="J716">
        <v>0.024337381250000002</v>
      </c>
      <c r="K716">
        <v>0.67869307415000002</v>
      </c>
      <c r="L716">
        <v>0.1708546733739284</v>
      </c>
      <c r="M716">
        <v>1.0251280402435705</v>
      </c>
      <c r="N716">
        <v>1.7038211143935704</v>
      </c>
      <c r="O716" t="s">
        <v>138</v>
      </c>
      <c r="P716">
        <v>0.040721584449000002</v>
      </c>
      <c r="Q716" t="s">
        <v>138</v>
      </c>
      <c r="R716">
        <v>0.061507682414614226</v>
      </c>
      <c r="S716" t="s">
        <v>139</v>
      </c>
      <c r="T716">
        <v>0.20445853372722847</v>
      </c>
      <c r="U716">
        <v>2.0105089149844133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33.84</v>
      </c>
      <c r="AB716">
        <v>1</v>
      </c>
      <c r="AC716">
        <v>0.10</v>
      </c>
      <c r="AD716">
        <v>0.10389195236953569</v>
      </c>
      <c r="AE716">
        <v>5400</v>
      </c>
      <c r="AF716">
        <v>200000</v>
      </c>
      <c r="AG716">
        <v>16666.666666666668</v>
      </c>
      <c r="AH716">
        <v>1</v>
      </c>
      <c r="AI716">
        <v>1</v>
      </c>
      <c r="AJ716" t="s">
        <v>136</v>
      </c>
      <c r="AK716" t="s">
        <v>137</v>
      </c>
      <c r="AL716">
        <v>0</v>
      </c>
      <c r="AM716" t="s">
        <v>137</v>
      </c>
      <c r="AN716">
        <v>0</v>
      </c>
    </row>
    <row r="717" spans="1:42" ht="12.75">
      <c r="A717" s="2" t="str">
        <f>HYPERLINK("https://ibp.a2mac1.com/costing(costing:projects/details/8191/process/6975810)","Manufacturing Process")</f>
        <v>Manufacturing Process</v>
      </c>
      <c r="C717">
        <v>6975810</v>
      </c>
      <c r="D717">
        <v>5389166</v>
      </c>
      <c r="E717">
        <v>1.012771275</v>
      </c>
      <c r="F717">
        <v>0</v>
      </c>
      <c r="G717">
        <v>0</v>
      </c>
      <c r="H717">
        <v>0.0011205129</v>
      </c>
      <c r="I717" t="s">
        <v>137</v>
      </c>
      <c r="J717">
        <v>0.037709568749999998</v>
      </c>
      <c r="K717">
        <v>1.05160135665</v>
      </c>
      <c r="L717">
        <v>0.16097458241998566</v>
      </c>
      <c r="M717">
        <v>0.96584749451991403</v>
      </c>
      <c r="N717">
        <v>2.017448851169914</v>
      </c>
      <c r="O717" t="s">
        <v>138</v>
      </c>
      <c r="P717">
        <v>0.063096081398999998</v>
      </c>
      <c r="Q717" t="s">
        <v>138</v>
      </c>
      <c r="R717">
        <v>0.057950849671194841</v>
      </c>
      <c r="S717" t="s">
        <v>139</v>
      </c>
      <c r="T717">
        <v>0.24209386214038969</v>
      </c>
      <c r="U717">
        <v>2.3805896443804984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31.86</v>
      </c>
      <c r="AB717">
        <v>1</v>
      </c>
      <c r="AC717">
        <v>0.10</v>
      </c>
      <c r="AD717">
        <v>0.10389195236953569</v>
      </c>
      <c r="AE717">
        <v>5400</v>
      </c>
      <c r="AF717">
        <v>200000</v>
      </c>
      <c r="AG717">
        <v>16666.666666666668</v>
      </c>
      <c r="AH717">
        <v>1</v>
      </c>
      <c r="AI717">
        <v>1</v>
      </c>
      <c r="AJ717" t="s">
        <v>136</v>
      </c>
      <c r="AK717" t="s">
        <v>137</v>
      </c>
      <c r="AL717">
        <v>0</v>
      </c>
      <c r="AM717" t="s">
        <v>137</v>
      </c>
      <c r="AN717">
        <v>0</v>
      </c>
    </row>
    <row r="718" spans="1:42" ht="12.75">
      <c r="A718" s="2" t="str">
        <f>HYPERLINK("https://ibp.a2mac1.com/costing(costing:projects/details/8191/process/6975889)","Manufacturing Process")</f>
        <v>Manufacturing Process</v>
      </c>
      <c r="C718">
        <v>6975889</v>
      </c>
      <c r="D718">
        <v>5389421</v>
      </c>
      <c r="E718">
        <v>0.79163349999999999</v>
      </c>
      <c r="F718">
        <v>0</v>
      </c>
      <c r="G718">
        <v>0</v>
      </c>
      <c r="H718">
        <v>0.00089005279999999996</v>
      </c>
      <c r="I718" t="s">
        <v>137</v>
      </c>
      <c r="J718">
        <v>0.0299537</v>
      </c>
      <c r="K718">
        <v>0.82247725279999995</v>
      </c>
      <c r="L718">
        <v>0.014569598284288667</v>
      </c>
      <c r="M718">
        <v>0.087417589705732004</v>
      </c>
      <c r="N718">
        <v>0.90989484250573205</v>
      </c>
      <c r="O718" t="s">
        <v>138</v>
      </c>
      <c r="P718">
        <v>0.049348635167999998</v>
      </c>
      <c r="Q718" t="s">
        <v>138</v>
      </c>
      <c r="R718">
        <v>0.0052450553823439197</v>
      </c>
      <c r="S718" t="s">
        <v>139</v>
      </c>
      <c r="T718">
        <v>0.10918738110068783</v>
      </c>
      <c r="U718">
        <v>1.0736759141567638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2.52</v>
      </c>
      <c r="AB718">
        <v>1</v>
      </c>
      <c r="AC718">
        <v>0.10</v>
      </c>
      <c r="AD718">
        <v>0.10389195236953569</v>
      </c>
      <c r="AE718">
        <v>5400</v>
      </c>
      <c r="AF718">
        <v>200000</v>
      </c>
      <c r="AG718">
        <v>16666.666666666668</v>
      </c>
      <c r="AH718">
        <v>1</v>
      </c>
      <c r="AI718">
        <v>1</v>
      </c>
      <c r="AJ718" t="s">
        <v>136</v>
      </c>
      <c r="AK718" t="s">
        <v>137</v>
      </c>
      <c r="AL718">
        <v>0</v>
      </c>
      <c r="AM718" t="s">
        <v>137</v>
      </c>
      <c r="AN718">
        <v>0</v>
      </c>
    </row>
    <row r="719" spans="1:42" ht="12.75">
      <c r="A719" s="2" t="str">
        <f>HYPERLINK("https://ibp.a2mac1.com/costing(costing:projects/details/8191/process/6975811)","Manufacturing Process")</f>
        <v>Manufacturing Process</v>
      </c>
      <c r="C719">
        <v>6975811</v>
      </c>
      <c r="D719">
        <v>5389168</v>
      </c>
      <c r="E719">
        <v>3.1212977999999998</v>
      </c>
      <c r="F719">
        <v>0</v>
      </c>
      <c r="G719">
        <v>0</v>
      </c>
      <c r="H719">
        <v>0.0035093510399999998</v>
      </c>
      <c r="I719" t="s">
        <v>137</v>
      </c>
      <c r="J719">
        <v>0.11810316</v>
      </c>
      <c r="K719">
        <v>3.2429103110400002</v>
      </c>
      <c r="L719">
        <v>0.16097458241998566</v>
      </c>
      <c r="M719">
        <v>0.96584749451991403</v>
      </c>
      <c r="N719">
        <v>4.2087578055599142</v>
      </c>
      <c r="O719" t="s">
        <v>90</v>
      </c>
      <c r="P719">
        <v>0</v>
      </c>
      <c r="Q719" t="s">
        <v>90</v>
      </c>
      <c r="R719">
        <v>0</v>
      </c>
      <c r="S719" t="s">
        <v>90</v>
      </c>
      <c r="T719">
        <v>0</v>
      </c>
      <c r="U719">
        <v>4.2087578055599142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31.86</v>
      </c>
      <c r="AB719">
        <v>1</v>
      </c>
      <c r="AC719">
        <v>0.10</v>
      </c>
      <c r="AD719">
        <v>0.10389195236953569</v>
      </c>
      <c r="AE719">
        <v>5400</v>
      </c>
      <c r="AF719">
        <v>200000</v>
      </c>
      <c r="AG719">
        <v>16666.666666666668</v>
      </c>
      <c r="AH719">
        <v>1</v>
      </c>
      <c r="AI719">
        <v>1</v>
      </c>
      <c r="AJ719" t="s">
        <v>136</v>
      </c>
      <c r="AK719" t="s">
        <v>137</v>
      </c>
      <c r="AL719">
        <v>0</v>
      </c>
      <c r="AM719" t="s">
        <v>137</v>
      </c>
      <c r="AN719">
        <v>0</v>
      </c>
    </row>
    <row r="720" spans="1:42" ht="12.75">
      <c r="A720" s="2" t="str">
        <f>HYPERLINK("https://ibp.a2mac1.com/costing(costing:projects/details/8191/process/6975890)","Manufacturing Process")</f>
        <v>Manufacturing Process</v>
      </c>
      <c r="C720">
        <v>6975890</v>
      </c>
      <c r="D720">
        <v>5389422</v>
      </c>
      <c r="E720">
        <v>0.28159354705882356</v>
      </c>
      <c r="F720">
        <v>0</v>
      </c>
      <c r="G720">
        <v>0</v>
      </c>
      <c r="H720">
        <v>0.00030665684705882351</v>
      </c>
      <c r="I720" t="s">
        <v>137</v>
      </c>
      <c r="J720">
        <v>0.010320182352941177</v>
      </c>
      <c r="K720">
        <v>0.29222038625882352</v>
      </c>
      <c r="L720">
        <v>0.012773218110844531</v>
      </c>
      <c r="M720">
        <v>0.076639308665067185</v>
      </c>
      <c r="N720">
        <v>0.3688596949238907</v>
      </c>
      <c r="O720" t="s">
        <v>138</v>
      </c>
      <c r="P720">
        <v>0.017533223175529411</v>
      </c>
      <c r="Q720" t="s">
        <v>138</v>
      </c>
      <c r="R720">
        <v>0.0045983585199040316</v>
      </c>
      <c r="S720" t="s">
        <v>139</v>
      </c>
      <c r="T720">
        <v>0.044263163390866889</v>
      </c>
      <c r="U720">
        <v>0.43525444001019103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2.16</v>
      </c>
      <c r="AB720">
        <v>1</v>
      </c>
      <c r="AC720">
        <v>0.10</v>
      </c>
      <c r="AD720">
        <v>0.10389195236953569</v>
      </c>
      <c r="AE720">
        <v>5400</v>
      </c>
      <c r="AF720">
        <v>200000</v>
      </c>
      <c r="AG720">
        <v>16666.666666666668</v>
      </c>
      <c r="AH720">
        <v>1</v>
      </c>
      <c r="AI720">
        <v>1</v>
      </c>
      <c r="AJ720" t="s">
        <v>136</v>
      </c>
      <c r="AK720" t="s">
        <v>137</v>
      </c>
      <c r="AL720">
        <v>0</v>
      </c>
      <c r="AM720" t="s">
        <v>137</v>
      </c>
      <c r="AN720">
        <v>0</v>
      </c>
    </row>
    <row r="721" spans="1:42" ht="12.75">
      <c r="A721" s="2" t="str">
        <f>HYPERLINK("https://ibp.a2mac1.com/costing(costing:projects/details/8191/process/6975279)","Assembly")</f>
        <v>Assembly</v>
      </c>
      <c r="C721">
        <v>6975279</v>
      </c>
      <c r="D721">
        <v>5388184</v>
      </c>
      <c r="E721">
        <v>0</v>
      </c>
      <c r="F721">
        <v>0</v>
      </c>
      <c r="G721">
        <v>0</v>
      </c>
      <c r="H721">
        <v>0</v>
      </c>
      <c r="I721" t="s">
        <v>137</v>
      </c>
      <c r="J721">
        <v>0</v>
      </c>
      <c r="K721">
        <v>0</v>
      </c>
      <c r="L721">
        <v>0.19662147150774253</v>
      </c>
      <c r="M721">
        <v>1.1797288290464552</v>
      </c>
      <c r="N721">
        <v>1.1797288290464552</v>
      </c>
      <c r="O721" t="s">
        <v>90</v>
      </c>
      <c r="P721">
        <v>0</v>
      </c>
      <c r="Q721" t="s">
        <v>90</v>
      </c>
      <c r="R721">
        <v>0</v>
      </c>
      <c r="S721" t="s">
        <v>90</v>
      </c>
      <c r="T721">
        <v>0</v>
      </c>
      <c r="U721">
        <v>1.1797288290464552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150</v>
      </c>
      <c r="AB721">
        <v>1</v>
      </c>
      <c r="AC721">
        <v>1.99</v>
      </c>
      <c r="AD721">
        <v>1.9992159937279499</v>
      </c>
      <c r="AE721">
        <v>1800</v>
      </c>
      <c r="AF721">
        <v>200000</v>
      </c>
      <c r="AG721">
        <v>10000</v>
      </c>
      <c r="AH721">
        <v>1</v>
      </c>
      <c r="AI721">
        <v>1</v>
      </c>
      <c r="AJ721" t="s">
        <v>79</v>
      </c>
      <c r="AK721" t="s">
        <v>137</v>
      </c>
      <c r="AL721">
        <v>0</v>
      </c>
      <c r="AM721" t="s">
        <v>137</v>
      </c>
      <c r="AN721">
        <v>0</v>
      </c>
      <c r="AP721">
        <v>0</v>
      </c>
    </row>
    <row r="722" spans="1:42" ht="12.75">
      <c r="A722" s="2" t="str">
        <f>HYPERLINK("https://ibp.a2mac1.com/costing(costing:projects/details/8191/process/6975396)","Automated Process")</f>
        <v>Automated Process</v>
      </c>
      <c r="C722">
        <v>6975396</v>
      </c>
      <c r="D722">
        <v>5388406</v>
      </c>
      <c r="E722">
        <v>1.280710494</v>
      </c>
      <c r="F722">
        <v>0</v>
      </c>
      <c r="G722">
        <v>0</v>
      </c>
      <c r="H722">
        <v>0.0064966366913684209</v>
      </c>
      <c r="I722" t="s">
        <v>137</v>
      </c>
      <c r="J722">
        <v>0.044937210315789476</v>
      </c>
      <c r="K722">
        <v>1.3321443410071578</v>
      </c>
      <c r="L722">
        <v>0.056149830143713352</v>
      </c>
      <c r="M722">
        <v>0.3368989808622801</v>
      </c>
      <c r="N722">
        <v>1.669043321869438</v>
      </c>
      <c r="O722" t="s">
        <v>138</v>
      </c>
      <c r="P722">
        <v>0.079928660460429471</v>
      </c>
      <c r="Q722" t="s">
        <v>138</v>
      </c>
      <c r="R722">
        <v>0.020213938851736807</v>
      </c>
      <c r="S722" t="s">
        <v>139</v>
      </c>
      <c r="T722">
        <v>0.20028519862433256</v>
      </c>
      <c r="U722">
        <v>1.9694711198059369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60</v>
      </c>
      <c r="AB722">
        <v>1</v>
      </c>
      <c r="AC722">
        <v>0.50</v>
      </c>
      <c r="AD722">
        <v>0.50345253019720215</v>
      </c>
      <c r="AE722">
        <v>3256.20</v>
      </c>
      <c r="AF722">
        <v>200000</v>
      </c>
      <c r="AG722">
        <v>16666.666666666668</v>
      </c>
      <c r="AH722">
        <v>1</v>
      </c>
      <c r="AI722">
        <v>1</v>
      </c>
      <c r="AJ722" t="s">
        <v>136</v>
      </c>
      <c r="AK722" t="s">
        <v>137</v>
      </c>
      <c r="AL722">
        <v>0</v>
      </c>
      <c r="AM722" t="s">
        <v>137</v>
      </c>
      <c r="AN722">
        <v>0</v>
      </c>
    </row>
    <row r="723" spans="1:42" ht="12.75">
      <c r="A723" s="2" t="str">
        <f>HYPERLINK("https://ibp.a2mac1.com/costing(costing:projects/details/8191/process/6975397)","Automated Process")</f>
        <v>Automated Process</v>
      </c>
      <c r="C723">
        <v>6975397</v>
      </c>
      <c r="D723">
        <v>5388407</v>
      </c>
      <c r="E723">
        <v>0.64818885599999998</v>
      </c>
      <c r="F723">
        <v>0</v>
      </c>
      <c r="G723">
        <v>0</v>
      </c>
      <c r="H723">
        <v>0.0032880557507368423</v>
      </c>
      <c r="I723" t="s">
        <v>137</v>
      </c>
      <c r="J723">
        <v>0.022743468631578948</v>
      </c>
      <c r="K723">
        <v>0.6742203803823158</v>
      </c>
      <c r="L723">
        <v>0.32025337792144193</v>
      </c>
      <c r="M723">
        <v>1.9215202675286518</v>
      </c>
      <c r="N723">
        <v>2.5957406479109677</v>
      </c>
      <c r="O723" t="s">
        <v>90</v>
      </c>
      <c r="P723">
        <v>0</v>
      </c>
      <c r="Q723" t="s">
        <v>90</v>
      </c>
      <c r="R723">
        <v>0</v>
      </c>
      <c r="S723" t="s">
        <v>90</v>
      </c>
      <c r="T723">
        <v>0</v>
      </c>
      <c r="U723">
        <v>2.5957406479109677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180</v>
      </c>
      <c r="AB723">
        <v>1</v>
      </c>
      <c r="AC723">
        <v>0.50</v>
      </c>
      <c r="AD723">
        <v>0.50345253019720215</v>
      </c>
      <c r="AE723">
        <v>10800</v>
      </c>
      <c r="AF723">
        <v>200000</v>
      </c>
      <c r="AG723">
        <v>16666.666666666668</v>
      </c>
      <c r="AH723">
        <v>1</v>
      </c>
      <c r="AI723">
        <v>1</v>
      </c>
      <c r="AJ723" t="s">
        <v>136</v>
      </c>
      <c r="AK723" t="s">
        <v>137</v>
      </c>
      <c r="AL723">
        <v>0</v>
      </c>
      <c r="AM723" t="s">
        <v>137</v>
      </c>
      <c r="AN723">
        <v>0</v>
      </c>
    </row>
    <row r="724" spans="1:42" ht="12.75">
      <c r="A724" s="2" t="str">
        <f>HYPERLINK("https://ibp.a2mac1.com/costing(costing:projects/details/8191/process/6975398)","Automated Process")</f>
        <v>Automated Process</v>
      </c>
      <c r="C724">
        <v>6975398</v>
      </c>
      <c r="D724">
        <v>5388409</v>
      </c>
      <c r="E724">
        <v>0.38761138499999997</v>
      </c>
      <c r="F724">
        <v>0</v>
      </c>
      <c r="G724">
        <v>0</v>
      </c>
      <c r="H724">
        <v>0.0019662291810526315</v>
      </c>
      <c r="I724" t="s">
        <v>137</v>
      </c>
      <c r="J724">
        <v>0.013600399473684211</v>
      </c>
      <c r="K724">
        <v>0.40317801365473682</v>
      </c>
      <c r="L724">
        <v>0.016957948710680286</v>
      </c>
      <c r="M724">
        <v>0.10174769226408172</v>
      </c>
      <c r="N724">
        <v>0.50492570591881858</v>
      </c>
      <c r="O724" t="s">
        <v>90</v>
      </c>
      <c r="P724">
        <v>0</v>
      </c>
      <c r="Q724" t="s">
        <v>90</v>
      </c>
      <c r="R724">
        <v>0</v>
      </c>
      <c r="S724" t="s">
        <v>90</v>
      </c>
      <c r="T724">
        <v>0</v>
      </c>
      <c r="U724">
        <v>0.50492570591881858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60</v>
      </c>
      <c r="AB724">
        <v>1</v>
      </c>
      <c r="AC724">
        <v>0.50</v>
      </c>
      <c r="AD724">
        <v>0.50345253019720215</v>
      </c>
      <c r="AE724">
        <v>985.50</v>
      </c>
      <c r="AF724">
        <v>200000</v>
      </c>
      <c r="AG724">
        <v>16666.666666666668</v>
      </c>
      <c r="AH724">
        <v>1</v>
      </c>
      <c r="AI724">
        <v>1</v>
      </c>
      <c r="AJ724" t="s">
        <v>136</v>
      </c>
      <c r="AK724" t="s">
        <v>137</v>
      </c>
      <c r="AL724">
        <v>0</v>
      </c>
      <c r="AM724" t="s">
        <v>137</v>
      </c>
      <c r="AN724">
        <v>0</v>
      </c>
    </row>
    <row r="725" spans="1:42" ht="12.75">
      <c r="A725" s="2" t="str">
        <f>HYPERLINK("https://ibp.a2mac1.com/costing(costing:projects/details/8191/process/6975399)","Automated Process")</f>
        <v>Automated Process</v>
      </c>
      <c r="C725">
        <v>6975399</v>
      </c>
      <c r="D725">
        <v>5388410</v>
      </c>
      <c r="E725">
        <v>0.33026613900000001</v>
      </c>
      <c r="F725">
        <v>0</v>
      </c>
      <c r="G725">
        <v>0</v>
      </c>
      <c r="H725">
        <v>0.0016753350008421053</v>
      </c>
      <c r="I725" t="s">
        <v>137</v>
      </c>
      <c r="J725">
        <v>0.011588285578947368</v>
      </c>
      <c r="K725">
        <v>0.34352975957978948</v>
      </c>
      <c r="L725">
        <v>0.014447132592212371</v>
      </c>
      <c r="M725">
        <v>0.086682795553274225</v>
      </c>
      <c r="N725">
        <v>0.43021255513306367</v>
      </c>
      <c r="O725" t="s">
        <v>90</v>
      </c>
      <c r="P725">
        <v>0</v>
      </c>
      <c r="Q725" t="s">
        <v>90</v>
      </c>
      <c r="R725">
        <v>0</v>
      </c>
      <c r="S725" t="s">
        <v>90</v>
      </c>
      <c r="T725">
        <v>0</v>
      </c>
      <c r="U725">
        <v>0.43021255513306367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60</v>
      </c>
      <c r="AB725">
        <v>1</v>
      </c>
      <c r="AC725">
        <v>0.50</v>
      </c>
      <c r="AD725">
        <v>0.50345253019720215</v>
      </c>
      <c r="AE725">
        <v>839.70</v>
      </c>
      <c r="AF725">
        <v>200000</v>
      </c>
      <c r="AG725">
        <v>16666.666666666668</v>
      </c>
      <c r="AH725">
        <v>1</v>
      </c>
      <c r="AI725">
        <v>1</v>
      </c>
      <c r="AJ725" t="s">
        <v>136</v>
      </c>
      <c r="AK725" t="s">
        <v>137</v>
      </c>
      <c r="AL725">
        <v>0</v>
      </c>
      <c r="AM725" t="s">
        <v>137</v>
      </c>
      <c r="AN725">
        <v>0</v>
      </c>
    </row>
    <row r="726" spans="1:42" ht="12.75">
      <c r="A726" s="2" t="str">
        <f>HYPERLINK("https://ibp.a2mac1.com/costing(costing:projects/details/8191/process/6975660)","Injection molding")</f>
        <v>Injection molding</v>
      </c>
      <c r="B726" t="s">
        <v>4715</v>
      </c>
      <c r="C726">
        <v>6975660</v>
      </c>
      <c r="D726">
        <v>5388795</v>
      </c>
      <c r="E726">
        <v>0.074641055999999997</v>
      </c>
      <c r="F726">
        <v>0</v>
      </c>
      <c r="G726">
        <v>0</v>
      </c>
      <c r="H726">
        <v>0.00037863031915789475</v>
      </c>
      <c r="I726" t="s">
        <v>137</v>
      </c>
      <c r="J726">
        <v>0.0026189844210526315</v>
      </c>
      <c r="K726">
        <v>0.077638670740210525</v>
      </c>
      <c r="L726">
        <v>0.0014390502443481438</v>
      </c>
      <c r="M726">
        <v>0.0086343014660888624</v>
      </c>
      <c r="N726">
        <v>0.086272972206299384</v>
      </c>
      <c r="O726" t="s">
        <v>138</v>
      </c>
      <c r="P726">
        <v>0.0046583202444126313</v>
      </c>
      <c r="Q726" t="s">
        <v>138</v>
      </c>
      <c r="R726">
        <v>0.0005180580879653318</v>
      </c>
      <c r="S726" t="s">
        <v>139</v>
      </c>
      <c r="T726">
        <v>0.010352756664755927</v>
      </c>
      <c r="U726">
        <v>0.10180210720343327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60</v>
      </c>
      <c r="AB726">
        <v>1</v>
      </c>
      <c r="AC726">
        <v>0.50</v>
      </c>
      <c r="AD726">
        <v>0.50345253019720215</v>
      </c>
      <c r="AE726">
        <v>83.70</v>
      </c>
      <c r="AF726">
        <v>200000</v>
      </c>
      <c r="AG726">
        <v>16666.666666666668</v>
      </c>
      <c r="AH726">
        <v>1</v>
      </c>
      <c r="AI726">
        <v>1</v>
      </c>
      <c r="AJ726" t="s">
        <v>136</v>
      </c>
      <c r="AK726" t="s">
        <v>137</v>
      </c>
      <c r="AL726">
        <v>0</v>
      </c>
      <c r="AM726" t="s">
        <v>137</v>
      </c>
      <c r="AN726">
        <v>0</v>
      </c>
    </row>
    <row r="727" spans="1:42" ht="12.75">
      <c r="A727" s="2" t="str">
        <f>HYPERLINK("https://ibp.a2mac1.com/costing(costing:projects/details/8191/process/6975661)","Injection molding")</f>
        <v>Injection molding</v>
      </c>
      <c r="C727">
        <v>6975661</v>
      </c>
      <c r="D727">
        <v>5388796</v>
      </c>
      <c r="E727">
        <v>0.21731213610386049</v>
      </c>
      <c r="F727">
        <v>0</v>
      </c>
      <c r="G727">
        <v>0</v>
      </c>
      <c r="H727">
        <v>0.00044810231988837119</v>
      </c>
      <c r="I727" t="s">
        <v>137</v>
      </c>
      <c r="J727">
        <v>0.0076133889301422284</v>
      </c>
      <c r="K727">
        <v>0.2253736273538911</v>
      </c>
      <c r="L727">
        <v>0.012574065505521207</v>
      </c>
      <c r="M727">
        <v>0.075444393033127249</v>
      </c>
      <c r="N727">
        <v>0.30081802038701833</v>
      </c>
      <c r="O727" t="s">
        <v>138</v>
      </c>
      <c r="P727">
        <v>0.013522417641233466</v>
      </c>
      <c r="Q727" t="s">
        <v>138</v>
      </c>
      <c r="R727">
        <v>0.0045266635819876345</v>
      </c>
      <c r="S727" t="s">
        <v>139</v>
      </c>
      <c r="T727">
        <v>0.036098162446442199</v>
      </c>
      <c r="U727">
        <v>0.35496526405668166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26.80114</v>
      </c>
      <c r="AB727">
        <v>1</v>
      </c>
      <c r="AC727">
        <v>0.10</v>
      </c>
      <c r="AD727">
        <v>0.20557651238448796</v>
      </c>
      <c r="AE727">
        <v>7200</v>
      </c>
      <c r="AF727">
        <v>200000</v>
      </c>
      <c r="AG727">
        <v>16666.666666666668</v>
      </c>
      <c r="AH727">
        <v>1</v>
      </c>
      <c r="AI727">
        <v>1</v>
      </c>
      <c r="AJ727" t="s">
        <v>136</v>
      </c>
      <c r="AK727" t="s">
        <v>137</v>
      </c>
      <c r="AL727">
        <v>0</v>
      </c>
      <c r="AM727" t="s">
        <v>137</v>
      </c>
      <c r="AN727">
        <v>0</v>
      </c>
    </row>
    <row r="728" spans="1:42" ht="12.75">
      <c r="A728" s="2" t="str">
        <f>HYPERLINK("https://ibp.a2mac1.com/costing(costing:projects/details/8191/process/6975662)","Handling/Visual Inspection/Packaging")</f>
        <v>Handling/Visual Inspection/Packaging</v>
      </c>
      <c r="C728">
        <v>6975662</v>
      </c>
      <c r="D728">
        <v>5388796</v>
      </c>
      <c r="E728">
        <v>0</v>
      </c>
      <c r="F728">
        <v>0</v>
      </c>
      <c r="G728">
        <v>0</v>
      </c>
      <c r="H728">
        <v>0</v>
      </c>
      <c r="I728" t="s">
        <v>137</v>
      </c>
      <c r="J728">
        <v>0</v>
      </c>
      <c r="K728">
        <v>0</v>
      </c>
      <c r="L728">
        <v>0.0086216394843006</v>
      </c>
      <c r="M728">
        <v>0.0517298369058036</v>
      </c>
      <c r="N728">
        <v>0.0517298369058036</v>
      </c>
      <c r="O728" t="s">
        <v>138</v>
      </c>
      <c r="P728">
        <v>0</v>
      </c>
      <c r="Q728" t="s">
        <v>138</v>
      </c>
      <c r="R728">
        <v>0.0031037902143482162</v>
      </c>
      <c r="S728" t="s">
        <v>139</v>
      </c>
      <c r="T728">
        <v>0.0062075804286964324</v>
      </c>
      <c r="U728">
        <v>0.061041207548848252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30</v>
      </c>
      <c r="AB728">
        <v>1</v>
      </c>
      <c r="AC728">
        <v>0.10</v>
      </c>
      <c r="AD728">
        <v>0.10389195236953569</v>
      </c>
      <c r="AE728">
        <v>900</v>
      </c>
      <c r="AF728">
        <v>200000</v>
      </c>
      <c r="AG728">
        <v>16666.666666666668</v>
      </c>
      <c r="AH728">
        <v>1</v>
      </c>
      <c r="AI728">
        <v>1</v>
      </c>
      <c r="AJ728" t="s">
        <v>136</v>
      </c>
      <c r="AK728" t="s">
        <v>137</v>
      </c>
      <c r="AL728">
        <v>0</v>
      </c>
      <c r="AM728" t="s">
        <v>137</v>
      </c>
      <c r="AN728">
        <v>0</v>
      </c>
    </row>
    <row r="729" spans="1:42" ht="12.75">
      <c r="A729" s="2" t="str">
        <f>HYPERLINK("https://ibp.a2mac1.com/costing(costing:projects/details/8191/process/6975663)","Injection molding")</f>
        <v>Injection molding</v>
      </c>
      <c r="C729">
        <v>6975663</v>
      </c>
      <c r="D729">
        <v>5388798</v>
      </c>
      <c r="E729">
        <v>0.20263788362206139</v>
      </c>
      <c r="F729">
        <v>0</v>
      </c>
      <c r="G729">
        <v>0</v>
      </c>
      <c r="H729">
        <v>0.00041743404026144647</v>
      </c>
      <c r="I729" t="s">
        <v>137</v>
      </c>
      <c r="J729">
        <v>0.0070923259267721486</v>
      </c>
      <c r="K729">
        <v>0.21014764358909496</v>
      </c>
      <c r="L729">
        <v>0.007899167688106749</v>
      </c>
      <c r="M729">
        <v>0.047395006128640491</v>
      </c>
      <c r="N729">
        <v>0.25754264971773544</v>
      </c>
      <c r="O729" t="s">
        <v>138</v>
      </c>
      <c r="P729">
        <v>0.012608858615345699</v>
      </c>
      <c r="Q729" t="s">
        <v>138</v>
      </c>
      <c r="R729">
        <v>0.0028437003677184293</v>
      </c>
      <c r="S729" t="s">
        <v>139</v>
      </c>
      <c r="T729">
        <v>0.030905117966128257</v>
      </c>
      <c r="U729">
        <v>0.30390032666692784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17.712309999999999</v>
      </c>
      <c r="AB729">
        <v>1</v>
      </c>
      <c r="AC729">
        <v>0.10</v>
      </c>
      <c r="AD729">
        <v>0.20557651238448796</v>
      </c>
      <c r="AE729">
        <v>7200</v>
      </c>
      <c r="AF729">
        <v>200000</v>
      </c>
      <c r="AG729">
        <v>16666.666666666668</v>
      </c>
      <c r="AH729">
        <v>1</v>
      </c>
      <c r="AI729">
        <v>1</v>
      </c>
      <c r="AJ729" t="s">
        <v>136</v>
      </c>
      <c r="AK729" t="s">
        <v>137</v>
      </c>
      <c r="AL729">
        <v>0</v>
      </c>
      <c r="AM729" t="s">
        <v>137</v>
      </c>
      <c r="AN729">
        <v>0</v>
      </c>
    </row>
    <row r="730" spans="1:42" ht="12.75">
      <c r="A730" s="2" t="str">
        <f>HYPERLINK("https://ibp.a2mac1.com/costing(costing:projects/details/8191/process/6975664)","Handling/Visual Inspection/Packaging")</f>
        <v>Handling/Visual Inspection/Packaging</v>
      </c>
      <c r="C730">
        <v>6975664</v>
      </c>
      <c r="D730">
        <v>5388798</v>
      </c>
      <c r="E730">
        <v>0</v>
      </c>
      <c r="F730">
        <v>0</v>
      </c>
      <c r="G730">
        <v>0</v>
      </c>
      <c r="H730">
        <v>0</v>
      </c>
      <c r="I730" t="s">
        <v>137</v>
      </c>
      <c r="J730">
        <v>0</v>
      </c>
      <c r="K730">
        <v>0</v>
      </c>
      <c r="L730">
        <v>0.0086216394843006</v>
      </c>
      <c r="M730">
        <v>0.0517298369058036</v>
      </c>
      <c r="N730">
        <v>0.0517298369058036</v>
      </c>
      <c r="O730" t="s">
        <v>138</v>
      </c>
      <c r="P730">
        <v>0</v>
      </c>
      <c r="Q730" t="s">
        <v>138</v>
      </c>
      <c r="R730">
        <v>0.0031037902143482162</v>
      </c>
      <c r="S730" t="s">
        <v>139</v>
      </c>
      <c r="T730">
        <v>0.0062075804286964324</v>
      </c>
      <c r="U730">
        <v>0.061041207548848252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30</v>
      </c>
      <c r="AB730">
        <v>1</v>
      </c>
      <c r="AC730">
        <v>0.10</v>
      </c>
      <c r="AD730">
        <v>0.10389195236953569</v>
      </c>
      <c r="AE730">
        <v>900</v>
      </c>
      <c r="AF730">
        <v>200000</v>
      </c>
      <c r="AG730">
        <v>16666.666666666668</v>
      </c>
      <c r="AH730">
        <v>1</v>
      </c>
      <c r="AI730">
        <v>1</v>
      </c>
      <c r="AJ730" t="s">
        <v>136</v>
      </c>
      <c r="AK730" t="s">
        <v>137</v>
      </c>
      <c r="AL730">
        <v>0</v>
      </c>
      <c r="AM730" t="s">
        <v>137</v>
      </c>
      <c r="AN730">
        <v>0</v>
      </c>
    </row>
    <row r="731" spans="1:42" ht="12.75">
      <c r="A731" s="2" t="str">
        <f>HYPERLINK("https://ibp.a2mac1.com/costing(costing:projects/details/8191/process/6975665)","Injection molding")</f>
        <v>Injection molding</v>
      </c>
      <c r="C731">
        <v>6975665</v>
      </c>
      <c r="D731">
        <v>5388799</v>
      </c>
      <c r="E731">
        <v>0.41690611150191759</v>
      </c>
      <c r="F731">
        <v>0</v>
      </c>
      <c r="G731">
        <v>0</v>
      </c>
      <c r="H731">
        <v>0.00085966940958310558</v>
      </c>
      <c r="I731" t="s">
        <v>137</v>
      </c>
      <c r="J731">
        <v>0.014606033657965384</v>
      </c>
      <c r="K731">
        <v>0.43237181456946611</v>
      </c>
      <c r="L731">
        <v>0.012426812663343759</v>
      </c>
      <c r="M731">
        <v>0.074560875980062558</v>
      </c>
      <c r="N731">
        <v>0.50693269054952861</v>
      </c>
      <c r="O731" t="s">
        <v>138</v>
      </c>
      <c r="P731">
        <v>0.025942308874167964</v>
      </c>
      <c r="Q731" t="s">
        <v>138</v>
      </c>
      <c r="R731">
        <v>0.0044736525588037531</v>
      </c>
      <c r="S731" t="s">
        <v>139</v>
      </c>
      <c r="T731">
        <v>0.060831922865943439</v>
      </c>
      <c r="U731">
        <v>0.59818057484844378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19.276399999999999</v>
      </c>
      <c r="AB731">
        <v>1</v>
      </c>
      <c r="AC731">
        <v>0.10</v>
      </c>
      <c r="AD731">
        <v>0.20557651238448796</v>
      </c>
      <c r="AE731">
        <v>7200</v>
      </c>
      <c r="AF731">
        <v>200000</v>
      </c>
      <c r="AG731">
        <v>16666.666666666668</v>
      </c>
      <c r="AH731">
        <v>1</v>
      </c>
      <c r="AI731">
        <v>1</v>
      </c>
      <c r="AJ731" t="s">
        <v>136</v>
      </c>
      <c r="AK731" t="s">
        <v>137</v>
      </c>
      <c r="AL731">
        <v>0</v>
      </c>
      <c r="AM731" t="s">
        <v>137</v>
      </c>
      <c r="AN731">
        <v>0</v>
      </c>
    </row>
    <row r="732" spans="1:42" ht="12.75">
      <c r="A732" s="2" t="str">
        <f>HYPERLINK("https://ibp.a2mac1.com/costing(costing:projects/details/8191/process/6975666)","Handling/Visual Inspection/Packaging")</f>
        <v>Handling/Visual Inspection/Packaging</v>
      </c>
      <c r="C732">
        <v>6975666</v>
      </c>
      <c r="D732">
        <v>5388799</v>
      </c>
      <c r="E732">
        <v>0</v>
      </c>
      <c r="F732">
        <v>0</v>
      </c>
      <c r="G732">
        <v>0</v>
      </c>
      <c r="H732">
        <v>0</v>
      </c>
      <c r="I732" t="s">
        <v>137</v>
      </c>
      <c r="J732">
        <v>0</v>
      </c>
      <c r="K732">
        <v>0</v>
      </c>
      <c r="L732">
        <v>0.0086216394843006</v>
      </c>
      <c r="M732">
        <v>0.0517298369058036</v>
      </c>
      <c r="N732">
        <v>0.0517298369058036</v>
      </c>
      <c r="O732" t="s">
        <v>138</v>
      </c>
      <c r="P732">
        <v>0</v>
      </c>
      <c r="Q732" t="s">
        <v>138</v>
      </c>
      <c r="R732">
        <v>0.0031037902143482162</v>
      </c>
      <c r="S732" t="s">
        <v>139</v>
      </c>
      <c r="T732">
        <v>0.0062075804286964324</v>
      </c>
      <c r="U732">
        <v>0.061041207548848252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30</v>
      </c>
      <c r="AB732">
        <v>1</v>
      </c>
      <c r="AC732">
        <v>0.10</v>
      </c>
      <c r="AD732">
        <v>0.10389195236953569</v>
      </c>
      <c r="AE732">
        <v>900</v>
      </c>
      <c r="AF732">
        <v>200000</v>
      </c>
      <c r="AG732">
        <v>16666.666666666668</v>
      </c>
      <c r="AH732">
        <v>1</v>
      </c>
      <c r="AI732">
        <v>1</v>
      </c>
      <c r="AJ732" t="s">
        <v>136</v>
      </c>
      <c r="AK732" t="s">
        <v>137</v>
      </c>
      <c r="AL732">
        <v>0</v>
      </c>
      <c r="AM732" t="s">
        <v>137</v>
      </c>
      <c r="AN732">
        <v>0</v>
      </c>
    </row>
    <row r="733" spans="1:42" ht="12.75">
      <c r="A733" s="2" t="str">
        <f>HYPERLINK("https://ibp.a2mac1.com/costing(costing:projects/details/8191/process/6975667)","Injection molding")</f>
        <v>Injection molding</v>
      </c>
      <c r="C733">
        <v>6975667</v>
      </c>
      <c r="D733">
        <v>5388800</v>
      </c>
      <c r="E733">
        <v>0.17250239910609633</v>
      </c>
      <c r="F733">
        <v>0</v>
      </c>
      <c r="G733">
        <v>0</v>
      </c>
      <c r="H733">
        <v>0.00035570367404058785</v>
      </c>
      <c r="I733" t="s">
        <v>137</v>
      </c>
      <c r="J733">
        <v>0.0060435090249614442</v>
      </c>
      <c r="K733">
        <v>0.17890161180509837</v>
      </c>
      <c r="L733">
        <v>0.011044225074770136</v>
      </c>
      <c r="M733">
        <v>0.066265350448620808</v>
      </c>
      <c r="N733">
        <v>0.24516696225371917</v>
      </c>
      <c r="O733" t="s">
        <v>138</v>
      </c>
      <c r="P733">
        <v>0.010734096708305902</v>
      </c>
      <c r="Q733" t="s">
        <v>138</v>
      </c>
      <c r="R733">
        <v>0.0039759210269172491</v>
      </c>
      <c r="S733" t="s">
        <v>139</v>
      </c>
      <c r="T733">
        <v>0.029420035470446301</v>
      </c>
      <c r="U733">
        <v>0.28929701545938863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28.62304</v>
      </c>
      <c r="AB733">
        <v>1</v>
      </c>
      <c r="AC733">
        <v>0.10</v>
      </c>
      <c r="AD733">
        <v>0.20557651238448796</v>
      </c>
      <c r="AE733">
        <v>7200</v>
      </c>
      <c r="AF733">
        <v>200000</v>
      </c>
      <c r="AG733">
        <v>16666.666666666668</v>
      </c>
      <c r="AH733">
        <v>1</v>
      </c>
      <c r="AI733">
        <v>1</v>
      </c>
      <c r="AJ733" t="s">
        <v>136</v>
      </c>
      <c r="AK733" t="s">
        <v>137</v>
      </c>
      <c r="AL733">
        <v>0</v>
      </c>
      <c r="AM733" t="s">
        <v>137</v>
      </c>
      <c r="AN733">
        <v>0</v>
      </c>
    </row>
    <row r="734" spans="1:42" ht="12.75">
      <c r="A734" s="2" t="str">
        <f>HYPERLINK("https://ibp.a2mac1.com/costing(costing:projects/details/8191/process/6975668)","Handling/Visual Inspection/Packaging")</f>
        <v>Handling/Visual Inspection/Packaging</v>
      </c>
      <c r="C734">
        <v>6975668</v>
      </c>
      <c r="D734">
        <v>5388800</v>
      </c>
      <c r="E734">
        <v>0</v>
      </c>
      <c r="F734">
        <v>0</v>
      </c>
      <c r="G734">
        <v>0</v>
      </c>
      <c r="H734">
        <v>0</v>
      </c>
      <c r="I734" t="s">
        <v>137</v>
      </c>
      <c r="J734">
        <v>0</v>
      </c>
      <c r="K734">
        <v>0</v>
      </c>
      <c r="L734">
        <v>0.0086216394843006</v>
      </c>
      <c r="M734">
        <v>0.0517298369058036</v>
      </c>
      <c r="N734">
        <v>0.0517298369058036</v>
      </c>
      <c r="O734" t="s">
        <v>138</v>
      </c>
      <c r="P734">
        <v>0</v>
      </c>
      <c r="Q734" t="s">
        <v>138</v>
      </c>
      <c r="R734">
        <v>0.0031037902143482162</v>
      </c>
      <c r="S734" t="s">
        <v>139</v>
      </c>
      <c r="T734">
        <v>0.0062075804286964324</v>
      </c>
      <c r="U734">
        <v>0.061041207548848252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30</v>
      </c>
      <c r="AB734">
        <v>1</v>
      </c>
      <c r="AC734">
        <v>0.10</v>
      </c>
      <c r="AD734">
        <v>0.10389195236953569</v>
      </c>
      <c r="AE734">
        <v>900</v>
      </c>
      <c r="AF734">
        <v>200000</v>
      </c>
      <c r="AG734">
        <v>16666.666666666668</v>
      </c>
      <c r="AH734">
        <v>1</v>
      </c>
      <c r="AI734">
        <v>1</v>
      </c>
      <c r="AJ734" t="s">
        <v>136</v>
      </c>
      <c r="AK734" t="s">
        <v>137</v>
      </c>
      <c r="AL734">
        <v>0</v>
      </c>
      <c r="AM734" t="s">
        <v>137</v>
      </c>
      <c r="AN734">
        <v>0</v>
      </c>
    </row>
    <row r="735" spans="1:42" ht="12.75">
      <c r="A735" s="2" t="str">
        <f>HYPERLINK("https://ibp.a2mac1.com/costing(costing:projects/details/8191/process/6975669)","Injection molding")</f>
        <v>Injection molding</v>
      </c>
      <c r="B735" t="s">
        <v>4715</v>
      </c>
      <c r="C735">
        <v>6975669</v>
      </c>
      <c r="D735">
        <v>5388801</v>
      </c>
      <c r="E735">
        <v>0.069825503999999997</v>
      </c>
      <c r="F735">
        <v>0</v>
      </c>
      <c r="G735">
        <v>0</v>
      </c>
      <c r="H735">
        <v>0.00035420255663157896</v>
      </c>
      <c r="I735" t="s">
        <v>137</v>
      </c>
      <c r="J735">
        <v>0.0024500176842105264</v>
      </c>
      <c r="K735">
        <v>0.072629724240842103</v>
      </c>
      <c r="L735">
        <v>0.0013462014932372193</v>
      </c>
      <c r="M735">
        <v>0.0080772089594233158</v>
      </c>
      <c r="N735">
        <v>0.080706933200265424</v>
      </c>
      <c r="O735" t="s">
        <v>138</v>
      </c>
      <c r="P735">
        <v>0.0043577834544505263</v>
      </c>
      <c r="Q735" t="s">
        <v>138</v>
      </c>
      <c r="R735">
        <v>0.00048463253756539891</v>
      </c>
      <c r="S735" t="s">
        <v>139</v>
      </c>
      <c r="T735">
        <v>0.0096848319840318504</v>
      </c>
      <c r="U735">
        <v>0.095234181176313201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60</v>
      </c>
      <c r="AB735">
        <v>1</v>
      </c>
      <c r="AC735">
        <v>0.50</v>
      </c>
      <c r="AD735">
        <v>0.50345253019720215</v>
      </c>
      <c r="AE735">
        <v>78.30</v>
      </c>
      <c r="AF735">
        <v>200000</v>
      </c>
      <c r="AG735">
        <v>16666.666666666668</v>
      </c>
      <c r="AH735">
        <v>1</v>
      </c>
      <c r="AI735">
        <v>1</v>
      </c>
      <c r="AJ735" t="s">
        <v>136</v>
      </c>
      <c r="AK735" t="s">
        <v>137</v>
      </c>
      <c r="AL735">
        <v>0</v>
      </c>
      <c r="AM735" t="s">
        <v>137</v>
      </c>
      <c r="AN735">
        <v>0</v>
      </c>
    </row>
    <row r="736" spans="1:42" ht="12.75">
      <c r="A736" s="2" t="str">
        <f>HYPERLINK("https://ibp.a2mac1.com/costing(costing:projects/details/8191/process/6975670)","Injection molding")</f>
        <v>Injection molding</v>
      </c>
      <c r="B736" t="s">
        <v>4715</v>
      </c>
      <c r="C736">
        <v>6975670</v>
      </c>
      <c r="D736">
        <v>5388802</v>
      </c>
      <c r="E736">
        <v>0.0046909894736842104</v>
      </c>
      <c r="F736">
        <v>0</v>
      </c>
      <c r="G736">
        <v>0</v>
      </c>
      <c r="H736">
        <v>2.3736406736842104E-05</v>
      </c>
      <c r="I736" t="s">
        <v>137</v>
      </c>
      <c r="J736">
        <v>0.00016418463157894737</v>
      </c>
      <c r="K736">
        <v>0.0048789105119999999</v>
      </c>
      <c r="L736">
        <v>9.2835151385610077E-05</v>
      </c>
      <c r="M736">
        <v>0.00055701090831366043</v>
      </c>
      <c r="N736">
        <v>0.0054359214203136604</v>
      </c>
      <c r="O736" t="s">
        <v>138</v>
      </c>
      <c r="P736">
        <v>0.00029273463072</v>
      </c>
      <c r="Q736" t="s">
        <v>138</v>
      </c>
      <c r="R736">
        <v>3.3420654498819631E-05</v>
      </c>
      <c r="S736" t="s">
        <v>139</v>
      </c>
      <c r="T736">
        <v>0.00065231057043763931</v>
      </c>
      <c r="U736">
        <v>0.0064143872759701197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60</v>
      </c>
      <c r="AB736">
        <v>1</v>
      </c>
      <c r="AC736">
        <v>0.50</v>
      </c>
      <c r="AD736">
        <v>0.50345253019720215</v>
      </c>
      <c r="AE736">
        <v>5.40</v>
      </c>
      <c r="AF736">
        <v>200000</v>
      </c>
      <c r="AG736">
        <v>16666.666666666668</v>
      </c>
      <c r="AH736">
        <v>1</v>
      </c>
      <c r="AI736">
        <v>1</v>
      </c>
      <c r="AJ736" t="s">
        <v>136</v>
      </c>
      <c r="AK736" t="s">
        <v>137</v>
      </c>
      <c r="AL736">
        <v>0</v>
      </c>
      <c r="AM736" t="s">
        <v>137</v>
      </c>
      <c r="AN736">
        <v>0</v>
      </c>
    </row>
    <row r="737" spans="1:42" ht="12.75">
      <c r="A737" s="2" t="str">
        <f>HYPERLINK("https://ibp.a2mac1.com/costing(costing:projects/details/8191/process/6975404)","Assembly")</f>
        <v>Assembly</v>
      </c>
      <c r="C737">
        <v>6975404</v>
      </c>
      <c r="D737">
        <v>5388415</v>
      </c>
      <c r="E737">
        <v>0</v>
      </c>
      <c r="F737">
        <v>0</v>
      </c>
      <c r="G737">
        <v>0</v>
      </c>
      <c r="H737">
        <v>0</v>
      </c>
      <c r="I737" t="s">
        <v>90</v>
      </c>
      <c r="J737">
        <v>0</v>
      </c>
      <c r="K737">
        <v>0</v>
      </c>
      <c r="L737">
        <v>0</v>
      </c>
      <c r="M737">
        <v>0.39420764387300394</v>
      </c>
      <c r="N737">
        <v>0.39420764387300394</v>
      </c>
      <c r="O737" t="s">
        <v>90</v>
      </c>
      <c r="P737">
        <v>0</v>
      </c>
      <c r="Q737" t="s">
        <v>90</v>
      </c>
      <c r="R737">
        <v>0</v>
      </c>
      <c r="S737" t="s">
        <v>90</v>
      </c>
      <c r="T737">
        <v>0</v>
      </c>
      <c r="U737">
        <v>0.39420764387300394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60</v>
      </c>
      <c r="AB737">
        <v>1</v>
      </c>
      <c r="AC737">
        <v>1.99</v>
      </c>
      <c r="AD737">
        <v>1.9992159937279499</v>
      </c>
      <c r="AE737">
        <v>1800</v>
      </c>
      <c r="AF737">
        <v>200000</v>
      </c>
      <c r="AG737">
        <v>10000</v>
      </c>
      <c r="AH737">
        <v>1</v>
      </c>
      <c r="AI737">
        <v>1</v>
      </c>
      <c r="AJ737" t="s">
        <v>79</v>
      </c>
      <c r="AK737" t="s">
        <v>90</v>
      </c>
      <c r="AL737">
        <v>0</v>
      </c>
      <c r="AM737" t="s">
        <v>90</v>
      </c>
      <c r="AN737">
        <v>0</v>
      </c>
      <c r="AP737">
        <v>0</v>
      </c>
    </row>
    <row r="738" spans="1:42" ht="12.75">
      <c r="A738" s="2" t="str">
        <f>HYPERLINK("https://ibp.a2mac1.com/costing(costing:projects/details/8191/process/6975400)","Process")</f>
        <v>Process</v>
      </c>
      <c r="C738">
        <v>6975400</v>
      </c>
      <c r="D738">
        <v>5388412</v>
      </c>
      <c r="E738">
        <v>0</v>
      </c>
      <c r="F738">
        <v>0</v>
      </c>
      <c r="G738">
        <v>0</v>
      </c>
      <c r="H738">
        <v>0</v>
      </c>
      <c r="I738" t="s">
        <v>137</v>
      </c>
      <c r="J738">
        <v>0</v>
      </c>
      <c r="K738">
        <v>0</v>
      </c>
      <c r="L738">
        <v>0.10844100670092785</v>
      </c>
      <c r="M738">
        <v>0.65064604020556704</v>
      </c>
      <c r="N738">
        <v>0.65064604020556704</v>
      </c>
      <c r="O738" t="s">
        <v>138</v>
      </c>
      <c r="P738">
        <v>0</v>
      </c>
      <c r="Q738" t="s">
        <v>138</v>
      </c>
      <c r="R738">
        <v>0.039038762412334026</v>
      </c>
      <c r="S738" t="s">
        <v>139</v>
      </c>
      <c r="T738">
        <v>0.078077524824668051</v>
      </c>
      <c r="U738">
        <v>0.76776232744256911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95</v>
      </c>
      <c r="AB738">
        <v>1</v>
      </c>
      <c r="AC738">
        <v>5</v>
      </c>
      <c r="AD738">
        <v>5.0007599939200489</v>
      </c>
      <c r="AE738">
        <v>216</v>
      </c>
      <c r="AF738">
        <v>200000</v>
      </c>
      <c r="AG738">
        <v>16666.666666666668</v>
      </c>
      <c r="AH738">
        <v>1</v>
      </c>
      <c r="AI738">
        <v>1</v>
      </c>
      <c r="AJ738" t="s">
        <v>136</v>
      </c>
      <c r="AK738" t="s">
        <v>137</v>
      </c>
      <c r="AL738">
        <v>0</v>
      </c>
      <c r="AM738" t="s">
        <v>137</v>
      </c>
      <c r="AN738">
        <v>0</v>
      </c>
    </row>
    <row r="739" spans="1:42" ht="12.75">
      <c r="A739" s="2" t="str">
        <f>HYPERLINK("https://ibp.a2mac1.com/costing(costing:projects/details/8191/process/6975401)","Stamping ")</f>
        <v xml:space="preserve">Stamping </v>
      </c>
      <c r="B739" t="s">
        <v>4771</v>
      </c>
      <c r="C739">
        <v>6975401</v>
      </c>
      <c r="D739">
        <v>5388413</v>
      </c>
      <c r="E739">
        <v>0.079468999999999998</v>
      </c>
      <c r="F739">
        <v>0</v>
      </c>
      <c r="G739">
        <v>0</v>
      </c>
      <c r="H739">
        <v>0.0006200328571428572</v>
      </c>
      <c r="I739" t="s">
        <v>137</v>
      </c>
      <c r="J739">
        <v>0.0030565000000000002</v>
      </c>
      <c r="K739">
        <v>0.083145532857142851</v>
      </c>
      <c r="L739">
        <v>0.0002633609256231051</v>
      </c>
      <c r="M739">
        <v>0.0015801655537386306</v>
      </c>
      <c r="N739">
        <v>0.084725698410881484</v>
      </c>
      <c r="O739" t="s">
        <v>138</v>
      </c>
      <c r="P739">
        <v>0.0049887319714285719</v>
      </c>
      <c r="Q739" t="s">
        <v>138</v>
      </c>
      <c r="R739">
        <v>9.4809933224317843E-05</v>
      </c>
      <c r="S739" t="s">
        <v>139</v>
      </c>
      <c r="T739">
        <v>0.010167083809305779</v>
      </c>
      <c r="U739">
        <v>0.099976324124840157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10</v>
      </c>
      <c r="AB739">
        <v>1</v>
      </c>
      <c r="AC739">
        <v>0.50</v>
      </c>
      <c r="AD739">
        <v>0.70499453877469964</v>
      </c>
      <c r="AE739">
        <v>1800</v>
      </c>
      <c r="AF739">
        <v>200000</v>
      </c>
      <c r="AG739">
        <v>16666.666666666668</v>
      </c>
      <c r="AH739">
        <v>1</v>
      </c>
      <c r="AI739">
        <v>1</v>
      </c>
      <c r="AJ739" t="s">
        <v>136</v>
      </c>
      <c r="AK739" t="s">
        <v>137</v>
      </c>
      <c r="AL739">
        <v>0</v>
      </c>
      <c r="AM739" t="s">
        <v>137</v>
      </c>
      <c r="AN739">
        <v>0</v>
      </c>
    </row>
    <row r="740" spans="1:42" ht="12.75">
      <c r="A740" s="2" t="str">
        <f>HYPERLINK("https://ibp.a2mac1.com/costing(costing:projects/details/8191/process/6975403)","Wire Bending")</f>
        <v>Wire Bending</v>
      </c>
      <c r="C740">
        <v>6975403</v>
      </c>
      <c r="D740">
        <v>5388413</v>
      </c>
      <c r="E740">
        <v>0</v>
      </c>
      <c r="F740">
        <v>0</v>
      </c>
      <c r="G740">
        <v>0</v>
      </c>
      <c r="H740">
        <v>0</v>
      </c>
      <c r="I740" t="s">
        <v>137</v>
      </c>
      <c r="J740">
        <v>0</v>
      </c>
      <c r="K740">
        <v>0</v>
      </c>
      <c r="L740">
        <v>0.0036698564783128945</v>
      </c>
      <c r="M740">
        <v>0.022019138869877369</v>
      </c>
      <c r="N740">
        <v>0.022019138869877369</v>
      </c>
      <c r="O740" t="s">
        <v>138</v>
      </c>
      <c r="P740">
        <v>0</v>
      </c>
      <c r="Q740" t="s">
        <v>138</v>
      </c>
      <c r="R740">
        <v>0.001321148332192642</v>
      </c>
      <c r="S740" t="s">
        <v>139</v>
      </c>
      <c r="T740">
        <v>0.0026422966643852839</v>
      </c>
      <c r="U740">
        <v>0.025982583866455293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5</v>
      </c>
      <c r="AB740">
        <v>1</v>
      </c>
      <c r="AC740">
        <v>0.10</v>
      </c>
      <c r="AD740">
        <v>0.20557651238448796</v>
      </c>
      <c r="AE740">
        <v>3600</v>
      </c>
      <c r="AF740">
        <v>200000</v>
      </c>
      <c r="AG740">
        <v>16666.666666666668</v>
      </c>
      <c r="AH740">
        <v>1</v>
      </c>
      <c r="AI740">
        <v>1</v>
      </c>
      <c r="AJ740" t="s">
        <v>136</v>
      </c>
      <c r="AK740" t="s">
        <v>137</v>
      </c>
      <c r="AL740">
        <v>0</v>
      </c>
      <c r="AM740" t="s">
        <v>137</v>
      </c>
      <c r="AN740">
        <v>0</v>
      </c>
    </row>
    <row r="741" spans="1:42" ht="12.75">
      <c r="A741" s="2" t="str">
        <f>HYPERLINK("https://ibp.a2mac1.com/costing(costing:projects/details/8191/process/6975402)","Press fit")</f>
        <v>Press fit</v>
      </c>
      <c r="C741">
        <v>6975402</v>
      </c>
      <c r="D741">
        <v>5388413</v>
      </c>
      <c r="E741">
        <v>0</v>
      </c>
      <c r="F741">
        <v>0</v>
      </c>
      <c r="G741">
        <v>0</v>
      </c>
      <c r="H741">
        <v>0</v>
      </c>
      <c r="I741" t="s">
        <v>137</v>
      </c>
      <c r="J741">
        <v>0</v>
      </c>
      <c r="K741">
        <v>0</v>
      </c>
      <c r="L741">
        <v>0.0061912616210148697</v>
      </c>
      <c r="M741">
        <v>0.037147569726089222</v>
      </c>
      <c r="N741">
        <v>0.037147569726089222</v>
      </c>
      <c r="O741" t="s">
        <v>138</v>
      </c>
      <c r="P741">
        <v>0</v>
      </c>
      <c r="Q741" t="s">
        <v>138</v>
      </c>
      <c r="R741">
        <v>0.0022288541835653532</v>
      </c>
      <c r="S741" t="s">
        <v>139</v>
      </c>
      <c r="T741">
        <v>0.0044577083671307064</v>
      </c>
      <c r="U741">
        <v>0.04383413227678528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15</v>
      </c>
      <c r="AB741">
        <v>1</v>
      </c>
      <c r="AC741">
        <v>0.10</v>
      </c>
      <c r="AD741">
        <v>0.10389195236953569</v>
      </c>
      <c r="AE741">
        <v>180</v>
      </c>
      <c r="AF741">
        <v>200000</v>
      </c>
      <c r="AG741">
        <v>16666.666666666668</v>
      </c>
      <c r="AH741">
        <v>1</v>
      </c>
      <c r="AI741">
        <v>1</v>
      </c>
      <c r="AJ741" t="s">
        <v>136</v>
      </c>
      <c r="AK741" t="s">
        <v>137</v>
      </c>
      <c r="AL741">
        <v>0</v>
      </c>
      <c r="AM741" t="s">
        <v>137</v>
      </c>
      <c r="AN741">
        <v>0</v>
      </c>
    </row>
    <row r="742" spans="1:42" ht="12.75">
      <c r="A742" s="2" t="str">
        <f>HYPERLINK("https://ibp.a2mac1.com/costing(costing:projects/details/8191/process/6975671)","Automated Process")</f>
        <v>Automated Process</v>
      </c>
      <c r="C742">
        <v>6975671</v>
      </c>
      <c r="D742">
        <v>5388806</v>
      </c>
      <c r="E742">
        <v>6.2930900000000003</v>
      </c>
      <c r="F742">
        <v>0</v>
      </c>
      <c r="G742">
        <v>0</v>
      </c>
      <c r="H742">
        <v>0</v>
      </c>
      <c r="I742" t="s">
        <v>90</v>
      </c>
      <c r="J742">
        <v>0</v>
      </c>
      <c r="K742">
        <v>6.2930900000000003</v>
      </c>
      <c r="L742">
        <v>0</v>
      </c>
      <c r="M742">
        <v>3.2703594366670647</v>
      </c>
      <c r="N742">
        <v>9.5634494366670655</v>
      </c>
      <c r="O742" t="s">
        <v>90</v>
      </c>
      <c r="P742">
        <v>0</v>
      </c>
      <c r="Q742" t="s">
        <v>90</v>
      </c>
      <c r="R742">
        <v>0</v>
      </c>
      <c r="S742" t="s">
        <v>90</v>
      </c>
      <c r="T742">
        <v>0</v>
      </c>
      <c r="U742">
        <v>9.5634494366670655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370</v>
      </c>
      <c r="AB742">
        <v>1</v>
      </c>
      <c r="AC742">
        <v>0</v>
      </c>
      <c r="AD742">
        <v>0</v>
      </c>
      <c r="AE742">
        <v>10800</v>
      </c>
      <c r="AF742">
        <v>200000</v>
      </c>
      <c r="AG742">
        <v>10000</v>
      </c>
      <c r="AH742">
        <v>1</v>
      </c>
      <c r="AI742">
        <v>1</v>
      </c>
      <c r="AJ742" t="s">
        <v>79</v>
      </c>
      <c r="AK742" t="s">
        <v>90</v>
      </c>
      <c r="AL742">
        <v>0</v>
      </c>
      <c r="AM742" t="s">
        <v>90</v>
      </c>
      <c r="AN742">
        <v>0</v>
      </c>
      <c r="AP742">
        <v>0</v>
      </c>
    </row>
    <row r="743" spans="1:42" ht="12.75">
      <c r="A743" s="2" t="str">
        <f>HYPERLINK("https://ibp.a2mac1.com/costing(costing:projects/details/8191/process/6975405)","Automated Process")</f>
        <v>Automated Process</v>
      </c>
      <c r="C743">
        <v>6975405</v>
      </c>
      <c r="D743">
        <v>5388417</v>
      </c>
      <c r="E743">
        <v>0.73074511399999997</v>
      </c>
      <c r="F743">
        <v>0</v>
      </c>
      <c r="G743">
        <v>0</v>
      </c>
      <c r="H743">
        <v>0.0037048184429473684</v>
      </c>
      <c r="I743" t="s">
        <v>137</v>
      </c>
      <c r="J743">
        <v>0.025626214526315791</v>
      </c>
      <c r="K743">
        <v>0.76007614696926318</v>
      </c>
      <c r="L743">
        <v>0.0333747051768606</v>
      </c>
      <c r="M743">
        <v>0.20024823106116363</v>
      </c>
      <c r="N743">
        <v>0.96032437803042681</v>
      </c>
      <c r="O743" t="s">
        <v>138</v>
      </c>
      <c r="P743">
        <v>0.045604568818155791</v>
      </c>
      <c r="Q743" t="s">
        <v>138</v>
      </c>
      <c r="R743">
        <v>0.012014893863669817</v>
      </c>
      <c r="S743" t="s">
        <v>139</v>
      </c>
      <c r="T743">
        <v>0.11523892536365121</v>
      </c>
      <c r="U743">
        <v>1.1331827660759035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60</v>
      </c>
      <c r="AB743">
        <v>1</v>
      </c>
      <c r="AC743">
        <v>0.50</v>
      </c>
      <c r="AD743">
        <v>0.50345253019720215</v>
      </c>
      <c r="AE743">
        <v>1611.90</v>
      </c>
      <c r="AF743">
        <v>200000</v>
      </c>
      <c r="AG743">
        <v>16666.666666666668</v>
      </c>
      <c r="AH743">
        <v>1</v>
      </c>
      <c r="AI743">
        <v>1</v>
      </c>
      <c r="AJ743" t="s">
        <v>136</v>
      </c>
      <c r="AK743" t="s">
        <v>137</v>
      </c>
      <c r="AL743">
        <v>0</v>
      </c>
      <c r="AM743" t="s">
        <v>137</v>
      </c>
      <c r="AN743">
        <v>0</v>
      </c>
    </row>
    <row r="744" spans="1:42" ht="12.75">
      <c r="A744" s="2" t="str">
        <f>HYPERLINK("https://ibp.a2mac1.com/costing(costing:projects/details/8191/process/6975280)","Assembly")</f>
        <v>Assembly</v>
      </c>
      <c r="C744">
        <v>6975280</v>
      </c>
      <c r="D744">
        <v>5388188</v>
      </c>
      <c r="E744">
        <v>0</v>
      </c>
      <c r="F744">
        <v>0</v>
      </c>
      <c r="G744">
        <v>0</v>
      </c>
      <c r="H744">
        <v>0</v>
      </c>
      <c r="I744" t="s">
        <v>90</v>
      </c>
      <c r="J744">
        <v>0</v>
      </c>
      <c r="K744">
        <v>0</v>
      </c>
      <c r="L744">
        <v>0</v>
      </c>
      <c r="M744">
        <v>0.39420764387300394</v>
      </c>
      <c r="N744">
        <v>0.39420764387300394</v>
      </c>
      <c r="O744" t="s">
        <v>90</v>
      </c>
      <c r="P744">
        <v>0</v>
      </c>
      <c r="Q744" t="s">
        <v>90</v>
      </c>
      <c r="R744">
        <v>0</v>
      </c>
      <c r="S744" t="s">
        <v>90</v>
      </c>
      <c r="T744">
        <v>0</v>
      </c>
      <c r="U744">
        <v>0.39420764387300394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60</v>
      </c>
      <c r="AB744">
        <v>1</v>
      </c>
      <c r="AC744">
        <v>1.99</v>
      </c>
      <c r="AD744">
        <v>1.9992159937279499</v>
      </c>
      <c r="AE744">
        <v>1800</v>
      </c>
      <c r="AF744">
        <v>200000</v>
      </c>
      <c r="AG744">
        <v>10000</v>
      </c>
      <c r="AH744">
        <v>1</v>
      </c>
      <c r="AI744">
        <v>1</v>
      </c>
      <c r="AJ744" t="s">
        <v>79</v>
      </c>
      <c r="AK744" t="s">
        <v>90</v>
      </c>
      <c r="AL744">
        <v>0</v>
      </c>
      <c r="AM744" t="s">
        <v>90</v>
      </c>
      <c r="AN744">
        <v>0</v>
      </c>
      <c r="AP744">
        <v>0</v>
      </c>
    </row>
    <row r="745" spans="1:42" ht="12.75">
      <c r="A745" s="2" t="str">
        <f>HYPERLINK("https://ibp.a2mac1.com/costing(costing:projects/details/8191/process/6975672)","Seal Extrusion (Multi Layer)")</f>
        <v>Seal Extrusion (Multi Layer)</v>
      </c>
      <c r="B745" t="s">
        <v>4822</v>
      </c>
      <c r="C745">
        <v>6975672</v>
      </c>
      <c r="D745">
        <v>5388807</v>
      </c>
      <c r="E745">
        <v>3.2748405538526315</v>
      </c>
      <c r="F745">
        <v>0</v>
      </c>
      <c r="G745">
        <v>0</v>
      </c>
      <c r="H745">
        <v>0.0067674877917473682</v>
      </c>
      <c r="I745" t="s">
        <v>137</v>
      </c>
      <c r="J745">
        <v>0.11498158869473685</v>
      </c>
      <c r="K745">
        <v>3.3965896303391157</v>
      </c>
      <c r="L745">
        <v>0.037001546639062834</v>
      </c>
      <c r="M745">
        <v>0.22200927983437699</v>
      </c>
      <c r="N745">
        <v>3.618598910173493</v>
      </c>
      <c r="O745" t="s">
        <v>138</v>
      </c>
      <c r="P745">
        <v>0.20379537782034696</v>
      </c>
      <c r="Q745" t="s">
        <v>138</v>
      </c>
      <c r="R745">
        <v>0.01332055679006262</v>
      </c>
      <c r="S745" t="s">
        <v>139</v>
      </c>
      <c r="T745">
        <v>0.43423186922081913</v>
      </c>
      <c r="U745">
        <v>4.2699467140047211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15</v>
      </c>
      <c r="AB745">
        <v>1</v>
      </c>
      <c r="AC745">
        <v>0.10</v>
      </c>
      <c r="AD745">
        <v>0.20557651238448796</v>
      </c>
      <c r="AE745">
        <v>1800</v>
      </c>
      <c r="AF745">
        <v>200000</v>
      </c>
      <c r="AG745">
        <v>16666.666666666668</v>
      </c>
      <c r="AH745">
        <v>1</v>
      </c>
      <c r="AI745">
        <v>1</v>
      </c>
      <c r="AJ745" t="s">
        <v>136</v>
      </c>
      <c r="AK745" t="s">
        <v>137</v>
      </c>
      <c r="AL745">
        <v>0</v>
      </c>
      <c r="AM745" t="s">
        <v>137</v>
      </c>
      <c r="AN745">
        <v>0</v>
      </c>
    </row>
    <row r="746" spans="1:42" ht="12.75">
      <c r="A746" s="2" t="str">
        <f>HYPERLINK("https://ibp.a2mac1.com/costing(costing:projects/details/8191/process/6975673)","End Glueing/Vulcanizing, Check and Pack")</f>
        <v>End Glueing/Vulcanizing, Check and Pack</v>
      </c>
      <c r="C746">
        <v>6975673</v>
      </c>
      <c r="D746">
        <v>5388807</v>
      </c>
      <c r="E746">
        <v>0</v>
      </c>
      <c r="F746">
        <v>0</v>
      </c>
      <c r="G746">
        <v>0</v>
      </c>
      <c r="H746">
        <v>0</v>
      </c>
      <c r="I746" t="s">
        <v>137</v>
      </c>
      <c r="J746">
        <v>0</v>
      </c>
      <c r="K746">
        <v>0</v>
      </c>
      <c r="L746">
        <v>0.015680387065327164</v>
      </c>
      <c r="M746">
        <v>0.094082322391962986</v>
      </c>
      <c r="N746">
        <v>0.094082322391962986</v>
      </c>
      <c r="O746" t="s">
        <v>138</v>
      </c>
      <c r="P746">
        <v>0</v>
      </c>
      <c r="Q746" t="s">
        <v>138</v>
      </c>
      <c r="R746">
        <v>0.0056449393435177792</v>
      </c>
      <c r="S746" t="s">
        <v>139</v>
      </c>
      <c r="T746">
        <v>0.011289878687035558</v>
      </c>
      <c r="U746">
        <v>0.11101714042251631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30</v>
      </c>
      <c r="AB746">
        <v>1</v>
      </c>
      <c r="AC746">
        <v>0.10</v>
      </c>
      <c r="AD746">
        <v>0.10389195236953569</v>
      </c>
      <c r="AE746">
        <v>600</v>
      </c>
      <c r="AF746">
        <v>200000</v>
      </c>
      <c r="AG746">
        <v>16666.666666666668</v>
      </c>
      <c r="AH746">
        <v>1</v>
      </c>
      <c r="AI746">
        <v>1</v>
      </c>
      <c r="AJ746" t="s">
        <v>136</v>
      </c>
      <c r="AK746" t="s">
        <v>137</v>
      </c>
      <c r="AL746">
        <v>0</v>
      </c>
      <c r="AM746" t="s">
        <v>137</v>
      </c>
      <c r="AN746">
        <v>0</v>
      </c>
    </row>
    <row r="747" spans="1:42" ht="12.75">
      <c r="A747" s="2" t="str">
        <f>HYPERLINK("https://ibp.a2mac1.com/costing(costing:projects/details/8191/process/6975674)","Seal Extrusion (Multi Layer)")</f>
        <v>Seal Extrusion (Multi Layer)</v>
      </c>
      <c r="B747" t="s">
        <v>4822</v>
      </c>
      <c r="C747">
        <v>6975674</v>
      </c>
      <c r="D747">
        <v>5388808</v>
      </c>
      <c r="E747">
        <v>0.95259114829473679</v>
      </c>
      <c r="F747">
        <v>0</v>
      </c>
      <c r="G747">
        <v>0</v>
      </c>
      <c r="H747">
        <v>0.0019685382725052633</v>
      </c>
      <c r="I747" t="s">
        <v>137</v>
      </c>
      <c r="J747">
        <v>0.033446038610526314</v>
      </c>
      <c r="K747">
        <v>0.98800572517776841</v>
      </c>
      <c r="L747">
        <v>0.037001546639062834</v>
      </c>
      <c r="M747">
        <v>0.22200927983437699</v>
      </c>
      <c r="N747">
        <v>1.2100150050121454</v>
      </c>
      <c r="O747" t="s">
        <v>138</v>
      </c>
      <c r="P747">
        <v>0.059280343510666106</v>
      </c>
      <c r="Q747" t="s">
        <v>138</v>
      </c>
      <c r="R747">
        <v>0.01332055679006262</v>
      </c>
      <c r="S747" t="s">
        <v>139</v>
      </c>
      <c r="T747">
        <v>0.14520180060145746</v>
      </c>
      <c r="U747">
        <v>1.4278177059143315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15</v>
      </c>
      <c r="AB747">
        <v>1</v>
      </c>
      <c r="AC747">
        <v>0.10</v>
      </c>
      <c r="AD747">
        <v>0.20557651238448796</v>
      </c>
      <c r="AE747">
        <v>1800</v>
      </c>
      <c r="AF747">
        <v>200000</v>
      </c>
      <c r="AG747">
        <v>16666.666666666668</v>
      </c>
      <c r="AH747">
        <v>1</v>
      </c>
      <c r="AI747">
        <v>1</v>
      </c>
      <c r="AJ747" t="s">
        <v>136</v>
      </c>
      <c r="AK747" t="s">
        <v>137</v>
      </c>
      <c r="AL747">
        <v>0</v>
      </c>
      <c r="AM747" t="s">
        <v>137</v>
      </c>
      <c r="AN747">
        <v>0</v>
      </c>
    </row>
    <row r="748" spans="1:42" ht="12.75">
      <c r="A748" s="2" t="str">
        <f>HYPERLINK("https://ibp.a2mac1.com/costing(costing:projects/details/8191/process/6975675)","End Glueing/Vulcanizing, Check and Pack")</f>
        <v>End Glueing/Vulcanizing, Check and Pack</v>
      </c>
      <c r="C748">
        <v>6975675</v>
      </c>
      <c r="D748">
        <v>5388808</v>
      </c>
      <c r="E748">
        <v>0</v>
      </c>
      <c r="F748">
        <v>0</v>
      </c>
      <c r="G748">
        <v>0</v>
      </c>
      <c r="H748">
        <v>0</v>
      </c>
      <c r="I748" t="s">
        <v>137</v>
      </c>
      <c r="J748">
        <v>0</v>
      </c>
      <c r="K748">
        <v>0</v>
      </c>
      <c r="L748">
        <v>0.015680387065327164</v>
      </c>
      <c r="M748">
        <v>0.094082322391962986</v>
      </c>
      <c r="N748">
        <v>0.094082322391962986</v>
      </c>
      <c r="O748" t="s">
        <v>138</v>
      </c>
      <c r="P748">
        <v>0</v>
      </c>
      <c r="Q748" t="s">
        <v>138</v>
      </c>
      <c r="R748">
        <v>0.0056449393435177792</v>
      </c>
      <c r="S748" t="s">
        <v>139</v>
      </c>
      <c r="T748">
        <v>0.011289878687035558</v>
      </c>
      <c r="U748">
        <v>0.11101714042251631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30</v>
      </c>
      <c r="AB748">
        <v>1</v>
      </c>
      <c r="AC748">
        <v>0.10</v>
      </c>
      <c r="AD748">
        <v>0.10389195236953569</v>
      </c>
      <c r="AE748">
        <v>600</v>
      </c>
      <c r="AF748">
        <v>200000</v>
      </c>
      <c r="AG748">
        <v>16666.666666666668</v>
      </c>
      <c r="AH748">
        <v>1</v>
      </c>
      <c r="AI748">
        <v>1</v>
      </c>
      <c r="AJ748" t="s">
        <v>136</v>
      </c>
      <c r="AK748" t="s">
        <v>137</v>
      </c>
      <c r="AL748">
        <v>0</v>
      </c>
      <c r="AM748" t="s">
        <v>137</v>
      </c>
      <c r="AN748">
        <v>0</v>
      </c>
    </row>
    <row r="749" spans="1:42" ht="12.75">
      <c r="A749" s="2" t="str">
        <f>HYPERLINK("https://ibp.a2mac1.com/costing(costing:projects/details/8191/process/6975406)","Seal Extrusion")</f>
        <v>Seal Extrusion</v>
      </c>
      <c r="B749" t="s">
        <v>4839</v>
      </c>
      <c r="C749">
        <v>6975406</v>
      </c>
      <c r="D749">
        <v>5388422</v>
      </c>
      <c r="E749">
        <v>1.76765895</v>
      </c>
      <c r="F749">
        <v>0</v>
      </c>
      <c r="G749">
        <v>0</v>
      </c>
      <c r="H749">
        <v>0.0018421791111578947</v>
      </c>
      <c r="I749" t="s">
        <v>137</v>
      </c>
      <c r="J749">
        <v>0.061996412394736841</v>
      </c>
      <c r="K749">
        <v>1.8314975415058947</v>
      </c>
      <c r="L749">
        <v>0.03696388264930988</v>
      </c>
      <c r="M749">
        <v>0.22178329589585927</v>
      </c>
      <c r="N749">
        <v>2.0532808374017542</v>
      </c>
      <c r="O749" t="s">
        <v>138</v>
      </c>
      <c r="P749">
        <v>0.10988985249035368</v>
      </c>
      <c r="Q749" t="s">
        <v>138</v>
      </c>
      <c r="R749">
        <v>0.013306997753751557</v>
      </c>
      <c r="S749" t="s">
        <v>139</v>
      </c>
      <c r="T749">
        <v>0.24639370048821049</v>
      </c>
      <c r="U749">
        <v>2.4228713881340695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15</v>
      </c>
      <c r="AB749">
        <v>1</v>
      </c>
      <c r="AC749">
        <v>0.10</v>
      </c>
      <c r="AD749">
        <v>0.10389195236953569</v>
      </c>
      <c r="AE749">
        <v>1800</v>
      </c>
      <c r="AF749">
        <v>200000</v>
      </c>
      <c r="AG749">
        <v>16666.666666666668</v>
      </c>
      <c r="AH749">
        <v>1</v>
      </c>
      <c r="AI749">
        <v>1</v>
      </c>
      <c r="AJ749" t="s">
        <v>136</v>
      </c>
      <c r="AK749" t="s">
        <v>137</v>
      </c>
      <c r="AL749">
        <v>0</v>
      </c>
      <c r="AM749" t="s">
        <v>137</v>
      </c>
      <c r="AN749">
        <v>0</v>
      </c>
    </row>
    <row r="750" spans="1:42" ht="12.75">
      <c r="A750" s="2" t="str">
        <f>HYPERLINK("https://ibp.a2mac1.com/costing(costing:projects/details/8191/process/6975407)","Seal Extrusion")</f>
        <v>Seal Extrusion</v>
      </c>
      <c r="B750" t="s">
        <v>4839</v>
      </c>
      <c r="C750">
        <v>6975407</v>
      </c>
      <c r="D750">
        <v>5388423</v>
      </c>
      <c r="E750">
        <v>0.32881327500000002</v>
      </c>
      <c r="F750">
        <v>0</v>
      </c>
      <c r="G750">
        <v>0</v>
      </c>
      <c r="H750">
        <v>0.00034282286315789472</v>
      </c>
      <c r="I750" t="s">
        <v>137</v>
      </c>
      <c r="J750">
        <v>0.011537307894736842</v>
      </c>
      <c r="K750">
        <v>0.34069340575789475</v>
      </c>
      <c r="L750">
        <v>0.02473920957733388</v>
      </c>
      <c r="M750">
        <v>0.14843525746400327</v>
      </c>
      <c r="N750">
        <v>0.48912866322189802</v>
      </c>
      <c r="O750" t="s">
        <v>138</v>
      </c>
      <c r="P750">
        <v>0.020441604345473683</v>
      </c>
      <c r="Q750" t="s">
        <v>138</v>
      </c>
      <c r="R750">
        <v>0.0089061154478401964</v>
      </c>
      <c r="S750" t="s">
        <v>139</v>
      </c>
      <c r="T750">
        <v>0.058695439586627762</v>
      </c>
      <c r="U750">
        <v>0.57717182260183963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10</v>
      </c>
      <c r="AB750">
        <v>1</v>
      </c>
      <c r="AC750">
        <v>0.10</v>
      </c>
      <c r="AD750">
        <v>0.10389195236953569</v>
      </c>
      <c r="AE750">
        <v>1800</v>
      </c>
      <c r="AF750">
        <v>200000</v>
      </c>
      <c r="AG750">
        <v>16666.666666666668</v>
      </c>
      <c r="AH750">
        <v>1</v>
      </c>
      <c r="AI750">
        <v>1</v>
      </c>
      <c r="AJ750" t="s">
        <v>136</v>
      </c>
      <c r="AK750" t="s">
        <v>137</v>
      </c>
      <c r="AL750">
        <v>0</v>
      </c>
      <c r="AM750" t="s">
        <v>137</v>
      </c>
      <c r="AN750">
        <v>0</v>
      </c>
    </row>
    <row r="751" spans="1:42" ht="12.75">
      <c r="A751" s="2" t="str">
        <f>HYPERLINK("https://ibp.a2mac1.com/costing(costing:projects/details/8191/process/6975408)","Seal Extrusion")</f>
        <v>Seal Extrusion</v>
      </c>
      <c r="B751" t="s">
        <v>4839</v>
      </c>
      <c r="C751">
        <v>6975408</v>
      </c>
      <c r="D751">
        <v>5388424</v>
      </c>
      <c r="E751">
        <v>0.75757399999999997</v>
      </c>
      <c r="F751">
        <v>0</v>
      </c>
      <c r="G751">
        <v>0</v>
      </c>
      <c r="H751">
        <v>0.00078940248126315794</v>
      </c>
      <c r="I751" t="s">
        <v>137</v>
      </c>
      <c r="J751">
        <v>0.026566429657894738</v>
      </c>
      <c r="K751">
        <v>0.7849298321391579</v>
      </c>
      <c r="L751">
        <v>0.03696388264930988</v>
      </c>
      <c r="M751">
        <v>0.22178329589585927</v>
      </c>
      <c r="N751">
        <v>1.0067131280350172</v>
      </c>
      <c r="O751" t="s">
        <v>138</v>
      </c>
      <c r="P751">
        <v>0.047095789928349473</v>
      </c>
      <c r="Q751" t="s">
        <v>138</v>
      </c>
      <c r="R751">
        <v>0.013306997753751557</v>
      </c>
      <c r="S751" t="s">
        <v>139</v>
      </c>
      <c r="T751">
        <v>0.12080557536420206</v>
      </c>
      <c r="U751">
        <v>1.1879214910813203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15</v>
      </c>
      <c r="AB751">
        <v>1</v>
      </c>
      <c r="AC751">
        <v>0.10</v>
      </c>
      <c r="AD751">
        <v>0.10389195236953569</v>
      </c>
      <c r="AE751">
        <v>1800</v>
      </c>
      <c r="AF751">
        <v>200000</v>
      </c>
      <c r="AG751">
        <v>16666.666666666668</v>
      </c>
      <c r="AH751">
        <v>1</v>
      </c>
      <c r="AI751">
        <v>1</v>
      </c>
      <c r="AJ751" t="s">
        <v>136</v>
      </c>
      <c r="AK751" t="s">
        <v>137</v>
      </c>
      <c r="AL751">
        <v>0</v>
      </c>
      <c r="AM751" t="s">
        <v>137</v>
      </c>
      <c r="AN751">
        <v>0</v>
      </c>
    </row>
    <row r="752" spans="1:42" ht="12.75">
      <c r="A752" s="2" t="str">
        <f>HYPERLINK("https://ibp.a2mac1.com/costing(costing:projects/details/8191/process/6975812)","Manufacturing Process")</f>
        <v>Manufacturing Process</v>
      </c>
      <c r="C752">
        <v>6975812</v>
      </c>
      <c r="D752">
        <v>5389170</v>
      </c>
      <c r="E752">
        <v>0.14150066750000001</v>
      </c>
      <c r="F752">
        <v>0</v>
      </c>
      <c r="G752">
        <v>0</v>
      </c>
      <c r="H752">
        <v>0.00015655393</v>
      </c>
      <c r="I752" t="s">
        <v>137</v>
      </c>
      <c r="J752">
        <v>0.0052686418749999997</v>
      </c>
      <c r="K752">
        <v>0.14692586330499999</v>
      </c>
      <c r="L752">
        <v>0.00074289778343902672</v>
      </c>
      <c r="M752">
        <v>0.0044573867006341599</v>
      </c>
      <c r="N752">
        <v>0.15138325000563416</v>
      </c>
      <c r="O752" t="s">
        <v>90</v>
      </c>
      <c r="P752">
        <v>0</v>
      </c>
      <c r="Q752" t="s">
        <v>90</v>
      </c>
      <c r="R752">
        <v>0</v>
      </c>
      <c r="S752" t="s">
        <v>90</v>
      </c>
      <c r="T752">
        <v>0</v>
      </c>
      <c r="U752">
        <v>0.15138325000563416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2.16</v>
      </c>
      <c r="AB752">
        <v>1</v>
      </c>
      <c r="AC752">
        <v>0.10</v>
      </c>
      <c r="AD752">
        <v>0.10389195236953569</v>
      </c>
      <c r="AE752">
        <v>6012</v>
      </c>
      <c r="AF752">
        <v>200000</v>
      </c>
      <c r="AG752">
        <v>16666.666666666668</v>
      </c>
      <c r="AH752">
        <v>1</v>
      </c>
      <c r="AI752">
        <v>1</v>
      </c>
      <c r="AJ752" t="s">
        <v>136</v>
      </c>
      <c r="AK752" t="s">
        <v>137</v>
      </c>
      <c r="AL752">
        <v>0</v>
      </c>
      <c r="AM752" t="s">
        <v>137</v>
      </c>
      <c r="AN752">
        <v>0</v>
      </c>
    </row>
    <row r="753" spans="1:42" ht="12.75">
      <c r="A753" s="2" t="str">
        <f>HYPERLINK("https://ibp.a2mac1.com/costing(costing:projects/details/8191/process/6975813)","Manufacturing Process")</f>
        <v>Manufacturing Process</v>
      </c>
      <c r="C753">
        <v>6975813</v>
      </c>
      <c r="D753">
        <v>5389171</v>
      </c>
      <c r="E753">
        <v>0.0861933</v>
      </c>
      <c r="F753">
        <v>0</v>
      </c>
      <c r="G753">
        <v>0</v>
      </c>
      <c r="H753">
        <v>9.5362800000000001E-05</v>
      </c>
      <c r="I753" t="s">
        <v>137</v>
      </c>
      <c r="J753">
        <v>0.0032093249999999999</v>
      </c>
      <c r="K753">
        <v>0.089497987799999998</v>
      </c>
      <c r="L753">
        <v>0.00074289778343902672</v>
      </c>
      <c r="M753">
        <v>0.0044573867006341599</v>
      </c>
      <c r="N753">
        <v>0.093955374500634153</v>
      </c>
      <c r="O753" t="s">
        <v>90</v>
      </c>
      <c r="P753">
        <v>0</v>
      </c>
      <c r="Q753" t="s">
        <v>90</v>
      </c>
      <c r="R753">
        <v>0</v>
      </c>
      <c r="S753" t="s">
        <v>90</v>
      </c>
      <c r="T753">
        <v>0</v>
      </c>
      <c r="U753">
        <v>0.093955374500634153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2.16</v>
      </c>
      <c r="AB753">
        <v>1</v>
      </c>
      <c r="AC753">
        <v>0.10</v>
      </c>
      <c r="AD753">
        <v>0.10389195236953569</v>
      </c>
      <c r="AE753">
        <v>6012</v>
      </c>
      <c r="AF753">
        <v>200000</v>
      </c>
      <c r="AG753">
        <v>16666.666666666668</v>
      </c>
      <c r="AH753">
        <v>1</v>
      </c>
      <c r="AI753">
        <v>1</v>
      </c>
      <c r="AJ753" t="s">
        <v>136</v>
      </c>
      <c r="AK753" t="s">
        <v>137</v>
      </c>
      <c r="AL753">
        <v>0</v>
      </c>
      <c r="AM753" t="s">
        <v>137</v>
      </c>
      <c r="AN753">
        <v>0</v>
      </c>
    </row>
    <row r="754" spans="1:42" ht="12.75">
      <c r="A754" s="2" t="str">
        <f>HYPERLINK("https://ibp.a2mac1.com/costing(costing:projects/details/8191/process/6975814)","Manufacturing Process")</f>
        <v>Manufacturing Process</v>
      </c>
      <c r="C754">
        <v>6975814</v>
      </c>
      <c r="D754">
        <v>5389172</v>
      </c>
      <c r="E754">
        <v>0.15083827499999999</v>
      </c>
      <c r="F754">
        <v>0</v>
      </c>
      <c r="G754">
        <v>0</v>
      </c>
      <c r="H754">
        <v>0.00016688489999999999</v>
      </c>
      <c r="I754" t="s">
        <v>137</v>
      </c>
      <c r="J754">
        <v>0.00561631875</v>
      </c>
      <c r="K754">
        <v>0.15662147865000001</v>
      </c>
      <c r="L754">
        <v>0.00074289778343902672</v>
      </c>
      <c r="M754">
        <v>0.0044573867006341599</v>
      </c>
      <c r="N754">
        <v>0.16107886535063415</v>
      </c>
      <c r="O754" t="s">
        <v>90</v>
      </c>
      <c r="P754">
        <v>0</v>
      </c>
      <c r="Q754" t="s">
        <v>90</v>
      </c>
      <c r="R754">
        <v>0</v>
      </c>
      <c r="S754" t="s">
        <v>90</v>
      </c>
      <c r="T754">
        <v>0</v>
      </c>
      <c r="U754">
        <v>0.16107886535063415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2.16</v>
      </c>
      <c r="AB754">
        <v>1</v>
      </c>
      <c r="AC754">
        <v>0.10</v>
      </c>
      <c r="AD754">
        <v>0.10389195236953569</v>
      </c>
      <c r="AE754">
        <v>6012</v>
      </c>
      <c r="AF754">
        <v>200000</v>
      </c>
      <c r="AG754">
        <v>16666.666666666668</v>
      </c>
      <c r="AH754">
        <v>1</v>
      </c>
      <c r="AI754">
        <v>1</v>
      </c>
      <c r="AJ754" t="s">
        <v>136</v>
      </c>
      <c r="AK754" t="s">
        <v>137</v>
      </c>
      <c r="AL754">
        <v>0</v>
      </c>
      <c r="AM754" t="s">
        <v>137</v>
      </c>
      <c r="AN754">
        <v>0</v>
      </c>
    </row>
    <row r="755" spans="1:42" ht="12.75">
      <c r="A755" s="2" t="str">
        <f>HYPERLINK("https://ibp.a2mac1.com/costing(costing:projects/details/8191/process/6975815)","Manufacturing Process")</f>
        <v>Manufacturing Process</v>
      </c>
      <c r="C755">
        <v>6975815</v>
      </c>
      <c r="D755">
        <v>5389173</v>
      </c>
      <c r="E755">
        <v>0.071827749999999996</v>
      </c>
      <c r="F755">
        <v>0</v>
      </c>
      <c r="G755">
        <v>0</v>
      </c>
      <c r="H755">
        <v>7.9468999999999994E-05</v>
      </c>
      <c r="I755" t="s">
        <v>137</v>
      </c>
      <c r="J755">
        <v>0.0026744375000000002</v>
      </c>
      <c r="K755">
        <v>0.074581656499999996</v>
      </c>
      <c r="L755">
        <v>0.00074289778343902672</v>
      </c>
      <c r="M755">
        <v>0.0044573867006341599</v>
      </c>
      <c r="N755">
        <v>0.079039043200634165</v>
      </c>
      <c r="O755" t="s">
        <v>90</v>
      </c>
      <c r="P755">
        <v>0</v>
      </c>
      <c r="Q755" t="s">
        <v>90</v>
      </c>
      <c r="R755">
        <v>0</v>
      </c>
      <c r="S755" t="s">
        <v>90</v>
      </c>
      <c r="T755">
        <v>0</v>
      </c>
      <c r="U755">
        <v>0.079039043200634165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2.16</v>
      </c>
      <c r="AB755">
        <v>1</v>
      </c>
      <c r="AC755">
        <v>0.10</v>
      </c>
      <c r="AD755">
        <v>0.10389195236953569</v>
      </c>
      <c r="AE755">
        <v>6012</v>
      </c>
      <c r="AF755">
        <v>200000</v>
      </c>
      <c r="AG755">
        <v>16666.666666666668</v>
      </c>
      <c r="AH755">
        <v>1</v>
      </c>
      <c r="AI755">
        <v>1</v>
      </c>
      <c r="AJ755" t="s">
        <v>136</v>
      </c>
      <c r="AK755" t="s">
        <v>137</v>
      </c>
      <c r="AL755">
        <v>0</v>
      </c>
      <c r="AM755" t="s">
        <v>137</v>
      </c>
      <c r="AN755">
        <v>0</v>
      </c>
    </row>
    <row r="756" spans="1:42" ht="12.75">
      <c r="A756" s="2" t="str">
        <f>HYPERLINK("https://ibp.a2mac1.com/costing(costing:projects/details/8191/process/6975409)","Process")</f>
        <v>Process</v>
      </c>
      <c r="C756">
        <v>6975409</v>
      </c>
      <c r="D756">
        <v>5388446</v>
      </c>
      <c r="E756">
        <v>0</v>
      </c>
      <c r="F756">
        <v>0</v>
      </c>
      <c r="G756">
        <v>0</v>
      </c>
      <c r="H756">
        <v>0</v>
      </c>
      <c r="I756" t="s">
        <v>137</v>
      </c>
      <c r="J756">
        <v>0</v>
      </c>
      <c r="K756">
        <v>0</v>
      </c>
      <c r="L756">
        <v>0.36529528151717527</v>
      </c>
      <c r="M756">
        <v>1.2785334853101133</v>
      </c>
      <c r="N756">
        <v>1.2785334853101133</v>
      </c>
      <c r="O756" t="s">
        <v>90</v>
      </c>
      <c r="P756">
        <v>0</v>
      </c>
      <c r="Q756" t="s">
        <v>90</v>
      </c>
      <c r="R756">
        <v>0</v>
      </c>
      <c r="S756" t="s">
        <v>90</v>
      </c>
      <c r="T756">
        <v>0</v>
      </c>
      <c r="U756">
        <v>1.2785334853101133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160</v>
      </c>
      <c r="AB756">
        <v>1</v>
      </c>
      <c r="AC756">
        <v>5</v>
      </c>
      <c r="AD756">
        <v>5.0061745986510875</v>
      </c>
      <c r="AE756">
        <v>216</v>
      </c>
      <c r="AF756">
        <v>200000</v>
      </c>
      <c r="AG756">
        <v>10000</v>
      </c>
      <c r="AH756">
        <v>1</v>
      </c>
      <c r="AI756">
        <v>1</v>
      </c>
      <c r="AJ756" t="s">
        <v>79</v>
      </c>
      <c r="AK756" t="s">
        <v>137</v>
      </c>
      <c r="AL756">
        <v>0</v>
      </c>
      <c r="AM756" t="s">
        <v>137</v>
      </c>
      <c r="AN756">
        <v>0</v>
      </c>
      <c r="AP756">
        <v>0</v>
      </c>
    </row>
    <row r="757" spans="1:42" ht="12.75">
      <c r="A757" s="2" t="str">
        <f>HYPERLINK("https://ibp.a2mac1.com/costing(costing:projects/details/8191/process/6975410)","Injection molding")</f>
        <v>Injection molding</v>
      </c>
      <c r="C757">
        <v>6975410</v>
      </c>
      <c r="D757">
        <v>5388448</v>
      </c>
      <c r="E757">
        <v>0.51687616109227741</v>
      </c>
      <c r="F757">
        <v>0</v>
      </c>
      <c r="G757">
        <v>0</v>
      </c>
      <c r="H757">
        <v>0.0010658098117895698</v>
      </c>
      <c r="I757" t="s">
        <v>137</v>
      </c>
      <c r="J757">
        <v>0.018108419132347061</v>
      </c>
      <c r="K757">
        <v>0.53605039003641397</v>
      </c>
      <c r="L757">
        <v>0.026769735331331899</v>
      </c>
      <c r="M757">
        <v>0.1606184119879914</v>
      </c>
      <c r="N757">
        <v>0.6966688020244054</v>
      </c>
      <c r="O757" t="s">
        <v>138</v>
      </c>
      <c r="P757">
        <v>0.03216302340218484</v>
      </c>
      <c r="Q757" t="s">
        <v>138</v>
      </c>
      <c r="R757">
        <v>0.0096371047192794837</v>
      </c>
      <c r="S757" t="s">
        <v>139</v>
      </c>
      <c r="T757">
        <v>0.083600256242928647</v>
      </c>
      <c r="U757">
        <v>0.82206918638879833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27.54125</v>
      </c>
      <c r="AB757">
        <v>1</v>
      </c>
      <c r="AC757">
        <v>0.10</v>
      </c>
      <c r="AD757">
        <v>0.20557651238448796</v>
      </c>
      <c r="AE757">
        <v>10800</v>
      </c>
      <c r="AF757">
        <v>200000</v>
      </c>
      <c r="AG757">
        <v>16666.666666666668</v>
      </c>
      <c r="AH757">
        <v>1</v>
      </c>
      <c r="AI757">
        <v>1</v>
      </c>
      <c r="AJ757" t="s">
        <v>136</v>
      </c>
      <c r="AK757" t="s">
        <v>137</v>
      </c>
      <c r="AL757">
        <v>0</v>
      </c>
      <c r="AM757" t="s">
        <v>137</v>
      </c>
      <c r="AN757">
        <v>0</v>
      </c>
    </row>
    <row r="758" spans="1:42" ht="12.75">
      <c r="A758" s="2" t="str">
        <f>HYPERLINK("https://ibp.a2mac1.com/costing(costing:projects/details/8191/process/6975411)","Handling/Visual Inspection/Packaging")</f>
        <v>Handling/Visual Inspection/Packaging</v>
      </c>
      <c r="C758">
        <v>6975411</v>
      </c>
      <c r="D758">
        <v>5388448</v>
      </c>
      <c r="E758">
        <v>0</v>
      </c>
      <c r="F758">
        <v>0</v>
      </c>
      <c r="G758">
        <v>0</v>
      </c>
      <c r="H758">
        <v>0</v>
      </c>
      <c r="I758" t="s">
        <v>137</v>
      </c>
      <c r="J758">
        <v>0</v>
      </c>
      <c r="K758">
        <v>0</v>
      </c>
      <c r="L758">
        <v>0.0086216394843006</v>
      </c>
      <c r="M758">
        <v>0.0517298369058036</v>
      </c>
      <c r="N758">
        <v>0.0517298369058036</v>
      </c>
      <c r="O758" t="s">
        <v>138</v>
      </c>
      <c r="P758">
        <v>0</v>
      </c>
      <c r="Q758" t="s">
        <v>138</v>
      </c>
      <c r="R758">
        <v>0.0031037902143482162</v>
      </c>
      <c r="S758" t="s">
        <v>139</v>
      </c>
      <c r="T758">
        <v>0.0062075804286964324</v>
      </c>
      <c r="U758">
        <v>0.061041207548848252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30</v>
      </c>
      <c r="AB758">
        <v>1</v>
      </c>
      <c r="AC758">
        <v>0.10</v>
      </c>
      <c r="AD758">
        <v>0.10389195236953569</v>
      </c>
      <c r="AE758">
        <v>900</v>
      </c>
      <c r="AF758">
        <v>200000</v>
      </c>
      <c r="AG758">
        <v>16666.666666666668</v>
      </c>
      <c r="AH758">
        <v>1</v>
      </c>
      <c r="AI758">
        <v>1</v>
      </c>
      <c r="AJ758" t="s">
        <v>136</v>
      </c>
      <c r="AK758" t="s">
        <v>137</v>
      </c>
      <c r="AL758">
        <v>0</v>
      </c>
      <c r="AM758" t="s">
        <v>137</v>
      </c>
      <c r="AN758">
        <v>0</v>
      </c>
    </row>
    <row r="759" spans="1:42" ht="12.75">
      <c r="A759" s="2" t="str">
        <f>HYPERLINK("https://ibp.a2mac1.com/costing(costing:projects/details/8191/process/6975412)","Injection molding")</f>
        <v>Injection molding</v>
      </c>
      <c r="C759">
        <v>6975412</v>
      </c>
      <c r="D759">
        <v>5388449</v>
      </c>
      <c r="E759">
        <v>0.41086086251213799</v>
      </c>
      <c r="F759">
        <v>0</v>
      </c>
      <c r="G759">
        <v>0</v>
      </c>
      <c r="H759">
        <v>0.00084720397555263611</v>
      </c>
      <c r="I759" t="s">
        <v>137</v>
      </c>
      <c r="J759">
        <v>0.014394242303078768</v>
      </c>
      <c r="K759">
        <v>0.42610230879076938</v>
      </c>
      <c r="L759">
        <v>0.026269756991894908</v>
      </c>
      <c r="M759">
        <v>0.15761854195136946</v>
      </c>
      <c r="N759">
        <v>0.58372085074213886</v>
      </c>
      <c r="O759" t="s">
        <v>138</v>
      </c>
      <c r="P759">
        <v>0.025566138527446165</v>
      </c>
      <c r="Q759" t="s">
        <v>138</v>
      </c>
      <c r="R759">
        <v>0.0094571125170821672</v>
      </c>
      <c r="S759" t="s">
        <v>139</v>
      </c>
      <c r="T759">
        <v>0.070046502089056661</v>
      </c>
      <c r="U759">
        <v>0.68879060387572388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38.160139999999998</v>
      </c>
      <c r="AB759">
        <v>1</v>
      </c>
      <c r="AC759">
        <v>0.10</v>
      </c>
      <c r="AD759">
        <v>0.20557651238448796</v>
      </c>
      <c r="AE759">
        <v>9000</v>
      </c>
      <c r="AF759">
        <v>200000</v>
      </c>
      <c r="AG759">
        <v>16666.666666666668</v>
      </c>
      <c r="AH759">
        <v>1</v>
      </c>
      <c r="AI759">
        <v>1</v>
      </c>
      <c r="AJ759" t="s">
        <v>136</v>
      </c>
      <c r="AK759" t="s">
        <v>137</v>
      </c>
      <c r="AL759">
        <v>0</v>
      </c>
      <c r="AM759" t="s">
        <v>137</v>
      </c>
      <c r="AN759">
        <v>0</v>
      </c>
    </row>
    <row r="760" spans="1:42" ht="12.75">
      <c r="A760" s="2" t="str">
        <f>HYPERLINK("https://ibp.a2mac1.com/costing(costing:projects/details/8191/process/6975413)","Handling/Visual Inspection/Packaging")</f>
        <v>Handling/Visual Inspection/Packaging</v>
      </c>
      <c r="C760">
        <v>6975413</v>
      </c>
      <c r="D760">
        <v>5388449</v>
      </c>
      <c r="E760">
        <v>0</v>
      </c>
      <c r="F760">
        <v>0</v>
      </c>
      <c r="G760">
        <v>0</v>
      </c>
      <c r="H760">
        <v>0</v>
      </c>
      <c r="I760" t="s">
        <v>137</v>
      </c>
      <c r="J760">
        <v>0</v>
      </c>
      <c r="K760">
        <v>0</v>
      </c>
      <c r="L760">
        <v>0.01293090621145083</v>
      </c>
      <c r="M760">
        <v>0.077585437268704982</v>
      </c>
      <c r="N760">
        <v>0.077585437268704982</v>
      </c>
      <c r="O760" t="s">
        <v>138</v>
      </c>
      <c r="P760">
        <v>0</v>
      </c>
      <c r="Q760" t="s">
        <v>138</v>
      </c>
      <c r="R760">
        <v>0.0046551262361222987</v>
      </c>
      <c r="S760" t="s">
        <v>139</v>
      </c>
      <c r="T760">
        <v>0.0093102524722445974</v>
      </c>
      <c r="U760">
        <v>0.091550815977071875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45</v>
      </c>
      <c r="AB760">
        <v>1</v>
      </c>
      <c r="AC760">
        <v>0.10</v>
      </c>
      <c r="AD760">
        <v>0.10389195236953569</v>
      </c>
      <c r="AE760">
        <v>900</v>
      </c>
      <c r="AF760">
        <v>200000</v>
      </c>
      <c r="AG760">
        <v>16666.666666666668</v>
      </c>
      <c r="AH760">
        <v>1</v>
      </c>
      <c r="AI760">
        <v>1</v>
      </c>
      <c r="AJ760" t="s">
        <v>136</v>
      </c>
      <c r="AK760" t="s">
        <v>137</v>
      </c>
      <c r="AL760">
        <v>0</v>
      </c>
      <c r="AM760" t="s">
        <v>137</v>
      </c>
      <c r="AN760">
        <v>0</v>
      </c>
    </row>
    <row r="761" spans="1:42" ht="12.75">
      <c r="A761" s="2" t="str">
        <f>HYPERLINK("https://ibp.a2mac1.com/costing(costing:projects/details/8191/process/6975816)","Manufacturing Process")</f>
        <v>Manufacturing Process</v>
      </c>
      <c r="C761">
        <v>6975816</v>
      </c>
      <c r="D761">
        <v>5389194</v>
      </c>
      <c r="E761">
        <v>0.21864163333333334</v>
      </c>
      <c r="F761">
        <v>0</v>
      </c>
      <c r="G761">
        <v>0</v>
      </c>
      <c r="H761">
        <v>0.00023873302666666666</v>
      </c>
      <c r="I761" t="s">
        <v>137</v>
      </c>
      <c r="J761">
        <v>0.0082729266666666662</v>
      </c>
      <c r="K761">
        <v>0.22715329302666667</v>
      </c>
      <c r="L761">
        <v>0.0031932088281028943</v>
      </c>
      <c r="M761">
        <v>0.019159252968617365</v>
      </c>
      <c r="N761">
        <v>0.24631254599528404</v>
      </c>
      <c r="O761" t="s">
        <v>90</v>
      </c>
      <c r="P761">
        <v>0</v>
      </c>
      <c r="Q761" t="s">
        <v>90</v>
      </c>
      <c r="R761">
        <v>0</v>
      </c>
      <c r="S761" t="s">
        <v>90</v>
      </c>
      <c r="T761">
        <v>0</v>
      </c>
      <c r="U761">
        <v>0.24631254599528404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0.54</v>
      </c>
      <c r="AB761">
        <v>1</v>
      </c>
      <c r="AC761">
        <v>0.10</v>
      </c>
      <c r="AD761">
        <v>0.1008980929261446</v>
      </c>
      <c r="AE761">
        <v>5400</v>
      </c>
      <c r="AF761">
        <v>800000</v>
      </c>
      <c r="AG761">
        <v>66666.666666666672</v>
      </c>
      <c r="AH761">
        <v>1</v>
      </c>
      <c r="AI761">
        <v>1</v>
      </c>
      <c r="AJ761" t="s">
        <v>136</v>
      </c>
      <c r="AK761" t="s">
        <v>137</v>
      </c>
      <c r="AL761">
        <v>0</v>
      </c>
      <c r="AM761" t="s">
        <v>137</v>
      </c>
      <c r="AN761">
        <v>0</v>
      </c>
    </row>
    <row r="762" spans="1:42" ht="12.75">
      <c r="A762" s="2" t="str">
        <f>HYPERLINK("https://ibp.a2mac1.com/costing(costing:projects/details/8191/process/6975817)","Manufacturing Process")</f>
        <v>Manufacturing Process</v>
      </c>
      <c r="C762">
        <v>6975817</v>
      </c>
      <c r="D762">
        <v>5389195</v>
      </c>
      <c r="E762">
        <v>0.31604209999999999</v>
      </c>
      <c r="F762">
        <v>0</v>
      </c>
      <c r="G762">
        <v>0</v>
      </c>
      <c r="H762">
        <v>0.00033957714999999997</v>
      </c>
      <c r="I762" t="s">
        <v>137</v>
      </c>
      <c r="J762">
        <v>0.011767524999999999</v>
      </c>
      <c r="K762">
        <v>0.32814920214999999</v>
      </c>
      <c r="L762">
        <v>0.0031932088281028943</v>
      </c>
      <c r="M762">
        <v>0.019159252968617365</v>
      </c>
      <c r="N762">
        <v>0.34730845511861735</v>
      </c>
      <c r="O762" t="s">
        <v>90</v>
      </c>
      <c r="P762">
        <v>0</v>
      </c>
      <c r="Q762" t="s">
        <v>90</v>
      </c>
      <c r="R762">
        <v>0</v>
      </c>
      <c r="S762" t="s">
        <v>90</v>
      </c>
      <c r="T762">
        <v>0</v>
      </c>
      <c r="U762">
        <v>0.34730845511861735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0.54</v>
      </c>
      <c r="AB762">
        <v>1</v>
      </c>
      <c r="AC762">
        <v>0.10</v>
      </c>
      <c r="AD762">
        <v>0.1008980929261446</v>
      </c>
      <c r="AE762">
        <v>5400</v>
      </c>
      <c r="AF762">
        <v>800000</v>
      </c>
      <c r="AG762">
        <v>66666.666666666672</v>
      </c>
      <c r="AH762">
        <v>1</v>
      </c>
      <c r="AI762">
        <v>1</v>
      </c>
      <c r="AJ762" t="s">
        <v>136</v>
      </c>
      <c r="AK762" t="s">
        <v>137</v>
      </c>
      <c r="AL762">
        <v>0</v>
      </c>
      <c r="AM762" t="s">
        <v>137</v>
      </c>
      <c r="AN762">
        <v>0</v>
      </c>
    </row>
    <row r="763" spans="1:42" ht="12.75">
      <c r="A763" s="2" t="str">
        <f>HYPERLINK("https://ibp.a2mac1.com/costing(costing:projects/details/8191/process/6975818)","Manufacturing Process")</f>
        <v>Manufacturing Process</v>
      </c>
      <c r="C763">
        <v>6975818</v>
      </c>
      <c r="D763">
        <v>5389196</v>
      </c>
      <c r="E763">
        <v>0.08241762352941176</v>
      </c>
      <c r="F763">
        <v>0</v>
      </c>
      <c r="G763">
        <v>0</v>
      </c>
      <c r="H763">
        <v>8.7164188235294113E-05</v>
      </c>
      <c r="I763" t="s">
        <v>137</v>
      </c>
      <c r="J763">
        <v>0.0030205411764705884</v>
      </c>
      <c r="K763">
        <v>0.085525328894117653</v>
      </c>
      <c r="L763">
        <v>0.013073003687255599</v>
      </c>
      <c r="M763">
        <v>0.078438022123533596</v>
      </c>
      <c r="N763">
        <v>0.16396335101765125</v>
      </c>
      <c r="O763" t="s">
        <v>90</v>
      </c>
      <c r="P763">
        <v>0</v>
      </c>
      <c r="Q763" t="s">
        <v>90</v>
      </c>
      <c r="R763">
        <v>0</v>
      </c>
      <c r="S763" t="s">
        <v>90</v>
      </c>
      <c r="T763">
        <v>0</v>
      </c>
      <c r="U763">
        <v>0.16396335101765125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2.52</v>
      </c>
      <c r="AB763">
        <v>1</v>
      </c>
      <c r="AC763">
        <v>0.10</v>
      </c>
      <c r="AD763">
        <v>0.1008980929261446</v>
      </c>
      <c r="AE763">
        <v>5400</v>
      </c>
      <c r="AF763">
        <v>800000</v>
      </c>
      <c r="AG763">
        <v>66666.666666666672</v>
      </c>
      <c r="AH763">
        <v>1</v>
      </c>
      <c r="AI763">
        <v>1</v>
      </c>
      <c r="AJ763" t="s">
        <v>136</v>
      </c>
      <c r="AK763" t="s">
        <v>137</v>
      </c>
      <c r="AL763">
        <v>0</v>
      </c>
      <c r="AM763" t="s">
        <v>137</v>
      </c>
      <c r="AN763">
        <v>0</v>
      </c>
    </row>
    <row r="764" spans="1:42" ht="12.75">
      <c r="A764" s="2" t="str">
        <f>HYPERLINK("https://ibp.a2mac1.com/costing(costing:projects/details/8191/process/6975819)","Manufacturing Process")</f>
        <v>Manufacturing Process</v>
      </c>
      <c r="C764">
        <v>6975819</v>
      </c>
      <c r="D764">
        <v>5389197</v>
      </c>
      <c r="E764">
        <v>0.08241762352941176</v>
      </c>
      <c r="F764">
        <v>0</v>
      </c>
      <c r="G764">
        <v>0</v>
      </c>
      <c r="H764">
        <v>8.7164188235294113E-05</v>
      </c>
      <c r="I764" t="s">
        <v>137</v>
      </c>
      <c r="J764">
        <v>0.0030205411764705884</v>
      </c>
      <c r="K764">
        <v>0.085525328894117653</v>
      </c>
      <c r="L764">
        <v>0.013073003687255599</v>
      </c>
      <c r="M764">
        <v>0.078438022123533596</v>
      </c>
      <c r="N764">
        <v>0.16396335101765125</v>
      </c>
      <c r="O764" t="s">
        <v>90</v>
      </c>
      <c r="P764">
        <v>0</v>
      </c>
      <c r="Q764" t="s">
        <v>90</v>
      </c>
      <c r="R764">
        <v>0</v>
      </c>
      <c r="S764" t="s">
        <v>90</v>
      </c>
      <c r="T764">
        <v>0</v>
      </c>
      <c r="U764">
        <v>0.16396335101765125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2.52</v>
      </c>
      <c r="AB764">
        <v>1</v>
      </c>
      <c r="AC764">
        <v>0.10</v>
      </c>
      <c r="AD764">
        <v>0.1008980929261446</v>
      </c>
      <c r="AE764">
        <v>5400</v>
      </c>
      <c r="AF764">
        <v>800000</v>
      </c>
      <c r="AG764">
        <v>66666.666666666672</v>
      </c>
      <c r="AH764">
        <v>1</v>
      </c>
      <c r="AI764">
        <v>1</v>
      </c>
      <c r="AJ764" t="s">
        <v>136</v>
      </c>
      <c r="AK764" t="s">
        <v>137</v>
      </c>
      <c r="AL764">
        <v>0</v>
      </c>
      <c r="AM764" t="s">
        <v>137</v>
      </c>
      <c r="AN764">
        <v>0</v>
      </c>
    </row>
    <row r="765" spans="1:42" ht="12.75">
      <c r="A765" s="2" t="str">
        <f>HYPERLINK("https://ibp.a2mac1.com/costing(costing:projects/details/8191/process/6975414)","Stamping ")</f>
        <v xml:space="preserve">Stamping </v>
      </c>
      <c r="C765">
        <v>6975414</v>
      </c>
      <c r="D765">
        <v>5388456</v>
      </c>
      <c r="E765">
        <v>0.023372036666666665</v>
      </c>
      <c r="F765">
        <v>0</v>
      </c>
      <c r="G765">
        <v>0</v>
      </c>
      <c r="H765">
        <v>0.00012785135733333334</v>
      </c>
      <c r="I765" t="s">
        <v>137</v>
      </c>
      <c r="J765">
        <v>0.00088434733333333333</v>
      </c>
      <c r="K765">
        <v>0.024384235357333334</v>
      </c>
      <c r="L765">
        <v>0.00031796521424549631</v>
      </c>
      <c r="M765">
        <v>0.0019077912854729778</v>
      </c>
      <c r="N765">
        <v>0.026292026642806311</v>
      </c>
      <c r="O765" t="s">
        <v>138</v>
      </c>
      <c r="P765">
        <v>0.0014630541214400001</v>
      </c>
      <c r="Q765" t="s">
        <v>138</v>
      </c>
      <c r="R765">
        <v>0.00011446747712837866</v>
      </c>
      <c r="S765" t="s">
        <v>139</v>
      </c>
      <c r="T765">
        <v>0.0031550431971367572</v>
      </c>
      <c r="U765">
        <v>0.031024591438511447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15</v>
      </c>
      <c r="AB765">
        <v>1</v>
      </c>
      <c r="AC765">
        <v>0.50</v>
      </c>
      <c r="AD765">
        <v>0.50345253019720215</v>
      </c>
      <c r="AE765">
        <v>1800</v>
      </c>
      <c r="AF765">
        <v>200000</v>
      </c>
      <c r="AG765">
        <v>16666.666666666668</v>
      </c>
      <c r="AH765">
        <v>1</v>
      </c>
      <c r="AI765">
        <v>1</v>
      </c>
      <c r="AJ765" t="s">
        <v>136</v>
      </c>
      <c r="AK765" t="s">
        <v>137</v>
      </c>
      <c r="AL765">
        <v>0</v>
      </c>
      <c r="AM765" t="s">
        <v>137</v>
      </c>
      <c r="AN765">
        <v>0</v>
      </c>
    </row>
    <row r="766" spans="1:42" ht="12.75">
      <c r="A766" s="2" t="str">
        <f>HYPERLINK("https://ibp.a2mac1.com/costing(costing:projects/details/8191/process/6975415)","Injection molding")</f>
        <v>Injection molding</v>
      </c>
      <c r="C766">
        <v>6975415</v>
      </c>
      <c r="D766">
        <v>5388457</v>
      </c>
      <c r="E766">
        <v>0.12175893249552015</v>
      </c>
      <c r="F766">
        <v>0</v>
      </c>
      <c r="G766">
        <v>0</v>
      </c>
      <c r="H766">
        <v>0.00025106954952712794</v>
      </c>
      <c r="I766" t="s">
        <v>137</v>
      </c>
      <c r="J766">
        <v>0.0042657447735191638</v>
      </c>
      <c r="K766">
        <v>0.12627574681856646</v>
      </c>
      <c r="L766">
        <v>0.0072032060277019711</v>
      </c>
      <c r="M766">
        <v>0.04321923616621183</v>
      </c>
      <c r="N766">
        <v>0.16949498298477828</v>
      </c>
      <c r="O766" t="s">
        <v>138</v>
      </c>
      <c r="P766">
        <v>0.0075765448091139869</v>
      </c>
      <c r="Q766" t="s">
        <v>138</v>
      </c>
      <c r="R766">
        <v>0.0025931541699727098</v>
      </c>
      <c r="S766" t="s">
        <v>139</v>
      </c>
      <c r="T766">
        <v>0.020339397958173393</v>
      </c>
      <c r="U766">
        <v>0.20000407992203836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21.36214</v>
      </c>
      <c r="AB766">
        <v>1</v>
      </c>
      <c r="AC766">
        <v>0.10</v>
      </c>
      <c r="AD766">
        <v>0.20557651238448796</v>
      </c>
      <c r="AE766">
        <v>7200</v>
      </c>
      <c r="AF766">
        <v>200000</v>
      </c>
      <c r="AG766">
        <v>16666.666666666668</v>
      </c>
      <c r="AH766">
        <v>1</v>
      </c>
      <c r="AI766">
        <v>1</v>
      </c>
      <c r="AJ766" t="s">
        <v>136</v>
      </c>
      <c r="AK766" t="s">
        <v>137</v>
      </c>
      <c r="AL766">
        <v>0</v>
      </c>
      <c r="AM766" t="s">
        <v>137</v>
      </c>
      <c r="AN766">
        <v>0</v>
      </c>
    </row>
    <row r="767" spans="1:42" ht="12.75">
      <c r="A767" s="2" t="str">
        <f>HYPERLINK("https://ibp.a2mac1.com/costing(costing:projects/details/8191/process/6975419)","Handling/Visual Inspection/Packaging")</f>
        <v>Handling/Visual Inspection/Packaging</v>
      </c>
      <c r="C767">
        <v>6975419</v>
      </c>
      <c r="D767">
        <v>5388457</v>
      </c>
      <c r="E767">
        <v>0</v>
      </c>
      <c r="F767">
        <v>0</v>
      </c>
      <c r="G767">
        <v>0</v>
      </c>
      <c r="H767">
        <v>0</v>
      </c>
      <c r="I767" t="s">
        <v>137</v>
      </c>
      <c r="J767">
        <v>0</v>
      </c>
      <c r="K767">
        <v>0</v>
      </c>
      <c r="L767">
        <v>0.0086216394843006</v>
      </c>
      <c r="M767">
        <v>0.0517298369058036</v>
      </c>
      <c r="N767">
        <v>0.0517298369058036</v>
      </c>
      <c r="O767" t="s">
        <v>138</v>
      </c>
      <c r="P767">
        <v>0</v>
      </c>
      <c r="Q767" t="s">
        <v>138</v>
      </c>
      <c r="R767">
        <v>0.0031037902143482162</v>
      </c>
      <c r="S767" t="s">
        <v>139</v>
      </c>
      <c r="T767">
        <v>0.0062075804286964324</v>
      </c>
      <c r="U767">
        <v>0.061041207548848252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30</v>
      </c>
      <c r="AB767">
        <v>1</v>
      </c>
      <c r="AC767">
        <v>0.10</v>
      </c>
      <c r="AD767">
        <v>0.10389195236953569</v>
      </c>
      <c r="AE767">
        <v>900</v>
      </c>
      <c r="AF767">
        <v>200000</v>
      </c>
      <c r="AG767">
        <v>16666.666666666668</v>
      </c>
      <c r="AH767">
        <v>1</v>
      </c>
      <c r="AI767">
        <v>1</v>
      </c>
      <c r="AJ767" t="s">
        <v>136</v>
      </c>
      <c r="AK767" t="s">
        <v>137</v>
      </c>
      <c r="AL767">
        <v>0</v>
      </c>
      <c r="AM767" t="s">
        <v>137</v>
      </c>
      <c r="AN767">
        <v>0</v>
      </c>
    </row>
    <row r="768" spans="1:42" ht="12.75">
      <c r="A768" s="2" t="str">
        <f>HYPERLINK("https://ibp.a2mac1.com/costing(costing:projects/details/8191/process/6975420)","Injection molding")</f>
        <v>Injection molding</v>
      </c>
      <c r="C768">
        <v>6975420</v>
      </c>
      <c r="D768">
        <v>5388458</v>
      </c>
      <c r="E768">
        <v>0.058956516150184823</v>
      </c>
      <c r="F768">
        <v>0</v>
      </c>
      <c r="G768">
        <v>0</v>
      </c>
      <c r="H768">
        <v>0.00012156961011513761</v>
      </c>
      <c r="I768" t="s">
        <v>137</v>
      </c>
      <c r="J768">
        <v>0.0020655030844804936</v>
      </c>
      <c r="K768">
        <v>0.061143588844780453</v>
      </c>
      <c r="L768">
        <v>0.0060137755057817427</v>
      </c>
      <c r="M768">
        <v>0.036082653034690458</v>
      </c>
      <c r="N768">
        <v>0.097226241879470918</v>
      </c>
      <c r="O768" t="s">
        <v>138</v>
      </c>
      <c r="P768">
        <v>0.0036686153306868274</v>
      </c>
      <c r="Q768" t="s">
        <v>138</v>
      </c>
      <c r="R768">
        <v>0.0021649591820814273</v>
      </c>
      <c r="S768" t="s">
        <v>139</v>
      </c>
      <c r="T768">
        <v>0.01166714902553651</v>
      </c>
      <c r="U768">
        <v>0.11472696541777568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17.448650000000001</v>
      </c>
      <c r="AB768">
        <v>1</v>
      </c>
      <c r="AC768">
        <v>0.10</v>
      </c>
      <c r="AD768">
        <v>0.20557651238448796</v>
      </c>
      <c r="AE768">
        <v>7200</v>
      </c>
      <c r="AF768">
        <v>200000</v>
      </c>
      <c r="AG768">
        <v>16666.666666666668</v>
      </c>
      <c r="AH768">
        <v>1</v>
      </c>
      <c r="AI768">
        <v>1</v>
      </c>
      <c r="AJ768" t="s">
        <v>136</v>
      </c>
      <c r="AK768" t="s">
        <v>137</v>
      </c>
      <c r="AL768">
        <v>0</v>
      </c>
      <c r="AM768" t="s">
        <v>137</v>
      </c>
      <c r="AN768">
        <v>0</v>
      </c>
    </row>
    <row r="769" spans="1:42" ht="12.75">
      <c r="A769" s="2" t="str">
        <f>HYPERLINK("https://ibp.a2mac1.com/costing(costing:projects/details/8191/process/6975421)","Handling/Visual Inspection/Packaging")</f>
        <v>Handling/Visual Inspection/Packaging</v>
      </c>
      <c r="C769">
        <v>6975421</v>
      </c>
      <c r="D769">
        <v>5388458</v>
      </c>
      <c r="E769">
        <v>0</v>
      </c>
      <c r="F769">
        <v>0</v>
      </c>
      <c r="G769">
        <v>0</v>
      </c>
      <c r="H769">
        <v>0</v>
      </c>
      <c r="I769" t="s">
        <v>137</v>
      </c>
      <c r="J769">
        <v>0</v>
      </c>
      <c r="K769">
        <v>0</v>
      </c>
      <c r="L769">
        <v>0.0086216394843006</v>
      </c>
      <c r="M769">
        <v>0.0517298369058036</v>
      </c>
      <c r="N769">
        <v>0.0517298369058036</v>
      </c>
      <c r="O769" t="s">
        <v>138</v>
      </c>
      <c r="P769">
        <v>0</v>
      </c>
      <c r="Q769" t="s">
        <v>138</v>
      </c>
      <c r="R769">
        <v>0.0031037902143482162</v>
      </c>
      <c r="S769" t="s">
        <v>139</v>
      </c>
      <c r="T769">
        <v>0.0062075804286964324</v>
      </c>
      <c r="U769">
        <v>0.061041207548848252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30</v>
      </c>
      <c r="AB769">
        <v>1</v>
      </c>
      <c r="AC769">
        <v>0.10</v>
      </c>
      <c r="AD769">
        <v>0.10389195236953569</v>
      </c>
      <c r="AE769">
        <v>900</v>
      </c>
      <c r="AF769">
        <v>200000</v>
      </c>
      <c r="AG769">
        <v>16666.666666666668</v>
      </c>
      <c r="AH769">
        <v>1</v>
      </c>
      <c r="AI769">
        <v>1</v>
      </c>
      <c r="AJ769" t="s">
        <v>136</v>
      </c>
      <c r="AK769" t="s">
        <v>137</v>
      </c>
      <c r="AL769">
        <v>0</v>
      </c>
      <c r="AM769" t="s">
        <v>137</v>
      </c>
      <c r="AN769">
        <v>0</v>
      </c>
    </row>
    <row r="770" spans="1:42" ht="12.75">
      <c r="A770" s="2" t="str">
        <f>HYPERLINK("https://ibp.a2mac1.com/costing(costing:projects/details/8191/process/6975422)","Automated Process")</f>
        <v>Automated Process</v>
      </c>
      <c r="C770">
        <v>6975422</v>
      </c>
      <c r="D770">
        <v>5388459</v>
      </c>
      <c r="E770">
        <v>0.19285036144500001</v>
      </c>
      <c r="F770">
        <v>0</v>
      </c>
      <c r="G770">
        <v>0</v>
      </c>
      <c r="H770">
        <v>0.00097826850016210533</v>
      </c>
      <c r="I770" t="s">
        <v>137</v>
      </c>
      <c r="J770">
        <v>0.0067666793489473687</v>
      </c>
      <c r="K770">
        <v>0.20059530929410949</v>
      </c>
      <c r="L770">
        <v>0.0035591010828716413</v>
      </c>
      <c r="M770">
        <v>0.021354606497229849</v>
      </c>
      <c r="N770">
        <v>0.22194991579133933</v>
      </c>
      <c r="O770" t="s">
        <v>138</v>
      </c>
      <c r="P770">
        <v>0.012035718557646569</v>
      </c>
      <c r="Q770" t="s">
        <v>138</v>
      </c>
      <c r="R770">
        <v>0.0012812763898337909</v>
      </c>
      <c r="S770" t="s">
        <v>139</v>
      </c>
      <c r="T770">
        <v>0.02663398989496072</v>
      </c>
      <c r="U770">
        <v>0.26190090063378041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60</v>
      </c>
      <c r="AB770">
        <v>1</v>
      </c>
      <c r="AC770">
        <v>0.50</v>
      </c>
      <c r="AD770">
        <v>0.50345253019720215</v>
      </c>
      <c r="AE770">
        <v>207</v>
      </c>
      <c r="AF770">
        <v>200000</v>
      </c>
      <c r="AG770">
        <v>16666.666666666668</v>
      </c>
      <c r="AH770">
        <v>1</v>
      </c>
      <c r="AI770">
        <v>1</v>
      </c>
      <c r="AJ770" t="s">
        <v>136</v>
      </c>
      <c r="AK770" t="s">
        <v>137</v>
      </c>
      <c r="AL770">
        <v>0</v>
      </c>
      <c r="AM770" t="s">
        <v>137</v>
      </c>
      <c r="AN770">
        <v>0</v>
      </c>
    </row>
    <row r="771" spans="1:42" ht="12.75">
      <c r="A771" s="2" t="str">
        <f>HYPERLINK("https://ibp.a2mac1.com/costing(costing:projects/details/8191/process/6975423)","Automated Process")</f>
        <v>Automated Process</v>
      </c>
      <c r="C771">
        <v>6975423</v>
      </c>
      <c r="D771">
        <v>5388460</v>
      </c>
      <c r="E771">
        <v>0.10259773335</v>
      </c>
      <c r="F771">
        <v>0</v>
      </c>
      <c r="G771">
        <v>0</v>
      </c>
      <c r="H771">
        <v>0.0005204456448631579</v>
      </c>
      <c r="I771" t="s">
        <v>137</v>
      </c>
      <c r="J771">
        <v>0.0035999204684210528</v>
      </c>
      <c r="K771">
        <v>0.10671809946328421</v>
      </c>
      <c r="L771">
        <v>0.0021971251139914997</v>
      </c>
      <c r="M771">
        <v>0.013182750683948996</v>
      </c>
      <c r="N771">
        <v>0.1199008501472332</v>
      </c>
      <c r="O771" t="s">
        <v>138</v>
      </c>
      <c r="P771">
        <v>0.0064030859677970528</v>
      </c>
      <c r="Q771" t="s">
        <v>138</v>
      </c>
      <c r="R771">
        <v>0.00079096504103693982</v>
      </c>
      <c r="S771" t="s">
        <v>139</v>
      </c>
      <c r="T771">
        <v>0.014388102017667985</v>
      </c>
      <c r="U771">
        <v>0.14148300317373519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60</v>
      </c>
      <c r="AB771">
        <v>1</v>
      </c>
      <c r="AC771">
        <v>0.50</v>
      </c>
      <c r="AD771">
        <v>0.50345253019720215</v>
      </c>
      <c r="AE771">
        <v>127.80</v>
      </c>
      <c r="AF771">
        <v>200000</v>
      </c>
      <c r="AG771">
        <v>16666.666666666668</v>
      </c>
      <c r="AH771">
        <v>1</v>
      </c>
      <c r="AI771">
        <v>1</v>
      </c>
      <c r="AJ771" t="s">
        <v>136</v>
      </c>
      <c r="AK771" t="s">
        <v>137</v>
      </c>
      <c r="AL771">
        <v>0</v>
      </c>
      <c r="AM771" t="s">
        <v>137</v>
      </c>
      <c r="AN771">
        <v>0</v>
      </c>
    </row>
    <row r="772" spans="1:42" ht="12.75">
      <c r="A772" s="2" t="str">
        <f>HYPERLINK("https://ibp.a2mac1.com/costing(costing:projects/details/8191/process/6975425)","Injection molding")</f>
        <v>Injection molding</v>
      </c>
      <c r="C772">
        <v>6975425</v>
      </c>
      <c r="D772">
        <v>5388461</v>
      </c>
      <c r="E772">
        <v>0.13701139814617011</v>
      </c>
      <c r="F772">
        <v>0</v>
      </c>
      <c r="G772">
        <v>0</v>
      </c>
      <c r="H772">
        <v>0.00028252046324327412</v>
      </c>
      <c r="I772" t="s">
        <v>137</v>
      </c>
      <c r="J772">
        <v>0.004800104958016793</v>
      </c>
      <c r="K772">
        <v>0.14209402356743017</v>
      </c>
      <c r="L772">
        <v>0.0043751047265846877</v>
      </c>
      <c r="M772">
        <v>0.026250628359508126</v>
      </c>
      <c r="N772">
        <v>0.16834465192693829</v>
      </c>
      <c r="O772" t="s">
        <v>138</v>
      </c>
      <c r="P772">
        <v>0.0085256414140458103</v>
      </c>
      <c r="Q772" t="s">
        <v>138</v>
      </c>
      <c r="R772">
        <v>0.0015750377015704877</v>
      </c>
      <c r="S772" t="s">
        <v>139</v>
      </c>
      <c r="T772">
        <v>0.020201358231232595</v>
      </c>
      <c r="U772">
        <v>0.1986466892737872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12.05706</v>
      </c>
      <c r="AB772">
        <v>1</v>
      </c>
      <c r="AC772">
        <v>0.10</v>
      </c>
      <c r="AD772">
        <v>0.20557651238448796</v>
      </c>
      <c r="AE772">
        <v>7200</v>
      </c>
      <c r="AF772">
        <v>200000</v>
      </c>
      <c r="AG772">
        <v>16666.666666666668</v>
      </c>
      <c r="AH772">
        <v>1</v>
      </c>
      <c r="AI772">
        <v>1</v>
      </c>
      <c r="AJ772" t="s">
        <v>136</v>
      </c>
      <c r="AK772" t="s">
        <v>137</v>
      </c>
      <c r="AL772">
        <v>0</v>
      </c>
      <c r="AM772" t="s">
        <v>137</v>
      </c>
      <c r="AN772">
        <v>0</v>
      </c>
    </row>
    <row r="773" spans="1:42" ht="12.75">
      <c r="A773" s="2" t="str">
        <f>HYPERLINK("https://ibp.a2mac1.com/costing(costing:projects/details/8191/process/6975424)","Handling/Visual Inspection/Packaging")</f>
        <v>Handling/Visual Inspection/Packaging</v>
      </c>
      <c r="C773">
        <v>6975424</v>
      </c>
      <c r="D773">
        <v>5388461</v>
      </c>
      <c r="E773">
        <v>0</v>
      </c>
      <c r="F773">
        <v>0</v>
      </c>
      <c r="G773">
        <v>0</v>
      </c>
      <c r="H773">
        <v>0</v>
      </c>
      <c r="I773" t="s">
        <v>137</v>
      </c>
      <c r="J773">
        <v>0</v>
      </c>
      <c r="K773">
        <v>0</v>
      </c>
      <c r="L773">
        <v>0.0086216394843006</v>
      </c>
      <c r="M773">
        <v>0.0517298369058036</v>
      </c>
      <c r="N773">
        <v>0.0517298369058036</v>
      </c>
      <c r="O773" t="s">
        <v>138</v>
      </c>
      <c r="P773">
        <v>0</v>
      </c>
      <c r="Q773" t="s">
        <v>138</v>
      </c>
      <c r="R773">
        <v>0.0031037902143482162</v>
      </c>
      <c r="S773" t="s">
        <v>139</v>
      </c>
      <c r="T773">
        <v>0.0062075804286964324</v>
      </c>
      <c r="U773">
        <v>0.061041207548848252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30</v>
      </c>
      <c r="AB773">
        <v>1</v>
      </c>
      <c r="AC773">
        <v>0.10</v>
      </c>
      <c r="AD773">
        <v>0.10389195236953569</v>
      </c>
      <c r="AE773">
        <v>900</v>
      </c>
      <c r="AF773">
        <v>200000</v>
      </c>
      <c r="AG773">
        <v>16666.666666666668</v>
      </c>
      <c r="AH773">
        <v>1</v>
      </c>
      <c r="AI773">
        <v>1</v>
      </c>
      <c r="AJ773" t="s">
        <v>136</v>
      </c>
      <c r="AK773" t="s">
        <v>137</v>
      </c>
      <c r="AL773">
        <v>0</v>
      </c>
      <c r="AM773" t="s">
        <v>137</v>
      </c>
      <c r="AN773">
        <v>0</v>
      </c>
    </row>
    <row r="774" spans="1:42" ht="12.75">
      <c r="A774" s="2" t="str">
        <f>HYPERLINK("https://ibp.a2mac1.com/costing(costing:projects/details/8191/process/6975426)","Stamping ")</f>
        <v xml:space="preserve">Stamping </v>
      </c>
      <c r="C774">
        <v>6975426</v>
      </c>
      <c r="D774">
        <v>5388462</v>
      </c>
      <c r="E774">
        <v>0.051267693333333336</v>
      </c>
      <c r="F774">
        <v>0</v>
      </c>
      <c r="G774">
        <v>0</v>
      </c>
      <c r="H774">
        <v>0.00028044813866666667</v>
      </c>
      <c r="I774" t="s">
        <v>137</v>
      </c>
      <c r="J774">
        <v>0.0019398586666666666</v>
      </c>
      <c r="K774">
        <v>0.053488000138666669</v>
      </c>
      <c r="L774">
        <v>0.00031796521455442557</v>
      </c>
      <c r="M774">
        <v>0.0019077912873265534</v>
      </c>
      <c r="N774">
        <v>0.05539579142599322</v>
      </c>
      <c r="O774" t="s">
        <v>138</v>
      </c>
      <c r="P774">
        <v>0.0032092800083200002</v>
      </c>
      <c r="Q774" t="s">
        <v>138</v>
      </c>
      <c r="R774">
        <v>0.00011446747723959321</v>
      </c>
      <c r="S774" t="s">
        <v>139</v>
      </c>
      <c r="T774">
        <v>0.0066474949711191863</v>
      </c>
      <c r="U774">
        <v>0.065367033882671996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15</v>
      </c>
      <c r="AB774">
        <v>1</v>
      </c>
      <c r="AC774">
        <v>0.50</v>
      </c>
      <c r="AD774">
        <v>0.50345253019720215</v>
      </c>
      <c r="AE774">
        <v>1800</v>
      </c>
      <c r="AF774">
        <v>200000</v>
      </c>
      <c r="AG774">
        <v>16666.666666666668</v>
      </c>
      <c r="AH774">
        <v>1</v>
      </c>
      <c r="AI774">
        <v>1</v>
      </c>
      <c r="AJ774" t="s">
        <v>136</v>
      </c>
      <c r="AK774" t="s">
        <v>137</v>
      </c>
      <c r="AL774">
        <v>0</v>
      </c>
      <c r="AM774" t="s">
        <v>137</v>
      </c>
      <c r="AN774">
        <v>0</v>
      </c>
    </row>
    <row r="775" spans="1:42" ht="12.75">
      <c r="A775" s="2" t="str">
        <f>HYPERLINK("https://ibp.a2mac1.com/costing(costing:projects/details/8191/process/6975427)","Injection molding")</f>
        <v>Injection molding</v>
      </c>
      <c r="B775" t="s">
        <v>4715</v>
      </c>
      <c r="C775">
        <v>6975427</v>
      </c>
      <c r="D775">
        <v>5388464</v>
      </c>
      <c r="E775">
        <v>0.014631802500000001</v>
      </c>
      <c r="F775">
        <v>0</v>
      </c>
      <c r="G775">
        <v>0</v>
      </c>
      <c r="H775">
        <v>7.4222476842105266E-05</v>
      </c>
      <c r="I775" t="s">
        <v>137</v>
      </c>
      <c r="J775">
        <v>0.0005133965789473684</v>
      </c>
      <c r="K775">
        <v>0.015219421555789474</v>
      </c>
      <c r="L775">
        <v>5.887671364373327E-05</v>
      </c>
      <c r="M775">
        <v>0.00035326028186239962</v>
      </c>
      <c r="N775">
        <v>0.015572681837651873</v>
      </c>
      <c r="O775" t="s">
        <v>138</v>
      </c>
      <c r="P775">
        <v>0.00091316529334736839</v>
      </c>
      <c r="Q775" t="s">
        <v>138</v>
      </c>
      <c r="R775">
        <v>2.1195616911743979E-05</v>
      </c>
      <c r="S775" t="s">
        <v>139</v>
      </c>
      <c r="T775">
        <v>0.0018687218205182248</v>
      </c>
      <c r="U775">
        <v>0.018375764568429209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30</v>
      </c>
      <c r="AB775">
        <v>2</v>
      </c>
      <c r="AC775">
        <v>0.50</v>
      </c>
      <c r="AD775">
        <v>0.50345253019720215</v>
      </c>
      <c r="AE775">
        <v>13.50</v>
      </c>
      <c r="AF775">
        <v>200000</v>
      </c>
      <c r="AG775">
        <v>16666.666666666668</v>
      </c>
      <c r="AH775">
        <v>1</v>
      </c>
      <c r="AI775">
        <v>1</v>
      </c>
      <c r="AJ775" t="s">
        <v>136</v>
      </c>
      <c r="AK775" t="s">
        <v>137</v>
      </c>
      <c r="AL775">
        <v>0</v>
      </c>
      <c r="AM775" t="s">
        <v>137</v>
      </c>
      <c r="AN775">
        <v>0</v>
      </c>
    </row>
    <row r="776" spans="1:42" ht="12.75">
      <c r="A776" s="2" t="str">
        <f>HYPERLINK("https://ibp.a2mac1.com/costing(costing:projects/details/8191/process/6975428)","Seal Extrusion")</f>
        <v>Seal Extrusion</v>
      </c>
      <c r="B776" t="s">
        <v>5362</v>
      </c>
      <c r="C776">
        <v>6975428</v>
      </c>
      <c r="D776">
        <v>5388466</v>
      </c>
      <c r="E776">
        <v>2.063000199631579</v>
      </c>
      <c r="F776">
        <v>0</v>
      </c>
      <c r="G776">
        <v>0</v>
      </c>
      <c r="H776">
        <v>0.0021526774058947366</v>
      </c>
      <c r="I776" t="s">
        <v>137</v>
      </c>
      <c r="J776">
        <v>0.072445874236842109</v>
      </c>
      <c r="K776">
        <v>2.1375987512743158</v>
      </c>
      <c r="L776">
        <v>0.03696388264930988</v>
      </c>
      <c r="M776">
        <v>0.22178329589585927</v>
      </c>
      <c r="N776">
        <v>2.359382047170175</v>
      </c>
      <c r="O776" t="s">
        <v>138</v>
      </c>
      <c r="P776">
        <v>0.12825592507645894</v>
      </c>
      <c r="Q776" t="s">
        <v>138</v>
      </c>
      <c r="R776">
        <v>0.013306997753751557</v>
      </c>
      <c r="S776" t="s">
        <v>139</v>
      </c>
      <c r="T776">
        <v>0.28312584566042098</v>
      </c>
      <c r="U776">
        <v>2.7840708156608067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15</v>
      </c>
      <c r="AB776">
        <v>1</v>
      </c>
      <c r="AC776">
        <v>0.10</v>
      </c>
      <c r="AD776">
        <v>0.10389195236953569</v>
      </c>
      <c r="AE776">
        <v>1800</v>
      </c>
      <c r="AF776">
        <v>200000</v>
      </c>
      <c r="AG776">
        <v>16666.666666666668</v>
      </c>
      <c r="AH776">
        <v>1</v>
      </c>
      <c r="AI776">
        <v>1</v>
      </c>
      <c r="AJ776" t="s">
        <v>136</v>
      </c>
      <c r="AK776" t="s">
        <v>137</v>
      </c>
      <c r="AL776">
        <v>0</v>
      </c>
      <c r="AM776" t="s">
        <v>137</v>
      </c>
      <c r="AN776">
        <v>0</v>
      </c>
    </row>
    <row r="777" spans="1:42" ht="12.75">
      <c r="A777" s="2" t="str">
        <f>HYPERLINK("https://ibp.a2mac1.com/costing(costing:projects/details/8191/process/6975429)","Injection molding")</f>
        <v>Injection molding</v>
      </c>
      <c r="B777" t="s">
        <v>4715</v>
      </c>
      <c r="C777">
        <v>6975429</v>
      </c>
      <c r="D777">
        <v>5388467</v>
      </c>
      <c r="E777">
        <v>0.016991183999999999</v>
      </c>
      <c r="F777">
        <v>0</v>
      </c>
      <c r="G777">
        <v>0</v>
      </c>
      <c r="H777">
        <v>8.5679855157894737E-05</v>
      </c>
      <c r="I777" t="s">
        <v>137</v>
      </c>
      <c r="J777">
        <v>0.00059618189473684211</v>
      </c>
      <c r="K777">
        <v>0.017673045749894738</v>
      </c>
      <c r="L777">
        <v>0.00074085252523607118</v>
      </c>
      <c r="M777">
        <v>0.0044451151514164275</v>
      </c>
      <c r="N777">
        <v>0.022118160901311162</v>
      </c>
      <c r="O777" t="s">
        <v>138</v>
      </c>
      <c r="P777">
        <v>0.0010603827449936843</v>
      </c>
      <c r="Q777" t="s">
        <v>138</v>
      </c>
      <c r="R777">
        <v>0.00026670690908498564</v>
      </c>
      <c r="S777" t="s">
        <v>139</v>
      </c>
      <c r="T777">
        <v>0.0026541793081573395</v>
      </c>
      <c r="U777">
        <v>0.026099429863547175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60</v>
      </c>
      <c r="AB777">
        <v>1</v>
      </c>
      <c r="AC777">
        <v>0.50</v>
      </c>
      <c r="AD777">
        <v>0.50048257265952256</v>
      </c>
      <c r="AE777">
        <v>43.20</v>
      </c>
      <c r="AF777">
        <v>400000</v>
      </c>
      <c r="AG777">
        <v>33333.333333333336</v>
      </c>
      <c r="AH777">
        <v>1</v>
      </c>
      <c r="AI777">
        <v>1</v>
      </c>
      <c r="AJ777" t="s">
        <v>136</v>
      </c>
      <c r="AK777" t="s">
        <v>137</v>
      </c>
      <c r="AL777">
        <v>0</v>
      </c>
      <c r="AM777" t="s">
        <v>137</v>
      </c>
      <c r="AN777">
        <v>0</v>
      </c>
    </row>
    <row r="778" spans="1:42" ht="12.75">
      <c r="A778" s="2" t="str">
        <f>HYPERLINK("https://ibp.a2mac1.com/costing(costing:projects/details/8191/process/6975430)","Injection molding")</f>
        <v>Injection molding</v>
      </c>
      <c r="B778" t="s">
        <v>4715</v>
      </c>
      <c r="C778">
        <v>6975430</v>
      </c>
      <c r="D778">
        <v>5388468</v>
      </c>
      <c r="E778">
        <v>0.022300929000000001</v>
      </c>
      <c r="F778">
        <v>0</v>
      </c>
      <c r="G778">
        <v>0</v>
      </c>
      <c r="H778">
        <v>0.00011312551452631578</v>
      </c>
      <c r="I778" t="s">
        <v>137</v>
      </c>
      <c r="J778">
        <v>0.00078248873684210526</v>
      </c>
      <c r="K778">
        <v>0.023196543251368423</v>
      </c>
      <c r="L778">
        <v>0.00097481586791442736</v>
      </c>
      <c r="M778">
        <v>0.0058488952074865642</v>
      </c>
      <c r="N778">
        <v>0.029045438458854985</v>
      </c>
      <c r="O778" t="s">
        <v>138</v>
      </c>
      <c r="P778">
        <v>0.0013917925950821053</v>
      </c>
      <c r="Q778" t="s">
        <v>138</v>
      </c>
      <c r="R778">
        <v>0.00035093371244919382</v>
      </c>
      <c r="S778" t="s">
        <v>139</v>
      </c>
      <c r="T778">
        <v>0.0034854526150625981</v>
      </c>
      <c r="U778">
        <v>0.034273617381448886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60</v>
      </c>
      <c r="AB778">
        <v>1</v>
      </c>
      <c r="AC778">
        <v>0.50</v>
      </c>
      <c r="AD778">
        <v>0.50345253019720215</v>
      </c>
      <c r="AE778">
        <v>56.70</v>
      </c>
      <c r="AF778">
        <v>200000</v>
      </c>
      <c r="AG778">
        <v>16666.666666666668</v>
      </c>
      <c r="AH778">
        <v>1</v>
      </c>
      <c r="AI778">
        <v>1</v>
      </c>
      <c r="AJ778" t="s">
        <v>136</v>
      </c>
      <c r="AK778" t="s">
        <v>137</v>
      </c>
      <c r="AL778">
        <v>0</v>
      </c>
      <c r="AM778" t="s">
        <v>137</v>
      </c>
      <c r="AN778">
        <v>0</v>
      </c>
    </row>
    <row r="779" spans="1:42" ht="12.75">
      <c r="A779" s="2" t="str">
        <f>HYPERLINK("https://ibp.a2mac1.com/costing(costing:projects/details/8191/process/6975431)","Injection molding")</f>
        <v>Injection molding</v>
      </c>
      <c r="B779" t="s">
        <v>4715</v>
      </c>
      <c r="C779">
        <v>6975431</v>
      </c>
      <c r="D779">
        <v>5388469</v>
      </c>
      <c r="E779">
        <v>0.021238980000000001</v>
      </c>
      <c r="F779">
        <v>0</v>
      </c>
      <c r="G779">
        <v>0</v>
      </c>
      <c r="H779">
        <v>0.0001077385852631579</v>
      </c>
      <c r="I779" t="s">
        <v>137</v>
      </c>
      <c r="J779">
        <v>0.00074522736842105267</v>
      </c>
      <c r="K779">
        <v>0.02209194595368421</v>
      </c>
      <c r="L779">
        <v>0.00092839371990018039</v>
      </c>
      <c r="M779">
        <v>0.0055703623194010825</v>
      </c>
      <c r="N779">
        <v>0.027662308273085294</v>
      </c>
      <c r="O779" t="s">
        <v>138</v>
      </c>
      <c r="P779">
        <v>0.0013255167572210527</v>
      </c>
      <c r="Q779" t="s">
        <v>138</v>
      </c>
      <c r="R779">
        <v>0.00033422173916406491</v>
      </c>
      <c r="S779" t="s">
        <v>139</v>
      </c>
      <c r="T779">
        <v>0.003319476992770235</v>
      </c>
      <c r="U779">
        <v>0.032641523762240644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60</v>
      </c>
      <c r="AB779">
        <v>1</v>
      </c>
      <c r="AC779">
        <v>0.50</v>
      </c>
      <c r="AD779">
        <v>0.50345253019720215</v>
      </c>
      <c r="AE779">
        <v>54</v>
      </c>
      <c r="AF779">
        <v>200000</v>
      </c>
      <c r="AG779">
        <v>16666.666666666668</v>
      </c>
      <c r="AH779">
        <v>1</v>
      </c>
      <c r="AI779">
        <v>1</v>
      </c>
      <c r="AJ779" t="s">
        <v>136</v>
      </c>
      <c r="AK779" t="s">
        <v>137</v>
      </c>
      <c r="AL779">
        <v>0</v>
      </c>
      <c r="AM779" t="s">
        <v>137</v>
      </c>
      <c r="AN779">
        <v>0</v>
      </c>
    </row>
    <row r="780" spans="1:42" ht="12.75">
      <c r="A780" s="2" t="str">
        <f>HYPERLINK("https://ibp.a2mac1.com/costing(costing:projects/details/8191/process/6975432)","Injection molding")</f>
        <v>Injection molding</v>
      </c>
      <c r="B780" t="s">
        <v>4715</v>
      </c>
      <c r="C780">
        <v>6975432</v>
      </c>
      <c r="D780">
        <v>5388470</v>
      </c>
      <c r="E780">
        <v>0.040969047000000001</v>
      </c>
      <c r="F780">
        <v>0</v>
      </c>
      <c r="G780">
        <v>0</v>
      </c>
      <c r="H780">
        <v>0.00020659078336842106</v>
      </c>
      <c r="I780" t="s">
        <v>137</v>
      </c>
      <c r="J780">
        <v>0.0014375104210526315</v>
      </c>
      <c r="K780">
        <v>0.042613148204421053</v>
      </c>
      <c r="L780">
        <v>0.00064744329840986088</v>
      </c>
      <c r="M780">
        <v>0.0038846597904591655</v>
      </c>
      <c r="N780">
        <v>0.046497807994880215</v>
      </c>
      <c r="O780" t="s">
        <v>138</v>
      </c>
      <c r="P780">
        <v>0.0025567888922652634</v>
      </c>
      <c r="Q780" t="s">
        <v>138</v>
      </c>
      <c r="R780">
        <v>0.00023307958742754993</v>
      </c>
      <c r="S780" t="s">
        <v>139</v>
      </c>
      <c r="T780">
        <v>0.0055797369593856266</v>
      </c>
      <c r="U780">
        <v>0.054867413433958657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60</v>
      </c>
      <c r="AB780">
        <v>1</v>
      </c>
      <c r="AC780">
        <v>0.50</v>
      </c>
      <c r="AD780">
        <v>0.50048257265952256</v>
      </c>
      <c r="AE780">
        <v>37.80</v>
      </c>
      <c r="AF780">
        <v>800000</v>
      </c>
      <c r="AG780">
        <v>66666.666666666672</v>
      </c>
      <c r="AH780">
        <v>1</v>
      </c>
      <c r="AI780">
        <v>1</v>
      </c>
      <c r="AJ780" t="s">
        <v>136</v>
      </c>
      <c r="AK780" t="s">
        <v>137</v>
      </c>
      <c r="AL780">
        <v>0</v>
      </c>
      <c r="AM780" t="s">
        <v>137</v>
      </c>
      <c r="AN780">
        <v>0</v>
      </c>
    </row>
    <row r="781" spans="1:42" ht="12.75">
      <c r="A781" s="2" t="str">
        <f>HYPERLINK("https://ibp.a2mac1.com/costing(costing:projects/details/8191/process/6975433)","Injection molding")</f>
        <v>Injection molding</v>
      </c>
      <c r="B781" t="s">
        <v>4715</v>
      </c>
      <c r="C781">
        <v>6975433</v>
      </c>
      <c r="D781">
        <v>5388471</v>
      </c>
      <c r="E781">
        <v>0.084955920000000004</v>
      </c>
      <c r="F781">
        <v>0</v>
      </c>
      <c r="G781">
        <v>0</v>
      </c>
      <c r="H781">
        <v>0.00043095434105263161</v>
      </c>
      <c r="I781" t="s">
        <v>137</v>
      </c>
      <c r="J781">
        <v>0.0029809094736842107</v>
      </c>
      <c r="K781">
        <v>0.088367783814736839</v>
      </c>
      <c r="L781">
        <v>0.0037141376268551153</v>
      </c>
      <c r="M781">
        <v>0.022284825761130694</v>
      </c>
      <c r="N781">
        <v>0.11065260957586753</v>
      </c>
      <c r="O781" t="s">
        <v>138</v>
      </c>
      <c r="P781">
        <v>0.0053020670288842107</v>
      </c>
      <c r="Q781" t="s">
        <v>138</v>
      </c>
      <c r="R781">
        <v>0.0013370895456678415</v>
      </c>
      <c r="S781" t="s">
        <v>139</v>
      </c>
      <c r="T781">
        <v>0.013278313149104104</v>
      </c>
      <c r="U781">
        <v>0.13057007929952369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60</v>
      </c>
      <c r="AB781">
        <v>1</v>
      </c>
      <c r="AC781">
        <v>0.50</v>
      </c>
      <c r="AD781">
        <v>0.50345253019720215</v>
      </c>
      <c r="AE781">
        <v>216</v>
      </c>
      <c r="AF781">
        <v>200000</v>
      </c>
      <c r="AG781">
        <v>16666.666666666668</v>
      </c>
      <c r="AH781">
        <v>1</v>
      </c>
      <c r="AI781">
        <v>1</v>
      </c>
      <c r="AJ781" t="s">
        <v>136</v>
      </c>
      <c r="AK781" t="s">
        <v>137</v>
      </c>
      <c r="AL781">
        <v>0</v>
      </c>
      <c r="AM781" t="s">
        <v>137</v>
      </c>
      <c r="AN781">
        <v>0</v>
      </c>
    </row>
    <row r="782" spans="1:42" ht="12.75">
      <c r="A782" s="2" t="str">
        <f>HYPERLINK("https://ibp.a2mac1.com/costing(costing:projects/details/8191/process/6975434)","Injection molding")</f>
        <v>Injection molding</v>
      </c>
      <c r="B782" t="s">
        <v>4715</v>
      </c>
      <c r="C782">
        <v>6975434</v>
      </c>
      <c r="D782">
        <v>5388472</v>
      </c>
      <c r="E782">
        <v>0.084955920000000004</v>
      </c>
      <c r="F782">
        <v>0</v>
      </c>
      <c r="G782">
        <v>0</v>
      </c>
      <c r="H782">
        <v>0.00043095434105263161</v>
      </c>
      <c r="I782" t="s">
        <v>137</v>
      </c>
      <c r="J782">
        <v>0.0029809094736842107</v>
      </c>
      <c r="K782">
        <v>0.088367783814736839</v>
      </c>
      <c r="L782">
        <v>0.0037141376268551153</v>
      </c>
      <c r="M782">
        <v>0.022284825761130694</v>
      </c>
      <c r="N782">
        <v>0.11065260957586753</v>
      </c>
      <c r="O782" t="s">
        <v>138</v>
      </c>
      <c r="P782">
        <v>0.0053020670288842107</v>
      </c>
      <c r="Q782" t="s">
        <v>138</v>
      </c>
      <c r="R782">
        <v>0.0013370895456678415</v>
      </c>
      <c r="S782" t="s">
        <v>139</v>
      </c>
      <c r="T782">
        <v>0.013278313149104104</v>
      </c>
      <c r="U782">
        <v>0.13057007929952369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60</v>
      </c>
      <c r="AB782">
        <v>1</v>
      </c>
      <c r="AC782">
        <v>0.50</v>
      </c>
      <c r="AD782">
        <v>0.50345253019720215</v>
      </c>
      <c r="AE782">
        <v>216</v>
      </c>
      <c r="AF782">
        <v>200000</v>
      </c>
      <c r="AG782">
        <v>16666.666666666668</v>
      </c>
      <c r="AH782">
        <v>1</v>
      </c>
      <c r="AI782">
        <v>1</v>
      </c>
      <c r="AJ782" t="s">
        <v>136</v>
      </c>
      <c r="AK782" t="s">
        <v>137</v>
      </c>
      <c r="AL782">
        <v>0</v>
      </c>
      <c r="AM782" t="s">
        <v>137</v>
      </c>
      <c r="AN782">
        <v>0</v>
      </c>
    </row>
    <row r="783" spans="1:42" ht="12.75">
      <c r="A783" s="2" t="str">
        <f>HYPERLINK("https://ibp.a2mac1.com/costing(costing:projects/details/8191/process/6975435)","Injection molding")</f>
        <v>Injection molding</v>
      </c>
      <c r="B783" t="s">
        <v>4715</v>
      </c>
      <c r="C783">
        <v>6975435</v>
      </c>
      <c r="D783">
        <v>5388474</v>
      </c>
      <c r="E783">
        <v>0.0044590979999999999</v>
      </c>
      <c r="F783">
        <v>0</v>
      </c>
      <c r="G783">
        <v>0</v>
      </c>
      <c r="H783">
        <v>2.2619584842105264E-05</v>
      </c>
      <c r="I783" t="s">
        <v>137</v>
      </c>
      <c r="J783">
        <v>0.00015645957894736841</v>
      </c>
      <c r="K783">
        <v>0.0046381771637894736</v>
      </c>
      <c r="L783">
        <v>1.2002453796394523E-05</v>
      </c>
      <c r="M783">
        <v>7.2014722778367138E-05</v>
      </c>
      <c r="N783">
        <v>0.0047101918865678407</v>
      </c>
      <c r="O783" t="s">
        <v>138</v>
      </c>
      <c r="P783">
        <v>0.00027829062982736842</v>
      </c>
      <c r="Q783" t="s">
        <v>138</v>
      </c>
      <c r="R783">
        <v>4.3208833667020281E-06</v>
      </c>
      <c r="S783" t="s">
        <v>139</v>
      </c>
      <c r="T783">
        <v>0.00056522302638814092</v>
      </c>
      <c r="U783">
        <v>0.0055580264261500525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15</v>
      </c>
      <c r="AB783">
        <v>2</v>
      </c>
      <c r="AC783">
        <v>0.50</v>
      </c>
      <c r="AD783">
        <v>0.50345253019720215</v>
      </c>
      <c r="AE783">
        <v>5.40</v>
      </c>
      <c r="AF783">
        <v>200000</v>
      </c>
      <c r="AG783">
        <v>16666.666666666668</v>
      </c>
      <c r="AH783">
        <v>1</v>
      </c>
      <c r="AI783">
        <v>1</v>
      </c>
      <c r="AJ783" t="s">
        <v>136</v>
      </c>
      <c r="AK783" t="s">
        <v>137</v>
      </c>
      <c r="AL783">
        <v>0</v>
      </c>
      <c r="AM783" t="s">
        <v>137</v>
      </c>
      <c r="AN783">
        <v>0</v>
      </c>
    </row>
    <row r="784" spans="1:42" ht="12.75">
      <c r="A784" s="2" t="str">
        <f>HYPERLINK("https://ibp.a2mac1.com/costing(costing:projects/details/8191/process/6975820)","Manufacturing Process")</f>
        <v>Manufacturing Process</v>
      </c>
      <c r="C784">
        <v>6975820</v>
      </c>
      <c r="D784">
        <v>5389198</v>
      </c>
      <c r="E784">
        <v>3.2268489333333332</v>
      </c>
      <c r="F784">
        <v>0</v>
      </c>
      <c r="G784">
        <v>0</v>
      </c>
      <c r="H784">
        <v>0.0036280247466666665</v>
      </c>
      <c r="I784" t="s">
        <v>137</v>
      </c>
      <c r="J784">
        <v>0.12209698666666667</v>
      </c>
      <c r="K784">
        <v>3.3525739447466667</v>
      </c>
      <c r="L784">
        <v>0.2516917811789145</v>
      </c>
      <c r="M784">
        <v>1.5101506870734869</v>
      </c>
      <c r="N784">
        <v>4.8627246318201536</v>
      </c>
      <c r="O784" t="s">
        <v>90</v>
      </c>
      <c r="P784">
        <v>0</v>
      </c>
      <c r="Q784" t="s">
        <v>90</v>
      </c>
      <c r="R784">
        <v>0</v>
      </c>
      <c r="S784" t="s">
        <v>90</v>
      </c>
      <c r="T784">
        <v>0</v>
      </c>
      <c r="U784">
        <v>4.8627246318201536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50.04</v>
      </c>
      <c r="AB784">
        <v>1</v>
      </c>
      <c r="AC784">
        <v>0.10</v>
      </c>
      <c r="AD784">
        <v>0.10389195236953569</v>
      </c>
      <c r="AE784">
        <v>5400</v>
      </c>
      <c r="AF784">
        <v>200000</v>
      </c>
      <c r="AG784">
        <v>16666.666666666668</v>
      </c>
      <c r="AH784">
        <v>1</v>
      </c>
      <c r="AI784">
        <v>1</v>
      </c>
      <c r="AJ784" t="s">
        <v>136</v>
      </c>
      <c r="AK784" t="s">
        <v>137</v>
      </c>
      <c r="AL784">
        <v>0</v>
      </c>
      <c r="AM784" t="s">
        <v>137</v>
      </c>
      <c r="AN784">
        <v>0</v>
      </c>
    </row>
    <row r="785" spans="1:42" ht="12.75">
      <c r="A785" s="2" t="str">
        <f>HYPERLINK("https://ibp.a2mac1.com/costing(costing:projects/details/8191/process/6975821)","Manufacturing Process")</f>
        <v>Manufacturing Process</v>
      </c>
      <c r="C785">
        <v>6975821</v>
      </c>
      <c r="D785">
        <v>5389199</v>
      </c>
      <c r="E785">
        <v>0.45329692941176469</v>
      </c>
      <c r="F785">
        <v>0</v>
      </c>
      <c r="G785">
        <v>0</v>
      </c>
      <c r="H785">
        <v>0.00049364272941176469</v>
      </c>
      <c r="I785" t="s">
        <v>137</v>
      </c>
      <c r="J785">
        <v>0.016612976470588237</v>
      </c>
      <c r="K785">
        <v>0.4704035486117647</v>
      </c>
      <c r="L785">
        <v>0.019958738804621071</v>
      </c>
      <c r="M785">
        <v>0.11975243282772643</v>
      </c>
      <c r="N785">
        <v>0.59015598143949111</v>
      </c>
      <c r="O785" t="s">
        <v>138</v>
      </c>
      <c r="P785">
        <v>0.028224212916705883</v>
      </c>
      <c r="Q785" t="s">
        <v>138</v>
      </c>
      <c r="R785">
        <v>0.007185145969663586</v>
      </c>
      <c r="S785" t="s">
        <v>139</v>
      </c>
      <c r="T785">
        <v>0.070818717772738932</v>
      </c>
      <c r="U785">
        <v>0.69638405809859949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3.60</v>
      </c>
      <c r="AB785">
        <v>1</v>
      </c>
      <c r="AC785">
        <v>0.10</v>
      </c>
      <c r="AD785">
        <v>0.10389195236953569</v>
      </c>
      <c r="AE785">
        <v>5400</v>
      </c>
      <c r="AF785">
        <v>200000</v>
      </c>
      <c r="AG785">
        <v>16666.666666666668</v>
      </c>
      <c r="AH785">
        <v>1</v>
      </c>
      <c r="AI785">
        <v>1</v>
      </c>
      <c r="AJ785" t="s">
        <v>136</v>
      </c>
      <c r="AK785" t="s">
        <v>137</v>
      </c>
      <c r="AL785">
        <v>0</v>
      </c>
      <c r="AM785" t="s">
        <v>137</v>
      </c>
      <c r="AN785">
        <v>0</v>
      </c>
    </row>
    <row r="786" spans="1:42" ht="12.75">
      <c r="A786" s="2" t="str">
        <f>HYPERLINK("https://ibp.a2mac1.com/costing(costing:projects/details/8191/process/6975822)","Manufacturing Process")</f>
        <v>Manufacturing Process</v>
      </c>
      <c r="C786">
        <v>6975822</v>
      </c>
      <c r="D786">
        <v>5389200</v>
      </c>
      <c r="E786">
        <v>0.12362643529411765</v>
      </c>
      <c r="F786">
        <v>0</v>
      </c>
      <c r="G786">
        <v>0</v>
      </c>
      <c r="H786">
        <v>0.00013462983529411763</v>
      </c>
      <c r="I786" t="s">
        <v>137</v>
      </c>
      <c r="J786">
        <v>0.004530811764705882</v>
      </c>
      <c r="K786">
        <v>0.12829187689411764</v>
      </c>
      <c r="L786">
        <v>0.0055876974170679912</v>
      </c>
      <c r="M786">
        <v>0.033526184502407949</v>
      </c>
      <c r="N786">
        <v>0.1618180613965256</v>
      </c>
      <c r="O786" t="s">
        <v>138</v>
      </c>
      <c r="P786">
        <v>0.0076975126136470586</v>
      </c>
      <c r="Q786" t="s">
        <v>138</v>
      </c>
      <c r="R786">
        <v>0.0020115710701444768</v>
      </c>
      <c r="S786" t="s">
        <v>139</v>
      </c>
      <c r="T786">
        <v>0.019418167367583072</v>
      </c>
      <c r="U786">
        <v>0.1909453124479002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0.72</v>
      </c>
      <c r="AB786">
        <v>1</v>
      </c>
      <c r="AC786">
        <v>0.10</v>
      </c>
      <c r="AD786">
        <v>0.10389195236953569</v>
      </c>
      <c r="AE786">
        <v>5400</v>
      </c>
      <c r="AF786">
        <v>200000</v>
      </c>
      <c r="AG786">
        <v>16666.666666666668</v>
      </c>
      <c r="AH786">
        <v>1</v>
      </c>
      <c r="AI786">
        <v>1</v>
      </c>
      <c r="AJ786" t="s">
        <v>136</v>
      </c>
      <c r="AK786" t="s">
        <v>137</v>
      </c>
      <c r="AL786">
        <v>0</v>
      </c>
      <c r="AM786" t="s">
        <v>137</v>
      </c>
      <c r="AN786">
        <v>0</v>
      </c>
    </row>
    <row r="787" spans="1:42" ht="12.75">
      <c r="A787" s="2" t="str">
        <f>HYPERLINK("https://ibp.a2mac1.com/costing(costing:projects/details/8191/process/6975823)","Manufacturing Process")</f>
        <v>Manufacturing Process</v>
      </c>
      <c r="C787">
        <v>6975823</v>
      </c>
      <c r="D787">
        <v>5389201</v>
      </c>
      <c r="E787">
        <v>0.251397125</v>
      </c>
      <c r="F787">
        <v>0</v>
      </c>
      <c r="G787">
        <v>0</v>
      </c>
      <c r="H787">
        <v>0.00027011818749999997</v>
      </c>
      <c r="I787" t="s">
        <v>137</v>
      </c>
      <c r="J787">
        <v>0.0093605312499999999</v>
      </c>
      <c r="K787">
        <v>0.26102777443750003</v>
      </c>
      <c r="L787">
        <v>0.01896070202240014</v>
      </c>
      <c r="M787">
        <v>0.11376421213440084</v>
      </c>
      <c r="N787">
        <v>0.37479198657190083</v>
      </c>
      <c r="O787" t="s">
        <v>138</v>
      </c>
      <c r="P787">
        <v>0.015661666466250002</v>
      </c>
      <c r="Q787" t="s">
        <v>138</v>
      </c>
      <c r="R787">
        <v>0.0068258527280640512</v>
      </c>
      <c r="S787" t="s">
        <v>139</v>
      </c>
      <c r="T787">
        <v>0.044975038388628104</v>
      </c>
      <c r="U787">
        <v>0.442254544154843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3.60</v>
      </c>
      <c r="AB787">
        <v>1</v>
      </c>
      <c r="AC787">
        <v>0.10</v>
      </c>
      <c r="AD787">
        <v>0.1008980929261446</v>
      </c>
      <c r="AE787">
        <v>5400</v>
      </c>
      <c r="AF787">
        <v>400000</v>
      </c>
      <c r="AG787">
        <v>33333.333333333336</v>
      </c>
      <c r="AH787">
        <v>1</v>
      </c>
      <c r="AI787">
        <v>1</v>
      </c>
      <c r="AJ787" t="s">
        <v>136</v>
      </c>
      <c r="AK787" t="s">
        <v>137</v>
      </c>
      <c r="AL787">
        <v>0</v>
      </c>
      <c r="AM787" t="s">
        <v>137</v>
      </c>
      <c r="AN787">
        <v>0</v>
      </c>
    </row>
    <row r="788" spans="1:42" ht="12.75">
      <c r="A788" s="2" t="str">
        <f>HYPERLINK("https://ibp.a2mac1.com/costing(costing:projects/details/8191/process/6975676)","Manufacturing Process")</f>
        <v>Manufacturing Process</v>
      </c>
      <c r="C788">
        <v>6975676</v>
      </c>
      <c r="D788">
        <v>5388820</v>
      </c>
      <c r="E788">
        <v>2.3070461999999998</v>
      </c>
      <c r="F788">
        <v>0</v>
      </c>
      <c r="G788">
        <v>0</v>
      </c>
      <c r="H788">
        <v>0.0025938681599999998</v>
      </c>
      <c r="I788" t="s">
        <v>137</v>
      </c>
      <c r="J788">
        <v>0.087293640000000006</v>
      </c>
      <c r="K788">
        <v>2.3969337081600002</v>
      </c>
      <c r="L788">
        <v>0.2516917811789145</v>
      </c>
      <c r="M788">
        <v>1.5101506870734869</v>
      </c>
      <c r="N788">
        <v>3.9070843952334871</v>
      </c>
      <c r="O788" t="s">
        <v>90</v>
      </c>
      <c r="P788">
        <v>0</v>
      </c>
      <c r="Q788" t="s">
        <v>90</v>
      </c>
      <c r="R788">
        <v>0</v>
      </c>
      <c r="S788" t="s">
        <v>90</v>
      </c>
      <c r="T788">
        <v>0</v>
      </c>
      <c r="U788">
        <v>3.9070843952334871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50.04</v>
      </c>
      <c r="AB788">
        <v>1</v>
      </c>
      <c r="AC788">
        <v>0.10</v>
      </c>
      <c r="AD788">
        <v>0.10389195236953569</v>
      </c>
      <c r="AE788">
        <v>5400</v>
      </c>
      <c r="AF788">
        <v>200000</v>
      </c>
      <c r="AG788">
        <v>16666.666666666668</v>
      </c>
      <c r="AH788">
        <v>1</v>
      </c>
      <c r="AI788">
        <v>1</v>
      </c>
      <c r="AJ788" t="s">
        <v>136</v>
      </c>
      <c r="AK788" t="s">
        <v>137</v>
      </c>
      <c r="AL788">
        <v>0</v>
      </c>
      <c r="AM788" t="s">
        <v>137</v>
      </c>
      <c r="AN788">
        <v>0</v>
      </c>
    </row>
    <row r="789" spans="1:42" ht="12.75">
      <c r="A789" s="2" t="str">
        <f>HYPERLINK("https://ibp.a2mac1.com/costing(costing:projects/details/8191/process/6975281)","Assembly")</f>
        <v>Assembly</v>
      </c>
      <c r="C789">
        <v>6975281</v>
      </c>
      <c r="D789">
        <v>5388203</v>
      </c>
      <c r="E789">
        <v>0</v>
      </c>
      <c r="F789">
        <v>0</v>
      </c>
      <c r="G789">
        <v>0</v>
      </c>
      <c r="H789">
        <v>0</v>
      </c>
      <c r="I789" t="s">
        <v>137</v>
      </c>
      <c r="J789">
        <v>0</v>
      </c>
      <c r="K789">
        <v>0</v>
      </c>
      <c r="L789">
        <v>0.19662147150774253</v>
      </c>
      <c r="M789">
        <v>1.1797288290464552</v>
      </c>
      <c r="N789">
        <v>1.1797288290464552</v>
      </c>
      <c r="O789" t="s">
        <v>90</v>
      </c>
      <c r="P789">
        <v>0</v>
      </c>
      <c r="Q789" t="s">
        <v>90</v>
      </c>
      <c r="R789">
        <v>0</v>
      </c>
      <c r="S789" t="s">
        <v>90</v>
      </c>
      <c r="T789">
        <v>0</v>
      </c>
      <c r="U789">
        <v>1.1797288290464552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150</v>
      </c>
      <c r="AB789">
        <v>1</v>
      </c>
      <c r="AC789">
        <v>1.99</v>
      </c>
      <c r="AD789">
        <v>1.9992159937279499</v>
      </c>
      <c r="AE789">
        <v>1800</v>
      </c>
      <c r="AF789">
        <v>200000</v>
      </c>
      <c r="AG789">
        <v>10000</v>
      </c>
      <c r="AH789">
        <v>1</v>
      </c>
      <c r="AI789">
        <v>1</v>
      </c>
      <c r="AJ789" t="s">
        <v>79</v>
      </c>
      <c r="AK789" t="s">
        <v>137</v>
      </c>
      <c r="AL789">
        <v>0</v>
      </c>
      <c r="AM789" t="s">
        <v>137</v>
      </c>
      <c r="AN789">
        <v>0</v>
      </c>
      <c r="AP789">
        <v>0</v>
      </c>
    </row>
    <row r="790" spans="1:42" ht="12.75">
      <c r="A790" s="2" t="str">
        <f>HYPERLINK("https://ibp.a2mac1.com/costing(costing:projects/details/8191/process/6975824)","Manufacturing Process")</f>
        <v>Manufacturing Process</v>
      </c>
      <c r="C790">
        <v>6975824</v>
      </c>
      <c r="D790">
        <v>5389202</v>
      </c>
      <c r="E790">
        <v>10.191779925500001</v>
      </c>
      <c r="F790">
        <v>0</v>
      </c>
      <c r="G790">
        <v>0</v>
      </c>
      <c r="H790">
        <v>0.010652714696</v>
      </c>
      <c r="I790" t="s">
        <v>137</v>
      </c>
      <c r="J790">
        <v>0.35850482150000001</v>
      </c>
      <c r="K790">
        <v>10.560937461696</v>
      </c>
      <c r="L790">
        <v>0.8642574203233645</v>
      </c>
      <c r="M790">
        <v>5.1855445219401872</v>
      </c>
      <c r="N790">
        <v>15.746481983636187</v>
      </c>
      <c r="O790" t="s">
        <v>90</v>
      </c>
      <c r="P790">
        <v>0</v>
      </c>
      <c r="Q790" t="s">
        <v>90</v>
      </c>
      <c r="R790">
        <v>0</v>
      </c>
      <c r="S790" t="s">
        <v>90</v>
      </c>
      <c r="T790">
        <v>0</v>
      </c>
      <c r="U790">
        <v>15.746481983636187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172.80</v>
      </c>
      <c r="AB790">
        <v>1</v>
      </c>
      <c r="AC790">
        <v>0.10</v>
      </c>
      <c r="AD790">
        <v>0.10389195236953569</v>
      </c>
      <c r="AE790">
        <v>5400</v>
      </c>
      <c r="AF790">
        <v>200000</v>
      </c>
      <c r="AG790">
        <v>16666.666666666668</v>
      </c>
      <c r="AH790">
        <v>1</v>
      </c>
      <c r="AI790">
        <v>1</v>
      </c>
      <c r="AJ790" t="s">
        <v>136</v>
      </c>
      <c r="AK790" t="s">
        <v>137</v>
      </c>
      <c r="AL790">
        <v>0</v>
      </c>
      <c r="AM790" t="s">
        <v>137</v>
      </c>
      <c r="AN790">
        <v>0</v>
      </c>
    </row>
    <row r="791" spans="1:42" ht="12.75">
      <c r="A791" s="2" t="str">
        <f>HYPERLINK("https://ibp.a2mac1.com/costing(costing:projects/details/8191/process/6975825)","Manufacturing Process")</f>
        <v>Manufacturing Process</v>
      </c>
      <c r="C791">
        <v>6975825</v>
      </c>
      <c r="D791">
        <v>5389203</v>
      </c>
      <c r="E791">
        <v>1.4249398815789474</v>
      </c>
      <c r="F791">
        <v>0</v>
      </c>
      <c r="G791">
        <v>0</v>
      </c>
      <c r="H791">
        <v>0.0015045050526315789</v>
      </c>
      <c r="I791" t="s">
        <v>137</v>
      </c>
      <c r="J791">
        <v>0.050632381578947366</v>
      </c>
      <c r="K791">
        <v>1.4770767682105264</v>
      </c>
      <c r="L791">
        <v>0.72054700644783376</v>
      </c>
      <c r="M791">
        <v>4.3232820386870028</v>
      </c>
      <c r="N791">
        <v>5.8003588068975285</v>
      </c>
      <c r="O791" t="s">
        <v>138</v>
      </c>
      <c r="P791">
        <v>0.088624606092631578</v>
      </c>
      <c r="Q791" t="s">
        <v>138</v>
      </c>
      <c r="R791">
        <v>0.25939692232122014</v>
      </c>
      <c r="S791" t="s">
        <v>139</v>
      </c>
      <c r="T791">
        <v>0.6960430568277034</v>
      </c>
      <c r="U791">
        <v>6.8444233921390838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144</v>
      </c>
      <c r="AB791">
        <v>1</v>
      </c>
      <c r="AC791">
        <v>0.10</v>
      </c>
      <c r="AD791">
        <v>0.10389195236953569</v>
      </c>
      <c r="AE791">
        <v>5400</v>
      </c>
      <c r="AF791">
        <v>200000</v>
      </c>
      <c r="AG791">
        <v>16666.666666666668</v>
      </c>
      <c r="AH791">
        <v>1</v>
      </c>
      <c r="AI791">
        <v>1</v>
      </c>
      <c r="AJ791" t="s">
        <v>136</v>
      </c>
      <c r="AK791" t="s">
        <v>137</v>
      </c>
      <c r="AL791">
        <v>0</v>
      </c>
      <c r="AM791" t="s">
        <v>137</v>
      </c>
      <c r="AN791">
        <v>0</v>
      </c>
    </row>
    <row r="792" spans="1:42" ht="12.75">
      <c r="A792" s="2" t="str">
        <f>HYPERLINK("https://ibp.a2mac1.com/costing(costing:projects/details/8191/process/6975826)","Manufacturing Process")</f>
        <v>Manufacturing Process</v>
      </c>
      <c r="C792">
        <v>6975826</v>
      </c>
      <c r="D792">
        <v>5389204</v>
      </c>
      <c r="E792">
        <v>2.0478793999999998</v>
      </c>
      <c r="F792">
        <v>0</v>
      </c>
      <c r="G792">
        <v>0</v>
      </c>
      <c r="H792">
        <v>0.0021297945759999998</v>
      </c>
      <c r="I792" t="s">
        <v>137</v>
      </c>
      <c r="J792">
        <v>0.071675778999999995</v>
      </c>
      <c r="K792">
        <v>2.1216849735759999</v>
      </c>
      <c r="L792">
        <v>0.72054700644783376</v>
      </c>
      <c r="M792">
        <v>4.3232820386870028</v>
      </c>
      <c r="N792">
        <v>6.4449670122630023</v>
      </c>
      <c r="O792" t="s">
        <v>90</v>
      </c>
      <c r="P792">
        <v>0</v>
      </c>
      <c r="Q792" t="s">
        <v>90</v>
      </c>
      <c r="R792">
        <v>0</v>
      </c>
      <c r="S792" t="s">
        <v>90</v>
      </c>
      <c r="T792">
        <v>0</v>
      </c>
      <c r="U792">
        <v>6.4449670122630023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144</v>
      </c>
      <c r="AB792">
        <v>1</v>
      </c>
      <c r="AC792">
        <v>0.10</v>
      </c>
      <c r="AD792">
        <v>0.10389195236953569</v>
      </c>
      <c r="AE792">
        <v>5400</v>
      </c>
      <c r="AF792">
        <v>200000</v>
      </c>
      <c r="AG792">
        <v>16666.666666666668</v>
      </c>
      <c r="AH792">
        <v>1</v>
      </c>
      <c r="AI792">
        <v>1</v>
      </c>
      <c r="AJ792" t="s">
        <v>136</v>
      </c>
      <c r="AK792" t="s">
        <v>137</v>
      </c>
      <c r="AL792">
        <v>0</v>
      </c>
      <c r="AM792" t="s">
        <v>137</v>
      </c>
      <c r="AN792">
        <v>0</v>
      </c>
    </row>
    <row r="793" spans="1:42" ht="12.75">
      <c r="A793" s="2" t="str">
        <f>HYPERLINK("https://ibp.a2mac1.com/costing(costing:projects/details/8191/process/6975827)","Manufacturing Process")</f>
        <v>Manufacturing Process</v>
      </c>
      <c r="C793">
        <v>6975827</v>
      </c>
      <c r="D793">
        <v>5389205</v>
      </c>
      <c r="E793">
        <v>1.9444698</v>
      </c>
      <c r="F793">
        <v>0</v>
      </c>
      <c r="G793">
        <v>0</v>
      </c>
      <c r="H793">
        <v>0.0020222485920000002</v>
      </c>
      <c r="I793" t="s">
        <v>137</v>
      </c>
      <c r="J793">
        <v>0.068056442999999994</v>
      </c>
      <c r="K793">
        <v>2.014548491592</v>
      </c>
      <c r="L793">
        <v>0.72054700644783376</v>
      </c>
      <c r="M793">
        <v>4.3232820386870028</v>
      </c>
      <c r="N793">
        <v>6.3378305302790023</v>
      </c>
      <c r="O793" t="s">
        <v>90</v>
      </c>
      <c r="P793">
        <v>0</v>
      </c>
      <c r="Q793" t="s">
        <v>90</v>
      </c>
      <c r="R793">
        <v>0</v>
      </c>
      <c r="S793" t="s">
        <v>90</v>
      </c>
      <c r="T793">
        <v>0</v>
      </c>
      <c r="U793">
        <v>6.3378305302790023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144</v>
      </c>
      <c r="AB793">
        <v>1</v>
      </c>
      <c r="AC793">
        <v>0.10</v>
      </c>
      <c r="AD793">
        <v>0.10389195236953569</v>
      </c>
      <c r="AE793">
        <v>5400</v>
      </c>
      <c r="AF793">
        <v>200000</v>
      </c>
      <c r="AG793">
        <v>16666.666666666668</v>
      </c>
      <c r="AH793">
        <v>1</v>
      </c>
      <c r="AI793">
        <v>1</v>
      </c>
      <c r="AJ793" t="s">
        <v>136</v>
      </c>
      <c r="AK793" t="s">
        <v>137</v>
      </c>
      <c r="AL793">
        <v>0</v>
      </c>
      <c r="AM793" t="s">
        <v>137</v>
      </c>
      <c r="AN793">
        <v>0</v>
      </c>
    </row>
    <row r="794" spans="1:42" ht="12.75">
      <c r="A794" s="2" t="str">
        <f>HYPERLINK("https://ibp.a2mac1.com/costing(costing:projects/details/8191/process/6975828)","Manufacturing Process")</f>
        <v>Manufacturing Process</v>
      </c>
      <c r="C794">
        <v>6975828</v>
      </c>
      <c r="D794">
        <v>5389206</v>
      </c>
      <c r="E794">
        <v>0.30483493333333334</v>
      </c>
      <c r="F794">
        <v>0</v>
      </c>
      <c r="G794">
        <v>0</v>
      </c>
      <c r="H794">
        <v>0.00036025946666666666</v>
      </c>
      <c r="I794" t="s">
        <v>137</v>
      </c>
      <c r="J794">
        <v>0.012124116666666667</v>
      </c>
      <c r="K794">
        <v>0.31731930946666664</v>
      </c>
      <c r="L794">
        <v>0.0064858875037900592</v>
      </c>
      <c r="M794">
        <v>0.038915325022740352</v>
      </c>
      <c r="N794">
        <v>0.35623463448940701</v>
      </c>
      <c r="O794" t="s">
        <v>138</v>
      </c>
      <c r="P794">
        <v>0.019039158568000002</v>
      </c>
      <c r="Q794" t="s">
        <v>138</v>
      </c>
      <c r="R794">
        <v>0.0023349195013644213</v>
      </c>
      <c r="S794" t="s">
        <v>139</v>
      </c>
      <c r="T794">
        <v>0.042748156138728843</v>
      </c>
      <c r="U794">
        <v>0.42035686869750027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0.90</v>
      </c>
      <c r="AB794">
        <v>1</v>
      </c>
      <c r="AC794">
        <v>0.10</v>
      </c>
      <c r="AD794">
        <v>0.10389195236953569</v>
      </c>
      <c r="AE794">
        <v>5400</v>
      </c>
      <c r="AF794">
        <v>200000</v>
      </c>
      <c r="AG794">
        <v>16666.666666666668</v>
      </c>
      <c r="AH794">
        <v>1</v>
      </c>
      <c r="AI794">
        <v>1</v>
      </c>
      <c r="AJ794" t="s">
        <v>136</v>
      </c>
      <c r="AK794" t="s">
        <v>137</v>
      </c>
      <c r="AL794">
        <v>0</v>
      </c>
      <c r="AM794" t="s">
        <v>137</v>
      </c>
      <c r="AN794">
        <v>0</v>
      </c>
    </row>
    <row r="795" spans="1:42" ht="12.75">
      <c r="A795" s="2" t="str">
        <f>HYPERLINK("https://ibp.a2mac1.com/costing(costing:projects/details/8191/process/6975282)","Assembly")</f>
        <v>Assembly</v>
      </c>
      <c r="C795">
        <v>6975282</v>
      </c>
      <c r="D795">
        <v>5388205</v>
      </c>
      <c r="E795">
        <v>0</v>
      </c>
      <c r="F795">
        <v>0</v>
      </c>
      <c r="G795">
        <v>0</v>
      </c>
      <c r="H795">
        <v>0</v>
      </c>
      <c r="I795" t="s">
        <v>137</v>
      </c>
      <c r="J795">
        <v>0</v>
      </c>
      <c r="K795">
        <v>0</v>
      </c>
      <c r="L795">
        <v>0.19662147150774253</v>
      </c>
      <c r="M795">
        <v>1.1797288290464552</v>
      </c>
      <c r="N795">
        <v>1.1797288290464552</v>
      </c>
      <c r="O795" t="s">
        <v>90</v>
      </c>
      <c r="P795">
        <v>0</v>
      </c>
      <c r="Q795" t="s">
        <v>90</v>
      </c>
      <c r="R795">
        <v>0</v>
      </c>
      <c r="S795" t="s">
        <v>90</v>
      </c>
      <c r="T795">
        <v>0</v>
      </c>
      <c r="U795">
        <v>1.1797288290464552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150</v>
      </c>
      <c r="AB795">
        <v>1</v>
      </c>
      <c r="AC795">
        <v>1.99</v>
      </c>
      <c r="AD795">
        <v>1.9992159937279499</v>
      </c>
      <c r="AE795">
        <v>1800</v>
      </c>
      <c r="AF795">
        <v>200000</v>
      </c>
      <c r="AG795">
        <v>10000</v>
      </c>
      <c r="AH795">
        <v>1</v>
      </c>
      <c r="AI795">
        <v>1</v>
      </c>
      <c r="AJ795" t="s">
        <v>79</v>
      </c>
      <c r="AK795" t="s">
        <v>137</v>
      </c>
      <c r="AL795">
        <v>0</v>
      </c>
      <c r="AM795" t="s">
        <v>137</v>
      </c>
      <c r="AN795">
        <v>0</v>
      </c>
      <c r="AP795">
        <v>0</v>
      </c>
    </row>
    <row r="796" spans="1:42" ht="12.75">
      <c r="A796" s="2" t="str">
        <f>HYPERLINK("https://ibp.a2mac1.com/costing(costing:projects/details/8191/process/6975677)","Injection molding")</f>
        <v>Injection molding</v>
      </c>
      <c r="C796">
        <v>6975677</v>
      </c>
      <c r="D796">
        <v>5388825</v>
      </c>
      <c r="E796">
        <v>0.043945156126218902</v>
      </c>
      <c r="F796">
        <v>0</v>
      </c>
      <c r="G796">
        <v>0</v>
      </c>
      <c r="H796">
        <v>9.0615861410537829E-05</v>
      </c>
      <c r="I796" t="s">
        <v>137</v>
      </c>
      <c r="J796">
        <v>0.0015395898783343805</v>
      </c>
      <c r="K796">
        <v>0.045575361865963816</v>
      </c>
      <c r="L796">
        <v>0.0077385970884481263</v>
      </c>
      <c r="M796">
        <v>0.046431582530688756</v>
      </c>
      <c r="N796">
        <v>0.092006944396652579</v>
      </c>
      <c r="O796" t="s">
        <v>138</v>
      </c>
      <c r="P796">
        <v>0.0027345217119578292</v>
      </c>
      <c r="Q796" t="s">
        <v>138</v>
      </c>
      <c r="R796">
        <v>0.0027858949518413255</v>
      </c>
      <c r="S796" t="s">
        <v>139</v>
      </c>
      <c r="T796">
        <v>0.011040833327598309</v>
      </c>
      <c r="U796">
        <v>0.10856819438805004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19.445229999999999</v>
      </c>
      <c r="AB796">
        <v>1</v>
      </c>
      <c r="AC796">
        <v>0.10</v>
      </c>
      <c r="AD796">
        <v>0.20557651238448796</v>
      </c>
      <c r="AE796">
        <v>7200</v>
      </c>
      <c r="AF796">
        <v>200000</v>
      </c>
      <c r="AG796">
        <v>16666.666666666668</v>
      </c>
      <c r="AH796">
        <v>1</v>
      </c>
      <c r="AI796">
        <v>1</v>
      </c>
      <c r="AJ796" t="s">
        <v>136</v>
      </c>
      <c r="AK796" t="s">
        <v>137</v>
      </c>
      <c r="AL796">
        <v>0</v>
      </c>
      <c r="AM796" t="s">
        <v>137</v>
      </c>
      <c r="AN796">
        <v>0</v>
      </c>
    </row>
    <row r="797" spans="1:42" ht="12.75">
      <c r="A797" s="2" t="str">
        <f>HYPERLINK("https://ibp.a2mac1.com/costing(costing:projects/details/8191/process/6975678)","Handling/Visual Inspection/Packaging")</f>
        <v>Handling/Visual Inspection/Packaging</v>
      </c>
      <c r="C797">
        <v>6975678</v>
      </c>
      <c r="D797">
        <v>5388825</v>
      </c>
      <c r="E797">
        <v>0</v>
      </c>
      <c r="F797">
        <v>0</v>
      </c>
      <c r="G797">
        <v>0</v>
      </c>
      <c r="H797">
        <v>0</v>
      </c>
      <c r="I797" t="s">
        <v>137</v>
      </c>
      <c r="J797">
        <v>0</v>
      </c>
      <c r="K797">
        <v>0</v>
      </c>
      <c r="L797">
        <v>0.0086216394843006</v>
      </c>
      <c r="M797">
        <v>0.0517298369058036</v>
      </c>
      <c r="N797">
        <v>0.0517298369058036</v>
      </c>
      <c r="O797" t="s">
        <v>138</v>
      </c>
      <c r="P797">
        <v>0</v>
      </c>
      <c r="Q797" t="s">
        <v>138</v>
      </c>
      <c r="R797">
        <v>0.0031037902143482162</v>
      </c>
      <c r="S797" t="s">
        <v>139</v>
      </c>
      <c r="T797">
        <v>0.0062075804286964324</v>
      </c>
      <c r="U797">
        <v>0.061041207548848252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30</v>
      </c>
      <c r="AB797">
        <v>1</v>
      </c>
      <c r="AC797">
        <v>0.10</v>
      </c>
      <c r="AD797">
        <v>0.10389195236953569</v>
      </c>
      <c r="AE797">
        <v>900</v>
      </c>
      <c r="AF797">
        <v>200000</v>
      </c>
      <c r="AG797">
        <v>16666.666666666668</v>
      </c>
      <c r="AH797">
        <v>1</v>
      </c>
      <c r="AI797">
        <v>1</v>
      </c>
      <c r="AJ797" t="s">
        <v>136</v>
      </c>
      <c r="AK797" t="s">
        <v>137</v>
      </c>
      <c r="AL797">
        <v>0</v>
      </c>
      <c r="AM797" t="s">
        <v>137</v>
      </c>
      <c r="AN797">
        <v>0</v>
      </c>
    </row>
    <row r="798" spans="1:42" ht="12.75">
      <c r="A798" s="2" t="str">
        <f>HYPERLINK("https://ibp.a2mac1.com/costing(costing:projects/details/8191/process/6975680)","Injection molding")</f>
        <v>Injection molding</v>
      </c>
      <c r="C798">
        <v>6975680</v>
      </c>
      <c r="D798">
        <v>5388826</v>
      </c>
      <c r="E798">
        <v>0.043945156126218902</v>
      </c>
      <c r="F798">
        <v>0</v>
      </c>
      <c r="G798">
        <v>0</v>
      </c>
      <c r="H798">
        <v>9.0615861410537829E-05</v>
      </c>
      <c r="I798" t="s">
        <v>137</v>
      </c>
      <c r="J798">
        <v>0.0015395898783343805</v>
      </c>
      <c r="K798">
        <v>0.045575361865963816</v>
      </c>
      <c r="L798">
        <v>0.0077385970884481263</v>
      </c>
      <c r="M798">
        <v>0.046431582530688756</v>
      </c>
      <c r="N798">
        <v>0.092006944396652579</v>
      </c>
      <c r="O798" t="s">
        <v>138</v>
      </c>
      <c r="P798">
        <v>0.0027345217119578292</v>
      </c>
      <c r="Q798" t="s">
        <v>138</v>
      </c>
      <c r="R798">
        <v>0.0027858949518413255</v>
      </c>
      <c r="S798" t="s">
        <v>139</v>
      </c>
      <c r="T798">
        <v>0.011040833327598309</v>
      </c>
      <c r="U798">
        <v>0.10856819438805004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19.445229999999999</v>
      </c>
      <c r="AB798">
        <v>1</v>
      </c>
      <c r="AC798">
        <v>0.10</v>
      </c>
      <c r="AD798">
        <v>0.20557651238448796</v>
      </c>
      <c r="AE798">
        <v>7200</v>
      </c>
      <c r="AF798">
        <v>200000</v>
      </c>
      <c r="AG798">
        <v>16666.666666666668</v>
      </c>
      <c r="AH798">
        <v>1</v>
      </c>
      <c r="AI798">
        <v>1</v>
      </c>
      <c r="AJ798" t="s">
        <v>136</v>
      </c>
      <c r="AK798" t="s">
        <v>137</v>
      </c>
      <c r="AL798">
        <v>0</v>
      </c>
      <c r="AM798" t="s">
        <v>137</v>
      </c>
      <c r="AN798">
        <v>0</v>
      </c>
    </row>
    <row r="799" spans="1:42" ht="12.75">
      <c r="A799" s="2" t="str">
        <f>HYPERLINK("https://ibp.a2mac1.com/costing(costing:projects/details/8191/process/6975679)","Handling/Visual Inspection/Packaging")</f>
        <v>Handling/Visual Inspection/Packaging</v>
      </c>
      <c r="C799">
        <v>6975679</v>
      </c>
      <c r="D799">
        <v>5388826</v>
      </c>
      <c r="E799">
        <v>0</v>
      </c>
      <c r="F799">
        <v>0</v>
      </c>
      <c r="G799">
        <v>0</v>
      </c>
      <c r="H799">
        <v>0</v>
      </c>
      <c r="I799" t="s">
        <v>137</v>
      </c>
      <c r="J799">
        <v>0</v>
      </c>
      <c r="K799">
        <v>0</v>
      </c>
      <c r="L799">
        <v>0.0086216394843006</v>
      </c>
      <c r="M799">
        <v>0.0517298369058036</v>
      </c>
      <c r="N799">
        <v>0.0517298369058036</v>
      </c>
      <c r="O799" t="s">
        <v>138</v>
      </c>
      <c r="P799">
        <v>0</v>
      </c>
      <c r="Q799" t="s">
        <v>138</v>
      </c>
      <c r="R799">
        <v>0.0031037902143482162</v>
      </c>
      <c r="S799" t="s">
        <v>139</v>
      </c>
      <c r="T799">
        <v>0.0062075804286964324</v>
      </c>
      <c r="U799">
        <v>0.061041207548848252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30</v>
      </c>
      <c r="AB799">
        <v>1</v>
      </c>
      <c r="AC799">
        <v>0.10</v>
      </c>
      <c r="AD799">
        <v>0.10389195236953569</v>
      </c>
      <c r="AE799">
        <v>900</v>
      </c>
      <c r="AF799">
        <v>200000</v>
      </c>
      <c r="AG799">
        <v>16666.666666666668</v>
      </c>
      <c r="AH799">
        <v>1</v>
      </c>
      <c r="AI799">
        <v>1</v>
      </c>
      <c r="AJ799" t="s">
        <v>136</v>
      </c>
      <c r="AK799" t="s">
        <v>137</v>
      </c>
      <c r="AL799">
        <v>0</v>
      </c>
      <c r="AM799" t="s">
        <v>137</v>
      </c>
      <c r="AN799">
        <v>0</v>
      </c>
    </row>
    <row r="800" spans="1:42" ht="12.75">
      <c r="A800" s="2" t="str">
        <f>HYPERLINK("https://ibp.a2mac1.com/costing(costing:projects/details/8191/process/6975436)","Injection molding")</f>
        <v>Injection molding</v>
      </c>
      <c r="C800">
        <v>6975436</v>
      </c>
      <c r="D800">
        <v>5388479</v>
      </c>
      <c r="E800">
        <v>2.8770344401383938</v>
      </c>
      <c r="F800">
        <v>0</v>
      </c>
      <c r="G800">
        <v>0</v>
      </c>
      <c r="H800">
        <v>0.0059325071767211482</v>
      </c>
      <c r="I800" t="s">
        <v>137</v>
      </c>
      <c r="J800">
        <v>0.10079502484720397</v>
      </c>
      <c r="K800">
        <v>2.9837619721623185</v>
      </c>
      <c r="L800">
        <v>0.10161959783419541</v>
      </c>
      <c r="M800">
        <v>0.60971758700517253</v>
      </c>
      <c r="N800">
        <v>3.5934795591674913</v>
      </c>
      <c r="O800" t="s">
        <v>138</v>
      </c>
      <c r="P800">
        <v>0.17902571832973913</v>
      </c>
      <c r="Q800" t="s">
        <v>138</v>
      </c>
      <c r="R800">
        <v>0.03658305522031035</v>
      </c>
      <c r="S800" t="s">
        <v>139</v>
      </c>
      <c r="T800">
        <v>0.43121754710009896</v>
      </c>
      <c r="U800">
        <v>4.2403058798176394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32.095149999999997</v>
      </c>
      <c r="AB800">
        <v>1</v>
      </c>
      <c r="AC800">
        <v>0.10</v>
      </c>
      <c r="AD800">
        <v>0.20557651238448796</v>
      </c>
      <c r="AE800">
        <v>18000</v>
      </c>
      <c r="AF800">
        <v>200000</v>
      </c>
      <c r="AG800">
        <v>16666.666666666668</v>
      </c>
      <c r="AH800">
        <v>1</v>
      </c>
      <c r="AI800">
        <v>1</v>
      </c>
      <c r="AJ800" t="s">
        <v>136</v>
      </c>
      <c r="AK800" t="s">
        <v>137</v>
      </c>
      <c r="AL800">
        <v>0</v>
      </c>
      <c r="AM800" t="s">
        <v>137</v>
      </c>
      <c r="AN800">
        <v>0</v>
      </c>
    </row>
    <row r="801" spans="1:42" ht="12.75">
      <c r="A801" s="2" t="str">
        <f>HYPERLINK("https://ibp.a2mac1.com/costing(costing:projects/details/8191/process/6975437)","Handling/Visual Inspection/Packaging")</f>
        <v>Handling/Visual Inspection/Packaging</v>
      </c>
      <c r="C801">
        <v>6975437</v>
      </c>
      <c r="D801">
        <v>5388479</v>
      </c>
      <c r="E801">
        <v>0</v>
      </c>
      <c r="F801">
        <v>0</v>
      </c>
      <c r="G801">
        <v>0</v>
      </c>
      <c r="H801">
        <v>0</v>
      </c>
      <c r="I801" t="s">
        <v>137</v>
      </c>
      <c r="J801">
        <v>0</v>
      </c>
      <c r="K801">
        <v>0</v>
      </c>
      <c r="L801">
        <v>0.0086216394843006</v>
      </c>
      <c r="M801">
        <v>0.0517298369058036</v>
      </c>
      <c r="N801">
        <v>0.0517298369058036</v>
      </c>
      <c r="O801" t="s">
        <v>138</v>
      </c>
      <c r="P801">
        <v>0</v>
      </c>
      <c r="Q801" t="s">
        <v>138</v>
      </c>
      <c r="R801">
        <v>0.0031037902143482162</v>
      </c>
      <c r="S801" t="s">
        <v>139</v>
      </c>
      <c r="T801">
        <v>0.0062075804286964324</v>
      </c>
      <c r="U801">
        <v>0.061041207548848252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30</v>
      </c>
      <c r="AB801">
        <v>1</v>
      </c>
      <c r="AC801">
        <v>0.10</v>
      </c>
      <c r="AD801">
        <v>0.10389195236953569</v>
      </c>
      <c r="AE801">
        <v>900</v>
      </c>
      <c r="AF801">
        <v>200000</v>
      </c>
      <c r="AG801">
        <v>16666.666666666668</v>
      </c>
      <c r="AH801">
        <v>1</v>
      </c>
      <c r="AI801">
        <v>1</v>
      </c>
      <c r="AJ801" t="s">
        <v>136</v>
      </c>
      <c r="AK801" t="s">
        <v>137</v>
      </c>
      <c r="AL801">
        <v>0</v>
      </c>
      <c r="AM801" t="s">
        <v>137</v>
      </c>
      <c r="AN801">
        <v>0</v>
      </c>
    </row>
    <row r="802" spans="1:42" ht="12.75">
      <c r="A802" s="2" t="str">
        <f>HYPERLINK("https://ibp.a2mac1.com/costing(costing:projects/details/8191/process/6975439)","Injection molding")</f>
        <v>Injection molding</v>
      </c>
      <c r="C802">
        <v>6975439</v>
      </c>
      <c r="D802">
        <v>5388480</v>
      </c>
      <c r="E802">
        <v>1.1465488544617701</v>
      </c>
      <c r="F802">
        <v>0</v>
      </c>
      <c r="G802">
        <v>0</v>
      </c>
      <c r="H802">
        <v>0.0023697455171697332</v>
      </c>
      <c r="I802" t="s">
        <v>137</v>
      </c>
      <c r="J802">
        <v>0.040262666553854687</v>
      </c>
      <c r="K802">
        <v>1.1891812665327945</v>
      </c>
      <c r="L802">
        <v>0.045666843555051552</v>
      </c>
      <c r="M802">
        <v>0.27400106133030933</v>
      </c>
      <c r="N802">
        <v>1.463182327863104</v>
      </c>
      <c r="O802" t="s">
        <v>138</v>
      </c>
      <c r="P802">
        <v>0.071350875991967669</v>
      </c>
      <c r="Q802" t="s">
        <v>138</v>
      </c>
      <c r="R802">
        <v>0.01644006367981856</v>
      </c>
      <c r="S802" t="s">
        <v>139</v>
      </c>
      <c r="T802">
        <v>0.17558187934357247</v>
      </c>
      <c r="U802">
        <v>1.7265551468784626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25.54796</v>
      </c>
      <c r="AB802">
        <v>1</v>
      </c>
      <c r="AC802">
        <v>0.10</v>
      </c>
      <c r="AD802">
        <v>0.20557651238448796</v>
      </c>
      <c r="AE802">
        <v>14400</v>
      </c>
      <c r="AF802">
        <v>200000</v>
      </c>
      <c r="AG802">
        <v>16666.666666666668</v>
      </c>
      <c r="AH802">
        <v>1</v>
      </c>
      <c r="AI802">
        <v>1</v>
      </c>
      <c r="AJ802" t="s">
        <v>136</v>
      </c>
      <c r="AK802" t="s">
        <v>137</v>
      </c>
      <c r="AL802">
        <v>0</v>
      </c>
      <c r="AM802" t="s">
        <v>137</v>
      </c>
      <c r="AN802">
        <v>0</v>
      </c>
    </row>
    <row r="803" spans="1:42" ht="12.75">
      <c r="A803" s="2" t="str">
        <f>HYPERLINK("https://ibp.a2mac1.com/costing(costing:projects/details/8191/process/6975438)","Handling/Visual Inspection/Packaging")</f>
        <v>Handling/Visual Inspection/Packaging</v>
      </c>
      <c r="C803">
        <v>6975438</v>
      </c>
      <c r="D803">
        <v>5388480</v>
      </c>
      <c r="E803">
        <v>0</v>
      </c>
      <c r="F803">
        <v>0</v>
      </c>
      <c r="G803">
        <v>0</v>
      </c>
      <c r="H803">
        <v>0</v>
      </c>
      <c r="I803" t="s">
        <v>137</v>
      </c>
      <c r="J803">
        <v>0</v>
      </c>
      <c r="K803">
        <v>0</v>
      </c>
      <c r="L803">
        <v>0.0086216394843006</v>
      </c>
      <c r="M803">
        <v>0.0517298369058036</v>
      </c>
      <c r="N803">
        <v>0.0517298369058036</v>
      </c>
      <c r="O803" t="s">
        <v>138</v>
      </c>
      <c r="P803">
        <v>0</v>
      </c>
      <c r="Q803" t="s">
        <v>138</v>
      </c>
      <c r="R803">
        <v>0.0031037902143482162</v>
      </c>
      <c r="S803" t="s">
        <v>139</v>
      </c>
      <c r="T803">
        <v>0.0062075804286964324</v>
      </c>
      <c r="U803">
        <v>0.061041207548848252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30</v>
      </c>
      <c r="AB803">
        <v>1</v>
      </c>
      <c r="AC803">
        <v>0.10</v>
      </c>
      <c r="AD803">
        <v>0.10389195236953569</v>
      </c>
      <c r="AE803">
        <v>900</v>
      </c>
      <c r="AF803">
        <v>200000</v>
      </c>
      <c r="AG803">
        <v>16666.666666666668</v>
      </c>
      <c r="AH803">
        <v>1</v>
      </c>
      <c r="AI803">
        <v>1</v>
      </c>
      <c r="AJ803" t="s">
        <v>136</v>
      </c>
      <c r="AK803" t="s">
        <v>137</v>
      </c>
      <c r="AL803">
        <v>0</v>
      </c>
      <c r="AM803" t="s">
        <v>137</v>
      </c>
      <c r="AN803">
        <v>0</v>
      </c>
    </row>
    <row r="804" spans="1:42" ht="12.75">
      <c r="A804" s="2" t="str">
        <f>HYPERLINK("https://ibp.a2mac1.com/costing(costing:projects/details/8191/process/6975441)","Injection molding")</f>
        <v>Injection molding</v>
      </c>
      <c r="C804">
        <v>6975441</v>
      </c>
      <c r="D804">
        <v>5388481</v>
      </c>
      <c r="E804">
        <v>0.60699246899339854</v>
      </c>
      <c r="F804">
        <v>0</v>
      </c>
      <c r="G804">
        <v>0</v>
      </c>
      <c r="H804">
        <v>0.0012516315857330537</v>
      </c>
      <c r="I804" t="s">
        <v>137</v>
      </c>
      <c r="J804">
        <v>0.02126558519449363</v>
      </c>
      <c r="K804">
        <v>0.6295096857736252</v>
      </c>
      <c r="L804">
        <v>0.020742089082442766</v>
      </c>
      <c r="M804">
        <v>0.12445253449465658</v>
      </c>
      <c r="N804">
        <v>0.75396222026828186</v>
      </c>
      <c r="O804" t="s">
        <v>138</v>
      </c>
      <c r="P804">
        <v>0.037770581146417515</v>
      </c>
      <c r="Q804" t="s">
        <v>138</v>
      </c>
      <c r="R804">
        <v>0.0074671520696793954</v>
      </c>
      <c r="S804" t="s">
        <v>139</v>
      </c>
      <c r="T804">
        <v>0.090475466432193813</v>
      </c>
      <c r="U804">
        <v>0.88967541991657251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24.15183</v>
      </c>
      <c r="AB804">
        <v>1</v>
      </c>
      <c r="AC804">
        <v>0.10</v>
      </c>
      <c r="AD804">
        <v>0.20557651238448796</v>
      </c>
      <c r="AE804">
        <v>10800</v>
      </c>
      <c r="AF804">
        <v>200000</v>
      </c>
      <c r="AG804">
        <v>16666.666666666668</v>
      </c>
      <c r="AH804">
        <v>1</v>
      </c>
      <c r="AI804">
        <v>1</v>
      </c>
      <c r="AJ804" t="s">
        <v>136</v>
      </c>
      <c r="AK804" t="s">
        <v>137</v>
      </c>
      <c r="AL804">
        <v>0</v>
      </c>
      <c r="AM804" t="s">
        <v>137</v>
      </c>
      <c r="AN804">
        <v>0</v>
      </c>
    </row>
    <row r="805" spans="1:42" ht="12.75">
      <c r="A805" s="2" t="str">
        <f>HYPERLINK("https://ibp.a2mac1.com/costing(costing:projects/details/8191/process/6975440)","Handling/Visual Inspection/Packaging")</f>
        <v>Handling/Visual Inspection/Packaging</v>
      </c>
      <c r="C805">
        <v>6975440</v>
      </c>
      <c r="D805">
        <v>5388481</v>
      </c>
      <c r="E805">
        <v>0</v>
      </c>
      <c r="F805">
        <v>0</v>
      </c>
      <c r="G805">
        <v>0</v>
      </c>
      <c r="H805">
        <v>0</v>
      </c>
      <c r="I805" t="s">
        <v>137</v>
      </c>
      <c r="J805">
        <v>0</v>
      </c>
      <c r="K805">
        <v>0</v>
      </c>
      <c r="L805">
        <v>0.0086216394843006</v>
      </c>
      <c r="M805">
        <v>0.0517298369058036</v>
      </c>
      <c r="N805">
        <v>0.0517298369058036</v>
      </c>
      <c r="O805" t="s">
        <v>138</v>
      </c>
      <c r="P805">
        <v>0</v>
      </c>
      <c r="Q805" t="s">
        <v>138</v>
      </c>
      <c r="R805">
        <v>0.0031037902143482162</v>
      </c>
      <c r="S805" t="s">
        <v>139</v>
      </c>
      <c r="T805">
        <v>0.0062075804286964324</v>
      </c>
      <c r="U805">
        <v>0.061041207548848252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30</v>
      </c>
      <c r="AB805">
        <v>1</v>
      </c>
      <c r="AC805">
        <v>0.10</v>
      </c>
      <c r="AD805">
        <v>0.10389195236953569</v>
      </c>
      <c r="AE805">
        <v>900</v>
      </c>
      <c r="AF805">
        <v>200000</v>
      </c>
      <c r="AG805">
        <v>16666.666666666668</v>
      </c>
      <c r="AH805">
        <v>1</v>
      </c>
      <c r="AI805">
        <v>1</v>
      </c>
      <c r="AJ805" t="s">
        <v>136</v>
      </c>
      <c r="AK805" t="s">
        <v>137</v>
      </c>
      <c r="AL805">
        <v>0</v>
      </c>
      <c r="AM805" t="s">
        <v>137</v>
      </c>
      <c r="AN805">
        <v>0</v>
      </c>
    </row>
    <row r="806" spans="1:42" ht="12.75">
      <c r="A806" s="2" t="str">
        <f>HYPERLINK("https://ibp.a2mac1.com/costing(costing:projects/details/8191/process/6975443)","Injection molding")</f>
        <v>Injection molding</v>
      </c>
      <c r="C806">
        <v>6975443</v>
      </c>
      <c r="D806">
        <v>5388482</v>
      </c>
      <c r="E806">
        <v>0.60699246899339854</v>
      </c>
      <c r="F806">
        <v>0</v>
      </c>
      <c r="G806">
        <v>0</v>
      </c>
      <c r="H806">
        <v>0.0012516315857330537</v>
      </c>
      <c r="I806" t="s">
        <v>137</v>
      </c>
      <c r="J806">
        <v>0.02126558519449363</v>
      </c>
      <c r="K806">
        <v>0.6295096857736252</v>
      </c>
      <c r="L806">
        <v>0.020742089082442766</v>
      </c>
      <c r="M806">
        <v>0.12445253449465658</v>
      </c>
      <c r="N806">
        <v>0.75396222026828186</v>
      </c>
      <c r="O806" t="s">
        <v>138</v>
      </c>
      <c r="P806">
        <v>0.037770581146417515</v>
      </c>
      <c r="Q806" t="s">
        <v>138</v>
      </c>
      <c r="R806">
        <v>0.0074671520696793954</v>
      </c>
      <c r="S806" t="s">
        <v>139</v>
      </c>
      <c r="T806">
        <v>0.090475466432193813</v>
      </c>
      <c r="U806">
        <v>0.88967541991657251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24.15183</v>
      </c>
      <c r="AB806">
        <v>1</v>
      </c>
      <c r="AC806">
        <v>0.10</v>
      </c>
      <c r="AD806">
        <v>0.20557651238448796</v>
      </c>
      <c r="AE806">
        <v>10800</v>
      </c>
      <c r="AF806">
        <v>200000</v>
      </c>
      <c r="AG806">
        <v>16666.666666666668</v>
      </c>
      <c r="AH806">
        <v>1</v>
      </c>
      <c r="AI806">
        <v>1</v>
      </c>
      <c r="AJ806" t="s">
        <v>136</v>
      </c>
      <c r="AK806" t="s">
        <v>137</v>
      </c>
      <c r="AL806">
        <v>0</v>
      </c>
      <c r="AM806" t="s">
        <v>137</v>
      </c>
      <c r="AN806">
        <v>0</v>
      </c>
    </row>
    <row r="807" spans="1:42" ht="12.75">
      <c r="A807" s="2" t="str">
        <f>HYPERLINK("https://ibp.a2mac1.com/costing(costing:projects/details/8191/process/6975442)","Handling/Visual Inspection/Packaging")</f>
        <v>Handling/Visual Inspection/Packaging</v>
      </c>
      <c r="C807">
        <v>6975442</v>
      </c>
      <c r="D807">
        <v>5388482</v>
      </c>
      <c r="E807">
        <v>0</v>
      </c>
      <c r="F807">
        <v>0</v>
      </c>
      <c r="G807">
        <v>0</v>
      </c>
      <c r="H807">
        <v>0</v>
      </c>
      <c r="I807" t="s">
        <v>137</v>
      </c>
      <c r="J807">
        <v>0</v>
      </c>
      <c r="K807">
        <v>0</v>
      </c>
      <c r="L807">
        <v>0.0086216394843006</v>
      </c>
      <c r="M807">
        <v>0.0517298369058036</v>
      </c>
      <c r="N807">
        <v>0.0517298369058036</v>
      </c>
      <c r="O807" t="s">
        <v>138</v>
      </c>
      <c r="P807">
        <v>0</v>
      </c>
      <c r="Q807" t="s">
        <v>138</v>
      </c>
      <c r="R807">
        <v>0.0031037902143482162</v>
      </c>
      <c r="S807" t="s">
        <v>139</v>
      </c>
      <c r="T807">
        <v>0.0062075804286964324</v>
      </c>
      <c r="U807">
        <v>0.061041207548848252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30</v>
      </c>
      <c r="AB807">
        <v>1</v>
      </c>
      <c r="AC807">
        <v>0.10</v>
      </c>
      <c r="AD807">
        <v>0.10389195236953569</v>
      </c>
      <c r="AE807">
        <v>900</v>
      </c>
      <c r="AF807">
        <v>200000</v>
      </c>
      <c r="AG807">
        <v>16666.666666666668</v>
      </c>
      <c r="AH807">
        <v>1</v>
      </c>
      <c r="AI807">
        <v>1</v>
      </c>
      <c r="AJ807" t="s">
        <v>136</v>
      </c>
      <c r="AK807" t="s">
        <v>137</v>
      </c>
      <c r="AL807">
        <v>0</v>
      </c>
      <c r="AM807" t="s">
        <v>137</v>
      </c>
      <c r="AN807">
        <v>0</v>
      </c>
    </row>
    <row r="808" spans="1:42" ht="12.75">
      <c r="A808" s="2" t="str">
        <f>HYPERLINK("https://ibp.a2mac1.com/costing(costing:projects/details/8191/process/6975681)","Manufacturing Process")</f>
        <v>Manufacturing Process</v>
      </c>
      <c r="C808">
        <v>6975681</v>
      </c>
      <c r="D808">
        <v>5388827</v>
      </c>
      <c r="E808">
        <v>0.064644974999999993</v>
      </c>
      <c r="F808">
        <v>0</v>
      </c>
      <c r="G808">
        <v>0</v>
      </c>
      <c r="H808">
        <v>6.9458962500000001E-05</v>
      </c>
      <c r="I808" t="s">
        <v>137</v>
      </c>
      <c r="J808">
        <v>0.0024069937500000001</v>
      </c>
      <c r="K808">
        <v>0.067121427712500001</v>
      </c>
      <c r="L808">
        <v>0.021555655839053379</v>
      </c>
      <c r="M808">
        <v>0.12933393503432028</v>
      </c>
      <c r="N808">
        <v>0.19645536274682027</v>
      </c>
      <c r="O808" t="s">
        <v>90</v>
      </c>
      <c r="P808">
        <v>0</v>
      </c>
      <c r="Q808" t="s">
        <v>90</v>
      </c>
      <c r="R808">
        <v>0</v>
      </c>
      <c r="S808" t="s">
        <v>90</v>
      </c>
      <c r="T808">
        <v>0</v>
      </c>
      <c r="U808">
        <v>0.19645536274682027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4.22</v>
      </c>
      <c r="AB808">
        <v>1</v>
      </c>
      <c r="AC808">
        <v>0.10</v>
      </c>
      <c r="AD808">
        <v>0.1008980929261446</v>
      </c>
      <c r="AE808">
        <v>5400</v>
      </c>
      <c r="AF808">
        <v>800000</v>
      </c>
      <c r="AG808">
        <v>66666.666666666672</v>
      </c>
      <c r="AH808">
        <v>1</v>
      </c>
      <c r="AI808">
        <v>1</v>
      </c>
      <c r="AJ808" t="s">
        <v>136</v>
      </c>
      <c r="AK808" t="s">
        <v>137</v>
      </c>
      <c r="AL808">
        <v>0</v>
      </c>
      <c r="AM808" t="s">
        <v>137</v>
      </c>
      <c r="AN808">
        <v>0</v>
      </c>
    </row>
    <row r="809" spans="1:42" ht="12.75">
      <c r="A809" s="2" t="str">
        <f>HYPERLINK("https://ibp.a2mac1.com/costing(costing:projects/details/8191/process/6975682)","Manufacturing Process")</f>
        <v>Manufacturing Process</v>
      </c>
      <c r="C809">
        <v>6975682</v>
      </c>
      <c r="D809">
        <v>5388828</v>
      </c>
      <c r="E809">
        <v>0.04309665</v>
      </c>
      <c r="F809">
        <v>0</v>
      </c>
      <c r="G809">
        <v>0</v>
      </c>
      <c r="H809">
        <v>4.6305974999999998E-05</v>
      </c>
      <c r="I809" t="s">
        <v>137</v>
      </c>
      <c r="J809">
        <v>0.0016046624999999999</v>
      </c>
      <c r="K809">
        <v>0.044747618475000001</v>
      </c>
      <c r="L809">
        <v>0.0022950456590890116</v>
      </c>
      <c r="M809">
        <v>0.013770273954534071</v>
      </c>
      <c r="N809">
        <v>0.05851789242953407</v>
      </c>
      <c r="O809" t="s">
        <v>90</v>
      </c>
      <c r="P809">
        <v>0</v>
      </c>
      <c r="Q809" t="s">
        <v>90</v>
      </c>
      <c r="R809">
        <v>0</v>
      </c>
      <c r="S809" t="s">
        <v>90</v>
      </c>
      <c r="T809">
        <v>0</v>
      </c>
      <c r="U809">
        <v>0.05851789242953407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0.36</v>
      </c>
      <c r="AB809">
        <v>1</v>
      </c>
      <c r="AC809">
        <v>0.10</v>
      </c>
      <c r="AD809">
        <v>0.1008980929261446</v>
      </c>
      <c r="AE809">
        <v>5400</v>
      </c>
      <c r="AF809">
        <v>800000</v>
      </c>
      <c r="AG809">
        <v>66666.666666666672</v>
      </c>
      <c r="AH809">
        <v>1</v>
      </c>
      <c r="AI809">
        <v>1</v>
      </c>
      <c r="AJ809" t="s">
        <v>136</v>
      </c>
      <c r="AK809" t="s">
        <v>137</v>
      </c>
      <c r="AL809">
        <v>0</v>
      </c>
      <c r="AM809" t="s">
        <v>137</v>
      </c>
      <c r="AN809">
        <v>0</v>
      </c>
    </row>
    <row r="810" spans="1:42" ht="12.75">
      <c r="A810" s="2" t="str">
        <f>HYPERLINK("https://ibp.a2mac1.com/costing(costing:projects/details/8191/process/6975444)","Seal Extrusion (Multi Layer)")</f>
        <v>Seal Extrusion (Multi Layer)</v>
      </c>
      <c r="B810" t="s">
        <v>4822</v>
      </c>
      <c r="C810">
        <v>6975444</v>
      </c>
      <c r="D810">
        <v>5388488</v>
      </c>
      <c r="E810">
        <v>2.9490839953684209</v>
      </c>
      <c r="F810">
        <v>0</v>
      </c>
      <c r="G810">
        <v>0</v>
      </c>
      <c r="H810">
        <v>0.0060943089006315785</v>
      </c>
      <c r="I810" t="s">
        <v>137</v>
      </c>
      <c r="J810">
        <v>0.10354408326315789</v>
      </c>
      <c r="K810">
        <v>3.0587223875322107</v>
      </c>
      <c r="L810">
        <v>0.037001546639062834</v>
      </c>
      <c r="M810">
        <v>0.22200927983437699</v>
      </c>
      <c r="N810">
        <v>3.2807316673665876</v>
      </c>
      <c r="O810" t="s">
        <v>138</v>
      </c>
      <c r="P810">
        <v>0.18352334325193262</v>
      </c>
      <c r="Q810" t="s">
        <v>138</v>
      </c>
      <c r="R810">
        <v>0.01332055679006262</v>
      </c>
      <c r="S810" t="s">
        <v>139</v>
      </c>
      <c r="T810">
        <v>0.39368780008399051</v>
      </c>
      <c r="U810">
        <v>3.8712633674925732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15</v>
      </c>
      <c r="AB810">
        <v>1</v>
      </c>
      <c r="AC810">
        <v>0.10</v>
      </c>
      <c r="AD810">
        <v>0.20557651238448796</v>
      </c>
      <c r="AE810">
        <v>1800</v>
      </c>
      <c r="AF810">
        <v>200000</v>
      </c>
      <c r="AG810">
        <v>16666.666666666668</v>
      </c>
      <c r="AH810">
        <v>1</v>
      </c>
      <c r="AI810">
        <v>1</v>
      </c>
      <c r="AJ810" t="s">
        <v>136</v>
      </c>
      <c r="AK810" t="s">
        <v>137</v>
      </c>
      <c r="AL810">
        <v>0</v>
      </c>
      <c r="AM810" t="s">
        <v>137</v>
      </c>
      <c r="AN810">
        <v>0</v>
      </c>
    </row>
    <row r="811" spans="1:42" ht="12.75">
      <c r="A811" s="2" t="str">
        <f>HYPERLINK("https://ibp.a2mac1.com/costing(costing:projects/details/8191/process/6975445)","End Glueing/Vulcanizing, Check and Pack")</f>
        <v>End Glueing/Vulcanizing, Check and Pack</v>
      </c>
      <c r="C811">
        <v>6975445</v>
      </c>
      <c r="D811">
        <v>5388488</v>
      </c>
      <c r="E811">
        <v>0</v>
      </c>
      <c r="F811">
        <v>0</v>
      </c>
      <c r="G811">
        <v>0</v>
      </c>
      <c r="H811">
        <v>0</v>
      </c>
      <c r="I811" t="s">
        <v>137</v>
      </c>
      <c r="J811">
        <v>0</v>
      </c>
      <c r="K811">
        <v>0</v>
      </c>
      <c r="L811">
        <v>0.015680387065327164</v>
      </c>
      <c r="M811">
        <v>0.094082322391962986</v>
      </c>
      <c r="N811">
        <v>0.094082322391962986</v>
      </c>
      <c r="O811" t="s">
        <v>138</v>
      </c>
      <c r="P811">
        <v>0</v>
      </c>
      <c r="Q811" t="s">
        <v>138</v>
      </c>
      <c r="R811">
        <v>0.0056449393435177792</v>
      </c>
      <c r="S811" t="s">
        <v>139</v>
      </c>
      <c r="T811">
        <v>0.011289878687035558</v>
      </c>
      <c r="U811">
        <v>0.11101714042251631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30</v>
      </c>
      <c r="AB811">
        <v>1</v>
      </c>
      <c r="AC811">
        <v>0.10</v>
      </c>
      <c r="AD811">
        <v>0.10389195236953569</v>
      </c>
      <c r="AE811">
        <v>600</v>
      </c>
      <c r="AF811">
        <v>200000</v>
      </c>
      <c r="AG811">
        <v>16666.666666666668</v>
      </c>
      <c r="AH811">
        <v>1</v>
      </c>
      <c r="AI811">
        <v>1</v>
      </c>
      <c r="AJ811" t="s">
        <v>136</v>
      </c>
      <c r="AK811" t="s">
        <v>137</v>
      </c>
      <c r="AL811">
        <v>0</v>
      </c>
      <c r="AM811" t="s">
        <v>137</v>
      </c>
      <c r="AN811">
        <v>0</v>
      </c>
    </row>
    <row r="812" spans="1:42" ht="12.75">
      <c r="A812" s="2" t="str">
        <f>HYPERLINK("https://ibp.a2mac1.com/costing(costing:projects/details/8191/process/6975446)","Seal Extrusion (Multi Layer)")</f>
        <v>Seal Extrusion (Multi Layer)</v>
      </c>
      <c r="B812" t="s">
        <v>4822</v>
      </c>
      <c r="C812">
        <v>6975446</v>
      </c>
      <c r="D812">
        <v>5388489</v>
      </c>
      <c r="E812">
        <v>0.26044608450000001</v>
      </c>
      <c r="F812">
        <v>0</v>
      </c>
      <c r="G812">
        <v>0</v>
      </c>
      <c r="H812">
        <v>0.00027154278484210526</v>
      </c>
      <c r="I812" t="s">
        <v>137</v>
      </c>
      <c r="J812">
        <v>0.0091384591052631574</v>
      </c>
      <c r="K812">
        <v>0.26985608639010528</v>
      </c>
      <c r="L812">
        <v>0.03696388264930988</v>
      </c>
      <c r="M812">
        <v>0.22178329589585927</v>
      </c>
      <c r="N812">
        <v>0.49163938228596454</v>
      </c>
      <c r="O812" t="s">
        <v>138</v>
      </c>
      <c r="P812">
        <v>0.016191365183406317</v>
      </c>
      <c r="Q812" t="s">
        <v>138</v>
      </c>
      <c r="R812">
        <v>0.013306997753751557</v>
      </c>
      <c r="S812" t="s">
        <v>139</v>
      </c>
      <c r="T812">
        <v>0.058996725874315745</v>
      </c>
      <c r="U812">
        <v>0.58013447109743821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15</v>
      </c>
      <c r="AB812">
        <v>1</v>
      </c>
      <c r="AC812">
        <v>0.10</v>
      </c>
      <c r="AD812">
        <v>0.10389195236953569</v>
      </c>
      <c r="AE812">
        <v>1800</v>
      </c>
      <c r="AF812">
        <v>200000</v>
      </c>
      <c r="AG812">
        <v>16666.666666666668</v>
      </c>
      <c r="AH812">
        <v>1</v>
      </c>
      <c r="AI812">
        <v>1</v>
      </c>
      <c r="AJ812" t="s">
        <v>136</v>
      </c>
      <c r="AK812" t="s">
        <v>137</v>
      </c>
      <c r="AL812">
        <v>0</v>
      </c>
      <c r="AM812" t="s">
        <v>137</v>
      </c>
      <c r="AN812">
        <v>0</v>
      </c>
    </row>
    <row r="813" spans="1:42" ht="12.75">
      <c r="A813" s="2" t="str">
        <f>HYPERLINK("https://ibp.a2mac1.com/costing(costing:projects/details/8191/process/6975447)","Seal Extrusion (Multi Layer)")</f>
        <v>Seal Extrusion (Multi Layer)</v>
      </c>
      <c r="B813" t="s">
        <v>4822</v>
      </c>
      <c r="C813">
        <v>6975447</v>
      </c>
      <c r="D813">
        <v>5388490</v>
      </c>
      <c r="E813">
        <v>0.011705442</v>
      </c>
      <c r="F813">
        <v>0</v>
      </c>
      <c r="G813">
        <v>0</v>
      </c>
      <c r="H813">
        <v>1.1852126736842105E-05</v>
      </c>
      <c r="I813" t="s">
        <v>137</v>
      </c>
      <c r="J813">
        <v>0.00041071726315789473</v>
      </c>
      <c r="K813">
        <v>0.012128011389894737</v>
      </c>
      <c r="L813">
        <v>0.036817847511648766</v>
      </c>
      <c r="M813">
        <v>0.22090708506989262</v>
      </c>
      <c r="N813">
        <v>0.23303509645978734</v>
      </c>
      <c r="O813" t="s">
        <v>138</v>
      </c>
      <c r="P813">
        <v>0.00072768068339368417</v>
      </c>
      <c r="Q813" t="s">
        <v>138</v>
      </c>
      <c r="R813">
        <v>0.013254425104193557</v>
      </c>
      <c r="S813" t="s">
        <v>139</v>
      </c>
      <c r="T813">
        <v>0.02796421157517448</v>
      </c>
      <c r="U813">
        <v>0.27498141382254909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15</v>
      </c>
      <c r="AB813">
        <v>1</v>
      </c>
      <c r="AC813">
        <v>0.10</v>
      </c>
      <c r="AD813">
        <v>0.1008980929261446</v>
      </c>
      <c r="AE813">
        <v>1800</v>
      </c>
      <c r="AF813">
        <v>400000</v>
      </c>
      <c r="AG813">
        <v>33333.333333333336</v>
      </c>
      <c r="AH813">
        <v>1</v>
      </c>
      <c r="AI813">
        <v>1</v>
      </c>
      <c r="AJ813" t="s">
        <v>136</v>
      </c>
      <c r="AK813" t="s">
        <v>137</v>
      </c>
      <c r="AL813">
        <v>0</v>
      </c>
      <c r="AM813" t="s">
        <v>137</v>
      </c>
      <c r="AN813">
        <v>0</v>
      </c>
    </row>
    <row r="814" spans="1:42" ht="12.75">
      <c r="A814" s="2" t="str">
        <f>HYPERLINK("https://ibp.a2mac1.com/costing(costing:projects/details/8191/process/6975448)","Injection molding")</f>
        <v>Injection molding</v>
      </c>
      <c r="C814">
        <v>6975448</v>
      </c>
      <c r="D814">
        <v>5388494</v>
      </c>
      <c r="E814">
        <v>0.026350426909195507</v>
      </c>
      <c r="F814">
        <v>0</v>
      </c>
      <c r="G814">
        <v>0</v>
      </c>
      <c r="H814">
        <v>5.433514961362394E-05</v>
      </c>
      <c r="I814" t="s">
        <v>137</v>
      </c>
      <c r="J814">
        <v>0.00092317001770720285</v>
      </c>
      <c r="K814">
        <v>0.027327932076516331</v>
      </c>
      <c r="L814">
        <v>0.0039057959122494827</v>
      </c>
      <c r="M814">
        <v>0.023434775473496896</v>
      </c>
      <c r="N814">
        <v>0.050762707550013227</v>
      </c>
      <c r="O814" t="s">
        <v>138</v>
      </c>
      <c r="P814">
        <v>0.0016396759245909799</v>
      </c>
      <c r="Q814" t="s">
        <v>138</v>
      </c>
      <c r="R814">
        <v>0.0014060865284098137</v>
      </c>
      <c r="S814" t="s">
        <v>139</v>
      </c>
      <c r="T814">
        <v>0.0060915249060015872</v>
      </c>
      <c r="U814">
        <v>0.059899994909015611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10.512930000000001</v>
      </c>
      <c r="AB814">
        <v>1</v>
      </c>
      <c r="AC814">
        <v>0.10</v>
      </c>
      <c r="AD814">
        <v>0.20557651238448796</v>
      </c>
      <c r="AE814">
        <v>7200</v>
      </c>
      <c r="AF814">
        <v>200000</v>
      </c>
      <c r="AG814">
        <v>16666.666666666668</v>
      </c>
      <c r="AH814">
        <v>1</v>
      </c>
      <c r="AI814">
        <v>1</v>
      </c>
      <c r="AJ814" t="s">
        <v>136</v>
      </c>
      <c r="AK814" t="s">
        <v>137</v>
      </c>
      <c r="AL814">
        <v>0</v>
      </c>
      <c r="AM814" t="s">
        <v>137</v>
      </c>
      <c r="AN814">
        <v>0</v>
      </c>
    </row>
    <row r="815" spans="1:42" ht="12.75">
      <c r="A815" s="2" t="str">
        <f>HYPERLINK("https://ibp.a2mac1.com/costing(costing:projects/details/8191/process/6975449)","Handling/Visual Inspection/Packaging")</f>
        <v>Handling/Visual Inspection/Packaging</v>
      </c>
      <c r="C815">
        <v>6975449</v>
      </c>
      <c r="D815">
        <v>5388494</v>
      </c>
      <c r="E815">
        <v>0</v>
      </c>
      <c r="F815">
        <v>0</v>
      </c>
      <c r="G815">
        <v>0</v>
      </c>
      <c r="H815">
        <v>0</v>
      </c>
      <c r="I815" t="s">
        <v>137</v>
      </c>
      <c r="J815">
        <v>0</v>
      </c>
      <c r="K815">
        <v>0</v>
      </c>
      <c r="L815">
        <v>0.0086216394843006</v>
      </c>
      <c r="M815">
        <v>0.0517298369058036</v>
      </c>
      <c r="N815">
        <v>0.0517298369058036</v>
      </c>
      <c r="O815" t="s">
        <v>138</v>
      </c>
      <c r="P815">
        <v>0</v>
      </c>
      <c r="Q815" t="s">
        <v>138</v>
      </c>
      <c r="R815">
        <v>0.0031037902143482162</v>
      </c>
      <c r="S815" t="s">
        <v>139</v>
      </c>
      <c r="T815">
        <v>0.0062075804286964324</v>
      </c>
      <c r="U815">
        <v>0.061041207548848252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30</v>
      </c>
      <c r="AB815">
        <v>1</v>
      </c>
      <c r="AC815">
        <v>0.10</v>
      </c>
      <c r="AD815">
        <v>0.10389195236953569</v>
      </c>
      <c r="AE815">
        <v>900</v>
      </c>
      <c r="AF815">
        <v>200000</v>
      </c>
      <c r="AG815">
        <v>16666.666666666668</v>
      </c>
      <c r="AH815">
        <v>1</v>
      </c>
      <c r="AI815">
        <v>1</v>
      </c>
      <c r="AJ815" t="s">
        <v>136</v>
      </c>
      <c r="AK815" t="s">
        <v>137</v>
      </c>
      <c r="AL815">
        <v>0</v>
      </c>
      <c r="AM815" t="s">
        <v>137</v>
      </c>
      <c r="AN815">
        <v>0</v>
      </c>
    </row>
    <row r="816" spans="1:42" ht="12.75">
      <c r="A816" s="2" t="str">
        <f>HYPERLINK("https://ibp.a2mac1.com/costing(costing:projects/details/8191/process/6975683)","Injection molding")</f>
        <v>Injection molding</v>
      </c>
      <c r="B816" t="s">
        <v>4715</v>
      </c>
      <c r="C816">
        <v>6975683</v>
      </c>
      <c r="D816">
        <v>5388830</v>
      </c>
      <c r="E816">
        <v>0.36314980000000002</v>
      </c>
      <c r="F816">
        <v>0</v>
      </c>
      <c r="G816">
        <v>0</v>
      </c>
      <c r="H816">
        <v>0.0018655207999999999</v>
      </c>
      <c r="I816" t="s">
        <v>137</v>
      </c>
      <c r="J816">
        <v>0.0129038</v>
      </c>
      <c r="K816">
        <v>0.37791912080000001</v>
      </c>
      <c r="L816">
        <v>0.0020330925785092126</v>
      </c>
      <c r="M816">
        <v>0.012198555471055276</v>
      </c>
      <c r="N816">
        <v>0.39011767627105526</v>
      </c>
      <c r="O816" t="s">
        <v>138</v>
      </c>
      <c r="P816">
        <v>0.022675147247999999</v>
      </c>
      <c r="Q816" t="s">
        <v>138</v>
      </c>
      <c r="R816">
        <v>0.00073191332826331654</v>
      </c>
      <c r="S816" t="s">
        <v>139</v>
      </c>
      <c r="T816">
        <v>0.04681412115252663</v>
      </c>
      <c r="U816">
        <v>0.46033885799984525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20</v>
      </c>
      <c r="AB816">
        <v>1</v>
      </c>
      <c r="AC816">
        <v>0.50</v>
      </c>
      <c r="AD816">
        <v>0.50345253019720215</v>
      </c>
      <c r="AE816">
        <v>351</v>
      </c>
      <c r="AF816">
        <v>200000</v>
      </c>
      <c r="AG816">
        <v>16666.666666666668</v>
      </c>
      <c r="AH816">
        <v>1</v>
      </c>
      <c r="AI816">
        <v>1</v>
      </c>
      <c r="AJ816" t="s">
        <v>136</v>
      </c>
      <c r="AK816" t="s">
        <v>137</v>
      </c>
      <c r="AL816">
        <v>0</v>
      </c>
      <c r="AM816" t="s">
        <v>137</v>
      </c>
      <c r="AN816">
        <v>0</v>
      </c>
    </row>
    <row r="817" spans="1:42" ht="12.75">
      <c r="A817" s="2" t="str">
        <f>HYPERLINK("https://ibp.a2mac1.com/costing(costing:projects/details/8191/process/6975684)","Injection molding")</f>
        <v>Injection molding</v>
      </c>
      <c r="B817" t="s">
        <v>4715</v>
      </c>
      <c r="C817">
        <v>6975684</v>
      </c>
      <c r="D817">
        <v>5388833</v>
      </c>
      <c r="E817">
        <v>0.049652884210526313</v>
      </c>
      <c r="F817">
        <v>0</v>
      </c>
      <c r="G817">
        <v>0</v>
      </c>
      <c r="H817">
        <v>0.00025124359410526315</v>
      </c>
      <c r="I817" t="s">
        <v>137</v>
      </c>
      <c r="J817">
        <v>0.0017378509473684211</v>
      </c>
      <c r="K817">
        <v>0.051641978752000002</v>
      </c>
      <c r="L817">
        <v>0.00026822177960753773</v>
      </c>
      <c r="M817">
        <v>0.0016093306776452264</v>
      </c>
      <c r="N817">
        <v>0.053251309429645226</v>
      </c>
      <c r="O817" t="s">
        <v>138</v>
      </c>
      <c r="P817">
        <v>0.0030985187251199998</v>
      </c>
      <c r="Q817" t="s">
        <v>138</v>
      </c>
      <c r="R817">
        <v>9.6559840658713589E-05</v>
      </c>
      <c r="S817" t="s">
        <v>139</v>
      </c>
      <c r="T817">
        <v>0.0063901571315574269</v>
      </c>
      <c r="U817">
        <v>0.062836545126981364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30</v>
      </c>
      <c r="AB817">
        <v>1</v>
      </c>
      <c r="AC817">
        <v>0.50</v>
      </c>
      <c r="AD817">
        <v>0.50345253019720215</v>
      </c>
      <c r="AE817">
        <v>31.05</v>
      </c>
      <c r="AF817">
        <v>200000</v>
      </c>
      <c r="AG817">
        <v>16666.666666666668</v>
      </c>
      <c r="AH817">
        <v>1</v>
      </c>
      <c r="AI817">
        <v>1</v>
      </c>
      <c r="AJ817" t="s">
        <v>136</v>
      </c>
      <c r="AK817" t="s">
        <v>137</v>
      </c>
      <c r="AL817">
        <v>0</v>
      </c>
      <c r="AM817" t="s">
        <v>137</v>
      </c>
      <c r="AN817">
        <v>0</v>
      </c>
    </row>
    <row r="818" spans="1:42" ht="12.75">
      <c r="A818" s="2" t="str">
        <f>HYPERLINK("https://ibp.a2mac1.com/costing(costing:projects/details/8191/process/6975685)","Injection molding")</f>
        <v>Injection molding</v>
      </c>
      <c r="B818" t="s">
        <v>4715</v>
      </c>
      <c r="C818">
        <v>6975685</v>
      </c>
      <c r="D818">
        <v>5388835</v>
      </c>
      <c r="E818">
        <v>0.5647875765</v>
      </c>
      <c r="F818">
        <v>0</v>
      </c>
      <c r="G818">
        <v>0</v>
      </c>
      <c r="H818">
        <v>0.002864987606105263</v>
      </c>
      <c r="I818" t="s">
        <v>137</v>
      </c>
      <c r="J818">
        <v>0.01981710794736842</v>
      </c>
      <c r="K818">
        <v>0.58746967205347367</v>
      </c>
      <c r="L818">
        <v>0.0022516922383928333</v>
      </c>
      <c r="M818">
        <v>0.013510153430357</v>
      </c>
      <c r="N818">
        <v>0.60097982548383067</v>
      </c>
      <c r="O818" t="s">
        <v>138</v>
      </c>
      <c r="P818">
        <v>0.035248180323208422</v>
      </c>
      <c r="Q818" t="s">
        <v>138</v>
      </c>
      <c r="R818">
        <v>0.00081060920582142002</v>
      </c>
      <c r="S818" t="s">
        <v>139</v>
      </c>
      <c r="T818">
        <v>0.072117579058059683</v>
      </c>
      <c r="U818">
        <v>0.70915619407092023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30</v>
      </c>
      <c r="AB818">
        <v>1</v>
      </c>
      <c r="AC818">
        <v>0.50</v>
      </c>
      <c r="AD818">
        <v>0.50345253019720215</v>
      </c>
      <c r="AE818">
        <v>260.55</v>
      </c>
      <c r="AF818">
        <v>200000</v>
      </c>
      <c r="AG818">
        <v>16666.666666666668</v>
      </c>
      <c r="AH818">
        <v>1</v>
      </c>
      <c r="AI818">
        <v>1</v>
      </c>
      <c r="AJ818" t="s">
        <v>136</v>
      </c>
      <c r="AK818" t="s">
        <v>137</v>
      </c>
      <c r="AL818">
        <v>0</v>
      </c>
      <c r="AM818" t="s">
        <v>137</v>
      </c>
      <c r="AN818">
        <v>0</v>
      </c>
    </row>
    <row r="819" spans="1:42" ht="12.75">
      <c r="A819" s="2" t="str">
        <f>HYPERLINK("https://ibp.a2mac1.com/costing(costing:projects/details/8191/process/6975687)","Injection molding")</f>
        <v>Injection molding</v>
      </c>
      <c r="C819">
        <v>6975687</v>
      </c>
      <c r="D819">
        <v>5388837</v>
      </c>
      <c r="E819">
        <v>0.13458204063654539</v>
      </c>
      <c r="F819">
        <v>0</v>
      </c>
      <c r="G819">
        <v>0</v>
      </c>
      <c r="H819">
        <v>0.0002775110755697721</v>
      </c>
      <c r="I819" t="s">
        <v>137</v>
      </c>
      <c r="J819">
        <v>0.0047149940023990403</v>
      </c>
      <c r="K819">
        <v>0.13957454571451419</v>
      </c>
      <c r="L819">
        <v>0.0072111695868926897</v>
      </c>
      <c r="M819">
        <v>0.043267017521356137</v>
      </c>
      <c r="N819">
        <v>0.18284156323587034</v>
      </c>
      <c r="O819" t="s">
        <v>138</v>
      </c>
      <c r="P819">
        <v>0.0083744727428708525</v>
      </c>
      <c r="Q819" t="s">
        <v>138</v>
      </c>
      <c r="R819">
        <v>0.0025960210512813685</v>
      </c>
      <c r="S819" t="s">
        <v>139</v>
      </c>
      <c r="T819">
        <v>0.021940987588304438</v>
      </c>
      <c r="U819">
        <v>0.21575304461832701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17.980869999999999</v>
      </c>
      <c r="AB819">
        <v>1</v>
      </c>
      <c r="AC819">
        <v>0.10</v>
      </c>
      <c r="AD819">
        <v>0.20557651238448796</v>
      </c>
      <c r="AE819">
        <v>7200</v>
      </c>
      <c r="AF819">
        <v>200000</v>
      </c>
      <c r="AG819">
        <v>16666.666666666668</v>
      </c>
      <c r="AH819">
        <v>1</v>
      </c>
      <c r="AI819">
        <v>1</v>
      </c>
      <c r="AJ819" t="s">
        <v>136</v>
      </c>
      <c r="AK819" t="s">
        <v>137</v>
      </c>
      <c r="AL819">
        <v>0</v>
      </c>
      <c r="AM819" t="s">
        <v>137</v>
      </c>
      <c r="AN819">
        <v>0</v>
      </c>
    </row>
    <row r="820" spans="1:42" ht="12.75">
      <c r="A820" s="2" t="str">
        <f>HYPERLINK("https://ibp.a2mac1.com/costing(costing:projects/details/8191/process/6975686)","Handling/Visual Inspection/Packaging")</f>
        <v>Handling/Visual Inspection/Packaging</v>
      </c>
      <c r="C820">
        <v>6975686</v>
      </c>
      <c r="D820">
        <v>5388837</v>
      </c>
      <c r="E820">
        <v>0</v>
      </c>
      <c r="F820">
        <v>0</v>
      </c>
      <c r="G820">
        <v>0</v>
      </c>
      <c r="H820">
        <v>0</v>
      </c>
      <c r="I820" t="s">
        <v>137</v>
      </c>
      <c r="J820">
        <v>0</v>
      </c>
      <c r="K820">
        <v>0</v>
      </c>
      <c r="L820">
        <v>0.0086216394843006</v>
      </c>
      <c r="M820">
        <v>0.0517298369058036</v>
      </c>
      <c r="N820">
        <v>0.0517298369058036</v>
      </c>
      <c r="O820" t="s">
        <v>138</v>
      </c>
      <c r="P820">
        <v>0</v>
      </c>
      <c r="Q820" t="s">
        <v>138</v>
      </c>
      <c r="R820">
        <v>0.0031037902143482162</v>
      </c>
      <c r="S820" t="s">
        <v>139</v>
      </c>
      <c r="T820">
        <v>0.0062075804286964324</v>
      </c>
      <c r="U820">
        <v>0.061041207548848252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30</v>
      </c>
      <c r="AB820">
        <v>1</v>
      </c>
      <c r="AC820">
        <v>0.10</v>
      </c>
      <c r="AD820">
        <v>0.10389195236953569</v>
      </c>
      <c r="AE820">
        <v>900</v>
      </c>
      <c r="AF820">
        <v>200000</v>
      </c>
      <c r="AG820">
        <v>16666.666666666668</v>
      </c>
      <c r="AH820">
        <v>1</v>
      </c>
      <c r="AI820">
        <v>1</v>
      </c>
      <c r="AJ820" t="s">
        <v>136</v>
      </c>
      <c r="AK820" t="s">
        <v>137</v>
      </c>
      <c r="AL820">
        <v>0</v>
      </c>
      <c r="AM820" t="s">
        <v>137</v>
      </c>
      <c r="AN820">
        <v>0</v>
      </c>
    </row>
    <row r="821" spans="1:42" ht="12.75">
      <c r="A821" s="2" t="str">
        <f>HYPERLINK("https://ibp.a2mac1.com/costing(costing:projects/details/8191/process/6975450)","Stamping ")</f>
        <v xml:space="preserve">Stamping </v>
      </c>
      <c r="C821">
        <v>6975450</v>
      </c>
      <c r="D821">
        <v>5388504</v>
      </c>
      <c r="E821">
        <v>0.26312389666666669</v>
      </c>
      <c r="F821">
        <v>0</v>
      </c>
      <c r="G821">
        <v>0</v>
      </c>
      <c r="H821">
        <v>0.0014308250813333332</v>
      </c>
      <c r="I821" t="s">
        <v>137</v>
      </c>
      <c r="J821">
        <v>0.009956039333333333</v>
      </c>
      <c r="K821">
        <v>0.27451076108133332</v>
      </c>
      <c r="L821">
        <v>0.00024168202918395539</v>
      </c>
      <c r="M821">
        <v>0.0014500921751037323</v>
      </c>
      <c r="N821">
        <v>0.27596085325643704</v>
      </c>
      <c r="O821" t="s">
        <v>138</v>
      </c>
      <c r="P821">
        <v>0.016470645664880001</v>
      </c>
      <c r="Q821" t="s">
        <v>138</v>
      </c>
      <c r="R821">
        <v>8.700553050622395E-05</v>
      </c>
      <c r="S821" t="s">
        <v>139</v>
      </c>
      <c r="T821">
        <v>0.033115302390772448</v>
      </c>
      <c r="U821">
        <v>0.32563380684259574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15</v>
      </c>
      <c r="AB821">
        <v>1</v>
      </c>
      <c r="AC821">
        <v>0.50</v>
      </c>
      <c r="AD821">
        <v>0.50048257265952256</v>
      </c>
      <c r="AE821">
        <v>1800</v>
      </c>
      <c r="AF821">
        <v>400000</v>
      </c>
      <c r="AG821">
        <v>33333.333333333336</v>
      </c>
      <c r="AH821">
        <v>1</v>
      </c>
      <c r="AI821">
        <v>1</v>
      </c>
      <c r="AJ821" t="s">
        <v>136</v>
      </c>
      <c r="AK821" t="s">
        <v>137</v>
      </c>
      <c r="AL821">
        <v>0</v>
      </c>
      <c r="AM821" t="s">
        <v>137</v>
      </c>
      <c r="AN821">
        <v>0</v>
      </c>
    </row>
    <row r="822" spans="1:42" ht="12.75">
      <c r="A822" s="2" t="str">
        <f>HYPERLINK("https://ibp.a2mac1.com/costing(costing:projects/details/8191/process/6975451)","Injection molding")</f>
        <v>Injection molding</v>
      </c>
      <c r="B822" t="s">
        <v>4715</v>
      </c>
      <c r="C822">
        <v>6975451</v>
      </c>
      <c r="D822">
        <v>5388507</v>
      </c>
      <c r="E822">
        <v>0.011705442</v>
      </c>
      <c r="F822">
        <v>0</v>
      </c>
      <c r="G822">
        <v>0</v>
      </c>
      <c r="H822">
        <v>5.902593810526316E-05</v>
      </c>
      <c r="I822" t="s">
        <v>137</v>
      </c>
      <c r="J822">
        <v>0.00041071726315789473</v>
      </c>
      <c r="K822">
        <v>0.012175185201263159</v>
      </c>
      <c r="L822">
        <v>0.00018521031765673295</v>
      </c>
      <c r="M822">
        <v>0.0011112619059403977</v>
      </c>
      <c r="N822">
        <v>0.013286447107203555</v>
      </c>
      <c r="O822" t="s">
        <v>138</v>
      </c>
      <c r="P822">
        <v>0.0007305111120757895</v>
      </c>
      <c r="Q822" t="s">
        <v>138</v>
      </c>
      <c r="R822">
        <v>6.6675714356423862E-05</v>
      </c>
      <c r="S822" t="s">
        <v>139</v>
      </c>
      <c r="T822">
        <v>0.0015943736528644266</v>
      </c>
      <c r="U822">
        <v>0.015678007586500196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60</v>
      </c>
      <c r="AB822">
        <v>1</v>
      </c>
      <c r="AC822">
        <v>0.50</v>
      </c>
      <c r="AD822">
        <v>0.50048257265952256</v>
      </c>
      <c r="AE822">
        <v>10.80</v>
      </c>
      <c r="AF822">
        <v>400000</v>
      </c>
      <c r="AG822">
        <v>33333.333333333336</v>
      </c>
      <c r="AH822">
        <v>1</v>
      </c>
      <c r="AI822">
        <v>1</v>
      </c>
      <c r="AJ822" t="s">
        <v>136</v>
      </c>
      <c r="AK822" t="s">
        <v>137</v>
      </c>
      <c r="AL822">
        <v>0</v>
      </c>
      <c r="AM822" t="s">
        <v>137</v>
      </c>
      <c r="AN822">
        <v>0</v>
      </c>
    </row>
    <row r="823" spans="1:42" ht="12.75">
      <c r="A823" s="2" t="str">
        <f>HYPERLINK("https://ibp.a2mac1.com/costing(costing:projects/details/8191/process/6975452)","Injection molding")</f>
        <v>Injection molding</v>
      </c>
      <c r="B823" t="s">
        <v>4715</v>
      </c>
      <c r="C823">
        <v>6975452</v>
      </c>
      <c r="D823">
        <v>5388508</v>
      </c>
      <c r="E823">
        <v>0.033356964374999999</v>
      </c>
      <c r="F823">
        <v>0</v>
      </c>
      <c r="G823">
        <v>0</v>
      </c>
      <c r="H823">
        <v>0.00016820604592105264</v>
      </c>
      <c r="I823" t="s">
        <v>137</v>
      </c>
      <c r="J823">
        <v>0.0011704198026315791</v>
      </c>
      <c r="K823">
        <v>0.034695590223552633</v>
      </c>
      <c r="L823">
        <v>0.00081030001234916869</v>
      </c>
      <c r="M823">
        <v>0.0048618000740950117</v>
      </c>
      <c r="N823">
        <v>0.03955739029764764</v>
      </c>
      <c r="O823" t="s">
        <v>138</v>
      </c>
      <c r="P823">
        <v>0.0020817354134131578</v>
      </c>
      <c r="Q823" t="s">
        <v>138</v>
      </c>
      <c r="R823">
        <v>0.0002917080044457007</v>
      </c>
      <c r="S823" t="s">
        <v>139</v>
      </c>
      <c r="T823">
        <v>0.0047468868357177169</v>
      </c>
      <c r="U823">
        <v>0.046677720551224218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60</v>
      </c>
      <c r="AB823">
        <v>1</v>
      </c>
      <c r="AC823">
        <v>0.50</v>
      </c>
      <c r="AD823">
        <v>0.50048257265952256</v>
      </c>
      <c r="AE823">
        <v>47.25</v>
      </c>
      <c r="AF823">
        <v>400000</v>
      </c>
      <c r="AG823">
        <v>33333.333333333336</v>
      </c>
      <c r="AH823">
        <v>1</v>
      </c>
      <c r="AI823">
        <v>1</v>
      </c>
      <c r="AJ823" t="s">
        <v>136</v>
      </c>
      <c r="AK823" t="s">
        <v>137</v>
      </c>
      <c r="AL823">
        <v>0</v>
      </c>
      <c r="AM823" t="s">
        <v>137</v>
      </c>
      <c r="AN823">
        <v>0</v>
      </c>
    </row>
    <row r="824" spans="1:42" ht="12.75">
      <c r="A824" s="2" t="str">
        <f>HYPERLINK("https://ibp.a2mac1.com/costing(costing:projects/details/8191/process/6975453)","Injection molding")</f>
        <v>Injection molding</v>
      </c>
      <c r="B824" t="s">
        <v>4715</v>
      </c>
      <c r="C824">
        <v>6975453</v>
      </c>
      <c r="D824">
        <v>5388509</v>
      </c>
      <c r="E824">
        <v>0.045358587749999998</v>
      </c>
      <c r="F824">
        <v>0</v>
      </c>
      <c r="G824">
        <v>0</v>
      </c>
      <c r="H824">
        <v>0.00022872551015789473</v>
      </c>
      <c r="I824" t="s">
        <v>137</v>
      </c>
      <c r="J824">
        <v>0.0015915293947368421</v>
      </c>
      <c r="K824">
        <v>0.047178842654894734</v>
      </c>
      <c r="L824">
        <v>0.00071770042953483548</v>
      </c>
      <c r="M824">
        <v>0.0043062025772090127</v>
      </c>
      <c r="N824">
        <v>0.051485045232103753</v>
      </c>
      <c r="O824" t="s">
        <v>138</v>
      </c>
      <c r="P824">
        <v>0.0028307305592936843</v>
      </c>
      <c r="Q824" t="s">
        <v>138</v>
      </c>
      <c r="R824">
        <v>0.00025837215463254075</v>
      </c>
      <c r="S824" t="s">
        <v>139</v>
      </c>
      <c r="T824">
        <v>0.0061782054278524496</v>
      </c>
      <c r="U824">
        <v>0.060752353373882427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60</v>
      </c>
      <c r="AB824">
        <v>1</v>
      </c>
      <c r="AC824">
        <v>0.50</v>
      </c>
      <c r="AD824">
        <v>0.50048257265952256</v>
      </c>
      <c r="AE824">
        <v>41.85</v>
      </c>
      <c r="AF824">
        <v>400000</v>
      </c>
      <c r="AG824">
        <v>33333.333333333336</v>
      </c>
      <c r="AH824">
        <v>1</v>
      </c>
      <c r="AI824">
        <v>1</v>
      </c>
      <c r="AJ824" t="s">
        <v>136</v>
      </c>
      <c r="AK824" t="s">
        <v>137</v>
      </c>
      <c r="AL824">
        <v>0</v>
      </c>
      <c r="AM824" t="s">
        <v>137</v>
      </c>
      <c r="AN824">
        <v>0</v>
      </c>
    </row>
    <row r="825" spans="1:42" ht="12.75">
      <c r="A825" s="2" t="str">
        <f>HYPERLINK("https://ibp.a2mac1.com/costing(costing:projects/details/8191/process/6975454)","Automated Process")</f>
        <v>Automated Process</v>
      </c>
      <c r="C825">
        <v>6975454</v>
      </c>
      <c r="D825">
        <v>5388510</v>
      </c>
      <c r="E825">
        <v>0.009124731578947368</v>
      </c>
      <c r="F825">
        <v>0</v>
      </c>
      <c r="G825">
        <v>0</v>
      </c>
      <c r="H825">
        <v>4.5897399842105265E-05</v>
      </c>
      <c r="I825" t="s">
        <v>137</v>
      </c>
      <c r="J825">
        <v>0.0003193656052631579</v>
      </c>
      <c r="K825">
        <v>0.0094899945840526308</v>
      </c>
      <c r="L825">
        <v>0.00025466467037449424</v>
      </c>
      <c r="M825">
        <v>0.0015279880222469654</v>
      </c>
      <c r="N825">
        <v>0.011017982606299596</v>
      </c>
      <c r="O825" t="s">
        <v>138</v>
      </c>
      <c r="P825">
        <v>0.00056939967504315793</v>
      </c>
      <c r="Q825" t="s">
        <v>138</v>
      </c>
      <c r="R825">
        <v>9.1679281334817924E-05</v>
      </c>
      <c r="S825" t="s">
        <v>139</v>
      </c>
      <c r="T825">
        <v>0.0013221579127559516</v>
      </c>
      <c r="U825">
        <v>0.013001219475433524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60</v>
      </c>
      <c r="AB825">
        <v>1</v>
      </c>
      <c r="AC825">
        <v>0.50</v>
      </c>
      <c r="AD825">
        <v>0.50048257265952256</v>
      </c>
      <c r="AE825">
        <v>14.85</v>
      </c>
      <c r="AF825">
        <v>400000</v>
      </c>
      <c r="AG825">
        <v>33333.333333333336</v>
      </c>
      <c r="AH825">
        <v>1</v>
      </c>
      <c r="AI825">
        <v>1</v>
      </c>
      <c r="AJ825" t="s">
        <v>136</v>
      </c>
      <c r="AK825" t="s">
        <v>137</v>
      </c>
      <c r="AL825">
        <v>0</v>
      </c>
      <c r="AM825" t="s">
        <v>137</v>
      </c>
      <c r="AN825">
        <v>0</v>
      </c>
    </row>
    <row r="826" spans="1:42" ht="12.75">
      <c r="A826" s="2" t="str">
        <f>HYPERLINK("https://ibp.a2mac1.com/costing(costing:projects/details/8191/process/6975455)","Injection molding")</f>
        <v>Injection molding</v>
      </c>
      <c r="B826" t="s">
        <v>4715</v>
      </c>
      <c r="C826">
        <v>6975455</v>
      </c>
      <c r="D826">
        <v>5388511</v>
      </c>
      <c r="E826">
        <v>0.011150602038947369</v>
      </c>
      <c r="F826">
        <v>0</v>
      </c>
      <c r="G826">
        <v>0</v>
      </c>
      <c r="H826">
        <v>5.6178279849473683E-05</v>
      </c>
      <c r="I826" t="s">
        <v>137</v>
      </c>
      <c r="J826">
        <v>0.00039090254368421055</v>
      </c>
      <c r="K826">
        <v>0.011597682862481053</v>
      </c>
      <c r="L826">
        <v>0.00025480403980368609</v>
      </c>
      <c r="M826">
        <v>0.0015288242388221164</v>
      </c>
      <c r="N826">
        <v>0.01312650710130317</v>
      </c>
      <c r="O826" t="s">
        <v>138</v>
      </c>
      <c r="P826">
        <v>0.0006958609717488632</v>
      </c>
      <c r="Q826" t="s">
        <v>138</v>
      </c>
      <c r="R826">
        <v>9.1729454329326983E-05</v>
      </c>
      <c r="S826" t="s">
        <v>139</v>
      </c>
      <c r="T826">
        <v>0.0015751808521563802</v>
      </c>
      <c r="U826">
        <v>0.01548927837953774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60</v>
      </c>
      <c r="AB826">
        <v>1</v>
      </c>
      <c r="AC826">
        <v>0.50</v>
      </c>
      <c r="AD826">
        <v>0.50048257265952256</v>
      </c>
      <c r="AE826">
        <v>14.85</v>
      </c>
      <c r="AF826">
        <v>400000</v>
      </c>
      <c r="AG826">
        <v>33333.333333333336</v>
      </c>
      <c r="AH826">
        <v>1</v>
      </c>
      <c r="AI826">
        <v>1</v>
      </c>
      <c r="AJ826" t="s">
        <v>136</v>
      </c>
      <c r="AK826" t="s">
        <v>137</v>
      </c>
      <c r="AL826">
        <v>0</v>
      </c>
      <c r="AM826" t="s">
        <v>137</v>
      </c>
      <c r="AN826">
        <v>0</v>
      </c>
    </row>
    <row r="827" spans="1:42" ht="12.75">
      <c r="A827" s="2" t="str">
        <f>HYPERLINK("https://ibp.a2mac1.com/costing(costing:projects/details/8191/process/6975456)","Injection molding")</f>
        <v>Injection molding</v>
      </c>
      <c r="B827" t="s">
        <v>4715</v>
      </c>
      <c r="C827">
        <v>6975456</v>
      </c>
      <c r="D827">
        <v>5388513</v>
      </c>
      <c r="E827">
        <v>0.03911485</v>
      </c>
      <c r="F827">
        <v>0</v>
      </c>
      <c r="G827">
        <v>0</v>
      </c>
      <c r="H827">
        <v>0.00019696574600000001</v>
      </c>
      <c r="I827" t="s">
        <v>137</v>
      </c>
      <c r="J827">
        <v>0.001370537</v>
      </c>
      <c r="K827">
        <v>0.040682352746000003</v>
      </c>
      <c r="L827">
        <v>0.00018521031765673295</v>
      </c>
      <c r="M827">
        <v>0.0011112619059403977</v>
      </c>
      <c r="N827">
        <v>0.041793614651940397</v>
      </c>
      <c r="O827" t="s">
        <v>138</v>
      </c>
      <c r="P827">
        <v>0.0024409411647600002</v>
      </c>
      <c r="Q827" t="s">
        <v>138</v>
      </c>
      <c r="R827">
        <v>6.6675714356423862E-05</v>
      </c>
      <c r="S827" t="s">
        <v>139</v>
      </c>
      <c r="T827">
        <v>0.0050152337582328481</v>
      </c>
      <c r="U827">
        <v>0.049316465289289672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60</v>
      </c>
      <c r="AB827">
        <v>1</v>
      </c>
      <c r="AC827">
        <v>0.50</v>
      </c>
      <c r="AD827">
        <v>0.50048257265952256</v>
      </c>
      <c r="AE827">
        <v>10.80</v>
      </c>
      <c r="AF827">
        <v>400000</v>
      </c>
      <c r="AG827">
        <v>33333.333333333336</v>
      </c>
      <c r="AH827">
        <v>1</v>
      </c>
      <c r="AI827">
        <v>1</v>
      </c>
      <c r="AJ827" t="s">
        <v>136</v>
      </c>
      <c r="AK827" t="s">
        <v>137</v>
      </c>
      <c r="AL827">
        <v>0</v>
      </c>
      <c r="AM827" t="s">
        <v>137</v>
      </c>
      <c r="AN827">
        <v>0</v>
      </c>
    </row>
    <row r="828" spans="1:42" ht="12.75">
      <c r="A828" s="2" t="str">
        <f>HYPERLINK("https://ibp.a2mac1.com/costing(costing:projects/details/8191/process/6975457)","Injection molding")</f>
        <v>Injection molding</v>
      </c>
      <c r="C828">
        <v>6975457</v>
      </c>
      <c r="D828">
        <v>5388515</v>
      </c>
      <c r="E828">
        <v>1.5982441696715191</v>
      </c>
      <c r="F828">
        <v>0</v>
      </c>
      <c r="G828">
        <v>0</v>
      </c>
      <c r="H828">
        <v>0.019517714036834246</v>
      </c>
      <c r="I828" t="s">
        <v>137</v>
      </c>
      <c r="J828">
        <v>0.055993441908950704</v>
      </c>
      <c r="K828">
        <v>1.6737553256173041</v>
      </c>
      <c r="L828">
        <v>0.058300745663909935</v>
      </c>
      <c r="M828">
        <v>0.3498044739834596</v>
      </c>
      <c r="N828">
        <v>2.0235597996007635</v>
      </c>
      <c r="O828" t="s">
        <v>138</v>
      </c>
      <c r="P828">
        <v>0.10042531953703825</v>
      </c>
      <c r="Q828" t="s">
        <v>138</v>
      </c>
      <c r="R828">
        <v>0.020988268439007578</v>
      </c>
      <c r="S828" t="s">
        <v>139</v>
      </c>
      <c r="T828">
        <v>0.24282717595209163</v>
      </c>
      <c r="U828">
        <v>2.3878005635289012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44.86656</v>
      </c>
      <c r="AB828">
        <v>2</v>
      </c>
      <c r="AC828">
        <v>0.10</v>
      </c>
      <c r="AD828">
        <v>1.2052953961667654</v>
      </c>
      <c r="AE828">
        <v>18000</v>
      </c>
      <c r="AF828">
        <v>200000</v>
      </c>
      <c r="AG828">
        <v>16666.666666666668</v>
      </c>
      <c r="AH828">
        <v>1</v>
      </c>
      <c r="AI828">
        <v>1</v>
      </c>
      <c r="AJ828" t="s">
        <v>136</v>
      </c>
      <c r="AK828" t="s">
        <v>137</v>
      </c>
      <c r="AL828">
        <v>0</v>
      </c>
      <c r="AM828" t="s">
        <v>137</v>
      </c>
      <c r="AN828">
        <v>0</v>
      </c>
    </row>
    <row r="829" spans="1:42" ht="12.75">
      <c r="A829" s="2" t="str">
        <f>HYPERLINK("https://ibp.a2mac1.com/costing(costing:projects/details/8191/process/6975458)","Handling/Visual Inspection/Packaging")</f>
        <v>Handling/Visual Inspection/Packaging</v>
      </c>
      <c r="C829">
        <v>6975458</v>
      </c>
      <c r="D829">
        <v>5388515</v>
      </c>
      <c r="E829">
        <v>0</v>
      </c>
      <c r="F829">
        <v>0</v>
      </c>
      <c r="G829">
        <v>0</v>
      </c>
      <c r="H829">
        <v>0</v>
      </c>
      <c r="I829" t="s">
        <v>137</v>
      </c>
      <c r="J829">
        <v>0</v>
      </c>
      <c r="K829">
        <v>0</v>
      </c>
      <c r="L829">
        <v>0.0087089720827690006</v>
      </c>
      <c r="M829">
        <v>0.052253832496614007</v>
      </c>
      <c r="N829">
        <v>0.052253832496614007</v>
      </c>
      <c r="O829" t="s">
        <v>138</v>
      </c>
      <c r="P829">
        <v>0</v>
      </c>
      <c r="Q829" t="s">
        <v>138</v>
      </c>
      <c r="R829">
        <v>0.0031352299497968404</v>
      </c>
      <c r="S829" t="s">
        <v>139</v>
      </c>
      <c r="T829">
        <v>0.0062704598995936807</v>
      </c>
      <c r="U829">
        <v>0.061659522346004532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30</v>
      </c>
      <c r="AB829">
        <v>1</v>
      </c>
      <c r="AC829">
        <v>0.10</v>
      </c>
      <c r="AD829">
        <v>1.1056389564667022</v>
      </c>
      <c r="AE829">
        <v>900</v>
      </c>
      <c r="AF829">
        <v>200000</v>
      </c>
      <c r="AG829">
        <v>16666.666666666668</v>
      </c>
      <c r="AH829">
        <v>1</v>
      </c>
      <c r="AI829">
        <v>1</v>
      </c>
      <c r="AJ829" t="s">
        <v>136</v>
      </c>
      <c r="AK829" t="s">
        <v>137</v>
      </c>
      <c r="AL829">
        <v>0</v>
      </c>
      <c r="AM829" t="s">
        <v>137</v>
      </c>
      <c r="AN829">
        <v>0</v>
      </c>
    </row>
    <row r="830" spans="1:42" ht="12.75">
      <c r="A830" s="2" t="str">
        <f>HYPERLINK("https://ibp.a2mac1.com/costing(costing:projects/details/8191/process/6975459)","Painting")</f>
        <v>Painting</v>
      </c>
      <c r="C830">
        <v>6975459</v>
      </c>
      <c r="D830">
        <v>5388515</v>
      </c>
      <c r="E830">
        <v>1.9790708915145006</v>
      </c>
      <c r="F830">
        <v>0</v>
      </c>
      <c r="G830">
        <v>0</v>
      </c>
      <c r="H830">
        <v>0.020107360257787324</v>
      </c>
      <c r="I830" t="s">
        <v>137</v>
      </c>
      <c r="J830">
        <v>0.069267481203007519</v>
      </c>
      <c r="K830">
        <v>2.0684457329752952</v>
      </c>
      <c r="L830">
        <v>0.46394276901458825</v>
      </c>
      <c r="M830">
        <v>2.7836566140875294</v>
      </c>
      <c r="N830">
        <v>4.8521023470628251</v>
      </c>
      <c r="O830" t="s">
        <v>138</v>
      </c>
      <c r="P830">
        <v>0.12410674397851772</v>
      </c>
      <c r="Q830" t="s">
        <v>138</v>
      </c>
      <c r="R830">
        <v>0.16701939684525177</v>
      </c>
      <c r="S830" t="s">
        <v>139</v>
      </c>
      <c r="T830">
        <v>0.58225228164753895</v>
      </c>
      <c r="U830">
        <v>5.7254807695341334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120</v>
      </c>
      <c r="AB830">
        <v>8</v>
      </c>
      <c r="AC830">
        <v>1</v>
      </c>
      <c r="AD830">
        <v>1.0057812623742775</v>
      </c>
      <c r="AE830">
        <v>0</v>
      </c>
      <c r="AF830">
        <v>200000</v>
      </c>
      <c r="AG830">
        <v>16666.666666666668</v>
      </c>
      <c r="AH830">
        <v>1</v>
      </c>
      <c r="AI830">
        <v>1</v>
      </c>
      <c r="AJ830" t="s">
        <v>136</v>
      </c>
      <c r="AK830" t="s">
        <v>137</v>
      </c>
      <c r="AL830">
        <v>0</v>
      </c>
      <c r="AM830" t="s">
        <v>137</v>
      </c>
      <c r="AN830">
        <v>0</v>
      </c>
    </row>
    <row r="831" spans="1:42" ht="12.75">
      <c r="A831" s="2" t="str">
        <f>HYPERLINK("https://ibp.a2mac1.com/costing(costing:projects/details/8191/process/6975462)","Injection molding")</f>
        <v>Injection molding</v>
      </c>
      <c r="C831">
        <v>6975462</v>
      </c>
      <c r="D831">
        <v>5388516</v>
      </c>
      <c r="E831">
        <v>0.59585585705897237</v>
      </c>
      <c r="F831">
        <v>0</v>
      </c>
      <c r="G831">
        <v>0</v>
      </c>
      <c r="H831">
        <v>0.0012286676513068241</v>
      </c>
      <c r="I831" t="s">
        <v>137</v>
      </c>
      <c r="J831">
        <v>0.020875421260067403</v>
      </c>
      <c r="K831">
        <v>0.61795994597034654</v>
      </c>
      <c r="L831">
        <v>0.0510604619525468</v>
      </c>
      <c r="M831">
        <v>0.30636277171528081</v>
      </c>
      <c r="N831">
        <v>0.92432271768562735</v>
      </c>
      <c r="O831" t="s">
        <v>138</v>
      </c>
      <c r="P831">
        <v>0.037077596758220796</v>
      </c>
      <c r="Q831" t="s">
        <v>138</v>
      </c>
      <c r="R831">
        <v>0.018381766302916849</v>
      </c>
      <c r="S831" t="s">
        <v>139</v>
      </c>
      <c r="T831">
        <v>0.11091872612227528</v>
      </c>
      <c r="U831">
        <v>1.0907008068690403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28.789000000000001</v>
      </c>
      <c r="AB831">
        <v>1</v>
      </c>
      <c r="AC831">
        <v>0.10</v>
      </c>
      <c r="AD831">
        <v>0.20557651238448796</v>
      </c>
      <c r="AE831">
        <v>14400</v>
      </c>
      <c r="AF831">
        <v>200000</v>
      </c>
      <c r="AG831">
        <v>16666.666666666668</v>
      </c>
      <c r="AH831">
        <v>1</v>
      </c>
      <c r="AI831">
        <v>1</v>
      </c>
      <c r="AJ831" t="s">
        <v>136</v>
      </c>
      <c r="AK831" t="s">
        <v>137</v>
      </c>
      <c r="AL831">
        <v>0</v>
      </c>
      <c r="AM831" t="s">
        <v>137</v>
      </c>
      <c r="AN831">
        <v>0</v>
      </c>
    </row>
    <row r="832" spans="1:42" ht="12.75">
      <c r="A832" s="2" t="str">
        <f>HYPERLINK("https://ibp.a2mac1.com/costing(costing:projects/details/8191/process/6975460)","Handling/Visual Inspection/Packaging")</f>
        <v>Handling/Visual Inspection/Packaging</v>
      </c>
      <c r="C832">
        <v>6975460</v>
      </c>
      <c r="D832">
        <v>5388516</v>
      </c>
      <c r="E832">
        <v>0</v>
      </c>
      <c r="F832">
        <v>0</v>
      </c>
      <c r="G832">
        <v>0</v>
      </c>
      <c r="H832">
        <v>0</v>
      </c>
      <c r="I832" t="s">
        <v>137</v>
      </c>
      <c r="J832">
        <v>0</v>
      </c>
      <c r="K832">
        <v>0</v>
      </c>
      <c r="L832">
        <v>0.0086216394843006</v>
      </c>
      <c r="M832">
        <v>0.0517298369058036</v>
      </c>
      <c r="N832">
        <v>0.0517298369058036</v>
      </c>
      <c r="O832" t="s">
        <v>138</v>
      </c>
      <c r="P832">
        <v>0</v>
      </c>
      <c r="Q832" t="s">
        <v>138</v>
      </c>
      <c r="R832">
        <v>0.0031037902143482162</v>
      </c>
      <c r="S832" t="s">
        <v>139</v>
      </c>
      <c r="T832">
        <v>0.0062075804286964324</v>
      </c>
      <c r="U832">
        <v>0.061041207548848252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30</v>
      </c>
      <c r="AB832">
        <v>1</v>
      </c>
      <c r="AC832">
        <v>0.10</v>
      </c>
      <c r="AD832">
        <v>0.10389195236953569</v>
      </c>
      <c r="AE832">
        <v>900</v>
      </c>
      <c r="AF832">
        <v>200000</v>
      </c>
      <c r="AG832">
        <v>16666.666666666668</v>
      </c>
      <c r="AH832">
        <v>1</v>
      </c>
      <c r="AI832">
        <v>1</v>
      </c>
      <c r="AJ832" t="s">
        <v>136</v>
      </c>
      <c r="AK832" t="s">
        <v>137</v>
      </c>
      <c r="AL832">
        <v>0</v>
      </c>
      <c r="AM832" t="s">
        <v>137</v>
      </c>
      <c r="AN832">
        <v>0</v>
      </c>
    </row>
    <row r="833" spans="1:42" ht="12.75">
      <c r="A833" s="2" t="str">
        <f>HYPERLINK("https://ibp.a2mac1.com/costing(costing:projects/details/8191/process/6975284)","Injection molding")</f>
        <v>Injection molding</v>
      </c>
      <c r="C833">
        <v>6975284</v>
      </c>
      <c r="D833">
        <v>5388206</v>
      </c>
      <c r="E833">
        <v>0.74820196435830566</v>
      </c>
      <c r="F833">
        <v>0</v>
      </c>
      <c r="G833">
        <v>0</v>
      </c>
      <c r="H833">
        <v>0.0015203405295024846</v>
      </c>
      <c r="I833" t="s">
        <v>137</v>
      </c>
      <c r="J833">
        <v>0.026212767750042842</v>
      </c>
      <c r="K833">
        <v>0.775935072637851</v>
      </c>
      <c r="L833">
        <v>0.028498686042886238</v>
      </c>
      <c r="M833">
        <v>0.17099211625731742</v>
      </c>
      <c r="N833">
        <v>0.94692718889516836</v>
      </c>
      <c r="O833" t="s">
        <v>138</v>
      </c>
      <c r="P833">
        <v>0.04655610435827106</v>
      </c>
      <c r="Q833" t="s">
        <v>138</v>
      </c>
      <c r="R833">
        <v>0.010259526975439045</v>
      </c>
      <c r="S833" t="s">
        <v>139</v>
      </c>
      <c r="T833">
        <v>0.11363126266742021</v>
      </c>
      <c r="U833">
        <v>1.1173740828962988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34.69858</v>
      </c>
      <c r="AB833">
        <v>1</v>
      </c>
      <c r="AC833">
        <v>0.10</v>
      </c>
      <c r="AD833">
        <v>0.20258874484795864</v>
      </c>
      <c r="AE833">
        <v>10800</v>
      </c>
      <c r="AF833">
        <v>400000</v>
      </c>
      <c r="AG833">
        <v>33333.333333333336</v>
      </c>
      <c r="AH833">
        <v>1</v>
      </c>
      <c r="AI833">
        <v>1</v>
      </c>
      <c r="AJ833" t="s">
        <v>136</v>
      </c>
      <c r="AK833" t="s">
        <v>137</v>
      </c>
      <c r="AL833">
        <v>0</v>
      </c>
      <c r="AM833" t="s">
        <v>137</v>
      </c>
      <c r="AN833">
        <v>0</v>
      </c>
    </row>
    <row r="834" spans="1:42" ht="12.75">
      <c r="A834" s="2" t="str">
        <f>HYPERLINK("https://ibp.a2mac1.com/costing(costing:projects/details/8191/process/6975283)","Handling/Visual Inspection/Packaging")</f>
        <v>Handling/Visual Inspection/Packaging</v>
      </c>
      <c r="C834">
        <v>6975283</v>
      </c>
      <c r="D834">
        <v>5388206</v>
      </c>
      <c r="E834">
        <v>0</v>
      </c>
      <c r="F834">
        <v>0</v>
      </c>
      <c r="G834">
        <v>0</v>
      </c>
      <c r="H834">
        <v>0</v>
      </c>
      <c r="I834" t="s">
        <v>137</v>
      </c>
      <c r="J834">
        <v>0</v>
      </c>
      <c r="K834">
        <v>0</v>
      </c>
      <c r="L834">
        <v>0.0086198281353737343</v>
      </c>
      <c r="M834">
        <v>0.051718968812242409</v>
      </c>
      <c r="N834">
        <v>0.051718968812242409</v>
      </c>
      <c r="O834" t="s">
        <v>138</v>
      </c>
      <c r="P834">
        <v>0</v>
      </c>
      <c r="Q834" t="s">
        <v>138</v>
      </c>
      <c r="R834">
        <v>0.0031031381287345444</v>
      </c>
      <c r="S834" t="s">
        <v>139</v>
      </c>
      <c r="T834">
        <v>0.0062062762574690887</v>
      </c>
      <c r="U834">
        <v>0.061028383198446043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30</v>
      </c>
      <c r="AB834">
        <v>1</v>
      </c>
      <c r="AC834">
        <v>0.10</v>
      </c>
      <c r="AD834">
        <v>0.1008980929261446</v>
      </c>
      <c r="AE834">
        <v>900</v>
      </c>
      <c r="AF834">
        <v>400000</v>
      </c>
      <c r="AG834">
        <v>33333.333333333336</v>
      </c>
      <c r="AH834">
        <v>1</v>
      </c>
      <c r="AI834">
        <v>1</v>
      </c>
      <c r="AJ834" t="s">
        <v>136</v>
      </c>
      <c r="AK834" t="s">
        <v>137</v>
      </c>
      <c r="AL834">
        <v>0</v>
      </c>
      <c r="AM834" t="s">
        <v>137</v>
      </c>
      <c r="AN834">
        <v>0</v>
      </c>
    </row>
    <row r="835" spans="1:42" ht="12.75">
      <c r="A835" s="2" t="str">
        <f>HYPERLINK("https://ibp.a2mac1.com/costing(costing:projects/details/8191/process/6975285)","Automated Process")</f>
        <v>Automated Process</v>
      </c>
      <c r="C835">
        <v>6975285</v>
      </c>
      <c r="D835">
        <v>5388207</v>
      </c>
      <c r="E835">
        <v>20.060369999999999</v>
      </c>
      <c r="F835">
        <v>0</v>
      </c>
      <c r="G835">
        <v>0</v>
      </c>
      <c r="H835">
        <v>0.1015054722</v>
      </c>
      <c r="I835" t="s">
        <v>137</v>
      </c>
      <c r="J835">
        <v>0.70211294999999996</v>
      </c>
      <c r="K835">
        <v>20.863988422199998</v>
      </c>
      <c r="L835">
        <v>1.9750738344607608</v>
      </c>
      <c r="M835">
        <v>11.850443006764566</v>
      </c>
      <c r="N835">
        <v>32.714431428964566</v>
      </c>
      <c r="O835" t="s">
        <v>138</v>
      </c>
      <c r="P835">
        <v>1.2518393053320001</v>
      </c>
      <c r="Q835" t="s">
        <v>138</v>
      </c>
      <c r="R835">
        <v>0.71102658040587396</v>
      </c>
      <c r="S835" t="s">
        <v>139</v>
      </c>
      <c r="T835">
        <v>3.925731771475748</v>
      </c>
      <c r="U835">
        <v>38.603029086178189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1117</v>
      </c>
      <c r="AB835">
        <v>1</v>
      </c>
      <c r="AC835">
        <v>0.50</v>
      </c>
      <c r="AD835">
        <v>0.50345253019720215</v>
      </c>
      <c r="AE835">
        <v>10800</v>
      </c>
      <c r="AF835">
        <v>200000</v>
      </c>
      <c r="AG835">
        <v>16666.666666666668</v>
      </c>
      <c r="AH835">
        <v>1</v>
      </c>
      <c r="AI835">
        <v>1</v>
      </c>
      <c r="AJ835" t="s">
        <v>136</v>
      </c>
      <c r="AK835" t="s">
        <v>137</v>
      </c>
      <c r="AL835">
        <v>0</v>
      </c>
      <c r="AM835" t="s">
        <v>137</v>
      </c>
      <c r="AN835">
        <v>0</v>
      </c>
    </row>
    <row r="836" spans="1:42" ht="12.75">
      <c r="A836" s="2" t="str">
        <f>HYPERLINK("https://ibp.a2mac1.com/costing(costing:projects/details/8191/process/6975286)","Injection molding")</f>
        <v>Injection molding</v>
      </c>
      <c r="C836">
        <v>6975286</v>
      </c>
      <c r="D836">
        <v>5388208</v>
      </c>
      <c r="E836">
        <v>0.02995860455817673</v>
      </c>
      <c r="F836">
        <v>0</v>
      </c>
      <c r="G836">
        <v>0</v>
      </c>
      <c r="H836">
        <v>0.00099380247900839654</v>
      </c>
      <c r="I836" t="s">
        <v>137</v>
      </c>
      <c r="J836">
        <v>0.001049580167932827</v>
      </c>
      <c r="K836">
        <v>0.032001987205117953</v>
      </c>
      <c r="L836">
        <v>0.0080274439908928266</v>
      </c>
      <c r="M836">
        <v>0.048164663945356963</v>
      </c>
      <c r="N836">
        <v>0.080166651150474916</v>
      </c>
      <c r="O836" t="s">
        <v>138</v>
      </c>
      <c r="P836">
        <v>0.0019201192323070771</v>
      </c>
      <c r="Q836" t="s">
        <v>138</v>
      </c>
      <c r="R836">
        <v>0.0028898798367214176</v>
      </c>
      <c r="S836" t="s">
        <v>139</v>
      </c>
      <c r="T836">
        <v>0.0096199981380569906</v>
      </c>
      <c r="U836">
        <v>0.094596648357560403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23.279509999999998</v>
      </c>
      <c r="AB836">
        <v>1</v>
      </c>
      <c r="AC836">
        <v>0.10</v>
      </c>
      <c r="AD836">
        <v>3.2076969239406083</v>
      </c>
      <c r="AE836">
        <v>7200</v>
      </c>
      <c r="AF836">
        <v>200000</v>
      </c>
      <c r="AG836">
        <v>16666.666666666668</v>
      </c>
      <c r="AH836">
        <v>1</v>
      </c>
      <c r="AI836">
        <v>1</v>
      </c>
      <c r="AJ836" t="s">
        <v>136</v>
      </c>
      <c r="AK836" t="s">
        <v>137</v>
      </c>
      <c r="AL836">
        <v>0</v>
      </c>
      <c r="AM836" t="s">
        <v>137</v>
      </c>
      <c r="AN836">
        <v>0</v>
      </c>
    </row>
    <row r="837" spans="1:42" ht="12.75">
      <c r="A837" s="2" t="str">
        <f>HYPERLINK("https://ibp.a2mac1.com/costing(costing:projects/details/8191/process/6975287)","Handling/Visual Inspection/Packaging")</f>
        <v>Handling/Visual Inspection/Packaging</v>
      </c>
      <c r="C837">
        <v>6975287</v>
      </c>
      <c r="D837">
        <v>5388208</v>
      </c>
      <c r="E837">
        <v>0</v>
      </c>
      <c r="F837">
        <v>0</v>
      </c>
      <c r="G837">
        <v>0</v>
      </c>
      <c r="H837">
        <v>0</v>
      </c>
      <c r="I837" t="s">
        <v>137</v>
      </c>
      <c r="J837">
        <v>0</v>
      </c>
      <c r="K837">
        <v>0</v>
      </c>
      <c r="L837">
        <v>0.0088888048890826323</v>
      </c>
      <c r="M837">
        <v>0.05333282933449579</v>
      </c>
      <c r="N837">
        <v>0.05333282933449579</v>
      </c>
      <c r="O837" t="s">
        <v>138</v>
      </c>
      <c r="P837">
        <v>0</v>
      </c>
      <c r="Q837" t="s">
        <v>138</v>
      </c>
      <c r="R837">
        <v>0.0031999697600697476</v>
      </c>
      <c r="S837" t="s">
        <v>139</v>
      </c>
      <c r="T837">
        <v>0.0063999395201394952</v>
      </c>
      <c r="U837">
        <v>0.062932738614705039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30</v>
      </c>
      <c r="AB837">
        <v>1</v>
      </c>
      <c r="AC837">
        <v>0.10</v>
      </c>
      <c r="AD837">
        <v>3.1064085421390231</v>
      </c>
      <c r="AE837">
        <v>900</v>
      </c>
      <c r="AF837">
        <v>200000</v>
      </c>
      <c r="AG837">
        <v>16666.666666666668</v>
      </c>
      <c r="AH837">
        <v>1</v>
      </c>
      <c r="AI837">
        <v>1</v>
      </c>
      <c r="AJ837" t="s">
        <v>136</v>
      </c>
      <c r="AK837" t="s">
        <v>137</v>
      </c>
      <c r="AL837">
        <v>0</v>
      </c>
      <c r="AM837" t="s">
        <v>137</v>
      </c>
      <c r="AN837">
        <v>0</v>
      </c>
    </row>
    <row r="838" spans="1:42" ht="12.75">
      <c r="A838" s="2" t="str">
        <f>HYPERLINK("https://ibp.a2mac1.com/costing(costing:projects/details/8191/process/6975288)","Chroming line - Small Parts")</f>
        <v>Chroming line - Small Parts</v>
      </c>
      <c r="C838">
        <v>6975288</v>
      </c>
      <c r="D838">
        <v>5388208</v>
      </c>
      <c r="E838">
        <v>0.32323231111111111</v>
      </c>
      <c r="F838">
        <v>0</v>
      </c>
      <c r="G838">
        <v>0</v>
      </c>
      <c r="H838">
        <v>0.010013736998222222</v>
      </c>
      <c r="I838" t="s">
        <v>137</v>
      </c>
      <c r="J838">
        <v>0.011313130888888889</v>
      </c>
      <c r="K838">
        <v>0.34455917899822225</v>
      </c>
      <c r="L838">
        <v>0.030040332433428463</v>
      </c>
      <c r="M838">
        <v>0.18024199460057078</v>
      </c>
      <c r="N838">
        <v>0.52480117359879297</v>
      </c>
      <c r="O838" t="s">
        <v>138</v>
      </c>
      <c r="P838">
        <v>0.020673550739893333</v>
      </c>
      <c r="Q838" t="s">
        <v>138</v>
      </c>
      <c r="R838">
        <v>0.010814519676034246</v>
      </c>
      <c r="S838" t="s">
        <v>139</v>
      </c>
      <c r="T838">
        <v>0.062976140831855154</v>
      </c>
      <c r="U838">
        <v>0.61926538484657578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402</v>
      </c>
      <c r="AB838">
        <v>240</v>
      </c>
      <c r="AC838">
        <v>3</v>
      </c>
      <c r="AD838">
        <v>3.0049079516576462</v>
      </c>
      <c r="AE838">
        <v>0</v>
      </c>
      <c r="AF838">
        <v>200000</v>
      </c>
      <c r="AG838">
        <v>16666.666666666668</v>
      </c>
      <c r="AH838">
        <v>1</v>
      </c>
      <c r="AI838">
        <v>1</v>
      </c>
      <c r="AJ838" t="s">
        <v>136</v>
      </c>
      <c r="AK838" t="s">
        <v>137</v>
      </c>
      <c r="AL838">
        <v>0</v>
      </c>
      <c r="AM838" t="s">
        <v>137</v>
      </c>
      <c r="AN838">
        <v>0</v>
      </c>
    </row>
    <row r="839" spans="1:42" ht="12.75">
      <c r="A839" s="2" t="str">
        <f>HYPERLINK("https://ibp.a2mac1.com/costing(costing:projects/details/8191/process/6975289)","Chroming line - Load and Unload parts to and from jig")</f>
        <v>Chroming line - Load and Unload parts to and from jig</v>
      </c>
      <c r="C839">
        <v>6975289</v>
      </c>
      <c r="D839">
        <v>5388208</v>
      </c>
      <c r="E839">
        <v>0</v>
      </c>
      <c r="F839">
        <v>0</v>
      </c>
      <c r="G839">
        <v>0</v>
      </c>
      <c r="H839">
        <v>0</v>
      </c>
      <c r="I839" t="s">
        <v>137</v>
      </c>
      <c r="J839">
        <v>0</v>
      </c>
      <c r="K839">
        <v>0</v>
      </c>
      <c r="L839">
        <v>0.0011655596194345209</v>
      </c>
      <c r="M839">
        <v>0.0069933577166071256</v>
      </c>
      <c r="N839">
        <v>0.0069933577166071256</v>
      </c>
      <c r="O839" t="s">
        <v>138</v>
      </c>
      <c r="P839">
        <v>0</v>
      </c>
      <c r="Q839" t="s">
        <v>138</v>
      </c>
      <c r="R839">
        <v>0.00041960146299642752</v>
      </c>
      <c r="S839" t="s">
        <v>139</v>
      </c>
      <c r="T839">
        <v>0.00083920292599285503</v>
      </c>
      <c r="U839">
        <v>0.0082521621055964087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120</v>
      </c>
      <c r="AB839">
        <v>120</v>
      </c>
      <c r="AC839">
        <v>0</v>
      </c>
      <c r="AD839">
        <v>0.0019999600007999841</v>
      </c>
      <c r="AE839">
        <v>0</v>
      </c>
      <c r="AF839">
        <v>200000</v>
      </c>
      <c r="AG839">
        <v>16666.666666666668</v>
      </c>
      <c r="AH839">
        <v>1</v>
      </c>
      <c r="AI839">
        <v>1</v>
      </c>
      <c r="AJ839" t="s">
        <v>136</v>
      </c>
      <c r="AK839" t="s">
        <v>137</v>
      </c>
      <c r="AL839">
        <v>0</v>
      </c>
      <c r="AM839" t="s">
        <v>137</v>
      </c>
      <c r="AN839">
        <v>0</v>
      </c>
    </row>
    <row r="840" spans="1:42" ht="12.75">
      <c r="A840" s="2" t="str">
        <f>HYPERLINK("https://ibp.a2mac1.com/costing(costing:projects/details/8191/process/6975291)","Injection molding")</f>
        <v>Injection molding</v>
      </c>
      <c r="B840" t="s">
        <v>5670</v>
      </c>
      <c r="C840">
        <v>6975291</v>
      </c>
      <c r="D840">
        <v>5388219</v>
      </c>
      <c r="E840">
        <v>0.40159210884446223</v>
      </c>
      <c r="F840">
        <v>0</v>
      </c>
      <c r="G840">
        <v>0</v>
      </c>
      <c r="H840">
        <v>0.00083217493002798884</v>
      </c>
      <c r="I840" t="s">
        <v>137</v>
      </c>
      <c r="J840">
        <v>0.014138894442223111</v>
      </c>
      <c r="K840">
        <v>0.41656317821671329</v>
      </c>
      <c r="L840">
        <v>0.013327712003068443</v>
      </c>
      <c r="M840">
        <v>0.079966272018410653</v>
      </c>
      <c r="N840">
        <v>0.49652945023512396</v>
      </c>
      <c r="O840" t="s">
        <v>138</v>
      </c>
      <c r="P840">
        <v>0.024993790693002799</v>
      </c>
      <c r="Q840" t="s">
        <v>138</v>
      </c>
      <c r="R840">
        <v>0.0047979763211046392</v>
      </c>
      <c r="S840" t="s">
        <v>139</v>
      </c>
      <c r="T840">
        <v>0.059583534028214875</v>
      </c>
      <c r="U840">
        <v>0.58590475127744623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20.77505</v>
      </c>
      <c r="AB840">
        <v>1</v>
      </c>
      <c r="AC840">
        <v>0.10</v>
      </c>
      <c r="AD840">
        <v>0.20557651238448796</v>
      </c>
      <c r="AE840">
        <v>7200</v>
      </c>
      <c r="AF840">
        <v>200000</v>
      </c>
      <c r="AG840">
        <v>16666.666666666668</v>
      </c>
      <c r="AH840">
        <v>1</v>
      </c>
      <c r="AI840">
        <v>1</v>
      </c>
      <c r="AJ840" t="s">
        <v>136</v>
      </c>
      <c r="AK840" t="s">
        <v>137</v>
      </c>
      <c r="AL840">
        <v>0</v>
      </c>
      <c r="AM840" t="s">
        <v>137</v>
      </c>
      <c r="AN840">
        <v>0</v>
      </c>
    </row>
    <row r="841" spans="1:42" ht="12.75">
      <c r="A841" s="2" t="str">
        <f>HYPERLINK("https://ibp.a2mac1.com/costing(costing:projects/details/8191/process/6975290)","Handling/Visual Inspection/Packaging")</f>
        <v>Handling/Visual Inspection/Packaging</v>
      </c>
      <c r="C841">
        <v>6975290</v>
      </c>
      <c r="D841">
        <v>5388219</v>
      </c>
      <c r="E841">
        <v>0</v>
      </c>
      <c r="F841">
        <v>0</v>
      </c>
      <c r="G841">
        <v>0</v>
      </c>
      <c r="H841">
        <v>0</v>
      </c>
      <c r="I841" t="s">
        <v>137</v>
      </c>
      <c r="J841">
        <v>0</v>
      </c>
      <c r="K841">
        <v>0</v>
      </c>
      <c r="L841">
        <v>0.0086216394843006</v>
      </c>
      <c r="M841">
        <v>0.0517298369058036</v>
      </c>
      <c r="N841">
        <v>0.0517298369058036</v>
      </c>
      <c r="O841" t="s">
        <v>138</v>
      </c>
      <c r="P841">
        <v>0</v>
      </c>
      <c r="Q841" t="s">
        <v>138</v>
      </c>
      <c r="R841">
        <v>0.0031037902143482162</v>
      </c>
      <c r="S841" t="s">
        <v>139</v>
      </c>
      <c r="T841">
        <v>0.0062075804286964324</v>
      </c>
      <c r="U841">
        <v>0.061041207548848252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30</v>
      </c>
      <c r="AB841">
        <v>1</v>
      </c>
      <c r="AC841">
        <v>0.10</v>
      </c>
      <c r="AD841">
        <v>0.10389195236953569</v>
      </c>
      <c r="AE841">
        <v>900</v>
      </c>
      <c r="AF841">
        <v>200000</v>
      </c>
      <c r="AG841">
        <v>16666.666666666668</v>
      </c>
      <c r="AH841">
        <v>1</v>
      </c>
      <c r="AI841">
        <v>1</v>
      </c>
      <c r="AJ841" t="s">
        <v>136</v>
      </c>
      <c r="AK841" t="s">
        <v>137</v>
      </c>
      <c r="AL841">
        <v>0</v>
      </c>
      <c r="AM841" t="s">
        <v>137</v>
      </c>
      <c r="AN841">
        <v>0</v>
      </c>
    </row>
    <row r="842" spans="1:42" ht="12.75">
      <c r="A842" s="2" t="str">
        <f>HYPERLINK("https://ibp.a2mac1.com/costing(costing:projects/details/8191/process/6975292)","Injection molding")</f>
        <v>Injection molding</v>
      </c>
      <c r="B842" t="s">
        <v>5679</v>
      </c>
      <c r="C842">
        <v>6975292</v>
      </c>
      <c r="D842">
        <v>5388220</v>
      </c>
      <c r="E842">
        <v>0.22920870266327756</v>
      </c>
      <c r="F842">
        <v>0</v>
      </c>
      <c r="G842">
        <v>0</v>
      </c>
      <c r="H842">
        <v>0.00047496385486621678</v>
      </c>
      <c r="I842" t="s">
        <v>137</v>
      </c>
      <c r="J842">
        <v>0.0080697742331638771</v>
      </c>
      <c r="K842">
        <v>0.23775344075130764</v>
      </c>
      <c r="L842">
        <v>0.011599549917625433</v>
      </c>
      <c r="M842">
        <v>0.069597299505752594</v>
      </c>
      <c r="N842">
        <v>0.30735074025706022</v>
      </c>
      <c r="O842" t="s">
        <v>138</v>
      </c>
      <c r="P842">
        <v>0.014265206445078459</v>
      </c>
      <c r="Q842" t="s">
        <v>138</v>
      </c>
      <c r="R842">
        <v>0.0041758379703451557</v>
      </c>
      <c r="S842" t="s">
        <v>139</v>
      </c>
      <c r="T842">
        <v>0.036882088830847232</v>
      </c>
      <c r="U842">
        <v>0.36267387350333108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22.290700000000001</v>
      </c>
      <c r="AB842">
        <v>1</v>
      </c>
      <c r="AC842">
        <v>0.10</v>
      </c>
      <c r="AD842">
        <v>0.20557651238448796</v>
      </c>
      <c r="AE842">
        <v>7200</v>
      </c>
      <c r="AF842">
        <v>200000</v>
      </c>
      <c r="AG842">
        <v>16666.666666666668</v>
      </c>
      <c r="AH842">
        <v>1</v>
      </c>
      <c r="AI842">
        <v>1</v>
      </c>
      <c r="AJ842" t="s">
        <v>136</v>
      </c>
      <c r="AK842" t="s">
        <v>137</v>
      </c>
      <c r="AL842">
        <v>0</v>
      </c>
      <c r="AM842" t="s">
        <v>137</v>
      </c>
      <c r="AN842">
        <v>0</v>
      </c>
    </row>
    <row r="843" spans="1:42" ht="12.75">
      <c r="A843" s="2" t="str">
        <f>HYPERLINK("https://ibp.a2mac1.com/costing(costing:projects/details/8191/process/6975293)","Handling/Visual Inspection/Packaging")</f>
        <v>Handling/Visual Inspection/Packaging</v>
      </c>
      <c r="C843">
        <v>6975293</v>
      </c>
      <c r="D843">
        <v>5388220</v>
      </c>
      <c r="E843">
        <v>0</v>
      </c>
      <c r="F843">
        <v>0</v>
      </c>
      <c r="G843">
        <v>0</v>
      </c>
      <c r="H843">
        <v>0</v>
      </c>
      <c r="I843" t="s">
        <v>137</v>
      </c>
      <c r="J843">
        <v>0</v>
      </c>
      <c r="K843">
        <v>0</v>
      </c>
      <c r="L843">
        <v>0.0086216394843006</v>
      </c>
      <c r="M843">
        <v>0.0517298369058036</v>
      </c>
      <c r="N843">
        <v>0.0517298369058036</v>
      </c>
      <c r="O843" t="s">
        <v>138</v>
      </c>
      <c r="P843">
        <v>0</v>
      </c>
      <c r="Q843" t="s">
        <v>138</v>
      </c>
      <c r="R843">
        <v>0.0031037902143482162</v>
      </c>
      <c r="S843" t="s">
        <v>139</v>
      </c>
      <c r="T843">
        <v>0.0062075804286964324</v>
      </c>
      <c r="U843">
        <v>0.061041207548848252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30</v>
      </c>
      <c r="AB843">
        <v>1</v>
      </c>
      <c r="AC843">
        <v>0.10</v>
      </c>
      <c r="AD843">
        <v>0.10389195236953569</v>
      </c>
      <c r="AE843">
        <v>900</v>
      </c>
      <c r="AF843">
        <v>200000</v>
      </c>
      <c r="AG843">
        <v>16666.666666666668</v>
      </c>
      <c r="AH843">
        <v>1</v>
      </c>
      <c r="AI843">
        <v>1</v>
      </c>
      <c r="AJ843" t="s">
        <v>136</v>
      </c>
      <c r="AK843" t="s">
        <v>137</v>
      </c>
      <c r="AL843">
        <v>0</v>
      </c>
      <c r="AM843" t="s">
        <v>137</v>
      </c>
      <c r="AN843">
        <v>0</v>
      </c>
    </row>
    <row r="844" spans="1:42" ht="12.75">
      <c r="A844" s="2" t="str">
        <f>HYPERLINK("https://ibp.a2mac1.com/costing(costing:projects/details/8191/process/6975295)","Injection molding")</f>
        <v>Injection molding</v>
      </c>
      <c r="B844" t="s">
        <v>5685</v>
      </c>
      <c r="C844">
        <v>6975295</v>
      </c>
      <c r="D844">
        <v>5388221</v>
      </c>
      <c r="E844">
        <v>0.28097259729513907</v>
      </c>
      <c r="F844">
        <v>0</v>
      </c>
      <c r="G844">
        <v>0</v>
      </c>
      <c r="H844">
        <v>0.00058222845106855215</v>
      </c>
      <c r="I844" t="s">
        <v>137</v>
      </c>
      <c r="J844">
        <v>0.009892230964756955</v>
      </c>
      <c r="K844">
        <v>0.2914470567109646</v>
      </c>
      <c r="L844">
        <v>0.013565336865444429</v>
      </c>
      <c r="M844">
        <v>0.081392021192666572</v>
      </c>
      <c r="N844">
        <v>0.37283907790363119</v>
      </c>
      <c r="O844" t="s">
        <v>138</v>
      </c>
      <c r="P844">
        <v>0.017486823402657874</v>
      </c>
      <c r="Q844" t="s">
        <v>138</v>
      </c>
      <c r="R844">
        <v>0.0048835212715599942</v>
      </c>
      <c r="S844" t="s">
        <v>139</v>
      </c>
      <c r="T844">
        <v>0.044740689348435739</v>
      </c>
      <c r="U844">
        <v>0.43995011192628475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21.170339999999999</v>
      </c>
      <c r="AB844">
        <v>1</v>
      </c>
      <c r="AC844">
        <v>0.10</v>
      </c>
      <c r="AD844">
        <v>0.20557651238448796</v>
      </c>
      <c r="AE844">
        <v>7200</v>
      </c>
      <c r="AF844">
        <v>200000</v>
      </c>
      <c r="AG844">
        <v>16666.666666666668</v>
      </c>
      <c r="AH844">
        <v>1</v>
      </c>
      <c r="AI844">
        <v>1</v>
      </c>
      <c r="AJ844" t="s">
        <v>136</v>
      </c>
      <c r="AK844" t="s">
        <v>137</v>
      </c>
      <c r="AL844">
        <v>0</v>
      </c>
      <c r="AM844" t="s">
        <v>137</v>
      </c>
      <c r="AN844">
        <v>0</v>
      </c>
    </row>
    <row r="845" spans="1:42" ht="12.75">
      <c r="A845" s="2" t="str">
        <f>HYPERLINK("https://ibp.a2mac1.com/costing(costing:projects/details/8191/process/6975294)","Handling/Visual Inspection/Packaging")</f>
        <v>Handling/Visual Inspection/Packaging</v>
      </c>
      <c r="C845">
        <v>6975294</v>
      </c>
      <c r="D845">
        <v>5388221</v>
      </c>
      <c r="E845">
        <v>0</v>
      </c>
      <c r="F845">
        <v>0</v>
      </c>
      <c r="G845">
        <v>0</v>
      </c>
      <c r="H845">
        <v>0</v>
      </c>
      <c r="I845" t="s">
        <v>137</v>
      </c>
      <c r="J845">
        <v>0</v>
      </c>
      <c r="K845">
        <v>0</v>
      </c>
      <c r="L845">
        <v>0.0086216394843006</v>
      </c>
      <c r="M845">
        <v>0.0517298369058036</v>
      </c>
      <c r="N845">
        <v>0.0517298369058036</v>
      </c>
      <c r="O845" t="s">
        <v>138</v>
      </c>
      <c r="P845">
        <v>0</v>
      </c>
      <c r="Q845" t="s">
        <v>138</v>
      </c>
      <c r="R845">
        <v>0.0031037902143482162</v>
      </c>
      <c r="S845" t="s">
        <v>139</v>
      </c>
      <c r="T845">
        <v>0.0062075804286964324</v>
      </c>
      <c r="U845">
        <v>0.061041207548848252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30</v>
      </c>
      <c r="AB845">
        <v>1</v>
      </c>
      <c r="AC845">
        <v>0.10</v>
      </c>
      <c r="AD845">
        <v>0.10389195236953569</v>
      </c>
      <c r="AE845">
        <v>900</v>
      </c>
      <c r="AF845">
        <v>200000</v>
      </c>
      <c r="AG845">
        <v>16666.666666666668</v>
      </c>
      <c r="AH845">
        <v>1</v>
      </c>
      <c r="AI845">
        <v>1</v>
      </c>
      <c r="AJ845" t="s">
        <v>136</v>
      </c>
      <c r="AK845" t="s">
        <v>137</v>
      </c>
      <c r="AL845">
        <v>0</v>
      </c>
      <c r="AM845" t="s">
        <v>137</v>
      </c>
      <c r="AN845">
        <v>0</v>
      </c>
    </row>
    <row r="846" spans="1:42" ht="12.75">
      <c r="A846" s="2" t="str">
        <f>HYPERLINK("https://ibp.a2mac1.com/costing(costing:projects/details/8191/process/6975296)","Injection molding")</f>
        <v>Injection molding</v>
      </c>
      <c r="B846" t="s">
        <v>5692</v>
      </c>
      <c r="C846">
        <v>6975296</v>
      </c>
      <c r="D846">
        <v>5388222</v>
      </c>
      <c r="E846">
        <v>0.49381323248327202</v>
      </c>
      <c r="F846">
        <v>0</v>
      </c>
      <c r="G846">
        <v>0</v>
      </c>
      <c r="H846">
        <v>0.0060304336734693879</v>
      </c>
      <c r="I846" t="s">
        <v>137</v>
      </c>
      <c r="J846">
        <v>0.017300424473067916</v>
      </c>
      <c r="K846">
        <v>0.51714409062980926</v>
      </c>
      <c r="L846">
        <v>0.026294760286004096</v>
      </c>
      <c r="M846">
        <v>0.15776856171602457</v>
      </c>
      <c r="N846">
        <v>0.67491265234583386</v>
      </c>
      <c r="O846" t="s">
        <v>138</v>
      </c>
      <c r="P846">
        <v>0.031028645437788559</v>
      </c>
      <c r="Q846" t="s">
        <v>138</v>
      </c>
      <c r="R846">
        <v>0.0094661137029614737</v>
      </c>
      <c r="S846" t="s">
        <v>139</v>
      </c>
      <c r="T846">
        <v>0.08098951828150007</v>
      </c>
      <c r="U846">
        <v>0.79639692976808396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37.798960000000001</v>
      </c>
      <c r="AB846">
        <v>1</v>
      </c>
      <c r="AC846">
        <v>0.10</v>
      </c>
      <c r="AD846">
        <v>1.2052953961667654</v>
      </c>
      <c r="AE846">
        <v>9000</v>
      </c>
      <c r="AF846">
        <v>200000</v>
      </c>
      <c r="AG846">
        <v>16666.666666666668</v>
      </c>
      <c r="AH846">
        <v>1</v>
      </c>
      <c r="AI846">
        <v>1</v>
      </c>
      <c r="AJ846" t="s">
        <v>136</v>
      </c>
      <c r="AK846" t="s">
        <v>137</v>
      </c>
      <c r="AL846">
        <v>0</v>
      </c>
      <c r="AM846" t="s">
        <v>137</v>
      </c>
      <c r="AN846">
        <v>0</v>
      </c>
    </row>
    <row r="847" spans="1:42" ht="12.75">
      <c r="A847" s="2" t="str">
        <f>HYPERLINK("https://ibp.a2mac1.com/costing(costing:projects/details/8191/process/6975298)","Painting")</f>
        <v>Painting</v>
      </c>
      <c r="C847">
        <v>6975298</v>
      </c>
      <c r="D847">
        <v>5388222</v>
      </c>
      <c r="E847">
        <v>0.39581417830290011</v>
      </c>
      <c r="F847">
        <v>0</v>
      </c>
      <c r="G847">
        <v>0</v>
      </c>
      <c r="H847">
        <v>0.0044252025134264234</v>
      </c>
      <c r="I847" t="s">
        <v>137</v>
      </c>
      <c r="J847">
        <v>0.013853496240601504</v>
      </c>
      <c r="K847">
        <v>0.41409287705692804</v>
      </c>
      <c r="L847">
        <v>0.092882246212911093</v>
      </c>
      <c r="M847">
        <v>0.55729347727746659</v>
      </c>
      <c r="N847">
        <v>0.97138635433439458</v>
      </c>
      <c r="O847" t="s">
        <v>138</v>
      </c>
      <c r="P847">
        <v>0.024845572623415683</v>
      </c>
      <c r="Q847" t="s">
        <v>138</v>
      </c>
      <c r="R847">
        <v>0.033437608636647992</v>
      </c>
      <c r="S847" t="s">
        <v>139</v>
      </c>
      <c r="T847">
        <v>0.11656636252012735</v>
      </c>
      <c r="U847">
        <v>1.1462358981145857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60</v>
      </c>
      <c r="AB847">
        <v>20</v>
      </c>
      <c r="AC847">
        <v>1</v>
      </c>
      <c r="AD847">
        <v>1.1056389564667022</v>
      </c>
      <c r="AE847">
        <v>0</v>
      </c>
      <c r="AF847">
        <v>200000</v>
      </c>
      <c r="AG847">
        <v>16666.666666666668</v>
      </c>
      <c r="AH847">
        <v>1</v>
      </c>
      <c r="AI847">
        <v>1</v>
      </c>
      <c r="AJ847" t="s">
        <v>136</v>
      </c>
      <c r="AK847" t="s">
        <v>137</v>
      </c>
      <c r="AL847">
        <v>0</v>
      </c>
      <c r="AM847" t="s">
        <v>137</v>
      </c>
      <c r="AN847">
        <v>0</v>
      </c>
    </row>
    <row r="848" spans="1:42" ht="12.75">
      <c r="A848" s="2" t="str">
        <f>HYPERLINK("https://ibp.a2mac1.com/costing(costing:projects/details/8191/process/6975297)","Handling/Visual Inspection/Packaging")</f>
        <v>Handling/Visual Inspection/Packaging</v>
      </c>
      <c r="C848">
        <v>6975297</v>
      </c>
      <c r="D848">
        <v>5388222</v>
      </c>
      <c r="E848">
        <v>0</v>
      </c>
      <c r="F848">
        <v>0</v>
      </c>
      <c r="G848">
        <v>0</v>
      </c>
      <c r="H848">
        <v>0</v>
      </c>
      <c r="I848" t="s">
        <v>137</v>
      </c>
      <c r="J848">
        <v>0</v>
      </c>
      <c r="K848">
        <v>0</v>
      </c>
      <c r="L848">
        <v>0.01293090621145083</v>
      </c>
      <c r="M848">
        <v>0.077585437268704982</v>
      </c>
      <c r="N848">
        <v>0.077585437268704982</v>
      </c>
      <c r="O848" t="s">
        <v>138</v>
      </c>
      <c r="P848">
        <v>0</v>
      </c>
      <c r="Q848" t="s">
        <v>138</v>
      </c>
      <c r="R848">
        <v>0.0046551262361222987</v>
      </c>
      <c r="S848" t="s">
        <v>139</v>
      </c>
      <c r="T848">
        <v>0.0093102524722445974</v>
      </c>
      <c r="U848">
        <v>0.091550815977071875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45</v>
      </c>
      <c r="AB848">
        <v>1</v>
      </c>
      <c r="AC848">
        <v>0.10</v>
      </c>
      <c r="AD848">
        <v>0.10389195236953569</v>
      </c>
      <c r="AE848">
        <v>900</v>
      </c>
      <c r="AF848">
        <v>200000</v>
      </c>
      <c r="AG848">
        <v>16666.666666666668</v>
      </c>
      <c r="AH848">
        <v>1</v>
      </c>
      <c r="AI848">
        <v>1</v>
      </c>
      <c r="AJ848" t="s">
        <v>136</v>
      </c>
      <c r="AK848" t="s">
        <v>137</v>
      </c>
      <c r="AL848">
        <v>0</v>
      </c>
      <c r="AM848" t="s">
        <v>137</v>
      </c>
      <c r="AN848">
        <v>0</v>
      </c>
    </row>
    <row r="849" spans="1:42" ht="12.75">
      <c r="A849" s="2" t="str">
        <f>HYPERLINK("https://ibp.a2mac1.com/costing(costing:projects/details/8191/process/6975299)","Injection molding")</f>
        <v>Injection molding</v>
      </c>
      <c r="B849" t="s">
        <v>5704</v>
      </c>
      <c r="C849">
        <v>6975299</v>
      </c>
      <c r="D849">
        <v>5388225</v>
      </c>
      <c r="E849">
        <v>0.052196041200548354</v>
      </c>
      <c r="F849">
        <v>0</v>
      </c>
      <c r="G849">
        <v>0</v>
      </c>
      <c r="H849">
        <v>0.00010816008576161372</v>
      </c>
      <c r="I849" t="s">
        <v>137</v>
      </c>
      <c r="J849">
        <v>0.0018376713600274175</v>
      </c>
      <c r="K849">
        <v>0.05414187264633738</v>
      </c>
      <c r="L849">
        <v>0.0052418958512133532</v>
      </c>
      <c r="M849">
        <v>0.031451375107280119</v>
      </c>
      <c r="N849">
        <v>0.085593247753617499</v>
      </c>
      <c r="O849" t="s">
        <v>138</v>
      </c>
      <c r="P849">
        <v>0.0032485123587802432</v>
      </c>
      <c r="Q849" t="s">
        <v>138</v>
      </c>
      <c r="R849">
        <v>0.001887082506436807</v>
      </c>
      <c r="S849" t="s">
        <v>139</v>
      </c>
      <c r="T849">
        <v>0.0102711897304341</v>
      </c>
      <c r="U849">
        <v>0.10100003234926865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12.513339999999999</v>
      </c>
      <c r="AB849">
        <v>1</v>
      </c>
      <c r="AC849">
        <v>0.10</v>
      </c>
      <c r="AD849">
        <v>0.20557651238448796</v>
      </c>
      <c r="AE849">
        <v>7200</v>
      </c>
      <c r="AF849">
        <v>200000</v>
      </c>
      <c r="AG849">
        <v>16666.666666666668</v>
      </c>
      <c r="AH849">
        <v>1</v>
      </c>
      <c r="AI849">
        <v>1</v>
      </c>
      <c r="AJ849" t="s">
        <v>136</v>
      </c>
      <c r="AK849" t="s">
        <v>137</v>
      </c>
      <c r="AL849">
        <v>0</v>
      </c>
      <c r="AM849" t="s">
        <v>137</v>
      </c>
      <c r="AN849">
        <v>0</v>
      </c>
    </row>
    <row r="850" spans="1:42" ht="12.75">
      <c r="A850" s="2" t="str">
        <f>HYPERLINK("https://ibp.a2mac1.com/costing(costing:projects/details/8191/process/6975300)","Handling/Visual Inspection/Packaging")</f>
        <v>Handling/Visual Inspection/Packaging</v>
      </c>
      <c r="C850">
        <v>6975300</v>
      </c>
      <c r="D850">
        <v>5388225</v>
      </c>
      <c r="E850">
        <v>0</v>
      </c>
      <c r="F850">
        <v>0</v>
      </c>
      <c r="G850">
        <v>0</v>
      </c>
      <c r="H850">
        <v>0</v>
      </c>
      <c r="I850" t="s">
        <v>137</v>
      </c>
      <c r="J850">
        <v>0</v>
      </c>
      <c r="K850">
        <v>0</v>
      </c>
      <c r="L850">
        <v>0.0086216394843006</v>
      </c>
      <c r="M850">
        <v>0.0517298369058036</v>
      </c>
      <c r="N850">
        <v>0.0517298369058036</v>
      </c>
      <c r="O850" t="s">
        <v>138</v>
      </c>
      <c r="P850">
        <v>0</v>
      </c>
      <c r="Q850" t="s">
        <v>138</v>
      </c>
      <c r="R850">
        <v>0.0031037902143482162</v>
      </c>
      <c r="S850" t="s">
        <v>139</v>
      </c>
      <c r="T850">
        <v>0.0062075804286964324</v>
      </c>
      <c r="U850">
        <v>0.061041207548848252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30</v>
      </c>
      <c r="AB850">
        <v>1</v>
      </c>
      <c r="AC850">
        <v>0.10</v>
      </c>
      <c r="AD850">
        <v>0.10389195236953569</v>
      </c>
      <c r="AE850">
        <v>900</v>
      </c>
      <c r="AF850">
        <v>200000</v>
      </c>
      <c r="AG850">
        <v>16666.666666666668</v>
      </c>
      <c r="AH850">
        <v>1</v>
      </c>
      <c r="AI850">
        <v>1</v>
      </c>
      <c r="AJ850" t="s">
        <v>136</v>
      </c>
      <c r="AK850" t="s">
        <v>137</v>
      </c>
      <c r="AL850">
        <v>0</v>
      </c>
      <c r="AM850" t="s">
        <v>137</v>
      </c>
      <c r="AN850">
        <v>0</v>
      </c>
    </row>
    <row r="851" spans="1:42" ht="12.75">
      <c r="A851" s="2" t="str">
        <f>HYPERLINK("https://ibp.a2mac1.com/costing(costing:projects/details/8191/process/6975271)","Assembly")</f>
        <v>Assembly</v>
      </c>
      <c r="C851">
        <v>6975271</v>
      </c>
      <c r="D851">
        <v>5388137</v>
      </c>
      <c r="E851">
        <v>0</v>
      </c>
      <c r="F851">
        <v>0</v>
      </c>
      <c r="G851">
        <v>0</v>
      </c>
      <c r="H851">
        <v>0</v>
      </c>
      <c r="I851" t="s">
        <v>90</v>
      </c>
      <c r="J851">
        <v>0</v>
      </c>
      <c r="K851">
        <v>0</v>
      </c>
      <c r="L851">
        <v>0</v>
      </c>
      <c r="M851">
        <v>0.13176533812762237</v>
      </c>
      <c r="N851">
        <v>0.13176533812762237</v>
      </c>
      <c r="O851" t="s">
        <v>90</v>
      </c>
      <c r="P851">
        <v>0</v>
      </c>
      <c r="Q851" t="s">
        <v>90</v>
      </c>
      <c r="R851">
        <v>0</v>
      </c>
      <c r="S851" t="s">
        <v>90</v>
      </c>
      <c r="T851">
        <v>0</v>
      </c>
      <c r="U851">
        <v>0.13176533812762237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90</v>
      </c>
      <c r="AB851">
        <v>1</v>
      </c>
      <c r="AC851">
        <v>0.10</v>
      </c>
      <c r="AD851">
        <v>0.10987913295375087</v>
      </c>
      <c r="AE851">
        <v>600</v>
      </c>
      <c r="AF851">
        <v>200000</v>
      </c>
      <c r="AG851">
        <v>10000</v>
      </c>
      <c r="AH851">
        <v>1</v>
      </c>
      <c r="AI851">
        <v>1</v>
      </c>
      <c r="AJ851" t="s">
        <v>79</v>
      </c>
      <c r="AK851" t="s">
        <v>90</v>
      </c>
      <c r="AL851">
        <v>0</v>
      </c>
      <c r="AM851" t="s">
        <v>90</v>
      </c>
      <c r="AN851">
        <v>0</v>
      </c>
      <c r="AP851">
        <v>0</v>
      </c>
    </row>
    <row r="852" spans="1:42" ht="12.75">
      <c r="A852" s="2" t="str">
        <f>HYPERLINK("https://ibp.a2mac1.com/costing(costing:projects/details/8191/process/6975829)","Manufacturing Process")</f>
        <v>Manufacturing Process</v>
      </c>
      <c r="C852">
        <v>6975829</v>
      </c>
      <c r="D852">
        <v>5389207</v>
      </c>
      <c r="E852">
        <v>5.4223421454545457</v>
      </c>
      <c r="F852">
        <v>0</v>
      </c>
      <c r="G852">
        <v>0</v>
      </c>
      <c r="H852">
        <v>0.0065193477818181822</v>
      </c>
      <c r="I852" t="s">
        <v>137</v>
      </c>
      <c r="J852">
        <v>0.21940112727272729</v>
      </c>
      <c r="K852">
        <v>5.6482626205090911</v>
      </c>
      <c r="L852">
        <v>0.325343368290124</v>
      </c>
      <c r="M852">
        <v>1.9520602097407442</v>
      </c>
      <c r="N852">
        <v>7.6003228302498353</v>
      </c>
      <c r="O852" t="s">
        <v>90</v>
      </c>
      <c r="P852">
        <v>0</v>
      </c>
      <c r="Q852" t="s">
        <v>90</v>
      </c>
      <c r="R852">
        <v>0</v>
      </c>
      <c r="S852" t="s">
        <v>90</v>
      </c>
      <c r="T852">
        <v>0</v>
      </c>
      <c r="U852">
        <v>7.6003228302498353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64.80</v>
      </c>
      <c r="AB852">
        <v>1</v>
      </c>
      <c r="AC852">
        <v>0.10</v>
      </c>
      <c r="AD852">
        <v>0.10389195236953569</v>
      </c>
      <c r="AE852">
        <v>5400</v>
      </c>
      <c r="AF852">
        <v>200000</v>
      </c>
      <c r="AG852">
        <v>16666.666666666668</v>
      </c>
      <c r="AH852">
        <v>1</v>
      </c>
      <c r="AI852">
        <v>1</v>
      </c>
      <c r="AJ852" t="s">
        <v>136</v>
      </c>
      <c r="AK852" t="s">
        <v>137</v>
      </c>
      <c r="AL852">
        <v>0</v>
      </c>
      <c r="AM852" t="s">
        <v>137</v>
      </c>
      <c r="AN852">
        <v>0</v>
      </c>
    </row>
    <row r="853" spans="1:42" ht="12.75">
      <c r="A853" s="2" t="str">
        <f>HYPERLINK("https://ibp.a2mac1.com/costing(costing:projects/details/8191/process/6975830)","Manufacturing Process")</f>
        <v>Manufacturing Process</v>
      </c>
      <c r="C853">
        <v>6975830</v>
      </c>
      <c r="D853">
        <v>5389208</v>
      </c>
      <c r="E853">
        <v>0.30906608823529413</v>
      </c>
      <c r="F853">
        <v>0</v>
      </c>
      <c r="G853">
        <v>0</v>
      </c>
      <c r="H853">
        <v>0.0003365745882352941</v>
      </c>
      <c r="I853" t="s">
        <v>137</v>
      </c>
      <c r="J853">
        <v>0.011327029411764706</v>
      </c>
      <c r="K853">
        <v>0.32072969223529413</v>
      </c>
      <c r="L853">
        <v>0.037922540539062424</v>
      </c>
      <c r="M853">
        <v>0.22753524323437452</v>
      </c>
      <c r="N853">
        <v>0.5482649354696687</v>
      </c>
      <c r="O853" t="s">
        <v>138</v>
      </c>
      <c r="P853">
        <v>0.019243781534117647</v>
      </c>
      <c r="Q853" t="s">
        <v>138</v>
      </c>
      <c r="R853">
        <v>0.013652114594062471</v>
      </c>
      <c r="S853" t="s">
        <v>139</v>
      </c>
      <c r="T853">
        <v>0.06579179225636024</v>
      </c>
      <c r="U853">
        <v>0.64695262385420904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7.20</v>
      </c>
      <c r="AB853">
        <v>1</v>
      </c>
      <c r="AC853">
        <v>0.10</v>
      </c>
      <c r="AD853">
        <v>0.10389195236953569</v>
      </c>
      <c r="AE853">
        <v>5400</v>
      </c>
      <c r="AF853">
        <v>200000</v>
      </c>
      <c r="AG853">
        <v>16666.666666666668</v>
      </c>
      <c r="AH853">
        <v>1</v>
      </c>
      <c r="AI853">
        <v>1</v>
      </c>
      <c r="AJ853" t="s">
        <v>136</v>
      </c>
      <c r="AK853" t="s">
        <v>137</v>
      </c>
      <c r="AL853">
        <v>0</v>
      </c>
      <c r="AM853" t="s">
        <v>137</v>
      </c>
      <c r="AN853">
        <v>0</v>
      </c>
    </row>
    <row r="854" spans="1:42" ht="12.75">
      <c r="A854" s="2" t="str">
        <f>HYPERLINK("https://ibp.a2mac1.com/costing(costing:projects/details/8191/process/6975831)","Manufacturing Process")</f>
        <v>Manufacturing Process</v>
      </c>
      <c r="C854">
        <v>6975831</v>
      </c>
      <c r="D854">
        <v>5389209</v>
      </c>
      <c r="E854">
        <v>0.55307367500000004</v>
      </c>
      <c r="F854">
        <v>0</v>
      </c>
      <c r="G854">
        <v>0</v>
      </c>
      <c r="H854">
        <v>0.00061191130000000002</v>
      </c>
      <c r="I854" t="s">
        <v>137</v>
      </c>
      <c r="J854">
        <v>0.020593168750000002</v>
      </c>
      <c r="K854">
        <v>0.57427875505000003</v>
      </c>
      <c r="L854">
        <v>0.037922540539062424</v>
      </c>
      <c r="M854">
        <v>0.22753524323437452</v>
      </c>
      <c r="N854">
        <v>0.8018139982843745</v>
      </c>
      <c r="O854" t="s">
        <v>138</v>
      </c>
      <c r="P854">
        <v>0.034456725303000001</v>
      </c>
      <c r="Q854" t="s">
        <v>138</v>
      </c>
      <c r="R854">
        <v>0.013652114594062471</v>
      </c>
      <c r="S854" t="s">
        <v>139</v>
      </c>
      <c r="T854">
        <v>0.096217679794124947</v>
      </c>
      <c r="U854">
        <v>0.94614051797556198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7.20</v>
      </c>
      <c r="AB854">
        <v>1</v>
      </c>
      <c r="AC854">
        <v>0.10</v>
      </c>
      <c r="AD854">
        <v>0.10389195236953569</v>
      </c>
      <c r="AE854">
        <v>5400</v>
      </c>
      <c r="AF854">
        <v>200000</v>
      </c>
      <c r="AG854">
        <v>16666.666666666668</v>
      </c>
      <c r="AH854">
        <v>1</v>
      </c>
      <c r="AI854">
        <v>1</v>
      </c>
      <c r="AJ854" t="s">
        <v>136</v>
      </c>
      <c r="AK854" t="s">
        <v>137</v>
      </c>
      <c r="AL854">
        <v>0</v>
      </c>
      <c r="AM854" t="s">
        <v>137</v>
      </c>
      <c r="AN854">
        <v>0</v>
      </c>
    </row>
    <row r="855" spans="1:42" ht="12.75">
      <c r="A855" s="2" t="str">
        <f>HYPERLINK("https://ibp.a2mac1.com/costing(costing:projects/details/8191/process/6975891)","Manufacturing Process")</f>
        <v>Manufacturing Process</v>
      </c>
      <c r="C855">
        <v>6975891</v>
      </c>
      <c r="D855">
        <v>5389423</v>
      </c>
      <c r="E855">
        <v>0.49005883333333333</v>
      </c>
      <c r="F855">
        <v>0</v>
      </c>
      <c r="G855">
        <v>0</v>
      </c>
      <c r="H855">
        <v>0.00055098506666666669</v>
      </c>
      <c r="I855" t="s">
        <v>137</v>
      </c>
      <c r="J855">
        <v>0.018542766666666665</v>
      </c>
      <c r="K855">
        <v>0.50915258506666672</v>
      </c>
      <c r="L855">
        <v>0.019958738804621071</v>
      </c>
      <c r="M855">
        <v>0.11975243282772643</v>
      </c>
      <c r="N855">
        <v>0.62890501789439313</v>
      </c>
      <c r="O855" t="s">
        <v>138</v>
      </c>
      <c r="P855">
        <v>0.030549155104000001</v>
      </c>
      <c r="Q855" t="s">
        <v>138</v>
      </c>
      <c r="R855">
        <v>0.007185145969663586</v>
      </c>
      <c r="S855" t="s">
        <v>139</v>
      </c>
      <c r="T855">
        <v>0.075468602147327174</v>
      </c>
      <c r="U855">
        <v>0.74210792111538382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3.60</v>
      </c>
      <c r="AB855">
        <v>1</v>
      </c>
      <c r="AC855">
        <v>0.10</v>
      </c>
      <c r="AD855">
        <v>0.10389195236953569</v>
      </c>
      <c r="AE855">
        <v>5400</v>
      </c>
      <c r="AF855">
        <v>200000</v>
      </c>
      <c r="AG855">
        <v>16666.666666666668</v>
      </c>
      <c r="AH855">
        <v>1</v>
      </c>
      <c r="AI855">
        <v>1</v>
      </c>
      <c r="AJ855" t="s">
        <v>136</v>
      </c>
      <c r="AK855" t="s">
        <v>137</v>
      </c>
      <c r="AL855">
        <v>0</v>
      </c>
      <c r="AM855" t="s">
        <v>137</v>
      </c>
      <c r="AN855">
        <v>0</v>
      </c>
    </row>
    <row r="856" spans="1:42" ht="12.75">
      <c r="A856" s="2" t="str">
        <f>HYPERLINK("https://ibp.a2mac1.com/costing(costing:projects/details/8191/process/6975892)","Manufacturing Process")</f>
        <v>Manufacturing Process</v>
      </c>
      <c r="C856">
        <v>6975892</v>
      </c>
      <c r="D856">
        <v>5389424</v>
      </c>
      <c r="E856">
        <v>0.51654849999999997</v>
      </c>
      <c r="F856">
        <v>0</v>
      </c>
      <c r="G856">
        <v>0</v>
      </c>
      <c r="H856">
        <v>0.00059034114285714287</v>
      </c>
      <c r="I856" t="s">
        <v>137</v>
      </c>
      <c r="J856">
        <v>0.019867249999999999</v>
      </c>
      <c r="K856">
        <v>0.53700609114285713</v>
      </c>
      <c r="L856">
        <v>0.019958738804621071</v>
      </c>
      <c r="M856">
        <v>0.11975243282772643</v>
      </c>
      <c r="N856">
        <v>0.65675852397058354</v>
      </c>
      <c r="O856" t="s">
        <v>138</v>
      </c>
      <c r="P856">
        <v>0.032220365468571426</v>
      </c>
      <c r="Q856" t="s">
        <v>138</v>
      </c>
      <c r="R856">
        <v>0.007185145969663586</v>
      </c>
      <c r="S856" t="s">
        <v>139</v>
      </c>
      <c r="T856">
        <v>0.07881102287647003</v>
      </c>
      <c r="U856">
        <v>0.77497505828528856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3.60</v>
      </c>
      <c r="AB856">
        <v>1</v>
      </c>
      <c r="AC856">
        <v>0.10</v>
      </c>
      <c r="AD856">
        <v>0.10389195236953569</v>
      </c>
      <c r="AE856">
        <v>5400</v>
      </c>
      <c r="AF856">
        <v>200000</v>
      </c>
      <c r="AG856">
        <v>16666.666666666668</v>
      </c>
      <c r="AH856">
        <v>1</v>
      </c>
      <c r="AI856">
        <v>1</v>
      </c>
      <c r="AJ856" t="s">
        <v>136</v>
      </c>
      <c r="AK856" t="s">
        <v>137</v>
      </c>
      <c r="AL856">
        <v>0</v>
      </c>
      <c r="AM856" t="s">
        <v>137</v>
      </c>
      <c r="AN856">
        <v>0</v>
      </c>
    </row>
    <row r="857" spans="1:42" ht="12.75">
      <c r="A857" s="2" t="str">
        <f>HYPERLINK("https://ibp.a2mac1.com/costing(costing:projects/details/8191/process/6975893)","Manufacturing Process")</f>
        <v>Manufacturing Process</v>
      </c>
      <c r="C857">
        <v>6975893</v>
      </c>
      <c r="D857">
        <v>5389425</v>
      </c>
      <c r="E857">
        <v>0.04120881176470588</v>
      </c>
      <c r="F857">
        <v>0</v>
      </c>
      <c r="G857">
        <v>0</v>
      </c>
      <c r="H857">
        <v>4.4876611764705885E-05</v>
      </c>
      <c r="I857" t="s">
        <v>137</v>
      </c>
      <c r="J857">
        <v>0.0015102705882352942</v>
      </c>
      <c r="K857">
        <v>0.042763958964705882</v>
      </c>
      <c r="L857">
        <v>0.010976837937400397</v>
      </c>
      <c r="M857">
        <v>0.06586102762440238</v>
      </c>
      <c r="N857">
        <v>0.10862498658910825</v>
      </c>
      <c r="O857" t="s">
        <v>138</v>
      </c>
      <c r="P857">
        <v>0.0025658375378823529</v>
      </c>
      <c r="Q857" t="s">
        <v>138</v>
      </c>
      <c r="R857">
        <v>0.0039516616574641426</v>
      </c>
      <c r="S857" t="s">
        <v>139</v>
      </c>
      <c r="T857">
        <v>0.013034998390692991</v>
      </c>
      <c r="U857">
        <v>0.12817748417514774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1.80</v>
      </c>
      <c r="AB857">
        <v>1</v>
      </c>
      <c r="AC857">
        <v>0.10</v>
      </c>
      <c r="AD857">
        <v>0.10389195236953569</v>
      </c>
      <c r="AE857">
        <v>5400</v>
      </c>
      <c r="AF857">
        <v>200000</v>
      </c>
      <c r="AG857">
        <v>16666.666666666668</v>
      </c>
      <c r="AH857">
        <v>1</v>
      </c>
      <c r="AI857">
        <v>1</v>
      </c>
      <c r="AJ857" t="s">
        <v>136</v>
      </c>
      <c r="AK857" t="s">
        <v>137</v>
      </c>
      <c r="AL857">
        <v>0</v>
      </c>
      <c r="AM857" t="s">
        <v>137</v>
      </c>
      <c r="AN857">
        <v>0</v>
      </c>
    </row>
    <row r="858" spans="1:42" ht="12.75">
      <c r="A858" s="2" t="str">
        <f>HYPERLINK("https://ibp.a2mac1.com/costing(costing:projects/details/8191/process/6975894)","Manufacturing Process")</f>
        <v>Manufacturing Process</v>
      </c>
      <c r="C858">
        <v>6975894</v>
      </c>
      <c r="D858">
        <v>5389426</v>
      </c>
      <c r="E858">
        <v>1.4133256000000001</v>
      </c>
      <c r="F858">
        <v>0</v>
      </c>
      <c r="G858">
        <v>0</v>
      </c>
      <c r="H858">
        <v>0.0017292454400000001</v>
      </c>
      <c r="I858" t="s">
        <v>137</v>
      </c>
      <c r="J858">
        <v>0.058195759999999999</v>
      </c>
      <c r="K858">
        <v>1.4732506054400001</v>
      </c>
      <c r="L858">
        <v>0.16366915268015186</v>
      </c>
      <c r="M858">
        <v>0.98201491608091118</v>
      </c>
      <c r="N858">
        <v>2.4552655215209112</v>
      </c>
      <c r="O858" t="s">
        <v>138</v>
      </c>
      <c r="P858">
        <v>0.088395036326400001</v>
      </c>
      <c r="Q858" t="s">
        <v>138</v>
      </c>
      <c r="R858">
        <v>0.058920894964854677</v>
      </c>
      <c r="S858" t="s">
        <v>139</v>
      </c>
      <c r="T858">
        <v>0.29463186258250934</v>
      </c>
      <c r="U858">
        <v>2.8972133153946751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32.40</v>
      </c>
      <c r="AB858">
        <v>1</v>
      </c>
      <c r="AC858">
        <v>0.10</v>
      </c>
      <c r="AD858">
        <v>0.10389195236953569</v>
      </c>
      <c r="AE858">
        <v>5400</v>
      </c>
      <c r="AF858">
        <v>200000</v>
      </c>
      <c r="AG858">
        <v>16666.666666666668</v>
      </c>
      <c r="AH858">
        <v>1</v>
      </c>
      <c r="AI858">
        <v>1</v>
      </c>
      <c r="AJ858" t="s">
        <v>136</v>
      </c>
      <c r="AK858" t="s">
        <v>137</v>
      </c>
      <c r="AL858">
        <v>0</v>
      </c>
      <c r="AM858" t="s">
        <v>137</v>
      </c>
      <c r="AN858">
        <v>0</v>
      </c>
    </row>
    <row r="859" spans="1:42" ht="12.75">
      <c r="A859" s="2" t="str">
        <f>HYPERLINK("https://ibp.a2mac1.com/costing(costing:projects/details/8191/process/6975832)","Manufacturing Process")</f>
        <v>Manufacturing Process</v>
      </c>
      <c r="C859">
        <v>6975832</v>
      </c>
      <c r="D859">
        <v>5389212</v>
      </c>
      <c r="E859">
        <v>0.16586606666666667</v>
      </c>
      <c r="F859">
        <v>0</v>
      </c>
      <c r="G859">
        <v>0</v>
      </c>
      <c r="H859">
        <v>0.00018648725333333333</v>
      </c>
      <c r="I859" t="s">
        <v>137</v>
      </c>
      <c r="J859">
        <v>0.0062760133333333336</v>
      </c>
      <c r="K859">
        <v>0.17232856725333334</v>
      </c>
      <c r="L859">
        <v>0.010976837937400397</v>
      </c>
      <c r="M859">
        <v>0.06586102762440238</v>
      </c>
      <c r="N859">
        <v>0.23818959487773572</v>
      </c>
      <c r="O859" t="s">
        <v>138</v>
      </c>
      <c r="P859">
        <v>0.010339714035200001</v>
      </c>
      <c r="Q859" t="s">
        <v>138</v>
      </c>
      <c r="R859">
        <v>0.0039516616574641426</v>
      </c>
      <c r="S859" t="s">
        <v>139</v>
      </c>
      <c r="T859">
        <v>0.028582751385328287</v>
      </c>
      <c r="U859">
        <v>0.28106372195572815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1.80</v>
      </c>
      <c r="AB859">
        <v>1</v>
      </c>
      <c r="AC859">
        <v>0.10</v>
      </c>
      <c r="AD859">
        <v>0.10389195236953569</v>
      </c>
      <c r="AE859">
        <v>5400</v>
      </c>
      <c r="AF859">
        <v>200000</v>
      </c>
      <c r="AG859">
        <v>16666.666666666668</v>
      </c>
      <c r="AH859">
        <v>1</v>
      </c>
      <c r="AI859">
        <v>1</v>
      </c>
      <c r="AJ859" t="s">
        <v>136</v>
      </c>
      <c r="AK859" t="s">
        <v>137</v>
      </c>
      <c r="AL859">
        <v>0</v>
      </c>
      <c r="AM859" t="s">
        <v>137</v>
      </c>
      <c r="AN859">
        <v>0</v>
      </c>
    </row>
    <row r="860" spans="1:42" ht="12.75">
      <c r="A860" s="2" t="str">
        <f>HYPERLINK("https://ibp.a2mac1.com/costing(costing:projects/details/8191/process/6976138)","Manufacturing Process")</f>
        <v>Manufacturing Process</v>
      </c>
      <c r="C860">
        <v>6976138</v>
      </c>
      <c r="D860">
        <v>5389714</v>
      </c>
      <c r="E860">
        <v>0.14324796666666667</v>
      </c>
      <c r="F860">
        <v>0</v>
      </c>
      <c r="G860">
        <v>0</v>
      </c>
      <c r="H860">
        <v>0.00016105717333333332</v>
      </c>
      <c r="I860" t="s">
        <v>137</v>
      </c>
      <c r="J860">
        <v>0.0054201933333333334</v>
      </c>
      <c r="K860">
        <v>0.14882921717333333</v>
      </c>
      <c r="L860">
        <v>0.010976837937400397</v>
      </c>
      <c r="M860">
        <v>0.06586102762440238</v>
      </c>
      <c r="N860">
        <v>0.21469024479773571</v>
      </c>
      <c r="O860" t="s">
        <v>138</v>
      </c>
      <c r="P860">
        <v>0.0089297530304000006</v>
      </c>
      <c r="Q860" t="s">
        <v>138</v>
      </c>
      <c r="R860">
        <v>0.0039516616574641426</v>
      </c>
      <c r="S860" t="s">
        <v>139</v>
      </c>
      <c r="T860">
        <v>0.025762829375728286</v>
      </c>
      <c r="U860">
        <v>0.25333448886132814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1.80</v>
      </c>
      <c r="AB860">
        <v>1</v>
      </c>
      <c r="AC860">
        <v>0.10</v>
      </c>
      <c r="AD860">
        <v>0.10389195236953569</v>
      </c>
      <c r="AE860">
        <v>5400</v>
      </c>
      <c r="AF860">
        <v>200000</v>
      </c>
      <c r="AG860">
        <v>16666.666666666668</v>
      </c>
      <c r="AH860">
        <v>1</v>
      </c>
      <c r="AI860">
        <v>1</v>
      </c>
      <c r="AJ860" t="s">
        <v>136</v>
      </c>
      <c r="AK860" t="s">
        <v>137</v>
      </c>
      <c r="AL860">
        <v>0</v>
      </c>
      <c r="AM860" t="s">
        <v>137</v>
      </c>
      <c r="AN860">
        <v>0</v>
      </c>
    </row>
    <row r="861" spans="1:42" ht="12.75">
      <c r="A861" s="2" t="str">
        <f>HYPERLINK("https://ibp.a2mac1.com/costing(costing:projects/details/8191/process/6975833)","Manufacturing Process")</f>
        <v>Manufacturing Process</v>
      </c>
      <c r="C861">
        <v>6975833</v>
      </c>
      <c r="D861">
        <v>5389214</v>
      </c>
      <c r="E861">
        <v>1.4133256000000001</v>
      </c>
      <c r="F861">
        <v>0</v>
      </c>
      <c r="G861">
        <v>0</v>
      </c>
      <c r="H861">
        <v>0.0017292454400000001</v>
      </c>
      <c r="I861" t="s">
        <v>137</v>
      </c>
      <c r="J861">
        <v>0.058195759999999999</v>
      </c>
      <c r="K861">
        <v>1.4732506054400001</v>
      </c>
      <c r="L861">
        <v>0.16366915268015186</v>
      </c>
      <c r="M861">
        <v>0.98201491608091118</v>
      </c>
      <c r="N861">
        <v>2.4552655215209112</v>
      </c>
      <c r="O861" t="s">
        <v>138</v>
      </c>
      <c r="P861">
        <v>0.088395036326400001</v>
      </c>
      <c r="Q861" t="s">
        <v>138</v>
      </c>
      <c r="R861">
        <v>0.058920894964854677</v>
      </c>
      <c r="S861" t="s">
        <v>139</v>
      </c>
      <c r="T861">
        <v>0.29463186258250934</v>
      </c>
      <c r="U861">
        <v>2.8972133153946751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32.40</v>
      </c>
      <c r="AB861">
        <v>1</v>
      </c>
      <c r="AC861">
        <v>0.10</v>
      </c>
      <c r="AD861">
        <v>0.10389195236953569</v>
      </c>
      <c r="AE861">
        <v>5400</v>
      </c>
      <c r="AF861">
        <v>200000</v>
      </c>
      <c r="AG861">
        <v>16666.666666666668</v>
      </c>
      <c r="AH861">
        <v>1</v>
      </c>
      <c r="AI861">
        <v>1</v>
      </c>
      <c r="AJ861" t="s">
        <v>136</v>
      </c>
      <c r="AK861" t="s">
        <v>137</v>
      </c>
      <c r="AL861">
        <v>0</v>
      </c>
      <c r="AM861" t="s">
        <v>137</v>
      </c>
      <c r="AN861">
        <v>0</v>
      </c>
    </row>
    <row r="862" spans="1:42" ht="12.75">
      <c r="A862" s="2" t="str">
        <f>HYPERLINK("https://ibp.a2mac1.com/costing(costing:projects/details/8191/process/6975895)","Manufacturing Process")</f>
        <v>Manufacturing Process</v>
      </c>
      <c r="C862">
        <v>6975895</v>
      </c>
      <c r="D862">
        <v>5389428</v>
      </c>
      <c r="E862">
        <v>0.70870046666666664</v>
      </c>
      <c r="F862">
        <v>0</v>
      </c>
      <c r="G862">
        <v>0</v>
      </c>
      <c r="H862">
        <v>0.00079680917333333336</v>
      </c>
      <c r="I862" t="s">
        <v>137</v>
      </c>
      <c r="J862">
        <v>0.026815693333333335</v>
      </c>
      <c r="K862">
        <v>0.73631296917333333</v>
      </c>
      <c r="L862">
        <v>0.019958738804621071</v>
      </c>
      <c r="M862">
        <v>0.11975243282772643</v>
      </c>
      <c r="N862">
        <v>0.85606540200105974</v>
      </c>
      <c r="O862" t="s">
        <v>138</v>
      </c>
      <c r="P862">
        <v>0.0441787781504</v>
      </c>
      <c r="Q862" t="s">
        <v>138</v>
      </c>
      <c r="R862">
        <v>0.007185145969663586</v>
      </c>
      <c r="S862" t="s">
        <v>139</v>
      </c>
      <c r="T862">
        <v>0.10272784824012716</v>
      </c>
      <c r="U862">
        <v>1.0101571743612505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3.60</v>
      </c>
      <c r="AB862">
        <v>1</v>
      </c>
      <c r="AC862">
        <v>0.10</v>
      </c>
      <c r="AD862">
        <v>0.10389195236953569</v>
      </c>
      <c r="AE862">
        <v>5400</v>
      </c>
      <c r="AF862">
        <v>200000</v>
      </c>
      <c r="AG862">
        <v>16666.666666666668</v>
      </c>
      <c r="AH862">
        <v>1</v>
      </c>
      <c r="AI862">
        <v>1</v>
      </c>
      <c r="AJ862" t="s">
        <v>136</v>
      </c>
      <c r="AK862" t="s">
        <v>137</v>
      </c>
      <c r="AL862">
        <v>0</v>
      </c>
      <c r="AM862" t="s">
        <v>137</v>
      </c>
      <c r="AN862">
        <v>0</v>
      </c>
    </row>
    <row r="863" spans="1:42" ht="12.75">
      <c r="A863" s="2" t="str">
        <f>HYPERLINK("https://ibp.a2mac1.com/costing(costing:projects/details/8191/process/6975896)","Manufacturing Process")</f>
        <v>Manufacturing Process</v>
      </c>
      <c r="C863">
        <v>6975896</v>
      </c>
      <c r="D863">
        <v>5389429</v>
      </c>
      <c r="E863">
        <v>0.20830047500000001</v>
      </c>
      <c r="F863">
        <v>0</v>
      </c>
      <c r="G863">
        <v>0</v>
      </c>
      <c r="H863">
        <v>0.00023046009999999999</v>
      </c>
      <c r="I863" t="s">
        <v>137</v>
      </c>
      <c r="J863">
        <v>0.0077558687499999996</v>
      </c>
      <c r="K863">
        <v>0.21628680384999999</v>
      </c>
      <c r="L863">
        <v>0.010976837937400397</v>
      </c>
      <c r="M863">
        <v>0.06586102762440238</v>
      </c>
      <c r="N863">
        <v>0.28214783147440237</v>
      </c>
      <c r="O863" t="s">
        <v>138</v>
      </c>
      <c r="P863">
        <v>0.012977208230999999</v>
      </c>
      <c r="Q863" t="s">
        <v>138</v>
      </c>
      <c r="R863">
        <v>0.0039516616574641426</v>
      </c>
      <c r="S863" t="s">
        <v>139</v>
      </c>
      <c r="T863">
        <v>0.033857739776928283</v>
      </c>
      <c r="U863">
        <v>0.33293444113979481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1.80</v>
      </c>
      <c r="AB863">
        <v>1</v>
      </c>
      <c r="AC863">
        <v>0.10</v>
      </c>
      <c r="AD863">
        <v>0.10389195236953569</v>
      </c>
      <c r="AE863">
        <v>5400</v>
      </c>
      <c r="AF863">
        <v>200000</v>
      </c>
      <c r="AG863">
        <v>16666.666666666668</v>
      </c>
      <c r="AH863">
        <v>1</v>
      </c>
      <c r="AI863">
        <v>1</v>
      </c>
      <c r="AJ863" t="s">
        <v>136</v>
      </c>
      <c r="AK863" t="s">
        <v>137</v>
      </c>
      <c r="AL863">
        <v>0</v>
      </c>
      <c r="AM863" t="s">
        <v>137</v>
      </c>
      <c r="AN863">
        <v>0</v>
      </c>
    </row>
    <row r="864" spans="1:42" ht="12.75">
      <c r="A864" s="2" t="str">
        <f>HYPERLINK("https://ibp.a2mac1.com/costing(costing:projects/details/8191/process/6975897)","Manufacturing Process")</f>
        <v>Manufacturing Process</v>
      </c>
      <c r="C864">
        <v>6975897</v>
      </c>
      <c r="D864">
        <v>5389430</v>
      </c>
      <c r="E864">
        <v>0.24421435</v>
      </c>
      <c r="F864">
        <v>0</v>
      </c>
      <c r="G864">
        <v>0</v>
      </c>
      <c r="H864">
        <v>0.00027019460000000001</v>
      </c>
      <c r="I864" t="s">
        <v>137</v>
      </c>
      <c r="J864">
        <v>0.0090930874999999994</v>
      </c>
      <c r="K864">
        <v>0.25357763210000001</v>
      </c>
      <c r="L864">
        <v>0.010976837937400397</v>
      </c>
      <c r="M864">
        <v>0.06586102762440238</v>
      </c>
      <c r="N864">
        <v>0.31943865972440239</v>
      </c>
      <c r="O864" t="s">
        <v>138</v>
      </c>
      <c r="P864">
        <v>0.015214657926</v>
      </c>
      <c r="Q864" t="s">
        <v>138</v>
      </c>
      <c r="R864">
        <v>0.0039516616574641426</v>
      </c>
      <c r="S864" t="s">
        <v>139</v>
      </c>
      <c r="T864">
        <v>0.038332639166928285</v>
      </c>
      <c r="U864">
        <v>0.37693761847479479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1.80</v>
      </c>
      <c r="AB864">
        <v>1</v>
      </c>
      <c r="AC864">
        <v>0.10</v>
      </c>
      <c r="AD864">
        <v>0.10389195236953569</v>
      </c>
      <c r="AE864">
        <v>5400</v>
      </c>
      <c r="AF864">
        <v>200000</v>
      </c>
      <c r="AG864">
        <v>16666.666666666668</v>
      </c>
      <c r="AH864">
        <v>1</v>
      </c>
      <c r="AI864">
        <v>1</v>
      </c>
      <c r="AJ864" t="s">
        <v>136</v>
      </c>
      <c r="AK864" t="s">
        <v>137</v>
      </c>
      <c r="AL864">
        <v>0</v>
      </c>
      <c r="AM864" t="s">
        <v>137</v>
      </c>
      <c r="AN864">
        <v>0</v>
      </c>
    </row>
    <row r="865" spans="1:42" ht="12.75">
      <c r="A865" s="2" t="str">
        <f>HYPERLINK("https://ibp.a2mac1.com/costing(costing:projects/details/8191/process/6975898)","Manufacturing Process")</f>
        <v>Manufacturing Process</v>
      </c>
      <c r="C865">
        <v>6975898</v>
      </c>
      <c r="D865">
        <v>5389431</v>
      </c>
      <c r="E865">
        <v>1.6926897000000001</v>
      </c>
      <c r="F865">
        <v>0</v>
      </c>
      <c r="G865">
        <v>0</v>
      </c>
      <c r="H865">
        <v>0.0019345025142857143</v>
      </c>
      <c r="I865" t="s">
        <v>137</v>
      </c>
      <c r="J865">
        <v>0.065103449999999993</v>
      </c>
      <c r="K865">
        <v>1.7597276525142858</v>
      </c>
      <c r="L865">
        <v>0.028940639671841746</v>
      </c>
      <c r="M865">
        <v>0.17364383803105049</v>
      </c>
      <c r="N865">
        <v>1.9333714905453363</v>
      </c>
      <c r="O865" t="s">
        <v>138</v>
      </c>
      <c r="P865">
        <v>0.10558365915085714</v>
      </c>
      <c r="Q865" t="s">
        <v>138</v>
      </c>
      <c r="R865">
        <v>0.010418630281863029</v>
      </c>
      <c r="S865" t="s">
        <v>139</v>
      </c>
      <c r="T865">
        <v>0.23200457886544035</v>
      </c>
      <c r="U865">
        <v>2.2813783588434968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5.40</v>
      </c>
      <c r="AB865">
        <v>1</v>
      </c>
      <c r="AC865">
        <v>0.10</v>
      </c>
      <c r="AD865">
        <v>0.10389195236953569</v>
      </c>
      <c r="AE865">
        <v>5400</v>
      </c>
      <c r="AF865">
        <v>200000</v>
      </c>
      <c r="AG865">
        <v>16666.666666666668</v>
      </c>
      <c r="AH865">
        <v>1</v>
      </c>
      <c r="AI865">
        <v>1</v>
      </c>
      <c r="AJ865" t="s">
        <v>136</v>
      </c>
      <c r="AK865" t="s">
        <v>137</v>
      </c>
      <c r="AL865">
        <v>0</v>
      </c>
      <c r="AM865" t="s">
        <v>137</v>
      </c>
      <c r="AN865">
        <v>0</v>
      </c>
    </row>
    <row r="866" spans="1:42" ht="12.75">
      <c r="A866" s="2" t="str">
        <f>HYPERLINK("https://ibp.a2mac1.com/costing(costing:projects/details/8191/process/6975834)","Manufacturing Process")</f>
        <v>Manufacturing Process</v>
      </c>
      <c r="C866">
        <v>6975834</v>
      </c>
      <c r="D866">
        <v>5389218</v>
      </c>
      <c r="E866">
        <v>3.1868147764705883</v>
      </c>
      <c r="F866">
        <v>0</v>
      </c>
      <c r="G866">
        <v>0</v>
      </c>
      <c r="H866">
        <v>0.0034704579764705881</v>
      </c>
      <c r="I866" t="s">
        <v>137</v>
      </c>
      <c r="J866">
        <v>0.11679425882352941</v>
      </c>
      <c r="K866">
        <v>3.3070794932705883</v>
      </c>
      <c r="L866">
        <v>0.16366915268015186</v>
      </c>
      <c r="M866">
        <v>0.98201491608091118</v>
      </c>
      <c r="N866">
        <v>4.2890944093514998</v>
      </c>
      <c r="O866" t="s">
        <v>90</v>
      </c>
      <c r="P866">
        <v>0</v>
      </c>
      <c r="Q866" t="s">
        <v>90</v>
      </c>
      <c r="R866">
        <v>0</v>
      </c>
      <c r="S866" t="s">
        <v>90</v>
      </c>
      <c r="T866">
        <v>0</v>
      </c>
      <c r="U866">
        <v>4.2890944093514998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32.40</v>
      </c>
      <c r="AB866">
        <v>1</v>
      </c>
      <c r="AC866">
        <v>0.10</v>
      </c>
      <c r="AD866">
        <v>0.10389195236953569</v>
      </c>
      <c r="AE866">
        <v>5400</v>
      </c>
      <c r="AF866">
        <v>200000</v>
      </c>
      <c r="AG866">
        <v>16666.666666666668</v>
      </c>
      <c r="AH866">
        <v>1</v>
      </c>
      <c r="AI866">
        <v>1</v>
      </c>
      <c r="AJ866" t="s">
        <v>136</v>
      </c>
      <c r="AK866" t="s">
        <v>137</v>
      </c>
      <c r="AL866">
        <v>0</v>
      </c>
      <c r="AM866" t="s">
        <v>137</v>
      </c>
      <c r="AN866">
        <v>0</v>
      </c>
    </row>
    <row r="867" spans="1:42" ht="12.75">
      <c r="A867" s="2" t="str">
        <f>HYPERLINK("https://ibp.a2mac1.com/costing(costing:projects/details/8191/process/6975301)","Assembly")</f>
        <v>Assembly</v>
      </c>
      <c r="C867">
        <v>6975301</v>
      </c>
      <c r="D867">
        <v>5388227</v>
      </c>
      <c r="E867">
        <v>0</v>
      </c>
      <c r="F867">
        <v>0</v>
      </c>
      <c r="G867">
        <v>0</v>
      </c>
      <c r="H867">
        <v>0</v>
      </c>
      <c r="I867" t="s">
        <v>137</v>
      </c>
      <c r="J867">
        <v>0</v>
      </c>
      <c r="K867">
        <v>0</v>
      </c>
      <c r="L867">
        <v>0.19662147150774253</v>
      </c>
      <c r="M867">
        <v>1.1797288290464552</v>
      </c>
      <c r="N867">
        <v>1.1797288290464552</v>
      </c>
      <c r="O867" t="s">
        <v>90</v>
      </c>
      <c r="P867">
        <v>0</v>
      </c>
      <c r="Q867" t="s">
        <v>90</v>
      </c>
      <c r="R867">
        <v>0</v>
      </c>
      <c r="S867" t="s">
        <v>90</v>
      </c>
      <c r="T867">
        <v>0</v>
      </c>
      <c r="U867">
        <v>1.1797288290464552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150</v>
      </c>
      <c r="AB867">
        <v>1</v>
      </c>
      <c r="AC867">
        <v>1.99</v>
      </c>
      <c r="AD867">
        <v>1.9992159937279499</v>
      </c>
      <c r="AE867">
        <v>1800</v>
      </c>
      <c r="AF867">
        <v>200000</v>
      </c>
      <c r="AG867">
        <v>10000</v>
      </c>
      <c r="AH867">
        <v>1</v>
      </c>
      <c r="AI867">
        <v>1</v>
      </c>
      <c r="AJ867" t="s">
        <v>79</v>
      </c>
      <c r="AK867" t="s">
        <v>137</v>
      </c>
      <c r="AL867">
        <v>0</v>
      </c>
      <c r="AM867" t="s">
        <v>137</v>
      </c>
      <c r="AN867">
        <v>0</v>
      </c>
      <c r="AP867">
        <v>0</v>
      </c>
    </row>
    <row r="868" spans="1:42" ht="12.75">
      <c r="A868" s="2" t="str">
        <f>HYPERLINK("https://ibp.a2mac1.com/costing(costing:projects/details/8191/process/6975688)","Automated Process")</f>
        <v>Automated Process</v>
      </c>
      <c r="C868">
        <v>6975688</v>
      </c>
      <c r="D868">
        <v>5388850</v>
      </c>
      <c r="E868">
        <v>0.62625750599999996</v>
      </c>
      <c r="F868">
        <v>0</v>
      </c>
      <c r="G868">
        <v>0</v>
      </c>
      <c r="H868">
        <v>0.0031768049928421051</v>
      </c>
      <c r="I868" t="s">
        <v>137</v>
      </c>
      <c r="J868">
        <v>0.02197394757894737</v>
      </c>
      <c r="K868">
        <v>0.65140825857178952</v>
      </c>
      <c r="L868">
        <v>0.010961022270663793</v>
      </c>
      <c r="M868">
        <v>0.065766133623982759</v>
      </c>
      <c r="N868">
        <v>0.71717439219577228</v>
      </c>
      <c r="O868" t="s">
        <v>138</v>
      </c>
      <c r="P868">
        <v>0.039084495514307371</v>
      </c>
      <c r="Q868" t="s">
        <v>138</v>
      </c>
      <c r="R868">
        <v>0.0039459680174389654</v>
      </c>
      <c r="S868" t="s">
        <v>139</v>
      </c>
      <c r="T868">
        <v>0.086060927063492665</v>
      </c>
      <c r="U868">
        <v>0.84626578279101128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60</v>
      </c>
      <c r="AB868">
        <v>1</v>
      </c>
      <c r="AC868">
        <v>0.50</v>
      </c>
      <c r="AD868">
        <v>0.50345253019720215</v>
      </c>
      <c r="AE868">
        <v>637.20</v>
      </c>
      <c r="AF868">
        <v>200000</v>
      </c>
      <c r="AG868">
        <v>16666.666666666668</v>
      </c>
      <c r="AH868">
        <v>1</v>
      </c>
      <c r="AI868">
        <v>1</v>
      </c>
      <c r="AJ868" t="s">
        <v>136</v>
      </c>
      <c r="AK868" t="s">
        <v>137</v>
      </c>
      <c r="AL868">
        <v>0</v>
      </c>
      <c r="AM868" t="s">
        <v>137</v>
      </c>
      <c r="AN868">
        <v>0</v>
      </c>
    </row>
    <row r="869" spans="1:42" ht="12.75">
      <c r="A869" s="2" t="str">
        <f>HYPERLINK("https://ibp.a2mac1.com/costing(costing:projects/details/8191/process/6975689)","Automated Process")</f>
        <v>Automated Process</v>
      </c>
      <c r="C869">
        <v>6975689</v>
      </c>
      <c r="D869">
        <v>5388851</v>
      </c>
      <c r="E869">
        <v>0.045111769500000003</v>
      </c>
      <c r="F869">
        <v>0</v>
      </c>
      <c r="G869">
        <v>0</v>
      </c>
      <c r="H869">
        <v>0.00022883764778947369</v>
      </c>
      <c r="I869" t="s">
        <v>137</v>
      </c>
      <c r="J869">
        <v>0.001582869105263158</v>
      </c>
      <c r="K869">
        <v>0.046923476253052633</v>
      </c>
      <c r="L869">
        <v>0.00078912868272557534</v>
      </c>
      <c r="M869">
        <v>0.0047347720963534521</v>
      </c>
      <c r="N869">
        <v>0.051658248349406084</v>
      </c>
      <c r="O869" t="s">
        <v>138</v>
      </c>
      <c r="P869">
        <v>0.0028154085751831578</v>
      </c>
      <c r="Q869" t="s">
        <v>138</v>
      </c>
      <c r="R869">
        <v>0.00028408632578120715</v>
      </c>
      <c r="S869" t="s">
        <v>139</v>
      </c>
      <c r="T869">
        <v>0.0061989898019287303</v>
      </c>
      <c r="U869">
        <v>0.060956733052299178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60</v>
      </c>
      <c r="AB869">
        <v>1</v>
      </c>
      <c r="AC869">
        <v>0.50</v>
      </c>
      <c r="AD869">
        <v>0.50345253019720215</v>
      </c>
      <c r="AE869">
        <v>45.90</v>
      </c>
      <c r="AF869">
        <v>200000</v>
      </c>
      <c r="AG869">
        <v>16666.666666666668</v>
      </c>
      <c r="AH869">
        <v>1</v>
      </c>
      <c r="AI869">
        <v>1</v>
      </c>
      <c r="AJ869" t="s">
        <v>136</v>
      </c>
      <c r="AK869" t="s">
        <v>137</v>
      </c>
      <c r="AL869">
        <v>0</v>
      </c>
      <c r="AM869" t="s">
        <v>137</v>
      </c>
      <c r="AN869">
        <v>0</v>
      </c>
    </row>
    <row r="870" spans="1:42" ht="12.75">
      <c r="A870" s="2" t="str">
        <f>HYPERLINK("https://ibp.a2mac1.com/costing(costing:projects/details/8191/process/6975463)","Automated Process")</f>
        <v>Automated Process</v>
      </c>
      <c r="C870">
        <v>6975463</v>
      </c>
      <c r="D870">
        <v>5388523</v>
      </c>
      <c r="E870">
        <v>1.4240736089999999</v>
      </c>
      <c r="F870">
        <v>0</v>
      </c>
      <c r="G870">
        <v>0</v>
      </c>
      <c r="H870">
        <v>0.0072238721418947365</v>
      </c>
      <c r="I870" t="s">
        <v>137</v>
      </c>
      <c r="J870">
        <v>0.04996749505263158</v>
      </c>
      <c r="K870">
        <v>1.4812649761945262</v>
      </c>
      <c r="L870">
        <v>0.062456483255560455</v>
      </c>
      <c r="M870">
        <v>0.3747388995333627</v>
      </c>
      <c r="N870">
        <v>1.8560038757278889</v>
      </c>
      <c r="O870" t="s">
        <v>90</v>
      </c>
      <c r="P870">
        <v>0</v>
      </c>
      <c r="Q870" t="s">
        <v>90</v>
      </c>
      <c r="R870">
        <v>0</v>
      </c>
      <c r="S870" t="s">
        <v>90</v>
      </c>
      <c r="T870">
        <v>0</v>
      </c>
      <c r="U870">
        <v>1.8560038757278889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60</v>
      </c>
      <c r="AB870">
        <v>1</v>
      </c>
      <c r="AC870">
        <v>0.50</v>
      </c>
      <c r="AD870">
        <v>0.50345253019720215</v>
      </c>
      <c r="AE870">
        <v>3620.70</v>
      </c>
      <c r="AF870">
        <v>200000</v>
      </c>
      <c r="AG870">
        <v>16666.666666666668</v>
      </c>
      <c r="AH870">
        <v>1</v>
      </c>
      <c r="AI870">
        <v>1</v>
      </c>
      <c r="AJ870" t="s">
        <v>136</v>
      </c>
      <c r="AK870" t="s">
        <v>137</v>
      </c>
      <c r="AL870">
        <v>0</v>
      </c>
      <c r="AM870" t="s">
        <v>137</v>
      </c>
      <c r="AN870">
        <v>0</v>
      </c>
    </row>
    <row r="871" spans="1:42" ht="12.75">
      <c r="A871" s="2" t="str">
        <f>HYPERLINK("https://ibp.a2mac1.com/costing(costing:projects/details/8191/process/6975464)","Automated Process")</f>
        <v>Automated Process</v>
      </c>
      <c r="C871">
        <v>6975464</v>
      </c>
      <c r="D871">
        <v>5388524</v>
      </c>
      <c r="E871">
        <v>0.67348990799999997</v>
      </c>
      <c r="F871">
        <v>0</v>
      </c>
      <c r="G871">
        <v>0</v>
      </c>
      <c r="H871">
        <v>0.0034163999343157893</v>
      </c>
      <c r="I871" t="s">
        <v>137</v>
      </c>
      <c r="J871">
        <v>0.023631224842105263</v>
      </c>
      <c r="K871">
        <v>0.70053753277642106</v>
      </c>
      <c r="L871">
        <v>0.32908379657960268</v>
      </c>
      <c r="M871">
        <v>1.974502779477616</v>
      </c>
      <c r="N871">
        <v>2.6750403122540369</v>
      </c>
      <c r="O871" t="s">
        <v>90</v>
      </c>
      <c r="P871">
        <v>0</v>
      </c>
      <c r="Q871" t="s">
        <v>90</v>
      </c>
      <c r="R871">
        <v>0</v>
      </c>
      <c r="S871" t="s">
        <v>90</v>
      </c>
      <c r="T871">
        <v>0</v>
      </c>
      <c r="U871">
        <v>2.6750403122540369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185</v>
      </c>
      <c r="AB871">
        <v>1</v>
      </c>
      <c r="AC871">
        <v>0.50</v>
      </c>
      <c r="AD871">
        <v>0.50345253019720215</v>
      </c>
      <c r="AE871">
        <v>10800</v>
      </c>
      <c r="AF871">
        <v>200000</v>
      </c>
      <c r="AG871">
        <v>16666.666666666668</v>
      </c>
      <c r="AH871">
        <v>1</v>
      </c>
      <c r="AI871">
        <v>1</v>
      </c>
      <c r="AJ871" t="s">
        <v>136</v>
      </c>
      <c r="AK871" t="s">
        <v>137</v>
      </c>
      <c r="AL871">
        <v>0</v>
      </c>
      <c r="AM871" t="s">
        <v>137</v>
      </c>
      <c r="AN871">
        <v>0</v>
      </c>
    </row>
    <row r="872" spans="1:42" ht="12.75">
      <c r="A872" s="2" t="str">
        <f>HYPERLINK("https://ibp.a2mac1.com/costing(costing:projects/details/8191/process/6975465)","Automated Process")</f>
        <v>Automated Process</v>
      </c>
      <c r="C872">
        <v>6975465</v>
      </c>
      <c r="D872">
        <v>5388525</v>
      </c>
      <c r="E872">
        <v>1.02633563025</v>
      </c>
      <c r="F872">
        <v>0</v>
      </c>
      <c r="G872">
        <v>0</v>
      </c>
      <c r="H872">
        <v>0.0052062739740000004</v>
      </c>
      <c r="I872" t="s">
        <v>137</v>
      </c>
      <c r="J872">
        <v>0.036011776500000002</v>
      </c>
      <c r="K872">
        <v>1.067553680724</v>
      </c>
      <c r="L872">
        <v>0.30259254060512053</v>
      </c>
      <c r="M872">
        <v>1.815555243630723</v>
      </c>
      <c r="N872">
        <v>2.883108924354723</v>
      </c>
      <c r="O872" t="s">
        <v>90</v>
      </c>
      <c r="P872">
        <v>0</v>
      </c>
      <c r="Q872" t="s">
        <v>90</v>
      </c>
      <c r="R872">
        <v>0</v>
      </c>
      <c r="S872" t="s">
        <v>90</v>
      </c>
      <c r="T872">
        <v>0</v>
      </c>
      <c r="U872">
        <v>2.883108924354723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170</v>
      </c>
      <c r="AB872">
        <v>1</v>
      </c>
      <c r="AC872">
        <v>0.50</v>
      </c>
      <c r="AD872">
        <v>0.50345253019720215</v>
      </c>
      <c r="AE872">
        <v>10800</v>
      </c>
      <c r="AF872">
        <v>200000</v>
      </c>
      <c r="AG872">
        <v>16666.666666666668</v>
      </c>
      <c r="AH872">
        <v>1</v>
      </c>
      <c r="AI872">
        <v>1</v>
      </c>
      <c r="AJ872" t="s">
        <v>136</v>
      </c>
      <c r="AK872" t="s">
        <v>137</v>
      </c>
      <c r="AL872">
        <v>0</v>
      </c>
      <c r="AM872" t="s">
        <v>137</v>
      </c>
      <c r="AN872">
        <v>0</v>
      </c>
    </row>
    <row r="873" spans="1:42" ht="12.75">
      <c r="A873" s="2" t="str">
        <f>HYPERLINK("https://ibp.a2mac1.com/costing(costing:projects/details/8191/process/6975466)","Automated Process")</f>
        <v>Automated Process</v>
      </c>
      <c r="C873">
        <v>6975466</v>
      </c>
      <c r="D873">
        <v>5388526</v>
      </c>
      <c r="E873">
        <v>0.601063134</v>
      </c>
      <c r="F873">
        <v>0</v>
      </c>
      <c r="G873">
        <v>0</v>
      </c>
      <c r="H873">
        <v>0.0030490019629473685</v>
      </c>
      <c r="I873" t="s">
        <v>137</v>
      </c>
      <c r="J873">
        <v>0.021089934526315791</v>
      </c>
      <c r="K873">
        <v>0.62520207048926313</v>
      </c>
      <c r="L873">
        <v>0.026309773348281128</v>
      </c>
      <c r="M873">
        <v>0.15785864008968678</v>
      </c>
      <c r="N873">
        <v>0.78306071057894988</v>
      </c>
      <c r="O873" t="s">
        <v>138</v>
      </c>
      <c r="P873">
        <v>0.037512124229355792</v>
      </c>
      <c r="Q873" t="s">
        <v>138</v>
      </c>
      <c r="R873">
        <v>0.009471518405381206</v>
      </c>
      <c r="S873" t="s">
        <v>139</v>
      </c>
      <c r="T873">
        <v>0.093967285269473996</v>
      </c>
      <c r="U873">
        <v>0.92401163848316092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60</v>
      </c>
      <c r="AB873">
        <v>1</v>
      </c>
      <c r="AC873">
        <v>0.50</v>
      </c>
      <c r="AD873">
        <v>0.50345253019720215</v>
      </c>
      <c r="AE873">
        <v>1528.20</v>
      </c>
      <c r="AF873">
        <v>200000</v>
      </c>
      <c r="AG873">
        <v>16666.666666666668</v>
      </c>
      <c r="AH873">
        <v>1</v>
      </c>
      <c r="AI873">
        <v>1</v>
      </c>
      <c r="AJ873" t="s">
        <v>136</v>
      </c>
      <c r="AK873" t="s">
        <v>137</v>
      </c>
      <c r="AL873">
        <v>0</v>
      </c>
      <c r="AM873" t="s">
        <v>137</v>
      </c>
      <c r="AN873">
        <v>0</v>
      </c>
    </row>
    <row r="874" spans="1:42" ht="12.75">
      <c r="A874" s="2" t="str">
        <f>HYPERLINK("https://ibp.a2mac1.com/costing(costing:projects/details/8191/process/6975467)","Automated Process")</f>
        <v>Automated Process</v>
      </c>
      <c r="C874">
        <v>6975467</v>
      </c>
      <c r="D874">
        <v>5388527</v>
      </c>
      <c r="E874">
        <v>0.0026536335</v>
      </c>
      <c r="F874">
        <v>0</v>
      </c>
      <c r="G874">
        <v>0</v>
      </c>
      <c r="H874">
        <v>1.3461038105263157E-05</v>
      </c>
      <c r="I874" t="s">
        <v>137</v>
      </c>
      <c r="J874">
        <v>9.3109947368421049E-05</v>
      </c>
      <c r="K874">
        <v>0.0027602044854736843</v>
      </c>
      <c r="L874">
        <v>4.6417458453793706E-05</v>
      </c>
      <c r="M874">
        <v>0.00027850475072276222</v>
      </c>
      <c r="N874">
        <v>0.0030387092361964466</v>
      </c>
      <c r="O874" t="s">
        <v>138</v>
      </c>
      <c r="P874">
        <v>0.00016561226912842106</v>
      </c>
      <c r="Q874" t="s">
        <v>138</v>
      </c>
      <c r="R874">
        <v>1.6710285043365736E-05</v>
      </c>
      <c r="S874" t="s">
        <v>139</v>
      </c>
      <c r="T874">
        <v>0.00036464510834357356</v>
      </c>
      <c r="U874">
        <v>0.0035856768987118067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60</v>
      </c>
      <c r="AB874">
        <v>1</v>
      </c>
      <c r="AC874">
        <v>0.50</v>
      </c>
      <c r="AD874">
        <v>0.50345253019720215</v>
      </c>
      <c r="AE874">
        <v>2.70</v>
      </c>
      <c r="AF874">
        <v>200000</v>
      </c>
      <c r="AG874">
        <v>16666.666666666668</v>
      </c>
      <c r="AH874">
        <v>1</v>
      </c>
      <c r="AI874">
        <v>1</v>
      </c>
      <c r="AJ874" t="s">
        <v>136</v>
      </c>
      <c r="AK874" t="s">
        <v>137</v>
      </c>
      <c r="AL874">
        <v>0</v>
      </c>
      <c r="AM874" t="s">
        <v>137</v>
      </c>
      <c r="AN874">
        <v>0</v>
      </c>
    </row>
    <row r="875" spans="1:42" ht="12.75">
      <c r="A875" s="2" t="str">
        <f>HYPERLINK("https://ibp.a2mac1.com/costing(costing:projects/details/8191/process/6975690)","Injection molding")</f>
        <v>Injection molding</v>
      </c>
      <c r="B875" t="s">
        <v>4715</v>
      </c>
      <c r="C875">
        <v>6975690</v>
      </c>
      <c r="D875">
        <v>5388852</v>
      </c>
      <c r="E875">
        <v>0.072233279999999997</v>
      </c>
      <c r="F875">
        <v>0</v>
      </c>
      <c r="G875">
        <v>0</v>
      </c>
      <c r="H875">
        <v>0.00036641643789473685</v>
      </c>
      <c r="I875" t="s">
        <v>137</v>
      </c>
      <c r="J875">
        <v>0.002534501052631579</v>
      </c>
      <c r="K875">
        <v>0.075134197490526314</v>
      </c>
      <c r="L875">
        <v>0.0013926257515536702</v>
      </c>
      <c r="M875">
        <v>0.0083557545093220203</v>
      </c>
      <c r="N875">
        <v>0.083489951999848336</v>
      </c>
      <c r="O875" t="s">
        <v>138</v>
      </c>
      <c r="P875">
        <v>0.0045080518494315788</v>
      </c>
      <c r="Q875" t="s">
        <v>138</v>
      </c>
      <c r="R875">
        <v>0.0005013452705593213</v>
      </c>
      <c r="S875" t="s">
        <v>139</v>
      </c>
      <c r="T875">
        <v>0.010018794239981801</v>
      </c>
      <c r="U875">
        <v>0.098518143359821037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60</v>
      </c>
      <c r="AB875">
        <v>1</v>
      </c>
      <c r="AC875">
        <v>0.50</v>
      </c>
      <c r="AD875">
        <v>0.50345253019720215</v>
      </c>
      <c r="AE875">
        <v>81</v>
      </c>
      <c r="AF875">
        <v>200000</v>
      </c>
      <c r="AG875">
        <v>16666.666666666668</v>
      </c>
      <c r="AH875">
        <v>1</v>
      </c>
      <c r="AI875">
        <v>1</v>
      </c>
      <c r="AJ875" t="s">
        <v>136</v>
      </c>
      <c r="AK875" t="s">
        <v>137</v>
      </c>
      <c r="AL875">
        <v>0</v>
      </c>
      <c r="AM875" t="s">
        <v>137</v>
      </c>
      <c r="AN875">
        <v>0</v>
      </c>
    </row>
    <row r="876" spans="1:42" ht="12.75">
      <c r="A876" s="2" t="str">
        <f>HYPERLINK("https://ibp.a2mac1.com/costing(costing:projects/details/8191/process/6975692)","Injection molding")</f>
        <v>Injection molding</v>
      </c>
      <c r="C876">
        <v>6975692</v>
      </c>
      <c r="D876">
        <v>5388853</v>
      </c>
      <c r="E876">
        <v>0.21731213610386049</v>
      </c>
      <c r="F876">
        <v>0</v>
      </c>
      <c r="G876">
        <v>0</v>
      </c>
      <c r="H876">
        <v>0.00044810231988837119</v>
      </c>
      <c r="I876" t="s">
        <v>137</v>
      </c>
      <c r="J876">
        <v>0.0076133889301422284</v>
      </c>
      <c r="K876">
        <v>0.2253736273538911</v>
      </c>
      <c r="L876">
        <v>0.012574065505521207</v>
      </c>
      <c r="M876">
        <v>0.075444393033127249</v>
      </c>
      <c r="N876">
        <v>0.30081802038701833</v>
      </c>
      <c r="O876" t="s">
        <v>138</v>
      </c>
      <c r="P876">
        <v>0.013522417641233466</v>
      </c>
      <c r="Q876" t="s">
        <v>138</v>
      </c>
      <c r="R876">
        <v>0.0045266635819876345</v>
      </c>
      <c r="S876" t="s">
        <v>139</v>
      </c>
      <c r="T876">
        <v>0.036098162446442199</v>
      </c>
      <c r="U876">
        <v>0.35496526405668166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26.80114</v>
      </c>
      <c r="AB876">
        <v>1</v>
      </c>
      <c r="AC876">
        <v>0.10</v>
      </c>
      <c r="AD876">
        <v>0.20557651238448796</v>
      </c>
      <c r="AE876">
        <v>7200</v>
      </c>
      <c r="AF876">
        <v>200000</v>
      </c>
      <c r="AG876">
        <v>16666.666666666668</v>
      </c>
      <c r="AH876">
        <v>1</v>
      </c>
      <c r="AI876">
        <v>1</v>
      </c>
      <c r="AJ876" t="s">
        <v>136</v>
      </c>
      <c r="AK876" t="s">
        <v>137</v>
      </c>
      <c r="AL876">
        <v>0</v>
      </c>
      <c r="AM876" t="s">
        <v>137</v>
      </c>
      <c r="AN876">
        <v>0</v>
      </c>
    </row>
    <row r="877" spans="1:42" ht="12.75">
      <c r="A877" s="2" t="str">
        <f>HYPERLINK("https://ibp.a2mac1.com/costing(costing:projects/details/8191/process/6975691)","Handling/Visual Inspection/Packaging")</f>
        <v>Handling/Visual Inspection/Packaging</v>
      </c>
      <c r="C877">
        <v>6975691</v>
      </c>
      <c r="D877">
        <v>5388853</v>
      </c>
      <c r="E877">
        <v>0</v>
      </c>
      <c r="F877">
        <v>0</v>
      </c>
      <c r="G877">
        <v>0</v>
      </c>
      <c r="H877">
        <v>0</v>
      </c>
      <c r="I877" t="s">
        <v>137</v>
      </c>
      <c r="J877">
        <v>0</v>
      </c>
      <c r="K877">
        <v>0</v>
      </c>
      <c r="L877">
        <v>0.0086216394843006</v>
      </c>
      <c r="M877">
        <v>0.0517298369058036</v>
      </c>
      <c r="N877">
        <v>0.0517298369058036</v>
      </c>
      <c r="O877" t="s">
        <v>138</v>
      </c>
      <c r="P877">
        <v>0</v>
      </c>
      <c r="Q877" t="s">
        <v>138</v>
      </c>
      <c r="R877">
        <v>0.0031037902143482162</v>
      </c>
      <c r="S877" t="s">
        <v>139</v>
      </c>
      <c r="T877">
        <v>0.0062075804286964324</v>
      </c>
      <c r="U877">
        <v>0.061041207548848252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30</v>
      </c>
      <c r="AB877">
        <v>1</v>
      </c>
      <c r="AC877">
        <v>0.10</v>
      </c>
      <c r="AD877">
        <v>0.10389195236953569</v>
      </c>
      <c r="AE877">
        <v>900</v>
      </c>
      <c r="AF877">
        <v>200000</v>
      </c>
      <c r="AG877">
        <v>16666.666666666668</v>
      </c>
      <c r="AH877">
        <v>1</v>
      </c>
      <c r="AI877">
        <v>1</v>
      </c>
      <c r="AJ877" t="s">
        <v>136</v>
      </c>
      <c r="AK877" t="s">
        <v>137</v>
      </c>
      <c r="AL877">
        <v>0</v>
      </c>
      <c r="AM877" t="s">
        <v>137</v>
      </c>
      <c r="AN877">
        <v>0</v>
      </c>
    </row>
    <row r="878" spans="1:42" ht="12.75">
      <c r="A878" s="2" t="str">
        <f>HYPERLINK("https://ibp.a2mac1.com/costing(costing:projects/details/8191/process/6975693)","Injection molding")</f>
        <v>Injection molding</v>
      </c>
      <c r="C878">
        <v>6975693</v>
      </c>
      <c r="D878">
        <v>5388855</v>
      </c>
      <c r="E878">
        <v>0.20263788362206139</v>
      </c>
      <c r="F878">
        <v>0</v>
      </c>
      <c r="G878">
        <v>0</v>
      </c>
      <c r="H878">
        <v>0.00041743404026144647</v>
      </c>
      <c r="I878" t="s">
        <v>137</v>
      </c>
      <c r="J878">
        <v>0.0070923259267721486</v>
      </c>
      <c r="K878">
        <v>0.21014764358909496</v>
      </c>
      <c r="L878">
        <v>0.007899167688106749</v>
      </c>
      <c r="M878">
        <v>0.047395006128640491</v>
      </c>
      <c r="N878">
        <v>0.25754264971773544</v>
      </c>
      <c r="O878" t="s">
        <v>138</v>
      </c>
      <c r="P878">
        <v>0.012608858615345699</v>
      </c>
      <c r="Q878" t="s">
        <v>138</v>
      </c>
      <c r="R878">
        <v>0.0028437003677184293</v>
      </c>
      <c r="S878" t="s">
        <v>139</v>
      </c>
      <c r="T878">
        <v>0.030905117966128257</v>
      </c>
      <c r="U878">
        <v>0.30390032666692784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17.712309999999999</v>
      </c>
      <c r="AB878">
        <v>1</v>
      </c>
      <c r="AC878">
        <v>0.10</v>
      </c>
      <c r="AD878">
        <v>0.20557651238448796</v>
      </c>
      <c r="AE878">
        <v>7200</v>
      </c>
      <c r="AF878">
        <v>200000</v>
      </c>
      <c r="AG878">
        <v>16666.666666666668</v>
      </c>
      <c r="AH878">
        <v>1</v>
      </c>
      <c r="AI878">
        <v>1</v>
      </c>
      <c r="AJ878" t="s">
        <v>136</v>
      </c>
      <c r="AK878" t="s">
        <v>137</v>
      </c>
      <c r="AL878">
        <v>0</v>
      </c>
      <c r="AM878" t="s">
        <v>137</v>
      </c>
      <c r="AN878">
        <v>0</v>
      </c>
    </row>
    <row r="879" spans="1:42" ht="12.75">
      <c r="A879" s="2" t="str">
        <f>HYPERLINK("https://ibp.a2mac1.com/costing(costing:projects/details/8191/process/6975694)","Handling/Visual Inspection/Packaging")</f>
        <v>Handling/Visual Inspection/Packaging</v>
      </c>
      <c r="C879">
        <v>6975694</v>
      </c>
      <c r="D879">
        <v>5388855</v>
      </c>
      <c r="E879">
        <v>0</v>
      </c>
      <c r="F879">
        <v>0</v>
      </c>
      <c r="G879">
        <v>0</v>
      </c>
      <c r="H879">
        <v>0</v>
      </c>
      <c r="I879" t="s">
        <v>137</v>
      </c>
      <c r="J879">
        <v>0</v>
      </c>
      <c r="K879">
        <v>0</v>
      </c>
      <c r="L879">
        <v>0.0086216394843006</v>
      </c>
      <c r="M879">
        <v>0.0517298369058036</v>
      </c>
      <c r="N879">
        <v>0.0517298369058036</v>
      </c>
      <c r="O879" t="s">
        <v>138</v>
      </c>
      <c r="P879">
        <v>0</v>
      </c>
      <c r="Q879" t="s">
        <v>138</v>
      </c>
      <c r="R879">
        <v>0.0031037902143482162</v>
      </c>
      <c r="S879" t="s">
        <v>139</v>
      </c>
      <c r="T879">
        <v>0.0062075804286964324</v>
      </c>
      <c r="U879">
        <v>0.061041207548848252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30</v>
      </c>
      <c r="AB879">
        <v>1</v>
      </c>
      <c r="AC879">
        <v>0.10</v>
      </c>
      <c r="AD879">
        <v>0.10389195236953569</v>
      </c>
      <c r="AE879">
        <v>900</v>
      </c>
      <c r="AF879">
        <v>200000</v>
      </c>
      <c r="AG879">
        <v>16666.666666666668</v>
      </c>
      <c r="AH879">
        <v>1</v>
      </c>
      <c r="AI879">
        <v>1</v>
      </c>
      <c r="AJ879" t="s">
        <v>136</v>
      </c>
      <c r="AK879" t="s">
        <v>137</v>
      </c>
      <c r="AL879">
        <v>0</v>
      </c>
      <c r="AM879" t="s">
        <v>137</v>
      </c>
      <c r="AN879">
        <v>0</v>
      </c>
    </row>
    <row r="880" spans="1:42" ht="12.75">
      <c r="A880" s="2" t="str">
        <f>HYPERLINK("https://ibp.a2mac1.com/costing(costing:projects/details/8191/process/6975695)","Injection molding")</f>
        <v>Injection molding</v>
      </c>
      <c r="C880">
        <v>6975695</v>
      </c>
      <c r="D880">
        <v>5388856</v>
      </c>
      <c r="E880">
        <v>0.41690611150191759</v>
      </c>
      <c r="F880">
        <v>0</v>
      </c>
      <c r="G880">
        <v>0</v>
      </c>
      <c r="H880">
        <v>0.00085966940958310558</v>
      </c>
      <c r="I880" t="s">
        <v>137</v>
      </c>
      <c r="J880">
        <v>0.014606033657965384</v>
      </c>
      <c r="K880">
        <v>0.43237181456946611</v>
      </c>
      <c r="L880">
        <v>0.012426812663343759</v>
      </c>
      <c r="M880">
        <v>0.074560875980062558</v>
      </c>
      <c r="N880">
        <v>0.50693269054952861</v>
      </c>
      <c r="O880" t="s">
        <v>138</v>
      </c>
      <c r="P880">
        <v>0.025942308874167964</v>
      </c>
      <c r="Q880" t="s">
        <v>138</v>
      </c>
      <c r="R880">
        <v>0.0044736525588037531</v>
      </c>
      <c r="S880" t="s">
        <v>139</v>
      </c>
      <c r="T880">
        <v>0.060831922865943439</v>
      </c>
      <c r="U880">
        <v>0.59818057484844378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19.276399999999999</v>
      </c>
      <c r="AB880">
        <v>1</v>
      </c>
      <c r="AC880">
        <v>0.10</v>
      </c>
      <c r="AD880">
        <v>0.20557651238448796</v>
      </c>
      <c r="AE880">
        <v>7200</v>
      </c>
      <c r="AF880">
        <v>200000</v>
      </c>
      <c r="AG880">
        <v>16666.666666666668</v>
      </c>
      <c r="AH880">
        <v>1</v>
      </c>
      <c r="AI880">
        <v>1</v>
      </c>
      <c r="AJ880" t="s">
        <v>136</v>
      </c>
      <c r="AK880" t="s">
        <v>137</v>
      </c>
      <c r="AL880">
        <v>0</v>
      </c>
      <c r="AM880" t="s">
        <v>137</v>
      </c>
      <c r="AN880">
        <v>0</v>
      </c>
    </row>
    <row r="881" spans="1:42" ht="12.75">
      <c r="A881" s="2" t="str">
        <f>HYPERLINK("https://ibp.a2mac1.com/costing(costing:projects/details/8191/process/6975696)","Handling/Visual Inspection/Packaging")</f>
        <v>Handling/Visual Inspection/Packaging</v>
      </c>
      <c r="C881">
        <v>6975696</v>
      </c>
      <c r="D881">
        <v>5388856</v>
      </c>
      <c r="E881">
        <v>0</v>
      </c>
      <c r="F881">
        <v>0</v>
      </c>
      <c r="G881">
        <v>0</v>
      </c>
      <c r="H881">
        <v>0</v>
      </c>
      <c r="I881" t="s">
        <v>137</v>
      </c>
      <c r="J881">
        <v>0</v>
      </c>
      <c r="K881">
        <v>0</v>
      </c>
      <c r="L881">
        <v>0.0086216394843006</v>
      </c>
      <c r="M881">
        <v>0.0517298369058036</v>
      </c>
      <c r="N881">
        <v>0.0517298369058036</v>
      </c>
      <c r="O881" t="s">
        <v>138</v>
      </c>
      <c r="P881">
        <v>0</v>
      </c>
      <c r="Q881" t="s">
        <v>138</v>
      </c>
      <c r="R881">
        <v>0.0031037902143482162</v>
      </c>
      <c r="S881" t="s">
        <v>139</v>
      </c>
      <c r="T881">
        <v>0.0062075804286964324</v>
      </c>
      <c r="U881">
        <v>0.061041207548848252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30</v>
      </c>
      <c r="AB881">
        <v>1</v>
      </c>
      <c r="AC881">
        <v>0.10</v>
      </c>
      <c r="AD881">
        <v>0.10389195236953569</v>
      </c>
      <c r="AE881">
        <v>900</v>
      </c>
      <c r="AF881">
        <v>200000</v>
      </c>
      <c r="AG881">
        <v>16666.666666666668</v>
      </c>
      <c r="AH881">
        <v>1</v>
      </c>
      <c r="AI881">
        <v>1</v>
      </c>
      <c r="AJ881" t="s">
        <v>136</v>
      </c>
      <c r="AK881" t="s">
        <v>137</v>
      </c>
      <c r="AL881">
        <v>0</v>
      </c>
      <c r="AM881" t="s">
        <v>137</v>
      </c>
      <c r="AN881">
        <v>0</v>
      </c>
    </row>
    <row r="882" spans="1:42" ht="12.75">
      <c r="A882" s="2" t="str">
        <f>HYPERLINK("https://ibp.a2mac1.com/costing(costing:projects/details/8191/process/6975697)","Injection molding")</f>
        <v>Injection molding</v>
      </c>
      <c r="C882">
        <v>6975697</v>
      </c>
      <c r="D882">
        <v>5388857</v>
      </c>
      <c r="E882">
        <v>0.17250239910609633</v>
      </c>
      <c r="F882">
        <v>0</v>
      </c>
      <c r="G882">
        <v>0</v>
      </c>
      <c r="H882">
        <v>0.00035570367404058785</v>
      </c>
      <c r="I882" t="s">
        <v>137</v>
      </c>
      <c r="J882">
        <v>0.0060435090249614442</v>
      </c>
      <c r="K882">
        <v>0.17890161180509837</v>
      </c>
      <c r="L882">
        <v>0.011044225074770136</v>
      </c>
      <c r="M882">
        <v>0.066265350448620808</v>
      </c>
      <c r="N882">
        <v>0.24516696225371917</v>
      </c>
      <c r="O882" t="s">
        <v>138</v>
      </c>
      <c r="P882">
        <v>0.010734096708305902</v>
      </c>
      <c r="Q882" t="s">
        <v>138</v>
      </c>
      <c r="R882">
        <v>0.0039759210269172491</v>
      </c>
      <c r="S882" t="s">
        <v>139</v>
      </c>
      <c r="T882">
        <v>0.029420035470446301</v>
      </c>
      <c r="U882">
        <v>0.28929701545938863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28.62304</v>
      </c>
      <c r="AB882">
        <v>1</v>
      </c>
      <c r="AC882">
        <v>0.10</v>
      </c>
      <c r="AD882">
        <v>0.20557651238448796</v>
      </c>
      <c r="AE882">
        <v>7200</v>
      </c>
      <c r="AF882">
        <v>200000</v>
      </c>
      <c r="AG882">
        <v>16666.666666666668</v>
      </c>
      <c r="AH882">
        <v>1</v>
      </c>
      <c r="AI882">
        <v>1</v>
      </c>
      <c r="AJ882" t="s">
        <v>136</v>
      </c>
      <c r="AK882" t="s">
        <v>137</v>
      </c>
      <c r="AL882">
        <v>0</v>
      </c>
      <c r="AM882" t="s">
        <v>137</v>
      </c>
      <c r="AN882">
        <v>0</v>
      </c>
    </row>
    <row r="883" spans="1:42" ht="12.75">
      <c r="A883" s="2" t="str">
        <f>HYPERLINK("https://ibp.a2mac1.com/costing(costing:projects/details/8191/process/6975698)","Handling/Visual Inspection/Packaging")</f>
        <v>Handling/Visual Inspection/Packaging</v>
      </c>
      <c r="C883">
        <v>6975698</v>
      </c>
      <c r="D883">
        <v>5388857</v>
      </c>
      <c r="E883">
        <v>0</v>
      </c>
      <c r="F883">
        <v>0</v>
      </c>
      <c r="G883">
        <v>0</v>
      </c>
      <c r="H883">
        <v>0</v>
      </c>
      <c r="I883" t="s">
        <v>137</v>
      </c>
      <c r="J883">
        <v>0</v>
      </c>
      <c r="K883">
        <v>0</v>
      </c>
      <c r="L883">
        <v>0.0086216394843006</v>
      </c>
      <c r="M883">
        <v>0.0517298369058036</v>
      </c>
      <c r="N883">
        <v>0.0517298369058036</v>
      </c>
      <c r="O883" t="s">
        <v>138</v>
      </c>
      <c r="P883">
        <v>0</v>
      </c>
      <c r="Q883" t="s">
        <v>138</v>
      </c>
      <c r="R883">
        <v>0.0031037902143482162</v>
      </c>
      <c r="S883" t="s">
        <v>139</v>
      </c>
      <c r="T883">
        <v>0.0062075804286964324</v>
      </c>
      <c r="U883">
        <v>0.061041207548848252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30</v>
      </c>
      <c r="AB883">
        <v>1</v>
      </c>
      <c r="AC883">
        <v>0.10</v>
      </c>
      <c r="AD883">
        <v>0.10389195236953569</v>
      </c>
      <c r="AE883">
        <v>900</v>
      </c>
      <c r="AF883">
        <v>200000</v>
      </c>
      <c r="AG883">
        <v>16666.666666666668</v>
      </c>
      <c r="AH883">
        <v>1</v>
      </c>
      <c r="AI883">
        <v>1</v>
      </c>
      <c r="AJ883" t="s">
        <v>136</v>
      </c>
      <c r="AK883" t="s">
        <v>137</v>
      </c>
      <c r="AL883">
        <v>0</v>
      </c>
      <c r="AM883" t="s">
        <v>137</v>
      </c>
      <c r="AN883">
        <v>0</v>
      </c>
    </row>
    <row r="884" spans="1:42" ht="12.75">
      <c r="A884" s="2" t="str">
        <f>HYPERLINK("https://ibp.a2mac1.com/costing(costing:projects/details/8191/process/6975700)","Injection molding")</f>
        <v>Injection molding</v>
      </c>
      <c r="B884" t="s">
        <v>4715</v>
      </c>
      <c r="C884">
        <v>6975700</v>
      </c>
      <c r="D884">
        <v>5388858</v>
      </c>
      <c r="E884">
        <v>0.04815552</v>
      </c>
      <c r="F884">
        <v>0</v>
      </c>
      <c r="G884">
        <v>0</v>
      </c>
      <c r="H884">
        <v>0.00024427762526315792</v>
      </c>
      <c r="I884" t="s">
        <v>137</v>
      </c>
      <c r="J884">
        <v>0.0016896673684210527</v>
      </c>
      <c r="K884">
        <v>0.050089464993684212</v>
      </c>
      <c r="L884">
        <v>0.00092839371990018039</v>
      </c>
      <c r="M884">
        <v>0.0055703623194010825</v>
      </c>
      <c r="N884">
        <v>0.055659827313085296</v>
      </c>
      <c r="O884" t="s">
        <v>138</v>
      </c>
      <c r="P884">
        <v>0.0030053678996210527</v>
      </c>
      <c r="Q884" t="s">
        <v>138</v>
      </c>
      <c r="R884">
        <v>0.00033422173916406491</v>
      </c>
      <c r="S884" t="s">
        <v>139</v>
      </c>
      <c r="T884">
        <v>0.0066791792775702354</v>
      </c>
      <c r="U884">
        <v>0.065678596229440639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60</v>
      </c>
      <c r="AB884">
        <v>1</v>
      </c>
      <c r="AC884">
        <v>0.50</v>
      </c>
      <c r="AD884">
        <v>0.50345253019720215</v>
      </c>
      <c r="AE884">
        <v>54</v>
      </c>
      <c r="AF884">
        <v>200000</v>
      </c>
      <c r="AG884">
        <v>16666.666666666668</v>
      </c>
      <c r="AH884">
        <v>1</v>
      </c>
      <c r="AI884">
        <v>1</v>
      </c>
      <c r="AJ884" t="s">
        <v>136</v>
      </c>
      <c r="AK884" t="s">
        <v>137</v>
      </c>
      <c r="AL884">
        <v>0</v>
      </c>
      <c r="AM884" t="s">
        <v>137</v>
      </c>
      <c r="AN884">
        <v>0</v>
      </c>
    </row>
    <row r="885" spans="1:42" ht="12.75">
      <c r="A885" s="2" t="str">
        <f>HYPERLINK("https://ibp.a2mac1.com/costing(costing:projects/details/8191/process/6975701)","Injection molding")</f>
        <v>Injection molding</v>
      </c>
      <c r="B885" t="s">
        <v>4715</v>
      </c>
      <c r="C885">
        <v>6975701</v>
      </c>
      <c r="D885">
        <v>5388861</v>
      </c>
      <c r="E885">
        <v>0.00661156125</v>
      </c>
      <c r="F885">
        <v>0</v>
      </c>
      <c r="G885">
        <v>0</v>
      </c>
      <c r="H885">
        <v>3.3538345789473684E-05</v>
      </c>
      <c r="I885" t="s">
        <v>137</v>
      </c>
      <c r="J885">
        <v>0.00023198460526315789</v>
      </c>
      <c r="K885">
        <v>0.0068770842010526315</v>
      </c>
      <c r="L885">
        <v>0.00023208817156155354</v>
      </c>
      <c r="M885">
        <v>0.0013925290293693212</v>
      </c>
      <c r="N885">
        <v>0.0082696132304219527</v>
      </c>
      <c r="O885" t="s">
        <v>138</v>
      </c>
      <c r="P885">
        <v>0.00041262505206315789</v>
      </c>
      <c r="Q885" t="s">
        <v>138</v>
      </c>
      <c r="R885">
        <v>8.3551741762159277E-05</v>
      </c>
      <c r="S885" t="s">
        <v>139</v>
      </c>
      <c r="T885">
        <v>0.00099235358765063439</v>
      </c>
      <c r="U885">
        <v>0.0097581436118979042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60</v>
      </c>
      <c r="AB885">
        <v>1</v>
      </c>
      <c r="AC885">
        <v>0.50</v>
      </c>
      <c r="AD885">
        <v>0.50345253019720215</v>
      </c>
      <c r="AE885">
        <v>13.50</v>
      </c>
      <c r="AF885">
        <v>200000</v>
      </c>
      <c r="AG885">
        <v>16666.666666666668</v>
      </c>
      <c r="AH885">
        <v>1</v>
      </c>
      <c r="AI885">
        <v>1</v>
      </c>
      <c r="AJ885" t="s">
        <v>136</v>
      </c>
      <c r="AK885" t="s">
        <v>137</v>
      </c>
      <c r="AL885">
        <v>0</v>
      </c>
      <c r="AM885" t="s">
        <v>137</v>
      </c>
      <c r="AN885">
        <v>0</v>
      </c>
    </row>
    <row r="886" spans="1:42" ht="12.75">
      <c r="A886" s="2" t="str">
        <f>HYPERLINK("https://ibp.a2mac1.com/costing(costing:projects/details/8191/process/6975477)","Assembly")</f>
        <v>Assembly</v>
      </c>
      <c r="C886">
        <v>6975477</v>
      </c>
      <c r="D886">
        <v>5388536</v>
      </c>
      <c r="E886">
        <v>0</v>
      </c>
      <c r="F886">
        <v>0</v>
      </c>
      <c r="G886">
        <v>0</v>
      </c>
      <c r="H886">
        <v>0</v>
      </c>
      <c r="I886" t="s">
        <v>90</v>
      </c>
      <c r="J886">
        <v>0</v>
      </c>
      <c r="K886">
        <v>0</v>
      </c>
      <c r="L886">
        <v>0</v>
      </c>
      <c r="M886">
        <v>0.39420764387300394</v>
      </c>
      <c r="N886">
        <v>0.39420764387300394</v>
      </c>
      <c r="O886" t="s">
        <v>90</v>
      </c>
      <c r="P886">
        <v>0</v>
      </c>
      <c r="Q886" t="s">
        <v>90</v>
      </c>
      <c r="R886">
        <v>0</v>
      </c>
      <c r="S886" t="s">
        <v>90</v>
      </c>
      <c r="T886">
        <v>0</v>
      </c>
      <c r="U886">
        <v>0.39420764387300394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60</v>
      </c>
      <c r="AB886">
        <v>1</v>
      </c>
      <c r="AC886">
        <v>1.99</v>
      </c>
      <c r="AD886">
        <v>1.9992159937279499</v>
      </c>
      <c r="AE886">
        <v>1800</v>
      </c>
      <c r="AF886">
        <v>200000</v>
      </c>
      <c r="AG886">
        <v>10000</v>
      </c>
      <c r="AH886">
        <v>1</v>
      </c>
      <c r="AI886">
        <v>1</v>
      </c>
      <c r="AJ886" t="s">
        <v>79</v>
      </c>
      <c r="AK886" t="s">
        <v>90</v>
      </c>
      <c r="AL886">
        <v>0</v>
      </c>
      <c r="AM886" t="s">
        <v>90</v>
      </c>
      <c r="AN886">
        <v>0</v>
      </c>
      <c r="AP886">
        <v>0</v>
      </c>
    </row>
    <row r="887" spans="1:42" ht="12.75">
      <c r="A887" s="2" t="str">
        <f>HYPERLINK("https://ibp.a2mac1.com/costing(costing:projects/details/8191/process/6975468)","Process")</f>
        <v>Process</v>
      </c>
      <c r="C887">
        <v>6975468</v>
      </c>
      <c r="D887">
        <v>5388529</v>
      </c>
      <c r="E887">
        <v>0</v>
      </c>
      <c r="F887">
        <v>0</v>
      </c>
      <c r="G887">
        <v>0</v>
      </c>
      <c r="H887">
        <v>0</v>
      </c>
      <c r="I887" t="s">
        <v>137</v>
      </c>
      <c r="J887">
        <v>0</v>
      </c>
      <c r="K887">
        <v>0</v>
      </c>
      <c r="L887">
        <v>0.10844100670092785</v>
      </c>
      <c r="M887">
        <v>0.65064604020556704</v>
      </c>
      <c r="N887">
        <v>0.65064604020556704</v>
      </c>
      <c r="O887" t="s">
        <v>138</v>
      </c>
      <c r="P887">
        <v>0</v>
      </c>
      <c r="Q887" t="s">
        <v>138</v>
      </c>
      <c r="R887">
        <v>0.039038762412334026</v>
      </c>
      <c r="S887" t="s">
        <v>139</v>
      </c>
      <c r="T887">
        <v>0.078077524824668051</v>
      </c>
      <c r="U887">
        <v>0.76776232744256911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95</v>
      </c>
      <c r="AB887">
        <v>1</v>
      </c>
      <c r="AC887">
        <v>5</v>
      </c>
      <c r="AD887">
        <v>5.0007599939200489</v>
      </c>
      <c r="AE887">
        <v>216</v>
      </c>
      <c r="AF887">
        <v>200000</v>
      </c>
      <c r="AG887">
        <v>16666.666666666668</v>
      </c>
      <c r="AH887">
        <v>1</v>
      </c>
      <c r="AI887">
        <v>1</v>
      </c>
      <c r="AJ887" t="s">
        <v>136</v>
      </c>
      <c r="AK887" t="s">
        <v>137</v>
      </c>
      <c r="AL887">
        <v>0</v>
      </c>
      <c r="AM887" t="s">
        <v>137</v>
      </c>
      <c r="AN887">
        <v>0</v>
      </c>
    </row>
    <row r="888" spans="1:42" ht="12.75">
      <c r="A888" s="2" t="str">
        <f>HYPERLINK("https://ibp.a2mac1.com/costing(costing:projects/details/8191/process/6975470)","Stamping ")</f>
        <v xml:space="preserve">Stamping </v>
      </c>
      <c r="B888" t="s">
        <v>4771</v>
      </c>
      <c r="C888">
        <v>6975470</v>
      </c>
      <c r="D888">
        <v>5388530</v>
      </c>
      <c r="E888">
        <v>0.079468999999999998</v>
      </c>
      <c r="F888">
        <v>0</v>
      </c>
      <c r="G888">
        <v>0</v>
      </c>
      <c r="H888">
        <v>0.0006200328571428572</v>
      </c>
      <c r="I888" t="s">
        <v>137</v>
      </c>
      <c r="J888">
        <v>0.0030565000000000002</v>
      </c>
      <c r="K888">
        <v>0.083145532857142851</v>
      </c>
      <c r="L888">
        <v>0.0002633609256231051</v>
      </c>
      <c r="M888">
        <v>0.0015801655537386306</v>
      </c>
      <c r="N888">
        <v>0.084725698410881484</v>
      </c>
      <c r="O888" t="s">
        <v>138</v>
      </c>
      <c r="P888">
        <v>0.0049887319714285719</v>
      </c>
      <c r="Q888" t="s">
        <v>138</v>
      </c>
      <c r="R888">
        <v>9.4809933224317843E-05</v>
      </c>
      <c r="S888" t="s">
        <v>139</v>
      </c>
      <c r="T888">
        <v>0.010167083809305779</v>
      </c>
      <c r="U888">
        <v>0.099976324124840157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10</v>
      </c>
      <c r="AB888">
        <v>1</v>
      </c>
      <c r="AC888">
        <v>0.50</v>
      </c>
      <c r="AD888">
        <v>0.70499453877469964</v>
      </c>
      <c r="AE888">
        <v>1800</v>
      </c>
      <c r="AF888">
        <v>200000</v>
      </c>
      <c r="AG888">
        <v>16666.666666666668</v>
      </c>
      <c r="AH888">
        <v>1</v>
      </c>
      <c r="AI888">
        <v>1</v>
      </c>
      <c r="AJ888" t="s">
        <v>136</v>
      </c>
      <c r="AK888" t="s">
        <v>137</v>
      </c>
      <c r="AL888">
        <v>0</v>
      </c>
      <c r="AM888" t="s">
        <v>137</v>
      </c>
      <c r="AN888">
        <v>0</v>
      </c>
    </row>
    <row r="889" spans="1:42" ht="12.75">
      <c r="A889" s="2" t="str">
        <f>HYPERLINK("https://ibp.a2mac1.com/costing(costing:projects/details/8191/process/6975471)","Wire Bending")</f>
        <v>Wire Bending</v>
      </c>
      <c r="C889">
        <v>6975471</v>
      </c>
      <c r="D889">
        <v>5388530</v>
      </c>
      <c r="E889">
        <v>0</v>
      </c>
      <c r="F889">
        <v>0</v>
      </c>
      <c r="G889">
        <v>0</v>
      </c>
      <c r="H889">
        <v>0</v>
      </c>
      <c r="I889" t="s">
        <v>137</v>
      </c>
      <c r="J889">
        <v>0</v>
      </c>
      <c r="K889">
        <v>0</v>
      </c>
      <c r="L889">
        <v>0.0036698564783128945</v>
      </c>
      <c r="M889">
        <v>0.022019138869877369</v>
      </c>
      <c r="N889">
        <v>0.022019138869877369</v>
      </c>
      <c r="O889" t="s">
        <v>138</v>
      </c>
      <c r="P889">
        <v>0</v>
      </c>
      <c r="Q889" t="s">
        <v>138</v>
      </c>
      <c r="R889">
        <v>0.001321148332192642</v>
      </c>
      <c r="S889" t="s">
        <v>139</v>
      </c>
      <c r="T889">
        <v>0.0026422966643852839</v>
      </c>
      <c r="U889">
        <v>0.025982583866455293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5</v>
      </c>
      <c r="AB889">
        <v>1</v>
      </c>
      <c r="AC889">
        <v>0.10</v>
      </c>
      <c r="AD889">
        <v>0.20557651238448796</v>
      </c>
      <c r="AE889">
        <v>3600</v>
      </c>
      <c r="AF889">
        <v>200000</v>
      </c>
      <c r="AG889">
        <v>16666.666666666668</v>
      </c>
      <c r="AH889">
        <v>1</v>
      </c>
      <c r="AI889">
        <v>1</v>
      </c>
      <c r="AJ889" t="s">
        <v>136</v>
      </c>
      <c r="AK889" t="s">
        <v>137</v>
      </c>
      <c r="AL889">
        <v>0</v>
      </c>
      <c r="AM889" t="s">
        <v>137</v>
      </c>
      <c r="AN889">
        <v>0</v>
      </c>
    </row>
    <row r="890" spans="1:42" ht="12.75">
      <c r="A890" s="2" t="str">
        <f>HYPERLINK("https://ibp.a2mac1.com/costing(costing:projects/details/8191/process/6975469)","Press fit")</f>
        <v>Press fit</v>
      </c>
      <c r="C890">
        <v>6975469</v>
      </c>
      <c r="D890">
        <v>5388530</v>
      </c>
      <c r="E890">
        <v>0</v>
      </c>
      <c r="F890">
        <v>0</v>
      </c>
      <c r="G890">
        <v>0</v>
      </c>
      <c r="H890">
        <v>0</v>
      </c>
      <c r="I890" t="s">
        <v>137</v>
      </c>
      <c r="J890">
        <v>0</v>
      </c>
      <c r="K890">
        <v>0</v>
      </c>
      <c r="L890">
        <v>0.0061912616210148697</v>
      </c>
      <c r="M890">
        <v>0.037147569726089222</v>
      </c>
      <c r="N890">
        <v>0.037147569726089222</v>
      </c>
      <c r="O890" t="s">
        <v>138</v>
      </c>
      <c r="P890">
        <v>0</v>
      </c>
      <c r="Q890" t="s">
        <v>138</v>
      </c>
      <c r="R890">
        <v>0.0022288541835653532</v>
      </c>
      <c r="S890" t="s">
        <v>139</v>
      </c>
      <c r="T890">
        <v>0.0044577083671307064</v>
      </c>
      <c r="U890">
        <v>0.04383413227678528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15</v>
      </c>
      <c r="AB890">
        <v>1</v>
      </c>
      <c r="AC890">
        <v>0.10</v>
      </c>
      <c r="AD890">
        <v>0.10389195236953569</v>
      </c>
      <c r="AE890">
        <v>180</v>
      </c>
      <c r="AF890">
        <v>200000</v>
      </c>
      <c r="AG890">
        <v>16666.666666666668</v>
      </c>
      <c r="AH890">
        <v>1</v>
      </c>
      <c r="AI890">
        <v>1</v>
      </c>
      <c r="AJ890" t="s">
        <v>136</v>
      </c>
      <c r="AK890" t="s">
        <v>137</v>
      </c>
      <c r="AL890">
        <v>0</v>
      </c>
      <c r="AM890" t="s">
        <v>137</v>
      </c>
      <c r="AN890">
        <v>0</v>
      </c>
    </row>
    <row r="891" spans="1:42" ht="12.75">
      <c r="A891" s="2" t="str">
        <f>HYPERLINK("https://ibp.a2mac1.com/costing(costing:projects/details/8191/process/6975472)","Casting")</f>
        <v>Casting</v>
      </c>
      <c r="C891">
        <v>6975472</v>
      </c>
      <c r="D891">
        <v>5388531</v>
      </c>
      <c r="E891">
        <v>0.49950893666666668</v>
      </c>
      <c r="F891">
        <v>0</v>
      </c>
      <c r="G891">
        <v>0</v>
      </c>
      <c r="H891">
        <v>0.0026056857933333334</v>
      </c>
      <c r="I891" t="s">
        <v>137</v>
      </c>
      <c r="J891">
        <v>0.018023518333333332</v>
      </c>
      <c r="K891">
        <v>0.52013814079333331</v>
      </c>
      <c r="L891">
        <v>0.0022916812920044903</v>
      </c>
      <c r="M891">
        <v>0.01375008775202694</v>
      </c>
      <c r="N891">
        <v>0.53388822854536022</v>
      </c>
      <c r="O891" t="s">
        <v>138</v>
      </c>
      <c r="P891">
        <v>0.031208288447599999</v>
      </c>
      <c r="Q891" t="s">
        <v>138</v>
      </c>
      <c r="R891">
        <v>0.00082500526512161647</v>
      </c>
      <c r="S891" t="s">
        <v>139</v>
      </c>
      <c r="T891">
        <v>0.06406658742544323</v>
      </c>
      <c r="U891">
        <v>0.62998810968352514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90</v>
      </c>
      <c r="AB891">
        <v>1</v>
      </c>
      <c r="AC891">
        <v>0.50</v>
      </c>
      <c r="AD891">
        <v>0.50345253019720215</v>
      </c>
      <c r="AE891">
        <v>1485</v>
      </c>
      <c r="AF891">
        <v>200000</v>
      </c>
      <c r="AG891">
        <v>16666.666666666668</v>
      </c>
      <c r="AH891">
        <v>1</v>
      </c>
      <c r="AI891">
        <v>1</v>
      </c>
      <c r="AJ891" t="s">
        <v>136</v>
      </c>
      <c r="AK891" t="s">
        <v>137</v>
      </c>
      <c r="AL891">
        <v>0</v>
      </c>
      <c r="AM891" t="s">
        <v>137</v>
      </c>
      <c r="AN891">
        <v>0</v>
      </c>
    </row>
    <row r="892" spans="1:42" ht="12.75">
      <c r="A892" s="2" t="str">
        <f>HYPERLINK("https://ibp.a2mac1.com/costing(costing:projects/details/8191/process/6975473)","Stamping ")</f>
        <v xml:space="preserve">Stamping </v>
      </c>
      <c r="B892" t="s">
        <v>4771</v>
      </c>
      <c r="C892">
        <v>6975473</v>
      </c>
      <c r="D892">
        <v>5388532</v>
      </c>
      <c r="E892">
        <v>0.045236199999999997</v>
      </c>
      <c r="F892">
        <v>0</v>
      </c>
      <c r="G892">
        <v>0</v>
      </c>
      <c r="H892">
        <v>0.00024745424</v>
      </c>
      <c r="I892" t="s">
        <v>137</v>
      </c>
      <c r="J892">
        <v>0.0017116399999999999</v>
      </c>
      <c r="K892">
        <v>0.047195294239999998</v>
      </c>
      <c r="L892">
        <v>0.00048337848733072581</v>
      </c>
      <c r="M892">
        <v>0.0029002709239843547</v>
      </c>
      <c r="N892">
        <v>0.050095565163984355</v>
      </c>
      <c r="O892" t="s">
        <v>138</v>
      </c>
      <c r="P892">
        <v>0.0028317176544</v>
      </c>
      <c r="Q892" t="s">
        <v>138</v>
      </c>
      <c r="R892">
        <v>0.0001740162554390613</v>
      </c>
      <c r="S892" t="s">
        <v>139</v>
      </c>
      <c r="T892">
        <v>0.0060114678196781226</v>
      </c>
      <c r="U892">
        <v>0.059112766893501541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30</v>
      </c>
      <c r="AB892">
        <v>1</v>
      </c>
      <c r="AC892">
        <v>0.50</v>
      </c>
      <c r="AD892">
        <v>0.50345253019720215</v>
      </c>
      <c r="AE892">
        <v>1800</v>
      </c>
      <c r="AF892">
        <v>200000</v>
      </c>
      <c r="AG892">
        <v>16666.666666666668</v>
      </c>
      <c r="AH892">
        <v>1</v>
      </c>
      <c r="AI892">
        <v>1</v>
      </c>
      <c r="AJ892" t="s">
        <v>136</v>
      </c>
      <c r="AK892" t="s">
        <v>137</v>
      </c>
      <c r="AL892">
        <v>0</v>
      </c>
      <c r="AM892" t="s">
        <v>137</v>
      </c>
      <c r="AN892">
        <v>0</v>
      </c>
    </row>
    <row r="893" spans="1:42" ht="12.75">
      <c r="A893" s="2" t="str">
        <f>HYPERLINK("https://ibp.a2mac1.com/costing(costing:projects/details/8191/process/6975474)","Injection molding")</f>
        <v>Injection molding</v>
      </c>
      <c r="C893">
        <v>6975474</v>
      </c>
      <c r="D893">
        <v>5388533</v>
      </c>
      <c r="E893">
        <v>0.021030206719728436</v>
      </c>
      <c r="F893">
        <v>0</v>
      </c>
      <c r="G893">
        <v>0</v>
      </c>
      <c r="H893">
        <v>4.3364740634358503E-05</v>
      </c>
      <c r="I893" t="s">
        <v>137</v>
      </c>
      <c r="J893">
        <v>0.00073677957388473185</v>
      </c>
      <c r="K893">
        <v>0.021810351034247527</v>
      </c>
      <c r="L893">
        <v>0.0096561988563691591</v>
      </c>
      <c r="M893">
        <v>0.057937193138214951</v>
      </c>
      <c r="N893">
        <v>0.079747544172462478</v>
      </c>
      <c r="O893" t="s">
        <v>138</v>
      </c>
      <c r="P893">
        <v>0.0013086210620548515</v>
      </c>
      <c r="Q893" t="s">
        <v>138</v>
      </c>
      <c r="R893">
        <v>0.0034762315882928972</v>
      </c>
      <c r="S893" t="s">
        <v>139</v>
      </c>
      <c r="T893">
        <v>0.0095697053006954975</v>
      </c>
      <c r="U893">
        <v>0.094102102123505726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29.433029999999999</v>
      </c>
      <c r="AB893">
        <v>1</v>
      </c>
      <c r="AC893">
        <v>0.10</v>
      </c>
      <c r="AD893">
        <v>0.20557651238448796</v>
      </c>
      <c r="AE893">
        <v>7200</v>
      </c>
      <c r="AF893">
        <v>200000</v>
      </c>
      <c r="AG893">
        <v>16666.666666666668</v>
      </c>
      <c r="AH893">
        <v>1</v>
      </c>
      <c r="AI893">
        <v>1</v>
      </c>
      <c r="AJ893" t="s">
        <v>136</v>
      </c>
      <c r="AK893" t="s">
        <v>137</v>
      </c>
      <c r="AL893">
        <v>0</v>
      </c>
      <c r="AM893" t="s">
        <v>137</v>
      </c>
      <c r="AN893">
        <v>0</v>
      </c>
    </row>
    <row r="894" spans="1:42" ht="12.75">
      <c r="A894" s="2" t="str">
        <f>HYPERLINK("https://ibp.a2mac1.com/costing(costing:projects/details/8191/process/6975475)","Handling/Visual Inspection/Packaging")</f>
        <v>Handling/Visual Inspection/Packaging</v>
      </c>
      <c r="C894">
        <v>6975475</v>
      </c>
      <c r="D894">
        <v>5388533</v>
      </c>
      <c r="E894">
        <v>0</v>
      </c>
      <c r="F894">
        <v>0</v>
      </c>
      <c r="G894">
        <v>0</v>
      </c>
      <c r="H894">
        <v>0</v>
      </c>
      <c r="I894" t="s">
        <v>137</v>
      </c>
      <c r="J894">
        <v>0</v>
      </c>
      <c r="K894">
        <v>0</v>
      </c>
      <c r="L894">
        <v>0.0086216394843006</v>
      </c>
      <c r="M894">
        <v>0.0517298369058036</v>
      </c>
      <c r="N894">
        <v>0.0517298369058036</v>
      </c>
      <c r="O894" t="s">
        <v>138</v>
      </c>
      <c r="P894">
        <v>0</v>
      </c>
      <c r="Q894" t="s">
        <v>138</v>
      </c>
      <c r="R894">
        <v>0.0031037902143482162</v>
      </c>
      <c r="S894" t="s">
        <v>139</v>
      </c>
      <c r="T894">
        <v>0.0062075804286964324</v>
      </c>
      <c r="U894">
        <v>0.061041207548848252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30</v>
      </c>
      <c r="AB894">
        <v>1</v>
      </c>
      <c r="AC894">
        <v>0.10</v>
      </c>
      <c r="AD894">
        <v>0.10389195236953569</v>
      </c>
      <c r="AE894">
        <v>900</v>
      </c>
      <c r="AF894">
        <v>200000</v>
      </c>
      <c r="AG894">
        <v>16666.666666666668</v>
      </c>
      <c r="AH894">
        <v>1</v>
      </c>
      <c r="AI894">
        <v>1</v>
      </c>
      <c r="AJ894" t="s">
        <v>136</v>
      </c>
      <c r="AK894" t="s">
        <v>137</v>
      </c>
      <c r="AL894">
        <v>0</v>
      </c>
      <c r="AM894" t="s">
        <v>137</v>
      </c>
      <c r="AN894">
        <v>0</v>
      </c>
    </row>
    <row r="895" spans="1:42" ht="12.75">
      <c r="A895" s="2" t="str">
        <f>HYPERLINK("https://ibp.a2mac1.com/costing(costing:projects/details/8191/process/6975476)","Stamping ")</f>
        <v xml:space="preserve">Stamping </v>
      </c>
      <c r="B895" t="s">
        <v>4771</v>
      </c>
      <c r="C895">
        <v>6975476</v>
      </c>
      <c r="D895">
        <v>5388534</v>
      </c>
      <c r="E895">
        <v>0.026387783333333335</v>
      </c>
      <c r="F895">
        <v>0</v>
      </c>
      <c r="G895">
        <v>0</v>
      </c>
      <c r="H895">
        <v>0.00014434830666666668</v>
      </c>
      <c r="I895" t="s">
        <v>137</v>
      </c>
      <c r="J895">
        <v>0.00099845666666666675</v>
      </c>
      <c r="K895">
        <v>0.027530588306666666</v>
      </c>
      <c r="L895">
        <v>0.00026282745696232549</v>
      </c>
      <c r="M895">
        <v>0.0015769647417739532</v>
      </c>
      <c r="N895">
        <v>0.029107553048440621</v>
      </c>
      <c r="O895" t="s">
        <v>138</v>
      </c>
      <c r="P895">
        <v>0.0016518352984</v>
      </c>
      <c r="Q895" t="s">
        <v>138</v>
      </c>
      <c r="R895">
        <v>9.4617884506437188E-05</v>
      </c>
      <c r="S895" t="s">
        <v>139</v>
      </c>
      <c r="T895">
        <v>0.0034929063658128744</v>
      </c>
      <c r="U895">
        <v>0.034346912597159933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10</v>
      </c>
      <c r="AB895">
        <v>1</v>
      </c>
      <c r="AC895">
        <v>0.50</v>
      </c>
      <c r="AD895">
        <v>0.50345253019720215</v>
      </c>
      <c r="AE895">
        <v>1800</v>
      </c>
      <c r="AF895">
        <v>200000</v>
      </c>
      <c r="AG895">
        <v>16666.666666666668</v>
      </c>
      <c r="AH895">
        <v>1</v>
      </c>
      <c r="AI895">
        <v>1</v>
      </c>
      <c r="AJ895" t="s">
        <v>136</v>
      </c>
      <c r="AK895" t="s">
        <v>137</v>
      </c>
      <c r="AL895">
        <v>0</v>
      </c>
      <c r="AM895" t="s">
        <v>137</v>
      </c>
      <c r="AN895">
        <v>0</v>
      </c>
    </row>
    <row r="896" spans="1:42" ht="12.75">
      <c r="A896" s="2" t="str">
        <f>HYPERLINK("https://ibp.a2mac1.com/costing(costing:projects/details/8191/process/6975479)","Injection molding")</f>
        <v>Injection molding</v>
      </c>
      <c r="B896" t="s">
        <v>4797</v>
      </c>
      <c r="C896">
        <v>6975479</v>
      </c>
      <c r="D896">
        <v>5388541</v>
      </c>
      <c r="E896">
        <v>6.2653999999999996</v>
      </c>
      <c r="F896">
        <v>0</v>
      </c>
      <c r="G896">
        <v>0</v>
      </c>
      <c r="H896">
        <v>0</v>
      </c>
      <c r="I896" t="s">
        <v>137</v>
      </c>
      <c r="J896">
        <v>0.21928900000000001</v>
      </c>
      <c r="K896">
        <v>6.4846890000000004</v>
      </c>
      <c r="L896">
        <v>0.60794882009858353</v>
      </c>
      <c r="M896">
        <v>3.647692920591501</v>
      </c>
      <c r="N896">
        <v>10.1323819205915</v>
      </c>
      <c r="O896" t="s">
        <v>90</v>
      </c>
      <c r="P896">
        <v>0</v>
      </c>
      <c r="Q896" t="s">
        <v>90</v>
      </c>
      <c r="R896">
        <v>0</v>
      </c>
      <c r="S896" t="s">
        <v>90</v>
      </c>
      <c r="T896">
        <v>0</v>
      </c>
      <c r="U896">
        <v>10.1323819205915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65.60</v>
      </c>
      <c r="AB896">
        <v>1</v>
      </c>
      <c r="AC896">
        <v>0</v>
      </c>
      <c r="AD896">
        <v>0</v>
      </c>
      <c r="AE896">
        <v>600</v>
      </c>
      <c r="AF896">
        <v>200000</v>
      </c>
      <c r="AG896">
        <v>10000</v>
      </c>
      <c r="AH896">
        <v>1</v>
      </c>
      <c r="AI896">
        <v>1</v>
      </c>
      <c r="AJ896" t="s">
        <v>79</v>
      </c>
      <c r="AK896" t="s">
        <v>137</v>
      </c>
      <c r="AL896">
        <v>0</v>
      </c>
      <c r="AM896" t="s">
        <v>137</v>
      </c>
      <c r="AN896">
        <v>0</v>
      </c>
      <c r="AP896">
        <v>0</v>
      </c>
    </row>
    <row r="897" spans="1:42" ht="12.75">
      <c r="A897" s="2" t="str">
        <f>HYPERLINK("https://ibp.a2mac1.com/costing(costing:projects/details/8191/process/6975478)","Automated Process")</f>
        <v>Automated Process</v>
      </c>
      <c r="C897">
        <v>6975478</v>
      </c>
      <c r="D897">
        <v>5388538</v>
      </c>
      <c r="E897">
        <v>0.42358094624999998</v>
      </c>
      <c r="F897">
        <v>0</v>
      </c>
      <c r="G897">
        <v>0</v>
      </c>
      <c r="H897">
        <v>0.0021477858426315788</v>
      </c>
      <c r="I897" t="s">
        <v>137</v>
      </c>
      <c r="J897">
        <v>0.014856226184210525</v>
      </c>
      <c r="K897">
        <v>0.44058495827684213</v>
      </c>
      <c r="L897">
        <v>0.014964213933035313</v>
      </c>
      <c r="M897">
        <v>0.089785283598211876</v>
      </c>
      <c r="N897">
        <v>0.53037024187505399</v>
      </c>
      <c r="O897" t="s">
        <v>138</v>
      </c>
      <c r="P897">
        <v>0.026435097496610525</v>
      </c>
      <c r="Q897" t="s">
        <v>138</v>
      </c>
      <c r="R897">
        <v>0.0053871170158927128</v>
      </c>
      <c r="S897" t="s">
        <v>139</v>
      </c>
      <c r="T897">
        <v>0.063644429025006471</v>
      </c>
      <c r="U897">
        <v>0.62583688541256366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60</v>
      </c>
      <c r="AB897">
        <v>1</v>
      </c>
      <c r="AC897">
        <v>0.50</v>
      </c>
      <c r="AD897">
        <v>0.50345253019720215</v>
      </c>
      <c r="AE897">
        <v>722.925</v>
      </c>
      <c r="AF897">
        <v>200000</v>
      </c>
      <c r="AG897">
        <v>16666.666666666668</v>
      </c>
      <c r="AH897">
        <v>1</v>
      </c>
      <c r="AI897">
        <v>1</v>
      </c>
      <c r="AJ897" t="s">
        <v>136</v>
      </c>
      <c r="AK897" t="s">
        <v>137</v>
      </c>
      <c r="AL897">
        <v>0</v>
      </c>
      <c r="AM897" t="s">
        <v>137</v>
      </c>
      <c r="AN897">
        <v>0</v>
      </c>
    </row>
    <row r="898" spans="1:42" ht="12.75">
      <c r="A898" s="2" t="str">
        <f>HYPERLINK("https://ibp.a2mac1.com/costing(costing:projects/details/8191/process/6975302)","Assembly")</f>
        <v>Assembly</v>
      </c>
      <c r="C898">
        <v>6975302</v>
      </c>
      <c r="D898">
        <v>5388231</v>
      </c>
      <c r="E898">
        <v>0</v>
      </c>
      <c r="F898">
        <v>0</v>
      </c>
      <c r="G898">
        <v>0</v>
      </c>
      <c r="H898">
        <v>0</v>
      </c>
      <c r="I898" t="s">
        <v>90</v>
      </c>
      <c r="J898">
        <v>0</v>
      </c>
      <c r="K898">
        <v>0</v>
      </c>
      <c r="L898">
        <v>0</v>
      </c>
      <c r="M898">
        <v>0.39420764387300394</v>
      </c>
      <c r="N898">
        <v>0.39420764387300394</v>
      </c>
      <c r="O898" t="s">
        <v>90</v>
      </c>
      <c r="P898">
        <v>0</v>
      </c>
      <c r="Q898" t="s">
        <v>90</v>
      </c>
      <c r="R898">
        <v>0</v>
      </c>
      <c r="S898" t="s">
        <v>90</v>
      </c>
      <c r="T898">
        <v>0</v>
      </c>
      <c r="U898">
        <v>0.39420764387300394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60</v>
      </c>
      <c r="AB898">
        <v>1</v>
      </c>
      <c r="AC898">
        <v>1.99</v>
      </c>
      <c r="AD898">
        <v>1.9992159937279499</v>
      </c>
      <c r="AE898">
        <v>1800</v>
      </c>
      <c r="AF898">
        <v>200000</v>
      </c>
      <c r="AG898">
        <v>10000</v>
      </c>
      <c r="AH898">
        <v>1</v>
      </c>
      <c r="AI898">
        <v>1</v>
      </c>
      <c r="AJ898" t="s">
        <v>79</v>
      </c>
      <c r="AK898" t="s">
        <v>90</v>
      </c>
      <c r="AL898">
        <v>0</v>
      </c>
      <c r="AM898" t="s">
        <v>90</v>
      </c>
      <c r="AN898">
        <v>0</v>
      </c>
      <c r="AP898">
        <v>0</v>
      </c>
    </row>
    <row r="899" spans="1:42" ht="12.75">
      <c r="A899" s="2" t="str">
        <f>HYPERLINK("https://ibp.a2mac1.com/costing(costing:projects/details/8191/process/6975702)","Seal Extrusion (Multi Layer)")</f>
        <v>Seal Extrusion (Multi Layer)</v>
      </c>
      <c r="B899" t="s">
        <v>4822</v>
      </c>
      <c r="C899">
        <v>6975702</v>
      </c>
      <c r="D899">
        <v>5388863</v>
      </c>
      <c r="E899">
        <v>3.5907257014736844</v>
      </c>
      <c r="F899">
        <v>0</v>
      </c>
      <c r="G899">
        <v>0</v>
      </c>
      <c r="H899">
        <v>0.0074202673225263159</v>
      </c>
      <c r="I899" t="s">
        <v>137</v>
      </c>
      <c r="J899">
        <v>0.12607250305263157</v>
      </c>
      <c r="K899">
        <v>3.7242184718488422</v>
      </c>
      <c r="L899">
        <v>0.037001546639062834</v>
      </c>
      <c r="M899">
        <v>0.22200927983437699</v>
      </c>
      <c r="N899">
        <v>3.9462277516832192</v>
      </c>
      <c r="O899" t="s">
        <v>138</v>
      </c>
      <c r="P899">
        <v>0.22345310831093051</v>
      </c>
      <c r="Q899" t="s">
        <v>138</v>
      </c>
      <c r="R899">
        <v>0.01332055679006262</v>
      </c>
      <c r="S899" t="s">
        <v>139</v>
      </c>
      <c r="T899">
        <v>0.47354733020198631</v>
      </c>
      <c r="U899">
        <v>4.6565487469861981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15</v>
      </c>
      <c r="AB899">
        <v>1</v>
      </c>
      <c r="AC899">
        <v>0.10</v>
      </c>
      <c r="AD899">
        <v>0.20557651238448796</v>
      </c>
      <c r="AE899">
        <v>1800</v>
      </c>
      <c r="AF899">
        <v>200000</v>
      </c>
      <c r="AG899">
        <v>16666.666666666668</v>
      </c>
      <c r="AH899">
        <v>1</v>
      </c>
      <c r="AI899">
        <v>1</v>
      </c>
      <c r="AJ899" t="s">
        <v>136</v>
      </c>
      <c r="AK899" t="s">
        <v>137</v>
      </c>
      <c r="AL899">
        <v>0</v>
      </c>
      <c r="AM899" t="s">
        <v>137</v>
      </c>
      <c r="AN899">
        <v>0</v>
      </c>
    </row>
    <row r="900" spans="1:42" ht="12.75">
      <c r="A900" s="2" t="str">
        <f>HYPERLINK("https://ibp.a2mac1.com/costing(costing:projects/details/8191/process/6975703)","End Glueing/Vulcanizing, Check and Pack")</f>
        <v>End Glueing/Vulcanizing, Check and Pack</v>
      </c>
      <c r="C900">
        <v>6975703</v>
      </c>
      <c r="D900">
        <v>5388863</v>
      </c>
      <c r="E900">
        <v>0</v>
      </c>
      <c r="F900">
        <v>0</v>
      </c>
      <c r="G900">
        <v>0</v>
      </c>
      <c r="H900">
        <v>0</v>
      </c>
      <c r="I900" t="s">
        <v>137</v>
      </c>
      <c r="J900">
        <v>0</v>
      </c>
      <c r="K900">
        <v>0</v>
      </c>
      <c r="L900">
        <v>0.015680387065327164</v>
      </c>
      <c r="M900">
        <v>0.094082322391962986</v>
      </c>
      <c r="N900">
        <v>0.094082322391962986</v>
      </c>
      <c r="O900" t="s">
        <v>138</v>
      </c>
      <c r="P900">
        <v>0</v>
      </c>
      <c r="Q900" t="s">
        <v>138</v>
      </c>
      <c r="R900">
        <v>0.0056449393435177792</v>
      </c>
      <c r="S900" t="s">
        <v>139</v>
      </c>
      <c r="T900">
        <v>0.011289878687035558</v>
      </c>
      <c r="U900">
        <v>0.11101714042251631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30</v>
      </c>
      <c r="AB900">
        <v>1</v>
      </c>
      <c r="AC900">
        <v>0.10</v>
      </c>
      <c r="AD900">
        <v>0.10389195236953569</v>
      </c>
      <c r="AE900">
        <v>600</v>
      </c>
      <c r="AF900">
        <v>200000</v>
      </c>
      <c r="AG900">
        <v>16666.666666666668</v>
      </c>
      <c r="AH900">
        <v>1</v>
      </c>
      <c r="AI900">
        <v>1</v>
      </c>
      <c r="AJ900" t="s">
        <v>136</v>
      </c>
      <c r="AK900" t="s">
        <v>137</v>
      </c>
      <c r="AL900">
        <v>0</v>
      </c>
      <c r="AM900" t="s">
        <v>137</v>
      </c>
      <c r="AN900">
        <v>0</v>
      </c>
    </row>
    <row r="901" spans="1:42" ht="12.75">
      <c r="A901" s="2" t="str">
        <f>HYPERLINK("https://ibp.a2mac1.com/costing(costing:projects/details/8191/process/6975704)","Seal Extrusion (Multi Layer)")</f>
        <v>Seal Extrusion (Multi Layer)</v>
      </c>
      <c r="B901" t="s">
        <v>4822</v>
      </c>
      <c r="C901">
        <v>6975704</v>
      </c>
      <c r="D901">
        <v>5388864</v>
      </c>
      <c r="E901">
        <v>0.96717579136184206</v>
      </c>
      <c r="F901">
        <v>0</v>
      </c>
      <c r="G901">
        <v>0</v>
      </c>
      <c r="H901">
        <v>0.0019990823467894736</v>
      </c>
      <c r="I901" t="s">
        <v>137</v>
      </c>
      <c r="J901">
        <v>0.033964991328947369</v>
      </c>
      <c r="K901">
        <v>1.0031398650375789</v>
      </c>
      <c r="L901">
        <v>0.037001546639062834</v>
      </c>
      <c r="M901">
        <v>0.22200927983437699</v>
      </c>
      <c r="N901">
        <v>1.225149144871956</v>
      </c>
      <c r="O901" t="s">
        <v>138</v>
      </c>
      <c r="P901">
        <v>0.060188391902254737</v>
      </c>
      <c r="Q901" t="s">
        <v>138</v>
      </c>
      <c r="R901">
        <v>0.01332055679006262</v>
      </c>
      <c r="S901" t="s">
        <v>139</v>
      </c>
      <c r="T901">
        <v>0.14701789738463472</v>
      </c>
      <c r="U901">
        <v>1.4456759909489081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15</v>
      </c>
      <c r="AB901">
        <v>1</v>
      </c>
      <c r="AC901">
        <v>0.10</v>
      </c>
      <c r="AD901">
        <v>0.20557651238448796</v>
      </c>
      <c r="AE901">
        <v>1800</v>
      </c>
      <c r="AF901">
        <v>200000</v>
      </c>
      <c r="AG901">
        <v>16666.666666666668</v>
      </c>
      <c r="AH901">
        <v>1</v>
      </c>
      <c r="AI901">
        <v>1</v>
      </c>
      <c r="AJ901" t="s">
        <v>136</v>
      </c>
      <c r="AK901" t="s">
        <v>137</v>
      </c>
      <c r="AL901">
        <v>0</v>
      </c>
      <c r="AM901" t="s">
        <v>137</v>
      </c>
      <c r="AN901">
        <v>0</v>
      </c>
    </row>
    <row r="902" spans="1:42" ht="12.75">
      <c r="A902" s="2" t="str">
        <f>HYPERLINK("https://ibp.a2mac1.com/costing(costing:projects/details/8191/process/6975705)","End Glueing/Vulcanizing, Check and Pack")</f>
        <v>End Glueing/Vulcanizing, Check and Pack</v>
      </c>
      <c r="C902">
        <v>6975705</v>
      </c>
      <c r="D902">
        <v>5388864</v>
      </c>
      <c r="E902">
        <v>0</v>
      </c>
      <c r="F902">
        <v>0</v>
      </c>
      <c r="G902">
        <v>0</v>
      </c>
      <c r="H902">
        <v>0</v>
      </c>
      <c r="I902" t="s">
        <v>137</v>
      </c>
      <c r="J902">
        <v>0</v>
      </c>
      <c r="K902">
        <v>0</v>
      </c>
      <c r="L902">
        <v>0.015680387065327164</v>
      </c>
      <c r="M902">
        <v>0.094082322391962986</v>
      </c>
      <c r="N902">
        <v>0.094082322391962986</v>
      </c>
      <c r="O902" t="s">
        <v>138</v>
      </c>
      <c r="P902">
        <v>0</v>
      </c>
      <c r="Q902" t="s">
        <v>138</v>
      </c>
      <c r="R902">
        <v>0.0056449393435177792</v>
      </c>
      <c r="S902" t="s">
        <v>139</v>
      </c>
      <c r="T902">
        <v>0.011289878687035558</v>
      </c>
      <c r="U902">
        <v>0.11101714042251631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30</v>
      </c>
      <c r="AB902">
        <v>1</v>
      </c>
      <c r="AC902">
        <v>0.10</v>
      </c>
      <c r="AD902">
        <v>0.10389195236953569</v>
      </c>
      <c r="AE902">
        <v>600</v>
      </c>
      <c r="AF902">
        <v>200000</v>
      </c>
      <c r="AG902">
        <v>16666.666666666668</v>
      </c>
      <c r="AH902">
        <v>1</v>
      </c>
      <c r="AI902">
        <v>1</v>
      </c>
      <c r="AJ902" t="s">
        <v>136</v>
      </c>
      <c r="AK902" t="s">
        <v>137</v>
      </c>
      <c r="AL902">
        <v>0</v>
      </c>
      <c r="AM902" t="s">
        <v>137</v>
      </c>
      <c r="AN902">
        <v>0</v>
      </c>
    </row>
    <row r="903" spans="1:42" ht="12.75">
      <c r="A903" s="2" t="str">
        <f>HYPERLINK("https://ibp.a2mac1.com/costing(costing:projects/details/8191/process/6975480)","Seal Extrusion")</f>
        <v>Seal Extrusion</v>
      </c>
      <c r="B903" t="s">
        <v>4839</v>
      </c>
      <c r="C903">
        <v>6975480</v>
      </c>
      <c r="D903">
        <v>5388542</v>
      </c>
      <c r="E903">
        <v>0.32881327500000002</v>
      </c>
      <c r="F903">
        <v>0</v>
      </c>
      <c r="G903">
        <v>0</v>
      </c>
      <c r="H903">
        <v>0.00034282286315789472</v>
      </c>
      <c r="I903" t="s">
        <v>137</v>
      </c>
      <c r="J903">
        <v>0.011537307894736842</v>
      </c>
      <c r="K903">
        <v>0.34069340575789475</v>
      </c>
      <c r="L903">
        <v>0.02473920957733388</v>
      </c>
      <c r="M903">
        <v>0.14843525746400327</v>
      </c>
      <c r="N903">
        <v>0.48912866322189802</v>
      </c>
      <c r="O903" t="s">
        <v>138</v>
      </c>
      <c r="P903">
        <v>0.020441604345473683</v>
      </c>
      <c r="Q903" t="s">
        <v>138</v>
      </c>
      <c r="R903">
        <v>0.0089061154478401964</v>
      </c>
      <c r="S903" t="s">
        <v>139</v>
      </c>
      <c r="T903">
        <v>0.058695439586627762</v>
      </c>
      <c r="U903">
        <v>0.57717182260183963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10</v>
      </c>
      <c r="AB903">
        <v>1</v>
      </c>
      <c r="AC903">
        <v>0.10</v>
      </c>
      <c r="AD903">
        <v>0.10389195236953569</v>
      </c>
      <c r="AE903">
        <v>1800</v>
      </c>
      <c r="AF903">
        <v>200000</v>
      </c>
      <c r="AG903">
        <v>16666.666666666668</v>
      </c>
      <c r="AH903">
        <v>1</v>
      </c>
      <c r="AI903">
        <v>1</v>
      </c>
      <c r="AJ903" t="s">
        <v>136</v>
      </c>
      <c r="AK903" t="s">
        <v>137</v>
      </c>
      <c r="AL903">
        <v>0</v>
      </c>
      <c r="AM903" t="s">
        <v>137</v>
      </c>
      <c r="AN903">
        <v>0</v>
      </c>
    </row>
    <row r="904" spans="1:42" ht="12.75">
      <c r="A904" s="2" t="str">
        <f>HYPERLINK("https://ibp.a2mac1.com/costing(costing:projects/details/8191/process/6975481)","Seal Extrusion")</f>
        <v>Seal Extrusion</v>
      </c>
      <c r="B904" t="s">
        <v>4839</v>
      </c>
      <c r="C904">
        <v>6975481</v>
      </c>
      <c r="D904">
        <v>5388543</v>
      </c>
      <c r="E904">
        <v>0.75757399999999997</v>
      </c>
      <c r="F904">
        <v>0</v>
      </c>
      <c r="G904">
        <v>0</v>
      </c>
      <c r="H904">
        <v>0.00078940248126315794</v>
      </c>
      <c r="I904" t="s">
        <v>137</v>
      </c>
      <c r="J904">
        <v>0.026566429657894738</v>
      </c>
      <c r="K904">
        <v>0.7849298321391579</v>
      </c>
      <c r="L904">
        <v>0.03696388264930988</v>
      </c>
      <c r="M904">
        <v>0.22178329589585927</v>
      </c>
      <c r="N904">
        <v>1.0067131280350172</v>
      </c>
      <c r="O904" t="s">
        <v>138</v>
      </c>
      <c r="P904">
        <v>0.047095789928349473</v>
      </c>
      <c r="Q904" t="s">
        <v>138</v>
      </c>
      <c r="R904">
        <v>0.013306997753751557</v>
      </c>
      <c r="S904" t="s">
        <v>139</v>
      </c>
      <c r="T904">
        <v>0.12080557536420206</v>
      </c>
      <c r="U904">
        <v>1.1879214910813203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15</v>
      </c>
      <c r="AB904">
        <v>1</v>
      </c>
      <c r="AC904">
        <v>0.10</v>
      </c>
      <c r="AD904">
        <v>0.10389195236953569</v>
      </c>
      <c r="AE904">
        <v>1800</v>
      </c>
      <c r="AF904">
        <v>200000</v>
      </c>
      <c r="AG904">
        <v>16666.666666666668</v>
      </c>
      <c r="AH904">
        <v>1</v>
      </c>
      <c r="AI904">
        <v>1</v>
      </c>
      <c r="AJ904" t="s">
        <v>136</v>
      </c>
      <c r="AK904" t="s">
        <v>137</v>
      </c>
      <c r="AL904">
        <v>0</v>
      </c>
      <c r="AM904" t="s">
        <v>137</v>
      </c>
      <c r="AN904">
        <v>0</v>
      </c>
    </row>
    <row r="905" spans="1:42" ht="12.75">
      <c r="A905" s="2" t="str">
        <f>HYPERLINK("https://ibp.a2mac1.com/costing(costing:projects/details/8191/process/6975482)","Seal Extrusion")</f>
        <v>Seal Extrusion</v>
      </c>
      <c r="B905" t="s">
        <v>4839</v>
      </c>
      <c r="C905">
        <v>6975482</v>
      </c>
      <c r="D905">
        <v>5388544</v>
      </c>
      <c r="E905">
        <v>2.1264245499999999</v>
      </c>
      <c r="F905">
        <v>0</v>
      </c>
      <c r="G905">
        <v>0</v>
      </c>
      <c r="H905">
        <v>0.0022152953351578949</v>
      </c>
      <c r="I905" t="s">
        <v>137</v>
      </c>
      <c r="J905">
        <v>0.074553208394736836</v>
      </c>
      <c r="K905">
        <v>2.2031930537298949</v>
      </c>
      <c r="L905">
        <v>0.03696388264930988</v>
      </c>
      <c r="M905">
        <v>0.22178329589585927</v>
      </c>
      <c r="N905">
        <v>2.4249763496257541</v>
      </c>
      <c r="O905" t="s">
        <v>138</v>
      </c>
      <c r="P905">
        <v>0.13219158322379368</v>
      </c>
      <c r="Q905" t="s">
        <v>138</v>
      </c>
      <c r="R905">
        <v>0.013306997753751557</v>
      </c>
      <c r="S905" t="s">
        <v>139</v>
      </c>
      <c r="T905">
        <v>0.29099716195509046</v>
      </c>
      <c r="U905">
        <v>2.8614720925583899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15</v>
      </c>
      <c r="AB905">
        <v>1</v>
      </c>
      <c r="AC905">
        <v>0.10</v>
      </c>
      <c r="AD905">
        <v>0.10389195236953569</v>
      </c>
      <c r="AE905">
        <v>1800</v>
      </c>
      <c r="AF905">
        <v>200000</v>
      </c>
      <c r="AG905">
        <v>16666.666666666668</v>
      </c>
      <c r="AH905">
        <v>1</v>
      </c>
      <c r="AI905">
        <v>1</v>
      </c>
      <c r="AJ905" t="s">
        <v>136</v>
      </c>
      <c r="AK905" t="s">
        <v>137</v>
      </c>
      <c r="AL905">
        <v>0</v>
      </c>
      <c r="AM905" t="s">
        <v>137</v>
      </c>
      <c r="AN905">
        <v>0</v>
      </c>
    </row>
    <row r="906" spans="1:42" ht="12.75">
      <c r="A906" s="2" t="str">
        <f>HYPERLINK("https://ibp.a2mac1.com/costing(costing:projects/details/8191/process/6975835)","Manufacturing Process")</f>
        <v>Manufacturing Process</v>
      </c>
      <c r="C906">
        <v>6975835</v>
      </c>
      <c r="D906">
        <v>5389219</v>
      </c>
      <c r="E906">
        <v>0.15083827499999999</v>
      </c>
      <c r="F906">
        <v>0</v>
      </c>
      <c r="G906">
        <v>0</v>
      </c>
      <c r="H906">
        <v>0.00016688489999999999</v>
      </c>
      <c r="I906" t="s">
        <v>137</v>
      </c>
      <c r="J906">
        <v>0.00561631875</v>
      </c>
      <c r="K906">
        <v>0.15662147865000001</v>
      </c>
      <c r="L906">
        <v>0.0040251954991824199</v>
      </c>
      <c r="M906">
        <v>0.024151172995094523</v>
      </c>
      <c r="N906">
        <v>0.18077265164509451</v>
      </c>
      <c r="O906" t="s">
        <v>90</v>
      </c>
      <c r="P906">
        <v>0</v>
      </c>
      <c r="Q906" t="s">
        <v>90</v>
      </c>
      <c r="R906">
        <v>0</v>
      </c>
      <c r="S906" t="s">
        <v>90</v>
      </c>
      <c r="T906">
        <v>0</v>
      </c>
      <c r="U906">
        <v>0.18077265164509451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36</v>
      </c>
      <c r="AB906">
        <v>1</v>
      </c>
      <c r="AC906">
        <v>0.10</v>
      </c>
      <c r="AD906">
        <v>0.10389195236953569</v>
      </c>
      <c r="AE906">
        <v>6012</v>
      </c>
      <c r="AF906">
        <v>200000</v>
      </c>
      <c r="AG906">
        <v>16666.666666666668</v>
      </c>
      <c r="AH906">
        <v>1</v>
      </c>
      <c r="AI906">
        <v>1</v>
      </c>
      <c r="AJ906" t="s">
        <v>136</v>
      </c>
      <c r="AK906" t="s">
        <v>137</v>
      </c>
      <c r="AL906">
        <v>0</v>
      </c>
      <c r="AM906" t="s">
        <v>137</v>
      </c>
      <c r="AN906">
        <v>0</v>
      </c>
    </row>
    <row r="907" spans="1:42" ht="12.75">
      <c r="A907" s="2" t="str">
        <f>HYPERLINK("https://ibp.a2mac1.com/costing(costing:projects/details/8191/process/6975836)","Manufacturing Process")</f>
        <v>Manufacturing Process</v>
      </c>
      <c r="C907">
        <v>6975836</v>
      </c>
      <c r="D907">
        <v>5389220</v>
      </c>
      <c r="E907">
        <v>0.093376075000000003</v>
      </c>
      <c r="F907">
        <v>0</v>
      </c>
      <c r="G907">
        <v>0</v>
      </c>
      <c r="H907">
        <v>0.0001033097</v>
      </c>
      <c r="I907" t="s">
        <v>137</v>
      </c>
      <c r="J907">
        <v>0.0034767687499999999</v>
      </c>
      <c r="K907">
        <v>0.096956153449999999</v>
      </c>
      <c r="L907">
        <v>0.18163295441459323</v>
      </c>
      <c r="M907">
        <v>1.0897977264875593</v>
      </c>
      <c r="N907">
        <v>1.1867538799375594</v>
      </c>
      <c r="O907" t="s">
        <v>90</v>
      </c>
      <c r="P907">
        <v>0</v>
      </c>
      <c r="Q907" t="s">
        <v>90</v>
      </c>
      <c r="R907">
        <v>0</v>
      </c>
      <c r="S907" t="s">
        <v>90</v>
      </c>
      <c r="T907">
        <v>0</v>
      </c>
      <c r="U907">
        <v>1.1867538799375594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36</v>
      </c>
      <c r="AB907">
        <v>1</v>
      </c>
      <c r="AC907">
        <v>0.10</v>
      </c>
      <c r="AD907">
        <v>0.10389195236953569</v>
      </c>
      <c r="AE907">
        <v>5400</v>
      </c>
      <c r="AF907">
        <v>200000</v>
      </c>
      <c r="AG907">
        <v>16666.666666666668</v>
      </c>
      <c r="AH907">
        <v>1</v>
      </c>
      <c r="AI907">
        <v>1</v>
      </c>
      <c r="AJ907" t="s">
        <v>136</v>
      </c>
      <c r="AK907" t="s">
        <v>137</v>
      </c>
      <c r="AL907">
        <v>0</v>
      </c>
      <c r="AM907" t="s">
        <v>137</v>
      </c>
      <c r="AN907">
        <v>0</v>
      </c>
    </row>
    <row r="908" spans="1:42" ht="12.75">
      <c r="A908" s="2" t="str">
        <f>HYPERLINK("https://ibp.a2mac1.com/costing(costing:projects/details/8191/process/6975837)","Manufacturing Process")</f>
        <v>Manufacturing Process</v>
      </c>
      <c r="C908">
        <v>6975837</v>
      </c>
      <c r="D908">
        <v>5389221</v>
      </c>
      <c r="E908">
        <v>0.1668849</v>
      </c>
      <c r="F908">
        <v>0</v>
      </c>
      <c r="G908">
        <v>0</v>
      </c>
      <c r="H908">
        <v>0.0001907256</v>
      </c>
      <c r="I908" t="s">
        <v>137</v>
      </c>
      <c r="J908">
        <v>0.0064186499999999997</v>
      </c>
      <c r="K908">
        <v>0.1734942756</v>
      </c>
      <c r="L908">
        <v>0.18163295441459323</v>
      </c>
      <c r="M908">
        <v>1.0897977264875593</v>
      </c>
      <c r="N908">
        <v>1.2632920020875593</v>
      </c>
      <c r="O908" t="s">
        <v>90</v>
      </c>
      <c r="P908">
        <v>0</v>
      </c>
      <c r="Q908" t="s">
        <v>90</v>
      </c>
      <c r="R908">
        <v>0</v>
      </c>
      <c r="S908" t="s">
        <v>90</v>
      </c>
      <c r="T908">
        <v>0</v>
      </c>
      <c r="U908">
        <v>1.2632920020875593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36</v>
      </c>
      <c r="AB908">
        <v>1</v>
      </c>
      <c r="AC908">
        <v>0.10</v>
      </c>
      <c r="AD908">
        <v>0.10389195236953569</v>
      </c>
      <c r="AE908">
        <v>5400</v>
      </c>
      <c r="AF908">
        <v>200000</v>
      </c>
      <c r="AG908">
        <v>16666.666666666668</v>
      </c>
      <c r="AH908">
        <v>1</v>
      </c>
      <c r="AI908">
        <v>1</v>
      </c>
      <c r="AJ908" t="s">
        <v>136</v>
      </c>
      <c r="AK908" t="s">
        <v>137</v>
      </c>
      <c r="AL908">
        <v>0</v>
      </c>
      <c r="AM908" t="s">
        <v>137</v>
      </c>
      <c r="AN908">
        <v>0</v>
      </c>
    </row>
    <row r="909" spans="1:42" ht="12.75">
      <c r="A909" s="2" t="str">
        <f>HYPERLINK("https://ibp.a2mac1.com/costing(costing:projects/details/8191/process/6975838)","Manufacturing Process")</f>
        <v>Manufacturing Process</v>
      </c>
      <c r="C909">
        <v>6975838</v>
      </c>
      <c r="D909">
        <v>5389222</v>
      </c>
      <c r="E909">
        <v>0.079010524999999998</v>
      </c>
      <c r="F909">
        <v>0</v>
      </c>
      <c r="G909">
        <v>0</v>
      </c>
      <c r="H909">
        <v>8.7415899999999998E-05</v>
      </c>
      <c r="I909" t="s">
        <v>137</v>
      </c>
      <c r="J909">
        <v>0.0029418812499999998</v>
      </c>
      <c r="K909">
        <v>0.082039822149999997</v>
      </c>
      <c r="L909">
        <v>0.18163295441459323</v>
      </c>
      <c r="M909">
        <v>1.0897977264875593</v>
      </c>
      <c r="N909">
        <v>1.1718375486375594</v>
      </c>
      <c r="O909" t="s">
        <v>90</v>
      </c>
      <c r="P909">
        <v>0</v>
      </c>
      <c r="Q909" t="s">
        <v>90</v>
      </c>
      <c r="R909">
        <v>0</v>
      </c>
      <c r="S909" t="s">
        <v>90</v>
      </c>
      <c r="T909">
        <v>0</v>
      </c>
      <c r="U909">
        <v>1.1718375486375594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36</v>
      </c>
      <c r="AB909">
        <v>1</v>
      </c>
      <c r="AC909">
        <v>0.10</v>
      </c>
      <c r="AD909">
        <v>0.10389195236953569</v>
      </c>
      <c r="AE909">
        <v>5400</v>
      </c>
      <c r="AF909">
        <v>200000</v>
      </c>
      <c r="AG909">
        <v>16666.666666666668</v>
      </c>
      <c r="AH909">
        <v>1</v>
      </c>
      <c r="AI909">
        <v>1</v>
      </c>
      <c r="AJ909" t="s">
        <v>136</v>
      </c>
      <c r="AK909" t="s">
        <v>137</v>
      </c>
      <c r="AL909">
        <v>0</v>
      </c>
      <c r="AM909" t="s">
        <v>137</v>
      </c>
      <c r="AN909">
        <v>0</v>
      </c>
    </row>
    <row r="910" spans="1:42" ht="12.75">
      <c r="A910" s="2" t="str">
        <f>HYPERLINK("https://ibp.a2mac1.com/costing(costing:projects/details/8191/process/6975483)","Process")</f>
        <v>Process</v>
      </c>
      <c r="C910">
        <v>6975483</v>
      </c>
      <c r="D910">
        <v>5388555</v>
      </c>
      <c r="E910">
        <v>0</v>
      </c>
      <c r="F910">
        <v>0</v>
      </c>
      <c r="G910">
        <v>0</v>
      </c>
      <c r="H910">
        <v>0</v>
      </c>
      <c r="I910" t="s">
        <v>137</v>
      </c>
      <c r="J910">
        <v>0</v>
      </c>
      <c r="K910">
        <v>0</v>
      </c>
      <c r="L910">
        <v>0.36529528151717527</v>
      </c>
      <c r="M910">
        <v>1.2785334853101133</v>
      </c>
      <c r="N910">
        <v>1.2785334853101133</v>
      </c>
      <c r="O910" t="s">
        <v>90</v>
      </c>
      <c r="P910">
        <v>0</v>
      </c>
      <c r="Q910" t="s">
        <v>90</v>
      </c>
      <c r="R910">
        <v>0</v>
      </c>
      <c r="S910" t="s">
        <v>90</v>
      </c>
      <c r="T910">
        <v>0</v>
      </c>
      <c r="U910">
        <v>1.2785334853101133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160</v>
      </c>
      <c r="AB910">
        <v>1</v>
      </c>
      <c r="AC910">
        <v>5</v>
      </c>
      <c r="AD910">
        <v>5.0061745986510875</v>
      </c>
      <c r="AE910">
        <v>216</v>
      </c>
      <c r="AF910">
        <v>200000</v>
      </c>
      <c r="AG910">
        <v>10000</v>
      </c>
      <c r="AH910">
        <v>1</v>
      </c>
      <c r="AI910">
        <v>1</v>
      </c>
      <c r="AJ910" t="s">
        <v>79</v>
      </c>
      <c r="AK910" t="s">
        <v>137</v>
      </c>
      <c r="AL910">
        <v>0</v>
      </c>
      <c r="AM910" t="s">
        <v>137</v>
      </c>
      <c r="AN910">
        <v>0</v>
      </c>
      <c r="AP910">
        <v>0</v>
      </c>
    </row>
    <row r="911" spans="1:42" ht="12.75">
      <c r="A911" s="2" t="str">
        <f>HYPERLINK("https://ibp.a2mac1.com/costing(costing:projects/details/8191/process/6975484)","Injection molding")</f>
        <v>Injection molding</v>
      </c>
      <c r="C911">
        <v>6975484</v>
      </c>
      <c r="D911">
        <v>5388559</v>
      </c>
      <c r="E911">
        <v>0.75202641460019259</v>
      </c>
      <c r="F911">
        <v>0</v>
      </c>
      <c r="G911">
        <v>0</v>
      </c>
      <c r="H911">
        <v>0.0015506947151751544</v>
      </c>
      <c r="I911" t="s">
        <v>137</v>
      </c>
      <c r="J911">
        <v>0.026346754869480779</v>
      </c>
      <c r="K911">
        <v>0.77992386418484849</v>
      </c>
      <c r="L911">
        <v>0.052602625033772228</v>
      </c>
      <c r="M911">
        <v>0.31561575020263338</v>
      </c>
      <c r="N911">
        <v>1.0955396143874818</v>
      </c>
      <c r="O911" t="s">
        <v>138</v>
      </c>
      <c r="P911">
        <v>0.046795431851090911</v>
      </c>
      <c r="Q911" t="s">
        <v>138</v>
      </c>
      <c r="R911">
        <v>0.018936945012158004</v>
      </c>
      <c r="S911" t="s">
        <v>139</v>
      </c>
      <c r="T911">
        <v>0.13146475372649782</v>
      </c>
      <c r="U911">
        <v>1.2927367449772287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29.715689999999999</v>
      </c>
      <c r="AB911">
        <v>1</v>
      </c>
      <c r="AC911">
        <v>0.10</v>
      </c>
      <c r="AD911">
        <v>0.20557651238448796</v>
      </c>
      <c r="AE911">
        <v>14400</v>
      </c>
      <c r="AF911">
        <v>200000</v>
      </c>
      <c r="AG911">
        <v>16666.666666666668</v>
      </c>
      <c r="AH911">
        <v>1</v>
      </c>
      <c r="AI911">
        <v>1</v>
      </c>
      <c r="AJ911" t="s">
        <v>136</v>
      </c>
      <c r="AK911" t="s">
        <v>137</v>
      </c>
      <c r="AL911">
        <v>0</v>
      </c>
      <c r="AM911" t="s">
        <v>137</v>
      </c>
      <c r="AN911">
        <v>0</v>
      </c>
    </row>
    <row r="912" spans="1:42" ht="12.75">
      <c r="A912" s="2" t="str">
        <f>HYPERLINK("https://ibp.a2mac1.com/costing(costing:projects/details/8191/process/6975485)","Handling/Visual Inspection/Packaging")</f>
        <v>Handling/Visual Inspection/Packaging</v>
      </c>
      <c r="C912">
        <v>6975485</v>
      </c>
      <c r="D912">
        <v>5388559</v>
      </c>
      <c r="E912">
        <v>0</v>
      </c>
      <c r="F912">
        <v>0</v>
      </c>
      <c r="G912">
        <v>0</v>
      </c>
      <c r="H912">
        <v>0</v>
      </c>
      <c r="I912" t="s">
        <v>137</v>
      </c>
      <c r="J912">
        <v>0</v>
      </c>
      <c r="K912">
        <v>0</v>
      </c>
      <c r="L912">
        <v>0.0086216394843006</v>
      </c>
      <c r="M912">
        <v>0.0517298369058036</v>
      </c>
      <c r="N912">
        <v>0.0517298369058036</v>
      </c>
      <c r="O912" t="s">
        <v>138</v>
      </c>
      <c r="P912">
        <v>0</v>
      </c>
      <c r="Q912" t="s">
        <v>138</v>
      </c>
      <c r="R912">
        <v>0.0031037902143482162</v>
      </c>
      <c r="S912" t="s">
        <v>139</v>
      </c>
      <c r="T912">
        <v>0.0062075804286964324</v>
      </c>
      <c r="U912">
        <v>0.061041207548848252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30</v>
      </c>
      <c r="AB912">
        <v>1</v>
      </c>
      <c r="AC912">
        <v>0.10</v>
      </c>
      <c r="AD912">
        <v>0.10389195236953569</v>
      </c>
      <c r="AE912">
        <v>900</v>
      </c>
      <c r="AF912">
        <v>200000</v>
      </c>
      <c r="AG912">
        <v>16666.666666666668</v>
      </c>
      <c r="AH912">
        <v>1</v>
      </c>
      <c r="AI912">
        <v>1</v>
      </c>
      <c r="AJ912" t="s">
        <v>136</v>
      </c>
      <c r="AK912" t="s">
        <v>137</v>
      </c>
      <c r="AL912">
        <v>0</v>
      </c>
      <c r="AM912" t="s">
        <v>137</v>
      </c>
      <c r="AN912">
        <v>0</v>
      </c>
    </row>
    <row r="913" spans="1:42" ht="12.75">
      <c r="A913" s="2" t="str">
        <f>HYPERLINK("https://ibp.a2mac1.com/costing(costing:projects/details/8191/process/6975486)","Injection molding")</f>
        <v>Injection molding</v>
      </c>
      <c r="C913">
        <v>6975486</v>
      </c>
      <c r="D913">
        <v>5388560</v>
      </c>
      <c r="E913">
        <v>0.40444116153538584</v>
      </c>
      <c r="F913">
        <v>0</v>
      </c>
      <c r="G913">
        <v>0</v>
      </c>
      <c r="H913">
        <v>0.00083396641343462617</v>
      </c>
      <c r="I913" t="s">
        <v>137</v>
      </c>
      <c r="J913">
        <v>0.014169332267093163</v>
      </c>
      <c r="K913">
        <v>0.41944446021591364</v>
      </c>
      <c r="L913">
        <v>0.041137826810707247</v>
      </c>
      <c r="M913">
        <v>0.24682696086424349</v>
      </c>
      <c r="N913">
        <v>0.66627142108015713</v>
      </c>
      <c r="O913" t="s">
        <v>138</v>
      </c>
      <c r="P913">
        <v>0.025166667612954819</v>
      </c>
      <c r="Q913" t="s">
        <v>138</v>
      </c>
      <c r="R913">
        <v>0.014809617651854609</v>
      </c>
      <c r="S913" t="s">
        <v>139</v>
      </c>
      <c r="T913">
        <v>0.079952570529618849</v>
      </c>
      <c r="U913">
        <v>0.78620027687458538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60.68439</v>
      </c>
      <c r="AB913">
        <v>1</v>
      </c>
      <c r="AC913">
        <v>0.10</v>
      </c>
      <c r="AD913">
        <v>0.20557651238448796</v>
      </c>
      <c r="AE913">
        <v>9000</v>
      </c>
      <c r="AF913">
        <v>200000</v>
      </c>
      <c r="AG913">
        <v>16666.666666666668</v>
      </c>
      <c r="AH913">
        <v>1</v>
      </c>
      <c r="AI913">
        <v>1</v>
      </c>
      <c r="AJ913" t="s">
        <v>136</v>
      </c>
      <c r="AK913" t="s">
        <v>137</v>
      </c>
      <c r="AL913">
        <v>0</v>
      </c>
      <c r="AM913" t="s">
        <v>137</v>
      </c>
      <c r="AN913">
        <v>0</v>
      </c>
    </row>
    <row r="914" spans="1:42" ht="12.75">
      <c r="A914" s="2" t="str">
        <f>HYPERLINK("https://ibp.a2mac1.com/costing(costing:projects/details/8191/process/6975487)","Handling/Visual Inspection/Packaging")</f>
        <v>Handling/Visual Inspection/Packaging</v>
      </c>
      <c r="C914">
        <v>6975487</v>
      </c>
      <c r="D914">
        <v>5388560</v>
      </c>
      <c r="E914">
        <v>0</v>
      </c>
      <c r="F914">
        <v>0</v>
      </c>
      <c r="G914">
        <v>0</v>
      </c>
      <c r="H914">
        <v>0</v>
      </c>
      <c r="I914" t="s">
        <v>137</v>
      </c>
      <c r="J914">
        <v>0</v>
      </c>
      <c r="K914">
        <v>0</v>
      </c>
      <c r="L914">
        <v>0.01724017293860106</v>
      </c>
      <c r="M914">
        <v>0.10344103763160636</v>
      </c>
      <c r="N914">
        <v>0.10344103763160636</v>
      </c>
      <c r="O914" t="s">
        <v>138</v>
      </c>
      <c r="P914">
        <v>0</v>
      </c>
      <c r="Q914" t="s">
        <v>138</v>
      </c>
      <c r="R914">
        <v>0.0062064622578963816</v>
      </c>
      <c r="S914" t="s">
        <v>139</v>
      </c>
      <c r="T914">
        <v>0.012412924515792763</v>
      </c>
      <c r="U914">
        <v>0.12206042440529551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60</v>
      </c>
      <c r="AB914">
        <v>1</v>
      </c>
      <c r="AC914">
        <v>0.10</v>
      </c>
      <c r="AD914">
        <v>0.10389195236953569</v>
      </c>
      <c r="AE914">
        <v>900</v>
      </c>
      <c r="AF914">
        <v>200000</v>
      </c>
      <c r="AG914">
        <v>16666.666666666668</v>
      </c>
      <c r="AH914">
        <v>1</v>
      </c>
      <c r="AI914">
        <v>1</v>
      </c>
      <c r="AJ914" t="s">
        <v>136</v>
      </c>
      <c r="AK914" t="s">
        <v>137</v>
      </c>
      <c r="AL914">
        <v>0</v>
      </c>
      <c r="AM914" t="s">
        <v>137</v>
      </c>
      <c r="AN914">
        <v>0</v>
      </c>
    </row>
    <row r="915" spans="1:42" ht="12.75">
      <c r="A915" s="2" t="str">
        <f>HYPERLINK("https://ibp.a2mac1.com/costing(costing:projects/details/8191/process/6975488)","Injection molding")</f>
        <v>Injection molding</v>
      </c>
      <c r="B915" t="s">
        <v>4715</v>
      </c>
      <c r="C915">
        <v>6975488</v>
      </c>
      <c r="D915">
        <v>5388561</v>
      </c>
      <c r="E915">
        <v>0.063162235499999997</v>
      </c>
      <c r="F915">
        <v>0</v>
      </c>
      <c r="G915">
        <v>0</v>
      </c>
      <c r="H915">
        <v>0.00032040191642105265</v>
      </c>
      <c r="I915" t="s">
        <v>137</v>
      </c>
      <c r="J915">
        <v>0.0022162187894736842</v>
      </c>
      <c r="K915">
        <v>0.065698856205894732</v>
      </c>
      <c r="L915">
        <v>0.0012068904983701719</v>
      </c>
      <c r="M915">
        <v>0.0072413429902210323</v>
      </c>
      <c r="N915">
        <v>0.072940199196115774</v>
      </c>
      <c r="O915" t="s">
        <v>138</v>
      </c>
      <c r="P915">
        <v>0.0039419313723536844</v>
      </c>
      <c r="Q915" t="s">
        <v>138</v>
      </c>
      <c r="R915">
        <v>0.00043448057941326195</v>
      </c>
      <c r="S915" t="s">
        <v>139</v>
      </c>
      <c r="T915">
        <v>0.0087528239035338917</v>
      </c>
      <c r="U915">
        <v>0.086069435051416607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60</v>
      </c>
      <c r="AB915">
        <v>1</v>
      </c>
      <c r="AC915">
        <v>0.50</v>
      </c>
      <c r="AD915">
        <v>0.50345253019720215</v>
      </c>
      <c r="AE915">
        <v>70.20</v>
      </c>
      <c r="AF915">
        <v>200000</v>
      </c>
      <c r="AG915">
        <v>16666.666666666668</v>
      </c>
      <c r="AH915">
        <v>1</v>
      </c>
      <c r="AI915">
        <v>1</v>
      </c>
      <c r="AJ915" t="s">
        <v>136</v>
      </c>
      <c r="AK915" t="s">
        <v>137</v>
      </c>
      <c r="AL915">
        <v>0</v>
      </c>
      <c r="AM915" t="s">
        <v>137</v>
      </c>
      <c r="AN915">
        <v>0</v>
      </c>
    </row>
    <row r="916" spans="1:42" ht="12.75">
      <c r="A916" s="2" t="str">
        <f>HYPERLINK("https://ibp.a2mac1.com/costing(costing:projects/details/8191/process/6975489)","Injection molding")</f>
        <v>Injection molding</v>
      </c>
      <c r="B916" t="s">
        <v>4715</v>
      </c>
      <c r="C916">
        <v>6975489</v>
      </c>
      <c r="D916">
        <v>5388562</v>
      </c>
      <c r="E916">
        <v>0.031843601999999999</v>
      </c>
      <c r="F916">
        <v>0</v>
      </c>
      <c r="G916">
        <v>0</v>
      </c>
      <c r="H916">
        <v>0.0001615324572631579</v>
      </c>
      <c r="I916" t="s">
        <v>137</v>
      </c>
      <c r="J916">
        <v>0.0011173193684210526</v>
      </c>
      <c r="K916">
        <v>0.033122453825684212</v>
      </c>
      <c r="L916">
        <v>0.0005570249769950203</v>
      </c>
      <c r="M916">
        <v>0.003342149861970122</v>
      </c>
      <c r="N916">
        <v>0.036464603687654334</v>
      </c>
      <c r="O916" t="s">
        <v>138</v>
      </c>
      <c r="P916">
        <v>0.0019873472295410528</v>
      </c>
      <c r="Q916" t="s">
        <v>138</v>
      </c>
      <c r="R916">
        <v>0.00020052899171820731</v>
      </c>
      <c r="S916" t="s">
        <v>139</v>
      </c>
      <c r="T916">
        <v>0.0043757524425185202</v>
      </c>
      <c r="U916">
        <v>0.043028232351432112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60</v>
      </c>
      <c r="AB916">
        <v>1</v>
      </c>
      <c r="AC916">
        <v>0.50</v>
      </c>
      <c r="AD916">
        <v>0.50345253019720215</v>
      </c>
      <c r="AE916">
        <v>32.40</v>
      </c>
      <c r="AF916">
        <v>200000</v>
      </c>
      <c r="AG916">
        <v>16666.666666666668</v>
      </c>
      <c r="AH916">
        <v>1</v>
      </c>
      <c r="AI916">
        <v>1</v>
      </c>
      <c r="AJ916" t="s">
        <v>136</v>
      </c>
      <c r="AK916" t="s">
        <v>137</v>
      </c>
      <c r="AL916">
        <v>0</v>
      </c>
      <c r="AM916" t="s">
        <v>137</v>
      </c>
      <c r="AN916">
        <v>0</v>
      </c>
    </row>
    <row r="917" spans="1:42" ht="12.75">
      <c r="A917" s="2" t="str">
        <f>HYPERLINK("https://ibp.a2mac1.com/costing(costing:projects/details/8191/process/6975706)","Furnace heating")</f>
        <v>Furnace heating</v>
      </c>
      <c r="C917">
        <v>6975706</v>
      </c>
      <c r="D917">
        <v>5388876</v>
      </c>
      <c r="E917">
        <v>0.97337253999999995</v>
      </c>
      <c r="F917">
        <v>0</v>
      </c>
      <c r="G917">
        <v>0</v>
      </c>
      <c r="H917">
        <v>0.0079621873771999994</v>
      </c>
      <c r="I917" t="s">
        <v>137</v>
      </c>
      <c r="J917">
        <v>0.0340680389</v>
      </c>
      <c r="K917">
        <v>1.0154027662772001</v>
      </c>
      <c r="L917">
        <v>0.0050786011446949161</v>
      </c>
      <c r="M917">
        <v>0.030471606868169496</v>
      </c>
      <c r="N917">
        <v>1.0458743731453695</v>
      </c>
      <c r="O917" t="s">
        <v>90</v>
      </c>
      <c r="P917">
        <v>0</v>
      </c>
      <c r="Q917" t="s">
        <v>90</v>
      </c>
      <c r="R917">
        <v>0</v>
      </c>
      <c r="S917" t="s">
        <v>90</v>
      </c>
      <c r="T917">
        <v>0</v>
      </c>
      <c r="U917">
        <v>1.0458743731453695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31.69135</v>
      </c>
      <c r="AB917">
        <v>1</v>
      </c>
      <c r="AC917">
        <v>0.10</v>
      </c>
      <c r="AD917">
        <v>0.81136305024896349</v>
      </c>
      <c r="AE917">
        <v>1800</v>
      </c>
      <c r="AF917">
        <v>200000</v>
      </c>
      <c r="AG917">
        <v>16666.666666666668</v>
      </c>
      <c r="AH917">
        <v>1</v>
      </c>
      <c r="AI917">
        <v>1</v>
      </c>
      <c r="AJ917" t="s">
        <v>136</v>
      </c>
      <c r="AK917" t="s">
        <v>137</v>
      </c>
      <c r="AL917">
        <v>0</v>
      </c>
      <c r="AM917" t="s">
        <v>137</v>
      </c>
      <c r="AN917">
        <v>0</v>
      </c>
    </row>
    <row r="918" spans="1:42" ht="12.75">
      <c r="A918" s="2" t="str">
        <f>HYPERLINK("https://ibp.a2mac1.com/costing(costing:projects/details/8191/process/6975707)","Transport with laddle")</f>
        <v>Transport with laddle</v>
      </c>
      <c r="C918">
        <v>6975707</v>
      </c>
      <c r="D918">
        <v>5388876</v>
      </c>
      <c r="E918">
        <v>0</v>
      </c>
      <c r="F918">
        <v>0</v>
      </c>
      <c r="G918">
        <v>0</v>
      </c>
      <c r="H918">
        <v>0</v>
      </c>
      <c r="I918" t="s">
        <v>137</v>
      </c>
      <c r="J918">
        <v>0</v>
      </c>
      <c r="K918">
        <v>0</v>
      </c>
      <c r="L918">
        <v>0.0033461586793041478</v>
      </c>
      <c r="M918">
        <v>0.020076952075824887</v>
      </c>
      <c r="N918">
        <v>0.020076952075824887</v>
      </c>
      <c r="O918" t="s">
        <v>90</v>
      </c>
      <c r="P918">
        <v>0</v>
      </c>
      <c r="Q918" t="s">
        <v>90</v>
      </c>
      <c r="R918">
        <v>0</v>
      </c>
      <c r="S918" t="s">
        <v>90</v>
      </c>
      <c r="T918">
        <v>0</v>
      </c>
      <c r="U918">
        <v>0.020076952075824887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31.69135</v>
      </c>
      <c r="AB918">
        <v>1</v>
      </c>
      <c r="AC918">
        <v>0.10</v>
      </c>
      <c r="AD918">
        <v>0.71090988522181187</v>
      </c>
      <c r="AE918">
        <v>900</v>
      </c>
      <c r="AF918">
        <v>200000</v>
      </c>
      <c r="AG918">
        <v>16666.666666666668</v>
      </c>
      <c r="AH918">
        <v>1</v>
      </c>
      <c r="AI918">
        <v>1</v>
      </c>
      <c r="AJ918" t="s">
        <v>136</v>
      </c>
      <c r="AK918" t="s">
        <v>137</v>
      </c>
      <c r="AL918">
        <v>0</v>
      </c>
      <c r="AM918" t="s">
        <v>137</v>
      </c>
      <c r="AN918">
        <v>0</v>
      </c>
    </row>
    <row r="919" spans="1:42" ht="12.75">
      <c r="A919" s="2" t="str">
        <f>HYPERLINK("https://ibp.a2mac1.com/costing(costing:projects/details/8191/process/6975708)","Pressing (Cold Chamber)")</f>
        <v>Pressing (Cold Chamber)</v>
      </c>
      <c r="C919">
        <v>6975708</v>
      </c>
      <c r="D919">
        <v>5388876</v>
      </c>
      <c r="E919">
        <v>0</v>
      </c>
      <c r="F919">
        <v>0</v>
      </c>
      <c r="G919">
        <v>0</v>
      </c>
      <c r="H919">
        <v>0</v>
      </c>
      <c r="I919" t="s">
        <v>137</v>
      </c>
      <c r="J919">
        <v>0</v>
      </c>
      <c r="K919">
        <v>0</v>
      </c>
      <c r="L919">
        <v>0.03586455477919203</v>
      </c>
      <c r="M919">
        <v>0.21518732867515217</v>
      </c>
      <c r="N919">
        <v>0.21518732867515217</v>
      </c>
      <c r="O919" t="s">
        <v>90</v>
      </c>
      <c r="P919">
        <v>0</v>
      </c>
      <c r="Q919" t="s">
        <v>90</v>
      </c>
      <c r="R919">
        <v>0</v>
      </c>
      <c r="S919" t="s">
        <v>90</v>
      </c>
      <c r="T919">
        <v>0</v>
      </c>
      <c r="U919">
        <v>0.21518732867515217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31.69135</v>
      </c>
      <c r="AB919">
        <v>1</v>
      </c>
      <c r="AC919">
        <v>0.10</v>
      </c>
      <c r="AD919">
        <v>0.61025304629574417</v>
      </c>
      <c r="AE919">
        <v>7200</v>
      </c>
      <c r="AF919">
        <v>200000</v>
      </c>
      <c r="AG919">
        <v>16666.666666666668</v>
      </c>
      <c r="AH919">
        <v>1</v>
      </c>
      <c r="AI919">
        <v>1</v>
      </c>
      <c r="AJ919" t="s">
        <v>136</v>
      </c>
      <c r="AK919" t="s">
        <v>137</v>
      </c>
      <c r="AL919">
        <v>0</v>
      </c>
      <c r="AM919" t="s">
        <v>137</v>
      </c>
      <c r="AN919">
        <v>0</v>
      </c>
    </row>
    <row r="920" spans="1:42" ht="12.75">
      <c r="A920" s="2" t="str">
        <f>HYPERLINK("https://ibp.a2mac1.com/costing(costing:projects/details/8191/process/6975709)","Machining [ Drilling &amp; Threading ]")</f>
        <v>Machining [ Drilling &amp; Threading ]</v>
      </c>
      <c r="C920">
        <v>6975709</v>
      </c>
      <c r="D920">
        <v>5388876</v>
      </c>
      <c r="E920">
        <v>0</v>
      </c>
      <c r="F920">
        <v>0</v>
      </c>
      <c r="G920">
        <v>0</v>
      </c>
      <c r="H920">
        <v>0</v>
      </c>
      <c r="I920" t="s">
        <v>137</v>
      </c>
      <c r="J920">
        <v>0</v>
      </c>
      <c r="K920">
        <v>0</v>
      </c>
      <c r="L920">
        <v>0.076197484162598458</v>
      </c>
      <c r="M920">
        <v>0.45718490497559078</v>
      </c>
      <c r="N920">
        <v>0.45718490497559078</v>
      </c>
      <c r="O920" t="s">
        <v>90</v>
      </c>
      <c r="P920">
        <v>0</v>
      </c>
      <c r="Q920" t="s">
        <v>90</v>
      </c>
      <c r="R920">
        <v>0</v>
      </c>
      <c r="S920" t="s">
        <v>90</v>
      </c>
      <c r="T920">
        <v>0</v>
      </c>
      <c r="U920">
        <v>0.45718490497559078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60</v>
      </c>
      <c r="AB920">
        <v>1</v>
      </c>
      <c r="AC920">
        <v>0.10</v>
      </c>
      <c r="AD920">
        <v>0.50939191340337475</v>
      </c>
      <c r="AE920">
        <v>7200</v>
      </c>
      <c r="AF920">
        <v>200000</v>
      </c>
      <c r="AG920">
        <v>16666.666666666668</v>
      </c>
      <c r="AH920">
        <v>1</v>
      </c>
      <c r="AI920">
        <v>1</v>
      </c>
      <c r="AJ920" t="s">
        <v>136</v>
      </c>
      <c r="AK920" t="s">
        <v>137</v>
      </c>
      <c r="AL920">
        <v>0</v>
      </c>
      <c r="AM920" t="s">
        <v>137</v>
      </c>
      <c r="AN920">
        <v>0</v>
      </c>
    </row>
    <row r="921" spans="1:42" ht="12.75">
      <c r="A921" s="2" t="str">
        <f>HYPERLINK("https://ibp.a2mac1.com/costing(costing:projects/details/8191/process/6975712)","Trimming")</f>
        <v>Trimming</v>
      </c>
      <c r="C921">
        <v>6975712</v>
      </c>
      <c r="D921">
        <v>5388876</v>
      </c>
      <c r="E921">
        <v>0</v>
      </c>
      <c r="F921">
        <v>0</v>
      </c>
      <c r="G921">
        <v>0</v>
      </c>
      <c r="H921">
        <v>0</v>
      </c>
      <c r="I921" t="s">
        <v>137</v>
      </c>
      <c r="J921">
        <v>0</v>
      </c>
      <c r="K921">
        <v>0</v>
      </c>
      <c r="L921">
        <v>0.011854384363076181</v>
      </c>
      <c r="M921">
        <v>0.071126306178457083</v>
      </c>
      <c r="N921">
        <v>0.071126306178457083</v>
      </c>
      <c r="O921" t="s">
        <v>90</v>
      </c>
      <c r="P921">
        <v>0</v>
      </c>
      <c r="Q921" t="s">
        <v>90</v>
      </c>
      <c r="R921">
        <v>0</v>
      </c>
      <c r="S921" t="s">
        <v>90</v>
      </c>
      <c r="T921">
        <v>0</v>
      </c>
      <c r="U921">
        <v>0.071126306178457083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45</v>
      </c>
      <c r="AB921">
        <v>1</v>
      </c>
      <c r="AC921">
        <v>0.10</v>
      </c>
      <c r="AD921">
        <v>0.40832586395777315</v>
      </c>
      <c r="AE921">
        <v>0</v>
      </c>
      <c r="AF921">
        <v>200000</v>
      </c>
      <c r="AG921">
        <v>16666.666666666668</v>
      </c>
      <c r="AH921">
        <v>1</v>
      </c>
      <c r="AI921">
        <v>1</v>
      </c>
      <c r="AJ921" t="s">
        <v>136</v>
      </c>
      <c r="AK921" t="s">
        <v>137</v>
      </c>
      <c r="AL921">
        <v>0</v>
      </c>
      <c r="AM921" t="s">
        <v>137</v>
      </c>
      <c r="AN921">
        <v>0</v>
      </c>
    </row>
    <row r="922" spans="1:42" ht="12.75">
      <c r="A922" s="2" t="str">
        <f>HYPERLINK("https://ibp.a2mac1.com/costing(costing:projects/details/8191/process/6975713)","Deburing ")</f>
        <v xml:space="preserve">Deburing </v>
      </c>
      <c r="C922">
        <v>6975713</v>
      </c>
      <c r="D922">
        <v>5388876</v>
      </c>
      <c r="E922">
        <v>0</v>
      </c>
      <c r="F922">
        <v>0</v>
      </c>
      <c r="G922">
        <v>0</v>
      </c>
      <c r="H922">
        <v>0</v>
      </c>
      <c r="I922" t="s">
        <v>137</v>
      </c>
      <c r="J922">
        <v>0</v>
      </c>
      <c r="K922">
        <v>0</v>
      </c>
      <c r="L922">
        <v>0.034703629026045534</v>
      </c>
      <c r="M922">
        <v>0.20822177415627321</v>
      </c>
      <c r="N922">
        <v>0.20822177415627321</v>
      </c>
      <c r="O922" t="s">
        <v>90</v>
      </c>
      <c r="P922">
        <v>0</v>
      </c>
      <c r="Q922" t="s">
        <v>90</v>
      </c>
      <c r="R922">
        <v>0</v>
      </c>
      <c r="S922" t="s">
        <v>90</v>
      </c>
      <c r="T922">
        <v>0</v>
      </c>
      <c r="U922">
        <v>0.20822177415627321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125</v>
      </c>
      <c r="AB922">
        <v>1</v>
      </c>
      <c r="AC922">
        <v>0.10</v>
      </c>
      <c r="AD922">
        <v>0.30705427283965386</v>
      </c>
      <c r="AE922">
        <v>3600</v>
      </c>
      <c r="AF922">
        <v>200000</v>
      </c>
      <c r="AG922">
        <v>16666.666666666668</v>
      </c>
      <c r="AH922">
        <v>1</v>
      </c>
      <c r="AI922">
        <v>1</v>
      </c>
      <c r="AJ922" t="s">
        <v>136</v>
      </c>
      <c r="AK922" t="s">
        <v>137</v>
      </c>
      <c r="AL922">
        <v>0</v>
      </c>
      <c r="AM922" t="s">
        <v>137</v>
      </c>
      <c r="AN922">
        <v>0</v>
      </c>
    </row>
    <row r="923" spans="1:42" ht="12.75">
      <c r="A923" s="2" t="str">
        <f>HYPERLINK("https://ibp.a2mac1.com/costing(costing:projects/details/8191/process/6975710)","Inspection ")</f>
        <v xml:space="preserve">Inspection </v>
      </c>
      <c r="C923">
        <v>6975710</v>
      </c>
      <c r="D923">
        <v>5388876</v>
      </c>
      <c r="E923">
        <v>0</v>
      </c>
      <c r="F923">
        <v>0</v>
      </c>
      <c r="G923">
        <v>0</v>
      </c>
      <c r="H923">
        <v>0</v>
      </c>
      <c r="I923" t="s">
        <v>137</v>
      </c>
      <c r="J923">
        <v>0</v>
      </c>
      <c r="K923">
        <v>0</v>
      </c>
      <c r="L923">
        <v>0.0069075021292991307</v>
      </c>
      <c r="M923">
        <v>0.041445012775794786</v>
      </c>
      <c r="N923">
        <v>0.041445012775794786</v>
      </c>
      <c r="O923" t="s">
        <v>90</v>
      </c>
      <c r="P923">
        <v>0</v>
      </c>
      <c r="Q923" t="s">
        <v>90</v>
      </c>
      <c r="R923">
        <v>0</v>
      </c>
      <c r="S923" t="s">
        <v>90</v>
      </c>
      <c r="T923">
        <v>0</v>
      </c>
      <c r="U923">
        <v>0.041445012775794786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15</v>
      </c>
      <c r="AB923">
        <v>1</v>
      </c>
      <c r="AC923">
        <v>0.10</v>
      </c>
      <c r="AD923">
        <v>0.20557651238448796</v>
      </c>
      <c r="AE923">
        <v>900</v>
      </c>
      <c r="AF923">
        <v>200000</v>
      </c>
      <c r="AG923">
        <v>16666.666666666668</v>
      </c>
      <c r="AH923">
        <v>1</v>
      </c>
      <c r="AI923">
        <v>1</v>
      </c>
      <c r="AJ923" t="s">
        <v>136</v>
      </c>
      <c r="AK923" t="s">
        <v>137</v>
      </c>
      <c r="AL923">
        <v>0</v>
      </c>
      <c r="AM923" t="s">
        <v>137</v>
      </c>
      <c r="AN923">
        <v>0</v>
      </c>
    </row>
    <row r="924" spans="1:42" ht="12.75">
      <c r="A924" s="2" t="str">
        <f>HYPERLINK("https://ibp.a2mac1.com/costing(costing:projects/details/8191/process/6975711)","Handling/Packiging")</f>
        <v>Handling/Packiging</v>
      </c>
      <c r="C924">
        <v>6975711</v>
      </c>
      <c r="D924">
        <v>5388876</v>
      </c>
      <c r="E924">
        <v>0</v>
      </c>
      <c r="F924">
        <v>0</v>
      </c>
      <c r="G924">
        <v>0</v>
      </c>
      <c r="H924">
        <v>0</v>
      </c>
      <c r="I924" t="s">
        <v>137</v>
      </c>
      <c r="J924">
        <v>0</v>
      </c>
      <c r="K924">
        <v>0</v>
      </c>
      <c r="L924">
        <v>0.001485028192027284</v>
      </c>
      <c r="M924">
        <v>0.0089101691521637043</v>
      </c>
      <c r="N924">
        <v>0.0089101691521637043</v>
      </c>
      <c r="O924" t="s">
        <v>90</v>
      </c>
      <c r="P924">
        <v>0</v>
      </c>
      <c r="Q924" t="s">
        <v>90</v>
      </c>
      <c r="R924">
        <v>0</v>
      </c>
      <c r="S924" t="s">
        <v>90</v>
      </c>
      <c r="T924">
        <v>0</v>
      </c>
      <c r="U924">
        <v>0.0089101691521637043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5</v>
      </c>
      <c r="AB924">
        <v>1</v>
      </c>
      <c r="AC924">
        <v>0.10</v>
      </c>
      <c r="AD924">
        <v>0.10389195236953569</v>
      </c>
      <c r="AE924">
        <v>900</v>
      </c>
      <c r="AF924">
        <v>200000</v>
      </c>
      <c r="AG924">
        <v>16666.666666666668</v>
      </c>
      <c r="AH924">
        <v>1</v>
      </c>
      <c r="AI924">
        <v>1</v>
      </c>
      <c r="AJ924" t="s">
        <v>136</v>
      </c>
      <c r="AK924" t="s">
        <v>137</v>
      </c>
      <c r="AL924">
        <v>0</v>
      </c>
      <c r="AM924" t="s">
        <v>137</v>
      </c>
      <c r="AN924">
        <v>0</v>
      </c>
    </row>
    <row r="925" spans="1:42" ht="12.75">
      <c r="A925" s="2" t="str">
        <f>HYPERLINK("https://ibp.a2mac1.com/costing(costing:projects/details/8191/process/6975714)","Injection molding")</f>
        <v>Injection molding</v>
      </c>
      <c r="C925">
        <v>6975714</v>
      </c>
      <c r="D925">
        <v>5388878</v>
      </c>
      <c r="E925">
        <v>0.54094609622449796</v>
      </c>
      <c r="F925">
        <v>0</v>
      </c>
      <c r="G925">
        <v>0</v>
      </c>
      <c r="H925">
        <v>0.0011154425380868061</v>
      </c>
      <c r="I925" t="s">
        <v>137</v>
      </c>
      <c r="J925">
        <v>0.018951693608270977</v>
      </c>
      <c r="K925">
        <v>0.56101323237085576</v>
      </c>
      <c r="L925">
        <v>0.010304859139537006</v>
      </c>
      <c r="M925">
        <v>0.061829154837222046</v>
      </c>
      <c r="N925">
        <v>0.62284238720807783</v>
      </c>
      <c r="O925" t="s">
        <v>90</v>
      </c>
      <c r="P925">
        <v>0</v>
      </c>
      <c r="Q925" t="s">
        <v>90</v>
      </c>
      <c r="R925">
        <v>0</v>
      </c>
      <c r="S925" t="s">
        <v>90</v>
      </c>
      <c r="T925">
        <v>0</v>
      </c>
      <c r="U925">
        <v>0.62284238720807783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26.570250000000001</v>
      </c>
      <c r="AB925">
        <v>1</v>
      </c>
      <c r="AC925">
        <v>0.10</v>
      </c>
      <c r="AD925">
        <v>0.20557651238448796</v>
      </c>
      <c r="AE925">
        <v>7200</v>
      </c>
      <c r="AF925">
        <v>200000</v>
      </c>
      <c r="AG925">
        <v>16666.666666666668</v>
      </c>
      <c r="AH925">
        <v>1</v>
      </c>
      <c r="AI925">
        <v>1</v>
      </c>
      <c r="AJ925" t="s">
        <v>136</v>
      </c>
      <c r="AK925" t="s">
        <v>137</v>
      </c>
      <c r="AL925">
        <v>0</v>
      </c>
      <c r="AM925" t="s">
        <v>137</v>
      </c>
      <c r="AN925">
        <v>0</v>
      </c>
    </row>
    <row r="926" spans="1:42" ht="12.75">
      <c r="A926" s="2" t="str">
        <f>HYPERLINK("https://ibp.a2mac1.com/costing(costing:projects/details/8191/process/6975715)","Handling/Visual Inspection/Packaging")</f>
        <v>Handling/Visual Inspection/Packaging</v>
      </c>
      <c r="C926">
        <v>6975715</v>
      </c>
      <c r="D926">
        <v>5388878</v>
      </c>
      <c r="E926">
        <v>0</v>
      </c>
      <c r="F926">
        <v>0</v>
      </c>
      <c r="G926">
        <v>0</v>
      </c>
      <c r="H926">
        <v>0</v>
      </c>
      <c r="I926" t="s">
        <v>137</v>
      </c>
      <c r="J926">
        <v>0</v>
      </c>
      <c r="K926">
        <v>0</v>
      </c>
      <c r="L926">
        <v>0.0086216394843006</v>
      </c>
      <c r="M926">
        <v>0.0517298369058036</v>
      </c>
      <c r="N926">
        <v>0.0517298369058036</v>
      </c>
      <c r="O926" t="s">
        <v>90</v>
      </c>
      <c r="P926">
        <v>0</v>
      </c>
      <c r="Q926" t="s">
        <v>90</v>
      </c>
      <c r="R926">
        <v>0</v>
      </c>
      <c r="S926" t="s">
        <v>90</v>
      </c>
      <c r="T926">
        <v>0</v>
      </c>
      <c r="U926">
        <v>0.0517298369058036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30</v>
      </c>
      <c r="AB926">
        <v>1</v>
      </c>
      <c r="AC926">
        <v>0.10</v>
      </c>
      <c r="AD926">
        <v>0.10389195236953569</v>
      </c>
      <c r="AE926">
        <v>900</v>
      </c>
      <c r="AF926">
        <v>200000</v>
      </c>
      <c r="AG926">
        <v>16666.666666666668</v>
      </c>
      <c r="AH926">
        <v>1</v>
      </c>
      <c r="AI926">
        <v>1</v>
      </c>
      <c r="AJ926" t="s">
        <v>136</v>
      </c>
      <c r="AK926" t="s">
        <v>137</v>
      </c>
      <c r="AL926">
        <v>0</v>
      </c>
      <c r="AM926" t="s">
        <v>137</v>
      </c>
      <c r="AN926">
        <v>0</v>
      </c>
    </row>
    <row r="927" spans="1:42" ht="12.75">
      <c r="A927" s="2" t="str">
        <f>HYPERLINK("https://ibp.a2mac1.com/costing(costing:projects/details/8191/process/6975716)","Injection molding")</f>
        <v>Injection molding</v>
      </c>
      <c r="C927">
        <v>6975716</v>
      </c>
      <c r="D927">
        <v>5388881</v>
      </c>
      <c r="E927">
        <v>0.34669604295951417</v>
      </c>
      <c r="F927">
        <v>0</v>
      </c>
      <c r="G927">
        <v>0</v>
      </c>
      <c r="H927">
        <v>0.00071489473129115696</v>
      </c>
      <c r="I927" t="s">
        <v>137</v>
      </c>
      <c r="J927">
        <v>0.012146269706403152</v>
      </c>
      <c r="K927">
        <v>0.35955720739720848</v>
      </c>
      <c r="L927">
        <v>0.013061257845042909</v>
      </c>
      <c r="M927">
        <v>0.078367547070257462</v>
      </c>
      <c r="N927">
        <v>0.43792475446746593</v>
      </c>
      <c r="O927" t="s">
        <v>90</v>
      </c>
      <c r="P927">
        <v>0</v>
      </c>
      <c r="Q927" t="s">
        <v>90</v>
      </c>
      <c r="R927">
        <v>0</v>
      </c>
      <c r="S927" t="s">
        <v>90</v>
      </c>
      <c r="T927">
        <v>0</v>
      </c>
      <c r="U927">
        <v>0.43792475446746593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25.304600000000001</v>
      </c>
      <c r="AB927">
        <v>1</v>
      </c>
      <c r="AC927">
        <v>0.10</v>
      </c>
      <c r="AD927">
        <v>0.20557651238448796</v>
      </c>
      <c r="AE927">
        <v>7200</v>
      </c>
      <c r="AF927">
        <v>200000</v>
      </c>
      <c r="AG927">
        <v>16666.666666666668</v>
      </c>
      <c r="AH927">
        <v>1</v>
      </c>
      <c r="AI927">
        <v>1</v>
      </c>
      <c r="AJ927" t="s">
        <v>136</v>
      </c>
      <c r="AK927" t="s">
        <v>137</v>
      </c>
      <c r="AL927">
        <v>0</v>
      </c>
      <c r="AM927" t="s">
        <v>137</v>
      </c>
      <c r="AN927">
        <v>0</v>
      </c>
    </row>
    <row r="928" spans="1:42" ht="12.75">
      <c r="A928" s="2" t="str">
        <f>HYPERLINK("https://ibp.a2mac1.com/costing(costing:projects/details/8191/process/6975717)","Handling/Visual Inspection/Packaging")</f>
        <v>Handling/Visual Inspection/Packaging</v>
      </c>
      <c r="C928">
        <v>6975717</v>
      </c>
      <c r="D928">
        <v>5388881</v>
      </c>
      <c r="E928">
        <v>0</v>
      </c>
      <c r="F928">
        <v>0</v>
      </c>
      <c r="G928">
        <v>0</v>
      </c>
      <c r="H928">
        <v>0</v>
      </c>
      <c r="I928" t="s">
        <v>137</v>
      </c>
      <c r="J928">
        <v>0</v>
      </c>
      <c r="K928">
        <v>0</v>
      </c>
      <c r="L928">
        <v>0.0086216394843006</v>
      </c>
      <c r="M928">
        <v>0.0517298369058036</v>
      </c>
      <c r="N928">
        <v>0.0517298369058036</v>
      </c>
      <c r="O928" t="s">
        <v>90</v>
      </c>
      <c r="P928">
        <v>0</v>
      </c>
      <c r="Q928" t="s">
        <v>90</v>
      </c>
      <c r="R928">
        <v>0</v>
      </c>
      <c r="S928" t="s">
        <v>90</v>
      </c>
      <c r="T928">
        <v>0</v>
      </c>
      <c r="U928">
        <v>0.0517298369058036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30</v>
      </c>
      <c r="AB928">
        <v>1</v>
      </c>
      <c r="AC928">
        <v>0.10</v>
      </c>
      <c r="AD928">
        <v>0.10389195236953569</v>
      </c>
      <c r="AE928">
        <v>900</v>
      </c>
      <c r="AF928">
        <v>200000</v>
      </c>
      <c r="AG928">
        <v>16666.666666666668</v>
      </c>
      <c r="AH928">
        <v>1</v>
      </c>
      <c r="AI928">
        <v>1</v>
      </c>
      <c r="AJ928" t="s">
        <v>136</v>
      </c>
      <c r="AK928" t="s">
        <v>137</v>
      </c>
      <c r="AL928">
        <v>0</v>
      </c>
      <c r="AM928" t="s">
        <v>137</v>
      </c>
      <c r="AN928">
        <v>0</v>
      </c>
    </row>
    <row r="929" spans="1:42" ht="12.75">
      <c r="A929" s="2" t="str">
        <f>HYPERLINK("https://ibp.a2mac1.com/costing(costing:projects/details/8191/process/6975718)","Injection molding")</f>
        <v>Injection molding</v>
      </c>
      <c r="B929" t="s">
        <v>4969</v>
      </c>
      <c r="C929">
        <v>6975718</v>
      </c>
      <c r="D929">
        <v>5388883</v>
      </c>
      <c r="E929">
        <v>0.24588371841100296</v>
      </c>
      <c r="F929">
        <v>0</v>
      </c>
      <c r="G929">
        <v>0</v>
      </c>
      <c r="H929">
        <v>0.00050701753992280635</v>
      </c>
      <c r="I929" t="s">
        <v>137</v>
      </c>
      <c r="J929">
        <v>0.0086143756783001093</v>
      </c>
      <c r="K929">
        <v>0.25500511162922584</v>
      </c>
      <c r="L929">
        <v>0.0050986253612791618</v>
      </c>
      <c r="M929">
        <v>0.030591752167674971</v>
      </c>
      <c r="N929">
        <v>0.28559686379690086</v>
      </c>
      <c r="O929" t="s">
        <v>90</v>
      </c>
      <c r="P929">
        <v>0</v>
      </c>
      <c r="Q929" t="s">
        <v>90</v>
      </c>
      <c r="R929">
        <v>0</v>
      </c>
      <c r="S929" t="s">
        <v>90</v>
      </c>
      <c r="T929">
        <v>0</v>
      </c>
      <c r="U929">
        <v>0.28559686379690086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9.8287700000000005</v>
      </c>
      <c r="AB929">
        <v>1</v>
      </c>
      <c r="AC929">
        <v>0.10</v>
      </c>
      <c r="AD929">
        <v>0.20557651238448796</v>
      </c>
      <c r="AE929">
        <v>7200</v>
      </c>
      <c r="AF929">
        <v>200000</v>
      </c>
      <c r="AG929">
        <v>16666.666666666668</v>
      </c>
      <c r="AH929">
        <v>1</v>
      </c>
      <c r="AI929">
        <v>1</v>
      </c>
      <c r="AJ929" t="s">
        <v>136</v>
      </c>
      <c r="AK929" t="s">
        <v>137</v>
      </c>
      <c r="AL929">
        <v>0</v>
      </c>
      <c r="AM929" t="s">
        <v>137</v>
      </c>
      <c r="AN929">
        <v>0</v>
      </c>
    </row>
    <row r="930" spans="1:42" ht="12.75">
      <c r="A930" s="2" t="str">
        <f>HYPERLINK("https://ibp.a2mac1.com/costing(costing:projects/details/8191/process/6975719)","Handling/Visual Inspection/Packaging")</f>
        <v>Handling/Visual Inspection/Packaging</v>
      </c>
      <c r="C930">
        <v>6975719</v>
      </c>
      <c r="D930">
        <v>5388883</v>
      </c>
      <c r="E930">
        <v>0</v>
      </c>
      <c r="F930">
        <v>0</v>
      </c>
      <c r="G930">
        <v>0</v>
      </c>
      <c r="H930">
        <v>0</v>
      </c>
      <c r="I930" t="s">
        <v>137</v>
      </c>
      <c r="J930">
        <v>0</v>
      </c>
      <c r="K930">
        <v>0</v>
      </c>
      <c r="L930">
        <v>0.0043123727571503703</v>
      </c>
      <c r="M930">
        <v>0.025874236542902225</v>
      </c>
      <c r="N930">
        <v>0.025874236542902225</v>
      </c>
      <c r="O930" t="s">
        <v>90</v>
      </c>
      <c r="P930">
        <v>0</v>
      </c>
      <c r="Q930" t="s">
        <v>90</v>
      </c>
      <c r="R930">
        <v>0</v>
      </c>
      <c r="S930" t="s">
        <v>90</v>
      </c>
      <c r="T930">
        <v>0</v>
      </c>
      <c r="U930">
        <v>0.025874236542902225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15</v>
      </c>
      <c r="AB930">
        <v>1</v>
      </c>
      <c r="AC930">
        <v>0.10</v>
      </c>
      <c r="AD930">
        <v>0.10389195236953569</v>
      </c>
      <c r="AE930">
        <v>900</v>
      </c>
      <c r="AF930">
        <v>200000</v>
      </c>
      <c r="AG930">
        <v>16666.666666666668</v>
      </c>
      <c r="AH930">
        <v>1</v>
      </c>
      <c r="AI930">
        <v>1</v>
      </c>
      <c r="AJ930" t="s">
        <v>136</v>
      </c>
      <c r="AK930" t="s">
        <v>137</v>
      </c>
      <c r="AL930">
        <v>0</v>
      </c>
      <c r="AM930" t="s">
        <v>137</v>
      </c>
      <c r="AN930">
        <v>0</v>
      </c>
    </row>
    <row r="931" spans="1:42" ht="12.75">
      <c r="A931" s="2" t="str">
        <f>HYPERLINK("https://ibp.a2mac1.com/costing(costing:projects/details/8191/process/6975720)","Injection molding")</f>
        <v>Injection molding</v>
      </c>
      <c r="C931">
        <v>6975720</v>
      </c>
      <c r="D931">
        <v>5388884</v>
      </c>
      <c r="E931">
        <v>0.23850720685867285</v>
      </c>
      <c r="F931">
        <v>0</v>
      </c>
      <c r="G931">
        <v>0</v>
      </c>
      <c r="H931">
        <v>0.0004918070137251222</v>
      </c>
      <c r="I931" t="s">
        <v>137</v>
      </c>
      <c r="J931">
        <v>0.0083559444079511058</v>
      </c>
      <c r="K931">
        <v>0.24735495828034909</v>
      </c>
      <c r="L931">
        <v>0.011832580729144743</v>
      </c>
      <c r="M931">
        <v>0.070995484374868467</v>
      </c>
      <c r="N931">
        <v>0.31835044265521756</v>
      </c>
      <c r="O931" t="s">
        <v>90</v>
      </c>
      <c r="P931">
        <v>0</v>
      </c>
      <c r="Q931" t="s">
        <v>90</v>
      </c>
      <c r="R931">
        <v>0</v>
      </c>
      <c r="S931" t="s">
        <v>90</v>
      </c>
      <c r="T931">
        <v>0</v>
      </c>
      <c r="U931">
        <v>0.31835044265521756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25.117660000000001</v>
      </c>
      <c r="AB931">
        <v>1</v>
      </c>
      <c r="AC931">
        <v>0.10</v>
      </c>
      <c r="AD931">
        <v>0.20557651238448796</v>
      </c>
      <c r="AE931">
        <v>7200</v>
      </c>
      <c r="AF931">
        <v>200000</v>
      </c>
      <c r="AG931">
        <v>16666.666666666668</v>
      </c>
      <c r="AH931">
        <v>1</v>
      </c>
      <c r="AI931">
        <v>1</v>
      </c>
      <c r="AJ931" t="s">
        <v>136</v>
      </c>
      <c r="AK931" t="s">
        <v>137</v>
      </c>
      <c r="AL931">
        <v>0</v>
      </c>
      <c r="AM931" t="s">
        <v>137</v>
      </c>
      <c r="AN931">
        <v>0</v>
      </c>
    </row>
    <row r="932" spans="1:42" ht="12.75">
      <c r="A932" s="2" t="str">
        <f>HYPERLINK("https://ibp.a2mac1.com/costing(costing:projects/details/8191/process/6975721)","Handling/Visual Inspection/Packaging")</f>
        <v>Handling/Visual Inspection/Packaging</v>
      </c>
      <c r="C932">
        <v>6975721</v>
      </c>
      <c r="D932">
        <v>5388884</v>
      </c>
      <c r="E932">
        <v>0</v>
      </c>
      <c r="F932">
        <v>0</v>
      </c>
      <c r="G932">
        <v>0</v>
      </c>
      <c r="H932">
        <v>0</v>
      </c>
      <c r="I932" t="s">
        <v>137</v>
      </c>
      <c r="J932">
        <v>0</v>
      </c>
      <c r="K932">
        <v>0</v>
      </c>
      <c r="L932">
        <v>0.0086216394843006</v>
      </c>
      <c r="M932">
        <v>0.0517298369058036</v>
      </c>
      <c r="N932">
        <v>0.0517298369058036</v>
      </c>
      <c r="O932" t="s">
        <v>90</v>
      </c>
      <c r="P932">
        <v>0</v>
      </c>
      <c r="Q932" t="s">
        <v>90</v>
      </c>
      <c r="R932">
        <v>0</v>
      </c>
      <c r="S932" t="s">
        <v>90</v>
      </c>
      <c r="T932">
        <v>0</v>
      </c>
      <c r="U932">
        <v>0.0517298369058036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30</v>
      </c>
      <c r="AB932">
        <v>1</v>
      </c>
      <c r="AC932">
        <v>0.10</v>
      </c>
      <c r="AD932">
        <v>0.10389195236953569</v>
      </c>
      <c r="AE932">
        <v>900</v>
      </c>
      <c r="AF932">
        <v>200000</v>
      </c>
      <c r="AG932">
        <v>16666.666666666668</v>
      </c>
      <c r="AH932">
        <v>1</v>
      </c>
      <c r="AI932">
        <v>1</v>
      </c>
      <c r="AJ932" t="s">
        <v>136</v>
      </c>
      <c r="AK932" t="s">
        <v>137</v>
      </c>
      <c r="AL932">
        <v>0</v>
      </c>
      <c r="AM932" t="s">
        <v>137</v>
      </c>
      <c r="AN932">
        <v>0</v>
      </c>
    </row>
    <row r="933" spans="1:42" ht="12.75">
      <c r="A933" s="2" t="str">
        <f>HYPERLINK("https://ibp.a2mac1.com/costing(costing:projects/details/8191/process/6975722)","Injection molding")</f>
        <v>Injection molding</v>
      </c>
      <c r="B933" t="s">
        <v>4715</v>
      </c>
      <c r="C933">
        <v>6975722</v>
      </c>
      <c r="D933">
        <v>5388885</v>
      </c>
      <c r="E933">
        <v>0.0449586165</v>
      </c>
      <c r="F933">
        <v>0</v>
      </c>
      <c r="G933">
        <v>0</v>
      </c>
      <c r="H933">
        <v>0.00022806075136842105</v>
      </c>
      <c r="I933" t="s">
        <v>137</v>
      </c>
      <c r="J933">
        <v>0.0015774953157894737</v>
      </c>
      <c r="K933">
        <v>0.046764172567157897</v>
      </c>
      <c r="L933">
        <v>0.0015782573654511507</v>
      </c>
      <c r="M933">
        <v>0.0094695441927069041</v>
      </c>
      <c r="N933">
        <v>0.056233716759864799</v>
      </c>
      <c r="O933" t="s">
        <v>90</v>
      </c>
      <c r="P933">
        <v>0</v>
      </c>
      <c r="Q933" t="s">
        <v>90</v>
      </c>
      <c r="R933">
        <v>0</v>
      </c>
      <c r="S933" t="s">
        <v>90</v>
      </c>
      <c r="T933">
        <v>0</v>
      </c>
      <c r="U933">
        <v>0.056233716759864799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60</v>
      </c>
      <c r="AB933">
        <v>1</v>
      </c>
      <c r="AC933">
        <v>0.50</v>
      </c>
      <c r="AD933">
        <v>0.50345253019720215</v>
      </c>
      <c r="AE933">
        <v>91.80</v>
      </c>
      <c r="AF933">
        <v>200000</v>
      </c>
      <c r="AG933">
        <v>16666.666666666668</v>
      </c>
      <c r="AH933">
        <v>1</v>
      </c>
      <c r="AI933">
        <v>1</v>
      </c>
      <c r="AJ933" t="s">
        <v>136</v>
      </c>
      <c r="AK933" t="s">
        <v>137</v>
      </c>
      <c r="AL933">
        <v>0</v>
      </c>
      <c r="AM933" t="s">
        <v>137</v>
      </c>
      <c r="AN933">
        <v>0</v>
      </c>
    </row>
    <row r="934" spans="1:42" ht="12.75">
      <c r="A934" s="2" t="str">
        <f>HYPERLINK("https://ibp.a2mac1.com/costing(costing:projects/details/8191/process/6975723)","Injection molding")</f>
        <v>Injection molding</v>
      </c>
      <c r="B934" t="s">
        <v>4715</v>
      </c>
      <c r="C934">
        <v>6975723</v>
      </c>
      <c r="D934">
        <v>5388886</v>
      </c>
      <c r="E934">
        <v>0.019834683749999998</v>
      </c>
      <c r="F934">
        <v>0</v>
      </c>
      <c r="G934">
        <v>0</v>
      </c>
      <c r="H934">
        <v>0.00010061503736842106</v>
      </c>
      <c r="I934" t="s">
        <v>137</v>
      </c>
      <c r="J934">
        <v>0.00069595381578947365</v>
      </c>
      <c r="K934">
        <v>0.020631252603157894</v>
      </c>
      <c r="L934">
        <v>0.00069627330761051049</v>
      </c>
      <c r="M934">
        <v>0.0041776398456630634</v>
      </c>
      <c r="N934">
        <v>0.024808892448820959</v>
      </c>
      <c r="O934" t="s">
        <v>90</v>
      </c>
      <c r="P934">
        <v>0</v>
      </c>
      <c r="Q934" t="s">
        <v>90</v>
      </c>
      <c r="R934">
        <v>0</v>
      </c>
      <c r="S934" t="s">
        <v>90</v>
      </c>
      <c r="T934">
        <v>0</v>
      </c>
      <c r="U934">
        <v>0.024808892448820959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60</v>
      </c>
      <c r="AB934">
        <v>1</v>
      </c>
      <c r="AC934">
        <v>0.50</v>
      </c>
      <c r="AD934">
        <v>0.50345253019720215</v>
      </c>
      <c r="AE934">
        <v>40.50</v>
      </c>
      <c r="AF934">
        <v>200000</v>
      </c>
      <c r="AG934">
        <v>16666.666666666668</v>
      </c>
      <c r="AH934">
        <v>1</v>
      </c>
      <c r="AI934">
        <v>1</v>
      </c>
      <c r="AJ934" t="s">
        <v>136</v>
      </c>
      <c r="AK934" t="s">
        <v>137</v>
      </c>
      <c r="AL934">
        <v>0</v>
      </c>
      <c r="AM934" t="s">
        <v>137</v>
      </c>
      <c r="AN934">
        <v>0</v>
      </c>
    </row>
    <row r="935" spans="1:42" ht="12.75">
      <c r="A935" s="2" t="str">
        <f>HYPERLINK("https://ibp.a2mac1.com/costing(costing:projects/details/8191/process/6975724)","Furnace heating")</f>
        <v>Furnace heating</v>
      </c>
      <c r="C935">
        <v>6975724</v>
      </c>
      <c r="D935">
        <v>5388890</v>
      </c>
      <c r="E935">
        <v>0.071102780000000004</v>
      </c>
      <c r="F935">
        <v>0</v>
      </c>
      <c r="G935">
        <v>0</v>
      </c>
      <c r="H935">
        <v>0.0002189965624</v>
      </c>
      <c r="I935" t="s">
        <v>137</v>
      </c>
      <c r="J935">
        <v>0.0024885973</v>
      </c>
      <c r="K935">
        <v>0.073810373862399997</v>
      </c>
      <c r="L935">
        <v>0.00290433098751653</v>
      </c>
      <c r="M935">
        <v>0.017425985925099179</v>
      </c>
      <c r="N935">
        <v>0.09123635978749918</v>
      </c>
      <c r="O935" t="s">
        <v>90</v>
      </c>
      <c r="P935">
        <v>0</v>
      </c>
      <c r="Q935" t="s">
        <v>90</v>
      </c>
      <c r="R935">
        <v>0</v>
      </c>
      <c r="S935" t="s">
        <v>90</v>
      </c>
      <c r="T935">
        <v>0</v>
      </c>
      <c r="U935">
        <v>0.09123635978749918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17.964390000000002</v>
      </c>
      <c r="AB935">
        <v>1</v>
      </c>
      <c r="AC935">
        <v>0.10</v>
      </c>
      <c r="AD935">
        <v>0.30705427283965386</v>
      </c>
      <c r="AE935">
        <v>1800</v>
      </c>
      <c r="AF935">
        <v>200000</v>
      </c>
      <c r="AG935">
        <v>16666.666666666668</v>
      </c>
      <c r="AH935">
        <v>1</v>
      </c>
      <c r="AI935">
        <v>1</v>
      </c>
      <c r="AJ935" t="s">
        <v>136</v>
      </c>
      <c r="AK935" t="s">
        <v>137</v>
      </c>
      <c r="AL935">
        <v>0</v>
      </c>
      <c r="AM935" t="s">
        <v>137</v>
      </c>
      <c r="AN935">
        <v>0</v>
      </c>
    </row>
    <row r="936" spans="1:42" ht="12.75">
      <c r="A936" s="2" t="str">
        <f>HYPERLINK("https://ibp.a2mac1.com/costing(costing:projects/details/8191/process/6975725)","Transport with laddle")</f>
        <v>Transport with laddle</v>
      </c>
      <c r="C936">
        <v>6975725</v>
      </c>
      <c r="D936">
        <v>5388890</v>
      </c>
      <c r="E936">
        <v>0</v>
      </c>
      <c r="F936">
        <v>0</v>
      </c>
      <c r="G936">
        <v>0</v>
      </c>
      <c r="H936">
        <v>0</v>
      </c>
      <c r="I936" t="s">
        <v>137</v>
      </c>
      <c r="J936">
        <v>0</v>
      </c>
      <c r="K936">
        <v>0</v>
      </c>
      <c r="L936">
        <v>0.0018896338163316823</v>
      </c>
      <c r="M936">
        <v>0.011337802897990095</v>
      </c>
      <c r="N936">
        <v>0.011337802897990095</v>
      </c>
      <c r="O936" t="s">
        <v>90</v>
      </c>
      <c r="P936">
        <v>0</v>
      </c>
      <c r="Q936" t="s">
        <v>90</v>
      </c>
      <c r="R936">
        <v>0</v>
      </c>
      <c r="S936" t="s">
        <v>90</v>
      </c>
      <c r="T936">
        <v>0</v>
      </c>
      <c r="U936">
        <v>0.011337802897990095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17.964390000000002</v>
      </c>
      <c r="AB936">
        <v>1</v>
      </c>
      <c r="AC936">
        <v>0.10</v>
      </c>
      <c r="AD936">
        <v>0.20557651238448796</v>
      </c>
      <c r="AE936">
        <v>900</v>
      </c>
      <c r="AF936">
        <v>200000</v>
      </c>
      <c r="AG936">
        <v>16666.666666666668</v>
      </c>
      <c r="AH936">
        <v>1</v>
      </c>
      <c r="AI936">
        <v>1</v>
      </c>
      <c r="AJ936" t="s">
        <v>136</v>
      </c>
      <c r="AK936" t="s">
        <v>137</v>
      </c>
      <c r="AL936">
        <v>0</v>
      </c>
      <c r="AM936" t="s">
        <v>137</v>
      </c>
      <c r="AN936">
        <v>0</v>
      </c>
    </row>
    <row r="937" spans="1:42" ht="12.75">
      <c r="A937" s="2" t="str">
        <f>HYPERLINK("https://ibp.a2mac1.com/costing(costing:projects/details/8191/process/6975726)","Pressing (Cold Chamber)")</f>
        <v>Pressing (Cold Chamber)</v>
      </c>
      <c r="C937">
        <v>6975726</v>
      </c>
      <c r="D937">
        <v>5388890</v>
      </c>
      <c r="E937">
        <v>0</v>
      </c>
      <c r="F937">
        <v>0</v>
      </c>
      <c r="G937">
        <v>0</v>
      </c>
      <c r="H937">
        <v>0</v>
      </c>
      <c r="I937" t="s">
        <v>137</v>
      </c>
      <c r="J937">
        <v>0</v>
      </c>
      <c r="K937">
        <v>0</v>
      </c>
      <c r="L937">
        <v>0.018054282864350648</v>
      </c>
      <c r="M937">
        <v>0.10832569718610388</v>
      </c>
      <c r="N937">
        <v>0.10832569718610388</v>
      </c>
      <c r="O937" t="s">
        <v>90</v>
      </c>
      <c r="P937">
        <v>0</v>
      </c>
      <c r="Q937" t="s">
        <v>90</v>
      </c>
      <c r="R937">
        <v>0</v>
      </c>
      <c r="S937" t="s">
        <v>90</v>
      </c>
      <c r="T937">
        <v>0</v>
      </c>
      <c r="U937">
        <v>0.10832569718610388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17.964390000000002</v>
      </c>
      <c r="AB937">
        <v>1</v>
      </c>
      <c r="AC937">
        <v>0.10</v>
      </c>
      <c r="AD937">
        <v>0.10389195236953569</v>
      </c>
      <c r="AE937">
        <v>7200</v>
      </c>
      <c r="AF937">
        <v>200000</v>
      </c>
      <c r="AG937">
        <v>16666.666666666668</v>
      </c>
      <c r="AH937">
        <v>1</v>
      </c>
      <c r="AI937">
        <v>1</v>
      </c>
      <c r="AJ937" t="s">
        <v>136</v>
      </c>
      <c r="AK937" t="s">
        <v>137</v>
      </c>
      <c r="AL937">
        <v>0</v>
      </c>
      <c r="AM937" t="s">
        <v>137</v>
      </c>
      <c r="AN937">
        <v>0</v>
      </c>
    </row>
    <row r="938" spans="1:42" ht="12.75">
      <c r="A938" s="2" t="str">
        <f>HYPERLINK("https://ibp.a2mac1.com/costing(costing:projects/details/8191/process/6975729)","Injection molding")</f>
        <v>Injection molding</v>
      </c>
      <c r="C938">
        <v>6975729</v>
      </c>
      <c r="D938">
        <v>5388892</v>
      </c>
      <c r="E938">
        <v>0.4558260683635566</v>
      </c>
      <c r="F938">
        <v>0</v>
      </c>
      <c r="G938">
        <v>0</v>
      </c>
      <c r="H938">
        <v>0.0014053220683155308</v>
      </c>
      <c r="I938" t="s">
        <v>137</v>
      </c>
      <c r="J938">
        <v>0.015969568958131033</v>
      </c>
      <c r="K938">
        <v>0.47320095939000317</v>
      </c>
      <c r="L938">
        <v>0.018803950772439838</v>
      </c>
      <c r="M938">
        <v>0.11282370463463903</v>
      </c>
      <c r="N938">
        <v>0.58602466402464226</v>
      </c>
      <c r="O938" t="s">
        <v>90</v>
      </c>
      <c r="P938">
        <v>0</v>
      </c>
      <c r="Q938" t="s">
        <v>90</v>
      </c>
      <c r="R938">
        <v>0</v>
      </c>
      <c r="S938" t="s">
        <v>90</v>
      </c>
      <c r="T938">
        <v>0</v>
      </c>
      <c r="U938">
        <v>0.58602466402464226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37.106050000000003</v>
      </c>
      <c r="AB938">
        <v>1</v>
      </c>
      <c r="AC938">
        <v>0.10</v>
      </c>
      <c r="AD938">
        <v>0.30705427283965386</v>
      </c>
      <c r="AE938">
        <v>7200</v>
      </c>
      <c r="AF938">
        <v>200000</v>
      </c>
      <c r="AG938">
        <v>16666.666666666668</v>
      </c>
      <c r="AH938">
        <v>1</v>
      </c>
      <c r="AI938">
        <v>1</v>
      </c>
      <c r="AJ938" t="s">
        <v>136</v>
      </c>
      <c r="AK938" t="s">
        <v>137</v>
      </c>
      <c r="AL938">
        <v>0</v>
      </c>
      <c r="AM938" t="s">
        <v>137</v>
      </c>
      <c r="AN938">
        <v>0</v>
      </c>
    </row>
    <row r="939" spans="1:42" ht="12.75">
      <c r="A939" s="2" t="str">
        <f>HYPERLINK("https://ibp.a2mac1.com/costing(costing:projects/details/8191/process/6975727)","Handling and Packaging")</f>
        <v>Handling and Packaging</v>
      </c>
      <c r="C939">
        <v>6975727</v>
      </c>
      <c r="D939">
        <v>5388892</v>
      </c>
      <c r="E939">
        <v>0</v>
      </c>
      <c r="F939">
        <v>0</v>
      </c>
      <c r="G939">
        <v>0</v>
      </c>
      <c r="H939">
        <v>0</v>
      </c>
      <c r="I939" t="s">
        <v>137</v>
      </c>
      <c r="J939">
        <v>0</v>
      </c>
      <c r="K939">
        <v>0</v>
      </c>
      <c r="L939">
        <v>0.013182492870361124</v>
      </c>
      <c r="M939">
        <v>0.079094957222166751</v>
      </c>
      <c r="N939">
        <v>0.079094957222166751</v>
      </c>
      <c r="O939" t="s">
        <v>90</v>
      </c>
      <c r="P939">
        <v>0</v>
      </c>
      <c r="Q939" t="s">
        <v>90</v>
      </c>
      <c r="R939">
        <v>0</v>
      </c>
      <c r="S939" t="s">
        <v>90</v>
      </c>
      <c r="T939">
        <v>0</v>
      </c>
      <c r="U939">
        <v>0.079094957222166751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45</v>
      </c>
      <c r="AB939">
        <v>1</v>
      </c>
      <c r="AC939">
        <v>0.10</v>
      </c>
      <c r="AD939">
        <v>0.20557651238448796</v>
      </c>
      <c r="AE939">
        <v>900</v>
      </c>
      <c r="AF939">
        <v>200000</v>
      </c>
      <c r="AG939">
        <v>16666.666666666668</v>
      </c>
      <c r="AH939">
        <v>1</v>
      </c>
      <c r="AI939">
        <v>1</v>
      </c>
      <c r="AJ939" t="s">
        <v>136</v>
      </c>
      <c r="AK939" t="s">
        <v>137</v>
      </c>
      <c r="AL939">
        <v>0</v>
      </c>
      <c r="AM939" t="s">
        <v>137</v>
      </c>
      <c r="AN939">
        <v>0</v>
      </c>
    </row>
    <row r="940" spans="1:42" ht="12.75">
      <c r="A940" s="2" t="str">
        <f>HYPERLINK("https://ibp.a2mac1.com/costing(costing:projects/details/8191/process/6975728)","Painting")</f>
        <v>Painting</v>
      </c>
      <c r="B940" t="s">
        <v>5009</v>
      </c>
      <c r="C940">
        <v>6975728</v>
      </c>
      <c r="D940">
        <v>5388892</v>
      </c>
      <c r="E940">
        <v>0.5144333333333333</v>
      </c>
      <c r="F940">
        <v>0</v>
      </c>
      <c r="G940">
        <v>0</v>
      </c>
      <c r="H940">
        <v>0.00053501066666666668</v>
      </c>
      <c r="I940" t="s">
        <v>137</v>
      </c>
      <c r="J940">
        <v>0.018005166666666666</v>
      </c>
      <c r="K940">
        <v>0.53297351066666665</v>
      </c>
      <c r="L940">
        <v>0.092822400376433509</v>
      </c>
      <c r="M940">
        <v>0.55693440225860102</v>
      </c>
      <c r="N940">
        <v>1.0899079129252678</v>
      </c>
      <c r="O940" t="s">
        <v>90</v>
      </c>
      <c r="P940">
        <v>0</v>
      </c>
      <c r="Q940" t="s">
        <v>90</v>
      </c>
      <c r="R940">
        <v>0</v>
      </c>
      <c r="S940" t="s">
        <v>90</v>
      </c>
      <c r="T940">
        <v>0</v>
      </c>
      <c r="U940">
        <v>1.0899079129252678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6</v>
      </c>
      <c r="AB940">
        <v>1</v>
      </c>
      <c r="AC940">
        <v>0.10</v>
      </c>
      <c r="AD940">
        <v>0.10389195236953569</v>
      </c>
      <c r="AE940">
        <v>1800</v>
      </c>
      <c r="AF940">
        <v>200000</v>
      </c>
      <c r="AG940">
        <v>16666.666666666668</v>
      </c>
      <c r="AH940">
        <v>1</v>
      </c>
      <c r="AI940">
        <v>1</v>
      </c>
      <c r="AJ940" t="s">
        <v>136</v>
      </c>
      <c r="AK940" t="s">
        <v>137</v>
      </c>
      <c r="AL940">
        <v>0</v>
      </c>
      <c r="AM940" t="s">
        <v>137</v>
      </c>
      <c r="AN940">
        <v>0</v>
      </c>
    </row>
    <row r="941" spans="1:42" ht="12.75">
      <c r="A941" s="2" t="str">
        <f>HYPERLINK("https://ibp.a2mac1.com/costing(costing:projects/details/8191/process/6975490)","Rear View Mirror Final Assembly")</f>
        <v>Rear View Mirror Final Assembly</v>
      </c>
      <c r="C941">
        <v>6975490</v>
      </c>
      <c r="D941">
        <v>5388564</v>
      </c>
      <c r="E941">
        <v>0</v>
      </c>
      <c r="F941">
        <v>0</v>
      </c>
      <c r="G941">
        <v>0</v>
      </c>
      <c r="H941">
        <v>0</v>
      </c>
      <c r="I941" t="s">
        <v>137</v>
      </c>
      <c r="J941">
        <v>0</v>
      </c>
      <c r="K941">
        <v>0</v>
      </c>
      <c r="L941">
        <v>0.29705016188448735</v>
      </c>
      <c r="M941">
        <v>1.782300971306924</v>
      </c>
      <c r="N941">
        <v>1.782300971306924</v>
      </c>
      <c r="O941" t="s">
        <v>90</v>
      </c>
      <c r="P941">
        <v>0</v>
      </c>
      <c r="Q941" t="s">
        <v>90</v>
      </c>
      <c r="R941">
        <v>0</v>
      </c>
      <c r="S941" t="s">
        <v>90</v>
      </c>
      <c r="T941">
        <v>0</v>
      </c>
      <c r="U941">
        <v>1.782300971306924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180</v>
      </c>
      <c r="AB941">
        <v>1</v>
      </c>
      <c r="AC941">
        <v>0.10</v>
      </c>
      <c r="AD941">
        <v>0.10987913295375087</v>
      </c>
      <c r="AE941">
        <v>600</v>
      </c>
      <c r="AF941">
        <v>200000</v>
      </c>
      <c r="AG941">
        <v>10000</v>
      </c>
      <c r="AH941">
        <v>1</v>
      </c>
      <c r="AI941">
        <v>1</v>
      </c>
      <c r="AJ941" t="s">
        <v>79</v>
      </c>
      <c r="AK941" t="s">
        <v>137</v>
      </c>
      <c r="AL941">
        <v>0</v>
      </c>
      <c r="AM941" t="s">
        <v>137</v>
      </c>
      <c r="AN941">
        <v>0</v>
      </c>
      <c r="AP941">
        <v>0</v>
      </c>
    </row>
    <row r="942" spans="1:42" ht="12.75">
      <c r="A942" s="2" t="str">
        <f>HYPERLINK("https://ibp.a2mac1.com/costing(costing:projects/details/8191/process/6975491)","Injection molding")</f>
        <v>Injection molding</v>
      </c>
      <c r="C942">
        <v>6975491</v>
      </c>
      <c r="D942">
        <v>5388566</v>
      </c>
      <c r="E942">
        <v>0.42294082403009409</v>
      </c>
      <c r="F942">
        <v>0</v>
      </c>
      <c r="G942">
        <v>0</v>
      </c>
      <c r="H942">
        <v>0.00087211311720209871</v>
      </c>
      <c r="I942" t="s">
        <v>137</v>
      </c>
      <c r="J942">
        <v>0.01481745587479294</v>
      </c>
      <c r="K942">
        <v>0.43863039302208912</v>
      </c>
      <c r="L942">
        <v>0.020625570549574521</v>
      </c>
      <c r="M942">
        <v>0.12375342329744714</v>
      </c>
      <c r="N942">
        <v>0.56238381631953627</v>
      </c>
      <c r="O942" t="s">
        <v>138</v>
      </c>
      <c r="P942">
        <v>0.026317823581325346</v>
      </c>
      <c r="Q942" t="s">
        <v>138</v>
      </c>
      <c r="R942">
        <v>0.0074252053978468282</v>
      </c>
      <c r="S942" t="s">
        <v>139</v>
      </c>
      <c r="T942">
        <v>0.06748605795834435</v>
      </c>
      <c r="U942">
        <v>0.6636129032570528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29.609529999999999</v>
      </c>
      <c r="AB942">
        <v>1</v>
      </c>
      <c r="AC942">
        <v>0.10</v>
      </c>
      <c r="AD942">
        <v>0.20557651238448796</v>
      </c>
      <c r="AE942">
        <v>9000</v>
      </c>
      <c r="AF942">
        <v>200000</v>
      </c>
      <c r="AG942">
        <v>16666.666666666668</v>
      </c>
      <c r="AH942">
        <v>1</v>
      </c>
      <c r="AI942">
        <v>1</v>
      </c>
      <c r="AJ942" t="s">
        <v>136</v>
      </c>
      <c r="AK942" t="s">
        <v>137</v>
      </c>
      <c r="AL942">
        <v>0</v>
      </c>
      <c r="AM942" t="s">
        <v>137</v>
      </c>
      <c r="AN942">
        <v>0</v>
      </c>
    </row>
    <row r="943" spans="1:42" ht="12.75">
      <c r="A943" s="2" t="str">
        <f>HYPERLINK("https://ibp.a2mac1.com/costing(costing:projects/details/8191/process/6975492)","Handling/Visual Inspection/Packaging")</f>
        <v>Handling/Visual Inspection/Packaging</v>
      </c>
      <c r="C943">
        <v>6975492</v>
      </c>
      <c r="D943">
        <v>5388566</v>
      </c>
      <c r="E943">
        <v>0</v>
      </c>
      <c r="F943">
        <v>0</v>
      </c>
      <c r="G943">
        <v>0</v>
      </c>
      <c r="H943">
        <v>0</v>
      </c>
      <c r="I943" t="s">
        <v>137</v>
      </c>
      <c r="J943">
        <v>0</v>
      </c>
      <c r="K943">
        <v>0</v>
      </c>
      <c r="L943">
        <v>0.0086216394843006</v>
      </c>
      <c r="M943">
        <v>0.0517298369058036</v>
      </c>
      <c r="N943">
        <v>0.0517298369058036</v>
      </c>
      <c r="O943" t="s">
        <v>138</v>
      </c>
      <c r="P943">
        <v>0</v>
      </c>
      <c r="Q943" t="s">
        <v>138</v>
      </c>
      <c r="R943">
        <v>0.0031037902143482162</v>
      </c>
      <c r="S943" t="s">
        <v>139</v>
      </c>
      <c r="T943">
        <v>0.0062075804286964324</v>
      </c>
      <c r="U943">
        <v>0.061041207548848252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30</v>
      </c>
      <c r="AB943">
        <v>1</v>
      </c>
      <c r="AC943">
        <v>0.10</v>
      </c>
      <c r="AD943">
        <v>0.10389195236953569</v>
      </c>
      <c r="AE943">
        <v>900</v>
      </c>
      <c r="AF943">
        <v>200000</v>
      </c>
      <c r="AG943">
        <v>16666.666666666668</v>
      </c>
      <c r="AH943">
        <v>1</v>
      </c>
      <c r="AI943">
        <v>1</v>
      </c>
      <c r="AJ943" t="s">
        <v>136</v>
      </c>
      <c r="AK943" t="s">
        <v>137</v>
      </c>
      <c r="AL943">
        <v>0</v>
      </c>
      <c r="AM943" t="s">
        <v>137</v>
      </c>
      <c r="AN943">
        <v>0</v>
      </c>
    </row>
    <row r="944" spans="1:42" ht="12.75">
      <c r="A944" s="2" t="str">
        <f>HYPERLINK("https://ibp.a2mac1.com/costing(costing:projects/details/8191/process/6975839)","Manufacturing Process")</f>
        <v>Manufacturing Process</v>
      </c>
      <c r="C944">
        <v>6975839</v>
      </c>
      <c r="D944">
        <v>5389223</v>
      </c>
      <c r="E944">
        <v>4.9031817272727274</v>
      </c>
      <c r="F944">
        <v>0</v>
      </c>
      <c r="G944">
        <v>0</v>
      </c>
      <c r="H944">
        <v>0.005895154909090909</v>
      </c>
      <c r="I944" t="s">
        <v>137</v>
      </c>
      <c r="J944">
        <v>0.19839463636363636</v>
      </c>
      <c r="K944">
        <v>5.1074715185454549</v>
      </c>
      <c r="L944">
        <v>0.3199542277697916</v>
      </c>
      <c r="M944">
        <v>1.9197253666187497</v>
      </c>
      <c r="N944">
        <v>7.0271968851642042</v>
      </c>
      <c r="O944" t="s">
        <v>90</v>
      </c>
      <c r="P944">
        <v>0</v>
      </c>
      <c r="Q944" t="s">
        <v>90</v>
      </c>
      <c r="R944">
        <v>0</v>
      </c>
      <c r="S944" t="s">
        <v>90</v>
      </c>
      <c r="T944">
        <v>0</v>
      </c>
      <c r="U944">
        <v>7.0271968851642042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63.72</v>
      </c>
      <c r="AB944">
        <v>1</v>
      </c>
      <c r="AC944">
        <v>0.10</v>
      </c>
      <c r="AD944">
        <v>0.10389195236953569</v>
      </c>
      <c r="AE944">
        <v>5400</v>
      </c>
      <c r="AF944">
        <v>200000</v>
      </c>
      <c r="AG944">
        <v>16666.666666666668</v>
      </c>
      <c r="AH944">
        <v>1</v>
      </c>
      <c r="AI944">
        <v>1</v>
      </c>
      <c r="AJ944" t="s">
        <v>136</v>
      </c>
      <c r="AK944" t="s">
        <v>137</v>
      </c>
      <c r="AL944">
        <v>0</v>
      </c>
      <c r="AM944" t="s">
        <v>137</v>
      </c>
      <c r="AN944">
        <v>0</v>
      </c>
    </row>
    <row r="945" spans="1:42" ht="12.75">
      <c r="A945" s="2" t="str">
        <f>HYPERLINK("https://ibp.a2mac1.com/costing(costing:projects/details/8191/process/6975840)","Manufacturing Process")</f>
        <v>Manufacturing Process</v>
      </c>
      <c r="C945">
        <v>6975840</v>
      </c>
      <c r="D945">
        <v>5389224</v>
      </c>
      <c r="E945">
        <v>0.48124592500000002</v>
      </c>
      <c r="F945">
        <v>0</v>
      </c>
      <c r="G945">
        <v>0</v>
      </c>
      <c r="H945">
        <v>0.00053244230000000004</v>
      </c>
      <c r="I945" t="s">
        <v>137</v>
      </c>
      <c r="J945">
        <v>0.01791873125</v>
      </c>
      <c r="K945">
        <v>0.49969709855</v>
      </c>
      <c r="L945">
        <v>0.010976837937400397</v>
      </c>
      <c r="M945">
        <v>0.06586102762440238</v>
      </c>
      <c r="N945">
        <v>0.56555812617440238</v>
      </c>
      <c r="O945" t="s">
        <v>138</v>
      </c>
      <c r="P945">
        <v>0.029981825912999999</v>
      </c>
      <c r="Q945" t="s">
        <v>138</v>
      </c>
      <c r="R945">
        <v>0.0039516616574641426</v>
      </c>
      <c r="S945" t="s">
        <v>139</v>
      </c>
      <c r="T945">
        <v>0.067866975140928279</v>
      </c>
      <c r="U945">
        <v>0.6673585888857948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1.80</v>
      </c>
      <c r="AB945">
        <v>1</v>
      </c>
      <c r="AC945">
        <v>0.10</v>
      </c>
      <c r="AD945">
        <v>0.10389195236953569</v>
      </c>
      <c r="AE945">
        <v>5400</v>
      </c>
      <c r="AF945">
        <v>200000</v>
      </c>
      <c r="AG945">
        <v>16666.666666666668</v>
      </c>
      <c r="AH945">
        <v>1</v>
      </c>
      <c r="AI945">
        <v>1</v>
      </c>
      <c r="AJ945" t="s">
        <v>136</v>
      </c>
      <c r="AK945" t="s">
        <v>137</v>
      </c>
      <c r="AL945">
        <v>0</v>
      </c>
      <c r="AM945" t="s">
        <v>137</v>
      </c>
      <c r="AN945">
        <v>0</v>
      </c>
    </row>
    <row r="946" spans="1:42" ht="12.75">
      <c r="A946" s="2" t="str">
        <f>HYPERLINK("https://ibp.a2mac1.com/costing(costing:projects/details/8191/process/6975841)","Manufacturing Process")</f>
        <v>Manufacturing Process</v>
      </c>
      <c r="C946">
        <v>6975841</v>
      </c>
      <c r="D946">
        <v>5389225</v>
      </c>
      <c r="E946">
        <v>0.30885932500000002</v>
      </c>
      <c r="F946">
        <v>0</v>
      </c>
      <c r="G946">
        <v>0</v>
      </c>
      <c r="H946">
        <v>0.00034171670000000001</v>
      </c>
      <c r="I946" t="s">
        <v>137</v>
      </c>
      <c r="J946">
        <v>0.01150008125</v>
      </c>
      <c r="K946">
        <v>0.32070112294999997</v>
      </c>
      <c r="L946">
        <v>0.010976837937400397</v>
      </c>
      <c r="M946">
        <v>0.06586102762440238</v>
      </c>
      <c r="N946">
        <v>0.38656215057440235</v>
      </c>
      <c r="O946" t="s">
        <v>138</v>
      </c>
      <c r="P946">
        <v>0.019242067376999999</v>
      </c>
      <c r="Q946" t="s">
        <v>138</v>
      </c>
      <c r="R946">
        <v>0.0039516616574641426</v>
      </c>
      <c r="S946" t="s">
        <v>139</v>
      </c>
      <c r="T946">
        <v>0.046387458068928286</v>
      </c>
      <c r="U946">
        <v>0.4561433376777948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1.80</v>
      </c>
      <c r="AB946">
        <v>1</v>
      </c>
      <c r="AC946">
        <v>0.10</v>
      </c>
      <c r="AD946">
        <v>0.10389195236953569</v>
      </c>
      <c r="AE946">
        <v>5400</v>
      </c>
      <c r="AF946">
        <v>200000</v>
      </c>
      <c r="AG946">
        <v>16666.666666666668</v>
      </c>
      <c r="AH946">
        <v>1</v>
      </c>
      <c r="AI946">
        <v>1</v>
      </c>
      <c r="AJ946" t="s">
        <v>136</v>
      </c>
      <c r="AK946" t="s">
        <v>137</v>
      </c>
      <c r="AL946">
        <v>0</v>
      </c>
      <c r="AM946" t="s">
        <v>137</v>
      </c>
      <c r="AN946">
        <v>0</v>
      </c>
    </row>
    <row r="947" spans="1:42" ht="12.75">
      <c r="A947" s="2" t="str">
        <f>HYPERLINK("https://ibp.a2mac1.com/costing(costing:projects/details/8191/process/6975899)","Manufacturing Process")</f>
        <v>Manufacturing Process</v>
      </c>
      <c r="C947">
        <v>6975899</v>
      </c>
      <c r="D947">
        <v>5389432</v>
      </c>
      <c r="E947">
        <v>0.30885932500000002</v>
      </c>
      <c r="F947">
        <v>0</v>
      </c>
      <c r="G947">
        <v>0</v>
      </c>
      <c r="H947">
        <v>0.00034171670000000001</v>
      </c>
      <c r="I947" t="s">
        <v>137</v>
      </c>
      <c r="J947">
        <v>0.01150008125</v>
      </c>
      <c r="K947">
        <v>0.32070112294999997</v>
      </c>
      <c r="L947">
        <v>0.010976837937400397</v>
      </c>
      <c r="M947">
        <v>0.06586102762440238</v>
      </c>
      <c r="N947">
        <v>0.38656215057440235</v>
      </c>
      <c r="O947" t="s">
        <v>138</v>
      </c>
      <c r="P947">
        <v>0.019242067376999999</v>
      </c>
      <c r="Q947" t="s">
        <v>138</v>
      </c>
      <c r="R947">
        <v>0.0039516616574641426</v>
      </c>
      <c r="S947" t="s">
        <v>139</v>
      </c>
      <c r="T947">
        <v>0.046387458068928286</v>
      </c>
      <c r="U947">
        <v>0.4561433376777948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1.80</v>
      </c>
      <c r="AB947">
        <v>1</v>
      </c>
      <c r="AC947">
        <v>0.10</v>
      </c>
      <c r="AD947">
        <v>0.10389195236953569</v>
      </c>
      <c r="AE947">
        <v>5400</v>
      </c>
      <c r="AF947">
        <v>200000</v>
      </c>
      <c r="AG947">
        <v>16666.666666666668</v>
      </c>
      <c r="AH947">
        <v>1</v>
      </c>
      <c r="AI947">
        <v>1</v>
      </c>
      <c r="AJ947" t="s">
        <v>136</v>
      </c>
      <c r="AK947" t="s">
        <v>137</v>
      </c>
      <c r="AL947">
        <v>0</v>
      </c>
      <c r="AM947" t="s">
        <v>137</v>
      </c>
      <c r="AN947">
        <v>0</v>
      </c>
    </row>
    <row r="948" spans="1:42" ht="12.75">
      <c r="A948" s="2" t="str">
        <f>HYPERLINK("https://ibp.a2mac1.com/costing(costing:projects/details/8191/process/6975900)","Manufacturing Process")</f>
        <v>Manufacturing Process</v>
      </c>
      <c r="C948">
        <v>6975900</v>
      </c>
      <c r="D948">
        <v>5389433</v>
      </c>
      <c r="E948">
        <v>0.6895464</v>
      </c>
      <c r="F948">
        <v>0</v>
      </c>
      <c r="G948">
        <v>0</v>
      </c>
      <c r="H948">
        <v>0.00076290240000000001</v>
      </c>
      <c r="I948" t="s">
        <v>137</v>
      </c>
      <c r="J948">
        <v>0.025674599999999999</v>
      </c>
      <c r="K948">
        <v>0.71598390239999998</v>
      </c>
      <c r="L948">
        <v>0.010976837937400397</v>
      </c>
      <c r="M948">
        <v>0.06586102762440238</v>
      </c>
      <c r="N948">
        <v>0.78184493002440236</v>
      </c>
      <c r="O948" t="s">
        <v>138</v>
      </c>
      <c r="P948">
        <v>0.042959034144</v>
      </c>
      <c r="Q948" t="s">
        <v>138</v>
      </c>
      <c r="R948">
        <v>0.0039516616574641426</v>
      </c>
      <c r="S948" t="s">
        <v>139</v>
      </c>
      <c r="T948">
        <v>0.093821391602928281</v>
      </c>
      <c r="U948">
        <v>0.92257701742879483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1.80</v>
      </c>
      <c r="AB948">
        <v>1</v>
      </c>
      <c r="AC948">
        <v>0.10</v>
      </c>
      <c r="AD948">
        <v>0.10389195236953569</v>
      </c>
      <c r="AE948">
        <v>5400</v>
      </c>
      <c r="AF948">
        <v>200000</v>
      </c>
      <c r="AG948">
        <v>16666.666666666668</v>
      </c>
      <c r="AH948">
        <v>1</v>
      </c>
      <c r="AI948">
        <v>1</v>
      </c>
      <c r="AJ948" t="s">
        <v>136</v>
      </c>
      <c r="AK948" t="s">
        <v>137</v>
      </c>
      <c r="AL948">
        <v>0</v>
      </c>
      <c r="AM948" t="s">
        <v>137</v>
      </c>
      <c r="AN948">
        <v>0</v>
      </c>
    </row>
    <row r="949" spans="1:42" ht="12.75">
      <c r="A949" s="2" t="str">
        <f>HYPERLINK("https://ibp.a2mac1.com/costing(costing:projects/details/8191/process/6975901)","Manufacturing Process")</f>
        <v>Manufacturing Process</v>
      </c>
      <c r="C949">
        <v>6975901</v>
      </c>
      <c r="D949">
        <v>5389434</v>
      </c>
      <c r="E949">
        <v>0.65363252500000002</v>
      </c>
      <c r="F949">
        <v>0</v>
      </c>
      <c r="G949">
        <v>0</v>
      </c>
      <c r="H949">
        <v>0.00072316790000000002</v>
      </c>
      <c r="I949" t="s">
        <v>137</v>
      </c>
      <c r="J949">
        <v>0.024337381250000002</v>
      </c>
      <c r="K949">
        <v>0.67869307415000002</v>
      </c>
      <c r="L949">
        <v>0.1708546733739284</v>
      </c>
      <c r="M949">
        <v>1.0251280402435705</v>
      </c>
      <c r="N949">
        <v>1.7038211143935704</v>
      </c>
      <c r="O949" t="s">
        <v>138</v>
      </c>
      <c r="P949">
        <v>0.040721584449000002</v>
      </c>
      <c r="Q949" t="s">
        <v>138</v>
      </c>
      <c r="R949">
        <v>0.061507682414614226</v>
      </c>
      <c r="S949" t="s">
        <v>139</v>
      </c>
      <c r="T949">
        <v>0.20445853372722847</v>
      </c>
      <c r="U949">
        <v>2.0105089149844133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33.84</v>
      </c>
      <c r="AB949">
        <v>1</v>
      </c>
      <c r="AC949">
        <v>0.10</v>
      </c>
      <c r="AD949">
        <v>0.10389195236953569</v>
      </c>
      <c r="AE949">
        <v>5400</v>
      </c>
      <c r="AF949">
        <v>200000</v>
      </c>
      <c r="AG949">
        <v>16666.666666666668</v>
      </c>
      <c r="AH949">
        <v>1</v>
      </c>
      <c r="AI949">
        <v>1</v>
      </c>
      <c r="AJ949" t="s">
        <v>136</v>
      </c>
      <c r="AK949" t="s">
        <v>137</v>
      </c>
      <c r="AL949">
        <v>0</v>
      </c>
      <c r="AM949" t="s">
        <v>137</v>
      </c>
      <c r="AN949">
        <v>0</v>
      </c>
    </row>
    <row r="950" spans="1:42" ht="12.75">
      <c r="A950" s="2" t="str">
        <f>HYPERLINK("https://ibp.a2mac1.com/costing(costing:projects/details/8191/process/6975842)","Manufacturing Process")</f>
        <v>Manufacturing Process</v>
      </c>
      <c r="C950">
        <v>6975842</v>
      </c>
      <c r="D950">
        <v>5389228</v>
      </c>
      <c r="E950">
        <v>1.012771275</v>
      </c>
      <c r="F950">
        <v>0</v>
      </c>
      <c r="G950">
        <v>0</v>
      </c>
      <c r="H950">
        <v>0.0011205129</v>
      </c>
      <c r="I950" t="s">
        <v>137</v>
      </c>
      <c r="J950">
        <v>0.037709568749999998</v>
      </c>
      <c r="K950">
        <v>1.05160135665</v>
      </c>
      <c r="L950">
        <v>0.16097458241998566</v>
      </c>
      <c r="M950">
        <v>0.96584749451991403</v>
      </c>
      <c r="N950">
        <v>2.017448851169914</v>
      </c>
      <c r="O950" t="s">
        <v>138</v>
      </c>
      <c r="P950">
        <v>0.063096081398999998</v>
      </c>
      <c r="Q950" t="s">
        <v>138</v>
      </c>
      <c r="R950">
        <v>0.057950849671194841</v>
      </c>
      <c r="S950" t="s">
        <v>139</v>
      </c>
      <c r="T950">
        <v>0.24209386214038969</v>
      </c>
      <c r="U950">
        <v>2.3805896443804984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31.86</v>
      </c>
      <c r="AB950">
        <v>1</v>
      </c>
      <c r="AC950">
        <v>0.10</v>
      </c>
      <c r="AD950">
        <v>0.10389195236953569</v>
      </c>
      <c r="AE950">
        <v>5400</v>
      </c>
      <c r="AF950">
        <v>200000</v>
      </c>
      <c r="AG950">
        <v>16666.666666666668</v>
      </c>
      <c r="AH950">
        <v>1</v>
      </c>
      <c r="AI950">
        <v>1</v>
      </c>
      <c r="AJ950" t="s">
        <v>136</v>
      </c>
      <c r="AK950" t="s">
        <v>137</v>
      </c>
      <c r="AL950">
        <v>0</v>
      </c>
      <c r="AM950" t="s">
        <v>137</v>
      </c>
      <c r="AN950">
        <v>0</v>
      </c>
    </row>
    <row r="951" spans="1:42" ht="12.75">
      <c r="A951" s="2" t="str">
        <f>HYPERLINK("https://ibp.a2mac1.com/costing(costing:projects/details/8191/process/6975902)","Manufacturing Process")</f>
        <v>Manufacturing Process</v>
      </c>
      <c r="C951">
        <v>6975902</v>
      </c>
      <c r="D951">
        <v>5389435</v>
      </c>
      <c r="E951">
        <v>0.79163349999999999</v>
      </c>
      <c r="F951">
        <v>0</v>
      </c>
      <c r="G951">
        <v>0</v>
      </c>
      <c r="H951">
        <v>0.00089005279999999996</v>
      </c>
      <c r="I951" t="s">
        <v>137</v>
      </c>
      <c r="J951">
        <v>0.0299537</v>
      </c>
      <c r="K951">
        <v>0.82247725279999995</v>
      </c>
      <c r="L951">
        <v>0.014569598284288667</v>
      </c>
      <c r="M951">
        <v>0.087417589705732004</v>
      </c>
      <c r="N951">
        <v>0.90989484250573205</v>
      </c>
      <c r="O951" t="s">
        <v>138</v>
      </c>
      <c r="P951">
        <v>0.049348635167999998</v>
      </c>
      <c r="Q951" t="s">
        <v>138</v>
      </c>
      <c r="R951">
        <v>0.0052450553823439197</v>
      </c>
      <c r="S951" t="s">
        <v>139</v>
      </c>
      <c r="T951">
        <v>0.10918738110068783</v>
      </c>
      <c r="U951">
        <v>1.0736759141567638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2.52</v>
      </c>
      <c r="AB951">
        <v>1</v>
      </c>
      <c r="AC951">
        <v>0.10</v>
      </c>
      <c r="AD951">
        <v>0.10389195236953569</v>
      </c>
      <c r="AE951">
        <v>5400</v>
      </c>
      <c r="AF951">
        <v>200000</v>
      </c>
      <c r="AG951">
        <v>16666.666666666668</v>
      </c>
      <c r="AH951">
        <v>1</v>
      </c>
      <c r="AI951">
        <v>1</v>
      </c>
      <c r="AJ951" t="s">
        <v>136</v>
      </c>
      <c r="AK951" t="s">
        <v>137</v>
      </c>
      <c r="AL951">
        <v>0</v>
      </c>
      <c r="AM951" t="s">
        <v>137</v>
      </c>
      <c r="AN951">
        <v>0</v>
      </c>
    </row>
    <row r="952" spans="1:42" ht="12.75">
      <c r="A952" s="2" t="str">
        <f>HYPERLINK("https://ibp.a2mac1.com/costing(costing:projects/details/8191/process/6975843)","Manufacturing Process")</f>
        <v>Manufacturing Process</v>
      </c>
      <c r="C952">
        <v>6975843</v>
      </c>
      <c r="D952">
        <v>5389230</v>
      </c>
      <c r="E952">
        <v>3.1212977999999998</v>
      </c>
      <c r="F952">
        <v>0</v>
      </c>
      <c r="G952">
        <v>0</v>
      </c>
      <c r="H952">
        <v>0.0035093510399999998</v>
      </c>
      <c r="I952" t="s">
        <v>137</v>
      </c>
      <c r="J952">
        <v>0.11810316</v>
      </c>
      <c r="K952">
        <v>3.2429103110400002</v>
      </c>
      <c r="L952">
        <v>0.16097458241998566</v>
      </c>
      <c r="M952">
        <v>0.96584749451991403</v>
      </c>
      <c r="N952">
        <v>4.2087578055599142</v>
      </c>
      <c r="O952" t="s">
        <v>90</v>
      </c>
      <c r="P952">
        <v>0</v>
      </c>
      <c r="Q952" t="s">
        <v>90</v>
      </c>
      <c r="R952">
        <v>0</v>
      </c>
      <c r="S952" t="s">
        <v>90</v>
      </c>
      <c r="T952">
        <v>0</v>
      </c>
      <c r="U952">
        <v>4.2087578055599142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31.86</v>
      </c>
      <c r="AB952">
        <v>1</v>
      </c>
      <c r="AC952">
        <v>0.10</v>
      </c>
      <c r="AD952">
        <v>0.10389195236953569</v>
      </c>
      <c r="AE952">
        <v>5400</v>
      </c>
      <c r="AF952">
        <v>200000</v>
      </c>
      <c r="AG952">
        <v>16666.666666666668</v>
      </c>
      <c r="AH952">
        <v>1</v>
      </c>
      <c r="AI952">
        <v>1</v>
      </c>
      <c r="AJ952" t="s">
        <v>136</v>
      </c>
      <c r="AK952" t="s">
        <v>137</v>
      </c>
      <c r="AL952">
        <v>0</v>
      </c>
      <c r="AM952" t="s">
        <v>137</v>
      </c>
      <c r="AN952">
        <v>0</v>
      </c>
    </row>
    <row r="953" spans="1:42" ht="12.75">
      <c r="A953" s="2" t="str">
        <f>HYPERLINK("https://ibp.a2mac1.com/costing(costing:projects/details/8191/process/6975903)","Manufacturing Process")</f>
        <v>Manufacturing Process</v>
      </c>
      <c r="C953">
        <v>6975903</v>
      </c>
      <c r="D953">
        <v>5389436</v>
      </c>
      <c r="E953">
        <v>0.28159354705882356</v>
      </c>
      <c r="F953">
        <v>0</v>
      </c>
      <c r="G953">
        <v>0</v>
      </c>
      <c r="H953">
        <v>0.00030665684705882351</v>
      </c>
      <c r="I953" t="s">
        <v>137</v>
      </c>
      <c r="J953">
        <v>0.010320182352941177</v>
      </c>
      <c r="K953">
        <v>0.29222038625882352</v>
      </c>
      <c r="L953">
        <v>0.012773218110844531</v>
      </c>
      <c r="M953">
        <v>0.076639308665067185</v>
      </c>
      <c r="N953">
        <v>0.3688596949238907</v>
      </c>
      <c r="O953" t="s">
        <v>138</v>
      </c>
      <c r="P953">
        <v>0.017533223175529411</v>
      </c>
      <c r="Q953" t="s">
        <v>138</v>
      </c>
      <c r="R953">
        <v>0.0045983585199040316</v>
      </c>
      <c r="S953" t="s">
        <v>139</v>
      </c>
      <c r="T953">
        <v>0.044263163390866889</v>
      </c>
      <c r="U953">
        <v>0.43525444001019103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2.16</v>
      </c>
      <c r="AB953">
        <v>1</v>
      </c>
      <c r="AC953">
        <v>0.10</v>
      </c>
      <c r="AD953">
        <v>0.10389195236953569</v>
      </c>
      <c r="AE953">
        <v>5400</v>
      </c>
      <c r="AF953">
        <v>200000</v>
      </c>
      <c r="AG953">
        <v>16666.666666666668</v>
      </c>
      <c r="AH953">
        <v>1</v>
      </c>
      <c r="AI953">
        <v>1</v>
      </c>
      <c r="AJ953" t="s">
        <v>136</v>
      </c>
      <c r="AK953" t="s">
        <v>137</v>
      </c>
      <c r="AL953">
        <v>0</v>
      </c>
      <c r="AM953" t="s">
        <v>137</v>
      </c>
      <c r="AN953">
        <v>0</v>
      </c>
    </row>
    <row r="954" spans="1:42" ht="12.75">
      <c r="A954" s="2" t="str">
        <f>HYPERLINK("https://ibp.a2mac1.com/costing(costing:projects/details/8191/process/6975303)","Assembly")</f>
        <v>Assembly</v>
      </c>
      <c r="C954">
        <v>6975303</v>
      </c>
      <c r="D954">
        <v>5388240</v>
      </c>
      <c r="E954">
        <v>0</v>
      </c>
      <c r="F954">
        <v>0</v>
      </c>
      <c r="G954">
        <v>0</v>
      </c>
      <c r="H954">
        <v>0</v>
      </c>
      <c r="I954" t="s">
        <v>137</v>
      </c>
      <c r="J954">
        <v>0</v>
      </c>
      <c r="K954">
        <v>0</v>
      </c>
      <c r="L954">
        <v>0.19662147150774253</v>
      </c>
      <c r="M954">
        <v>1.1797288290464552</v>
      </c>
      <c r="N954">
        <v>1.1797288290464552</v>
      </c>
      <c r="O954" t="s">
        <v>90</v>
      </c>
      <c r="P954">
        <v>0</v>
      </c>
      <c r="Q954" t="s">
        <v>90</v>
      </c>
      <c r="R954">
        <v>0</v>
      </c>
      <c r="S954" t="s">
        <v>90</v>
      </c>
      <c r="T954">
        <v>0</v>
      </c>
      <c r="U954">
        <v>1.1797288290464552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150</v>
      </c>
      <c r="AB954">
        <v>1</v>
      </c>
      <c r="AC954">
        <v>1.99</v>
      </c>
      <c r="AD954">
        <v>1.9992159937279499</v>
      </c>
      <c r="AE954">
        <v>1800</v>
      </c>
      <c r="AF954">
        <v>200000</v>
      </c>
      <c r="AG954">
        <v>10000</v>
      </c>
      <c r="AH954">
        <v>1</v>
      </c>
      <c r="AI954">
        <v>1</v>
      </c>
      <c r="AJ954" t="s">
        <v>79</v>
      </c>
      <c r="AK954" t="s">
        <v>137</v>
      </c>
      <c r="AL954">
        <v>0</v>
      </c>
      <c r="AM954" t="s">
        <v>137</v>
      </c>
      <c r="AN954">
        <v>0</v>
      </c>
      <c r="AP954">
        <v>0</v>
      </c>
    </row>
    <row r="955" spans="1:42" ht="12.75">
      <c r="A955" s="2" t="str">
        <f>HYPERLINK("https://ibp.a2mac1.com/costing(costing:projects/details/8191/process/6975493)","Automated Process")</f>
        <v>Automated Process</v>
      </c>
      <c r="C955">
        <v>6975493</v>
      </c>
      <c r="D955">
        <v>5388576</v>
      </c>
      <c r="E955">
        <v>1.280710494</v>
      </c>
      <c r="F955">
        <v>0</v>
      </c>
      <c r="G955">
        <v>0</v>
      </c>
      <c r="H955">
        <v>0.0064966366913684209</v>
      </c>
      <c r="I955" t="s">
        <v>137</v>
      </c>
      <c r="J955">
        <v>0.044937210315789476</v>
      </c>
      <c r="K955">
        <v>1.3321443410071578</v>
      </c>
      <c r="L955">
        <v>0.056149830143713352</v>
      </c>
      <c r="M955">
        <v>0.3368989808622801</v>
      </c>
      <c r="N955">
        <v>1.669043321869438</v>
      </c>
      <c r="O955" t="s">
        <v>90</v>
      </c>
      <c r="P955">
        <v>0</v>
      </c>
      <c r="Q955" t="s">
        <v>90</v>
      </c>
      <c r="R955">
        <v>0</v>
      </c>
      <c r="S955" t="s">
        <v>90</v>
      </c>
      <c r="T955">
        <v>0</v>
      </c>
      <c r="U955">
        <v>1.669043321869438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60</v>
      </c>
      <c r="AB955">
        <v>1</v>
      </c>
      <c r="AC955">
        <v>0.50</v>
      </c>
      <c r="AD955">
        <v>0.50345253019720215</v>
      </c>
      <c r="AE955">
        <v>3256.20</v>
      </c>
      <c r="AF955">
        <v>200000</v>
      </c>
      <c r="AG955">
        <v>16666.666666666668</v>
      </c>
      <c r="AH955">
        <v>1</v>
      </c>
      <c r="AI955">
        <v>1</v>
      </c>
      <c r="AJ955" t="s">
        <v>136</v>
      </c>
      <c r="AK955" t="s">
        <v>137</v>
      </c>
      <c r="AL955">
        <v>0</v>
      </c>
      <c r="AM955" t="s">
        <v>137</v>
      </c>
      <c r="AN955">
        <v>0</v>
      </c>
    </row>
    <row r="956" spans="1:42" ht="12.75">
      <c r="A956" s="2" t="str">
        <f>HYPERLINK("https://ibp.a2mac1.com/costing(costing:projects/details/8191/process/6975494)","Automated Process")</f>
        <v>Automated Process</v>
      </c>
      <c r="C956">
        <v>6975494</v>
      </c>
      <c r="D956">
        <v>5388577</v>
      </c>
      <c r="E956">
        <v>0.64818885599999998</v>
      </c>
      <c r="F956">
        <v>0</v>
      </c>
      <c r="G956">
        <v>0</v>
      </c>
      <c r="H956">
        <v>0.0032880557507368423</v>
      </c>
      <c r="I956" t="s">
        <v>137</v>
      </c>
      <c r="J956">
        <v>0.022743468631578948</v>
      </c>
      <c r="K956">
        <v>0.6742203803823158</v>
      </c>
      <c r="L956">
        <v>0.32025337792144193</v>
      </c>
      <c r="M956">
        <v>1.9215202675286518</v>
      </c>
      <c r="N956">
        <v>2.5957406479109677</v>
      </c>
      <c r="O956" t="s">
        <v>90</v>
      </c>
      <c r="P956">
        <v>0</v>
      </c>
      <c r="Q956" t="s">
        <v>90</v>
      </c>
      <c r="R956">
        <v>0</v>
      </c>
      <c r="S956" t="s">
        <v>90</v>
      </c>
      <c r="T956">
        <v>0</v>
      </c>
      <c r="U956">
        <v>2.5957406479109677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180</v>
      </c>
      <c r="AB956">
        <v>1</v>
      </c>
      <c r="AC956">
        <v>0.50</v>
      </c>
      <c r="AD956">
        <v>0.50345253019720215</v>
      </c>
      <c r="AE956">
        <v>10800</v>
      </c>
      <c r="AF956">
        <v>200000</v>
      </c>
      <c r="AG956">
        <v>16666.666666666668</v>
      </c>
      <c r="AH956">
        <v>1</v>
      </c>
      <c r="AI956">
        <v>1</v>
      </c>
      <c r="AJ956" t="s">
        <v>136</v>
      </c>
      <c r="AK956" t="s">
        <v>137</v>
      </c>
      <c r="AL956">
        <v>0</v>
      </c>
      <c r="AM956" t="s">
        <v>137</v>
      </c>
      <c r="AN956">
        <v>0</v>
      </c>
    </row>
    <row r="957" spans="1:42" ht="12.75">
      <c r="A957" s="2" t="str">
        <f>HYPERLINK("https://ibp.a2mac1.com/costing(costing:projects/details/8191/process/6975495)","Automated Process")</f>
        <v>Automated Process</v>
      </c>
      <c r="C957">
        <v>6975495</v>
      </c>
      <c r="D957">
        <v>5388579</v>
      </c>
      <c r="E957">
        <v>0.38761138499999997</v>
      </c>
      <c r="F957">
        <v>0</v>
      </c>
      <c r="G957">
        <v>0</v>
      </c>
      <c r="H957">
        <v>0.0019662291810526315</v>
      </c>
      <c r="I957" t="s">
        <v>137</v>
      </c>
      <c r="J957">
        <v>0.013600399473684211</v>
      </c>
      <c r="K957">
        <v>0.40317801365473682</v>
      </c>
      <c r="L957">
        <v>0.016957948710680286</v>
      </c>
      <c r="M957">
        <v>0.10174769226408172</v>
      </c>
      <c r="N957">
        <v>0.50492570591881858</v>
      </c>
      <c r="O957" t="s">
        <v>90</v>
      </c>
      <c r="P957">
        <v>0</v>
      </c>
      <c r="Q957" t="s">
        <v>90</v>
      </c>
      <c r="R957">
        <v>0</v>
      </c>
      <c r="S957" t="s">
        <v>90</v>
      </c>
      <c r="T957">
        <v>0</v>
      </c>
      <c r="U957">
        <v>0.50492570591881858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60</v>
      </c>
      <c r="AB957">
        <v>1</v>
      </c>
      <c r="AC957">
        <v>0.50</v>
      </c>
      <c r="AD957">
        <v>0.50345253019720215</v>
      </c>
      <c r="AE957">
        <v>985.50</v>
      </c>
      <c r="AF957">
        <v>200000</v>
      </c>
      <c r="AG957">
        <v>16666.666666666668</v>
      </c>
      <c r="AH957">
        <v>1</v>
      </c>
      <c r="AI957">
        <v>1</v>
      </c>
      <c r="AJ957" t="s">
        <v>136</v>
      </c>
      <c r="AK957" t="s">
        <v>137</v>
      </c>
      <c r="AL957">
        <v>0</v>
      </c>
      <c r="AM957" t="s">
        <v>137</v>
      </c>
      <c r="AN957">
        <v>0</v>
      </c>
    </row>
    <row r="958" spans="1:42" ht="12.75">
      <c r="A958" s="2" t="str">
        <f>HYPERLINK("https://ibp.a2mac1.com/costing(costing:projects/details/8191/process/6975496)","Automated Process")</f>
        <v>Automated Process</v>
      </c>
      <c r="C958">
        <v>6975496</v>
      </c>
      <c r="D958">
        <v>5388580</v>
      </c>
      <c r="E958">
        <v>0.33026613900000001</v>
      </c>
      <c r="F958">
        <v>0</v>
      </c>
      <c r="G958">
        <v>0</v>
      </c>
      <c r="H958">
        <v>0.0016753350008421053</v>
      </c>
      <c r="I958" t="s">
        <v>137</v>
      </c>
      <c r="J958">
        <v>0.011588285578947368</v>
      </c>
      <c r="K958">
        <v>0.34352975957978948</v>
      </c>
      <c r="L958">
        <v>0.014447132592212371</v>
      </c>
      <c r="M958">
        <v>0.086682795553274225</v>
      </c>
      <c r="N958">
        <v>0.43021255513306367</v>
      </c>
      <c r="O958" t="s">
        <v>138</v>
      </c>
      <c r="P958">
        <v>0.020611785574787368</v>
      </c>
      <c r="Q958" t="s">
        <v>138</v>
      </c>
      <c r="R958">
        <v>0.0052009677331964531</v>
      </c>
      <c r="S958" t="s">
        <v>139</v>
      </c>
      <c r="T958">
        <v>0.051625506615967647</v>
      </c>
      <c r="U958">
        <v>0.50765081505701515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60</v>
      </c>
      <c r="AB958">
        <v>1</v>
      </c>
      <c r="AC958">
        <v>0.50</v>
      </c>
      <c r="AD958">
        <v>0.50345253019720215</v>
      </c>
      <c r="AE958">
        <v>839.70</v>
      </c>
      <c r="AF958">
        <v>200000</v>
      </c>
      <c r="AG958">
        <v>16666.666666666668</v>
      </c>
      <c r="AH958">
        <v>1</v>
      </c>
      <c r="AI958">
        <v>1</v>
      </c>
      <c r="AJ958" t="s">
        <v>136</v>
      </c>
      <c r="AK958" t="s">
        <v>137</v>
      </c>
      <c r="AL958">
        <v>0</v>
      </c>
      <c r="AM958" t="s">
        <v>137</v>
      </c>
      <c r="AN958">
        <v>0</v>
      </c>
    </row>
    <row r="959" spans="1:42" ht="12.75">
      <c r="A959" s="2" t="str">
        <f>HYPERLINK("https://ibp.a2mac1.com/costing(costing:projects/details/8191/process/6975730)","Injection molding")</f>
        <v>Injection molding</v>
      </c>
      <c r="B959" t="s">
        <v>4715</v>
      </c>
      <c r="C959">
        <v>6975730</v>
      </c>
      <c r="D959">
        <v>5388903</v>
      </c>
      <c r="E959">
        <v>0.074641055999999997</v>
      </c>
      <c r="F959">
        <v>0</v>
      </c>
      <c r="G959">
        <v>0</v>
      </c>
      <c r="H959">
        <v>0.00037863031915789475</v>
      </c>
      <c r="I959" t="s">
        <v>137</v>
      </c>
      <c r="J959">
        <v>0.0026189844210526315</v>
      </c>
      <c r="K959">
        <v>0.077638670740210525</v>
      </c>
      <c r="L959">
        <v>0.0014390502443481438</v>
      </c>
      <c r="M959">
        <v>0.0086343014660888624</v>
      </c>
      <c r="N959">
        <v>0.086272972206299384</v>
      </c>
      <c r="O959" t="s">
        <v>138</v>
      </c>
      <c r="P959">
        <v>0.0046583202444126313</v>
      </c>
      <c r="Q959" t="s">
        <v>138</v>
      </c>
      <c r="R959">
        <v>0.0005180580879653318</v>
      </c>
      <c r="S959" t="s">
        <v>139</v>
      </c>
      <c r="T959">
        <v>0.010352756664755927</v>
      </c>
      <c r="U959">
        <v>0.10180210720343327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60</v>
      </c>
      <c r="AB959">
        <v>1</v>
      </c>
      <c r="AC959">
        <v>0.50</v>
      </c>
      <c r="AD959">
        <v>0.50345253019720215</v>
      </c>
      <c r="AE959">
        <v>83.70</v>
      </c>
      <c r="AF959">
        <v>200000</v>
      </c>
      <c r="AG959">
        <v>16666.666666666668</v>
      </c>
      <c r="AH959">
        <v>1</v>
      </c>
      <c r="AI959">
        <v>1</v>
      </c>
      <c r="AJ959" t="s">
        <v>136</v>
      </c>
      <c r="AK959" t="s">
        <v>137</v>
      </c>
      <c r="AL959">
        <v>0</v>
      </c>
      <c r="AM959" t="s">
        <v>137</v>
      </c>
      <c r="AN959">
        <v>0</v>
      </c>
    </row>
    <row r="960" spans="1:42" ht="12.75">
      <c r="A960" s="2" t="str">
        <f>HYPERLINK("https://ibp.a2mac1.com/costing(costing:projects/details/8191/process/6975731)","Injection molding")</f>
        <v>Injection molding</v>
      </c>
      <c r="C960">
        <v>6975731</v>
      </c>
      <c r="D960">
        <v>5388904</v>
      </c>
      <c r="E960">
        <v>0.21731213610386049</v>
      </c>
      <c r="F960">
        <v>0</v>
      </c>
      <c r="G960">
        <v>0</v>
      </c>
      <c r="H960">
        <v>0.00044810231988837119</v>
      </c>
      <c r="I960" t="s">
        <v>137</v>
      </c>
      <c r="J960">
        <v>0.0076133889301422284</v>
      </c>
      <c r="K960">
        <v>0.2253736273538911</v>
      </c>
      <c r="L960">
        <v>0.012574065505521207</v>
      </c>
      <c r="M960">
        <v>0.075444393033127249</v>
      </c>
      <c r="N960">
        <v>0.30081802038701833</v>
      </c>
      <c r="O960" t="s">
        <v>138</v>
      </c>
      <c r="P960">
        <v>0.013522417641233466</v>
      </c>
      <c r="Q960" t="s">
        <v>138</v>
      </c>
      <c r="R960">
        <v>0.0045266635819876345</v>
      </c>
      <c r="S960" t="s">
        <v>139</v>
      </c>
      <c r="T960">
        <v>0.036098162446442199</v>
      </c>
      <c r="U960">
        <v>0.35496526405668166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26.80114</v>
      </c>
      <c r="AB960">
        <v>1</v>
      </c>
      <c r="AC960">
        <v>0.10</v>
      </c>
      <c r="AD960">
        <v>0.20557651238448796</v>
      </c>
      <c r="AE960">
        <v>7200</v>
      </c>
      <c r="AF960">
        <v>200000</v>
      </c>
      <c r="AG960">
        <v>16666.666666666668</v>
      </c>
      <c r="AH960">
        <v>1</v>
      </c>
      <c r="AI960">
        <v>1</v>
      </c>
      <c r="AJ960" t="s">
        <v>136</v>
      </c>
      <c r="AK960" t="s">
        <v>137</v>
      </c>
      <c r="AL960">
        <v>0</v>
      </c>
      <c r="AM960" t="s">
        <v>137</v>
      </c>
      <c r="AN960">
        <v>0</v>
      </c>
    </row>
    <row r="961" spans="1:42" ht="12.75">
      <c r="A961" s="2" t="str">
        <f>HYPERLINK("https://ibp.a2mac1.com/costing(costing:projects/details/8191/process/6975732)","Handling/Visual Inspection/Packaging")</f>
        <v>Handling/Visual Inspection/Packaging</v>
      </c>
      <c r="C961">
        <v>6975732</v>
      </c>
      <c r="D961">
        <v>5388904</v>
      </c>
      <c r="E961">
        <v>0</v>
      </c>
      <c r="F961">
        <v>0</v>
      </c>
      <c r="G961">
        <v>0</v>
      </c>
      <c r="H961">
        <v>0</v>
      </c>
      <c r="I961" t="s">
        <v>137</v>
      </c>
      <c r="J961">
        <v>0</v>
      </c>
      <c r="K961">
        <v>0</v>
      </c>
      <c r="L961">
        <v>0.0086216394843006</v>
      </c>
      <c r="M961">
        <v>0.0517298369058036</v>
      </c>
      <c r="N961">
        <v>0.0517298369058036</v>
      </c>
      <c r="O961" t="s">
        <v>138</v>
      </c>
      <c r="P961">
        <v>0</v>
      </c>
      <c r="Q961" t="s">
        <v>138</v>
      </c>
      <c r="R961">
        <v>0.0031037902143482162</v>
      </c>
      <c r="S961" t="s">
        <v>139</v>
      </c>
      <c r="T961">
        <v>0.0062075804286964324</v>
      </c>
      <c r="U961">
        <v>0.061041207548848252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30</v>
      </c>
      <c r="AB961">
        <v>1</v>
      </c>
      <c r="AC961">
        <v>0.10</v>
      </c>
      <c r="AD961">
        <v>0.10389195236953569</v>
      </c>
      <c r="AE961">
        <v>900</v>
      </c>
      <c r="AF961">
        <v>200000</v>
      </c>
      <c r="AG961">
        <v>16666.666666666668</v>
      </c>
      <c r="AH961">
        <v>1</v>
      </c>
      <c r="AI961">
        <v>1</v>
      </c>
      <c r="AJ961" t="s">
        <v>136</v>
      </c>
      <c r="AK961" t="s">
        <v>137</v>
      </c>
      <c r="AL961">
        <v>0</v>
      </c>
      <c r="AM961" t="s">
        <v>137</v>
      </c>
      <c r="AN961">
        <v>0</v>
      </c>
    </row>
    <row r="962" spans="1:42" ht="12.75">
      <c r="A962" s="2" t="str">
        <f>HYPERLINK("https://ibp.a2mac1.com/costing(costing:projects/details/8191/process/6975733)","Injection molding")</f>
        <v>Injection molding</v>
      </c>
      <c r="C962">
        <v>6975733</v>
      </c>
      <c r="D962">
        <v>5388906</v>
      </c>
      <c r="E962">
        <v>0.20263788362206139</v>
      </c>
      <c r="F962">
        <v>0</v>
      </c>
      <c r="G962">
        <v>0</v>
      </c>
      <c r="H962">
        <v>0.00041743404026144647</v>
      </c>
      <c r="I962" t="s">
        <v>137</v>
      </c>
      <c r="J962">
        <v>0.0070923259267721486</v>
      </c>
      <c r="K962">
        <v>0.21014764358909496</v>
      </c>
      <c r="L962">
        <v>0.007899167688106749</v>
      </c>
      <c r="M962">
        <v>0.047395006128640491</v>
      </c>
      <c r="N962">
        <v>0.25754264971773544</v>
      </c>
      <c r="O962" t="s">
        <v>138</v>
      </c>
      <c r="P962">
        <v>0.012608858615345699</v>
      </c>
      <c r="Q962" t="s">
        <v>138</v>
      </c>
      <c r="R962">
        <v>0.0028437003677184293</v>
      </c>
      <c r="S962" t="s">
        <v>139</v>
      </c>
      <c r="T962">
        <v>0.030905117966128257</v>
      </c>
      <c r="U962">
        <v>0.30390032666692784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17.712309999999999</v>
      </c>
      <c r="AB962">
        <v>1</v>
      </c>
      <c r="AC962">
        <v>0.10</v>
      </c>
      <c r="AD962">
        <v>0.20557651238448796</v>
      </c>
      <c r="AE962">
        <v>7200</v>
      </c>
      <c r="AF962">
        <v>200000</v>
      </c>
      <c r="AG962">
        <v>16666.666666666668</v>
      </c>
      <c r="AH962">
        <v>1</v>
      </c>
      <c r="AI962">
        <v>1</v>
      </c>
      <c r="AJ962" t="s">
        <v>136</v>
      </c>
      <c r="AK962" t="s">
        <v>137</v>
      </c>
      <c r="AL962">
        <v>0</v>
      </c>
      <c r="AM962" t="s">
        <v>137</v>
      </c>
      <c r="AN962">
        <v>0</v>
      </c>
    </row>
    <row r="963" spans="1:42" ht="12.75">
      <c r="A963" s="2" t="str">
        <f>HYPERLINK("https://ibp.a2mac1.com/costing(costing:projects/details/8191/process/6975734)","Handling/Visual Inspection/Packaging")</f>
        <v>Handling/Visual Inspection/Packaging</v>
      </c>
      <c r="C963">
        <v>6975734</v>
      </c>
      <c r="D963">
        <v>5388906</v>
      </c>
      <c r="E963">
        <v>0</v>
      </c>
      <c r="F963">
        <v>0</v>
      </c>
      <c r="G963">
        <v>0</v>
      </c>
      <c r="H963">
        <v>0</v>
      </c>
      <c r="I963" t="s">
        <v>137</v>
      </c>
      <c r="J963">
        <v>0</v>
      </c>
      <c r="K963">
        <v>0</v>
      </c>
      <c r="L963">
        <v>0.0086216394843006</v>
      </c>
      <c r="M963">
        <v>0.0517298369058036</v>
      </c>
      <c r="N963">
        <v>0.0517298369058036</v>
      </c>
      <c r="O963" t="s">
        <v>138</v>
      </c>
      <c r="P963">
        <v>0</v>
      </c>
      <c r="Q963" t="s">
        <v>138</v>
      </c>
      <c r="R963">
        <v>0.0031037902143482162</v>
      </c>
      <c r="S963" t="s">
        <v>139</v>
      </c>
      <c r="T963">
        <v>0.0062075804286964324</v>
      </c>
      <c r="U963">
        <v>0.061041207548848252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30</v>
      </c>
      <c r="AB963">
        <v>1</v>
      </c>
      <c r="AC963">
        <v>0.10</v>
      </c>
      <c r="AD963">
        <v>0.10389195236953569</v>
      </c>
      <c r="AE963">
        <v>900</v>
      </c>
      <c r="AF963">
        <v>200000</v>
      </c>
      <c r="AG963">
        <v>16666.666666666668</v>
      </c>
      <c r="AH963">
        <v>1</v>
      </c>
      <c r="AI963">
        <v>1</v>
      </c>
      <c r="AJ963" t="s">
        <v>136</v>
      </c>
      <c r="AK963" t="s">
        <v>137</v>
      </c>
      <c r="AL963">
        <v>0</v>
      </c>
      <c r="AM963" t="s">
        <v>137</v>
      </c>
      <c r="AN963">
        <v>0</v>
      </c>
    </row>
    <row r="964" spans="1:42" ht="12.75">
      <c r="A964" s="2" t="str">
        <f>HYPERLINK("https://ibp.a2mac1.com/costing(costing:projects/details/8191/process/6975735)","Injection molding")</f>
        <v>Injection molding</v>
      </c>
      <c r="C964">
        <v>6975735</v>
      </c>
      <c r="D964">
        <v>5388907</v>
      </c>
      <c r="E964">
        <v>0.41690611150191759</v>
      </c>
      <c r="F964">
        <v>0</v>
      </c>
      <c r="G964">
        <v>0</v>
      </c>
      <c r="H964">
        <v>0.00085966940958310558</v>
      </c>
      <c r="I964" t="s">
        <v>137</v>
      </c>
      <c r="J964">
        <v>0.014606033657965384</v>
      </c>
      <c r="K964">
        <v>0.43237181456946611</v>
      </c>
      <c r="L964">
        <v>0.012426812663343759</v>
      </c>
      <c r="M964">
        <v>0.074560875980062558</v>
      </c>
      <c r="N964">
        <v>0.50693269054952861</v>
      </c>
      <c r="O964" t="s">
        <v>138</v>
      </c>
      <c r="P964">
        <v>0.025942308874167964</v>
      </c>
      <c r="Q964" t="s">
        <v>138</v>
      </c>
      <c r="R964">
        <v>0.0044736525588037531</v>
      </c>
      <c r="S964" t="s">
        <v>139</v>
      </c>
      <c r="T964">
        <v>0.060831922865943439</v>
      </c>
      <c r="U964">
        <v>0.59818057484844378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19.276399999999999</v>
      </c>
      <c r="AB964">
        <v>1</v>
      </c>
      <c r="AC964">
        <v>0.10</v>
      </c>
      <c r="AD964">
        <v>0.20557651238448796</v>
      </c>
      <c r="AE964">
        <v>7200</v>
      </c>
      <c r="AF964">
        <v>200000</v>
      </c>
      <c r="AG964">
        <v>16666.666666666668</v>
      </c>
      <c r="AH964">
        <v>1</v>
      </c>
      <c r="AI964">
        <v>1</v>
      </c>
      <c r="AJ964" t="s">
        <v>136</v>
      </c>
      <c r="AK964" t="s">
        <v>137</v>
      </c>
      <c r="AL964">
        <v>0</v>
      </c>
      <c r="AM964" t="s">
        <v>137</v>
      </c>
      <c r="AN964">
        <v>0</v>
      </c>
    </row>
    <row r="965" spans="1:42" ht="12.75">
      <c r="A965" s="2" t="str">
        <f>HYPERLINK("https://ibp.a2mac1.com/costing(costing:projects/details/8191/process/6975736)","Handling/Visual Inspection/Packaging")</f>
        <v>Handling/Visual Inspection/Packaging</v>
      </c>
      <c r="C965">
        <v>6975736</v>
      </c>
      <c r="D965">
        <v>5388907</v>
      </c>
      <c r="E965">
        <v>0</v>
      </c>
      <c r="F965">
        <v>0</v>
      </c>
      <c r="G965">
        <v>0</v>
      </c>
      <c r="H965">
        <v>0</v>
      </c>
      <c r="I965" t="s">
        <v>137</v>
      </c>
      <c r="J965">
        <v>0</v>
      </c>
      <c r="K965">
        <v>0</v>
      </c>
      <c r="L965">
        <v>0.0086216394843006</v>
      </c>
      <c r="M965">
        <v>0.0517298369058036</v>
      </c>
      <c r="N965">
        <v>0.0517298369058036</v>
      </c>
      <c r="O965" t="s">
        <v>138</v>
      </c>
      <c r="P965">
        <v>0</v>
      </c>
      <c r="Q965" t="s">
        <v>138</v>
      </c>
      <c r="R965">
        <v>0.0031037902143482162</v>
      </c>
      <c r="S965" t="s">
        <v>139</v>
      </c>
      <c r="T965">
        <v>0.0062075804286964324</v>
      </c>
      <c r="U965">
        <v>0.061041207548848252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30</v>
      </c>
      <c r="AB965">
        <v>1</v>
      </c>
      <c r="AC965">
        <v>0.10</v>
      </c>
      <c r="AD965">
        <v>0.10389195236953569</v>
      </c>
      <c r="AE965">
        <v>900</v>
      </c>
      <c r="AF965">
        <v>200000</v>
      </c>
      <c r="AG965">
        <v>16666.666666666668</v>
      </c>
      <c r="AH965">
        <v>1</v>
      </c>
      <c r="AI965">
        <v>1</v>
      </c>
      <c r="AJ965" t="s">
        <v>136</v>
      </c>
      <c r="AK965" t="s">
        <v>137</v>
      </c>
      <c r="AL965">
        <v>0</v>
      </c>
      <c r="AM965" t="s">
        <v>137</v>
      </c>
      <c r="AN965">
        <v>0</v>
      </c>
    </row>
    <row r="966" spans="1:42" ht="12.75">
      <c r="A966" s="2" t="str">
        <f>HYPERLINK("https://ibp.a2mac1.com/costing(costing:projects/details/8191/process/6975737)","Injection molding")</f>
        <v>Injection molding</v>
      </c>
      <c r="C966">
        <v>6975737</v>
      </c>
      <c r="D966">
        <v>5388908</v>
      </c>
      <c r="E966">
        <v>0.17250239910609633</v>
      </c>
      <c r="F966">
        <v>0</v>
      </c>
      <c r="G966">
        <v>0</v>
      </c>
      <c r="H966">
        <v>0.00035570367404058785</v>
      </c>
      <c r="I966" t="s">
        <v>137</v>
      </c>
      <c r="J966">
        <v>0.0060435090249614442</v>
      </c>
      <c r="K966">
        <v>0.17890161180509837</v>
      </c>
      <c r="L966">
        <v>0.011044225074770136</v>
      </c>
      <c r="M966">
        <v>0.066265350448620808</v>
      </c>
      <c r="N966">
        <v>0.24516696225371917</v>
      </c>
      <c r="O966" t="s">
        <v>138</v>
      </c>
      <c r="P966">
        <v>0.010734096708305902</v>
      </c>
      <c r="Q966" t="s">
        <v>138</v>
      </c>
      <c r="R966">
        <v>0.0039759210269172491</v>
      </c>
      <c r="S966" t="s">
        <v>139</v>
      </c>
      <c r="T966">
        <v>0.029420035470446301</v>
      </c>
      <c r="U966">
        <v>0.28929701545938863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28.62304</v>
      </c>
      <c r="AB966">
        <v>1</v>
      </c>
      <c r="AC966">
        <v>0.10</v>
      </c>
      <c r="AD966">
        <v>0.20557651238448796</v>
      </c>
      <c r="AE966">
        <v>7200</v>
      </c>
      <c r="AF966">
        <v>200000</v>
      </c>
      <c r="AG966">
        <v>16666.666666666668</v>
      </c>
      <c r="AH966">
        <v>1</v>
      </c>
      <c r="AI966">
        <v>1</v>
      </c>
      <c r="AJ966" t="s">
        <v>136</v>
      </c>
      <c r="AK966" t="s">
        <v>137</v>
      </c>
      <c r="AL966">
        <v>0</v>
      </c>
      <c r="AM966" t="s">
        <v>137</v>
      </c>
      <c r="AN966">
        <v>0</v>
      </c>
    </row>
    <row r="967" spans="1:42" ht="12.75">
      <c r="A967" s="2" t="str">
        <f>HYPERLINK("https://ibp.a2mac1.com/costing(costing:projects/details/8191/process/6975738)","Handling/Visual Inspection/Packaging")</f>
        <v>Handling/Visual Inspection/Packaging</v>
      </c>
      <c r="C967">
        <v>6975738</v>
      </c>
      <c r="D967">
        <v>5388908</v>
      </c>
      <c r="E967">
        <v>0</v>
      </c>
      <c r="F967">
        <v>0</v>
      </c>
      <c r="G967">
        <v>0</v>
      </c>
      <c r="H967">
        <v>0</v>
      </c>
      <c r="I967" t="s">
        <v>137</v>
      </c>
      <c r="J967">
        <v>0</v>
      </c>
      <c r="K967">
        <v>0</v>
      </c>
      <c r="L967">
        <v>0.0086216394843006</v>
      </c>
      <c r="M967">
        <v>0.0517298369058036</v>
      </c>
      <c r="N967">
        <v>0.0517298369058036</v>
      </c>
      <c r="O967" t="s">
        <v>138</v>
      </c>
      <c r="P967">
        <v>0</v>
      </c>
      <c r="Q967" t="s">
        <v>138</v>
      </c>
      <c r="R967">
        <v>0.0031037902143482162</v>
      </c>
      <c r="S967" t="s">
        <v>139</v>
      </c>
      <c r="T967">
        <v>0.0062075804286964324</v>
      </c>
      <c r="U967">
        <v>0.061041207548848252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30</v>
      </c>
      <c r="AB967">
        <v>1</v>
      </c>
      <c r="AC967">
        <v>0.10</v>
      </c>
      <c r="AD967">
        <v>0.10389195236953569</v>
      </c>
      <c r="AE967">
        <v>900</v>
      </c>
      <c r="AF967">
        <v>200000</v>
      </c>
      <c r="AG967">
        <v>16666.666666666668</v>
      </c>
      <c r="AH967">
        <v>1</v>
      </c>
      <c r="AI967">
        <v>1</v>
      </c>
      <c r="AJ967" t="s">
        <v>136</v>
      </c>
      <c r="AK967" t="s">
        <v>137</v>
      </c>
      <c r="AL967">
        <v>0</v>
      </c>
      <c r="AM967" t="s">
        <v>137</v>
      </c>
      <c r="AN967">
        <v>0</v>
      </c>
    </row>
    <row r="968" spans="1:42" ht="12.75">
      <c r="A968" s="2" t="str">
        <f>HYPERLINK("https://ibp.a2mac1.com/costing(costing:projects/details/8191/process/6975739)","Injection molding")</f>
        <v>Injection molding</v>
      </c>
      <c r="B968" t="s">
        <v>4715</v>
      </c>
      <c r="C968">
        <v>6975739</v>
      </c>
      <c r="D968">
        <v>5388909</v>
      </c>
      <c r="E968">
        <v>0.069825503999999997</v>
      </c>
      <c r="F968">
        <v>0</v>
      </c>
      <c r="G968">
        <v>0</v>
      </c>
      <c r="H968">
        <v>0.00035420255663157896</v>
      </c>
      <c r="I968" t="s">
        <v>137</v>
      </c>
      <c r="J968">
        <v>0.0024500176842105264</v>
      </c>
      <c r="K968">
        <v>0.072629724240842103</v>
      </c>
      <c r="L968">
        <v>0.0013462014932372193</v>
      </c>
      <c r="M968">
        <v>0.0080772089594233158</v>
      </c>
      <c r="N968">
        <v>0.080706933200265424</v>
      </c>
      <c r="O968" t="s">
        <v>138</v>
      </c>
      <c r="P968">
        <v>0.0043577834544505263</v>
      </c>
      <c r="Q968" t="s">
        <v>138</v>
      </c>
      <c r="R968">
        <v>0.00048463253756539891</v>
      </c>
      <c r="S968" t="s">
        <v>139</v>
      </c>
      <c r="T968">
        <v>0.0096848319840318504</v>
      </c>
      <c r="U968">
        <v>0.095234181176313201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60</v>
      </c>
      <c r="AB968">
        <v>1</v>
      </c>
      <c r="AC968">
        <v>0.50</v>
      </c>
      <c r="AD968">
        <v>0.50345253019720215</v>
      </c>
      <c r="AE968">
        <v>78.30</v>
      </c>
      <c r="AF968">
        <v>200000</v>
      </c>
      <c r="AG968">
        <v>16666.666666666668</v>
      </c>
      <c r="AH968">
        <v>1</v>
      </c>
      <c r="AI968">
        <v>1</v>
      </c>
      <c r="AJ968" t="s">
        <v>136</v>
      </c>
      <c r="AK968" t="s">
        <v>137</v>
      </c>
      <c r="AL968">
        <v>0</v>
      </c>
      <c r="AM968" t="s">
        <v>137</v>
      </c>
      <c r="AN968">
        <v>0</v>
      </c>
    </row>
    <row r="969" spans="1:42" ht="12.75">
      <c r="A969" s="2" t="str">
        <f>HYPERLINK("https://ibp.a2mac1.com/costing(costing:projects/details/8191/process/6975740)","Injection molding")</f>
        <v>Injection molding</v>
      </c>
      <c r="B969" t="s">
        <v>4715</v>
      </c>
      <c r="C969">
        <v>6975740</v>
      </c>
      <c r="D969">
        <v>5388910</v>
      </c>
      <c r="E969">
        <v>0.0046909894736842104</v>
      </c>
      <c r="F969">
        <v>0</v>
      </c>
      <c r="G969">
        <v>0</v>
      </c>
      <c r="H969">
        <v>2.3736406736842104E-05</v>
      </c>
      <c r="I969" t="s">
        <v>137</v>
      </c>
      <c r="J969">
        <v>0.00016418463157894737</v>
      </c>
      <c r="K969">
        <v>0.0048789105119999999</v>
      </c>
      <c r="L969">
        <v>9.2835151385610077E-05</v>
      </c>
      <c r="M969">
        <v>0.00055701090831366043</v>
      </c>
      <c r="N969">
        <v>0.0054359214203136604</v>
      </c>
      <c r="O969" t="s">
        <v>138</v>
      </c>
      <c r="P969">
        <v>0.00029273463072</v>
      </c>
      <c r="Q969" t="s">
        <v>138</v>
      </c>
      <c r="R969">
        <v>3.3420654498819631E-05</v>
      </c>
      <c r="S969" t="s">
        <v>139</v>
      </c>
      <c r="T969">
        <v>0.00065231057043763931</v>
      </c>
      <c r="U969">
        <v>0.0064143872759701197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60</v>
      </c>
      <c r="AB969">
        <v>1</v>
      </c>
      <c r="AC969">
        <v>0.50</v>
      </c>
      <c r="AD969">
        <v>0.50345253019720215</v>
      </c>
      <c r="AE969">
        <v>5.40</v>
      </c>
      <c r="AF969">
        <v>200000</v>
      </c>
      <c r="AG969">
        <v>16666.666666666668</v>
      </c>
      <c r="AH969">
        <v>1</v>
      </c>
      <c r="AI969">
        <v>1</v>
      </c>
      <c r="AJ969" t="s">
        <v>136</v>
      </c>
      <c r="AK969" t="s">
        <v>137</v>
      </c>
      <c r="AL969">
        <v>0</v>
      </c>
      <c r="AM969" t="s">
        <v>137</v>
      </c>
      <c r="AN969">
        <v>0</v>
      </c>
    </row>
    <row r="970" spans="1:42" ht="12.75">
      <c r="A970" s="2" t="str">
        <f>HYPERLINK("https://ibp.a2mac1.com/costing(costing:projects/details/8191/process/6975501)","Assembly")</f>
        <v>Assembly</v>
      </c>
      <c r="C970">
        <v>6975501</v>
      </c>
      <c r="D970">
        <v>5388585</v>
      </c>
      <c r="E970">
        <v>0</v>
      </c>
      <c r="F970">
        <v>0</v>
      </c>
      <c r="G970">
        <v>0</v>
      </c>
      <c r="H970">
        <v>0</v>
      </c>
      <c r="I970" t="s">
        <v>90</v>
      </c>
      <c r="J970">
        <v>0</v>
      </c>
      <c r="K970">
        <v>0</v>
      </c>
      <c r="L970">
        <v>0</v>
      </c>
      <c r="M970">
        <v>0.39420764387300394</v>
      </c>
      <c r="N970">
        <v>0.39420764387300394</v>
      </c>
      <c r="O970" t="s">
        <v>90</v>
      </c>
      <c r="P970">
        <v>0</v>
      </c>
      <c r="Q970" t="s">
        <v>90</v>
      </c>
      <c r="R970">
        <v>0</v>
      </c>
      <c r="S970" t="s">
        <v>90</v>
      </c>
      <c r="T970">
        <v>0</v>
      </c>
      <c r="U970">
        <v>0.39420764387300394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60</v>
      </c>
      <c r="AB970">
        <v>1</v>
      </c>
      <c r="AC970">
        <v>1.99</v>
      </c>
      <c r="AD970">
        <v>1.9992159937279499</v>
      </c>
      <c r="AE970">
        <v>1800</v>
      </c>
      <c r="AF970">
        <v>200000</v>
      </c>
      <c r="AG970">
        <v>10000</v>
      </c>
      <c r="AH970">
        <v>1</v>
      </c>
      <c r="AI970">
        <v>1</v>
      </c>
      <c r="AJ970" t="s">
        <v>79</v>
      </c>
      <c r="AK970" t="s">
        <v>90</v>
      </c>
      <c r="AL970">
        <v>0</v>
      </c>
      <c r="AM970" t="s">
        <v>90</v>
      </c>
      <c r="AN970">
        <v>0</v>
      </c>
      <c r="AP970">
        <v>0</v>
      </c>
    </row>
    <row r="971" spans="1:42" ht="12.75">
      <c r="A971" s="2" t="str">
        <f>HYPERLINK("https://ibp.a2mac1.com/costing(costing:projects/details/8191/process/6975497)","Process")</f>
        <v>Process</v>
      </c>
      <c r="C971">
        <v>6975497</v>
      </c>
      <c r="D971">
        <v>5388582</v>
      </c>
      <c r="E971">
        <v>0</v>
      </c>
      <c r="F971">
        <v>0</v>
      </c>
      <c r="G971">
        <v>0</v>
      </c>
      <c r="H971">
        <v>0</v>
      </c>
      <c r="I971" t="s">
        <v>137</v>
      </c>
      <c r="J971">
        <v>0</v>
      </c>
      <c r="K971">
        <v>0</v>
      </c>
      <c r="L971">
        <v>0.10844100670092785</v>
      </c>
      <c r="M971">
        <v>0.65064604020556704</v>
      </c>
      <c r="N971">
        <v>0.65064604020556704</v>
      </c>
      <c r="O971" t="s">
        <v>138</v>
      </c>
      <c r="P971">
        <v>0</v>
      </c>
      <c r="Q971" t="s">
        <v>138</v>
      </c>
      <c r="R971">
        <v>0.039038762412334026</v>
      </c>
      <c r="S971" t="s">
        <v>139</v>
      </c>
      <c r="T971">
        <v>0.078077524824668051</v>
      </c>
      <c r="U971">
        <v>0.76776232744256911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95</v>
      </c>
      <c r="AB971">
        <v>1</v>
      </c>
      <c r="AC971">
        <v>5</v>
      </c>
      <c r="AD971">
        <v>5.0007599939200489</v>
      </c>
      <c r="AE971">
        <v>216</v>
      </c>
      <c r="AF971">
        <v>200000</v>
      </c>
      <c r="AG971">
        <v>16666.666666666668</v>
      </c>
      <c r="AH971">
        <v>1</v>
      </c>
      <c r="AI971">
        <v>1</v>
      </c>
      <c r="AJ971" t="s">
        <v>136</v>
      </c>
      <c r="AK971" t="s">
        <v>137</v>
      </c>
      <c r="AL971">
        <v>0</v>
      </c>
      <c r="AM971" t="s">
        <v>137</v>
      </c>
      <c r="AN971">
        <v>0</v>
      </c>
    </row>
    <row r="972" spans="1:42" ht="12.75">
      <c r="A972" s="2" t="str">
        <f>HYPERLINK("https://ibp.a2mac1.com/costing(costing:projects/details/8191/process/6975498)","Stamping ")</f>
        <v xml:space="preserve">Stamping </v>
      </c>
      <c r="B972" t="s">
        <v>4771</v>
      </c>
      <c r="C972">
        <v>6975498</v>
      </c>
      <c r="D972">
        <v>5388583</v>
      </c>
      <c r="E972">
        <v>0.079468999999999998</v>
      </c>
      <c r="F972">
        <v>0</v>
      </c>
      <c r="G972">
        <v>0</v>
      </c>
      <c r="H972">
        <v>0.0006200328571428572</v>
      </c>
      <c r="I972" t="s">
        <v>137</v>
      </c>
      <c r="J972">
        <v>0.0030565000000000002</v>
      </c>
      <c r="K972">
        <v>0.083145532857142851</v>
      </c>
      <c r="L972">
        <v>0.0002633609256231051</v>
      </c>
      <c r="M972">
        <v>0.0015801655537386306</v>
      </c>
      <c r="N972">
        <v>0.084725698410881484</v>
      </c>
      <c r="O972" t="s">
        <v>138</v>
      </c>
      <c r="P972">
        <v>0.0049887319714285719</v>
      </c>
      <c r="Q972" t="s">
        <v>138</v>
      </c>
      <c r="R972">
        <v>9.4809933224317843E-05</v>
      </c>
      <c r="S972" t="s">
        <v>139</v>
      </c>
      <c r="T972">
        <v>0.010167083809305779</v>
      </c>
      <c r="U972">
        <v>0.099976324124840157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10</v>
      </c>
      <c r="AB972">
        <v>1</v>
      </c>
      <c r="AC972">
        <v>0.50</v>
      </c>
      <c r="AD972">
        <v>0.70499453877469964</v>
      </c>
      <c r="AE972">
        <v>1800</v>
      </c>
      <c r="AF972">
        <v>200000</v>
      </c>
      <c r="AG972">
        <v>16666.666666666668</v>
      </c>
      <c r="AH972">
        <v>1</v>
      </c>
      <c r="AI972">
        <v>1</v>
      </c>
      <c r="AJ972" t="s">
        <v>136</v>
      </c>
      <c r="AK972" t="s">
        <v>137</v>
      </c>
      <c r="AL972">
        <v>0</v>
      </c>
      <c r="AM972" t="s">
        <v>137</v>
      </c>
      <c r="AN972">
        <v>0</v>
      </c>
    </row>
    <row r="973" spans="1:42" ht="12.75">
      <c r="A973" s="2" t="str">
        <f>HYPERLINK("https://ibp.a2mac1.com/costing(costing:projects/details/8191/process/6975500)","Wire Bending")</f>
        <v>Wire Bending</v>
      </c>
      <c r="C973">
        <v>6975500</v>
      </c>
      <c r="D973">
        <v>5388583</v>
      </c>
      <c r="E973">
        <v>0</v>
      </c>
      <c r="F973">
        <v>0</v>
      </c>
      <c r="G973">
        <v>0</v>
      </c>
      <c r="H973">
        <v>0</v>
      </c>
      <c r="I973" t="s">
        <v>137</v>
      </c>
      <c r="J973">
        <v>0</v>
      </c>
      <c r="K973">
        <v>0</v>
      </c>
      <c r="L973">
        <v>0.0036698564783128945</v>
      </c>
      <c r="M973">
        <v>0.022019138869877369</v>
      </c>
      <c r="N973">
        <v>0.022019138869877369</v>
      </c>
      <c r="O973" t="s">
        <v>138</v>
      </c>
      <c r="P973">
        <v>0</v>
      </c>
      <c r="Q973" t="s">
        <v>138</v>
      </c>
      <c r="R973">
        <v>0.001321148332192642</v>
      </c>
      <c r="S973" t="s">
        <v>139</v>
      </c>
      <c r="T973">
        <v>0.0026422966643852839</v>
      </c>
      <c r="U973">
        <v>0.025982583866455293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5</v>
      </c>
      <c r="AB973">
        <v>1</v>
      </c>
      <c r="AC973">
        <v>0.10</v>
      </c>
      <c r="AD973">
        <v>0.20557651238448796</v>
      </c>
      <c r="AE973">
        <v>3600</v>
      </c>
      <c r="AF973">
        <v>200000</v>
      </c>
      <c r="AG973">
        <v>16666.666666666668</v>
      </c>
      <c r="AH973">
        <v>1</v>
      </c>
      <c r="AI973">
        <v>1</v>
      </c>
      <c r="AJ973" t="s">
        <v>136</v>
      </c>
      <c r="AK973" t="s">
        <v>137</v>
      </c>
      <c r="AL973">
        <v>0</v>
      </c>
      <c r="AM973" t="s">
        <v>137</v>
      </c>
      <c r="AN973">
        <v>0</v>
      </c>
    </row>
    <row r="974" spans="1:42" ht="12.75">
      <c r="A974" s="2" t="str">
        <f>HYPERLINK("https://ibp.a2mac1.com/costing(costing:projects/details/8191/process/6975499)","Press fit")</f>
        <v>Press fit</v>
      </c>
      <c r="C974">
        <v>6975499</v>
      </c>
      <c r="D974">
        <v>5388583</v>
      </c>
      <c r="E974">
        <v>0</v>
      </c>
      <c r="F974">
        <v>0</v>
      </c>
      <c r="G974">
        <v>0</v>
      </c>
      <c r="H974">
        <v>0</v>
      </c>
      <c r="I974" t="s">
        <v>137</v>
      </c>
      <c r="J974">
        <v>0</v>
      </c>
      <c r="K974">
        <v>0</v>
      </c>
      <c r="L974">
        <v>0.0061912616210148697</v>
      </c>
      <c r="M974">
        <v>0.037147569726089222</v>
      </c>
      <c r="N974">
        <v>0.037147569726089222</v>
      </c>
      <c r="O974" t="s">
        <v>138</v>
      </c>
      <c r="P974">
        <v>0</v>
      </c>
      <c r="Q974" t="s">
        <v>138</v>
      </c>
      <c r="R974">
        <v>0.0022288541835653532</v>
      </c>
      <c r="S974" t="s">
        <v>139</v>
      </c>
      <c r="T974">
        <v>0.0044577083671307064</v>
      </c>
      <c r="U974">
        <v>0.04383413227678528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15</v>
      </c>
      <c r="AB974">
        <v>1</v>
      </c>
      <c r="AC974">
        <v>0.10</v>
      </c>
      <c r="AD974">
        <v>0.10389195236953569</v>
      </c>
      <c r="AE974">
        <v>180</v>
      </c>
      <c r="AF974">
        <v>200000</v>
      </c>
      <c r="AG974">
        <v>16666.666666666668</v>
      </c>
      <c r="AH974">
        <v>1</v>
      </c>
      <c r="AI974">
        <v>1</v>
      </c>
      <c r="AJ974" t="s">
        <v>136</v>
      </c>
      <c r="AK974" t="s">
        <v>137</v>
      </c>
      <c r="AL974">
        <v>0</v>
      </c>
      <c r="AM974" t="s">
        <v>137</v>
      </c>
      <c r="AN974">
        <v>0</v>
      </c>
    </row>
    <row r="975" spans="1:42" ht="12.75">
      <c r="A975" s="2" t="str">
        <f>HYPERLINK("https://ibp.a2mac1.com/costing(costing:projects/details/8191/process/6975741)","Automated Process")</f>
        <v>Automated Process</v>
      </c>
      <c r="C975">
        <v>6975741</v>
      </c>
      <c r="D975">
        <v>5388914</v>
      </c>
      <c r="E975">
        <v>6.2930900000000003</v>
      </c>
      <c r="F975">
        <v>0</v>
      </c>
      <c r="G975">
        <v>0</v>
      </c>
      <c r="H975">
        <v>0</v>
      </c>
      <c r="I975" t="s">
        <v>90</v>
      </c>
      <c r="J975">
        <v>0</v>
      </c>
      <c r="K975">
        <v>6.2930900000000003</v>
      </c>
      <c r="L975">
        <v>0</v>
      </c>
      <c r="M975">
        <v>3.0582596393789609</v>
      </c>
      <c r="N975">
        <v>9.3513496393789612</v>
      </c>
      <c r="O975" t="s">
        <v>90</v>
      </c>
      <c r="P975">
        <v>0</v>
      </c>
      <c r="Q975" t="s">
        <v>90</v>
      </c>
      <c r="R975">
        <v>0</v>
      </c>
      <c r="S975" t="s">
        <v>90</v>
      </c>
      <c r="T975">
        <v>0</v>
      </c>
      <c r="U975">
        <v>9.3513496393789612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66</v>
      </c>
      <c r="AB975">
        <v>1</v>
      </c>
      <c r="AC975">
        <v>0</v>
      </c>
      <c r="AD975">
        <v>0</v>
      </c>
      <c r="AE975">
        <v>600</v>
      </c>
      <c r="AF975">
        <v>200000</v>
      </c>
      <c r="AG975">
        <v>10000</v>
      </c>
      <c r="AH975">
        <v>1</v>
      </c>
      <c r="AI975">
        <v>1</v>
      </c>
      <c r="AJ975" t="s">
        <v>79</v>
      </c>
      <c r="AK975" t="s">
        <v>90</v>
      </c>
      <c r="AL975">
        <v>0</v>
      </c>
      <c r="AM975" t="s">
        <v>90</v>
      </c>
      <c r="AN975">
        <v>0</v>
      </c>
      <c r="AP975">
        <v>0</v>
      </c>
    </row>
    <row r="976" spans="1:42" ht="12.75">
      <c r="A976" s="2" t="str">
        <f>HYPERLINK("https://ibp.a2mac1.com/costing(costing:projects/details/8191/process/6975502)","Automated Process")</f>
        <v>Automated Process</v>
      </c>
      <c r="C976">
        <v>6975502</v>
      </c>
      <c r="D976">
        <v>5388587</v>
      </c>
      <c r="E976">
        <v>0.73074511399999997</v>
      </c>
      <c r="F976">
        <v>0</v>
      </c>
      <c r="G976">
        <v>0</v>
      </c>
      <c r="H976">
        <v>0.0037048184429473684</v>
      </c>
      <c r="I976" t="s">
        <v>137</v>
      </c>
      <c r="J976">
        <v>0.025626214526315791</v>
      </c>
      <c r="K976">
        <v>0.76007614696926318</v>
      </c>
      <c r="L976">
        <v>0.0333747051768606</v>
      </c>
      <c r="M976">
        <v>0.20024823106116363</v>
      </c>
      <c r="N976">
        <v>0.96032437803042681</v>
      </c>
      <c r="O976" t="s">
        <v>138</v>
      </c>
      <c r="P976">
        <v>0.045604568818155791</v>
      </c>
      <c r="Q976" t="s">
        <v>138</v>
      </c>
      <c r="R976">
        <v>0.012014893863669817</v>
      </c>
      <c r="S976" t="s">
        <v>139</v>
      </c>
      <c r="T976">
        <v>0.11523892536365121</v>
      </c>
      <c r="U976">
        <v>1.1331827660759035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60</v>
      </c>
      <c r="AB976">
        <v>1</v>
      </c>
      <c r="AC976">
        <v>0.50</v>
      </c>
      <c r="AD976">
        <v>0.50345253019720215</v>
      </c>
      <c r="AE976">
        <v>1611.90</v>
      </c>
      <c r="AF976">
        <v>200000</v>
      </c>
      <c r="AG976">
        <v>16666.666666666668</v>
      </c>
      <c r="AH976">
        <v>1</v>
      </c>
      <c r="AI976">
        <v>1</v>
      </c>
      <c r="AJ976" t="s">
        <v>136</v>
      </c>
      <c r="AK976" t="s">
        <v>137</v>
      </c>
      <c r="AL976">
        <v>0</v>
      </c>
      <c r="AM976" t="s">
        <v>137</v>
      </c>
      <c r="AN976">
        <v>0</v>
      </c>
    </row>
    <row r="977" spans="1:42" ht="12.75">
      <c r="A977" s="2" t="str">
        <f>HYPERLINK("https://ibp.a2mac1.com/costing(costing:projects/details/8191/process/6975304)","Assembly")</f>
        <v>Assembly</v>
      </c>
      <c r="C977">
        <v>6975304</v>
      </c>
      <c r="D977">
        <v>5388244</v>
      </c>
      <c r="E977">
        <v>0</v>
      </c>
      <c r="F977">
        <v>0</v>
      </c>
      <c r="G977">
        <v>0</v>
      </c>
      <c r="H977">
        <v>0</v>
      </c>
      <c r="I977" t="s">
        <v>90</v>
      </c>
      <c r="J977">
        <v>0</v>
      </c>
      <c r="K977">
        <v>0</v>
      </c>
      <c r="L977">
        <v>0</v>
      </c>
      <c r="M977">
        <v>0.39420764387300394</v>
      </c>
      <c r="N977">
        <v>0.39420764387300394</v>
      </c>
      <c r="O977" t="s">
        <v>90</v>
      </c>
      <c r="P977">
        <v>0</v>
      </c>
      <c r="Q977" t="s">
        <v>90</v>
      </c>
      <c r="R977">
        <v>0</v>
      </c>
      <c r="S977" t="s">
        <v>90</v>
      </c>
      <c r="T977">
        <v>0</v>
      </c>
      <c r="U977">
        <v>0.39420764387300394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60</v>
      </c>
      <c r="AB977">
        <v>1</v>
      </c>
      <c r="AC977">
        <v>1.99</v>
      </c>
      <c r="AD977">
        <v>1.9992159937279499</v>
      </c>
      <c r="AE977">
        <v>1800</v>
      </c>
      <c r="AF977">
        <v>200000</v>
      </c>
      <c r="AG977">
        <v>10000</v>
      </c>
      <c r="AH977">
        <v>1</v>
      </c>
      <c r="AI977">
        <v>1</v>
      </c>
      <c r="AJ977" t="s">
        <v>79</v>
      </c>
      <c r="AK977" t="s">
        <v>90</v>
      </c>
      <c r="AL977">
        <v>0</v>
      </c>
      <c r="AM977" t="s">
        <v>90</v>
      </c>
      <c r="AN977">
        <v>0</v>
      </c>
      <c r="AP977">
        <v>0</v>
      </c>
    </row>
    <row r="978" spans="1:42" ht="12.75">
      <c r="A978" s="2" t="str">
        <f>HYPERLINK("https://ibp.a2mac1.com/costing(costing:projects/details/8191/process/6975743)","Seal Extrusion (Multi Layer)")</f>
        <v>Seal Extrusion (Multi Layer)</v>
      </c>
      <c r="B978" t="s">
        <v>4822</v>
      </c>
      <c r="C978">
        <v>6975743</v>
      </c>
      <c r="D978">
        <v>5388915</v>
      </c>
      <c r="E978">
        <v>3.2748405538526315</v>
      </c>
      <c r="F978">
        <v>0</v>
      </c>
      <c r="G978">
        <v>0</v>
      </c>
      <c r="H978">
        <v>0.0067674877917473682</v>
      </c>
      <c r="I978" t="s">
        <v>137</v>
      </c>
      <c r="J978">
        <v>0.11498158869473685</v>
      </c>
      <c r="K978">
        <v>3.3965896303391157</v>
      </c>
      <c r="L978">
        <v>0.037001546639062834</v>
      </c>
      <c r="M978">
        <v>0.22200927983437699</v>
      </c>
      <c r="N978">
        <v>3.618598910173493</v>
      </c>
      <c r="O978" t="s">
        <v>138</v>
      </c>
      <c r="P978">
        <v>0.20379537782034696</v>
      </c>
      <c r="Q978" t="s">
        <v>138</v>
      </c>
      <c r="R978">
        <v>0.01332055679006262</v>
      </c>
      <c r="S978" t="s">
        <v>139</v>
      </c>
      <c r="T978">
        <v>0.43423186922081913</v>
      </c>
      <c r="U978">
        <v>4.2699467140047211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15</v>
      </c>
      <c r="AB978">
        <v>1</v>
      </c>
      <c r="AC978">
        <v>0.10</v>
      </c>
      <c r="AD978">
        <v>0.20557651238448796</v>
      </c>
      <c r="AE978">
        <v>1800</v>
      </c>
      <c r="AF978">
        <v>200000</v>
      </c>
      <c r="AG978">
        <v>16666.666666666668</v>
      </c>
      <c r="AH978">
        <v>1</v>
      </c>
      <c r="AI978">
        <v>1</v>
      </c>
      <c r="AJ978" t="s">
        <v>136</v>
      </c>
      <c r="AK978" t="s">
        <v>137</v>
      </c>
      <c r="AL978">
        <v>0</v>
      </c>
      <c r="AM978" t="s">
        <v>137</v>
      </c>
      <c r="AN978">
        <v>0</v>
      </c>
    </row>
    <row r="979" spans="1:42" ht="12.75">
      <c r="A979" s="2" t="str">
        <f>HYPERLINK("https://ibp.a2mac1.com/costing(costing:projects/details/8191/process/6975742)","End Glueing/Vulcanizing, Check and Pack")</f>
        <v>End Glueing/Vulcanizing, Check and Pack</v>
      </c>
      <c r="C979">
        <v>6975742</v>
      </c>
      <c r="D979">
        <v>5388915</v>
      </c>
      <c r="E979">
        <v>0</v>
      </c>
      <c r="F979">
        <v>0</v>
      </c>
      <c r="G979">
        <v>0</v>
      </c>
      <c r="H979">
        <v>0</v>
      </c>
      <c r="I979" t="s">
        <v>137</v>
      </c>
      <c r="J979">
        <v>0</v>
      </c>
      <c r="K979">
        <v>0</v>
      </c>
      <c r="L979">
        <v>0.015680387065327164</v>
      </c>
      <c r="M979">
        <v>0.094082322391962986</v>
      </c>
      <c r="N979">
        <v>0.094082322391962986</v>
      </c>
      <c r="O979" t="s">
        <v>138</v>
      </c>
      <c r="P979">
        <v>0</v>
      </c>
      <c r="Q979" t="s">
        <v>138</v>
      </c>
      <c r="R979">
        <v>0.0056449393435177792</v>
      </c>
      <c r="S979" t="s">
        <v>139</v>
      </c>
      <c r="T979">
        <v>0.011289878687035558</v>
      </c>
      <c r="U979">
        <v>0.11101714042251631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30</v>
      </c>
      <c r="AB979">
        <v>1</v>
      </c>
      <c r="AC979">
        <v>0.10</v>
      </c>
      <c r="AD979">
        <v>0.10389195236953569</v>
      </c>
      <c r="AE979">
        <v>600</v>
      </c>
      <c r="AF979">
        <v>200000</v>
      </c>
      <c r="AG979">
        <v>16666.666666666668</v>
      </c>
      <c r="AH979">
        <v>1</v>
      </c>
      <c r="AI979">
        <v>1</v>
      </c>
      <c r="AJ979" t="s">
        <v>136</v>
      </c>
      <c r="AK979" t="s">
        <v>137</v>
      </c>
      <c r="AL979">
        <v>0</v>
      </c>
      <c r="AM979" t="s">
        <v>137</v>
      </c>
      <c r="AN979">
        <v>0</v>
      </c>
    </row>
    <row r="980" spans="1:42" ht="12.75">
      <c r="A980" s="2" t="str">
        <f>HYPERLINK("https://ibp.a2mac1.com/costing(costing:projects/details/8191/process/6975745)","Seal Extrusion (Multi Layer)")</f>
        <v>Seal Extrusion (Multi Layer)</v>
      </c>
      <c r="B980" t="s">
        <v>4822</v>
      </c>
      <c r="C980">
        <v>6975745</v>
      </c>
      <c r="D980">
        <v>5388916</v>
      </c>
      <c r="E980">
        <v>0.95259114829473679</v>
      </c>
      <c r="F980">
        <v>0</v>
      </c>
      <c r="G980">
        <v>0</v>
      </c>
      <c r="H980">
        <v>0.0019685382725052633</v>
      </c>
      <c r="I980" t="s">
        <v>137</v>
      </c>
      <c r="J980">
        <v>0.033446038610526314</v>
      </c>
      <c r="K980">
        <v>0.98800572517776841</v>
      </c>
      <c r="L980">
        <v>0.037001546639062834</v>
      </c>
      <c r="M980">
        <v>0.22200927983437699</v>
      </c>
      <c r="N980">
        <v>1.2100150050121454</v>
      </c>
      <c r="O980" t="s">
        <v>138</v>
      </c>
      <c r="P980">
        <v>0.059280343510666106</v>
      </c>
      <c r="Q980" t="s">
        <v>138</v>
      </c>
      <c r="R980">
        <v>0.01332055679006262</v>
      </c>
      <c r="S980" t="s">
        <v>139</v>
      </c>
      <c r="T980">
        <v>0.14520180060145746</v>
      </c>
      <c r="U980">
        <v>1.4278177059143315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15</v>
      </c>
      <c r="AB980">
        <v>1</v>
      </c>
      <c r="AC980">
        <v>0.10</v>
      </c>
      <c r="AD980">
        <v>0.20557651238448796</v>
      </c>
      <c r="AE980">
        <v>1800</v>
      </c>
      <c r="AF980">
        <v>200000</v>
      </c>
      <c r="AG980">
        <v>16666.666666666668</v>
      </c>
      <c r="AH980">
        <v>1</v>
      </c>
      <c r="AI980">
        <v>1</v>
      </c>
      <c r="AJ980" t="s">
        <v>136</v>
      </c>
      <c r="AK980" t="s">
        <v>137</v>
      </c>
      <c r="AL980">
        <v>0</v>
      </c>
      <c r="AM980" t="s">
        <v>137</v>
      </c>
      <c r="AN980">
        <v>0</v>
      </c>
    </row>
    <row r="981" spans="1:42" ht="12.75">
      <c r="A981" s="2" t="str">
        <f>HYPERLINK("https://ibp.a2mac1.com/costing(costing:projects/details/8191/process/6975744)","End Glueing/Vulcanizing, Check and Pack")</f>
        <v>End Glueing/Vulcanizing, Check and Pack</v>
      </c>
      <c r="C981">
        <v>6975744</v>
      </c>
      <c r="D981">
        <v>5388916</v>
      </c>
      <c r="E981">
        <v>0</v>
      </c>
      <c r="F981">
        <v>0</v>
      </c>
      <c r="G981">
        <v>0</v>
      </c>
      <c r="H981">
        <v>0</v>
      </c>
      <c r="I981" t="s">
        <v>137</v>
      </c>
      <c r="J981">
        <v>0</v>
      </c>
      <c r="K981">
        <v>0</v>
      </c>
      <c r="L981">
        <v>0.015680387065327164</v>
      </c>
      <c r="M981">
        <v>0.094082322391962986</v>
      </c>
      <c r="N981">
        <v>0.094082322391962986</v>
      </c>
      <c r="O981" t="s">
        <v>138</v>
      </c>
      <c r="P981">
        <v>0</v>
      </c>
      <c r="Q981" t="s">
        <v>138</v>
      </c>
      <c r="R981">
        <v>0.0056449393435177792</v>
      </c>
      <c r="S981" t="s">
        <v>139</v>
      </c>
      <c r="T981">
        <v>0.011289878687035558</v>
      </c>
      <c r="U981">
        <v>0.11101714042251631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30</v>
      </c>
      <c r="AB981">
        <v>1</v>
      </c>
      <c r="AC981">
        <v>0.10</v>
      </c>
      <c r="AD981">
        <v>0.10389195236953569</v>
      </c>
      <c r="AE981">
        <v>600</v>
      </c>
      <c r="AF981">
        <v>200000</v>
      </c>
      <c r="AG981">
        <v>16666.666666666668</v>
      </c>
      <c r="AH981">
        <v>1</v>
      </c>
      <c r="AI981">
        <v>1</v>
      </c>
      <c r="AJ981" t="s">
        <v>136</v>
      </c>
      <c r="AK981" t="s">
        <v>137</v>
      </c>
      <c r="AL981">
        <v>0</v>
      </c>
      <c r="AM981" t="s">
        <v>137</v>
      </c>
      <c r="AN981">
        <v>0</v>
      </c>
    </row>
    <row r="982" spans="1:42" ht="12.75">
      <c r="A982" s="2" t="str">
        <f>HYPERLINK("https://ibp.a2mac1.com/costing(costing:projects/details/8191/process/6975503)","Seal Extrusion")</f>
        <v>Seal Extrusion</v>
      </c>
      <c r="B982" t="s">
        <v>4839</v>
      </c>
      <c r="C982">
        <v>6975503</v>
      </c>
      <c r="D982">
        <v>5388592</v>
      </c>
      <c r="E982">
        <v>1.76765895</v>
      </c>
      <c r="F982">
        <v>0</v>
      </c>
      <c r="G982">
        <v>0</v>
      </c>
      <c r="H982">
        <v>0.0018421791111578947</v>
      </c>
      <c r="I982" t="s">
        <v>137</v>
      </c>
      <c r="J982">
        <v>0.061996412394736841</v>
      </c>
      <c r="K982">
        <v>1.8314975415058947</v>
      </c>
      <c r="L982">
        <v>0.03696388264930988</v>
      </c>
      <c r="M982">
        <v>0.22178329589585927</v>
      </c>
      <c r="N982">
        <v>2.0532808374017542</v>
      </c>
      <c r="O982" t="s">
        <v>138</v>
      </c>
      <c r="P982">
        <v>0.10988985249035368</v>
      </c>
      <c r="Q982" t="s">
        <v>138</v>
      </c>
      <c r="R982">
        <v>0.013306997753751557</v>
      </c>
      <c r="S982" t="s">
        <v>139</v>
      </c>
      <c r="T982">
        <v>0.24639370048821049</v>
      </c>
      <c r="U982">
        <v>2.4228713881340695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15</v>
      </c>
      <c r="AB982">
        <v>1</v>
      </c>
      <c r="AC982">
        <v>0.10</v>
      </c>
      <c r="AD982">
        <v>0.10389195236953569</v>
      </c>
      <c r="AE982">
        <v>1800</v>
      </c>
      <c r="AF982">
        <v>200000</v>
      </c>
      <c r="AG982">
        <v>16666.666666666668</v>
      </c>
      <c r="AH982">
        <v>1</v>
      </c>
      <c r="AI982">
        <v>1</v>
      </c>
      <c r="AJ982" t="s">
        <v>136</v>
      </c>
      <c r="AK982" t="s">
        <v>137</v>
      </c>
      <c r="AL982">
        <v>0</v>
      </c>
      <c r="AM982" t="s">
        <v>137</v>
      </c>
      <c r="AN982">
        <v>0</v>
      </c>
    </row>
    <row r="983" spans="1:42" ht="12.75">
      <c r="A983" s="2" t="str">
        <f>HYPERLINK("https://ibp.a2mac1.com/costing(costing:projects/details/8191/process/6975504)","Seal Extrusion")</f>
        <v>Seal Extrusion</v>
      </c>
      <c r="B983" t="s">
        <v>4839</v>
      </c>
      <c r="C983">
        <v>6975504</v>
      </c>
      <c r="D983">
        <v>5388593</v>
      </c>
      <c r="E983">
        <v>0.32881327500000002</v>
      </c>
      <c r="F983">
        <v>0</v>
      </c>
      <c r="G983">
        <v>0</v>
      </c>
      <c r="H983">
        <v>0.00034282286315789472</v>
      </c>
      <c r="I983" t="s">
        <v>137</v>
      </c>
      <c r="J983">
        <v>0.011537307894736842</v>
      </c>
      <c r="K983">
        <v>0.34069340575789475</v>
      </c>
      <c r="L983">
        <v>0.02473920957733388</v>
      </c>
      <c r="M983">
        <v>0.14843525746400327</v>
      </c>
      <c r="N983">
        <v>0.48912866322189802</v>
      </c>
      <c r="O983" t="s">
        <v>138</v>
      </c>
      <c r="P983">
        <v>0.020441604345473683</v>
      </c>
      <c r="Q983" t="s">
        <v>138</v>
      </c>
      <c r="R983">
        <v>0.0089061154478401964</v>
      </c>
      <c r="S983" t="s">
        <v>139</v>
      </c>
      <c r="T983">
        <v>0.058695439586627762</v>
      </c>
      <c r="U983">
        <v>0.57717182260183963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10</v>
      </c>
      <c r="AB983">
        <v>1</v>
      </c>
      <c r="AC983">
        <v>0.10</v>
      </c>
      <c r="AD983">
        <v>0.10389195236953569</v>
      </c>
      <c r="AE983">
        <v>1800</v>
      </c>
      <c r="AF983">
        <v>200000</v>
      </c>
      <c r="AG983">
        <v>16666.666666666668</v>
      </c>
      <c r="AH983">
        <v>1</v>
      </c>
      <c r="AI983">
        <v>1</v>
      </c>
      <c r="AJ983" t="s">
        <v>136</v>
      </c>
      <c r="AK983" t="s">
        <v>137</v>
      </c>
      <c r="AL983">
        <v>0</v>
      </c>
      <c r="AM983" t="s">
        <v>137</v>
      </c>
      <c r="AN983">
        <v>0</v>
      </c>
    </row>
    <row r="984" spans="1:42" ht="12.75">
      <c r="A984" s="2" t="str">
        <f>HYPERLINK("https://ibp.a2mac1.com/costing(costing:projects/details/8191/process/6975505)","Seal Extrusion")</f>
        <v>Seal Extrusion</v>
      </c>
      <c r="B984" t="s">
        <v>4839</v>
      </c>
      <c r="C984">
        <v>6975505</v>
      </c>
      <c r="D984">
        <v>5388594</v>
      </c>
      <c r="E984">
        <v>0.75757399999999997</v>
      </c>
      <c r="F984">
        <v>0</v>
      </c>
      <c r="G984">
        <v>0</v>
      </c>
      <c r="H984">
        <v>0.00078940248126315794</v>
      </c>
      <c r="I984" t="s">
        <v>137</v>
      </c>
      <c r="J984">
        <v>0.026566429657894738</v>
      </c>
      <c r="K984">
        <v>0.7849298321391579</v>
      </c>
      <c r="L984">
        <v>0.03696388264930988</v>
      </c>
      <c r="M984">
        <v>0.22178329589585927</v>
      </c>
      <c r="N984">
        <v>1.0067131280350172</v>
      </c>
      <c r="O984" t="s">
        <v>138</v>
      </c>
      <c r="P984">
        <v>0.047095789928349473</v>
      </c>
      <c r="Q984" t="s">
        <v>138</v>
      </c>
      <c r="R984">
        <v>0.013306997753751557</v>
      </c>
      <c r="S984" t="s">
        <v>139</v>
      </c>
      <c r="T984">
        <v>0.12080557536420206</v>
      </c>
      <c r="U984">
        <v>1.1879214910813203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15</v>
      </c>
      <c r="AB984">
        <v>1</v>
      </c>
      <c r="AC984">
        <v>0.10</v>
      </c>
      <c r="AD984">
        <v>0.10389195236953569</v>
      </c>
      <c r="AE984">
        <v>1800</v>
      </c>
      <c r="AF984">
        <v>200000</v>
      </c>
      <c r="AG984">
        <v>16666.666666666668</v>
      </c>
      <c r="AH984">
        <v>1</v>
      </c>
      <c r="AI984">
        <v>1</v>
      </c>
      <c r="AJ984" t="s">
        <v>136</v>
      </c>
      <c r="AK984" t="s">
        <v>137</v>
      </c>
      <c r="AL984">
        <v>0</v>
      </c>
      <c r="AM984" t="s">
        <v>137</v>
      </c>
      <c r="AN984">
        <v>0</v>
      </c>
    </row>
    <row r="985" spans="1:42" ht="12.75">
      <c r="A985" s="2" t="str">
        <f>HYPERLINK("https://ibp.a2mac1.com/costing(costing:projects/details/8191/process/6975844)","Manufacturing Process")</f>
        <v>Manufacturing Process</v>
      </c>
      <c r="C985">
        <v>6975844</v>
      </c>
      <c r="D985">
        <v>5389232</v>
      </c>
      <c r="E985">
        <v>0.14150066750000001</v>
      </c>
      <c r="F985">
        <v>0</v>
      </c>
      <c r="G985">
        <v>0</v>
      </c>
      <c r="H985">
        <v>0.00015655393</v>
      </c>
      <c r="I985" t="s">
        <v>137</v>
      </c>
      <c r="J985">
        <v>0.0052686418749999997</v>
      </c>
      <c r="K985">
        <v>0.14692586330499999</v>
      </c>
      <c r="L985">
        <v>0.00074289778343902672</v>
      </c>
      <c r="M985">
        <v>0.0044573867006341599</v>
      </c>
      <c r="N985">
        <v>0.15138325000563416</v>
      </c>
      <c r="O985" t="s">
        <v>90</v>
      </c>
      <c r="P985">
        <v>0</v>
      </c>
      <c r="Q985" t="s">
        <v>90</v>
      </c>
      <c r="R985">
        <v>0</v>
      </c>
      <c r="S985" t="s">
        <v>90</v>
      </c>
      <c r="T985">
        <v>0</v>
      </c>
      <c r="U985">
        <v>0.15138325000563416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2.16</v>
      </c>
      <c r="AB985">
        <v>1</v>
      </c>
      <c r="AC985">
        <v>0.10</v>
      </c>
      <c r="AD985">
        <v>0.10389195236953569</v>
      </c>
      <c r="AE985">
        <v>6012</v>
      </c>
      <c r="AF985">
        <v>200000</v>
      </c>
      <c r="AG985">
        <v>16666.666666666668</v>
      </c>
      <c r="AH985">
        <v>1</v>
      </c>
      <c r="AI985">
        <v>1</v>
      </c>
      <c r="AJ985" t="s">
        <v>136</v>
      </c>
      <c r="AK985" t="s">
        <v>137</v>
      </c>
      <c r="AL985">
        <v>0</v>
      </c>
      <c r="AM985" t="s">
        <v>137</v>
      </c>
      <c r="AN985">
        <v>0</v>
      </c>
    </row>
    <row r="986" spans="1:42" ht="12.75">
      <c r="A986" s="2" t="str">
        <f>HYPERLINK("https://ibp.a2mac1.com/costing(costing:projects/details/8191/process/6975845)","Manufacturing Process")</f>
        <v>Manufacturing Process</v>
      </c>
      <c r="C986">
        <v>6975845</v>
      </c>
      <c r="D986">
        <v>5389233</v>
      </c>
      <c r="E986">
        <v>0.0861933</v>
      </c>
      <c r="F986">
        <v>0</v>
      </c>
      <c r="G986">
        <v>0</v>
      </c>
      <c r="H986">
        <v>9.5362800000000001E-05</v>
      </c>
      <c r="I986" t="s">
        <v>137</v>
      </c>
      <c r="J986">
        <v>0.0032093249999999999</v>
      </c>
      <c r="K986">
        <v>0.089497987799999998</v>
      </c>
      <c r="L986">
        <v>0.00074289778343902672</v>
      </c>
      <c r="M986">
        <v>0.0044573867006341599</v>
      </c>
      <c r="N986">
        <v>0.093955374500634153</v>
      </c>
      <c r="O986" t="s">
        <v>90</v>
      </c>
      <c r="P986">
        <v>0</v>
      </c>
      <c r="Q986" t="s">
        <v>90</v>
      </c>
      <c r="R986">
        <v>0</v>
      </c>
      <c r="S986" t="s">
        <v>90</v>
      </c>
      <c r="T986">
        <v>0</v>
      </c>
      <c r="U986">
        <v>0.093955374500634153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2.16</v>
      </c>
      <c r="AB986">
        <v>1</v>
      </c>
      <c r="AC986">
        <v>0.10</v>
      </c>
      <c r="AD986">
        <v>0.10389195236953569</v>
      </c>
      <c r="AE986">
        <v>6012</v>
      </c>
      <c r="AF986">
        <v>200000</v>
      </c>
      <c r="AG986">
        <v>16666.666666666668</v>
      </c>
      <c r="AH986">
        <v>1</v>
      </c>
      <c r="AI986">
        <v>1</v>
      </c>
      <c r="AJ986" t="s">
        <v>136</v>
      </c>
      <c r="AK986" t="s">
        <v>137</v>
      </c>
      <c r="AL986">
        <v>0</v>
      </c>
      <c r="AM986" t="s">
        <v>137</v>
      </c>
      <c r="AN986">
        <v>0</v>
      </c>
    </row>
    <row r="987" spans="1:42" ht="12.75">
      <c r="A987" s="2" t="str">
        <f>HYPERLINK("https://ibp.a2mac1.com/costing(costing:projects/details/8191/process/6975846)","Manufacturing Process")</f>
        <v>Manufacturing Process</v>
      </c>
      <c r="C987">
        <v>6975846</v>
      </c>
      <c r="D987">
        <v>5389234</v>
      </c>
      <c r="E987">
        <v>0.15083827499999999</v>
      </c>
      <c r="F987">
        <v>0</v>
      </c>
      <c r="G987">
        <v>0</v>
      </c>
      <c r="H987">
        <v>0.00016688489999999999</v>
      </c>
      <c r="I987" t="s">
        <v>137</v>
      </c>
      <c r="J987">
        <v>0.00561631875</v>
      </c>
      <c r="K987">
        <v>0.15662147865000001</v>
      </c>
      <c r="L987">
        <v>0.00074289778343902672</v>
      </c>
      <c r="M987">
        <v>0.0044573867006341599</v>
      </c>
      <c r="N987">
        <v>0.16107886535063415</v>
      </c>
      <c r="O987" t="s">
        <v>90</v>
      </c>
      <c r="P987">
        <v>0</v>
      </c>
      <c r="Q987" t="s">
        <v>90</v>
      </c>
      <c r="R987">
        <v>0</v>
      </c>
      <c r="S987" t="s">
        <v>90</v>
      </c>
      <c r="T987">
        <v>0</v>
      </c>
      <c r="U987">
        <v>0.16107886535063415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2.16</v>
      </c>
      <c r="AB987">
        <v>1</v>
      </c>
      <c r="AC987">
        <v>0.10</v>
      </c>
      <c r="AD987">
        <v>0.10389195236953569</v>
      </c>
      <c r="AE987">
        <v>6012</v>
      </c>
      <c r="AF987">
        <v>200000</v>
      </c>
      <c r="AG987">
        <v>16666.666666666668</v>
      </c>
      <c r="AH987">
        <v>1</v>
      </c>
      <c r="AI987">
        <v>1</v>
      </c>
      <c r="AJ987" t="s">
        <v>136</v>
      </c>
      <c r="AK987" t="s">
        <v>137</v>
      </c>
      <c r="AL987">
        <v>0</v>
      </c>
      <c r="AM987" t="s">
        <v>137</v>
      </c>
      <c r="AN987">
        <v>0</v>
      </c>
    </row>
    <row r="988" spans="1:42" ht="12.75">
      <c r="A988" s="2" t="str">
        <f>HYPERLINK("https://ibp.a2mac1.com/costing(costing:projects/details/8191/process/6975847)","Manufacturing Process")</f>
        <v>Manufacturing Process</v>
      </c>
      <c r="C988">
        <v>6975847</v>
      </c>
      <c r="D988">
        <v>5389235</v>
      </c>
      <c r="E988">
        <v>0.071827749999999996</v>
      </c>
      <c r="F988">
        <v>0</v>
      </c>
      <c r="G988">
        <v>0</v>
      </c>
      <c r="H988">
        <v>7.9468999999999994E-05</v>
      </c>
      <c r="I988" t="s">
        <v>137</v>
      </c>
      <c r="J988">
        <v>0.0026744375000000002</v>
      </c>
      <c r="K988">
        <v>0.074581656499999996</v>
      </c>
      <c r="L988">
        <v>0.00074289778343902672</v>
      </c>
      <c r="M988">
        <v>0.0044573867006341599</v>
      </c>
      <c r="N988">
        <v>0.079039043200634165</v>
      </c>
      <c r="O988" t="s">
        <v>90</v>
      </c>
      <c r="P988">
        <v>0</v>
      </c>
      <c r="Q988" t="s">
        <v>90</v>
      </c>
      <c r="R988">
        <v>0</v>
      </c>
      <c r="S988" t="s">
        <v>90</v>
      </c>
      <c r="T988">
        <v>0</v>
      </c>
      <c r="U988">
        <v>0.079039043200634165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2.16</v>
      </c>
      <c r="AB988">
        <v>1</v>
      </c>
      <c r="AC988">
        <v>0.10</v>
      </c>
      <c r="AD988">
        <v>0.10389195236953569</v>
      </c>
      <c r="AE988">
        <v>6012</v>
      </c>
      <c r="AF988">
        <v>200000</v>
      </c>
      <c r="AG988">
        <v>16666.666666666668</v>
      </c>
      <c r="AH988">
        <v>1</v>
      </c>
      <c r="AI988">
        <v>1</v>
      </c>
      <c r="AJ988" t="s">
        <v>136</v>
      </c>
      <c r="AK988" t="s">
        <v>137</v>
      </c>
      <c r="AL988">
        <v>0</v>
      </c>
      <c r="AM988" t="s">
        <v>137</v>
      </c>
      <c r="AN988">
        <v>0</v>
      </c>
    </row>
    <row r="989" spans="1:42" ht="12.75">
      <c r="A989" s="2" t="str">
        <f>HYPERLINK("https://ibp.a2mac1.com/costing(costing:projects/details/8191/process/6975506)","Process")</f>
        <v>Process</v>
      </c>
      <c r="C989">
        <v>6975506</v>
      </c>
      <c r="D989">
        <v>5388605</v>
      </c>
      <c r="E989">
        <v>0</v>
      </c>
      <c r="F989">
        <v>0</v>
      </c>
      <c r="G989">
        <v>0</v>
      </c>
      <c r="H989">
        <v>0</v>
      </c>
      <c r="I989" t="s">
        <v>137</v>
      </c>
      <c r="J989">
        <v>0</v>
      </c>
      <c r="K989">
        <v>0</v>
      </c>
      <c r="L989">
        <v>0.36529528151717527</v>
      </c>
      <c r="M989">
        <v>1.2785334853101133</v>
      </c>
      <c r="N989">
        <v>1.2785334853101133</v>
      </c>
      <c r="O989" t="s">
        <v>90</v>
      </c>
      <c r="P989">
        <v>0</v>
      </c>
      <c r="Q989" t="s">
        <v>90</v>
      </c>
      <c r="R989">
        <v>0</v>
      </c>
      <c r="S989" t="s">
        <v>90</v>
      </c>
      <c r="T989">
        <v>0</v>
      </c>
      <c r="U989">
        <v>1.2785334853101133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160</v>
      </c>
      <c r="AB989">
        <v>1</v>
      </c>
      <c r="AC989">
        <v>5</v>
      </c>
      <c r="AD989">
        <v>5.0061745986510875</v>
      </c>
      <c r="AE989">
        <v>216</v>
      </c>
      <c r="AF989">
        <v>200000</v>
      </c>
      <c r="AG989">
        <v>10000</v>
      </c>
      <c r="AH989">
        <v>1</v>
      </c>
      <c r="AI989">
        <v>1</v>
      </c>
      <c r="AJ989" t="s">
        <v>79</v>
      </c>
      <c r="AK989" t="s">
        <v>137</v>
      </c>
      <c r="AL989">
        <v>0</v>
      </c>
      <c r="AM989" t="s">
        <v>137</v>
      </c>
      <c r="AN989">
        <v>0</v>
      </c>
      <c r="AP989">
        <v>0</v>
      </c>
    </row>
    <row r="990" spans="1:42" ht="12.75">
      <c r="A990" s="2" t="str">
        <f>HYPERLINK("https://ibp.a2mac1.com/costing(costing:projects/details/8191/process/6975507)","Injection molding")</f>
        <v>Injection molding</v>
      </c>
      <c r="C990">
        <v>6975507</v>
      </c>
      <c r="D990">
        <v>5388607</v>
      </c>
      <c r="E990">
        <v>0.51687616109227741</v>
      </c>
      <c r="F990">
        <v>0</v>
      </c>
      <c r="G990">
        <v>0</v>
      </c>
      <c r="H990">
        <v>0.0010658098117895698</v>
      </c>
      <c r="I990" t="s">
        <v>137</v>
      </c>
      <c r="J990">
        <v>0.018108419132347061</v>
      </c>
      <c r="K990">
        <v>0.53605039003641397</v>
      </c>
      <c r="L990">
        <v>0.026769735331331899</v>
      </c>
      <c r="M990">
        <v>0.1606184119879914</v>
      </c>
      <c r="N990">
        <v>0.6966688020244054</v>
      </c>
      <c r="O990" t="s">
        <v>138</v>
      </c>
      <c r="P990">
        <v>0.03216302340218484</v>
      </c>
      <c r="Q990" t="s">
        <v>138</v>
      </c>
      <c r="R990">
        <v>0.0096371047192794837</v>
      </c>
      <c r="S990" t="s">
        <v>139</v>
      </c>
      <c r="T990">
        <v>0.083600256242928647</v>
      </c>
      <c r="U990">
        <v>0.82206918638879833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27.54125</v>
      </c>
      <c r="AB990">
        <v>1</v>
      </c>
      <c r="AC990">
        <v>0.10</v>
      </c>
      <c r="AD990">
        <v>0.20557651238448796</v>
      </c>
      <c r="AE990">
        <v>10800</v>
      </c>
      <c r="AF990">
        <v>200000</v>
      </c>
      <c r="AG990">
        <v>16666.666666666668</v>
      </c>
      <c r="AH990">
        <v>1</v>
      </c>
      <c r="AI990">
        <v>1</v>
      </c>
      <c r="AJ990" t="s">
        <v>136</v>
      </c>
      <c r="AK990" t="s">
        <v>137</v>
      </c>
      <c r="AL990">
        <v>0</v>
      </c>
      <c r="AM990" t="s">
        <v>137</v>
      </c>
      <c r="AN990">
        <v>0</v>
      </c>
    </row>
    <row r="991" spans="1:42" ht="12.75">
      <c r="A991" s="2" t="str">
        <f>HYPERLINK("https://ibp.a2mac1.com/costing(costing:projects/details/8191/process/6975508)","Handling/Visual Inspection/Packaging")</f>
        <v>Handling/Visual Inspection/Packaging</v>
      </c>
      <c r="C991">
        <v>6975508</v>
      </c>
      <c r="D991">
        <v>5388607</v>
      </c>
      <c r="E991">
        <v>0</v>
      </c>
      <c r="F991">
        <v>0</v>
      </c>
      <c r="G991">
        <v>0</v>
      </c>
      <c r="H991">
        <v>0</v>
      </c>
      <c r="I991" t="s">
        <v>137</v>
      </c>
      <c r="J991">
        <v>0</v>
      </c>
      <c r="K991">
        <v>0</v>
      </c>
      <c r="L991">
        <v>0.0086216394843006</v>
      </c>
      <c r="M991">
        <v>0.0517298369058036</v>
      </c>
      <c r="N991">
        <v>0.0517298369058036</v>
      </c>
      <c r="O991" t="s">
        <v>138</v>
      </c>
      <c r="P991">
        <v>0</v>
      </c>
      <c r="Q991" t="s">
        <v>138</v>
      </c>
      <c r="R991">
        <v>0.0031037902143482162</v>
      </c>
      <c r="S991" t="s">
        <v>139</v>
      </c>
      <c r="T991">
        <v>0.0062075804286964324</v>
      </c>
      <c r="U991">
        <v>0.061041207548848252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30</v>
      </c>
      <c r="AB991">
        <v>1</v>
      </c>
      <c r="AC991">
        <v>0.10</v>
      </c>
      <c r="AD991">
        <v>0.10389195236953569</v>
      </c>
      <c r="AE991">
        <v>900</v>
      </c>
      <c r="AF991">
        <v>200000</v>
      </c>
      <c r="AG991">
        <v>16666.666666666668</v>
      </c>
      <c r="AH991">
        <v>1</v>
      </c>
      <c r="AI991">
        <v>1</v>
      </c>
      <c r="AJ991" t="s">
        <v>136</v>
      </c>
      <c r="AK991" t="s">
        <v>137</v>
      </c>
      <c r="AL991">
        <v>0</v>
      </c>
      <c r="AM991" t="s">
        <v>137</v>
      </c>
      <c r="AN991">
        <v>0</v>
      </c>
    </row>
    <row r="992" spans="1:42" ht="12.75">
      <c r="A992" s="2" t="str">
        <f>HYPERLINK("https://ibp.a2mac1.com/costing(costing:projects/details/8191/process/6975509)","Injection molding")</f>
        <v>Injection molding</v>
      </c>
      <c r="C992">
        <v>6975509</v>
      </c>
      <c r="D992">
        <v>5388608</v>
      </c>
      <c r="E992">
        <v>0.41086086251213799</v>
      </c>
      <c r="F992">
        <v>0</v>
      </c>
      <c r="G992">
        <v>0</v>
      </c>
      <c r="H992">
        <v>0.00084720397555263611</v>
      </c>
      <c r="I992" t="s">
        <v>137</v>
      </c>
      <c r="J992">
        <v>0.014394242303078768</v>
      </c>
      <c r="K992">
        <v>0.42610230879076938</v>
      </c>
      <c r="L992">
        <v>0.026269756991894908</v>
      </c>
      <c r="M992">
        <v>0.15761854195136946</v>
      </c>
      <c r="N992">
        <v>0.58372085074213886</v>
      </c>
      <c r="O992" t="s">
        <v>138</v>
      </c>
      <c r="P992">
        <v>0.025566138527446165</v>
      </c>
      <c r="Q992" t="s">
        <v>138</v>
      </c>
      <c r="R992">
        <v>0.0094571125170821672</v>
      </c>
      <c r="S992" t="s">
        <v>139</v>
      </c>
      <c r="T992">
        <v>0.070046502089056661</v>
      </c>
      <c r="U992">
        <v>0.68879060387572388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38.160139999999998</v>
      </c>
      <c r="AB992">
        <v>1</v>
      </c>
      <c r="AC992">
        <v>0.10</v>
      </c>
      <c r="AD992">
        <v>0.20557651238448796</v>
      </c>
      <c r="AE992">
        <v>9000</v>
      </c>
      <c r="AF992">
        <v>200000</v>
      </c>
      <c r="AG992">
        <v>16666.666666666668</v>
      </c>
      <c r="AH992">
        <v>1</v>
      </c>
      <c r="AI992">
        <v>1</v>
      </c>
      <c r="AJ992" t="s">
        <v>136</v>
      </c>
      <c r="AK992" t="s">
        <v>137</v>
      </c>
      <c r="AL992">
        <v>0</v>
      </c>
      <c r="AM992" t="s">
        <v>137</v>
      </c>
      <c r="AN992">
        <v>0</v>
      </c>
    </row>
    <row r="993" spans="1:42" ht="12.75">
      <c r="A993" s="2" t="str">
        <f>HYPERLINK("https://ibp.a2mac1.com/costing(costing:projects/details/8191/process/6975510)","Handling/Visual Inspection/Packaging")</f>
        <v>Handling/Visual Inspection/Packaging</v>
      </c>
      <c r="C993">
        <v>6975510</v>
      </c>
      <c r="D993">
        <v>5388608</v>
      </c>
      <c r="E993">
        <v>0</v>
      </c>
      <c r="F993">
        <v>0</v>
      </c>
      <c r="G993">
        <v>0</v>
      </c>
      <c r="H993">
        <v>0</v>
      </c>
      <c r="I993" t="s">
        <v>137</v>
      </c>
      <c r="J993">
        <v>0</v>
      </c>
      <c r="K993">
        <v>0</v>
      </c>
      <c r="L993">
        <v>0.01293090621145083</v>
      </c>
      <c r="M993">
        <v>0.077585437268704982</v>
      </c>
      <c r="N993">
        <v>0.077585437268704982</v>
      </c>
      <c r="O993" t="s">
        <v>138</v>
      </c>
      <c r="P993">
        <v>0</v>
      </c>
      <c r="Q993" t="s">
        <v>138</v>
      </c>
      <c r="R993">
        <v>0.0046551262361222987</v>
      </c>
      <c r="S993" t="s">
        <v>139</v>
      </c>
      <c r="T993">
        <v>0.0093102524722445974</v>
      </c>
      <c r="U993">
        <v>0.091550815977071875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45</v>
      </c>
      <c r="AB993">
        <v>1</v>
      </c>
      <c r="AC993">
        <v>0.10</v>
      </c>
      <c r="AD993">
        <v>0.10389195236953569</v>
      </c>
      <c r="AE993">
        <v>900</v>
      </c>
      <c r="AF993">
        <v>200000</v>
      </c>
      <c r="AG993">
        <v>16666.666666666668</v>
      </c>
      <c r="AH993">
        <v>1</v>
      </c>
      <c r="AI993">
        <v>1</v>
      </c>
      <c r="AJ993" t="s">
        <v>136</v>
      </c>
      <c r="AK993" t="s">
        <v>137</v>
      </c>
      <c r="AL993">
        <v>0</v>
      </c>
      <c r="AM993" t="s">
        <v>137</v>
      </c>
      <c r="AN993">
        <v>0</v>
      </c>
    </row>
    <row r="994" spans="1:42" ht="12.75">
      <c r="A994" s="2" t="str">
        <f>HYPERLINK("https://ibp.a2mac1.com/costing(costing:projects/details/8191/process/6975511)","Injection molding")</f>
        <v>Injection molding</v>
      </c>
      <c r="B994" t="s">
        <v>6074</v>
      </c>
      <c r="C994">
        <v>6975511</v>
      </c>
      <c r="D994">
        <v>5388612</v>
      </c>
      <c r="E994">
        <v>3.0803876492448734</v>
      </c>
      <c r="F994">
        <v>0</v>
      </c>
      <c r="G994">
        <v>0</v>
      </c>
      <c r="H994">
        <v>0.0032225595394495261</v>
      </c>
      <c r="I994" t="s">
        <v>137</v>
      </c>
      <c r="J994">
        <v>0.10845152296224367</v>
      </c>
      <c r="K994">
        <v>3.1920617317465667</v>
      </c>
      <c r="L994">
        <v>0.037504494904533635</v>
      </c>
      <c r="M994">
        <v>0.2250269694272018</v>
      </c>
      <c r="N994">
        <v>3.4170887011737685</v>
      </c>
      <c r="O994" t="s">
        <v>138</v>
      </c>
      <c r="P994">
        <v>0.19152370390479401</v>
      </c>
      <c r="Q994" t="s">
        <v>138</v>
      </c>
      <c r="R994">
        <v>0.013501618165632109</v>
      </c>
      <c r="S994" t="s">
        <v>139</v>
      </c>
      <c r="T994">
        <v>0.41005064414085224</v>
      </c>
      <c r="U994">
        <v>4.0321646673850466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24.673729999999999</v>
      </c>
      <c r="AB994">
        <v>1</v>
      </c>
      <c r="AC994">
        <v>0.10</v>
      </c>
      <c r="AD994">
        <v>0.10389195236953569</v>
      </c>
      <c r="AE994">
        <v>14400</v>
      </c>
      <c r="AF994">
        <v>200000</v>
      </c>
      <c r="AG994">
        <v>16666.666666666668</v>
      </c>
      <c r="AH994">
        <v>1</v>
      </c>
      <c r="AI994">
        <v>1</v>
      </c>
      <c r="AJ994" t="s">
        <v>136</v>
      </c>
      <c r="AK994" t="s">
        <v>137</v>
      </c>
      <c r="AL994">
        <v>0</v>
      </c>
      <c r="AM994" t="s">
        <v>137</v>
      </c>
      <c r="AN994">
        <v>0</v>
      </c>
    </row>
    <row r="995" spans="1:42" ht="12.75">
      <c r="A995" s="2" t="str">
        <f>HYPERLINK("https://ibp.a2mac1.com/costing(costing:projects/details/8191/process/6975305)","Stamping")</f>
        <v>Stamping</v>
      </c>
      <c r="C995">
        <v>6975305</v>
      </c>
      <c r="D995">
        <v>5388253</v>
      </c>
      <c r="E995">
        <v>0.96901241266666671</v>
      </c>
      <c r="F995">
        <v>0</v>
      </c>
      <c r="G995">
        <v>0</v>
      </c>
      <c r="H995">
        <v>0.0052693323629333334</v>
      </c>
      <c r="I995" t="s">
        <v>137</v>
      </c>
      <c r="J995">
        <v>0.036665334533333337</v>
      </c>
      <c r="K995">
        <v>1.0109470795629334</v>
      </c>
      <c r="L995">
        <v>0.011775304011983598</v>
      </c>
      <c r="M995">
        <v>0.070651824071901598</v>
      </c>
      <c r="N995">
        <v>1.081598903634835</v>
      </c>
      <c r="O995" t="s">
        <v>138</v>
      </c>
      <c r="P995">
        <v>0.060656824773776</v>
      </c>
      <c r="Q995" t="s">
        <v>138</v>
      </c>
      <c r="R995">
        <v>0.0042391094443140955</v>
      </c>
      <c r="S995" t="s">
        <v>139</v>
      </c>
      <c r="T995">
        <v>0.12979186843618018</v>
      </c>
      <c r="U995">
        <v>1.2762867062891052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6</v>
      </c>
      <c r="AB995">
        <v>1</v>
      </c>
      <c r="AC995">
        <v>0.50</v>
      </c>
      <c r="AD995">
        <v>0.50048257265952256</v>
      </c>
      <c r="AE995">
        <v>10800</v>
      </c>
      <c r="AF995">
        <v>400000</v>
      </c>
      <c r="AG995">
        <v>33333.333333333336</v>
      </c>
      <c r="AH995">
        <v>1</v>
      </c>
      <c r="AI995">
        <v>1</v>
      </c>
      <c r="AJ995" t="s">
        <v>136</v>
      </c>
      <c r="AK995" t="s">
        <v>137</v>
      </c>
      <c r="AL995">
        <v>0</v>
      </c>
      <c r="AM995" t="s">
        <v>137</v>
      </c>
      <c r="AN995">
        <v>0</v>
      </c>
    </row>
    <row r="996" spans="1:42" ht="12.75">
      <c r="A996" s="2" t="str">
        <f>HYPERLINK("https://ibp.a2mac1.com/costing(costing:projects/details/8191/process/6975306)","Stamping")</f>
        <v>Stamping</v>
      </c>
      <c r="C996">
        <v>6975306</v>
      </c>
      <c r="D996">
        <v>5388254</v>
      </c>
      <c r="E996">
        <v>0.54929406000000003</v>
      </c>
      <c r="F996">
        <v>0</v>
      </c>
      <c r="G996">
        <v>0</v>
      </c>
      <c r="H996">
        <v>0.0027794279435999999</v>
      </c>
      <c r="I996" t="s">
        <v>137</v>
      </c>
      <c r="J996">
        <v>0.019225292099999999</v>
      </c>
      <c r="K996">
        <v>0.57129878004360002</v>
      </c>
      <c r="L996">
        <v>0.012954808616905138</v>
      </c>
      <c r="M996">
        <v>0.077728851701430832</v>
      </c>
      <c r="N996">
        <v>0.64902763174503086</v>
      </c>
      <c r="O996" t="s">
        <v>138</v>
      </c>
      <c r="P996">
        <v>0.034277926802616002</v>
      </c>
      <c r="Q996" t="s">
        <v>138</v>
      </c>
      <c r="R996">
        <v>0.0046637311020858501</v>
      </c>
      <c r="S996" t="s">
        <v>139</v>
      </c>
      <c r="T996">
        <v>0.077883315809403705</v>
      </c>
      <c r="U996">
        <v>0.76585260545913636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6</v>
      </c>
      <c r="AB996">
        <v>1</v>
      </c>
      <c r="AC996">
        <v>0.50</v>
      </c>
      <c r="AD996">
        <v>0.50345253019720215</v>
      </c>
      <c r="AE996">
        <v>10800</v>
      </c>
      <c r="AF996">
        <v>200000</v>
      </c>
      <c r="AG996">
        <v>16666.666666666668</v>
      </c>
      <c r="AH996">
        <v>1</v>
      </c>
      <c r="AI996">
        <v>1</v>
      </c>
      <c r="AJ996" t="s">
        <v>136</v>
      </c>
      <c r="AK996" t="s">
        <v>137</v>
      </c>
      <c r="AL996">
        <v>0</v>
      </c>
      <c r="AM996" t="s">
        <v>137</v>
      </c>
      <c r="AN996">
        <v>0</v>
      </c>
    </row>
    <row r="997" spans="1:42" ht="12.75">
      <c r="A997" s="2" t="str">
        <f>HYPERLINK("https://ibp.a2mac1.com/costing(costing:projects/details/8191/process/6975307)","Stamping")</f>
        <v>Stamping</v>
      </c>
      <c r="C997">
        <v>6975307</v>
      </c>
      <c r="D997">
        <v>5388255</v>
      </c>
      <c r="E997">
        <v>0.41790672000000001</v>
      </c>
      <c r="F997">
        <v>0</v>
      </c>
      <c r="G997">
        <v>0</v>
      </c>
      <c r="H997">
        <v>0.0021146080032000002</v>
      </c>
      <c r="I997" t="s">
        <v>137</v>
      </c>
      <c r="J997">
        <v>0.014626735199999999</v>
      </c>
      <c r="K997">
        <v>0.43464806320319999</v>
      </c>
      <c r="L997">
        <v>0.012954808616905138</v>
      </c>
      <c r="M997">
        <v>0.077728851701430832</v>
      </c>
      <c r="N997">
        <v>0.51237691490463078</v>
      </c>
      <c r="O997" t="s">
        <v>138</v>
      </c>
      <c r="P997">
        <v>0.026078883792192</v>
      </c>
      <c r="Q997" t="s">
        <v>138</v>
      </c>
      <c r="R997">
        <v>0.0046637311020858501</v>
      </c>
      <c r="S997" t="s">
        <v>139</v>
      </c>
      <c r="T997">
        <v>0.061485229788555702</v>
      </c>
      <c r="U997">
        <v>0.6046047595874644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6</v>
      </c>
      <c r="AB997">
        <v>1</v>
      </c>
      <c r="AC997">
        <v>0.50</v>
      </c>
      <c r="AD997">
        <v>0.50345253019720215</v>
      </c>
      <c r="AE997">
        <v>10800</v>
      </c>
      <c r="AF997">
        <v>200000</v>
      </c>
      <c r="AG997">
        <v>16666.666666666668</v>
      </c>
      <c r="AH997">
        <v>1</v>
      </c>
      <c r="AI997">
        <v>1</v>
      </c>
      <c r="AJ997" t="s">
        <v>136</v>
      </c>
      <c r="AK997" t="s">
        <v>137</v>
      </c>
      <c r="AL997">
        <v>0</v>
      </c>
      <c r="AM997" t="s">
        <v>137</v>
      </c>
      <c r="AN997">
        <v>0</v>
      </c>
    </row>
    <row r="998" spans="1:42" ht="12.75">
      <c r="A998" s="2" t="str">
        <f>HYPERLINK("https://ibp.a2mac1.com/costing(costing:projects/details/8191/process/6975308)","Injection molding")</f>
        <v>Injection molding</v>
      </c>
      <c r="B998" t="s">
        <v>6095</v>
      </c>
      <c r="C998">
        <v>6975308</v>
      </c>
      <c r="D998">
        <v>5388256</v>
      </c>
      <c r="E998">
        <v>0.56038574560222443</v>
      </c>
      <c r="F998">
        <v>0</v>
      </c>
      <c r="G998">
        <v>0</v>
      </c>
      <c r="H998">
        <v>0.00056654504381920706</v>
      </c>
      <c r="I998" t="s">
        <v>137</v>
      </c>
      <c r="J998">
        <v>0.019632749043239847</v>
      </c>
      <c r="K998">
        <v>0.58058503968928343</v>
      </c>
      <c r="L998">
        <v>0.010183621273737989</v>
      </c>
      <c r="M998">
        <v>0.061101727642427939</v>
      </c>
      <c r="N998">
        <v>0.64168676733171137</v>
      </c>
      <c r="O998" t="s">
        <v>138</v>
      </c>
      <c r="P998">
        <v>0.034835102381357008</v>
      </c>
      <c r="Q998" t="s">
        <v>138</v>
      </c>
      <c r="R998">
        <v>0.0036661036585456763</v>
      </c>
      <c r="S998" t="s">
        <v>139</v>
      </c>
      <c r="T998">
        <v>0.077002412079805363</v>
      </c>
      <c r="U998">
        <v>0.75719038545141948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24.3354</v>
      </c>
      <c r="AB998">
        <v>1</v>
      </c>
      <c r="AC998">
        <v>0.10</v>
      </c>
      <c r="AD998">
        <v>0.1008980929261446</v>
      </c>
      <c r="AE998">
        <v>7200</v>
      </c>
      <c r="AF998">
        <v>400000</v>
      </c>
      <c r="AG998">
        <v>33333.333333333336</v>
      </c>
      <c r="AH998">
        <v>1</v>
      </c>
      <c r="AI998">
        <v>1</v>
      </c>
      <c r="AJ998" t="s">
        <v>136</v>
      </c>
      <c r="AK998" t="s">
        <v>137</v>
      </c>
      <c r="AL998">
        <v>0</v>
      </c>
      <c r="AM998" t="s">
        <v>137</v>
      </c>
      <c r="AN998">
        <v>0</v>
      </c>
    </row>
    <row r="999" spans="1:42" ht="12.75">
      <c r="A999" s="2" t="str">
        <f>HYPERLINK("https://ibp.a2mac1.com/costing(costing:projects/details/8191/process/6975512)","Automated Process")</f>
        <v>Automated Process</v>
      </c>
      <c r="C999">
        <v>6975512</v>
      </c>
      <c r="D999">
        <v>5388613</v>
      </c>
      <c r="E999">
        <v>2.1404708745000001</v>
      </c>
      <c r="F999">
        <v>0</v>
      </c>
      <c r="G999">
        <v>0</v>
      </c>
      <c r="H999">
        <v>0.010857927443578948</v>
      </c>
      <c r="I999" t="s">
        <v>137</v>
      </c>
      <c r="J999">
        <v>0.075104241210526321</v>
      </c>
      <c r="K999">
        <v>2.2264330431541053</v>
      </c>
      <c r="L999">
        <v>0.063484639076591784</v>
      </c>
      <c r="M999">
        <v>0.38090783445955073</v>
      </c>
      <c r="N999">
        <v>2.6073408776136562</v>
      </c>
      <c r="O999" t="s">
        <v>138</v>
      </c>
      <c r="P999">
        <v>0.13358598258924631</v>
      </c>
      <c r="Q999" t="s">
        <v>138</v>
      </c>
      <c r="R999">
        <v>0.022854470067573043</v>
      </c>
      <c r="S999" t="s">
        <v>139</v>
      </c>
      <c r="T999">
        <v>0.31288090531363871</v>
      </c>
      <c r="U999">
        <v>3.0766622355841142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60</v>
      </c>
      <c r="AB999">
        <v>1</v>
      </c>
      <c r="AC999">
        <v>0.50</v>
      </c>
      <c r="AD999">
        <v>0.50345253019720215</v>
      </c>
      <c r="AE999">
        <v>3680.10</v>
      </c>
      <c r="AF999">
        <v>200000</v>
      </c>
      <c r="AG999">
        <v>16666.666666666668</v>
      </c>
      <c r="AH999">
        <v>1</v>
      </c>
      <c r="AI999">
        <v>1</v>
      </c>
      <c r="AJ999" t="s">
        <v>136</v>
      </c>
      <c r="AK999" t="s">
        <v>137</v>
      </c>
      <c r="AL999">
        <v>0</v>
      </c>
      <c r="AM999" t="s">
        <v>137</v>
      </c>
      <c r="AN999">
        <v>0</v>
      </c>
    </row>
    <row r="1000" spans="1:42" ht="12.75">
      <c r="A1000" s="2" t="str">
        <f>HYPERLINK("https://ibp.a2mac1.com/costing(costing:projects/details/8191/process/6975513)","Automated Process")</f>
        <v>Automated Process</v>
      </c>
      <c r="C1000">
        <v>6975513</v>
      </c>
      <c r="D1000">
        <v>5388614</v>
      </c>
      <c r="E1000">
        <v>0.51106977600000003</v>
      </c>
      <c r="F1000">
        <v>0</v>
      </c>
      <c r="G1000">
        <v>0</v>
      </c>
      <c r="H1000">
        <v>0.0025924943023157895</v>
      </c>
      <c r="I1000" t="s">
        <v>137</v>
      </c>
      <c r="J1000">
        <v>0.017932272842105263</v>
      </c>
      <c r="K1000">
        <v>0.53159454314442101</v>
      </c>
      <c r="L1000">
        <v>0.0126341906214352</v>
      </c>
      <c r="M1000">
        <v>0.075805143728611205</v>
      </c>
      <c r="N1000">
        <v>0.60739968687303225</v>
      </c>
      <c r="O1000" t="s">
        <v>138</v>
      </c>
      <c r="P1000">
        <v>0.031895672588665262</v>
      </c>
      <c r="Q1000" t="s">
        <v>138</v>
      </c>
      <c r="R1000">
        <v>0.0045483086237166721</v>
      </c>
      <c r="S1000" t="s">
        <v>139</v>
      </c>
      <c r="T1000">
        <v>0.072887962424763864</v>
      </c>
      <c r="U1000">
        <v>0.71673163051017807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60</v>
      </c>
      <c r="AB1000">
        <v>1</v>
      </c>
      <c r="AC1000">
        <v>0.50</v>
      </c>
      <c r="AD1000">
        <v>0.50345253019720215</v>
      </c>
      <c r="AE1000">
        <v>734.40</v>
      </c>
      <c r="AF1000">
        <v>200000</v>
      </c>
      <c r="AG1000">
        <v>16666.666666666668</v>
      </c>
      <c r="AH1000">
        <v>1</v>
      </c>
      <c r="AI1000">
        <v>1</v>
      </c>
      <c r="AJ1000" t="s">
        <v>136</v>
      </c>
      <c r="AK1000" t="s">
        <v>137</v>
      </c>
      <c r="AL1000">
        <v>0</v>
      </c>
      <c r="AM1000" t="s">
        <v>137</v>
      </c>
      <c r="AN1000">
        <v>0</v>
      </c>
    </row>
    <row r="1001" spans="1:42" ht="12.75">
      <c r="A1001" s="2" t="str">
        <f>HYPERLINK("https://ibp.a2mac1.com/costing(costing:projects/details/8191/process/6975514)","Automated Process")</f>
        <v>Automated Process</v>
      </c>
      <c r="C1001">
        <v>6975514</v>
      </c>
      <c r="D1001">
        <v>5388615</v>
      </c>
      <c r="E1001">
        <v>0.50919084299999995</v>
      </c>
      <c r="F1001">
        <v>0</v>
      </c>
      <c r="G1001">
        <v>0</v>
      </c>
      <c r="H1001">
        <v>0.0025829630732631579</v>
      </c>
      <c r="I1001" t="s">
        <v>137</v>
      </c>
      <c r="J1001">
        <v>0.017866345368421053</v>
      </c>
      <c r="K1001">
        <v>0.52964015144168419</v>
      </c>
      <c r="L1001">
        <v>0.012587709619437264</v>
      </c>
      <c r="M1001">
        <v>0.075526257716623579</v>
      </c>
      <c r="N1001">
        <v>0.60516640915830777</v>
      </c>
      <c r="O1001" t="s">
        <v>138</v>
      </c>
      <c r="P1001">
        <v>0.03177840908650105</v>
      </c>
      <c r="Q1001" t="s">
        <v>138</v>
      </c>
      <c r="R1001">
        <v>0.0045315754629974151</v>
      </c>
      <c r="S1001" t="s">
        <v>139</v>
      </c>
      <c r="T1001">
        <v>0.072619969098996942</v>
      </c>
      <c r="U1001">
        <v>0.71409636280680322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60</v>
      </c>
      <c r="AB1001">
        <v>1</v>
      </c>
      <c r="AC1001">
        <v>0.50</v>
      </c>
      <c r="AD1001">
        <v>0.50345253019720215</v>
      </c>
      <c r="AE1001">
        <v>731.70</v>
      </c>
      <c r="AF1001">
        <v>200000</v>
      </c>
      <c r="AG1001">
        <v>16666.666666666668</v>
      </c>
      <c r="AH1001">
        <v>1</v>
      </c>
      <c r="AI1001">
        <v>1</v>
      </c>
      <c r="AJ1001" t="s">
        <v>136</v>
      </c>
      <c r="AK1001" t="s">
        <v>137</v>
      </c>
      <c r="AL1001">
        <v>0</v>
      </c>
      <c r="AM1001" t="s">
        <v>137</v>
      </c>
      <c r="AN1001">
        <v>0</v>
      </c>
    </row>
    <row r="1002" spans="1:42" ht="12.75">
      <c r="A1002" s="2" t="str">
        <f>HYPERLINK("https://ibp.a2mac1.com/costing(costing:projects/details/8191/process/6975515)","Automated Process")</f>
        <v>Automated Process</v>
      </c>
      <c r="C1002">
        <v>6975515</v>
      </c>
      <c r="D1002">
        <v>5388616</v>
      </c>
      <c r="E1002">
        <v>2.5216440480000002</v>
      </c>
      <c r="F1002">
        <v>0</v>
      </c>
      <c r="G1002">
        <v>0</v>
      </c>
      <c r="H1002">
        <v>0.012791497626947368</v>
      </c>
      <c r="I1002" t="s">
        <v>137</v>
      </c>
      <c r="J1002">
        <v>0.088478738526315784</v>
      </c>
      <c r="K1002">
        <v>2.6229142841532633</v>
      </c>
      <c r="L1002">
        <v>0.083087997338963521</v>
      </c>
      <c r="M1002">
        <v>0.49852798403378118</v>
      </c>
      <c r="N1002">
        <v>3.1214422681870442</v>
      </c>
      <c r="O1002" t="s">
        <v>138</v>
      </c>
      <c r="P1002">
        <v>0.15737485704919579</v>
      </c>
      <c r="Q1002" t="s">
        <v>138</v>
      </c>
      <c r="R1002">
        <v>0.029911679042026868</v>
      </c>
      <c r="S1002" t="s">
        <v>139</v>
      </c>
      <c r="T1002">
        <v>0.37457307218244534</v>
      </c>
      <c r="U1002">
        <v>3.6833018764607122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60</v>
      </c>
      <c r="AB1002">
        <v>1</v>
      </c>
      <c r="AC1002">
        <v>0.50</v>
      </c>
      <c r="AD1002">
        <v>0.50345253019720215</v>
      </c>
      <c r="AE1002">
        <v>4811.40</v>
      </c>
      <c r="AF1002">
        <v>200000</v>
      </c>
      <c r="AG1002">
        <v>16666.666666666668</v>
      </c>
      <c r="AH1002">
        <v>1</v>
      </c>
      <c r="AI1002">
        <v>1</v>
      </c>
      <c r="AJ1002" t="s">
        <v>136</v>
      </c>
      <c r="AK1002" t="s">
        <v>137</v>
      </c>
      <c r="AL1002">
        <v>0</v>
      </c>
      <c r="AM1002" t="s">
        <v>137</v>
      </c>
      <c r="AN1002">
        <v>0</v>
      </c>
    </row>
    <row r="1003" spans="1:42" ht="12.75">
      <c r="A1003" s="2" t="str">
        <f>HYPERLINK("https://ibp.a2mac1.com/costing(costing:projects/details/8191/process/6975309)","Automated Process")</f>
        <v>Automated Process</v>
      </c>
      <c r="C1003">
        <v>6975309</v>
      </c>
      <c r="D1003">
        <v>5388257</v>
      </c>
      <c r="E1003">
        <v>9.5575220999999999</v>
      </c>
      <c r="F1003">
        <v>0</v>
      </c>
      <c r="G1003">
        <v>0</v>
      </c>
      <c r="H1003">
        <v>0.048482267494736844</v>
      </c>
      <c r="I1003" t="s">
        <v>137</v>
      </c>
      <c r="J1003">
        <v>0.33535165263157896</v>
      </c>
      <c r="K1003">
        <v>9.9413560201263156</v>
      </c>
      <c r="L1003">
        <v>0.2227210080450486</v>
      </c>
      <c r="M1003">
        <v>1.3363260482702917</v>
      </c>
      <c r="N1003">
        <v>11.277682068396608</v>
      </c>
      <c r="O1003" t="s">
        <v>138</v>
      </c>
      <c r="P1003">
        <v>0.596481361207579</v>
      </c>
      <c r="Q1003" t="s">
        <v>138</v>
      </c>
      <c r="R1003">
        <v>0.080179562896217499</v>
      </c>
      <c r="S1003" t="s">
        <v>139</v>
      </c>
      <c r="T1003">
        <v>1.3533218482075928</v>
      </c>
      <c r="U1003">
        <v>13.307664840707996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60</v>
      </c>
      <c r="AB1003">
        <v>1</v>
      </c>
      <c r="AC1003">
        <v>0.50</v>
      </c>
      <c r="AD1003">
        <v>0.50345253019720215</v>
      </c>
      <c r="AE1003">
        <v>12903.30</v>
      </c>
      <c r="AF1003">
        <v>200000</v>
      </c>
      <c r="AG1003">
        <v>16666.666666666668</v>
      </c>
      <c r="AH1003">
        <v>1</v>
      </c>
      <c r="AI1003">
        <v>1</v>
      </c>
      <c r="AJ1003" t="s">
        <v>136</v>
      </c>
      <c r="AK1003" t="s">
        <v>137</v>
      </c>
      <c r="AL1003">
        <v>0</v>
      </c>
      <c r="AM1003" t="s">
        <v>137</v>
      </c>
      <c r="AN1003">
        <v>0</v>
      </c>
    </row>
    <row r="1004" spans="1:42" ht="12.75">
      <c r="A1004" s="2" t="str">
        <f>HYPERLINK("https://ibp.a2mac1.com/costing(costing:projects/details/8191/process/6975310)","Automated Process")</f>
        <v>Automated Process</v>
      </c>
      <c r="C1004">
        <v>6975310</v>
      </c>
      <c r="D1004">
        <v>5388258</v>
      </c>
      <c r="E1004">
        <v>1.8070367279999999</v>
      </c>
      <c r="F1004">
        <v>0</v>
      </c>
      <c r="G1004">
        <v>0</v>
      </c>
      <c r="H1004">
        <v>0.0091665221490526312</v>
      </c>
      <c r="I1004" t="s">
        <v>137</v>
      </c>
      <c r="J1004">
        <v>0.063404797473684216</v>
      </c>
      <c r="K1004">
        <v>1.8796080476227368</v>
      </c>
      <c r="L1004">
        <v>0.059466129786987669</v>
      </c>
      <c r="M1004">
        <v>0.356796778721926</v>
      </c>
      <c r="N1004">
        <v>2.2364048263446628</v>
      </c>
      <c r="O1004" t="s">
        <v>138</v>
      </c>
      <c r="P1004">
        <v>0.1127764828573642</v>
      </c>
      <c r="Q1004" t="s">
        <v>138</v>
      </c>
      <c r="R1004">
        <v>0.021407806723315558</v>
      </c>
      <c r="S1004" t="s">
        <v>139</v>
      </c>
      <c r="T1004">
        <v>0.26836857916135953</v>
      </c>
      <c r="U1004">
        <v>2.638957695086702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60</v>
      </c>
      <c r="AB1004">
        <v>1</v>
      </c>
      <c r="AC1004">
        <v>0.50</v>
      </c>
      <c r="AD1004">
        <v>0.50345253019720215</v>
      </c>
      <c r="AE1004">
        <v>3447.90</v>
      </c>
      <c r="AF1004">
        <v>200000</v>
      </c>
      <c r="AG1004">
        <v>16666.666666666668</v>
      </c>
      <c r="AH1004">
        <v>1</v>
      </c>
      <c r="AI1004">
        <v>1</v>
      </c>
      <c r="AJ1004" t="s">
        <v>136</v>
      </c>
      <c r="AK1004" t="s">
        <v>137</v>
      </c>
      <c r="AL1004">
        <v>0</v>
      </c>
      <c r="AM1004" t="s">
        <v>137</v>
      </c>
      <c r="AN1004">
        <v>0</v>
      </c>
    </row>
    <row r="1005" spans="1:42" ht="12.75">
      <c r="A1005" s="2" t="str">
        <f>HYPERLINK("https://ibp.a2mac1.com/costing(costing:projects/details/8191/process/6975311)","Stamping")</f>
        <v>Stamping</v>
      </c>
      <c r="C1005">
        <v>6975311</v>
      </c>
      <c r="D1005">
        <v>5388259</v>
      </c>
      <c r="E1005">
        <v>1.9244074500358286</v>
      </c>
      <c r="F1005">
        <v>0</v>
      </c>
      <c r="G1005">
        <v>0</v>
      </c>
      <c r="H1005">
        <v>0.010971091190658989</v>
      </c>
      <c r="I1005" t="s">
        <v>137</v>
      </c>
      <c r="J1005">
        <v>0.075886994401791433</v>
      </c>
      <c r="K1005">
        <v>2.0112655356282789</v>
      </c>
      <c r="L1005">
        <v>0.012954808616905138</v>
      </c>
      <c r="M1005">
        <v>0.077728851701430832</v>
      </c>
      <c r="N1005">
        <v>2.0889943873297097</v>
      </c>
      <c r="O1005" t="s">
        <v>138</v>
      </c>
      <c r="P1005">
        <v>0.12067593213769674</v>
      </c>
      <c r="Q1005" t="s">
        <v>138</v>
      </c>
      <c r="R1005">
        <v>0.0046637311020858501</v>
      </c>
      <c r="S1005" t="s">
        <v>139</v>
      </c>
      <c r="T1005">
        <v>0.2506793264795652</v>
      </c>
      <c r="U1005">
        <v>2.4650133770490577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6</v>
      </c>
      <c r="AB1005">
        <v>1</v>
      </c>
      <c r="AC1005">
        <v>0.50</v>
      </c>
      <c r="AD1005">
        <v>0.50345253019720215</v>
      </c>
      <c r="AE1005">
        <v>10800</v>
      </c>
      <c r="AF1005">
        <v>200000</v>
      </c>
      <c r="AG1005">
        <v>16666.666666666668</v>
      </c>
      <c r="AH1005">
        <v>1</v>
      </c>
      <c r="AI1005">
        <v>1</v>
      </c>
      <c r="AJ1005" t="s">
        <v>136</v>
      </c>
      <c r="AK1005" t="s">
        <v>137</v>
      </c>
      <c r="AL1005">
        <v>0</v>
      </c>
      <c r="AM1005" t="s">
        <v>137</v>
      </c>
      <c r="AN1005">
        <v>0</v>
      </c>
    </row>
    <row r="1006" spans="1:42" ht="12.75">
      <c r="A1006" s="2" t="str">
        <f>HYPERLINK("https://ibp.a2mac1.com/costing(costing:projects/details/8191/process/6975746)","Automated Process")</f>
        <v>Automated Process</v>
      </c>
      <c r="C1006">
        <v>6975746</v>
      </c>
      <c r="D1006">
        <v>5388923</v>
      </c>
      <c r="E1006">
        <v>0.051939609749999997</v>
      </c>
      <c r="F1006">
        <v>0</v>
      </c>
      <c r="G1006">
        <v>0</v>
      </c>
      <c r="H1006">
        <v>0.00026191101457894735</v>
      </c>
      <c r="I1006" t="s">
        <v>137</v>
      </c>
      <c r="J1006">
        <v>0.001822442447368421</v>
      </c>
      <c r="K1006">
        <v>0.054023963211947371</v>
      </c>
      <c r="L1006">
        <v>0.00094922270544670116</v>
      </c>
      <c r="M1006">
        <v>0.0056953362326802072</v>
      </c>
      <c r="N1006">
        <v>0.059719299444627574</v>
      </c>
      <c r="O1006" t="s">
        <v>138</v>
      </c>
      <c r="P1006">
        <v>0.003241437792716842</v>
      </c>
      <c r="Q1006" t="s">
        <v>138</v>
      </c>
      <c r="R1006">
        <v>0.00034172017396081239</v>
      </c>
      <c r="S1006" t="s">
        <v>139</v>
      </c>
      <c r="T1006">
        <v>0.0071663159333553092</v>
      </c>
      <c r="U1006">
        <v>0.070468773344660535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60</v>
      </c>
      <c r="AB1006">
        <v>1</v>
      </c>
      <c r="AC1006">
        <v>0.50</v>
      </c>
      <c r="AD1006">
        <v>0.50048257265952256</v>
      </c>
      <c r="AE1006">
        <v>55.35</v>
      </c>
      <c r="AF1006">
        <v>400000</v>
      </c>
      <c r="AG1006">
        <v>33333.333333333336</v>
      </c>
      <c r="AH1006">
        <v>1</v>
      </c>
      <c r="AI1006">
        <v>1</v>
      </c>
      <c r="AJ1006" t="s">
        <v>136</v>
      </c>
      <c r="AK1006" t="s">
        <v>137</v>
      </c>
      <c r="AL1006">
        <v>0</v>
      </c>
      <c r="AM1006" t="s">
        <v>137</v>
      </c>
      <c r="AN1006">
        <v>0</v>
      </c>
    </row>
    <row r="1007" spans="1:42" ht="12.75">
      <c r="A1007" s="2" t="str">
        <f>HYPERLINK("https://ibp.a2mac1.com/costing(costing:projects/details/8191/process/6975747)","Automated Process")</f>
        <v>Automated Process</v>
      </c>
      <c r="C1007">
        <v>6975747</v>
      </c>
      <c r="D1007">
        <v>5388924</v>
      </c>
      <c r="E1007">
        <v>0.76</v>
      </c>
      <c r="F1007">
        <v>0</v>
      </c>
      <c r="G1007">
        <v>0</v>
      </c>
      <c r="H1007">
        <v>0.0038227999999999999</v>
      </c>
      <c r="I1007" t="s">
        <v>137</v>
      </c>
      <c r="J1007">
        <v>0.026599999999999999</v>
      </c>
      <c r="K1007">
        <v>0.79042279999999998</v>
      </c>
      <c r="L1007">
        <v>0.35438532108972731</v>
      </c>
      <c r="M1007">
        <v>2.1263119265383637</v>
      </c>
      <c r="N1007">
        <v>2.9167347265383636</v>
      </c>
      <c r="O1007" t="s">
        <v>138</v>
      </c>
      <c r="P1007">
        <v>0.047425368000000002</v>
      </c>
      <c r="Q1007" t="s">
        <v>138</v>
      </c>
      <c r="R1007">
        <v>0.12757871559230183</v>
      </c>
      <c r="S1007" t="s">
        <v>139</v>
      </c>
      <c r="T1007">
        <v>0.35000816718460365</v>
      </c>
      <c r="U1007">
        <v>3.4417469773152694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200</v>
      </c>
      <c r="AB1007">
        <v>1</v>
      </c>
      <c r="AC1007">
        <v>0.50</v>
      </c>
      <c r="AD1007">
        <v>0.50048257265952256</v>
      </c>
      <c r="AE1007">
        <v>10800</v>
      </c>
      <c r="AF1007">
        <v>400000</v>
      </c>
      <c r="AG1007">
        <v>33333.333333333336</v>
      </c>
      <c r="AH1007">
        <v>1</v>
      </c>
      <c r="AI1007">
        <v>1</v>
      </c>
      <c r="AJ1007" t="s">
        <v>136</v>
      </c>
      <c r="AK1007" t="s">
        <v>137</v>
      </c>
      <c r="AL1007">
        <v>0</v>
      </c>
      <c r="AM1007" t="s">
        <v>137</v>
      </c>
      <c r="AN1007">
        <v>0</v>
      </c>
    </row>
    <row r="1008" spans="1:42" ht="12.75">
      <c r="A1008" s="2" t="str">
        <f>HYPERLINK("https://ibp.a2mac1.com/costing(costing:projects/details/8191/process/6975748)","Automated Process")</f>
        <v>Automated Process</v>
      </c>
      <c r="C1008">
        <v>6975748</v>
      </c>
      <c r="D1008">
        <v>5388930</v>
      </c>
      <c r="E1008">
        <v>0.14500189511111111</v>
      </c>
      <c r="F1008">
        <v>0</v>
      </c>
      <c r="G1008">
        <v>0</v>
      </c>
      <c r="H1008">
        <v>0.00075655368233918134</v>
      </c>
      <c r="I1008" t="s">
        <v>137</v>
      </c>
      <c r="J1008">
        <v>0.0052330788304093571</v>
      </c>
      <c r="K1008">
        <v>0.15099152762385964</v>
      </c>
      <c r="L1008">
        <v>0.0020940347147895321</v>
      </c>
      <c r="M1008">
        <v>0.012564208288737192</v>
      </c>
      <c r="N1008">
        <v>0.16355573591259684</v>
      </c>
      <c r="O1008" t="s">
        <v>138</v>
      </c>
      <c r="P1008">
        <v>0.009059491657431579</v>
      </c>
      <c r="Q1008" t="s">
        <v>138</v>
      </c>
      <c r="R1008">
        <v>0.00075385249732423155</v>
      </c>
      <c r="S1008" t="s">
        <v>139</v>
      </c>
      <c r="T1008">
        <v>0.019626688309511621</v>
      </c>
      <c r="U1008">
        <v>0.19299576837686427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60</v>
      </c>
      <c r="AB1008">
        <v>1</v>
      </c>
      <c r="AC1008">
        <v>0.50</v>
      </c>
      <c r="AD1008">
        <v>0.50345253019720215</v>
      </c>
      <c r="AE1008">
        <v>662.40</v>
      </c>
      <c r="AF1008">
        <v>200000</v>
      </c>
      <c r="AG1008">
        <v>16666.666666666668</v>
      </c>
      <c r="AH1008">
        <v>1</v>
      </c>
      <c r="AI1008">
        <v>1</v>
      </c>
      <c r="AJ1008" t="s">
        <v>136</v>
      </c>
      <c r="AK1008" t="s">
        <v>137</v>
      </c>
      <c r="AL1008">
        <v>0</v>
      </c>
      <c r="AM1008" t="s">
        <v>137</v>
      </c>
      <c r="AN1008">
        <v>0</v>
      </c>
    </row>
    <row r="1009" spans="1:42" ht="12.75">
      <c r="A1009" s="2" t="str">
        <f>HYPERLINK("https://ibp.a2mac1.com/costing(costing:projects/details/8191/process/6975749)","Automated Process")</f>
        <v>Automated Process</v>
      </c>
      <c r="C1009">
        <v>6975749</v>
      </c>
      <c r="D1009">
        <v>5388931</v>
      </c>
      <c r="E1009">
        <v>0.058527210000000003</v>
      </c>
      <c r="F1009">
        <v>0</v>
      </c>
      <c r="G1009">
        <v>0</v>
      </c>
      <c r="H1009">
        <v>0.00029688990736842106</v>
      </c>
      <c r="I1009" t="s">
        <v>137</v>
      </c>
      <c r="J1009">
        <v>0.0020535863157894736</v>
      </c>
      <c r="K1009">
        <v>0.060877686223157895</v>
      </c>
      <c r="L1009">
        <v>0.00092839371990018039</v>
      </c>
      <c r="M1009">
        <v>0.0055703623194010825</v>
      </c>
      <c r="N1009">
        <v>0.06644804854255898</v>
      </c>
      <c r="O1009" t="s">
        <v>138</v>
      </c>
      <c r="P1009">
        <v>0.0036526611733894735</v>
      </c>
      <c r="Q1009" t="s">
        <v>138</v>
      </c>
      <c r="R1009">
        <v>0.00033422173916406491</v>
      </c>
      <c r="S1009" t="s">
        <v>139</v>
      </c>
      <c r="T1009">
        <v>0.0079737658251070771</v>
      </c>
      <c r="U1009">
        <v>0.078408697280219597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60</v>
      </c>
      <c r="AB1009">
        <v>1</v>
      </c>
      <c r="AC1009">
        <v>0.50</v>
      </c>
      <c r="AD1009">
        <v>0.50345253019720215</v>
      </c>
      <c r="AE1009">
        <v>54</v>
      </c>
      <c r="AF1009">
        <v>200000</v>
      </c>
      <c r="AG1009">
        <v>16666.666666666668</v>
      </c>
      <c r="AH1009">
        <v>1</v>
      </c>
      <c r="AI1009">
        <v>1</v>
      </c>
      <c r="AJ1009" t="s">
        <v>136</v>
      </c>
      <c r="AK1009" t="s">
        <v>137</v>
      </c>
      <c r="AL1009">
        <v>0</v>
      </c>
      <c r="AM1009" t="s">
        <v>137</v>
      </c>
      <c r="AN1009">
        <v>0</v>
      </c>
    </row>
    <row r="1010" spans="1:42" ht="12.75">
      <c r="A1010" s="2" t="str">
        <f>HYPERLINK("https://ibp.a2mac1.com/costing(costing:projects/details/8191/process/6975750)","Automated Process")</f>
        <v>Automated Process</v>
      </c>
      <c r="C1010">
        <v>6975750</v>
      </c>
      <c r="D1010">
        <v>5388932</v>
      </c>
      <c r="E1010">
        <v>0.76</v>
      </c>
      <c r="F1010">
        <v>0</v>
      </c>
      <c r="G1010">
        <v>0</v>
      </c>
      <c r="H1010">
        <v>0.0038455999999999998</v>
      </c>
      <c r="I1010" t="s">
        <v>137</v>
      </c>
      <c r="J1010">
        <v>0.026599999999999999</v>
      </c>
      <c r="K1010">
        <v>0.79044559999999997</v>
      </c>
      <c r="L1010">
        <v>1.3799036169007284</v>
      </c>
      <c r="M1010">
        <v>8.2794217014043703</v>
      </c>
      <c r="N1010">
        <v>9.0698673014043703</v>
      </c>
      <c r="O1010" t="s">
        <v>90</v>
      </c>
      <c r="P1010">
        <v>0</v>
      </c>
      <c r="Q1010" t="s">
        <v>90</v>
      </c>
      <c r="R1010">
        <v>0</v>
      </c>
      <c r="S1010" t="s">
        <v>90</v>
      </c>
      <c r="T1010">
        <v>0</v>
      </c>
      <c r="U1010">
        <v>9.0698673014043703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780</v>
      </c>
      <c r="AB1010">
        <v>1</v>
      </c>
      <c r="AC1010">
        <v>0.50</v>
      </c>
      <c r="AD1010">
        <v>0.50345253019720215</v>
      </c>
      <c r="AE1010">
        <v>10800</v>
      </c>
      <c r="AF1010">
        <v>200000</v>
      </c>
      <c r="AG1010">
        <v>16666.666666666668</v>
      </c>
      <c r="AH1010">
        <v>1</v>
      </c>
      <c r="AI1010">
        <v>1</v>
      </c>
      <c r="AJ1010" t="s">
        <v>136</v>
      </c>
      <c r="AK1010" t="s">
        <v>137</v>
      </c>
      <c r="AL1010">
        <v>0</v>
      </c>
      <c r="AM1010" t="s">
        <v>137</v>
      </c>
      <c r="AN1010">
        <v>0</v>
      </c>
    </row>
    <row r="1011" spans="1:42" ht="12.75">
      <c r="A1011" s="2" t="str">
        <f>HYPERLINK("https://ibp.a2mac1.com/costing(costing:projects/details/8191/process/6975751)","Injection molding")</f>
        <v>Injection molding</v>
      </c>
      <c r="B1011" t="s">
        <v>6180</v>
      </c>
      <c r="C1011">
        <v>6975751</v>
      </c>
      <c r="D1011">
        <v>5388934</v>
      </c>
      <c r="E1011">
        <v>0.30402593115729221</v>
      </c>
      <c r="F1011">
        <v>0</v>
      </c>
      <c r="G1011">
        <v>0</v>
      </c>
      <c r="H1011">
        <v>0.0062143020159283226</v>
      </c>
      <c r="I1011" t="s">
        <v>137</v>
      </c>
      <c r="J1011">
        <v>0.010651350174216027</v>
      </c>
      <c r="K1011">
        <v>0.32089158334743656</v>
      </c>
      <c r="L1011">
        <v>0.020261995838046252</v>
      </c>
      <c r="M1011">
        <v>0.12157197502827752</v>
      </c>
      <c r="N1011">
        <v>0.44246355837571405</v>
      </c>
      <c r="O1011" t="s">
        <v>90</v>
      </c>
      <c r="P1011">
        <v>0</v>
      </c>
      <c r="Q1011" t="s">
        <v>90</v>
      </c>
      <c r="R1011">
        <v>0</v>
      </c>
      <c r="S1011" t="s">
        <v>90</v>
      </c>
      <c r="T1011">
        <v>0</v>
      </c>
      <c r="U1011">
        <v>0.44246355837571405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28.506440000000001</v>
      </c>
      <c r="AB1011">
        <v>1</v>
      </c>
      <c r="AC1011">
        <v>2</v>
      </c>
      <c r="AD1011">
        <v>2.001136786813273</v>
      </c>
      <c r="AE1011">
        <v>9000</v>
      </c>
      <c r="AF1011">
        <v>200000</v>
      </c>
      <c r="AG1011">
        <v>16666.666666666668</v>
      </c>
      <c r="AH1011">
        <v>1</v>
      </c>
      <c r="AI1011">
        <v>1</v>
      </c>
      <c r="AJ1011" t="s">
        <v>136</v>
      </c>
      <c r="AK1011" t="s">
        <v>137</v>
      </c>
      <c r="AL1011">
        <v>0</v>
      </c>
      <c r="AM1011" t="s">
        <v>137</v>
      </c>
      <c r="AN1011">
        <v>0</v>
      </c>
    </row>
    <row r="1012" spans="1:42" ht="12.75">
      <c r="A1012" s="2" t="str">
        <f>HYPERLINK("https://ibp.a2mac1.com/costing(costing:projects/details/8191/process/6975516)","Automated Process")</f>
        <v>Automated Process</v>
      </c>
      <c r="C1012">
        <v>6975516</v>
      </c>
      <c r="D1012">
        <v>5388619</v>
      </c>
      <c r="E1012">
        <v>0.062920478249999995</v>
      </c>
      <c r="F1012">
        <v>0</v>
      </c>
      <c r="G1012">
        <v>0</v>
      </c>
      <c r="H1012">
        <v>0.00031728321363157897</v>
      </c>
      <c r="I1012" t="s">
        <v>137</v>
      </c>
      <c r="J1012">
        <v>0.0022077360789473682</v>
      </c>
      <c r="K1012">
        <v>0.065445497542578945</v>
      </c>
      <c r="L1012">
        <v>0.002743619719178018</v>
      </c>
      <c r="M1012">
        <v>0.016461718315068107</v>
      </c>
      <c r="N1012">
        <v>0.081907215857647056</v>
      </c>
      <c r="O1012" t="s">
        <v>138</v>
      </c>
      <c r="P1012">
        <v>0.0039267298525547372</v>
      </c>
      <c r="Q1012" t="s">
        <v>138</v>
      </c>
      <c r="R1012">
        <v>0.00098770309890408646</v>
      </c>
      <c r="S1012" t="s">
        <v>139</v>
      </c>
      <c r="T1012">
        <v>0.009828865902917646</v>
      </c>
      <c r="U1012">
        <v>0.09665051471202353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60</v>
      </c>
      <c r="AB1012">
        <v>1</v>
      </c>
      <c r="AC1012">
        <v>0.50</v>
      </c>
      <c r="AD1012">
        <v>0.50048257265952256</v>
      </c>
      <c r="AE1012">
        <v>159.975</v>
      </c>
      <c r="AF1012">
        <v>400000</v>
      </c>
      <c r="AG1012">
        <v>33333.333333333336</v>
      </c>
      <c r="AH1012">
        <v>1</v>
      </c>
      <c r="AI1012">
        <v>1</v>
      </c>
      <c r="AJ1012" t="s">
        <v>136</v>
      </c>
      <c r="AK1012" t="s">
        <v>137</v>
      </c>
      <c r="AL1012">
        <v>0</v>
      </c>
      <c r="AM1012" t="s">
        <v>137</v>
      </c>
      <c r="AN1012">
        <v>0</v>
      </c>
    </row>
    <row r="1013" spans="1:42" ht="12.75">
      <c r="A1013" s="2" t="str">
        <f>HYPERLINK("https://ibp.a2mac1.com/costing(costing:projects/details/8191/process/6975517)","Automated Process")</f>
        <v>Automated Process</v>
      </c>
      <c r="C1013">
        <v>6975517</v>
      </c>
      <c r="D1013">
        <v>5388620</v>
      </c>
      <c r="E1013">
        <v>0.19345690500000001</v>
      </c>
      <c r="F1013">
        <v>0</v>
      </c>
      <c r="G1013">
        <v>0</v>
      </c>
      <c r="H1013">
        <v>0.0010519872780000001</v>
      </c>
      <c r="I1013" t="s">
        <v>137</v>
      </c>
      <c r="J1013">
        <v>0.0073199909999999997</v>
      </c>
      <c r="K1013">
        <v>0.201828883278</v>
      </c>
      <c r="L1013">
        <v>0.010009272996203397</v>
      </c>
      <c r="M1013">
        <v>0.060055637977220376</v>
      </c>
      <c r="N1013">
        <v>0.26188452125522038</v>
      </c>
      <c r="O1013" t="s">
        <v>138</v>
      </c>
      <c r="P1013">
        <v>0.01210973299668</v>
      </c>
      <c r="Q1013" t="s">
        <v>138</v>
      </c>
      <c r="R1013">
        <v>0.0036033382786332226</v>
      </c>
      <c r="S1013" t="s">
        <v>139</v>
      </c>
      <c r="T1013">
        <v>0.031426142550626444</v>
      </c>
      <c r="U1013">
        <v>0.30902373508116004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5</v>
      </c>
      <c r="AB1013">
        <v>1</v>
      </c>
      <c r="AC1013">
        <v>0.50</v>
      </c>
      <c r="AD1013">
        <v>0.50048257265952256</v>
      </c>
      <c r="AE1013">
        <v>10800</v>
      </c>
      <c r="AF1013">
        <v>400000</v>
      </c>
      <c r="AG1013">
        <v>33333.333333333336</v>
      </c>
      <c r="AH1013">
        <v>1</v>
      </c>
      <c r="AI1013">
        <v>1</v>
      </c>
      <c r="AJ1013" t="s">
        <v>136</v>
      </c>
      <c r="AK1013" t="s">
        <v>137</v>
      </c>
      <c r="AL1013">
        <v>0</v>
      </c>
      <c r="AM1013" t="s">
        <v>137</v>
      </c>
      <c r="AN1013">
        <v>0</v>
      </c>
    </row>
    <row r="1014" spans="1:42" ht="12.75">
      <c r="A1014" s="2" t="str">
        <f>HYPERLINK("https://ibp.a2mac1.com/costing(costing:projects/details/8191/process/6975518)","Automated Process")</f>
        <v>Automated Process</v>
      </c>
      <c r="C1014">
        <v>6975518</v>
      </c>
      <c r="D1014">
        <v>5388623</v>
      </c>
      <c r="E1014">
        <v>89.736469999999997</v>
      </c>
      <c r="F1014">
        <v>0</v>
      </c>
      <c r="G1014">
        <v>0</v>
      </c>
      <c r="H1014">
        <v>0.45406653819999998</v>
      </c>
      <c r="I1014" t="s">
        <v>137</v>
      </c>
      <c r="J1014">
        <v>3.1407764500000002</v>
      </c>
      <c r="K1014">
        <v>93.331312988199997</v>
      </c>
      <c r="L1014">
        <v>1.3799036169007284</v>
      </c>
      <c r="M1014">
        <v>8.2794217014043703</v>
      </c>
      <c r="N1014">
        <v>101.61073468960437</v>
      </c>
      <c r="O1014" t="s">
        <v>138</v>
      </c>
      <c r="P1014">
        <v>5.5998787792920002</v>
      </c>
      <c r="Q1014" t="s">
        <v>138</v>
      </c>
      <c r="R1014">
        <v>0.49676530208426223</v>
      </c>
      <c r="S1014" t="s">
        <v>139</v>
      </c>
      <c r="T1014">
        <v>12.193288162752525</v>
      </c>
      <c r="U1014">
        <v>119.90066693373316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780</v>
      </c>
      <c r="AB1014">
        <v>1</v>
      </c>
      <c r="AC1014">
        <v>0.50</v>
      </c>
      <c r="AD1014">
        <v>0.50345253019720215</v>
      </c>
      <c r="AE1014">
        <v>10800</v>
      </c>
      <c r="AF1014">
        <v>200000</v>
      </c>
      <c r="AG1014">
        <v>16666.666666666668</v>
      </c>
      <c r="AH1014">
        <v>1</v>
      </c>
      <c r="AI1014">
        <v>1</v>
      </c>
      <c r="AJ1014" t="s">
        <v>136</v>
      </c>
      <c r="AK1014" t="s">
        <v>137</v>
      </c>
      <c r="AL1014">
        <v>0</v>
      </c>
      <c r="AM1014" t="s">
        <v>137</v>
      </c>
      <c r="AN1014">
        <v>0</v>
      </c>
    </row>
    <row r="1015" spans="1:42" ht="12.75">
      <c r="A1015" s="2" t="str">
        <f>HYPERLINK("https://ibp.a2mac1.com/costing(costing:projects/details/8191/process/6975312)","Automated Process")</f>
        <v>Automated Process</v>
      </c>
      <c r="C1015">
        <v>6975312</v>
      </c>
      <c r="D1015">
        <v>5388265</v>
      </c>
      <c r="E1015">
        <v>0.71893947300000005</v>
      </c>
      <c r="F1015">
        <v>0</v>
      </c>
      <c r="G1015">
        <v>0</v>
      </c>
      <c r="H1015">
        <v>0.0036469511111578948</v>
      </c>
      <c r="I1015" t="s">
        <v>137</v>
      </c>
      <c r="J1015">
        <v>0.025225946421052633</v>
      </c>
      <c r="K1015">
        <v>0.7478123705322105</v>
      </c>
      <c r="L1015">
        <v>0.031478274041232497</v>
      </c>
      <c r="M1015">
        <v>0.18886964424739497</v>
      </c>
      <c r="N1015">
        <v>0.93668201477960544</v>
      </c>
      <c r="O1015" t="s">
        <v>138</v>
      </c>
      <c r="P1015">
        <v>0.044868742231932629</v>
      </c>
      <c r="Q1015" t="s">
        <v>138</v>
      </c>
      <c r="R1015">
        <v>0.011332178654843698</v>
      </c>
      <c r="S1015" t="s">
        <v>139</v>
      </c>
      <c r="T1015">
        <v>0.11240184177355265</v>
      </c>
      <c r="U1015">
        <v>1.1052847774399346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60</v>
      </c>
      <c r="AB1015">
        <v>1</v>
      </c>
      <c r="AC1015">
        <v>0.50</v>
      </c>
      <c r="AD1015">
        <v>0.50345253019720215</v>
      </c>
      <c r="AE1015">
        <v>1827.90</v>
      </c>
      <c r="AF1015">
        <v>200000</v>
      </c>
      <c r="AG1015">
        <v>16666.666666666668</v>
      </c>
      <c r="AH1015">
        <v>1</v>
      </c>
      <c r="AI1015">
        <v>1</v>
      </c>
      <c r="AJ1015" t="s">
        <v>136</v>
      </c>
      <c r="AK1015" t="s">
        <v>137</v>
      </c>
      <c r="AL1015">
        <v>0</v>
      </c>
      <c r="AM1015" t="s">
        <v>137</v>
      </c>
      <c r="AN1015">
        <v>0</v>
      </c>
    </row>
    <row r="1016" spans="1:42" ht="12.75">
      <c r="A1016" s="2" t="str">
        <f>HYPERLINK("https://ibp.a2mac1.com/costing(costing:projects/details/8191/process/6975313)","Automated Process")</f>
        <v>Automated Process</v>
      </c>
      <c r="C1016">
        <v>6975313</v>
      </c>
      <c r="D1016">
        <v>5388266</v>
      </c>
      <c r="E1016">
        <v>0.073274481000000002</v>
      </c>
      <c r="F1016">
        <v>0</v>
      </c>
      <c r="G1016">
        <v>0</v>
      </c>
      <c r="H1016">
        <v>0.00036949437536842108</v>
      </c>
      <c r="I1016" t="s">
        <v>137</v>
      </c>
      <c r="J1016">
        <v>0.0025710344210526314</v>
      </c>
      <c r="K1016">
        <v>0.076215009796421054</v>
      </c>
      <c r="L1016">
        <v>0.0031951408802140093</v>
      </c>
      <c r="M1016">
        <v>0.019170845281284057</v>
      </c>
      <c r="N1016">
        <v>0.095385855077705112</v>
      </c>
      <c r="O1016" t="s">
        <v>138</v>
      </c>
      <c r="P1016">
        <v>0.0045729005877852636</v>
      </c>
      <c r="Q1016" t="s">
        <v>138</v>
      </c>
      <c r="R1016">
        <v>0.0011502507168770434</v>
      </c>
      <c r="S1016" t="s">
        <v>139</v>
      </c>
      <c r="T1016">
        <v>0.011446302609324614</v>
      </c>
      <c r="U1016">
        <v>0.11255530899169203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60</v>
      </c>
      <c r="AB1016">
        <v>1</v>
      </c>
      <c r="AC1016">
        <v>0.50</v>
      </c>
      <c r="AD1016">
        <v>0.50048257265952256</v>
      </c>
      <c r="AE1016">
        <v>186.30</v>
      </c>
      <c r="AF1016">
        <v>400000</v>
      </c>
      <c r="AG1016">
        <v>33333.333333333336</v>
      </c>
      <c r="AH1016">
        <v>1</v>
      </c>
      <c r="AI1016">
        <v>1</v>
      </c>
      <c r="AJ1016" t="s">
        <v>136</v>
      </c>
      <c r="AK1016" t="s">
        <v>137</v>
      </c>
      <c r="AL1016">
        <v>0</v>
      </c>
      <c r="AM1016" t="s">
        <v>137</v>
      </c>
      <c r="AN1016">
        <v>0</v>
      </c>
    </row>
    <row r="1017" spans="1:42" ht="12.75">
      <c r="A1017" s="2" t="str">
        <f>HYPERLINK("https://ibp.a2mac1.com/costing(costing:projects/details/8191/process/6975314)","Automated Process")</f>
        <v>Automated Process</v>
      </c>
      <c r="C1017">
        <v>6975314</v>
      </c>
      <c r="D1017">
        <v>5388267</v>
      </c>
      <c r="E1017">
        <v>0.10831879799999999</v>
      </c>
      <c r="F1017">
        <v>0</v>
      </c>
      <c r="G1017">
        <v>0</v>
      </c>
      <c r="H1017">
        <v>0.00054946678484210523</v>
      </c>
      <c r="I1017" t="s">
        <v>137</v>
      </c>
      <c r="J1017">
        <v>0.0038006595789473684</v>
      </c>
      <c r="K1017">
        <v>0.11266892436378947</v>
      </c>
      <c r="L1017">
        <v>0.0047357885585817012</v>
      </c>
      <c r="M1017">
        <v>0.028414731351490207</v>
      </c>
      <c r="N1017">
        <v>0.14108365571527967</v>
      </c>
      <c r="O1017" t="s">
        <v>138</v>
      </c>
      <c r="P1017">
        <v>0.0067601354618273685</v>
      </c>
      <c r="Q1017" t="s">
        <v>138</v>
      </c>
      <c r="R1017">
        <v>0.0017048838810894125</v>
      </c>
      <c r="S1017" t="s">
        <v>139</v>
      </c>
      <c r="T1017">
        <v>0.016930038685833562</v>
      </c>
      <c r="U1017">
        <v>0.16647871374403003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60</v>
      </c>
      <c r="AB1017">
        <v>1</v>
      </c>
      <c r="AC1017">
        <v>0.50</v>
      </c>
      <c r="AD1017">
        <v>0.50345253019720215</v>
      </c>
      <c r="AE1017">
        <v>275.40</v>
      </c>
      <c r="AF1017">
        <v>200000</v>
      </c>
      <c r="AG1017">
        <v>16666.666666666668</v>
      </c>
      <c r="AH1017">
        <v>1</v>
      </c>
      <c r="AI1017">
        <v>1</v>
      </c>
      <c r="AJ1017" t="s">
        <v>136</v>
      </c>
      <c r="AK1017" t="s">
        <v>137</v>
      </c>
      <c r="AL1017">
        <v>0</v>
      </c>
      <c r="AM1017" t="s">
        <v>137</v>
      </c>
      <c r="AN1017">
        <v>0</v>
      </c>
    </row>
    <row r="1018" spans="1:42" ht="12.75">
      <c r="A1018" s="2" t="str">
        <f>HYPERLINK("https://ibp.a2mac1.com/costing(costing:projects/details/8191/process/6975519)","Automated Process")</f>
        <v>Automated Process</v>
      </c>
      <c r="C1018">
        <v>6975519</v>
      </c>
      <c r="D1018">
        <v>5388624</v>
      </c>
      <c r="E1018">
        <v>0.0031858469999999999</v>
      </c>
      <c r="F1018">
        <v>0</v>
      </c>
      <c r="G1018">
        <v>0</v>
      </c>
      <c r="H1018">
        <v>1.6160787789473685E-05</v>
      </c>
      <c r="I1018" t="s">
        <v>137</v>
      </c>
      <c r="J1018">
        <v>0.00011178410526315789</v>
      </c>
      <c r="K1018">
        <v>0.0033137918930526314</v>
      </c>
      <c r="L1018">
        <v>0.0001392530787954491</v>
      </c>
      <c r="M1018">
        <v>0.00083551847277269474</v>
      </c>
      <c r="N1018">
        <v>0.0041493103658253264</v>
      </c>
      <c r="O1018" t="s">
        <v>138</v>
      </c>
      <c r="P1018">
        <v>0.00019882751358315791</v>
      </c>
      <c r="Q1018" t="s">
        <v>138</v>
      </c>
      <c r="R1018">
        <v>5.0131108366361679E-05</v>
      </c>
      <c r="S1018" t="s">
        <v>139</v>
      </c>
      <c r="T1018">
        <v>0.00049791724389903916</v>
      </c>
      <c r="U1018">
        <v>0.0048961862316738852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60</v>
      </c>
      <c r="AB1018">
        <v>1</v>
      </c>
      <c r="AC1018">
        <v>0.50</v>
      </c>
      <c r="AD1018">
        <v>0.50345253019720215</v>
      </c>
      <c r="AE1018">
        <v>8.10</v>
      </c>
      <c r="AF1018">
        <v>200000</v>
      </c>
      <c r="AG1018">
        <v>16666.666666666668</v>
      </c>
      <c r="AH1018">
        <v>1</v>
      </c>
      <c r="AI1018">
        <v>1</v>
      </c>
      <c r="AJ1018" t="s">
        <v>136</v>
      </c>
      <c r="AK1018" t="s">
        <v>137</v>
      </c>
      <c r="AL1018">
        <v>0</v>
      </c>
      <c r="AM1018" t="s">
        <v>137</v>
      </c>
      <c r="AN1018">
        <v>0</v>
      </c>
    </row>
    <row r="1019" spans="1:42" ht="12.75">
      <c r="A1019" s="2" t="str">
        <f>HYPERLINK("https://ibp.a2mac1.com/costing(costing:projects/details/8191/process/6975520)","Automated Process")</f>
        <v>Automated Process</v>
      </c>
      <c r="C1019">
        <v>6975520</v>
      </c>
      <c r="D1019">
        <v>5388625</v>
      </c>
      <c r="E1019">
        <v>0.0031858469999999999</v>
      </c>
      <c r="F1019">
        <v>0</v>
      </c>
      <c r="G1019">
        <v>0</v>
      </c>
      <c r="H1019">
        <v>1.6160787789473685E-05</v>
      </c>
      <c r="I1019" t="s">
        <v>137</v>
      </c>
      <c r="J1019">
        <v>0.00011178410526315789</v>
      </c>
      <c r="K1019">
        <v>0.0033137918930526314</v>
      </c>
      <c r="L1019">
        <v>0.0001392530787954491</v>
      </c>
      <c r="M1019">
        <v>0.00083551847277269474</v>
      </c>
      <c r="N1019">
        <v>0.0041493103658253264</v>
      </c>
      <c r="O1019" t="s">
        <v>138</v>
      </c>
      <c r="P1019">
        <v>0.00019882751358315791</v>
      </c>
      <c r="Q1019" t="s">
        <v>138</v>
      </c>
      <c r="R1019">
        <v>5.0131108366361679E-05</v>
      </c>
      <c r="S1019" t="s">
        <v>139</v>
      </c>
      <c r="T1019">
        <v>0.00049791724389903916</v>
      </c>
      <c r="U1019">
        <v>0.0048961862316738852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60</v>
      </c>
      <c r="AB1019">
        <v>1</v>
      </c>
      <c r="AC1019">
        <v>0.50</v>
      </c>
      <c r="AD1019">
        <v>0.50345253019720215</v>
      </c>
      <c r="AE1019">
        <v>8.10</v>
      </c>
      <c r="AF1019">
        <v>200000</v>
      </c>
      <c r="AG1019">
        <v>16666.666666666668</v>
      </c>
      <c r="AH1019">
        <v>1</v>
      </c>
      <c r="AI1019">
        <v>1</v>
      </c>
      <c r="AJ1019" t="s">
        <v>136</v>
      </c>
      <c r="AK1019" t="s">
        <v>137</v>
      </c>
      <c r="AL1019">
        <v>0</v>
      </c>
      <c r="AM1019" t="s">
        <v>137</v>
      </c>
      <c r="AN1019">
        <v>0</v>
      </c>
    </row>
    <row r="1020" spans="1:42" ht="12.75">
      <c r="A1020" s="2" t="str">
        <f>HYPERLINK("https://ibp.a2mac1.com/costing(costing:projects/details/8191/process/6975315)","Stamping")</f>
        <v>Stamping</v>
      </c>
      <c r="C1020">
        <v>6975315</v>
      </c>
      <c r="D1020">
        <v>5388268</v>
      </c>
      <c r="E1020">
        <v>0.53452578776470583</v>
      </c>
      <c r="F1020">
        <v>0</v>
      </c>
      <c r="G1020">
        <v>0</v>
      </c>
      <c r="H1020">
        <v>0.0029919253164705883</v>
      </c>
      <c r="I1020" t="s">
        <v>137</v>
      </c>
      <c r="J1020">
        <v>0.020695135588235294</v>
      </c>
      <c r="K1020">
        <v>0.55821284866941179</v>
      </c>
      <c r="L1020">
        <v>0.011188724885354787</v>
      </c>
      <c r="M1020">
        <v>0.06713234931212872</v>
      </c>
      <c r="N1020">
        <v>0.62534519798154053</v>
      </c>
      <c r="O1020" t="s">
        <v>138</v>
      </c>
      <c r="P1020">
        <v>0.033492770920164706</v>
      </c>
      <c r="Q1020" t="s">
        <v>138</v>
      </c>
      <c r="R1020">
        <v>0.0040279409587277229</v>
      </c>
      <c r="S1020" t="s">
        <v>139</v>
      </c>
      <c r="T1020">
        <v>0.075041423757784859</v>
      </c>
      <c r="U1020">
        <v>0.73790733361821781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5</v>
      </c>
      <c r="AB1020">
        <v>1</v>
      </c>
      <c r="AC1020">
        <v>0.50</v>
      </c>
      <c r="AD1020">
        <v>0.50345253019720215</v>
      </c>
      <c r="AE1020">
        <v>10800</v>
      </c>
      <c r="AF1020">
        <v>200000</v>
      </c>
      <c r="AG1020">
        <v>16666.666666666668</v>
      </c>
      <c r="AH1020">
        <v>1</v>
      </c>
      <c r="AI1020">
        <v>1</v>
      </c>
      <c r="AJ1020" t="s">
        <v>136</v>
      </c>
      <c r="AK1020" t="s">
        <v>137</v>
      </c>
      <c r="AL1020">
        <v>0</v>
      </c>
      <c r="AM1020" t="s">
        <v>137</v>
      </c>
      <c r="AN1020">
        <v>0</v>
      </c>
    </row>
    <row r="1021" spans="1:42" ht="12.75">
      <c r="A1021" s="2" t="str">
        <f>HYPERLINK("https://ibp.a2mac1.com/costing(costing:projects/details/8191/process/6975316)","Seal Extrusion (Multi Layer)")</f>
        <v>Seal Extrusion (Multi Layer)</v>
      </c>
      <c r="B1021" t="s">
        <v>5362</v>
      </c>
      <c r="C1021">
        <v>6975316</v>
      </c>
      <c r="D1021">
        <v>5388269</v>
      </c>
      <c r="E1021">
        <v>0.36863560289473685</v>
      </c>
      <c r="F1021">
        <v>0</v>
      </c>
      <c r="G1021">
        <v>0</v>
      </c>
      <c r="H1021">
        <v>0.00038406751157894737</v>
      </c>
      <c r="I1021" t="s">
        <v>137</v>
      </c>
      <c r="J1021">
        <v>0.012925348947368421</v>
      </c>
      <c r="K1021">
        <v>0.38194501935368419</v>
      </c>
      <c r="L1021">
        <v>0.03696388264930988</v>
      </c>
      <c r="M1021">
        <v>0.22178329589585927</v>
      </c>
      <c r="N1021">
        <v>0.60372831524954351</v>
      </c>
      <c r="O1021" t="s">
        <v>138</v>
      </c>
      <c r="P1021">
        <v>0.022916701161221052</v>
      </c>
      <c r="Q1021" t="s">
        <v>138</v>
      </c>
      <c r="R1021">
        <v>0.013306997753751557</v>
      </c>
      <c r="S1021" t="s">
        <v>139</v>
      </c>
      <c r="T1021">
        <v>0.07244739782994522</v>
      </c>
      <c r="U1021">
        <v>0.71239941199446133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15</v>
      </c>
      <c r="AB1021">
        <v>1</v>
      </c>
      <c r="AC1021">
        <v>0.10</v>
      </c>
      <c r="AD1021">
        <v>0.10389195236953569</v>
      </c>
      <c r="AE1021">
        <v>1800</v>
      </c>
      <c r="AF1021">
        <v>200000</v>
      </c>
      <c r="AG1021">
        <v>16666.666666666668</v>
      </c>
      <c r="AH1021">
        <v>1</v>
      </c>
      <c r="AI1021">
        <v>1</v>
      </c>
      <c r="AJ1021" t="s">
        <v>136</v>
      </c>
      <c r="AK1021" t="s">
        <v>137</v>
      </c>
      <c r="AL1021">
        <v>0</v>
      </c>
      <c r="AM1021" t="s">
        <v>137</v>
      </c>
      <c r="AN1021">
        <v>0</v>
      </c>
    </row>
    <row r="1022" spans="1:42" ht="12.75">
      <c r="A1022" s="2" t="str">
        <f>HYPERLINK("https://ibp.a2mac1.com/costing(costing:projects/details/8191/process/6975317)","Automated Process")</f>
        <v>Automated Process</v>
      </c>
      <c r="C1022">
        <v>6975317</v>
      </c>
      <c r="D1022">
        <v>5388271</v>
      </c>
      <c r="E1022">
        <v>1.38902897175</v>
      </c>
      <c r="F1022">
        <v>0</v>
      </c>
      <c r="G1022">
        <v>0</v>
      </c>
      <c r="H1022">
        <v>0.0070043265442631579</v>
      </c>
      <c r="I1022" t="s">
        <v>137</v>
      </c>
      <c r="J1022">
        <v>0.048737858657894734</v>
      </c>
      <c r="K1022">
        <v>1.444771156952158</v>
      </c>
      <c r="L1022">
        <v>0.041000283132056822</v>
      </c>
      <c r="M1022">
        <v>0.24600169879234093</v>
      </c>
      <c r="N1022">
        <v>1.6907728557444988</v>
      </c>
      <c r="O1022" t="s">
        <v>138</v>
      </c>
      <c r="P1022">
        <v>0.08668626941712948</v>
      </c>
      <c r="Q1022" t="s">
        <v>138</v>
      </c>
      <c r="R1022">
        <v>0.014760101927540457</v>
      </c>
      <c r="S1022" t="s">
        <v>139</v>
      </c>
      <c r="T1022">
        <v>0.20289274268933985</v>
      </c>
      <c r="U1022">
        <v>1.9951119697785087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60</v>
      </c>
      <c r="AB1022">
        <v>1</v>
      </c>
      <c r="AC1022">
        <v>0.50</v>
      </c>
      <c r="AD1022">
        <v>0.50048257265952256</v>
      </c>
      <c r="AE1022">
        <v>2388.15</v>
      </c>
      <c r="AF1022">
        <v>400000</v>
      </c>
      <c r="AG1022">
        <v>33333.333333333336</v>
      </c>
      <c r="AH1022">
        <v>1</v>
      </c>
      <c r="AI1022">
        <v>1</v>
      </c>
      <c r="AJ1022" t="s">
        <v>136</v>
      </c>
      <c r="AK1022" t="s">
        <v>137</v>
      </c>
      <c r="AL1022">
        <v>0</v>
      </c>
      <c r="AM1022" t="s">
        <v>137</v>
      </c>
      <c r="AN1022">
        <v>0</v>
      </c>
    </row>
    <row r="1023" spans="1:42" ht="12.75">
      <c r="A1023" s="2" t="str">
        <f>HYPERLINK("https://ibp.a2mac1.com/costing(costing:projects/details/8191/process/6975318)","Automated Process")</f>
        <v>Automated Process</v>
      </c>
      <c r="C1023">
        <v>6975318</v>
      </c>
      <c r="D1023">
        <v>5388272</v>
      </c>
      <c r="E1023">
        <v>0.016854431999999999</v>
      </c>
      <c r="F1023">
        <v>0</v>
      </c>
      <c r="G1023">
        <v>0</v>
      </c>
      <c r="H1023">
        <v>8.4990268631578947E-05</v>
      </c>
      <c r="I1023" t="s">
        <v>137</v>
      </c>
      <c r="J1023">
        <v>0.00059138357894736847</v>
      </c>
      <c r="K1023">
        <v>0.017530805847578948</v>
      </c>
      <c r="L1023">
        <v>0.00032411928687215726</v>
      </c>
      <c r="M1023">
        <v>0.0019447157212329437</v>
      </c>
      <c r="N1023">
        <v>0.019475521568811893</v>
      </c>
      <c r="O1023" t="s">
        <v>138</v>
      </c>
      <c r="P1023">
        <v>0.0010518483508547369</v>
      </c>
      <c r="Q1023" t="s">
        <v>138</v>
      </c>
      <c r="R1023">
        <v>0.00011668294327397662</v>
      </c>
      <c r="S1023" t="s">
        <v>139</v>
      </c>
      <c r="T1023">
        <v>0.0023370625882574267</v>
      </c>
      <c r="U1023">
        <v>0.02298111545119803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60</v>
      </c>
      <c r="AB1023">
        <v>1</v>
      </c>
      <c r="AC1023">
        <v>0.50</v>
      </c>
      <c r="AD1023">
        <v>0.50048257265952256</v>
      </c>
      <c r="AE1023">
        <v>18.90</v>
      </c>
      <c r="AF1023">
        <v>400000</v>
      </c>
      <c r="AG1023">
        <v>33333.333333333336</v>
      </c>
      <c r="AH1023">
        <v>1</v>
      </c>
      <c r="AI1023">
        <v>1</v>
      </c>
      <c r="AJ1023" t="s">
        <v>136</v>
      </c>
      <c r="AK1023" t="s">
        <v>137</v>
      </c>
      <c r="AL1023">
        <v>0</v>
      </c>
      <c r="AM1023" t="s">
        <v>137</v>
      </c>
      <c r="AN1023">
        <v>0</v>
      </c>
    </row>
    <row r="1024" spans="1:42" ht="12.75">
      <c r="A1024" s="2" t="str">
        <f>HYPERLINK("https://ibp.a2mac1.com/costing(costing:projects/details/8191/process/6975319)","Automated Process")</f>
        <v>Automated Process</v>
      </c>
      <c r="C1024">
        <v>6975319</v>
      </c>
      <c r="D1024">
        <v>5388273</v>
      </c>
      <c r="E1024">
        <v>0.78975052800000001</v>
      </c>
      <c r="F1024">
        <v>0</v>
      </c>
      <c r="G1024">
        <v>0</v>
      </c>
      <c r="H1024">
        <v>0.0039824011587368422</v>
      </c>
      <c r="I1024" t="s">
        <v>137</v>
      </c>
      <c r="J1024">
        <v>0.027710544842105264</v>
      </c>
      <c r="K1024">
        <v>0.82144347400084206</v>
      </c>
      <c r="L1024">
        <v>0.015193475474010775</v>
      </c>
      <c r="M1024">
        <v>0.091160852844064638</v>
      </c>
      <c r="N1024">
        <v>0.91260432684490678</v>
      </c>
      <c r="O1024" t="s">
        <v>138</v>
      </c>
      <c r="P1024">
        <v>0.049286608440050526</v>
      </c>
      <c r="Q1024" t="s">
        <v>138</v>
      </c>
      <c r="R1024">
        <v>0.0054696511706438782</v>
      </c>
      <c r="S1024" t="s">
        <v>139</v>
      </c>
      <c r="T1024">
        <v>0.10951251922138881</v>
      </c>
      <c r="U1024">
        <v>1.07687310567699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60</v>
      </c>
      <c r="AB1024">
        <v>1</v>
      </c>
      <c r="AC1024">
        <v>0.50</v>
      </c>
      <c r="AD1024">
        <v>0.50048257265952256</v>
      </c>
      <c r="AE1024">
        <v>885.60</v>
      </c>
      <c r="AF1024">
        <v>400000</v>
      </c>
      <c r="AG1024">
        <v>33333.333333333336</v>
      </c>
      <c r="AH1024">
        <v>1</v>
      </c>
      <c r="AI1024">
        <v>1</v>
      </c>
      <c r="AJ1024" t="s">
        <v>136</v>
      </c>
      <c r="AK1024" t="s">
        <v>137</v>
      </c>
      <c r="AL1024">
        <v>0</v>
      </c>
      <c r="AM1024" t="s">
        <v>137</v>
      </c>
      <c r="AN1024">
        <v>0</v>
      </c>
    </row>
    <row r="1025" spans="1:42" ht="12.75">
      <c r="A1025" s="2" t="str">
        <f>HYPERLINK("https://ibp.a2mac1.com/costing(costing:projects/details/8191/process/6975320)","Automated Process")</f>
        <v>Automated Process</v>
      </c>
      <c r="C1025">
        <v>6975320</v>
      </c>
      <c r="D1025">
        <v>5388274</v>
      </c>
      <c r="E1025">
        <v>0.5233878153</v>
      </c>
      <c r="F1025">
        <v>0</v>
      </c>
      <c r="G1025">
        <v>0</v>
      </c>
      <c r="H1025">
        <v>0.0026392388079789476</v>
      </c>
      <c r="I1025" t="s">
        <v>137</v>
      </c>
      <c r="J1025">
        <v>0.018364484747368421</v>
      </c>
      <c r="K1025">
        <v>0.54439153885534741</v>
      </c>
      <c r="L1025">
        <v>0.012085710650195031</v>
      </c>
      <c r="M1025">
        <v>0.072514263901170189</v>
      </c>
      <c r="N1025">
        <v>0.61690580275651752</v>
      </c>
      <c r="O1025" t="s">
        <v>138</v>
      </c>
      <c r="P1025">
        <v>0.032663492331320841</v>
      </c>
      <c r="Q1025" t="s">
        <v>138</v>
      </c>
      <c r="R1025">
        <v>0.0043508558340702112</v>
      </c>
      <c r="S1025" t="s">
        <v>139</v>
      </c>
      <c r="T1025">
        <v>0.074028696330782101</v>
      </c>
      <c r="U1025">
        <v>0.72794884725269071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60</v>
      </c>
      <c r="AB1025">
        <v>1</v>
      </c>
      <c r="AC1025">
        <v>0.50</v>
      </c>
      <c r="AD1025">
        <v>0.50048257265952256</v>
      </c>
      <c r="AE1025">
        <v>704.70</v>
      </c>
      <c r="AF1025">
        <v>400000</v>
      </c>
      <c r="AG1025">
        <v>33333.333333333336</v>
      </c>
      <c r="AH1025">
        <v>1</v>
      </c>
      <c r="AI1025">
        <v>1</v>
      </c>
      <c r="AJ1025" t="s">
        <v>136</v>
      </c>
      <c r="AK1025" t="s">
        <v>137</v>
      </c>
      <c r="AL1025">
        <v>0</v>
      </c>
      <c r="AM1025" t="s">
        <v>137</v>
      </c>
      <c r="AN1025">
        <v>0</v>
      </c>
    </row>
    <row r="1026" spans="1:42" ht="12.75">
      <c r="A1026" s="2" t="str">
        <f>HYPERLINK("https://ibp.a2mac1.com/costing(costing:projects/details/8191/process/6975321)","Aluminum extrusion")</f>
        <v>Aluminum extrusion</v>
      </c>
      <c r="C1026">
        <v>6975321</v>
      </c>
      <c r="D1026">
        <v>5388275</v>
      </c>
      <c r="E1026">
        <v>0.93529092869012953</v>
      </c>
      <c r="F1026">
        <v>0</v>
      </c>
      <c r="G1026">
        <v>0</v>
      </c>
      <c r="H1026">
        <v>0.00095916921589575836</v>
      </c>
      <c r="I1026" t="s">
        <v>137</v>
      </c>
      <c r="J1026">
        <v>0.033238537184506478</v>
      </c>
      <c r="K1026">
        <v>0.96948863509053174</v>
      </c>
      <c r="L1026">
        <v>0.20618375096514743</v>
      </c>
      <c r="M1026">
        <v>1.2371025057908847</v>
      </c>
      <c r="N1026">
        <v>2.2065911408814163</v>
      </c>
      <c r="O1026" t="s">
        <v>138</v>
      </c>
      <c r="P1026">
        <v>0.058169318105431911</v>
      </c>
      <c r="Q1026" t="s">
        <v>138</v>
      </c>
      <c r="R1026">
        <v>0.074226150347453085</v>
      </c>
      <c r="S1026" t="s">
        <v>139</v>
      </c>
      <c r="T1026">
        <v>0.26479093690576999</v>
      </c>
      <c r="U1026">
        <v>2.6037775462400714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18.789010000000001</v>
      </c>
      <c r="AB1026">
        <v>1</v>
      </c>
      <c r="AC1026">
        <v>0.10</v>
      </c>
      <c r="AD1026">
        <v>0.1008980929261446</v>
      </c>
      <c r="AE1026">
        <v>360</v>
      </c>
      <c r="AF1026">
        <v>400000</v>
      </c>
      <c r="AG1026">
        <v>33333.333333333336</v>
      </c>
      <c r="AH1026">
        <v>1</v>
      </c>
      <c r="AI1026">
        <v>1</v>
      </c>
      <c r="AJ1026" t="s">
        <v>136</v>
      </c>
      <c r="AK1026" t="s">
        <v>137</v>
      </c>
      <c r="AL1026">
        <v>0</v>
      </c>
      <c r="AM1026" t="s">
        <v>137</v>
      </c>
      <c r="AN1026">
        <v>0</v>
      </c>
    </row>
    <row r="1027" spans="1:42" ht="12.75">
      <c r="A1027" s="2" t="str">
        <f>HYPERLINK("https://ibp.a2mac1.com/costing(costing:projects/details/8191/process/6975322)","Injection molding")</f>
        <v>Injection molding</v>
      </c>
      <c r="B1027" t="s">
        <v>6275</v>
      </c>
      <c r="C1027">
        <v>6975322</v>
      </c>
      <c r="D1027">
        <v>5388276</v>
      </c>
      <c r="E1027">
        <v>0.21584793517071521</v>
      </c>
      <c r="F1027">
        <v>0</v>
      </c>
      <c r="G1027">
        <v>0</v>
      </c>
      <c r="H1027">
        <v>0.00043962852308058098</v>
      </c>
      <c r="I1027" t="s">
        <v>137</v>
      </c>
      <c r="J1027">
        <v>0.0075798021220789815</v>
      </c>
      <c r="K1027">
        <v>0.2238673658158748</v>
      </c>
      <c r="L1027">
        <v>0.0057381821297583444</v>
      </c>
      <c r="M1027">
        <v>0.034429092778550066</v>
      </c>
      <c r="N1027">
        <v>0.25829645859442485</v>
      </c>
      <c r="O1027" t="s">
        <v>138</v>
      </c>
      <c r="P1027">
        <v>0.013432041948952487</v>
      </c>
      <c r="Q1027" t="s">
        <v>138</v>
      </c>
      <c r="R1027">
        <v>0.0020657455667130041</v>
      </c>
      <c r="S1027" t="s">
        <v>139</v>
      </c>
      <c r="T1027">
        <v>0.030995575031330984</v>
      </c>
      <c r="U1027">
        <v>0.30478982114142134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12.15484</v>
      </c>
      <c r="AB1027">
        <v>1</v>
      </c>
      <c r="AC1027">
        <v>0.10</v>
      </c>
      <c r="AD1027">
        <v>0.20258874484795864</v>
      </c>
      <c r="AE1027">
        <v>7200</v>
      </c>
      <c r="AF1027">
        <v>400000</v>
      </c>
      <c r="AG1027">
        <v>33333.333333333336</v>
      </c>
      <c r="AH1027">
        <v>1</v>
      </c>
      <c r="AI1027">
        <v>1</v>
      </c>
      <c r="AJ1027" t="s">
        <v>136</v>
      </c>
      <c r="AK1027" t="s">
        <v>137</v>
      </c>
      <c r="AL1027">
        <v>0</v>
      </c>
      <c r="AM1027" t="s">
        <v>137</v>
      </c>
      <c r="AN1027">
        <v>0</v>
      </c>
    </row>
    <row r="1028" spans="1:42" ht="12.75">
      <c r="A1028" s="2" t="str">
        <f>HYPERLINK("https://ibp.a2mac1.com/costing(costing:projects/details/8191/process/6975323)","Handling/Visual Inspection/Packing")</f>
        <v>Handling/Visual Inspection/Packing</v>
      </c>
      <c r="C1028">
        <v>6975323</v>
      </c>
      <c r="D1028">
        <v>5388276</v>
      </c>
      <c r="E1028">
        <v>0</v>
      </c>
      <c r="F1028">
        <v>0</v>
      </c>
      <c r="G1028">
        <v>0</v>
      </c>
      <c r="H1028">
        <v>0</v>
      </c>
      <c r="I1028" t="s">
        <v>137</v>
      </c>
      <c r="J1028">
        <v>0</v>
      </c>
      <c r="K1028">
        <v>0</v>
      </c>
      <c r="L1028">
        <v>0.022631781142569037</v>
      </c>
      <c r="M1028">
        <v>0.13579068685541421</v>
      </c>
      <c r="N1028">
        <v>0.13579068685541421</v>
      </c>
      <c r="O1028" t="s">
        <v>138</v>
      </c>
      <c r="P1028">
        <v>0</v>
      </c>
      <c r="Q1028" t="s">
        <v>138</v>
      </c>
      <c r="R1028">
        <v>0.0081474412113248535</v>
      </c>
      <c r="S1028" t="s">
        <v>139</v>
      </c>
      <c r="T1028">
        <v>0.016294882422649707</v>
      </c>
      <c r="U1028">
        <v>0.16023301048938876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30</v>
      </c>
      <c r="AB1028">
        <v>1</v>
      </c>
      <c r="AC1028">
        <v>0.10</v>
      </c>
      <c r="AD1028">
        <v>0.1008980929261446</v>
      </c>
      <c r="AE1028">
        <v>900</v>
      </c>
      <c r="AF1028">
        <v>400000</v>
      </c>
      <c r="AG1028">
        <v>33333.333333333336</v>
      </c>
      <c r="AH1028">
        <v>1</v>
      </c>
      <c r="AI1028">
        <v>1</v>
      </c>
      <c r="AJ1028" t="s">
        <v>136</v>
      </c>
      <c r="AK1028" t="s">
        <v>137</v>
      </c>
      <c r="AL1028">
        <v>0</v>
      </c>
      <c r="AM1028" t="s">
        <v>137</v>
      </c>
      <c r="AN1028">
        <v>0</v>
      </c>
    </row>
    <row r="1029" spans="1:42" ht="12.75">
      <c r="A1029" s="2" t="str">
        <f>HYPERLINK("https://ibp.a2mac1.com/costing(costing:projects/details/8191/process/6975324)","Blanking")</f>
        <v>Blanking</v>
      </c>
      <c r="C1029">
        <v>6975324</v>
      </c>
      <c r="D1029">
        <v>5388287</v>
      </c>
      <c r="E1029">
        <v>0.80140594023208056</v>
      </c>
      <c r="F1029">
        <v>0</v>
      </c>
      <c r="G1029">
        <v>0</v>
      </c>
      <c r="H1029">
        <v>0.0018053346806730334</v>
      </c>
      <c r="I1029" t="s">
        <v>137</v>
      </c>
      <c r="J1029">
        <v>0.031126460011604025</v>
      </c>
      <c r="K1029">
        <v>0.83433773492435759</v>
      </c>
      <c r="L1029">
        <v>0.029117196705673302</v>
      </c>
      <c r="M1029">
        <v>0.17470318023403983</v>
      </c>
      <c r="N1029">
        <v>1.0090409151583974</v>
      </c>
      <c r="O1029" t="s">
        <v>138</v>
      </c>
      <c r="P1029">
        <v>0.050060264095461451</v>
      </c>
      <c r="Q1029" t="s">
        <v>138</v>
      </c>
      <c r="R1029">
        <v>0.01048219081404239</v>
      </c>
      <c r="S1029" t="s">
        <v>139</v>
      </c>
      <c r="T1029">
        <v>0.12108490981900769</v>
      </c>
      <c r="U1029">
        <v>1.1906682798869088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6.8120000000000003</v>
      </c>
      <c r="AB1029">
        <v>1</v>
      </c>
      <c r="AC1029">
        <v>0.10</v>
      </c>
      <c r="AD1029">
        <v>0.20258874484795864</v>
      </c>
      <c r="AE1029">
        <v>900</v>
      </c>
      <c r="AF1029">
        <v>400000</v>
      </c>
      <c r="AG1029">
        <v>33333.333333333336</v>
      </c>
      <c r="AH1029">
        <v>1</v>
      </c>
      <c r="AI1029">
        <v>1</v>
      </c>
      <c r="AJ1029" t="s">
        <v>136</v>
      </c>
      <c r="AK1029" t="s">
        <v>137</v>
      </c>
      <c r="AL1029">
        <v>0</v>
      </c>
      <c r="AM1029" t="s">
        <v>137</v>
      </c>
      <c r="AN1029">
        <v>0</v>
      </c>
    </row>
    <row r="1030" spans="1:42" ht="12.75">
      <c r="A1030" s="2" t="str">
        <f>HYPERLINK("https://ibp.a2mac1.com/costing(costing:projects/details/8191/process/6975325)","Stamping")</f>
        <v>Stamping</v>
      </c>
      <c r="C1030">
        <v>6975325</v>
      </c>
      <c r="D1030">
        <v>5388287</v>
      </c>
      <c r="E1030">
        <v>0</v>
      </c>
      <c r="F1030">
        <v>0</v>
      </c>
      <c r="G1030">
        <v>0</v>
      </c>
      <c r="H1030">
        <v>0</v>
      </c>
      <c r="I1030" t="s">
        <v>137</v>
      </c>
      <c r="J1030">
        <v>0</v>
      </c>
      <c r="K1030">
        <v>0</v>
      </c>
      <c r="L1030">
        <v>0.028140062468309766</v>
      </c>
      <c r="M1030">
        <v>0.16884037480985858</v>
      </c>
      <c r="N1030">
        <v>0.16884037480985858</v>
      </c>
      <c r="O1030" t="s">
        <v>138</v>
      </c>
      <c r="P1030">
        <v>0</v>
      </c>
      <c r="Q1030" t="s">
        <v>138</v>
      </c>
      <c r="R1030">
        <v>0.010130422488591516</v>
      </c>
      <c r="S1030" t="s">
        <v>139</v>
      </c>
      <c r="T1030">
        <v>0.020260844977183032</v>
      </c>
      <c r="U1030">
        <v>0.19923164227563314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1.6997199999999999</v>
      </c>
      <c r="AB1030">
        <v>1</v>
      </c>
      <c r="AC1030">
        <v>0.10</v>
      </c>
      <c r="AD1030">
        <v>0.1008980929261446</v>
      </c>
      <c r="AE1030">
        <v>3600</v>
      </c>
      <c r="AF1030">
        <v>400000</v>
      </c>
      <c r="AG1030">
        <v>33333.333333333336</v>
      </c>
      <c r="AH1030">
        <v>1</v>
      </c>
      <c r="AI1030">
        <v>1</v>
      </c>
      <c r="AJ1030" t="s">
        <v>136</v>
      </c>
      <c r="AK1030" t="s">
        <v>137</v>
      </c>
      <c r="AL1030">
        <v>0</v>
      </c>
      <c r="AM1030" t="s">
        <v>137</v>
      </c>
      <c r="AN1030">
        <v>0</v>
      </c>
    </row>
    <row r="1031" spans="1:42" ht="12.75">
      <c r="A1031" s="2" t="str">
        <f>HYPERLINK("https://ibp.a2mac1.com/costing(costing:projects/details/8191/process/6975521)","Automated Process")</f>
        <v>Automated Process</v>
      </c>
      <c r="C1031">
        <v>6975521</v>
      </c>
      <c r="D1031">
        <v>5388626</v>
      </c>
      <c r="E1031">
        <v>4.680549709322368</v>
      </c>
      <c r="F1031">
        <v>0</v>
      </c>
      <c r="G1031">
        <v>0</v>
      </c>
      <c r="H1031">
        <v>0.023721462825789474</v>
      </c>
      <c r="I1031" t="s">
        <v>137</v>
      </c>
      <c r="J1031">
        <v>0.16408126460526315</v>
      </c>
      <c r="K1031">
        <v>4.8683524367534208</v>
      </c>
      <c r="L1031">
        <v>0.17154833125252494</v>
      </c>
      <c r="M1031">
        <v>1.0292899875151498</v>
      </c>
      <c r="N1031">
        <v>5.8976424242685708</v>
      </c>
      <c r="O1031" t="s">
        <v>90</v>
      </c>
      <c r="P1031">
        <v>0</v>
      </c>
      <c r="Q1031" t="s">
        <v>90</v>
      </c>
      <c r="R1031">
        <v>0</v>
      </c>
      <c r="S1031" t="s">
        <v>90</v>
      </c>
      <c r="T1031">
        <v>0</v>
      </c>
      <c r="U1031">
        <v>5.8976424242685708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60</v>
      </c>
      <c r="AB1031">
        <v>1</v>
      </c>
      <c r="AC1031">
        <v>0.50</v>
      </c>
      <c r="AD1031">
        <v>0.50345253019720215</v>
      </c>
      <c r="AE1031">
        <v>8268.0750000000007</v>
      </c>
      <c r="AF1031">
        <v>200000</v>
      </c>
      <c r="AG1031">
        <v>16666.666666666668</v>
      </c>
      <c r="AH1031">
        <v>1</v>
      </c>
      <c r="AI1031">
        <v>1</v>
      </c>
      <c r="AJ1031" t="s">
        <v>136</v>
      </c>
      <c r="AK1031" t="s">
        <v>137</v>
      </c>
      <c r="AL1031">
        <v>0</v>
      </c>
      <c r="AM1031" t="s">
        <v>137</v>
      </c>
      <c r="AN1031">
        <v>0</v>
      </c>
    </row>
    <row r="1032" spans="1:42" ht="12.75">
      <c r="A1032" s="2" t="str">
        <f>HYPERLINK("https://ibp.a2mac1.com/costing(costing:projects/details/8191/process/6975522)","Automated Process")</f>
        <v>Automated Process</v>
      </c>
      <c r="C1032">
        <v>6975522</v>
      </c>
      <c r="D1032">
        <v>5388627</v>
      </c>
      <c r="E1032">
        <v>0.15969948749999999</v>
      </c>
      <c r="F1032">
        <v>0</v>
      </c>
      <c r="G1032">
        <v>0</v>
      </c>
      <c r="H1032">
        <v>0.00080530167631578952</v>
      </c>
      <c r="I1032" t="s">
        <v>137</v>
      </c>
      <c r="J1032">
        <v>0.0056034907894736844</v>
      </c>
      <c r="K1032">
        <v>0.16610827996578947</v>
      </c>
      <c r="L1032">
        <v>0.0054876510009476721</v>
      </c>
      <c r="M1032">
        <v>0.032925906005686033</v>
      </c>
      <c r="N1032">
        <v>0.19903418597147551</v>
      </c>
      <c r="O1032" t="s">
        <v>138</v>
      </c>
      <c r="P1032">
        <v>0.0099664967979473679</v>
      </c>
      <c r="Q1032" t="s">
        <v>138</v>
      </c>
      <c r="R1032">
        <v>0.0019755543603411619</v>
      </c>
      <c r="S1032" t="s">
        <v>139</v>
      </c>
      <c r="T1032">
        <v>0.023884102316577061</v>
      </c>
      <c r="U1032">
        <v>0.2348603394463411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60</v>
      </c>
      <c r="AB1032">
        <v>1</v>
      </c>
      <c r="AC1032">
        <v>0.50</v>
      </c>
      <c r="AD1032">
        <v>0.50048257265952256</v>
      </c>
      <c r="AE1032">
        <v>319.95</v>
      </c>
      <c r="AF1032">
        <v>400000</v>
      </c>
      <c r="AG1032">
        <v>33333.333333333336</v>
      </c>
      <c r="AH1032">
        <v>1</v>
      </c>
      <c r="AI1032">
        <v>1</v>
      </c>
      <c r="AJ1032" t="s">
        <v>136</v>
      </c>
      <c r="AK1032" t="s">
        <v>137</v>
      </c>
      <c r="AL1032">
        <v>0</v>
      </c>
      <c r="AM1032" t="s">
        <v>137</v>
      </c>
      <c r="AN1032">
        <v>0</v>
      </c>
    </row>
    <row r="1033" spans="1:42" ht="12.75">
      <c r="A1033" s="2" t="str">
        <f>HYPERLINK("https://ibp.a2mac1.com/costing(costing:projects/details/8191/process/6975523)","Automated Process")</f>
        <v>Automated Process</v>
      </c>
      <c r="C1033">
        <v>6975523</v>
      </c>
      <c r="D1033">
        <v>5388628</v>
      </c>
      <c r="E1033">
        <v>0.00079646174999999997</v>
      </c>
      <c r="F1033">
        <v>0</v>
      </c>
      <c r="G1033">
        <v>0</v>
      </c>
      <c r="H1033">
        <v>4.0162432105263154E-06</v>
      </c>
      <c r="I1033" t="s">
        <v>137</v>
      </c>
      <c r="J1033">
        <v>2.7946026315789472E-05</v>
      </c>
      <c r="K1033">
        <v>0.00082842401952631581</v>
      </c>
      <c r="L1033">
        <v>3.4726791679857337E-05</v>
      </c>
      <c r="M1033">
        <v>0.00020836075007914402</v>
      </c>
      <c r="N1033">
        <v>0.0010367847696054599</v>
      </c>
      <c r="O1033" t="s">
        <v>138</v>
      </c>
      <c r="P1033">
        <v>4.970544117157895E-05</v>
      </c>
      <c r="Q1033" t="s">
        <v>138</v>
      </c>
      <c r="R1033">
        <v>1.250164500474864E-05</v>
      </c>
      <c r="S1033" t="s">
        <v>139</v>
      </c>
      <c r="T1033">
        <v>0.00012441417235265517</v>
      </c>
      <c r="U1033">
        <v>0.0012234060281344425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60</v>
      </c>
      <c r="AB1033">
        <v>1</v>
      </c>
      <c r="AC1033">
        <v>0.50</v>
      </c>
      <c r="AD1033">
        <v>0.50048257265952256</v>
      </c>
      <c r="AE1033">
        <v>2.025</v>
      </c>
      <c r="AF1033">
        <v>400000</v>
      </c>
      <c r="AG1033">
        <v>33333.333333333336</v>
      </c>
      <c r="AH1033">
        <v>1</v>
      </c>
      <c r="AI1033">
        <v>1</v>
      </c>
      <c r="AJ1033" t="s">
        <v>136</v>
      </c>
      <c r="AK1033" t="s">
        <v>137</v>
      </c>
      <c r="AL1033">
        <v>0</v>
      </c>
      <c r="AM1033" t="s">
        <v>137</v>
      </c>
      <c r="AN1033">
        <v>0</v>
      </c>
    </row>
    <row r="1034" spans="1:42" ht="12.75">
      <c r="A1034" s="2" t="str">
        <f>HYPERLINK("https://ibp.a2mac1.com/costing(costing:projects/details/8191/process/6975326)","Injection molding")</f>
        <v>Injection molding</v>
      </c>
      <c r="B1034" t="s">
        <v>6335</v>
      </c>
      <c r="C1034">
        <v>6975326</v>
      </c>
      <c r="D1034">
        <v>5388290</v>
      </c>
      <c r="E1034">
        <v>0.41722517064046216</v>
      </c>
      <c r="F1034">
        <v>0</v>
      </c>
      <c r="G1034">
        <v>0</v>
      </c>
      <c r="H1034">
        <v>0.00043434000440640072</v>
      </c>
      <c r="I1034" t="s">
        <v>137</v>
      </c>
      <c r="J1034">
        <v>0.014617211686753871</v>
      </c>
      <c r="K1034">
        <v>0.43227672233162245</v>
      </c>
      <c r="L1034">
        <v>0.015381657845454236</v>
      </c>
      <c r="M1034">
        <v>0.09228994707272542</v>
      </c>
      <c r="N1034">
        <v>0.52456666940434782</v>
      </c>
      <c r="O1034" t="s">
        <v>138</v>
      </c>
      <c r="P1034">
        <v>0.025936603339897349</v>
      </c>
      <c r="Q1034" t="s">
        <v>138</v>
      </c>
      <c r="R1034">
        <v>0.0055373968243635245</v>
      </c>
      <c r="S1034" t="s">
        <v>139</v>
      </c>
      <c r="T1034">
        <v>0.062948000328521742</v>
      </c>
      <c r="U1034">
        <v>0.61898866989713053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24.217870000000001</v>
      </c>
      <c r="AB1034">
        <v>1</v>
      </c>
      <c r="AC1034">
        <v>0.10</v>
      </c>
      <c r="AD1034">
        <v>0.10389195236953569</v>
      </c>
      <c r="AE1034">
        <v>7200</v>
      </c>
      <c r="AF1034">
        <v>200000</v>
      </c>
      <c r="AG1034">
        <v>16666.666666666668</v>
      </c>
      <c r="AH1034">
        <v>1</v>
      </c>
      <c r="AI1034">
        <v>1</v>
      </c>
      <c r="AJ1034" t="s">
        <v>136</v>
      </c>
      <c r="AK1034" t="s">
        <v>137</v>
      </c>
      <c r="AL1034">
        <v>0</v>
      </c>
      <c r="AM1034" t="s">
        <v>137</v>
      </c>
      <c r="AN1034">
        <v>0</v>
      </c>
    </row>
    <row r="1035" spans="1:42" ht="12.75">
      <c r="A1035" s="2" t="str">
        <f>HYPERLINK("https://ibp.a2mac1.com/costing(costing:projects/details/8191/process/6975327)","Injection molding")</f>
        <v>Injection molding</v>
      </c>
      <c r="C1035">
        <v>6975327</v>
      </c>
      <c r="D1035">
        <v>5388291</v>
      </c>
      <c r="E1035">
        <v>0.53684051399999999</v>
      </c>
      <c r="F1035">
        <v>0</v>
      </c>
      <c r="G1035">
        <v>0</v>
      </c>
      <c r="H1035">
        <v>0.0027232210534736843</v>
      </c>
      <c r="I1035" t="s">
        <v>137</v>
      </c>
      <c r="J1035">
        <v>0.018836509263157896</v>
      </c>
      <c r="K1035">
        <v>0.5584002443166316</v>
      </c>
      <c r="L1035">
        <v>0.0028445256836364678</v>
      </c>
      <c r="M1035">
        <v>0.017067154101818808</v>
      </c>
      <c r="N1035">
        <v>0.5754673984184504</v>
      </c>
      <c r="O1035" t="s">
        <v>138</v>
      </c>
      <c r="P1035">
        <v>0.033504014658997897</v>
      </c>
      <c r="Q1035" t="s">
        <v>138</v>
      </c>
      <c r="R1035">
        <v>0.0010240292461091284</v>
      </c>
      <c r="S1035" t="s">
        <v>139</v>
      </c>
      <c r="T1035">
        <v>0.069056087810214051</v>
      </c>
      <c r="U1035">
        <v>0.67905153013377151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15</v>
      </c>
      <c r="AB1035">
        <v>1</v>
      </c>
      <c r="AC1035">
        <v>0.50</v>
      </c>
      <c r="AD1035">
        <v>0.50345253019720215</v>
      </c>
      <c r="AE1035">
        <v>650.70</v>
      </c>
      <c r="AF1035">
        <v>200000</v>
      </c>
      <c r="AG1035">
        <v>16666.666666666668</v>
      </c>
      <c r="AH1035">
        <v>1</v>
      </c>
      <c r="AI1035">
        <v>1</v>
      </c>
      <c r="AJ1035" t="s">
        <v>136</v>
      </c>
      <c r="AK1035" t="s">
        <v>137</v>
      </c>
      <c r="AL1035">
        <v>0</v>
      </c>
      <c r="AM1035" t="s">
        <v>137</v>
      </c>
      <c r="AN1035">
        <v>0</v>
      </c>
    </row>
    <row r="1036" spans="1:42" ht="12.75">
      <c r="A1036" s="2" t="str">
        <f>HYPERLINK("https://ibp.a2mac1.com/costing(costing:projects/details/8191/process/6976139)","MANUFACTURING  PROCESS")</f>
        <v>MANUFACTURING  PROCESS</v>
      </c>
      <c r="B1036" t="s">
        <v>6354</v>
      </c>
      <c r="C1036">
        <v>6976139</v>
      </c>
      <c r="D1036">
        <v>5389715</v>
      </c>
      <c r="E1036">
        <v>0.77743775555555561</v>
      </c>
      <c r="F1036">
        <v>0</v>
      </c>
      <c r="G1036">
        <v>0</v>
      </c>
      <c r="H1036">
        <v>0.00011220751111111111</v>
      </c>
      <c r="I1036" t="s">
        <v>137</v>
      </c>
      <c r="J1036">
        <v>0.028051877777777779</v>
      </c>
      <c r="K1036">
        <v>0.80560184084444442</v>
      </c>
      <c r="L1036">
        <v>0.011196873006247164</v>
      </c>
      <c r="M1036">
        <v>0.067181238037482979</v>
      </c>
      <c r="N1036">
        <v>0.87278307888192741</v>
      </c>
      <c r="O1036" t="s">
        <v>138</v>
      </c>
      <c r="P1036">
        <v>0.048336110450666665</v>
      </c>
      <c r="Q1036" t="s">
        <v>138</v>
      </c>
      <c r="R1036">
        <v>0.0040308742822489788</v>
      </c>
      <c r="S1036" t="s">
        <v>139</v>
      </c>
      <c r="T1036">
        <v>0.10473396946583129</v>
      </c>
      <c r="U1036">
        <v>1.0298840330806744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3.78294</v>
      </c>
      <c r="AB1036">
        <v>2</v>
      </c>
      <c r="AC1036">
        <v>0.01</v>
      </c>
      <c r="AD1036">
        <v>0.013998040274361589</v>
      </c>
      <c r="AE1036">
        <v>5400</v>
      </c>
      <c r="AF1036">
        <v>200000</v>
      </c>
      <c r="AG1036">
        <v>16666.666666666668</v>
      </c>
      <c r="AH1036">
        <v>1</v>
      </c>
      <c r="AI1036">
        <v>1</v>
      </c>
      <c r="AJ1036" t="s">
        <v>136</v>
      </c>
      <c r="AK1036" t="s">
        <v>137</v>
      </c>
      <c r="AL1036">
        <v>0</v>
      </c>
      <c r="AM1036" t="s">
        <v>137</v>
      </c>
      <c r="AN1036">
        <v>0</v>
      </c>
    </row>
    <row r="1037" spans="1:42" ht="12.75">
      <c r="A1037" s="2" t="str">
        <f>HYPERLINK("https://ibp.a2mac1.com/costing(costing:projects/details/8191/process/6976140)","MANUFACTURING  PROCESS")</f>
        <v>MANUFACTURING  PROCESS</v>
      </c>
      <c r="B1037" t="s">
        <v>6354</v>
      </c>
      <c r="C1037">
        <v>6976140</v>
      </c>
      <c r="D1037">
        <v>5389716</v>
      </c>
      <c r="E1037">
        <v>0.73790702222222226</v>
      </c>
      <c r="F1037">
        <v>0</v>
      </c>
      <c r="G1037">
        <v>0</v>
      </c>
      <c r="H1037">
        <v>0.00010650204444444444</v>
      </c>
      <c r="I1037" t="s">
        <v>137</v>
      </c>
      <c r="J1037">
        <v>0.026625511111111111</v>
      </c>
      <c r="K1037">
        <v>0.76463903537777778</v>
      </c>
      <c r="L1037">
        <v>0.014302988239190483</v>
      </c>
      <c r="M1037">
        <v>0.085817929435142895</v>
      </c>
      <c r="N1037">
        <v>0.85045696481292066</v>
      </c>
      <c r="O1037" t="s">
        <v>138</v>
      </c>
      <c r="P1037">
        <v>0.045878342122666664</v>
      </c>
      <c r="Q1037" t="s">
        <v>138</v>
      </c>
      <c r="R1037">
        <v>0.0051490757661085736</v>
      </c>
      <c r="S1037" t="s">
        <v>139</v>
      </c>
      <c r="T1037">
        <v>0.10205483577755048</v>
      </c>
      <c r="U1037">
        <v>1.0035392184792464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5.0290100000000004</v>
      </c>
      <c r="AB1037">
        <v>2</v>
      </c>
      <c r="AC1037">
        <v>0.01</v>
      </c>
      <c r="AD1037">
        <v>0.013998040274361589</v>
      </c>
      <c r="AE1037">
        <v>5400</v>
      </c>
      <c r="AF1037">
        <v>200000</v>
      </c>
      <c r="AG1037">
        <v>16666.666666666668</v>
      </c>
      <c r="AH1037">
        <v>1</v>
      </c>
      <c r="AI1037">
        <v>1</v>
      </c>
      <c r="AJ1037" t="s">
        <v>136</v>
      </c>
      <c r="AK1037" t="s">
        <v>137</v>
      </c>
      <c r="AL1037">
        <v>0</v>
      </c>
      <c r="AM1037" t="s">
        <v>137</v>
      </c>
      <c r="AN1037">
        <v>0</v>
      </c>
    </row>
    <row r="1038" spans="1:42" ht="12.75">
      <c r="A1038" s="2" t="str">
        <f>HYPERLINK("https://ibp.a2mac1.com/costing(costing:projects/details/8191/process/6976141)","MANUFACTURING  PROCESS")</f>
        <v>MANUFACTURING  PROCESS</v>
      </c>
      <c r="B1038" t="s">
        <v>6354</v>
      </c>
      <c r="C1038">
        <v>6976141</v>
      </c>
      <c r="D1038">
        <v>5389717</v>
      </c>
      <c r="E1038">
        <v>0.15832669999999999</v>
      </c>
      <c r="F1038">
        <v>0</v>
      </c>
      <c r="G1038">
        <v>0</v>
      </c>
      <c r="H1038">
        <v>1.8828039999999999E-05</v>
      </c>
      <c r="I1038" t="s">
        <v>137</v>
      </c>
      <c r="J1038">
        <v>0.0059907399999999996</v>
      </c>
      <c r="K1038">
        <v>0.16433626804000001</v>
      </c>
      <c r="L1038">
        <v>0.0060085096525124091</v>
      </c>
      <c r="M1038">
        <v>0.036051057915074451</v>
      </c>
      <c r="N1038">
        <v>0.20038732595507444</v>
      </c>
      <c r="O1038" t="s">
        <v>138</v>
      </c>
      <c r="P1038">
        <v>0.0098601760824</v>
      </c>
      <c r="Q1038" t="s">
        <v>138</v>
      </c>
      <c r="R1038">
        <v>0.0021630634749044671</v>
      </c>
      <c r="S1038" t="s">
        <v>139</v>
      </c>
      <c r="T1038">
        <v>0.024046479114608936</v>
      </c>
      <c r="U1038">
        <v>0.23645704462698786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2.0560499999999999</v>
      </c>
      <c r="AB1038">
        <v>2</v>
      </c>
      <c r="AC1038">
        <v>0.01</v>
      </c>
      <c r="AD1038">
        <v>0.01099879013308536</v>
      </c>
      <c r="AE1038">
        <v>5400</v>
      </c>
      <c r="AF1038">
        <v>400000</v>
      </c>
      <c r="AG1038">
        <v>33333.333333333336</v>
      </c>
      <c r="AH1038">
        <v>1</v>
      </c>
      <c r="AI1038">
        <v>1</v>
      </c>
      <c r="AJ1038" t="s">
        <v>136</v>
      </c>
      <c r="AK1038" t="s">
        <v>137</v>
      </c>
      <c r="AL1038">
        <v>0</v>
      </c>
      <c r="AM1038" t="s">
        <v>137</v>
      </c>
      <c r="AN1038">
        <v>0</v>
      </c>
    </row>
    <row r="1039" spans="1:42" ht="12.75">
      <c r="A1039" s="2" t="str">
        <f>HYPERLINK("https://ibp.a2mac1.com/costing(costing:projects/details/8191/process/6976142)","MANUFACTURING  PROCESS")</f>
        <v>MANUFACTURING  PROCESS</v>
      </c>
      <c r="B1039" t="s">
        <v>6354</v>
      </c>
      <c r="C1039">
        <v>6976142</v>
      </c>
      <c r="D1039">
        <v>5389718</v>
      </c>
      <c r="E1039">
        <v>1.13487845</v>
      </c>
      <c r="F1039">
        <v>0</v>
      </c>
      <c r="G1039">
        <v>0</v>
      </c>
      <c r="H1039">
        <v>0.00016902445</v>
      </c>
      <c r="I1039" t="s">
        <v>137</v>
      </c>
      <c r="J1039">
        <v>0.042256112499999998</v>
      </c>
      <c r="K1039">
        <v>1.1773035869499999</v>
      </c>
      <c r="L1039">
        <v>0.011196873006247164</v>
      </c>
      <c r="M1039">
        <v>0.067181238037482979</v>
      </c>
      <c r="N1039">
        <v>1.2444848249874829</v>
      </c>
      <c r="O1039" t="s">
        <v>138</v>
      </c>
      <c r="P1039">
        <v>0.070638215217000005</v>
      </c>
      <c r="Q1039" t="s">
        <v>138</v>
      </c>
      <c r="R1039">
        <v>0.0040308742822489788</v>
      </c>
      <c r="S1039" t="s">
        <v>139</v>
      </c>
      <c r="T1039">
        <v>0.14933817899849797</v>
      </c>
      <c r="U1039">
        <v>1.4684920934852299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3.78294</v>
      </c>
      <c r="AB1039">
        <v>2</v>
      </c>
      <c r="AC1039">
        <v>0.01</v>
      </c>
      <c r="AD1039">
        <v>0.013998040274361589</v>
      </c>
      <c r="AE1039">
        <v>5400</v>
      </c>
      <c r="AF1039">
        <v>200000</v>
      </c>
      <c r="AG1039">
        <v>16666.666666666668</v>
      </c>
      <c r="AH1039">
        <v>1</v>
      </c>
      <c r="AI1039">
        <v>1</v>
      </c>
      <c r="AJ1039" t="s">
        <v>136</v>
      </c>
      <c r="AK1039" t="s">
        <v>137</v>
      </c>
      <c r="AL1039">
        <v>0</v>
      </c>
      <c r="AM1039" t="s">
        <v>137</v>
      </c>
      <c r="AN1039">
        <v>0</v>
      </c>
    </row>
    <row r="1040" spans="1:42" ht="12.75">
      <c r="A1040" s="2" t="str">
        <f>HYPERLINK("https://ibp.a2mac1.com/costing(costing:projects/details/8191/process/6976179)","MANUFACTURING  PROCESS")</f>
        <v>MANUFACTURING  PROCESS</v>
      </c>
      <c r="B1040" t="s">
        <v>6354</v>
      </c>
      <c r="C1040">
        <v>6976179</v>
      </c>
      <c r="D1040">
        <v>5389979</v>
      </c>
      <c r="E1040">
        <v>0.43483806666666669</v>
      </c>
      <c r="F1040">
        <v>0</v>
      </c>
      <c r="G1040">
        <v>0</v>
      </c>
      <c r="H1040">
        <v>6.2760133333333336E-05</v>
      </c>
      <c r="I1040" t="s">
        <v>137</v>
      </c>
      <c r="J1040">
        <v>0.015690033333333332</v>
      </c>
      <c r="K1040">
        <v>0.45059086013333333</v>
      </c>
      <c r="L1040">
        <v>0.011196873006247164</v>
      </c>
      <c r="M1040">
        <v>0.067181238037482979</v>
      </c>
      <c r="N1040">
        <v>0.51777209817081626</v>
      </c>
      <c r="O1040" t="s">
        <v>138</v>
      </c>
      <c r="P1040">
        <v>0.027035451608</v>
      </c>
      <c r="Q1040" t="s">
        <v>138</v>
      </c>
      <c r="R1040">
        <v>0.0040308742822489788</v>
      </c>
      <c r="S1040" t="s">
        <v>139</v>
      </c>
      <c r="T1040">
        <v>0.062132651780497955</v>
      </c>
      <c r="U1040">
        <v>0.61097107584156329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3.78294</v>
      </c>
      <c r="AB1040">
        <v>2</v>
      </c>
      <c r="AC1040">
        <v>0.01</v>
      </c>
      <c r="AD1040">
        <v>0.013998040274361589</v>
      </c>
      <c r="AE1040">
        <v>5400</v>
      </c>
      <c r="AF1040">
        <v>200000</v>
      </c>
      <c r="AG1040">
        <v>16666.666666666668</v>
      </c>
      <c r="AH1040">
        <v>1</v>
      </c>
      <c r="AI1040">
        <v>1</v>
      </c>
      <c r="AJ1040" t="s">
        <v>136</v>
      </c>
      <c r="AK1040" t="s">
        <v>137</v>
      </c>
      <c r="AL1040">
        <v>0</v>
      </c>
      <c r="AM1040" t="s">
        <v>137</v>
      </c>
      <c r="AN1040">
        <v>0</v>
      </c>
    </row>
    <row r="1041" spans="1:42" ht="12.75">
      <c r="A1041" s="2" t="str">
        <f>HYPERLINK("https://ibp.a2mac1.com/costing(costing:projects/details/8191/process/6975904)","MANUFACTURING  PROCESS")</f>
        <v>MANUFACTURING  PROCESS</v>
      </c>
      <c r="B1041" t="s">
        <v>6354</v>
      </c>
      <c r="C1041">
        <v>6975904</v>
      </c>
      <c r="D1041">
        <v>5389441</v>
      </c>
      <c r="E1041">
        <v>3.2322487500000001</v>
      </c>
      <c r="F1041">
        <v>0</v>
      </c>
      <c r="G1041">
        <v>0</v>
      </c>
      <c r="H1041">
        <v>0.00048139875</v>
      </c>
      <c r="I1041" t="s">
        <v>137</v>
      </c>
      <c r="J1041">
        <v>0.1203496875</v>
      </c>
      <c r="K1041">
        <v>3.3530798362500001</v>
      </c>
      <c r="L1041">
        <v>0.039486409451175458</v>
      </c>
      <c r="M1041">
        <v>0.23691845670705275</v>
      </c>
      <c r="N1041">
        <v>3.5899982929570529</v>
      </c>
      <c r="O1041" t="s">
        <v>90</v>
      </c>
      <c r="P1041">
        <v>0</v>
      </c>
      <c r="Q1041" t="s">
        <v>90</v>
      </c>
      <c r="R1041">
        <v>0</v>
      </c>
      <c r="S1041" t="s">
        <v>90</v>
      </c>
      <c r="T1041">
        <v>0</v>
      </c>
      <c r="U1041">
        <v>3.5899982929570529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7.5658799999999999</v>
      </c>
      <c r="AB1041">
        <v>1</v>
      </c>
      <c r="AC1041">
        <v>0.01</v>
      </c>
      <c r="AD1041">
        <v>0.013998040274361589</v>
      </c>
      <c r="AE1041">
        <v>5400</v>
      </c>
      <c r="AF1041">
        <v>200000</v>
      </c>
      <c r="AG1041">
        <v>16666.666666666668</v>
      </c>
      <c r="AH1041">
        <v>1</v>
      </c>
      <c r="AI1041">
        <v>1</v>
      </c>
      <c r="AJ1041" t="s">
        <v>136</v>
      </c>
      <c r="AK1041" t="s">
        <v>137</v>
      </c>
      <c r="AL1041">
        <v>0</v>
      </c>
      <c r="AM1041" t="s">
        <v>137</v>
      </c>
      <c r="AN1041">
        <v>0</v>
      </c>
    </row>
    <row r="1042" spans="1:42" ht="12.75">
      <c r="A1042" s="2" t="str">
        <f>HYPERLINK("https://ibp.a2mac1.com/costing(costing:projects/details/8191/process/6976143)","MANUFACTURING  PROCESS")</f>
        <v>MANUFACTURING  PROCESS</v>
      </c>
      <c r="B1042" t="s">
        <v>6354</v>
      </c>
      <c r="C1042">
        <v>6976143</v>
      </c>
      <c r="D1042">
        <v>5389720</v>
      </c>
      <c r="E1042">
        <v>0.63575199999999998</v>
      </c>
      <c r="F1042">
        <v>0</v>
      </c>
      <c r="G1042">
        <v>0</v>
      </c>
      <c r="H1042">
        <v>7.6849142857142859E-05</v>
      </c>
      <c r="I1042" t="s">
        <v>137</v>
      </c>
      <c r="J1042">
        <v>0.024452000000000002</v>
      </c>
      <c r="K1042">
        <v>0.66028084914285712</v>
      </c>
      <c r="L1042">
        <v>0.05102587579995773</v>
      </c>
      <c r="M1042">
        <v>0.30615525479974642</v>
      </c>
      <c r="N1042">
        <v>0.96643610394260349</v>
      </c>
      <c r="O1042" t="s">
        <v>138</v>
      </c>
      <c r="P1042">
        <v>0.039616850948571432</v>
      </c>
      <c r="Q1042" t="s">
        <v>138</v>
      </c>
      <c r="R1042">
        <v>0.018369315287984782</v>
      </c>
      <c r="S1042" t="s">
        <v>139</v>
      </c>
      <c r="T1042">
        <v>0.11597233247311242</v>
      </c>
      <c r="U1042">
        <v>1.1403946026522722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10.05803</v>
      </c>
      <c r="AB1042">
        <v>1</v>
      </c>
      <c r="AC1042">
        <v>0.01</v>
      </c>
      <c r="AD1042">
        <v>0.01099879013308536</v>
      </c>
      <c r="AE1042">
        <v>5400</v>
      </c>
      <c r="AF1042">
        <v>400000</v>
      </c>
      <c r="AG1042">
        <v>33333.333333333336</v>
      </c>
      <c r="AH1042">
        <v>1</v>
      </c>
      <c r="AI1042">
        <v>1</v>
      </c>
      <c r="AJ1042" t="s">
        <v>136</v>
      </c>
      <c r="AK1042" t="s">
        <v>137</v>
      </c>
      <c r="AL1042">
        <v>0</v>
      </c>
      <c r="AM1042" t="s">
        <v>137</v>
      </c>
      <c r="AN1042">
        <v>0</v>
      </c>
    </row>
    <row r="1043" spans="1:42" ht="12.75">
      <c r="A1043" s="2" t="str">
        <f>HYPERLINK("https://ibp.a2mac1.com/costing(costing:projects/details/8191/process/6975905)","MANUFACTURING  PROCESS")</f>
        <v>MANUFACTURING  PROCESS</v>
      </c>
      <c r="B1043" t="s">
        <v>6354</v>
      </c>
      <c r="C1043">
        <v>6975905</v>
      </c>
      <c r="D1043">
        <v>5389443</v>
      </c>
      <c r="E1043">
        <v>1.6435819333333332</v>
      </c>
      <c r="F1043">
        <v>0</v>
      </c>
      <c r="G1043">
        <v>0</v>
      </c>
      <c r="H1043">
        <v>0.00024875834666666669</v>
      </c>
      <c r="I1043" t="s">
        <v>137</v>
      </c>
      <c r="J1043">
        <v>0.062189586666666664</v>
      </c>
      <c r="K1043">
        <v>1.7060202783466667</v>
      </c>
      <c r="L1043">
        <v>0.014302988239190483</v>
      </c>
      <c r="M1043">
        <v>0.085817929435142895</v>
      </c>
      <c r="N1043">
        <v>1.7918382077818096</v>
      </c>
      <c r="O1043" t="s">
        <v>138</v>
      </c>
      <c r="P1043">
        <v>0.10236121670080001</v>
      </c>
      <c r="Q1043" t="s">
        <v>138</v>
      </c>
      <c r="R1043">
        <v>0.0051490757661085736</v>
      </c>
      <c r="S1043" t="s">
        <v>139</v>
      </c>
      <c r="T1043">
        <v>0.21502058493381715</v>
      </c>
      <c r="U1043">
        <v>2.1143690851825352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5.0290100000000004</v>
      </c>
      <c r="AB1043">
        <v>2</v>
      </c>
      <c r="AC1043">
        <v>0.01</v>
      </c>
      <c r="AD1043">
        <v>0.013998040274361589</v>
      </c>
      <c r="AE1043">
        <v>5400</v>
      </c>
      <c r="AF1043">
        <v>200000</v>
      </c>
      <c r="AG1043">
        <v>16666.666666666668</v>
      </c>
      <c r="AH1043">
        <v>1</v>
      </c>
      <c r="AI1043">
        <v>1</v>
      </c>
      <c r="AJ1043" t="s">
        <v>136</v>
      </c>
      <c r="AK1043" t="s">
        <v>137</v>
      </c>
      <c r="AL1043">
        <v>0</v>
      </c>
      <c r="AM1043" t="s">
        <v>137</v>
      </c>
      <c r="AN1043">
        <v>0</v>
      </c>
    </row>
    <row r="1044" spans="1:42" ht="12.75">
      <c r="A1044" s="2" t="str">
        <f>HYPERLINK("https://ibp.a2mac1.com/costing(costing:projects/details/8191/process/6975906)","MANUFACTURING  PROCESS")</f>
        <v>MANUFACTURING  PROCESS</v>
      </c>
      <c r="B1044" t="s">
        <v>6354</v>
      </c>
      <c r="C1044">
        <v>6975906</v>
      </c>
      <c r="D1044">
        <v>5389444</v>
      </c>
      <c r="E1044">
        <v>0.28618244615384614</v>
      </c>
      <c r="F1044">
        <v>0</v>
      </c>
      <c r="G1044">
        <v>0</v>
      </c>
      <c r="H1044">
        <v>3.5173261538461539E-05</v>
      </c>
      <c r="I1044" t="s">
        <v>137</v>
      </c>
      <c r="J1044">
        <v>0.011191492307692308</v>
      </c>
      <c r="K1044">
        <v>0.29740911172307694</v>
      </c>
      <c r="L1044">
        <v>0.030064346017248039</v>
      </c>
      <c r="M1044">
        <v>0.18038607610348822</v>
      </c>
      <c r="N1044">
        <v>0.47779518782656516</v>
      </c>
      <c r="O1044" t="s">
        <v>138</v>
      </c>
      <c r="P1044">
        <v>0.017844546703384614</v>
      </c>
      <c r="Q1044" t="s">
        <v>138</v>
      </c>
      <c r="R1044">
        <v>0.010823164566209294</v>
      </c>
      <c r="S1044" t="s">
        <v>139</v>
      </c>
      <c r="T1044">
        <v>0.057335422539187816</v>
      </c>
      <c r="U1044">
        <v>0.56379832163534693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5.85337</v>
      </c>
      <c r="AB1044">
        <v>1</v>
      </c>
      <c r="AC1044">
        <v>0.01</v>
      </c>
      <c r="AD1044">
        <v>0.01099879013308536</v>
      </c>
      <c r="AE1044">
        <v>5400</v>
      </c>
      <c r="AF1044">
        <v>400000</v>
      </c>
      <c r="AG1044">
        <v>33333.333333333336</v>
      </c>
      <c r="AH1044">
        <v>1</v>
      </c>
      <c r="AI1044">
        <v>1</v>
      </c>
      <c r="AJ1044" t="s">
        <v>136</v>
      </c>
      <c r="AK1044" t="s">
        <v>137</v>
      </c>
      <c r="AL1044">
        <v>0</v>
      </c>
      <c r="AM1044" t="s">
        <v>137</v>
      </c>
      <c r="AN1044">
        <v>0</v>
      </c>
    </row>
    <row r="1045" spans="1:42" ht="12.75">
      <c r="A1045" s="2" t="str">
        <f>HYPERLINK("https://ibp.a2mac1.com/costing(costing:projects/details/8191/process/6975907)","MANUFACTURING  PROCESS")</f>
        <v>MANUFACTURING  PROCESS</v>
      </c>
      <c r="B1045" t="s">
        <v>6354</v>
      </c>
      <c r="C1045">
        <v>6975907</v>
      </c>
      <c r="D1045">
        <v>5389445</v>
      </c>
      <c r="E1045">
        <v>0.18277869999999999</v>
      </c>
      <c r="F1045">
        <v>0</v>
      </c>
      <c r="G1045">
        <v>0</v>
      </c>
      <c r="H1045">
        <v>2.2094128571428571E-05</v>
      </c>
      <c r="I1045" t="s">
        <v>137</v>
      </c>
      <c r="J1045">
        <v>0.0070299500000000001</v>
      </c>
      <c r="K1045">
        <v>0.18983074412857143</v>
      </c>
      <c r="L1045">
        <v>0.0060085096525124091</v>
      </c>
      <c r="M1045">
        <v>0.036051057915074451</v>
      </c>
      <c r="N1045">
        <v>0.22588180204364589</v>
      </c>
      <c r="O1045" t="s">
        <v>138</v>
      </c>
      <c r="P1045">
        <v>0.011389844647714286</v>
      </c>
      <c r="Q1045" t="s">
        <v>138</v>
      </c>
      <c r="R1045">
        <v>0.0021630634749044671</v>
      </c>
      <c r="S1045" t="s">
        <v>139</v>
      </c>
      <c r="T1045">
        <v>0.027105816245237505</v>
      </c>
      <c r="U1045">
        <v>0.26654052641150217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2.0560499999999999</v>
      </c>
      <c r="AB1045">
        <v>2</v>
      </c>
      <c r="AC1045">
        <v>0.01</v>
      </c>
      <c r="AD1045">
        <v>0.01099879013308536</v>
      </c>
      <c r="AE1045">
        <v>5400</v>
      </c>
      <c r="AF1045">
        <v>400000</v>
      </c>
      <c r="AG1045">
        <v>33333.333333333336</v>
      </c>
      <c r="AH1045">
        <v>1</v>
      </c>
      <c r="AI1045">
        <v>1</v>
      </c>
      <c r="AJ1045" t="s">
        <v>136</v>
      </c>
      <c r="AK1045" t="s">
        <v>137</v>
      </c>
      <c r="AL1045">
        <v>0</v>
      </c>
      <c r="AM1045" t="s">
        <v>137</v>
      </c>
      <c r="AN1045">
        <v>0</v>
      </c>
    </row>
    <row r="1046" spans="1:42" ht="12.75">
      <c r="A1046" s="2" t="str">
        <f>HYPERLINK("https://ibp.a2mac1.com/costing(costing:projects/details/8191/process/6975908)","MANUFACTURING  PROCESS")</f>
        <v>MANUFACTURING  PROCESS</v>
      </c>
      <c r="B1046" t="s">
        <v>6354</v>
      </c>
      <c r="C1046">
        <v>6975908</v>
      </c>
      <c r="D1046">
        <v>5389446</v>
      </c>
      <c r="E1046">
        <v>0.1112566</v>
      </c>
      <c r="F1046">
        <v>0</v>
      </c>
      <c r="G1046">
        <v>0</v>
      </c>
      <c r="H1046">
        <v>1.34486E-05</v>
      </c>
      <c r="I1046" t="s">
        <v>137</v>
      </c>
      <c r="J1046">
        <v>0.0042791000000000001</v>
      </c>
      <c r="K1046">
        <v>0.1155491486</v>
      </c>
      <c r="L1046">
        <v>0.0060085096525124091</v>
      </c>
      <c r="M1046">
        <v>0.036051057915074451</v>
      </c>
      <c r="N1046">
        <v>0.15160020651507444</v>
      </c>
      <c r="O1046" t="s">
        <v>138</v>
      </c>
      <c r="P1046">
        <v>0.0069329489160000002</v>
      </c>
      <c r="Q1046" t="s">
        <v>138</v>
      </c>
      <c r="R1046">
        <v>0.0021630634749044671</v>
      </c>
      <c r="S1046" t="s">
        <v>139</v>
      </c>
      <c r="T1046">
        <v>0.018192024781808935</v>
      </c>
      <c r="U1046">
        <v>0.17888824368778786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2.0560499999999999</v>
      </c>
      <c r="AB1046">
        <v>2</v>
      </c>
      <c r="AC1046">
        <v>0.01</v>
      </c>
      <c r="AD1046">
        <v>0.01099879013308536</v>
      </c>
      <c r="AE1046">
        <v>5400</v>
      </c>
      <c r="AF1046">
        <v>400000</v>
      </c>
      <c r="AG1046">
        <v>33333.333333333336</v>
      </c>
      <c r="AH1046">
        <v>1</v>
      </c>
      <c r="AI1046">
        <v>1</v>
      </c>
      <c r="AJ1046" t="s">
        <v>136</v>
      </c>
      <c r="AK1046" t="s">
        <v>137</v>
      </c>
      <c r="AL1046">
        <v>0</v>
      </c>
      <c r="AM1046" t="s">
        <v>137</v>
      </c>
      <c r="AN1046">
        <v>0</v>
      </c>
    </row>
    <row r="1047" spans="1:42" ht="12.75">
      <c r="A1047" s="2" t="str">
        <f>HYPERLINK("https://ibp.a2mac1.com/costing(costing:projects/details/8191/process/6975909)","MANUFACTURING  PROCESS")</f>
        <v>MANUFACTURING  PROCESS</v>
      </c>
      <c r="B1047" t="s">
        <v>6354</v>
      </c>
      <c r="C1047">
        <v>6975909</v>
      </c>
      <c r="D1047">
        <v>5389447</v>
      </c>
      <c r="E1047">
        <v>0.039734499999999999</v>
      </c>
      <c r="F1047">
        <v>0</v>
      </c>
      <c r="G1047">
        <v>0</v>
      </c>
      <c r="H1047">
        <v>4.8030714285714287E-06</v>
      </c>
      <c r="I1047" t="s">
        <v>137</v>
      </c>
      <c r="J1047">
        <v>0.0015282500000000001</v>
      </c>
      <c r="K1047">
        <v>0.04126755307142857</v>
      </c>
      <c r="L1047">
        <v>0.0046551228631498652</v>
      </c>
      <c r="M1047">
        <v>0.027930737178899191</v>
      </c>
      <c r="N1047">
        <v>0.069198290250327768</v>
      </c>
      <c r="O1047" t="s">
        <v>138</v>
      </c>
      <c r="P1047">
        <v>0.0024760531842857145</v>
      </c>
      <c r="Q1047" t="s">
        <v>138</v>
      </c>
      <c r="R1047">
        <v>0.0016758442307339514</v>
      </c>
      <c r="S1047" t="s">
        <v>139</v>
      </c>
      <c r="T1047">
        <v>0.0083037948300393322</v>
      </c>
      <c r="U1047">
        <v>0.081653982495386759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1.5130999999999999</v>
      </c>
      <c r="AB1047">
        <v>2</v>
      </c>
      <c r="AC1047">
        <v>0.01</v>
      </c>
      <c r="AD1047">
        <v>0.01099879013308536</v>
      </c>
      <c r="AE1047">
        <v>5400</v>
      </c>
      <c r="AF1047">
        <v>400000</v>
      </c>
      <c r="AG1047">
        <v>33333.333333333336</v>
      </c>
      <c r="AH1047">
        <v>1</v>
      </c>
      <c r="AI1047">
        <v>1</v>
      </c>
      <c r="AJ1047" t="s">
        <v>136</v>
      </c>
      <c r="AK1047" t="s">
        <v>137</v>
      </c>
      <c r="AL1047">
        <v>0</v>
      </c>
      <c r="AM1047" t="s">
        <v>137</v>
      </c>
      <c r="AN1047">
        <v>0</v>
      </c>
    </row>
    <row r="1048" spans="1:42" ht="12.75">
      <c r="A1048" s="2" t="str">
        <f>HYPERLINK("https://ibp.a2mac1.com/costing(costing:projects/details/8191/process/6975910)","MANUFACTURING  PROCESS")</f>
        <v>MANUFACTURING  PROCESS</v>
      </c>
      <c r="B1048" t="s">
        <v>6354</v>
      </c>
      <c r="C1048">
        <v>6975910</v>
      </c>
      <c r="D1048">
        <v>5389448</v>
      </c>
      <c r="E1048">
        <v>0.039734499999999999</v>
      </c>
      <c r="F1048">
        <v>0</v>
      </c>
      <c r="G1048">
        <v>0</v>
      </c>
      <c r="H1048">
        <v>4.8030714285714287E-06</v>
      </c>
      <c r="I1048" t="s">
        <v>137</v>
      </c>
      <c r="J1048">
        <v>0.0015282500000000001</v>
      </c>
      <c r="K1048">
        <v>0.04126755307142857</v>
      </c>
      <c r="L1048">
        <v>0.0060085096525124091</v>
      </c>
      <c r="M1048">
        <v>0.036051057915074451</v>
      </c>
      <c r="N1048">
        <v>0.077318610986503028</v>
      </c>
      <c r="O1048" t="s">
        <v>138</v>
      </c>
      <c r="P1048">
        <v>0.0024760531842857145</v>
      </c>
      <c r="Q1048" t="s">
        <v>138</v>
      </c>
      <c r="R1048">
        <v>0.0021630634749044671</v>
      </c>
      <c r="S1048" t="s">
        <v>139</v>
      </c>
      <c r="T1048">
        <v>0.0092782333183803623</v>
      </c>
      <c r="U1048">
        <v>0.091235960964073576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2.0560499999999999</v>
      </c>
      <c r="AB1048">
        <v>2</v>
      </c>
      <c r="AC1048">
        <v>0.01</v>
      </c>
      <c r="AD1048">
        <v>0.01099879013308536</v>
      </c>
      <c r="AE1048">
        <v>5400</v>
      </c>
      <c r="AF1048">
        <v>400000</v>
      </c>
      <c r="AG1048">
        <v>33333.333333333336</v>
      </c>
      <c r="AH1048">
        <v>1</v>
      </c>
      <c r="AI1048">
        <v>1</v>
      </c>
      <c r="AJ1048" t="s">
        <v>136</v>
      </c>
      <c r="AK1048" t="s">
        <v>137</v>
      </c>
      <c r="AL1048">
        <v>0</v>
      </c>
      <c r="AM1048" t="s">
        <v>137</v>
      </c>
      <c r="AN1048">
        <v>0</v>
      </c>
    </row>
    <row r="1049" spans="1:42" ht="12.75">
      <c r="A1049" s="2" t="str">
        <f>HYPERLINK("https://ibp.a2mac1.com/costing(costing:projects/details/8191/process/6975911)","MANUFACTURING  PROCESS")</f>
        <v>MANUFACTURING  PROCESS</v>
      </c>
      <c r="B1049" t="s">
        <v>6354</v>
      </c>
      <c r="C1049">
        <v>6975911</v>
      </c>
      <c r="D1049">
        <v>5389449</v>
      </c>
      <c r="E1049">
        <v>0.035862933333333333</v>
      </c>
      <c r="F1049">
        <v>0</v>
      </c>
      <c r="G1049">
        <v>0</v>
      </c>
      <c r="H1049">
        <v>5.7054666666666664E-06</v>
      </c>
      <c r="I1049" t="s">
        <v>137</v>
      </c>
      <c r="J1049">
        <v>0.0014263666666666666</v>
      </c>
      <c r="K1049">
        <v>0.03729500546666667</v>
      </c>
      <c r="L1049">
        <v>0.016854072360103854</v>
      </c>
      <c r="M1049">
        <v>0.10112443416062311</v>
      </c>
      <c r="N1049">
        <v>0.13841943962728978</v>
      </c>
      <c r="O1049" t="s">
        <v>138</v>
      </c>
      <c r="P1049">
        <v>0.002237700328</v>
      </c>
      <c r="Q1049" t="s">
        <v>138</v>
      </c>
      <c r="R1049">
        <v>0.0060674660496373867</v>
      </c>
      <c r="S1049" t="s">
        <v>139</v>
      </c>
      <c r="T1049">
        <v>0.016610332755274775</v>
      </c>
      <c r="U1049">
        <v>0.16333493876020194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3.0262099999999998</v>
      </c>
      <c r="AB1049">
        <v>1</v>
      </c>
      <c r="AC1049">
        <v>0.01</v>
      </c>
      <c r="AD1049">
        <v>0.013998040274361589</v>
      </c>
      <c r="AE1049">
        <v>5400</v>
      </c>
      <c r="AF1049">
        <v>200000</v>
      </c>
      <c r="AG1049">
        <v>16666.666666666668</v>
      </c>
      <c r="AH1049">
        <v>1</v>
      </c>
      <c r="AI1049">
        <v>1</v>
      </c>
      <c r="AJ1049" t="s">
        <v>136</v>
      </c>
      <c r="AK1049" t="s">
        <v>137</v>
      </c>
      <c r="AL1049">
        <v>0</v>
      </c>
      <c r="AM1049" t="s">
        <v>137</v>
      </c>
      <c r="AN1049">
        <v>0</v>
      </c>
    </row>
    <row r="1050" spans="1:42" ht="12.75">
      <c r="A1050" s="2" t="str">
        <f>HYPERLINK("https://ibp.a2mac1.com/costing(costing:projects/details/8191/process/6975912)","MANUFACTURING  PROCESS")</f>
        <v>MANUFACTURING  PROCESS</v>
      </c>
      <c r="B1050" t="s">
        <v>6354</v>
      </c>
      <c r="C1050">
        <v>6975912</v>
      </c>
      <c r="D1050">
        <v>5389450</v>
      </c>
      <c r="E1050">
        <v>2.6359256000000002</v>
      </c>
      <c r="F1050">
        <v>0</v>
      </c>
      <c r="G1050">
        <v>0</v>
      </c>
      <c r="H1050">
        <v>0.00041935179999999999</v>
      </c>
      <c r="I1050" t="s">
        <v>137</v>
      </c>
      <c r="J1050">
        <v>0.10483795</v>
      </c>
      <c r="K1050">
        <v>2.7411829017999998</v>
      </c>
      <c r="L1050">
        <v>0.051910920237535282</v>
      </c>
      <c r="M1050">
        <v>0.31146552142521172</v>
      </c>
      <c r="N1050">
        <v>3.0526484232252118</v>
      </c>
      <c r="O1050" t="s">
        <v>138</v>
      </c>
      <c r="P1050">
        <v>0.16447097410799999</v>
      </c>
      <c r="Q1050" t="s">
        <v>138</v>
      </c>
      <c r="R1050">
        <v>0.018687931285512702</v>
      </c>
      <c r="S1050" t="s">
        <v>139</v>
      </c>
      <c r="T1050">
        <v>0.36631781078702541</v>
      </c>
      <c r="U1050">
        <v>3.6021251394057496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10.05803</v>
      </c>
      <c r="AB1050">
        <v>1</v>
      </c>
      <c r="AC1050">
        <v>0.01</v>
      </c>
      <c r="AD1050">
        <v>0.013998040274361589</v>
      </c>
      <c r="AE1050">
        <v>5400</v>
      </c>
      <c r="AF1050">
        <v>200000</v>
      </c>
      <c r="AG1050">
        <v>16666.666666666668</v>
      </c>
      <c r="AH1050">
        <v>1</v>
      </c>
      <c r="AI1050">
        <v>1</v>
      </c>
      <c r="AJ1050" t="s">
        <v>136</v>
      </c>
      <c r="AK1050" t="s">
        <v>137</v>
      </c>
      <c r="AL1050">
        <v>0</v>
      </c>
      <c r="AM1050" t="s">
        <v>137</v>
      </c>
      <c r="AN1050">
        <v>0</v>
      </c>
    </row>
    <row r="1051" spans="1:42" ht="12.75">
      <c r="A1051" s="2" t="str">
        <f>HYPERLINK("https://ibp.a2mac1.com/costing(costing:projects/details/8191/process/6975913)","MANUFACTURING  PROCESS")</f>
        <v>MANUFACTURING  PROCESS</v>
      </c>
      <c r="B1051" t="s">
        <v>6354</v>
      </c>
      <c r="C1051">
        <v>6975913</v>
      </c>
      <c r="D1051">
        <v>5389451</v>
      </c>
      <c r="E1051">
        <v>0.83381320000000003</v>
      </c>
      <c r="F1051">
        <v>0</v>
      </c>
      <c r="G1051">
        <v>0</v>
      </c>
      <c r="H1051">
        <v>0.00010422665000000001</v>
      </c>
      <c r="I1051" t="s">
        <v>137</v>
      </c>
      <c r="J1051">
        <v>0.033163024999999999</v>
      </c>
      <c r="K1051">
        <v>0.86708045165000003</v>
      </c>
      <c r="L1051">
        <v>0.030064346017248039</v>
      </c>
      <c r="M1051">
        <v>0.18038607610348822</v>
      </c>
      <c r="N1051">
        <v>1.0474665277534883</v>
      </c>
      <c r="O1051" t="s">
        <v>138</v>
      </c>
      <c r="P1051">
        <v>0.052024827098999998</v>
      </c>
      <c r="Q1051" t="s">
        <v>138</v>
      </c>
      <c r="R1051">
        <v>0.010823164566209294</v>
      </c>
      <c r="S1051" t="s">
        <v>139</v>
      </c>
      <c r="T1051">
        <v>0.12569598333041859</v>
      </c>
      <c r="U1051">
        <v>1.2360105027491162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5.85337</v>
      </c>
      <c r="AB1051">
        <v>1</v>
      </c>
      <c r="AC1051">
        <v>0.01</v>
      </c>
      <c r="AD1051">
        <v>0.01099879013308536</v>
      </c>
      <c r="AE1051">
        <v>5400</v>
      </c>
      <c r="AF1051">
        <v>400000</v>
      </c>
      <c r="AG1051">
        <v>33333.333333333336</v>
      </c>
      <c r="AH1051">
        <v>1</v>
      </c>
      <c r="AI1051">
        <v>1</v>
      </c>
      <c r="AJ1051" t="s">
        <v>136</v>
      </c>
      <c r="AK1051" t="s">
        <v>137</v>
      </c>
      <c r="AL1051">
        <v>0</v>
      </c>
      <c r="AM1051" t="s">
        <v>137</v>
      </c>
      <c r="AN1051">
        <v>0</v>
      </c>
    </row>
    <row r="1052" spans="1:42" ht="12.75">
      <c r="A1052" s="2" t="str">
        <f>HYPERLINK("https://ibp.a2mac1.com/costing(costing:projects/details/8191/process/6975914)","MANUFACTURING  PROCESS")</f>
        <v>MANUFACTURING  PROCESS</v>
      </c>
      <c r="B1052" t="s">
        <v>6354</v>
      </c>
      <c r="C1052">
        <v>6975914</v>
      </c>
      <c r="D1052">
        <v>5389452</v>
      </c>
      <c r="E1052">
        <v>0.033668523076923078</v>
      </c>
      <c r="F1052">
        <v>0</v>
      </c>
      <c r="G1052">
        <v>0</v>
      </c>
      <c r="H1052">
        <v>5.2665846153846151E-06</v>
      </c>
      <c r="I1052" t="s">
        <v>137</v>
      </c>
      <c r="J1052">
        <v>0.0013166461538461538</v>
      </c>
      <c r="K1052">
        <v>0.034990435815384614</v>
      </c>
      <c r="L1052">
        <v>0.0030620502647544009</v>
      </c>
      <c r="M1052">
        <v>0.018372301588526405</v>
      </c>
      <c r="N1052">
        <v>0.053362737403911023</v>
      </c>
      <c r="O1052" t="s">
        <v>138</v>
      </c>
      <c r="P1052">
        <v>0.0020994261489230767</v>
      </c>
      <c r="Q1052" t="s">
        <v>138</v>
      </c>
      <c r="R1052">
        <v>0.0011023380953115844</v>
      </c>
      <c r="S1052" t="s">
        <v>139</v>
      </c>
      <c r="T1052">
        <v>0.0064035284884693226</v>
      </c>
      <c r="U1052">
        <v>0.062968030136615005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0.51951999999999998</v>
      </c>
      <c r="AB1052">
        <v>2</v>
      </c>
      <c r="AC1052">
        <v>0.01</v>
      </c>
      <c r="AD1052">
        <v>0.013998040274361589</v>
      </c>
      <c r="AE1052">
        <v>5400</v>
      </c>
      <c r="AF1052">
        <v>200000</v>
      </c>
      <c r="AG1052">
        <v>16666.666666666668</v>
      </c>
      <c r="AH1052">
        <v>1</v>
      </c>
      <c r="AI1052">
        <v>1</v>
      </c>
      <c r="AJ1052" t="s">
        <v>136</v>
      </c>
      <c r="AK1052" t="s">
        <v>137</v>
      </c>
      <c r="AL1052">
        <v>0</v>
      </c>
      <c r="AM1052" t="s">
        <v>137</v>
      </c>
      <c r="AN1052">
        <v>0</v>
      </c>
    </row>
    <row r="1053" spans="1:42" ht="12.75">
      <c r="A1053" s="2" t="str">
        <f>HYPERLINK("https://ibp.a2mac1.com/costing(costing:projects/details/8191/process/6975915)","MANUFACTURING  PROCESS")</f>
        <v>MANUFACTURING  PROCESS</v>
      </c>
      <c r="B1053" t="s">
        <v>6354</v>
      </c>
      <c r="C1053">
        <v>6975915</v>
      </c>
      <c r="D1053">
        <v>5389453</v>
      </c>
      <c r="E1053">
        <v>0.016834261538461539</v>
      </c>
      <c r="F1053">
        <v>0</v>
      </c>
      <c r="G1053">
        <v>0</v>
      </c>
      <c r="H1053">
        <v>2.0690153846153846E-06</v>
      </c>
      <c r="I1053" t="s">
        <v>137</v>
      </c>
      <c r="J1053">
        <v>0.0006583230769230769</v>
      </c>
      <c r="K1053">
        <v>0.017494653630769231</v>
      </c>
      <c r="L1053">
        <v>0.001966047131748608</v>
      </c>
      <c r="M1053">
        <v>0.011796282790491648</v>
      </c>
      <c r="N1053">
        <v>0.02929093642126088</v>
      </c>
      <c r="O1053" t="s">
        <v>138</v>
      </c>
      <c r="P1053">
        <v>0.0010496792178461539</v>
      </c>
      <c r="Q1053" t="s">
        <v>138</v>
      </c>
      <c r="R1053">
        <v>0.00070777696742949884</v>
      </c>
      <c r="S1053" t="s">
        <v>139</v>
      </c>
      <c r="T1053">
        <v>0.0035149123705513056</v>
      </c>
      <c r="U1053">
        <v>0.034563304977087837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0.43430000000000002</v>
      </c>
      <c r="AB1053">
        <v>2</v>
      </c>
      <c r="AC1053">
        <v>0.01</v>
      </c>
      <c r="AD1053">
        <v>0.01099879013308536</v>
      </c>
      <c r="AE1053">
        <v>5400</v>
      </c>
      <c r="AF1053">
        <v>400000</v>
      </c>
      <c r="AG1053">
        <v>33333.333333333336</v>
      </c>
      <c r="AH1053">
        <v>1</v>
      </c>
      <c r="AI1053">
        <v>1</v>
      </c>
      <c r="AJ1053" t="s">
        <v>136</v>
      </c>
      <c r="AK1053" t="s">
        <v>137</v>
      </c>
      <c r="AL1053">
        <v>0</v>
      </c>
      <c r="AM1053" t="s">
        <v>137</v>
      </c>
      <c r="AN1053">
        <v>0</v>
      </c>
    </row>
    <row r="1054" spans="1:42" ht="12.75">
      <c r="A1054" s="2" t="str">
        <f>HYPERLINK("https://ibp.a2mac1.com/costing(costing:projects/details/8191/process/6976144)","MANUFACTURING  PROCESS")</f>
        <v>MANUFACTURING  PROCESS</v>
      </c>
      <c r="B1054" t="s">
        <v>6354</v>
      </c>
      <c r="C1054">
        <v>6976144</v>
      </c>
      <c r="D1054">
        <v>5389721</v>
      </c>
      <c r="E1054">
        <v>0.43096649999999997</v>
      </c>
      <c r="F1054">
        <v>0</v>
      </c>
      <c r="G1054">
        <v>0</v>
      </c>
      <c r="H1054">
        <v>6.4186500000000006E-05</v>
      </c>
      <c r="I1054" t="s">
        <v>137</v>
      </c>
      <c r="J1054">
        <v>0.016046624999999998</v>
      </c>
      <c r="K1054">
        <v>0.44707731150000002</v>
      </c>
      <c r="L1054">
        <v>0.0090624735196952709</v>
      </c>
      <c r="M1054">
        <v>0.054374841118171625</v>
      </c>
      <c r="N1054">
        <v>0.50145215261817166</v>
      </c>
      <c r="O1054" t="s">
        <v>138</v>
      </c>
      <c r="P1054">
        <v>0.026824638689999999</v>
      </c>
      <c r="Q1054" t="s">
        <v>138</v>
      </c>
      <c r="R1054">
        <v>0.0032624904670902977</v>
      </c>
      <c r="S1054" t="s">
        <v>139</v>
      </c>
      <c r="T1054">
        <v>0.060174258314180593</v>
      </c>
      <c r="U1054">
        <v>0.59171354008944255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2.9266899999999998</v>
      </c>
      <c r="AB1054">
        <v>2</v>
      </c>
      <c r="AC1054">
        <v>0.01</v>
      </c>
      <c r="AD1054">
        <v>0.013998040274361589</v>
      </c>
      <c r="AE1054">
        <v>5400</v>
      </c>
      <c r="AF1054">
        <v>200000</v>
      </c>
      <c r="AG1054">
        <v>16666.666666666668</v>
      </c>
      <c r="AH1054">
        <v>1</v>
      </c>
      <c r="AI1054">
        <v>1</v>
      </c>
      <c r="AJ1054" t="s">
        <v>136</v>
      </c>
      <c r="AK1054" t="s">
        <v>137</v>
      </c>
      <c r="AL1054">
        <v>0</v>
      </c>
      <c r="AM1054" t="s">
        <v>137</v>
      </c>
      <c r="AN1054">
        <v>0</v>
      </c>
    </row>
    <row r="1055" spans="1:42" ht="12.75">
      <c r="A1055" s="2" t="str">
        <f>HYPERLINK("https://ibp.a2mac1.com/costing(costing:projects/details/8191/process/6976145)","MANUFACTURING  PROCESS")</f>
        <v>MANUFACTURING  PROCESS</v>
      </c>
      <c r="B1055" t="s">
        <v>6354</v>
      </c>
      <c r="C1055">
        <v>6976145</v>
      </c>
      <c r="D1055">
        <v>5389722</v>
      </c>
      <c r="E1055">
        <v>0.5116581</v>
      </c>
      <c r="F1055">
        <v>0</v>
      </c>
      <c r="G1055">
        <v>0</v>
      </c>
      <c r="H1055">
        <v>6.4841464285714283E-05</v>
      </c>
      <c r="I1055" t="s">
        <v>137</v>
      </c>
      <c r="J1055">
        <v>0.020631375</v>
      </c>
      <c r="K1055">
        <v>0.53235431646428566</v>
      </c>
      <c r="L1055">
        <v>0.0081787144122335721</v>
      </c>
      <c r="M1055">
        <v>0.049072286473401429</v>
      </c>
      <c r="N1055">
        <v>0.58142660293768711</v>
      </c>
      <c r="O1055" t="s">
        <v>138</v>
      </c>
      <c r="P1055">
        <v>0.031941258987857143</v>
      </c>
      <c r="Q1055" t="s">
        <v>138</v>
      </c>
      <c r="R1055">
        <v>0.0029443371884040857</v>
      </c>
      <c r="S1055" t="s">
        <v>139</v>
      </c>
      <c r="T1055">
        <v>0.069771192352522451</v>
      </c>
      <c r="U1055">
        <v>0.68608339146647079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2.9266899999999998</v>
      </c>
      <c r="AB1055">
        <v>2</v>
      </c>
      <c r="AC1055">
        <v>0.01</v>
      </c>
      <c r="AD1055">
        <v>0.01099879013308536</v>
      </c>
      <c r="AE1055">
        <v>5400</v>
      </c>
      <c r="AF1055">
        <v>400000</v>
      </c>
      <c r="AG1055">
        <v>33333.333333333336</v>
      </c>
      <c r="AH1055">
        <v>1</v>
      </c>
      <c r="AI1055">
        <v>1</v>
      </c>
      <c r="AJ1055" t="s">
        <v>136</v>
      </c>
      <c r="AK1055" t="s">
        <v>137</v>
      </c>
      <c r="AL1055">
        <v>0</v>
      </c>
      <c r="AM1055" t="s">
        <v>137</v>
      </c>
      <c r="AN1055">
        <v>0</v>
      </c>
    </row>
    <row r="1056" spans="1:42" ht="12.75">
      <c r="A1056" s="2" t="str">
        <f>HYPERLINK("https://ibp.a2mac1.com/costing(costing:projects/details/8191/process/6975848)","MANUFACTURING  PROCESS")</f>
        <v>MANUFACTURING  PROCESS</v>
      </c>
      <c r="B1056" t="s">
        <v>6354</v>
      </c>
      <c r="C1056">
        <v>6975848</v>
      </c>
      <c r="D1056">
        <v>5389248</v>
      </c>
      <c r="E1056">
        <v>1.192035</v>
      </c>
      <c r="F1056">
        <v>0</v>
      </c>
      <c r="G1056">
        <v>0</v>
      </c>
      <c r="H1056">
        <v>0.00018338999999999999</v>
      </c>
      <c r="I1056" t="s">
        <v>137</v>
      </c>
      <c r="J1056">
        <v>0.045847499999999999</v>
      </c>
      <c r="K1056">
        <v>1.2380658899999999</v>
      </c>
      <c r="L1056">
        <v>0.051910920237535282</v>
      </c>
      <c r="M1056">
        <v>0.31146552142521172</v>
      </c>
      <c r="N1056">
        <v>1.5495314114252117</v>
      </c>
      <c r="O1056" t="s">
        <v>138</v>
      </c>
      <c r="P1056">
        <v>0.074283953400000005</v>
      </c>
      <c r="Q1056" t="s">
        <v>138</v>
      </c>
      <c r="R1056">
        <v>0.018687931285512702</v>
      </c>
      <c r="S1056" t="s">
        <v>139</v>
      </c>
      <c r="T1056">
        <v>0.18594376937102541</v>
      </c>
      <c r="U1056">
        <v>1.8284470654817497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10.05803</v>
      </c>
      <c r="AB1056">
        <v>1</v>
      </c>
      <c r="AC1056">
        <v>0.01</v>
      </c>
      <c r="AD1056">
        <v>0.013998040274361589</v>
      </c>
      <c r="AE1056">
        <v>5400</v>
      </c>
      <c r="AF1056">
        <v>200000</v>
      </c>
      <c r="AG1056">
        <v>16666.666666666668</v>
      </c>
      <c r="AH1056">
        <v>1</v>
      </c>
      <c r="AI1056">
        <v>1</v>
      </c>
      <c r="AJ1056" t="s">
        <v>136</v>
      </c>
      <c r="AK1056" t="s">
        <v>137</v>
      </c>
      <c r="AL1056">
        <v>0</v>
      </c>
      <c r="AM1056" t="s">
        <v>137</v>
      </c>
      <c r="AN1056">
        <v>0</v>
      </c>
    </row>
    <row r="1057" spans="1:42" ht="12.75">
      <c r="A1057" s="2" t="str">
        <f>HYPERLINK("https://ibp.a2mac1.com/costing(costing:projects/details/8191/process/6975849)","MANUFACTURING  PROCESS")</f>
        <v>MANUFACTURING  PROCESS</v>
      </c>
      <c r="B1057" t="s">
        <v>6354</v>
      </c>
      <c r="C1057">
        <v>6975849</v>
      </c>
      <c r="D1057">
        <v>5389249</v>
      </c>
      <c r="E1057">
        <v>3.1143383846153845</v>
      </c>
      <c r="F1057">
        <v>0</v>
      </c>
      <c r="G1057">
        <v>0</v>
      </c>
      <c r="H1057">
        <v>0.00048715907692307693</v>
      </c>
      <c r="I1057" t="s">
        <v>137</v>
      </c>
      <c r="J1057">
        <v>0.12178976923076923</v>
      </c>
      <c r="K1057">
        <v>3.2366153129230768</v>
      </c>
      <c r="L1057">
        <v>0.062248268758096685</v>
      </c>
      <c r="M1057">
        <v>0.3734896125485801</v>
      </c>
      <c r="N1057">
        <v>3.6101049254716568</v>
      </c>
      <c r="O1057" t="s">
        <v>138</v>
      </c>
      <c r="P1057">
        <v>0.19419691877538461</v>
      </c>
      <c r="Q1057" t="s">
        <v>138</v>
      </c>
      <c r="R1057">
        <v>0.022409376752914805</v>
      </c>
      <c r="S1057" t="s">
        <v>139</v>
      </c>
      <c r="T1057">
        <v>0.43321259105659882</v>
      </c>
      <c r="U1057">
        <v>4.259923812056555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12.13153</v>
      </c>
      <c r="AB1057">
        <v>1</v>
      </c>
      <c r="AC1057">
        <v>0.01</v>
      </c>
      <c r="AD1057">
        <v>0.013998040274361589</v>
      </c>
      <c r="AE1057">
        <v>5400</v>
      </c>
      <c r="AF1057">
        <v>200000</v>
      </c>
      <c r="AG1057">
        <v>16666.666666666668</v>
      </c>
      <c r="AH1057">
        <v>1</v>
      </c>
      <c r="AI1057">
        <v>1</v>
      </c>
      <c r="AJ1057" t="s">
        <v>136</v>
      </c>
      <c r="AK1057" t="s">
        <v>137</v>
      </c>
      <c r="AL1057">
        <v>0</v>
      </c>
      <c r="AM1057" t="s">
        <v>137</v>
      </c>
      <c r="AN1057">
        <v>0</v>
      </c>
    </row>
    <row r="1058" spans="1:42" ht="12.75">
      <c r="A1058" s="2" t="str">
        <f>HYPERLINK("https://ibp.a2mac1.com/costing(costing:projects/details/8191/process/6975850)","MANUFACTURING  PROCESS")</f>
        <v>MANUFACTURING  PROCESS</v>
      </c>
      <c r="B1058" t="s">
        <v>6354</v>
      </c>
      <c r="C1058">
        <v>6975850</v>
      </c>
      <c r="D1058">
        <v>5389250</v>
      </c>
      <c r="E1058">
        <v>0.15078733333333333</v>
      </c>
      <c r="F1058">
        <v>0</v>
      </c>
      <c r="G1058">
        <v>0</v>
      </c>
      <c r="H1058">
        <v>2.2821866666666666E-05</v>
      </c>
      <c r="I1058" t="s">
        <v>137</v>
      </c>
      <c r="J1058">
        <v>0.0057054666666666665</v>
      </c>
      <c r="K1058">
        <v>0.15651562186666668</v>
      </c>
      <c r="L1058">
        <v>0.0090624735196952709</v>
      </c>
      <c r="M1058">
        <v>0.054374841118171625</v>
      </c>
      <c r="N1058">
        <v>0.2108904629848383</v>
      </c>
      <c r="O1058" t="s">
        <v>138</v>
      </c>
      <c r="P1058">
        <v>0.0093909373120000007</v>
      </c>
      <c r="Q1058" t="s">
        <v>138</v>
      </c>
      <c r="R1058">
        <v>0.0032624904670902977</v>
      </c>
      <c r="S1058" t="s">
        <v>139</v>
      </c>
      <c r="T1058">
        <v>0.025306855558180595</v>
      </c>
      <c r="U1058">
        <v>0.24885074632210918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2.9266899999999998</v>
      </c>
      <c r="AB1058">
        <v>2</v>
      </c>
      <c r="AC1058">
        <v>0.01</v>
      </c>
      <c r="AD1058">
        <v>0.013998040274361589</v>
      </c>
      <c r="AE1058">
        <v>5400</v>
      </c>
      <c r="AF1058">
        <v>200000</v>
      </c>
      <c r="AG1058">
        <v>16666.666666666668</v>
      </c>
      <c r="AH1058">
        <v>1</v>
      </c>
      <c r="AI1058">
        <v>1</v>
      </c>
      <c r="AJ1058" t="s">
        <v>136</v>
      </c>
      <c r="AK1058" t="s">
        <v>137</v>
      </c>
      <c r="AL1058">
        <v>0</v>
      </c>
      <c r="AM1058" t="s">
        <v>137</v>
      </c>
      <c r="AN1058">
        <v>0</v>
      </c>
    </row>
    <row r="1059" spans="1:42" ht="12.75">
      <c r="A1059" s="2" t="str">
        <f>HYPERLINK("https://ibp.a2mac1.com/costing(costing:projects/details/8191/process/6975851)","MANUFACTURING  PROCESS")</f>
        <v>MANUFACTURING  PROCESS</v>
      </c>
      <c r="B1059" t="s">
        <v>6354</v>
      </c>
      <c r="C1059">
        <v>6975851</v>
      </c>
      <c r="D1059">
        <v>5389251</v>
      </c>
      <c r="E1059">
        <v>0.017931466666666666</v>
      </c>
      <c r="F1059">
        <v>0</v>
      </c>
      <c r="G1059">
        <v>0</v>
      </c>
      <c r="H1059">
        <v>2.8527333333333332E-06</v>
      </c>
      <c r="I1059" t="s">
        <v>137</v>
      </c>
      <c r="J1059">
        <v>0.00071318333333333331</v>
      </c>
      <c r="K1059">
        <v>0.018647502733333335</v>
      </c>
      <c r="L1059">
        <v>0.0030620502647544009</v>
      </c>
      <c r="M1059">
        <v>0.018372301588526405</v>
      </c>
      <c r="N1059">
        <v>0.037019804321859737</v>
      </c>
      <c r="O1059" t="s">
        <v>138</v>
      </c>
      <c r="P1059">
        <v>0.001118850164</v>
      </c>
      <c r="Q1059" t="s">
        <v>138</v>
      </c>
      <c r="R1059">
        <v>0.0011023380953115844</v>
      </c>
      <c r="S1059" t="s">
        <v>139</v>
      </c>
      <c r="T1059">
        <v>0.0044423765186231683</v>
      </c>
      <c r="U1059">
        <v>0.043683369099794492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0.51951999999999998</v>
      </c>
      <c r="AB1059">
        <v>2</v>
      </c>
      <c r="AC1059">
        <v>0.01</v>
      </c>
      <c r="AD1059">
        <v>0.013998040274361589</v>
      </c>
      <c r="AE1059">
        <v>5400</v>
      </c>
      <c r="AF1059">
        <v>200000</v>
      </c>
      <c r="AG1059">
        <v>16666.666666666668</v>
      </c>
      <c r="AH1059">
        <v>1</v>
      </c>
      <c r="AI1059">
        <v>1</v>
      </c>
      <c r="AJ1059" t="s">
        <v>136</v>
      </c>
      <c r="AK1059" t="s">
        <v>137</v>
      </c>
      <c r="AL1059">
        <v>0</v>
      </c>
      <c r="AM1059" t="s">
        <v>137</v>
      </c>
      <c r="AN1059">
        <v>0</v>
      </c>
    </row>
    <row r="1060" spans="1:42" ht="12.75">
      <c r="A1060" s="2" t="str">
        <f>HYPERLINK("https://ibp.a2mac1.com/costing(costing:projects/details/8191/process/6975852)","MANUFACTURING  PROCESS")</f>
        <v>MANUFACTURING  PROCESS</v>
      </c>
      <c r="B1060" t="s">
        <v>6354</v>
      </c>
      <c r="C1060">
        <v>6975852</v>
      </c>
      <c r="D1060">
        <v>5389252</v>
      </c>
      <c r="E1060">
        <v>0.050502784615384613</v>
      </c>
      <c r="F1060">
        <v>0</v>
      </c>
      <c r="G1060">
        <v>0</v>
      </c>
      <c r="H1060">
        <v>6.2070461538461538E-06</v>
      </c>
      <c r="I1060" t="s">
        <v>137</v>
      </c>
      <c r="J1060">
        <v>0.0019749692307692306</v>
      </c>
      <c r="K1060">
        <v>0.052483960892307689</v>
      </c>
      <c r="L1060">
        <v>0.0046551228631498652</v>
      </c>
      <c r="M1060">
        <v>0.027930737178899191</v>
      </c>
      <c r="N1060">
        <v>0.08041469807120688</v>
      </c>
      <c r="O1060" t="s">
        <v>138</v>
      </c>
      <c r="P1060">
        <v>0.0031490376535384616</v>
      </c>
      <c r="Q1060" t="s">
        <v>138</v>
      </c>
      <c r="R1060">
        <v>0.0016758442307339514</v>
      </c>
      <c r="S1060" t="s">
        <v>139</v>
      </c>
      <c r="T1060">
        <v>0.0096497637685448254</v>
      </c>
      <c r="U1060">
        <v>0.094889343724024119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1.5130999999999999</v>
      </c>
      <c r="AB1060">
        <v>2</v>
      </c>
      <c r="AC1060">
        <v>0.01</v>
      </c>
      <c r="AD1060">
        <v>0.01099879013308536</v>
      </c>
      <c r="AE1060">
        <v>5400</v>
      </c>
      <c r="AF1060">
        <v>400000</v>
      </c>
      <c r="AG1060">
        <v>33333.333333333336</v>
      </c>
      <c r="AH1060">
        <v>1</v>
      </c>
      <c r="AI1060">
        <v>1</v>
      </c>
      <c r="AJ1060" t="s">
        <v>136</v>
      </c>
      <c r="AK1060" t="s">
        <v>137</v>
      </c>
      <c r="AL1060">
        <v>0</v>
      </c>
      <c r="AM1060" t="s">
        <v>137</v>
      </c>
      <c r="AN1060">
        <v>0</v>
      </c>
    </row>
    <row r="1061" spans="1:42" ht="12.75">
      <c r="A1061" s="2" t="str">
        <f>HYPERLINK("https://ibp.a2mac1.com/costing(costing:projects/details/8191/process/6975853)","MANUFACTURING  PROCESS")</f>
        <v>MANUFACTURING  PROCESS</v>
      </c>
      <c r="B1061" t="s">
        <v>6354</v>
      </c>
      <c r="C1061">
        <v>6975853</v>
      </c>
      <c r="D1061">
        <v>5389253</v>
      </c>
      <c r="E1061">
        <v>0.047681399999999999</v>
      </c>
      <c r="F1061">
        <v>0</v>
      </c>
      <c r="G1061">
        <v>0</v>
      </c>
      <c r="H1061">
        <v>5.7636857142857144E-06</v>
      </c>
      <c r="I1061" t="s">
        <v>137</v>
      </c>
      <c r="J1061">
        <v>0.0018339000000000001</v>
      </c>
      <c r="K1061">
        <v>0.049521063685714288</v>
      </c>
      <c r="L1061">
        <v>0.001966047131748608</v>
      </c>
      <c r="M1061">
        <v>0.011796282790491648</v>
      </c>
      <c r="N1061">
        <v>0.061317346476205931</v>
      </c>
      <c r="O1061" t="s">
        <v>138</v>
      </c>
      <c r="P1061">
        <v>0.0029712638211428573</v>
      </c>
      <c r="Q1061" t="s">
        <v>138</v>
      </c>
      <c r="R1061">
        <v>0.00070777696742949884</v>
      </c>
      <c r="S1061" t="s">
        <v>139</v>
      </c>
      <c r="T1061">
        <v>0.0073580815771447121</v>
      </c>
      <c r="U1061">
        <v>0.072354468841923009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0.43430000000000002</v>
      </c>
      <c r="AB1061">
        <v>2</v>
      </c>
      <c r="AC1061">
        <v>0.01</v>
      </c>
      <c r="AD1061">
        <v>0.01099879013308536</v>
      </c>
      <c r="AE1061">
        <v>5400</v>
      </c>
      <c r="AF1061">
        <v>400000</v>
      </c>
      <c r="AG1061">
        <v>33333.333333333336</v>
      </c>
      <c r="AH1061">
        <v>1</v>
      </c>
      <c r="AI1061">
        <v>1</v>
      </c>
      <c r="AJ1061" t="s">
        <v>136</v>
      </c>
      <c r="AK1061" t="s">
        <v>137</v>
      </c>
      <c r="AL1061">
        <v>0</v>
      </c>
      <c r="AM1061" t="s">
        <v>137</v>
      </c>
      <c r="AN1061">
        <v>0</v>
      </c>
    </row>
    <row r="1062" spans="1:42" ht="12.75">
      <c r="A1062" s="2" t="str">
        <f>HYPERLINK("https://ibp.a2mac1.com/costing(costing:projects/details/8191/process/6975854)","MANUFACTURING  PROCESS")</f>
        <v>MANUFACTURING  PROCESS</v>
      </c>
      <c r="B1062" t="s">
        <v>6354</v>
      </c>
      <c r="C1062">
        <v>6975854</v>
      </c>
      <c r="D1062">
        <v>5389254</v>
      </c>
      <c r="E1062">
        <v>0.013176911111111111</v>
      </c>
      <c r="F1062">
        <v>0</v>
      </c>
      <c r="G1062">
        <v>0</v>
      </c>
      <c r="H1062">
        <v>1.4942888888888888E-06</v>
      </c>
      <c r="I1062" t="s">
        <v>137</v>
      </c>
      <c r="J1062">
        <v>0.00047545555555555556</v>
      </c>
      <c r="K1062">
        <v>0.013653860955555555</v>
      </c>
      <c r="L1062">
        <v>0.005213676895308183</v>
      </c>
      <c r="M1062">
        <v>0.0312820613718491</v>
      </c>
      <c r="N1062">
        <v>0.044935922327404655</v>
      </c>
      <c r="O1062" t="s">
        <v>138</v>
      </c>
      <c r="P1062">
        <v>0.00081923165733333329</v>
      </c>
      <c r="Q1062" t="s">
        <v>138</v>
      </c>
      <c r="R1062">
        <v>0.001876923682310946</v>
      </c>
      <c r="S1062" t="s">
        <v>139</v>
      </c>
      <c r="T1062">
        <v>0.0053923106792885585</v>
      </c>
      <c r="U1062">
        <v>0.053024388346337492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0.86858999999999997</v>
      </c>
      <c r="AB1062">
        <v>1</v>
      </c>
      <c r="AC1062">
        <v>0.01</v>
      </c>
      <c r="AD1062">
        <v>0.01099879013308536</v>
      </c>
      <c r="AE1062">
        <v>5400</v>
      </c>
      <c r="AF1062">
        <v>400000</v>
      </c>
      <c r="AG1062">
        <v>33333.333333333336</v>
      </c>
      <c r="AH1062">
        <v>1</v>
      </c>
      <c r="AI1062">
        <v>1</v>
      </c>
      <c r="AJ1062" t="s">
        <v>136</v>
      </c>
      <c r="AK1062" t="s">
        <v>137</v>
      </c>
      <c r="AL1062">
        <v>0</v>
      </c>
      <c r="AM1062" t="s">
        <v>137</v>
      </c>
      <c r="AN1062">
        <v>0</v>
      </c>
    </row>
    <row r="1063" spans="1:42" ht="12.75">
      <c r="A1063" s="2" t="str">
        <f>HYPERLINK("https://ibp.a2mac1.com/costing(costing:projects/details/8191/process/6975855)","MANUFACTURING  PROCESS")</f>
        <v>MANUFACTURING  PROCESS</v>
      </c>
      <c r="B1063" t="s">
        <v>6354</v>
      </c>
      <c r="C1063">
        <v>6975855</v>
      </c>
      <c r="D1063">
        <v>5389255</v>
      </c>
      <c r="E1063">
        <v>0.026353822222222222</v>
      </c>
      <c r="F1063">
        <v>0</v>
      </c>
      <c r="G1063">
        <v>0</v>
      </c>
      <c r="H1063">
        <v>3.8036444444444443E-06</v>
      </c>
      <c r="I1063" t="s">
        <v>137</v>
      </c>
      <c r="J1063">
        <v>0.00095091111111111112</v>
      </c>
      <c r="K1063">
        <v>0.027308536977777777</v>
      </c>
      <c r="L1063">
        <v>0.016854072360103854</v>
      </c>
      <c r="M1063">
        <v>0.10112443416062311</v>
      </c>
      <c r="N1063">
        <v>0.12843297113840088</v>
      </c>
      <c r="O1063" t="s">
        <v>138</v>
      </c>
      <c r="P1063">
        <v>0.0016385122186666668</v>
      </c>
      <c r="Q1063" t="s">
        <v>138</v>
      </c>
      <c r="R1063">
        <v>0.0060674660496373867</v>
      </c>
      <c r="S1063" t="s">
        <v>139</v>
      </c>
      <c r="T1063">
        <v>0.015411956536608108</v>
      </c>
      <c r="U1063">
        <v>0.15155090594331305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3.0262099999999998</v>
      </c>
      <c r="AB1063">
        <v>1</v>
      </c>
      <c r="AC1063">
        <v>0.01</v>
      </c>
      <c r="AD1063">
        <v>0.013998040274361589</v>
      </c>
      <c r="AE1063">
        <v>5400</v>
      </c>
      <c r="AF1063">
        <v>200000</v>
      </c>
      <c r="AG1063">
        <v>16666.666666666668</v>
      </c>
      <c r="AH1063">
        <v>1</v>
      </c>
      <c r="AI1063">
        <v>1</v>
      </c>
      <c r="AJ1063" t="s">
        <v>136</v>
      </c>
      <c r="AK1063" t="s">
        <v>137</v>
      </c>
      <c r="AL1063">
        <v>0</v>
      </c>
      <c r="AM1063" t="s">
        <v>137</v>
      </c>
      <c r="AN1063">
        <v>0</v>
      </c>
    </row>
    <row r="1064" spans="1:42" ht="12.75">
      <c r="A1064" s="2" t="str">
        <f>HYPERLINK("https://ibp.a2mac1.com/costing(costing:projects/details/8191/process/6975859)","MANUFACTURING  PROCESS")</f>
        <v>MANUFACTURING  PROCESS</v>
      </c>
      <c r="B1064" t="s">
        <v>6354</v>
      </c>
      <c r="C1064">
        <v>6975859</v>
      </c>
      <c r="D1064">
        <v>5389256</v>
      </c>
      <c r="E1064">
        <v>0.026353822222222222</v>
      </c>
      <c r="F1064">
        <v>0</v>
      </c>
      <c r="G1064">
        <v>0</v>
      </c>
      <c r="H1064">
        <v>2.9885777777777777E-06</v>
      </c>
      <c r="I1064" t="s">
        <v>137</v>
      </c>
      <c r="J1064">
        <v>0.00095091111111111112</v>
      </c>
      <c r="K1064">
        <v>0.02730772191111111</v>
      </c>
      <c r="L1064">
        <v>0.0046551228631498652</v>
      </c>
      <c r="M1064">
        <v>0.027930737178899191</v>
      </c>
      <c r="N1064">
        <v>0.055238459090010301</v>
      </c>
      <c r="O1064" t="s">
        <v>138</v>
      </c>
      <c r="P1064">
        <v>0.0016384633146666666</v>
      </c>
      <c r="Q1064" t="s">
        <v>138</v>
      </c>
      <c r="R1064">
        <v>0.0016758442307339514</v>
      </c>
      <c r="S1064" t="s">
        <v>139</v>
      </c>
      <c r="T1064">
        <v>0.0066286150908012363</v>
      </c>
      <c r="U1064">
        <v>0.065181381726212156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1.5130999999999999</v>
      </c>
      <c r="AB1064">
        <v>2</v>
      </c>
      <c r="AC1064">
        <v>0.01</v>
      </c>
      <c r="AD1064">
        <v>0.01099879013308536</v>
      </c>
      <c r="AE1064">
        <v>5400</v>
      </c>
      <c r="AF1064">
        <v>400000</v>
      </c>
      <c r="AG1064">
        <v>33333.333333333336</v>
      </c>
      <c r="AH1064">
        <v>1</v>
      </c>
      <c r="AI1064">
        <v>1</v>
      </c>
      <c r="AJ1064" t="s">
        <v>136</v>
      </c>
      <c r="AK1064" t="s">
        <v>137</v>
      </c>
      <c r="AL1064">
        <v>0</v>
      </c>
      <c r="AM1064" t="s">
        <v>137</v>
      </c>
      <c r="AN1064">
        <v>0</v>
      </c>
    </row>
    <row r="1065" spans="1:42" ht="12.75">
      <c r="A1065" s="2" t="str">
        <f>HYPERLINK("https://ibp.a2mac1.com/costing(costing:projects/details/8191/process/6975916)","MANUFACTURING  PROCESS")</f>
        <v>MANUFACTURING  PROCESS</v>
      </c>
      <c r="B1065" t="s">
        <v>6354</v>
      </c>
      <c r="C1065">
        <v>6975916</v>
      </c>
      <c r="D1065">
        <v>5389456</v>
      </c>
      <c r="E1065">
        <v>20.4852743</v>
      </c>
      <c r="F1065">
        <v>0</v>
      </c>
      <c r="G1065">
        <v>0</v>
      </c>
      <c r="H1065">
        <v>0.0027992300285714284</v>
      </c>
      <c r="I1065" t="s">
        <v>137</v>
      </c>
      <c r="J1065">
        <v>0.89066409999999996</v>
      </c>
      <c r="K1065">
        <v>21.378737630028571</v>
      </c>
      <c r="L1065">
        <v>0.71154079581342233</v>
      </c>
      <c r="M1065">
        <v>4.2692447748805344</v>
      </c>
      <c r="N1065">
        <v>25.647982404909104</v>
      </c>
      <c r="O1065" t="s">
        <v>90</v>
      </c>
      <c r="P1065">
        <v>0</v>
      </c>
      <c r="Q1065" t="s">
        <v>90</v>
      </c>
      <c r="R1065">
        <v>0</v>
      </c>
      <c r="S1065" t="s">
        <v>90</v>
      </c>
      <c r="T1065">
        <v>0</v>
      </c>
      <c r="U1065">
        <v>25.647982404909104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142.55029999999999</v>
      </c>
      <c r="AB1065">
        <v>1</v>
      </c>
      <c r="AC1065">
        <v>0.01</v>
      </c>
      <c r="AD1065">
        <v>0.01099879013308536</v>
      </c>
      <c r="AE1065">
        <v>5400</v>
      </c>
      <c r="AF1065">
        <v>400000</v>
      </c>
      <c r="AG1065">
        <v>33333.333333333336</v>
      </c>
      <c r="AH1065">
        <v>1</v>
      </c>
      <c r="AI1065">
        <v>1</v>
      </c>
      <c r="AJ1065" t="s">
        <v>136</v>
      </c>
      <c r="AK1065" t="s">
        <v>137</v>
      </c>
      <c r="AL1065">
        <v>0</v>
      </c>
      <c r="AM1065" t="s">
        <v>137</v>
      </c>
      <c r="AN1065">
        <v>0</v>
      </c>
    </row>
    <row r="1066" spans="1:42" ht="12.75">
      <c r="A1066" s="2" t="str">
        <f>HYPERLINK("https://ibp.a2mac1.com/costing(costing:projects/details/8191/process/6975917)","MANUFACTURING  PROCESS")</f>
        <v>MANUFACTURING  PROCESS</v>
      </c>
      <c r="B1066" t="s">
        <v>6354</v>
      </c>
      <c r="C1066">
        <v>6975917</v>
      </c>
      <c r="D1066">
        <v>5389457</v>
      </c>
      <c r="E1066">
        <v>0.11655453333333333</v>
      </c>
      <c r="F1066">
        <v>0</v>
      </c>
      <c r="G1066">
        <v>0</v>
      </c>
      <c r="H1066">
        <v>1.4569316666666666E-05</v>
      </c>
      <c r="I1066" t="s">
        <v>137</v>
      </c>
      <c r="J1066">
        <v>0.0046356916666666663</v>
      </c>
      <c r="K1066">
        <v>0.12120479431666667</v>
      </c>
      <c r="L1066">
        <v>0.021383526978363387</v>
      </c>
      <c r="M1066">
        <v>0.12830116187018031</v>
      </c>
      <c r="N1066">
        <v>0.24950595618684698</v>
      </c>
      <c r="O1066" t="s">
        <v>138</v>
      </c>
      <c r="P1066">
        <v>0.0072722876590000001</v>
      </c>
      <c r="Q1066" t="s">
        <v>138</v>
      </c>
      <c r="R1066">
        <v>0.0076980697122108191</v>
      </c>
      <c r="S1066" t="s">
        <v>139</v>
      </c>
      <c r="T1066">
        <v>0.029940714742421638</v>
      </c>
      <c r="U1066">
        <v>0.29441702830047944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4.1120900000000002</v>
      </c>
      <c r="AB1066">
        <v>1</v>
      </c>
      <c r="AC1066">
        <v>0.01</v>
      </c>
      <c r="AD1066">
        <v>0.01099879013308536</v>
      </c>
      <c r="AE1066">
        <v>5400</v>
      </c>
      <c r="AF1066">
        <v>400000</v>
      </c>
      <c r="AG1066">
        <v>33333.333333333336</v>
      </c>
      <c r="AH1066">
        <v>1</v>
      </c>
      <c r="AI1066">
        <v>1</v>
      </c>
      <c r="AJ1066" t="s">
        <v>136</v>
      </c>
      <c r="AK1066" t="s">
        <v>137</v>
      </c>
      <c r="AL1066">
        <v>0</v>
      </c>
      <c r="AM1066" t="s">
        <v>137</v>
      </c>
      <c r="AN1066">
        <v>0</v>
      </c>
    </row>
    <row r="1067" spans="1:42" ht="12.75">
      <c r="A1067" s="2" t="str">
        <f>HYPERLINK("https://ibp.a2mac1.com/costing(costing:projects/details/8191/process/6975918)","MANUFACTURING  PROCESS")</f>
        <v>MANUFACTURING  PROCESS</v>
      </c>
      <c r="B1067" t="s">
        <v>6354</v>
      </c>
      <c r="C1067">
        <v>6975918</v>
      </c>
      <c r="D1067">
        <v>5389458</v>
      </c>
      <c r="E1067">
        <v>0.050502784615384613</v>
      </c>
      <c r="F1067">
        <v>0</v>
      </c>
      <c r="G1067">
        <v>0</v>
      </c>
      <c r="H1067">
        <v>6.2070461538461538E-06</v>
      </c>
      <c r="I1067" t="s">
        <v>137</v>
      </c>
      <c r="J1067">
        <v>0.0019749692307692306</v>
      </c>
      <c r="K1067">
        <v>0.052483960892307689</v>
      </c>
      <c r="L1067">
        <v>0.015970079527095317</v>
      </c>
      <c r="M1067">
        <v>0.095820477162571902</v>
      </c>
      <c r="N1067">
        <v>0.14830443805487958</v>
      </c>
      <c r="O1067" t="s">
        <v>138</v>
      </c>
      <c r="P1067">
        <v>0.0031490376535384616</v>
      </c>
      <c r="Q1067" t="s">
        <v>138</v>
      </c>
      <c r="R1067">
        <v>0.0057492286297543141</v>
      </c>
      <c r="S1067" t="s">
        <v>139</v>
      </c>
      <c r="T1067">
        <v>0.017796532566585553</v>
      </c>
      <c r="U1067">
        <v>0.17499923690475791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3.0262099999999998</v>
      </c>
      <c r="AB1067">
        <v>1</v>
      </c>
      <c r="AC1067">
        <v>0.01</v>
      </c>
      <c r="AD1067">
        <v>0.01099879013308536</v>
      </c>
      <c r="AE1067">
        <v>5400</v>
      </c>
      <c r="AF1067">
        <v>400000</v>
      </c>
      <c r="AG1067">
        <v>33333.333333333336</v>
      </c>
      <c r="AH1067">
        <v>1</v>
      </c>
      <c r="AI1067">
        <v>1</v>
      </c>
      <c r="AJ1067" t="s">
        <v>136</v>
      </c>
      <c r="AK1067" t="s">
        <v>137</v>
      </c>
      <c r="AL1067">
        <v>0</v>
      </c>
      <c r="AM1067" t="s">
        <v>137</v>
      </c>
      <c r="AN1067">
        <v>0</v>
      </c>
    </row>
    <row r="1068" spans="1:42" ht="12.75">
      <c r="A1068" s="2" t="str">
        <f>HYPERLINK("https://ibp.a2mac1.com/costing(costing:projects/details/8191/process/6975919)","MANUFACTURING  PROCESS")</f>
        <v>MANUFACTURING  PROCESS</v>
      </c>
      <c r="B1068" t="s">
        <v>6354</v>
      </c>
      <c r="C1068">
        <v>6975919</v>
      </c>
      <c r="D1068">
        <v>5389459</v>
      </c>
      <c r="E1068">
        <v>0.9862306666666667</v>
      </c>
      <c r="F1068">
        <v>0</v>
      </c>
      <c r="G1068">
        <v>0</v>
      </c>
      <c r="H1068">
        <v>0.00012327883333333332</v>
      </c>
      <c r="I1068" t="s">
        <v>137</v>
      </c>
      <c r="J1068">
        <v>0.039225083333333334</v>
      </c>
      <c r="K1068">
        <v>1.0255790288333333</v>
      </c>
      <c r="L1068">
        <v>0.034399371402856635</v>
      </c>
      <c r="M1068">
        <v>0.20639622841713981</v>
      </c>
      <c r="N1068">
        <v>1.2319752572504732</v>
      </c>
      <c r="O1068" t="s">
        <v>138</v>
      </c>
      <c r="P1068">
        <v>0.061534741730000002</v>
      </c>
      <c r="Q1068" t="s">
        <v>138</v>
      </c>
      <c r="R1068">
        <v>0.012383773705028389</v>
      </c>
      <c r="S1068" t="s">
        <v>139</v>
      </c>
      <c r="T1068">
        <v>0.14783703087005678</v>
      </c>
      <c r="U1068">
        <v>1.4537308035555583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6.7229299999999999</v>
      </c>
      <c r="AB1068">
        <v>1</v>
      </c>
      <c r="AC1068">
        <v>0.01</v>
      </c>
      <c r="AD1068">
        <v>0.01099879013308536</v>
      </c>
      <c r="AE1068">
        <v>5400</v>
      </c>
      <c r="AF1068">
        <v>400000</v>
      </c>
      <c r="AG1068">
        <v>33333.333333333336</v>
      </c>
      <c r="AH1068">
        <v>1</v>
      </c>
      <c r="AI1068">
        <v>1</v>
      </c>
      <c r="AJ1068" t="s">
        <v>136</v>
      </c>
      <c r="AK1068" t="s">
        <v>137</v>
      </c>
      <c r="AL1068">
        <v>0</v>
      </c>
      <c r="AM1068" t="s">
        <v>137</v>
      </c>
      <c r="AN1068">
        <v>0</v>
      </c>
    </row>
    <row r="1069" spans="1:42" ht="12.75">
      <c r="A1069" s="2" t="str">
        <f>HYPERLINK("https://ibp.a2mac1.com/costing(costing:projects/details/8191/process/6975920)","MANUFACTURING  PROCESS")</f>
        <v>MANUFACTURING  PROCESS</v>
      </c>
      <c r="B1069" t="s">
        <v>6354</v>
      </c>
      <c r="C1069">
        <v>6975920</v>
      </c>
      <c r="D1069">
        <v>5389460</v>
      </c>
      <c r="E1069">
        <v>0.089657333333333339</v>
      </c>
      <c r="F1069">
        <v>0</v>
      </c>
      <c r="G1069">
        <v>0</v>
      </c>
      <c r="H1069">
        <v>1.1207166666666667E-05</v>
      </c>
      <c r="I1069" t="s">
        <v>137</v>
      </c>
      <c r="J1069">
        <v>0.0035659166666666665</v>
      </c>
      <c r="K1069">
        <v>0.093234457166666673</v>
      </c>
      <c r="L1069">
        <v>0.021383526978363387</v>
      </c>
      <c r="M1069">
        <v>0.12830116187018031</v>
      </c>
      <c r="N1069">
        <v>0.22153561903684699</v>
      </c>
      <c r="O1069" t="s">
        <v>138</v>
      </c>
      <c r="P1069">
        <v>0.0055940674300000003</v>
      </c>
      <c r="Q1069" t="s">
        <v>138</v>
      </c>
      <c r="R1069">
        <v>0.0076980697122108191</v>
      </c>
      <c r="S1069" t="s">
        <v>139</v>
      </c>
      <c r="T1069">
        <v>0.026584274284421641</v>
      </c>
      <c r="U1069">
        <v>0.26141203046347944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4.1120900000000002</v>
      </c>
      <c r="AB1069">
        <v>1</v>
      </c>
      <c r="AC1069">
        <v>0.01</v>
      </c>
      <c r="AD1069">
        <v>0.01099879013308536</v>
      </c>
      <c r="AE1069">
        <v>5400</v>
      </c>
      <c r="AF1069">
        <v>400000</v>
      </c>
      <c r="AG1069">
        <v>33333.333333333336</v>
      </c>
      <c r="AH1069">
        <v>1</v>
      </c>
      <c r="AI1069">
        <v>1</v>
      </c>
      <c r="AJ1069" t="s">
        <v>136</v>
      </c>
      <c r="AK1069" t="s">
        <v>137</v>
      </c>
      <c r="AL1069">
        <v>0</v>
      </c>
      <c r="AM1069" t="s">
        <v>137</v>
      </c>
      <c r="AN1069">
        <v>0</v>
      </c>
    </row>
    <row r="1070" spans="1:42" ht="12.75">
      <c r="A1070" s="2" t="str">
        <f>HYPERLINK("https://ibp.a2mac1.com/costing(costing:projects/details/8191/process/6975921)","MANUFACTURING  PROCESS")</f>
        <v>MANUFACTURING  PROCESS</v>
      </c>
      <c r="B1070" t="s">
        <v>6354</v>
      </c>
      <c r="C1070">
        <v>6975921</v>
      </c>
      <c r="D1070">
        <v>5389461</v>
      </c>
      <c r="E1070">
        <v>0.45297330000000002</v>
      </c>
      <c r="F1070">
        <v>0</v>
      </c>
      <c r="G1070">
        <v>0</v>
      </c>
      <c r="H1070">
        <v>5.4755014285714288E-05</v>
      </c>
      <c r="I1070" t="s">
        <v>137</v>
      </c>
      <c r="J1070">
        <v>0.017422050000000001</v>
      </c>
      <c r="K1070">
        <v>0.47045010501428569</v>
      </c>
      <c r="L1070">
        <v>0.030064346017248039</v>
      </c>
      <c r="M1070">
        <v>0.18038607610348822</v>
      </c>
      <c r="N1070">
        <v>0.65083618111777397</v>
      </c>
      <c r="O1070" t="s">
        <v>138</v>
      </c>
      <c r="P1070">
        <v>0.028227006300857144</v>
      </c>
      <c r="Q1070" t="s">
        <v>138</v>
      </c>
      <c r="R1070">
        <v>0.010823164566209294</v>
      </c>
      <c r="S1070" t="s">
        <v>139</v>
      </c>
      <c r="T1070">
        <v>0.078100341734132869</v>
      </c>
      <c r="U1070">
        <v>0.76798669371897321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5.85337</v>
      </c>
      <c r="AB1070">
        <v>1</v>
      </c>
      <c r="AC1070">
        <v>0.01</v>
      </c>
      <c r="AD1070">
        <v>0.01099879013308536</v>
      </c>
      <c r="AE1070">
        <v>5400</v>
      </c>
      <c r="AF1070">
        <v>400000</v>
      </c>
      <c r="AG1070">
        <v>33333.333333333336</v>
      </c>
      <c r="AH1070">
        <v>1</v>
      </c>
      <c r="AI1070">
        <v>1</v>
      </c>
      <c r="AJ1070" t="s">
        <v>136</v>
      </c>
      <c r="AK1070" t="s">
        <v>137</v>
      </c>
      <c r="AL1070">
        <v>0</v>
      </c>
      <c r="AM1070" t="s">
        <v>137</v>
      </c>
      <c r="AN1070">
        <v>0</v>
      </c>
    </row>
    <row r="1071" spans="1:42" ht="12.75">
      <c r="A1071" s="2" t="str">
        <f>HYPERLINK("https://ibp.a2mac1.com/costing(costing:projects/details/8191/process/6975922)","MANUFACTURING  PROCESS")</f>
        <v>MANUFACTURING  PROCESS</v>
      </c>
      <c r="B1071" t="s">
        <v>6354</v>
      </c>
      <c r="C1071">
        <v>6975922</v>
      </c>
      <c r="D1071">
        <v>5389462</v>
      </c>
      <c r="E1071">
        <v>0.30483493333333334</v>
      </c>
      <c r="F1071">
        <v>0</v>
      </c>
      <c r="G1071">
        <v>0</v>
      </c>
      <c r="H1071">
        <v>3.8104366666666667E-05</v>
      </c>
      <c r="I1071" t="s">
        <v>137</v>
      </c>
      <c r="J1071">
        <v>0.012124116666666667</v>
      </c>
      <c r="K1071">
        <v>0.31699715436666664</v>
      </c>
      <c r="L1071">
        <v>0.0081787144122335721</v>
      </c>
      <c r="M1071">
        <v>0.049072286473401429</v>
      </c>
      <c r="N1071">
        <v>0.36606944084006809</v>
      </c>
      <c r="O1071" t="s">
        <v>138</v>
      </c>
      <c r="P1071">
        <v>0.019019829262</v>
      </c>
      <c r="Q1071" t="s">
        <v>138</v>
      </c>
      <c r="R1071">
        <v>0.0029443371884040857</v>
      </c>
      <c r="S1071" t="s">
        <v>139</v>
      </c>
      <c r="T1071">
        <v>0.043928332900808172</v>
      </c>
      <c r="U1071">
        <v>0.43196194019128037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2.9266899999999998</v>
      </c>
      <c r="AB1071">
        <v>2</v>
      </c>
      <c r="AC1071">
        <v>0.01</v>
      </c>
      <c r="AD1071">
        <v>0.01099879013308536</v>
      </c>
      <c r="AE1071">
        <v>5400</v>
      </c>
      <c r="AF1071">
        <v>400000</v>
      </c>
      <c r="AG1071">
        <v>33333.333333333336</v>
      </c>
      <c r="AH1071">
        <v>1</v>
      </c>
      <c r="AI1071">
        <v>1</v>
      </c>
      <c r="AJ1071" t="s">
        <v>136</v>
      </c>
      <c r="AK1071" t="s">
        <v>137</v>
      </c>
      <c r="AL1071">
        <v>0</v>
      </c>
      <c r="AM1071" t="s">
        <v>137</v>
      </c>
      <c r="AN1071">
        <v>0</v>
      </c>
    </row>
    <row r="1072" spans="1:42" ht="12.75">
      <c r="A1072" s="2" t="str">
        <f>HYPERLINK("https://ibp.a2mac1.com/costing(costing:projects/details/8191/process/6975923)","MANUFACTURING  PROCESS")</f>
        <v>MANUFACTURING  PROCESS</v>
      </c>
      <c r="B1072" t="s">
        <v>6354</v>
      </c>
      <c r="C1072">
        <v>6975923</v>
      </c>
      <c r="D1072">
        <v>5389463</v>
      </c>
      <c r="E1072">
        <v>0.1935940076923077</v>
      </c>
      <c r="F1072">
        <v>0</v>
      </c>
      <c r="G1072">
        <v>0</v>
      </c>
      <c r="H1072">
        <v>2.3793676923076922E-05</v>
      </c>
      <c r="I1072" t="s">
        <v>137</v>
      </c>
      <c r="J1072">
        <v>0.0075707153846153842</v>
      </c>
      <c r="K1072">
        <v>0.20118851675384616</v>
      </c>
      <c r="L1072">
        <v>0.0081787144122335721</v>
      </c>
      <c r="M1072">
        <v>0.049072286473401429</v>
      </c>
      <c r="N1072">
        <v>0.25026080322724759</v>
      </c>
      <c r="O1072" t="s">
        <v>138</v>
      </c>
      <c r="P1072">
        <v>0.012071311005230768</v>
      </c>
      <c r="Q1072" t="s">
        <v>138</v>
      </c>
      <c r="R1072">
        <v>0.0029443371884040857</v>
      </c>
      <c r="S1072" t="s">
        <v>139</v>
      </c>
      <c r="T1072">
        <v>0.030031296387269712</v>
      </c>
      <c r="U1072">
        <v>0.29530774780815217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2.9266899999999998</v>
      </c>
      <c r="AB1072">
        <v>2</v>
      </c>
      <c r="AC1072">
        <v>0.01</v>
      </c>
      <c r="AD1072">
        <v>0.01099879013308536</v>
      </c>
      <c r="AE1072">
        <v>5400</v>
      </c>
      <c r="AF1072">
        <v>400000</v>
      </c>
      <c r="AG1072">
        <v>33333.333333333336</v>
      </c>
      <c r="AH1072">
        <v>1</v>
      </c>
      <c r="AI1072">
        <v>1</v>
      </c>
      <c r="AJ1072" t="s">
        <v>136</v>
      </c>
      <c r="AK1072" t="s">
        <v>137</v>
      </c>
      <c r="AL1072">
        <v>0</v>
      </c>
      <c r="AM1072" t="s">
        <v>137</v>
      </c>
      <c r="AN1072">
        <v>0</v>
      </c>
    </row>
    <row r="1073" spans="1:42" ht="12.75">
      <c r="A1073" s="2" t="str">
        <f>HYPERLINK("https://ibp.a2mac1.com/costing(costing:projects/details/8191/process/6975924)","MANUFACTURING  PROCESS")</f>
        <v>MANUFACTURING  PROCESS</v>
      </c>
      <c r="B1073" t="s">
        <v>6354</v>
      </c>
      <c r="C1073">
        <v>6975924</v>
      </c>
      <c r="D1073">
        <v>5389464</v>
      </c>
      <c r="E1073">
        <v>0.1613832</v>
      </c>
      <c r="F1073">
        <v>0</v>
      </c>
      <c r="G1073">
        <v>0</v>
      </c>
      <c r="H1073">
        <v>2.0172900000000001E-05</v>
      </c>
      <c r="I1073" t="s">
        <v>137</v>
      </c>
      <c r="J1073">
        <v>0.0064186499999999997</v>
      </c>
      <c r="K1073">
        <v>0.16782202290000001</v>
      </c>
      <c r="L1073">
        <v>0.0046551228631498652</v>
      </c>
      <c r="M1073">
        <v>0.027930737178899191</v>
      </c>
      <c r="N1073">
        <v>0.19575276007889919</v>
      </c>
      <c r="O1073" t="s">
        <v>138</v>
      </c>
      <c r="P1073">
        <v>0.010069321374</v>
      </c>
      <c r="Q1073" t="s">
        <v>138</v>
      </c>
      <c r="R1073">
        <v>0.0016758442307339514</v>
      </c>
      <c r="S1073" t="s">
        <v>139</v>
      </c>
      <c r="T1073">
        <v>0.023490331209467901</v>
      </c>
      <c r="U1073">
        <v>0.23098825689310104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1.5130999999999999</v>
      </c>
      <c r="AB1073">
        <v>2</v>
      </c>
      <c r="AC1073">
        <v>0.01</v>
      </c>
      <c r="AD1073">
        <v>0.01099879013308536</v>
      </c>
      <c r="AE1073">
        <v>5400</v>
      </c>
      <c r="AF1073">
        <v>400000</v>
      </c>
      <c r="AG1073">
        <v>33333.333333333336</v>
      </c>
      <c r="AH1073">
        <v>1</v>
      </c>
      <c r="AI1073">
        <v>1</v>
      </c>
      <c r="AJ1073" t="s">
        <v>136</v>
      </c>
      <c r="AK1073" t="s">
        <v>137</v>
      </c>
      <c r="AL1073">
        <v>0</v>
      </c>
      <c r="AM1073" t="s">
        <v>137</v>
      </c>
      <c r="AN1073">
        <v>0</v>
      </c>
    </row>
    <row r="1074" spans="1:42" ht="12.75">
      <c r="A1074" s="2" t="str">
        <f>HYPERLINK("https://ibp.a2mac1.com/costing(costing:projects/details/8191/process/6975925)","MANUFACTURING  PROCESS")</f>
        <v>MANUFACTURING  PROCESS</v>
      </c>
      <c r="B1074" t="s">
        <v>6354</v>
      </c>
      <c r="C1074">
        <v>6975925</v>
      </c>
      <c r="D1074">
        <v>5389465</v>
      </c>
      <c r="E1074">
        <v>0.11200374444444444</v>
      </c>
      <c r="F1074">
        <v>0</v>
      </c>
      <c r="G1074">
        <v>0</v>
      </c>
      <c r="H1074">
        <v>1.2701455555555556E-05</v>
      </c>
      <c r="I1074" t="s">
        <v>137</v>
      </c>
      <c r="J1074">
        <v>0.0040413722222222221</v>
      </c>
      <c r="K1074">
        <v>0.11605781812222223</v>
      </c>
      <c r="L1074">
        <v>0.0046551228631498652</v>
      </c>
      <c r="M1074">
        <v>0.027930737178899191</v>
      </c>
      <c r="N1074">
        <v>0.14398855530112142</v>
      </c>
      <c r="O1074" t="s">
        <v>138</v>
      </c>
      <c r="P1074">
        <v>0.0069634690873333332</v>
      </c>
      <c r="Q1074" t="s">
        <v>138</v>
      </c>
      <c r="R1074">
        <v>0.0016758442307339514</v>
      </c>
      <c r="S1074" t="s">
        <v>139</v>
      </c>
      <c r="T1074">
        <v>0.01727862663613457</v>
      </c>
      <c r="U1074">
        <v>0.16990649525532325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1.5130999999999999</v>
      </c>
      <c r="AB1074">
        <v>2</v>
      </c>
      <c r="AC1074">
        <v>0.01</v>
      </c>
      <c r="AD1074">
        <v>0.01099879013308536</v>
      </c>
      <c r="AE1074">
        <v>5400</v>
      </c>
      <c r="AF1074">
        <v>400000</v>
      </c>
      <c r="AG1074">
        <v>33333.333333333336</v>
      </c>
      <c r="AH1074">
        <v>1</v>
      </c>
      <c r="AI1074">
        <v>1</v>
      </c>
      <c r="AJ1074" t="s">
        <v>136</v>
      </c>
      <c r="AK1074" t="s">
        <v>137</v>
      </c>
      <c r="AL1074">
        <v>0</v>
      </c>
      <c r="AM1074" t="s">
        <v>137</v>
      </c>
      <c r="AN1074">
        <v>0</v>
      </c>
    </row>
    <row r="1075" spans="1:42" ht="12.75">
      <c r="A1075" s="2" t="str">
        <f>HYPERLINK("https://ibp.a2mac1.com/costing(costing:projects/details/8191/process/6975926)","MANUFACTURING  PROCESS")</f>
        <v>MANUFACTURING  PROCESS</v>
      </c>
      <c r="B1075" t="s">
        <v>6354</v>
      </c>
      <c r="C1075">
        <v>6975926</v>
      </c>
      <c r="D1075">
        <v>5389466</v>
      </c>
      <c r="E1075">
        <v>0.048070409090909094</v>
      </c>
      <c r="F1075">
        <v>0</v>
      </c>
      <c r="G1075">
        <v>0</v>
      </c>
      <c r="H1075">
        <v>6.1129999999999997E-06</v>
      </c>
      <c r="I1075" t="s">
        <v>137</v>
      </c>
      <c r="J1075">
        <v>0.0019450454545454545</v>
      </c>
      <c r="K1075">
        <v>0.050021567545454546</v>
      </c>
      <c r="L1075">
        <v>0.015970079527095317</v>
      </c>
      <c r="M1075">
        <v>0.095820477162571902</v>
      </c>
      <c r="N1075">
        <v>0.14584204470802645</v>
      </c>
      <c r="O1075" t="s">
        <v>138</v>
      </c>
      <c r="P1075">
        <v>0.0030012940527272729</v>
      </c>
      <c r="Q1075" t="s">
        <v>138</v>
      </c>
      <c r="R1075">
        <v>0.0057492286297543141</v>
      </c>
      <c r="S1075" t="s">
        <v>139</v>
      </c>
      <c r="T1075">
        <v>0.017501045364963174</v>
      </c>
      <c r="U1075">
        <v>0.17209361275547122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3.0262099999999998</v>
      </c>
      <c r="AB1075">
        <v>1</v>
      </c>
      <c r="AC1075">
        <v>0.01</v>
      </c>
      <c r="AD1075">
        <v>0.01099879013308536</v>
      </c>
      <c r="AE1075">
        <v>5400</v>
      </c>
      <c r="AF1075">
        <v>400000</v>
      </c>
      <c r="AG1075">
        <v>33333.333333333336</v>
      </c>
      <c r="AH1075">
        <v>1</v>
      </c>
      <c r="AI1075">
        <v>1</v>
      </c>
      <c r="AJ1075" t="s">
        <v>136</v>
      </c>
      <c r="AK1075" t="s">
        <v>137</v>
      </c>
      <c r="AL1075">
        <v>0</v>
      </c>
      <c r="AM1075" t="s">
        <v>137</v>
      </c>
      <c r="AN1075">
        <v>0</v>
      </c>
    </row>
    <row r="1076" spans="1:42" ht="12.75">
      <c r="A1076" s="2" t="str">
        <f>HYPERLINK("https://ibp.a2mac1.com/costing(costing:projects/details/8191/process/6975927)","MANUFACTURING  PROCESS")</f>
        <v>MANUFACTURING  PROCESS</v>
      </c>
      <c r="B1076" t="s">
        <v>6354</v>
      </c>
      <c r="C1076">
        <v>6975927</v>
      </c>
      <c r="D1076">
        <v>5389467</v>
      </c>
      <c r="E1076">
        <v>0.035862933333333333</v>
      </c>
      <c r="F1076">
        <v>0</v>
      </c>
      <c r="G1076">
        <v>0</v>
      </c>
      <c r="H1076">
        <v>4.4828666666666665E-06</v>
      </c>
      <c r="I1076" t="s">
        <v>137</v>
      </c>
      <c r="J1076">
        <v>0.0014263666666666666</v>
      </c>
      <c r="K1076">
        <v>0.037293782866666667</v>
      </c>
      <c r="L1076">
        <v>0.0021784711527256333</v>
      </c>
      <c r="M1076">
        <v>0.013070826916353801</v>
      </c>
      <c r="N1076">
        <v>0.050364609783020466</v>
      </c>
      <c r="O1076" t="s">
        <v>138</v>
      </c>
      <c r="P1076">
        <v>0.002237626972</v>
      </c>
      <c r="Q1076" t="s">
        <v>138</v>
      </c>
      <c r="R1076">
        <v>0.00078424961498122804</v>
      </c>
      <c r="S1076" t="s">
        <v>139</v>
      </c>
      <c r="T1076">
        <v>0.0060437531739624562</v>
      </c>
      <c r="U1076">
        <v>0.059430239543964154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0.51951999999999998</v>
      </c>
      <c r="AB1076">
        <v>2</v>
      </c>
      <c r="AC1076">
        <v>0.01</v>
      </c>
      <c r="AD1076">
        <v>0.01099879013308536</v>
      </c>
      <c r="AE1076">
        <v>5400</v>
      </c>
      <c r="AF1076">
        <v>400000</v>
      </c>
      <c r="AG1076">
        <v>33333.333333333336</v>
      </c>
      <c r="AH1076">
        <v>1</v>
      </c>
      <c r="AI1076">
        <v>1</v>
      </c>
      <c r="AJ1076" t="s">
        <v>136</v>
      </c>
      <c r="AK1076" t="s">
        <v>137</v>
      </c>
      <c r="AL1076">
        <v>0</v>
      </c>
      <c r="AM1076" t="s">
        <v>137</v>
      </c>
      <c r="AN1076">
        <v>0</v>
      </c>
    </row>
    <row r="1077" spans="1:42" ht="12.75">
      <c r="A1077" s="2" t="str">
        <f>HYPERLINK("https://ibp.a2mac1.com/costing(costing:projects/details/8191/process/6975928)","MANUFACTURING  PROCESS")</f>
        <v>MANUFACTURING  PROCESS</v>
      </c>
      <c r="B1077" t="s">
        <v>6354</v>
      </c>
      <c r="C1077">
        <v>6975928</v>
      </c>
      <c r="D1077">
        <v>5389468</v>
      </c>
      <c r="E1077">
        <v>0.02060440588235294</v>
      </c>
      <c r="F1077">
        <v>0</v>
      </c>
      <c r="G1077">
        <v>0</v>
      </c>
      <c r="H1077">
        <v>2.3732823529411766E-06</v>
      </c>
      <c r="I1077" t="s">
        <v>137</v>
      </c>
      <c r="J1077">
        <v>0.00075513529411764711</v>
      </c>
      <c r="K1077">
        <v>0.02136191445882353</v>
      </c>
      <c r="L1077">
        <v>0.001966047131748608</v>
      </c>
      <c r="M1077">
        <v>0.011796282790491648</v>
      </c>
      <c r="N1077">
        <v>0.03315819724931518</v>
      </c>
      <c r="O1077" t="s">
        <v>138</v>
      </c>
      <c r="P1077">
        <v>0.0012817148675294118</v>
      </c>
      <c r="Q1077" t="s">
        <v>138</v>
      </c>
      <c r="R1077">
        <v>0.00070777696742949884</v>
      </c>
      <c r="S1077" t="s">
        <v>139</v>
      </c>
      <c r="T1077">
        <v>0.003978983669917821</v>
      </c>
      <c r="U1077">
        <v>0.039126672754191912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0.43430000000000002</v>
      </c>
      <c r="AB1077">
        <v>2</v>
      </c>
      <c r="AC1077">
        <v>0.01</v>
      </c>
      <c r="AD1077">
        <v>0.01099879013308536</v>
      </c>
      <c r="AE1077">
        <v>5400</v>
      </c>
      <c r="AF1077">
        <v>400000</v>
      </c>
      <c r="AG1077">
        <v>33333.333333333336</v>
      </c>
      <c r="AH1077">
        <v>1</v>
      </c>
      <c r="AI1077">
        <v>1</v>
      </c>
      <c r="AJ1077" t="s">
        <v>136</v>
      </c>
      <c r="AK1077" t="s">
        <v>137</v>
      </c>
      <c r="AL1077">
        <v>0</v>
      </c>
      <c r="AM1077" t="s">
        <v>137</v>
      </c>
      <c r="AN1077">
        <v>0</v>
      </c>
    </row>
    <row r="1078" spans="1:42" ht="12.75">
      <c r="A1078" s="2" t="str">
        <f>HYPERLINK("https://ibp.a2mac1.com/costing(costing:projects/details/8191/process/6975929)","MANUFACTURING  PROCESS")</f>
        <v>MANUFACTURING  PROCESS</v>
      </c>
      <c r="B1078" t="s">
        <v>6354</v>
      </c>
      <c r="C1078">
        <v>6975929</v>
      </c>
      <c r="D1078">
        <v>5389469</v>
      </c>
      <c r="E1078">
        <v>0.041568399999999998</v>
      </c>
      <c r="F1078">
        <v>0</v>
      </c>
      <c r="G1078">
        <v>0</v>
      </c>
      <c r="H1078">
        <v>5.3794399999999999E-06</v>
      </c>
      <c r="I1078" t="s">
        <v>137</v>
      </c>
      <c r="J1078">
        <v>0.0017116399999999999</v>
      </c>
      <c r="K1078">
        <v>0.04328541944</v>
      </c>
      <c r="L1078">
        <v>0.0021784711527256333</v>
      </c>
      <c r="M1078">
        <v>0.013070826916353801</v>
      </c>
      <c r="N1078">
        <v>0.056356246356353799</v>
      </c>
      <c r="O1078" t="s">
        <v>138</v>
      </c>
      <c r="P1078">
        <v>0.0025971251664000002</v>
      </c>
      <c r="Q1078" t="s">
        <v>138</v>
      </c>
      <c r="R1078">
        <v>0.00078424961498122804</v>
      </c>
      <c r="S1078" t="s">
        <v>139</v>
      </c>
      <c r="T1078">
        <v>0.0067627495627624558</v>
      </c>
      <c r="U1078">
        <v>0.066500370700497483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0.51951999999999998</v>
      </c>
      <c r="AB1078">
        <v>2</v>
      </c>
      <c r="AC1078">
        <v>0.01</v>
      </c>
      <c r="AD1078">
        <v>0.01099879013308536</v>
      </c>
      <c r="AE1078">
        <v>5400</v>
      </c>
      <c r="AF1078">
        <v>400000</v>
      </c>
      <c r="AG1078">
        <v>33333.333333333336</v>
      </c>
      <c r="AH1078">
        <v>1</v>
      </c>
      <c r="AI1078">
        <v>1</v>
      </c>
      <c r="AJ1078" t="s">
        <v>136</v>
      </c>
      <c r="AK1078" t="s">
        <v>137</v>
      </c>
      <c r="AL1078">
        <v>0</v>
      </c>
      <c r="AM1078" t="s">
        <v>137</v>
      </c>
      <c r="AN1078">
        <v>0</v>
      </c>
    </row>
    <row r="1079" spans="1:42" ht="12.75">
      <c r="A1079" s="2" t="str">
        <f>HYPERLINK("https://ibp.a2mac1.com/costing(costing:projects/details/8191/process/6975930)","MANUFACTURING  PROCESS")</f>
        <v>MANUFACTURING  PROCESS</v>
      </c>
      <c r="B1079" t="s">
        <v>6354</v>
      </c>
      <c r="C1079">
        <v>6975930</v>
      </c>
      <c r="D1079">
        <v>5389470</v>
      </c>
      <c r="E1079">
        <v>0.10100556923076923</v>
      </c>
      <c r="F1079">
        <v>0</v>
      </c>
      <c r="G1079">
        <v>0</v>
      </c>
      <c r="H1079">
        <v>1.2414092307692308E-05</v>
      </c>
      <c r="I1079" t="s">
        <v>137</v>
      </c>
      <c r="J1079">
        <v>0.0039499384615384612</v>
      </c>
      <c r="K1079">
        <v>0.10496792178461538</v>
      </c>
      <c r="L1079">
        <v>0.0046551228631498652</v>
      </c>
      <c r="M1079">
        <v>0.027930737178899191</v>
      </c>
      <c r="N1079">
        <v>0.13289865896351458</v>
      </c>
      <c r="O1079" t="s">
        <v>138</v>
      </c>
      <c r="P1079">
        <v>0.0062980753070769231</v>
      </c>
      <c r="Q1079" t="s">
        <v>138</v>
      </c>
      <c r="R1079">
        <v>0.0016758442307339514</v>
      </c>
      <c r="S1079" t="s">
        <v>139</v>
      </c>
      <c r="T1079">
        <v>0.01594783907562175</v>
      </c>
      <c r="U1079">
        <v>0.1568204175769472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1.5130999999999999</v>
      </c>
      <c r="AB1079">
        <v>2</v>
      </c>
      <c r="AC1079">
        <v>0.01</v>
      </c>
      <c r="AD1079">
        <v>0.01099879013308536</v>
      </c>
      <c r="AE1079">
        <v>5400</v>
      </c>
      <c r="AF1079">
        <v>400000</v>
      </c>
      <c r="AG1079">
        <v>33333.333333333336</v>
      </c>
      <c r="AH1079">
        <v>1</v>
      </c>
      <c r="AI1079">
        <v>1</v>
      </c>
      <c r="AJ1079" t="s">
        <v>136</v>
      </c>
      <c r="AK1079" t="s">
        <v>137</v>
      </c>
      <c r="AL1079">
        <v>0</v>
      </c>
      <c r="AM1079" t="s">
        <v>137</v>
      </c>
      <c r="AN1079">
        <v>0</v>
      </c>
    </row>
    <row r="1080" spans="1:42" ht="12.75">
      <c r="A1080" s="2" t="str">
        <f>HYPERLINK("https://ibp.a2mac1.com/costing(costing:projects/details/8191/process/6975931)","MANUFACTURING  PROCESS")</f>
        <v>MANUFACTURING  PROCESS</v>
      </c>
      <c r="B1080" t="s">
        <v>6354</v>
      </c>
      <c r="C1080">
        <v>6975931</v>
      </c>
      <c r="D1080">
        <v>5389471</v>
      </c>
      <c r="E1080">
        <v>0.023840699999999999</v>
      </c>
      <c r="F1080">
        <v>0</v>
      </c>
      <c r="G1080">
        <v>0</v>
      </c>
      <c r="H1080">
        <v>2.8818428571428572E-06</v>
      </c>
      <c r="I1080" t="s">
        <v>137</v>
      </c>
      <c r="J1080">
        <v>0.00091695000000000004</v>
      </c>
      <c r="K1080">
        <v>0.024760531842857144</v>
      </c>
      <c r="L1080">
        <v>0.0021784711527256333</v>
      </c>
      <c r="M1080">
        <v>0.013070826916353801</v>
      </c>
      <c r="N1080">
        <v>0.037831358759210947</v>
      </c>
      <c r="O1080" t="s">
        <v>138</v>
      </c>
      <c r="P1080">
        <v>0.0014856319105714286</v>
      </c>
      <c r="Q1080" t="s">
        <v>138</v>
      </c>
      <c r="R1080">
        <v>0.00078424961498122804</v>
      </c>
      <c r="S1080" t="s">
        <v>139</v>
      </c>
      <c r="T1080">
        <v>0.0045397630511053132</v>
      </c>
      <c r="U1080">
        <v>0.044641003335868915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0.51951999999999998</v>
      </c>
      <c r="AB1080">
        <v>2</v>
      </c>
      <c r="AC1080">
        <v>0.01</v>
      </c>
      <c r="AD1080">
        <v>0.01099879013308536</v>
      </c>
      <c r="AE1080">
        <v>5400</v>
      </c>
      <c r="AF1080">
        <v>400000</v>
      </c>
      <c r="AG1080">
        <v>33333.333333333336</v>
      </c>
      <c r="AH1080">
        <v>1</v>
      </c>
      <c r="AI1080">
        <v>1</v>
      </c>
      <c r="AJ1080" t="s">
        <v>136</v>
      </c>
      <c r="AK1080" t="s">
        <v>137</v>
      </c>
      <c r="AL1080">
        <v>0</v>
      </c>
      <c r="AM1080" t="s">
        <v>137</v>
      </c>
      <c r="AN1080">
        <v>0</v>
      </c>
    </row>
    <row r="1081" spans="1:42" ht="12.75">
      <c r="A1081" s="2" t="str">
        <f>HYPERLINK("https://ibp.a2mac1.com/costing(costing:projects/details/8191/process/6975932)","MANUFACTURING  PROCESS")</f>
        <v>MANUFACTURING  PROCESS</v>
      </c>
      <c r="B1081" t="s">
        <v>6354</v>
      </c>
      <c r="C1081">
        <v>6975932</v>
      </c>
      <c r="D1081">
        <v>5389472</v>
      </c>
      <c r="E1081">
        <v>17.304031139999999</v>
      </c>
      <c r="F1081">
        <v>0</v>
      </c>
      <c r="G1081">
        <v>0</v>
      </c>
      <c r="H1081">
        <v>0.0023212724699999999</v>
      </c>
      <c r="I1081" t="s">
        <v>137</v>
      </c>
      <c r="J1081">
        <v>0.73858669499999996</v>
      </c>
      <c r="K1081">
        <v>18.04493910747</v>
      </c>
      <c r="L1081">
        <v>0.2109127153016421</v>
      </c>
      <c r="M1081">
        <v>1.2654762918098528</v>
      </c>
      <c r="N1081">
        <v>19.310415399279854</v>
      </c>
      <c r="O1081" t="s">
        <v>138</v>
      </c>
      <c r="P1081">
        <v>1.0826963464482</v>
      </c>
      <c r="Q1081" t="s">
        <v>138</v>
      </c>
      <c r="R1081">
        <v>0.075928577508591166</v>
      </c>
      <c r="S1081" t="s">
        <v>139</v>
      </c>
      <c r="T1081">
        <v>2.3172498479135824</v>
      </c>
      <c r="U1081">
        <v>22.786290171150227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42.129629999999999</v>
      </c>
      <c r="AB1081">
        <v>1</v>
      </c>
      <c r="AC1081">
        <v>0.01</v>
      </c>
      <c r="AD1081">
        <v>0.01099879013308536</v>
      </c>
      <c r="AE1081">
        <v>5400</v>
      </c>
      <c r="AF1081">
        <v>400000</v>
      </c>
      <c r="AG1081">
        <v>33333.333333333336</v>
      </c>
      <c r="AH1081">
        <v>1</v>
      </c>
      <c r="AI1081">
        <v>1</v>
      </c>
      <c r="AJ1081" t="s">
        <v>136</v>
      </c>
      <c r="AK1081" t="s">
        <v>137</v>
      </c>
      <c r="AL1081">
        <v>0</v>
      </c>
      <c r="AM1081" t="s">
        <v>137</v>
      </c>
      <c r="AN1081">
        <v>0</v>
      </c>
    </row>
    <row r="1082" spans="1:42" ht="12.75">
      <c r="A1082" s="2" t="str">
        <f>HYPERLINK("https://ibp.a2mac1.com/costing(costing:projects/details/8191/process/6975933)","MANUFACTURING  PROCESS")</f>
        <v>MANUFACTURING  PROCESS</v>
      </c>
      <c r="B1082" t="s">
        <v>6354</v>
      </c>
      <c r="C1082">
        <v>6975933</v>
      </c>
      <c r="D1082">
        <v>5389473</v>
      </c>
      <c r="E1082">
        <v>0.78409413333333333</v>
      </c>
      <c r="F1082">
        <v>0</v>
      </c>
      <c r="G1082">
        <v>0</v>
      </c>
      <c r="H1082">
        <v>9.3243626666666667E-05</v>
      </c>
      <c r="I1082" t="s">
        <v>137</v>
      </c>
      <c r="J1082">
        <v>0.029668426666666668</v>
      </c>
      <c r="K1082">
        <v>0.81385580362666665</v>
      </c>
      <c r="L1082">
        <v>0.0081787144122335721</v>
      </c>
      <c r="M1082">
        <v>0.049072286473401429</v>
      </c>
      <c r="N1082">
        <v>0.8629280901000681</v>
      </c>
      <c r="O1082" t="s">
        <v>138</v>
      </c>
      <c r="P1082">
        <v>0.048831348217599997</v>
      </c>
      <c r="Q1082" t="s">
        <v>138</v>
      </c>
      <c r="R1082">
        <v>0.0029443371884040857</v>
      </c>
      <c r="S1082" t="s">
        <v>139</v>
      </c>
      <c r="T1082">
        <v>0.10355137081200817</v>
      </c>
      <c r="U1082">
        <v>1.0182551463180805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2.9266899999999998</v>
      </c>
      <c r="AB1082">
        <v>2</v>
      </c>
      <c r="AC1082">
        <v>0.01</v>
      </c>
      <c r="AD1082">
        <v>0.01099879013308536</v>
      </c>
      <c r="AE1082">
        <v>5400</v>
      </c>
      <c r="AF1082">
        <v>400000</v>
      </c>
      <c r="AG1082">
        <v>33333.333333333336</v>
      </c>
      <c r="AH1082">
        <v>1</v>
      </c>
      <c r="AI1082">
        <v>1</v>
      </c>
      <c r="AJ1082" t="s">
        <v>136</v>
      </c>
      <c r="AK1082" t="s">
        <v>137</v>
      </c>
      <c r="AL1082">
        <v>0</v>
      </c>
      <c r="AM1082" t="s">
        <v>137</v>
      </c>
      <c r="AN1082">
        <v>0</v>
      </c>
    </row>
    <row r="1083" spans="1:42" ht="12.75">
      <c r="A1083" s="2" t="str">
        <f>HYPERLINK("https://ibp.a2mac1.com/costing(costing:projects/details/8191/process/6975934)","MANUFACTURING  PROCESS")</f>
        <v>MANUFACTURING  PROCESS</v>
      </c>
      <c r="B1083" t="s">
        <v>6354</v>
      </c>
      <c r="C1083">
        <v>6975934</v>
      </c>
      <c r="D1083">
        <v>5389474</v>
      </c>
      <c r="E1083">
        <v>6.0677267199999996</v>
      </c>
      <c r="F1083">
        <v>0</v>
      </c>
      <c r="G1083">
        <v>0</v>
      </c>
      <c r="H1083">
        <v>0.00075846583999999995</v>
      </c>
      <c r="I1083" t="s">
        <v>137</v>
      </c>
      <c r="J1083">
        <v>0.24133004</v>
      </c>
      <c r="K1083">
        <v>6.3098152258400004</v>
      </c>
      <c r="L1083">
        <v>0.2109127153016421</v>
      </c>
      <c r="M1083">
        <v>1.2654762918098528</v>
      </c>
      <c r="N1083">
        <v>7.5752915176498528</v>
      </c>
      <c r="O1083" t="s">
        <v>138</v>
      </c>
      <c r="P1083">
        <v>0.37858891355039997</v>
      </c>
      <c r="Q1083" t="s">
        <v>138</v>
      </c>
      <c r="R1083">
        <v>0.075928577508591166</v>
      </c>
      <c r="S1083" t="s">
        <v>139</v>
      </c>
      <c r="T1083">
        <v>0.90903498211798228</v>
      </c>
      <c r="U1083">
        <v>8.9388439908268253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42.129629999999999</v>
      </c>
      <c r="AB1083">
        <v>1</v>
      </c>
      <c r="AC1083">
        <v>0.01</v>
      </c>
      <c r="AD1083">
        <v>0.01099879013308536</v>
      </c>
      <c r="AE1083">
        <v>5400</v>
      </c>
      <c r="AF1083">
        <v>400000</v>
      </c>
      <c r="AG1083">
        <v>33333.333333333336</v>
      </c>
      <c r="AH1083">
        <v>1</v>
      </c>
      <c r="AI1083">
        <v>1</v>
      </c>
      <c r="AJ1083" t="s">
        <v>136</v>
      </c>
      <c r="AK1083" t="s">
        <v>137</v>
      </c>
      <c r="AL1083">
        <v>0</v>
      </c>
      <c r="AM1083" t="s">
        <v>137</v>
      </c>
      <c r="AN1083">
        <v>0</v>
      </c>
    </row>
    <row r="1084" spans="1:42" ht="12.75">
      <c r="A1084" s="2" t="str">
        <f>HYPERLINK("https://ibp.a2mac1.com/costing(costing:projects/details/8191/process/6975935)","MANUFACTURING  PROCESS")</f>
        <v>MANUFACTURING  PROCESS</v>
      </c>
      <c r="B1084" t="s">
        <v>6354</v>
      </c>
      <c r="C1084">
        <v>6975935</v>
      </c>
      <c r="D1084">
        <v>5389475</v>
      </c>
      <c r="E1084">
        <v>0.6278051</v>
      </c>
      <c r="F1084">
        <v>0</v>
      </c>
      <c r="G1084">
        <v>0</v>
      </c>
      <c r="H1084">
        <v>7.5888528571428572E-05</v>
      </c>
      <c r="I1084" t="s">
        <v>137</v>
      </c>
      <c r="J1084">
        <v>0.02414635</v>
      </c>
      <c r="K1084">
        <v>0.65202733852857142</v>
      </c>
      <c r="L1084">
        <v>0.0081787144122335721</v>
      </c>
      <c r="M1084">
        <v>0.049072286473401429</v>
      </c>
      <c r="N1084">
        <v>0.70109962500197287</v>
      </c>
      <c r="O1084" t="s">
        <v>138</v>
      </c>
      <c r="P1084">
        <v>0.039121640311714286</v>
      </c>
      <c r="Q1084" t="s">
        <v>138</v>
      </c>
      <c r="R1084">
        <v>0.0029443371884040857</v>
      </c>
      <c r="S1084" t="s">
        <v>139</v>
      </c>
      <c r="T1084">
        <v>0.084131955000236749</v>
      </c>
      <c r="U1084">
        <v>0.82729755750232803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2.9266899999999998</v>
      </c>
      <c r="AB1084">
        <v>2</v>
      </c>
      <c r="AC1084">
        <v>0.01</v>
      </c>
      <c r="AD1084">
        <v>0.01099879013308536</v>
      </c>
      <c r="AE1084">
        <v>5400</v>
      </c>
      <c r="AF1084">
        <v>400000</v>
      </c>
      <c r="AG1084">
        <v>33333.333333333336</v>
      </c>
      <c r="AH1084">
        <v>1</v>
      </c>
      <c r="AI1084">
        <v>1</v>
      </c>
      <c r="AJ1084" t="s">
        <v>136</v>
      </c>
      <c r="AK1084" t="s">
        <v>137</v>
      </c>
      <c r="AL1084">
        <v>0</v>
      </c>
      <c r="AM1084" t="s">
        <v>137</v>
      </c>
      <c r="AN1084">
        <v>0</v>
      </c>
    </row>
    <row r="1085" spans="1:42" ht="12.75">
      <c r="A1085" s="2" t="str">
        <f>HYPERLINK("https://ibp.a2mac1.com/costing(costing:projects/details/8191/process/6975936)","MANUFACTURING  PROCESS")</f>
        <v>MANUFACTURING  PROCESS</v>
      </c>
      <c r="B1085" t="s">
        <v>6354</v>
      </c>
      <c r="C1085">
        <v>6975936</v>
      </c>
      <c r="D1085">
        <v>5389476</v>
      </c>
      <c r="E1085">
        <v>0.050279425000000003</v>
      </c>
      <c r="F1085">
        <v>0</v>
      </c>
      <c r="G1085">
        <v>0</v>
      </c>
      <c r="H1085">
        <v>5.8837625000000002E-06</v>
      </c>
      <c r="I1085" t="s">
        <v>137</v>
      </c>
      <c r="J1085">
        <v>0.00187210625</v>
      </c>
      <c r="K1085">
        <v>0.0521574150125</v>
      </c>
      <c r="L1085">
        <v>0.0060085096525124091</v>
      </c>
      <c r="M1085">
        <v>0.036051057915074451</v>
      </c>
      <c r="N1085">
        <v>0.088208472927574458</v>
      </c>
      <c r="O1085" t="s">
        <v>138</v>
      </c>
      <c r="P1085">
        <v>0.0031294449007500001</v>
      </c>
      <c r="Q1085" t="s">
        <v>138</v>
      </c>
      <c r="R1085">
        <v>0.0021630634749044671</v>
      </c>
      <c r="S1085" t="s">
        <v>139</v>
      </c>
      <c r="T1085">
        <v>0.010585016751308934</v>
      </c>
      <c r="U1085">
        <v>0.10408599805453786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2.0560499999999999</v>
      </c>
      <c r="AB1085">
        <v>2</v>
      </c>
      <c r="AC1085">
        <v>0.01</v>
      </c>
      <c r="AD1085">
        <v>0.01099879013308536</v>
      </c>
      <c r="AE1085">
        <v>5400</v>
      </c>
      <c r="AF1085">
        <v>400000</v>
      </c>
      <c r="AG1085">
        <v>33333.333333333336</v>
      </c>
      <c r="AH1085">
        <v>1</v>
      </c>
      <c r="AI1085">
        <v>1</v>
      </c>
      <c r="AJ1085" t="s">
        <v>136</v>
      </c>
      <c r="AK1085" t="s">
        <v>137</v>
      </c>
      <c r="AL1085">
        <v>0</v>
      </c>
      <c r="AM1085" t="s">
        <v>137</v>
      </c>
      <c r="AN1085">
        <v>0</v>
      </c>
    </row>
    <row r="1086" spans="1:42" ht="12.75">
      <c r="A1086" s="2" t="str">
        <f>HYPERLINK("https://ibp.a2mac1.com/costing(costing:projects/details/8191/process/6975937)","MANUFACTURING  PROCESS")</f>
        <v>MANUFACTURING  PROCESS</v>
      </c>
      <c r="B1086" t="s">
        <v>6354</v>
      </c>
      <c r="C1086">
        <v>6975937</v>
      </c>
      <c r="D1086">
        <v>5389477</v>
      </c>
      <c r="E1086">
        <v>0.25980249999999999</v>
      </c>
      <c r="F1086">
        <v>0</v>
      </c>
      <c r="G1086">
        <v>0</v>
      </c>
      <c r="H1086">
        <v>3.3621500000000003E-05</v>
      </c>
      <c r="I1086" t="s">
        <v>137</v>
      </c>
      <c r="J1086">
        <v>0.010697750000000001</v>
      </c>
      <c r="K1086">
        <v>0.27053387150000002</v>
      </c>
      <c r="L1086">
        <v>0.0081787144122335721</v>
      </c>
      <c r="M1086">
        <v>0.049072286473401429</v>
      </c>
      <c r="N1086">
        <v>0.31960615797340142</v>
      </c>
      <c r="O1086" t="s">
        <v>138</v>
      </c>
      <c r="P1086">
        <v>0.01623203229</v>
      </c>
      <c r="Q1086" t="s">
        <v>138</v>
      </c>
      <c r="R1086">
        <v>0.0029443371884040857</v>
      </c>
      <c r="S1086" t="s">
        <v>139</v>
      </c>
      <c r="T1086">
        <v>0.038352738956808172</v>
      </c>
      <c r="U1086">
        <v>0.37713526640861367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2.9266899999999998</v>
      </c>
      <c r="AB1086">
        <v>2</v>
      </c>
      <c r="AC1086">
        <v>0.01</v>
      </c>
      <c r="AD1086">
        <v>0.01099879013308536</v>
      </c>
      <c r="AE1086">
        <v>5400</v>
      </c>
      <c r="AF1086">
        <v>400000</v>
      </c>
      <c r="AG1086">
        <v>33333.333333333336</v>
      </c>
      <c r="AH1086">
        <v>1</v>
      </c>
      <c r="AI1086">
        <v>1</v>
      </c>
      <c r="AJ1086" t="s">
        <v>136</v>
      </c>
      <c r="AK1086" t="s">
        <v>137</v>
      </c>
      <c r="AL1086">
        <v>0</v>
      </c>
      <c r="AM1086" t="s">
        <v>137</v>
      </c>
      <c r="AN1086">
        <v>0</v>
      </c>
    </row>
    <row r="1087" spans="1:42" ht="12.75">
      <c r="A1087" s="2" t="str">
        <f>HYPERLINK("https://ibp.a2mac1.com/costing(costing:projects/details/8191/process/6975938)","MANUFACTURING  PROCESS")</f>
        <v>MANUFACTURING  PROCESS</v>
      </c>
      <c r="B1087" t="s">
        <v>6354</v>
      </c>
      <c r="C1087">
        <v>6975938</v>
      </c>
      <c r="D1087">
        <v>5389478</v>
      </c>
      <c r="E1087">
        <v>0.25980249999999999</v>
      </c>
      <c r="F1087">
        <v>0</v>
      </c>
      <c r="G1087">
        <v>0</v>
      </c>
      <c r="H1087">
        <v>3.3621500000000003E-05</v>
      </c>
      <c r="I1087" t="s">
        <v>137</v>
      </c>
      <c r="J1087">
        <v>0.010697750000000001</v>
      </c>
      <c r="K1087">
        <v>0.27053387150000002</v>
      </c>
      <c r="L1087">
        <v>0.0081787144122335721</v>
      </c>
      <c r="M1087">
        <v>0.049072286473401429</v>
      </c>
      <c r="N1087">
        <v>0.31960615797340142</v>
      </c>
      <c r="O1087" t="s">
        <v>138</v>
      </c>
      <c r="P1087">
        <v>0.01623203229</v>
      </c>
      <c r="Q1087" t="s">
        <v>138</v>
      </c>
      <c r="R1087">
        <v>0.0029443371884040857</v>
      </c>
      <c r="S1087" t="s">
        <v>139</v>
      </c>
      <c r="T1087">
        <v>0.038352738956808172</v>
      </c>
      <c r="U1087">
        <v>0.37713526640861367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2.9266899999999998</v>
      </c>
      <c r="AB1087">
        <v>2</v>
      </c>
      <c r="AC1087">
        <v>0.01</v>
      </c>
      <c r="AD1087">
        <v>0.01099879013308536</v>
      </c>
      <c r="AE1087">
        <v>5400</v>
      </c>
      <c r="AF1087">
        <v>400000</v>
      </c>
      <c r="AG1087">
        <v>33333.333333333336</v>
      </c>
      <c r="AH1087">
        <v>1</v>
      </c>
      <c r="AI1087">
        <v>1</v>
      </c>
      <c r="AJ1087" t="s">
        <v>136</v>
      </c>
      <c r="AK1087" t="s">
        <v>137</v>
      </c>
      <c r="AL1087">
        <v>0</v>
      </c>
      <c r="AM1087" t="s">
        <v>137</v>
      </c>
      <c r="AN1087">
        <v>0</v>
      </c>
    </row>
    <row r="1088" spans="1:42" ht="12.75">
      <c r="A1088" s="2" t="str">
        <f>HYPERLINK("https://ibp.a2mac1.com/costing(costing:projects/details/8191/process/6975939)","MANUFACTURING  PROCESS")</f>
        <v>MANUFACTURING  PROCESS</v>
      </c>
      <c r="B1088" t="s">
        <v>6354</v>
      </c>
      <c r="C1088">
        <v>6975939</v>
      </c>
      <c r="D1088">
        <v>5389479</v>
      </c>
      <c r="E1088">
        <v>2.5588077538461538</v>
      </c>
      <c r="F1088">
        <v>0</v>
      </c>
      <c r="G1088">
        <v>0</v>
      </c>
      <c r="H1088">
        <v>0.00031449033846153848</v>
      </c>
      <c r="I1088" t="s">
        <v>137</v>
      </c>
      <c r="J1088">
        <v>0.1000651076923077</v>
      </c>
      <c r="K1088">
        <v>2.6591873518769229</v>
      </c>
      <c r="L1088">
        <v>0.010313049872942069</v>
      </c>
      <c r="M1088">
        <v>0.061878299237652409</v>
      </c>
      <c r="N1088">
        <v>2.7210656511145754</v>
      </c>
      <c r="O1088" t="s">
        <v>138</v>
      </c>
      <c r="P1088">
        <v>0.15955124111261537</v>
      </c>
      <c r="Q1088" t="s">
        <v>138</v>
      </c>
      <c r="R1088">
        <v>0.0037126979542591448</v>
      </c>
      <c r="S1088" t="s">
        <v>139</v>
      </c>
      <c r="T1088">
        <v>0.32652787813374906</v>
      </c>
      <c r="U1088">
        <v>3.2108574683151989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3.78294</v>
      </c>
      <c r="AB1088">
        <v>2</v>
      </c>
      <c r="AC1088">
        <v>0.01</v>
      </c>
      <c r="AD1088">
        <v>0.01099879013308536</v>
      </c>
      <c r="AE1088">
        <v>5400</v>
      </c>
      <c r="AF1088">
        <v>400000</v>
      </c>
      <c r="AG1088">
        <v>33333.333333333336</v>
      </c>
      <c r="AH1088">
        <v>1</v>
      </c>
      <c r="AI1088">
        <v>1</v>
      </c>
      <c r="AJ1088" t="s">
        <v>136</v>
      </c>
      <c r="AK1088" t="s">
        <v>137</v>
      </c>
      <c r="AL1088">
        <v>0</v>
      </c>
      <c r="AM1088" t="s">
        <v>137</v>
      </c>
      <c r="AN1088">
        <v>0</v>
      </c>
    </row>
    <row r="1089" spans="1:42" ht="12.75">
      <c r="A1089" s="2" t="str">
        <f>HYPERLINK("https://ibp.a2mac1.com/costing(costing:projects/details/8191/process/6975940)","MANUFACTURING  PROCESS")</f>
        <v>MANUFACTURING  PROCESS</v>
      </c>
      <c r="B1089" t="s">
        <v>6354</v>
      </c>
      <c r="C1089">
        <v>6975940</v>
      </c>
      <c r="D1089">
        <v>5389480</v>
      </c>
      <c r="E1089">
        <v>0.48414960000000001</v>
      </c>
      <c r="F1089">
        <v>0</v>
      </c>
      <c r="G1089">
        <v>0</v>
      </c>
      <c r="H1089">
        <v>6.05187E-05</v>
      </c>
      <c r="I1089" t="s">
        <v>137</v>
      </c>
      <c r="J1089">
        <v>0.019255950000000001</v>
      </c>
      <c r="K1089">
        <v>0.50346606869999999</v>
      </c>
      <c r="L1089">
        <v>0.030064346017248039</v>
      </c>
      <c r="M1089">
        <v>0.18038607610348822</v>
      </c>
      <c r="N1089">
        <v>0.68385214480348822</v>
      </c>
      <c r="O1089" t="s">
        <v>138</v>
      </c>
      <c r="P1089">
        <v>0.030207964122000001</v>
      </c>
      <c r="Q1089" t="s">
        <v>138</v>
      </c>
      <c r="R1089">
        <v>0.010823164566209294</v>
      </c>
      <c r="S1089" t="s">
        <v>139</v>
      </c>
      <c r="T1089">
        <v>0.08206225737641859</v>
      </c>
      <c r="U1089">
        <v>0.80694553086811616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5.85337</v>
      </c>
      <c r="AB1089">
        <v>1</v>
      </c>
      <c r="AC1089">
        <v>0.01</v>
      </c>
      <c r="AD1089">
        <v>0.01099879013308536</v>
      </c>
      <c r="AE1089">
        <v>5400</v>
      </c>
      <c r="AF1089">
        <v>400000</v>
      </c>
      <c r="AG1089">
        <v>33333.333333333336</v>
      </c>
      <c r="AH1089">
        <v>1</v>
      </c>
      <c r="AI1089">
        <v>1</v>
      </c>
      <c r="AJ1089" t="s">
        <v>136</v>
      </c>
      <c r="AK1089" t="s">
        <v>137</v>
      </c>
      <c r="AL1089">
        <v>0</v>
      </c>
      <c r="AM1089" t="s">
        <v>137</v>
      </c>
      <c r="AN1089">
        <v>0</v>
      </c>
    </row>
    <row r="1090" spans="1:42" ht="12.75">
      <c r="A1090" s="2" t="str">
        <f>HYPERLINK("https://ibp.a2mac1.com/costing(costing:projects/details/8191/process/6975941)","MANUFACTURING  PROCESS")</f>
        <v>MANUFACTURING  PROCESS</v>
      </c>
      <c r="B1090" t="s">
        <v>6354</v>
      </c>
      <c r="C1090">
        <v>6975941</v>
      </c>
      <c r="D1090">
        <v>5389481</v>
      </c>
      <c r="E1090">
        <v>0.093376075000000003</v>
      </c>
      <c r="F1090">
        <v>0</v>
      </c>
      <c r="G1090">
        <v>0</v>
      </c>
      <c r="H1090">
        <v>1.09269875E-05</v>
      </c>
      <c r="I1090" t="s">
        <v>137</v>
      </c>
      <c r="J1090">
        <v>0.0034767687499999999</v>
      </c>
      <c r="K1090">
        <v>0.096863770737499993</v>
      </c>
      <c r="L1090">
        <v>0.0021784711527256333</v>
      </c>
      <c r="M1090">
        <v>0.013070826916353801</v>
      </c>
      <c r="N1090">
        <v>0.1099345976538538</v>
      </c>
      <c r="O1090" t="s">
        <v>138</v>
      </c>
      <c r="P1090">
        <v>0.0058118262442500004</v>
      </c>
      <c r="Q1090" t="s">
        <v>138</v>
      </c>
      <c r="R1090">
        <v>0.00078424961498122804</v>
      </c>
      <c r="S1090" t="s">
        <v>139</v>
      </c>
      <c r="T1090">
        <v>0.013192151718462455</v>
      </c>
      <c r="U1090">
        <v>0.12972282523154749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0.51951999999999998</v>
      </c>
      <c r="AB1090">
        <v>2</v>
      </c>
      <c r="AC1090">
        <v>0.01</v>
      </c>
      <c r="AD1090">
        <v>0.01099879013308536</v>
      </c>
      <c r="AE1090">
        <v>5400</v>
      </c>
      <c r="AF1090">
        <v>400000</v>
      </c>
      <c r="AG1090">
        <v>33333.333333333336</v>
      </c>
      <c r="AH1090">
        <v>1</v>
      </c>
      <c r="AI1090">
        <v>1</v>
      </c>
      <c r="AJ1090" t="s">
        <v>136</v>
      </c>
      <c r="AK1090" t="s">
        <v>137</v>
      </c>
      <c r="AL1090">
        <v>0</v>
      </c>
      <c r="AM1090" t="s">
        <v>137</v>
      </c>
      <c r="AN1090">
        <v>0</v>
      </c>
    </row>
    <row r="1091" spans="1:42" ht="12.75">
      <c r="A1091" s="2" t="str">
        <f>HYPERLINK("https://ibp.a2mac1.com/costing(costing:projects/details/8191/process/6975942)","MANUFACTURING  PROCESS")</f>
        <v>MANUFACTURING  PROCESS</v>
      </c>
      <c r="B1091" t="s">
        <v>6354</v>
      </c>
      <c r="C1091">
        <v>6975942</v>
      </c>
      <c r="D1091">
        <v>5389482</v>
      </c>
      <c r="E1091">
        <v>0.48476089999999999</v>
      </c>
      <c r="F1091">
        <v>0</v>
      </c>
      <c r="G1091">
        <v>0</v>
      </c>
      <c r="H1091">
        <v>5.8597471428571427E-05</v>
      </c>
      <c r="I1091" t="s">
        <v>137</v>
      </c>
      <c r="J1091">
        <v>0.018644649999999999</v>
      </c>
      <c r="K1091">
        <v>0.50346414747142854</v>
      </c>
      <c r="L1091">
        <v>0.0081787144122335721</v>
      </c>
      <c r="M1091">
        <v>0.049072286473401429</v>
      </c>
      <c r="N1091">
        <v>0.55253643394482999</v>
      </c>
      <c r="O1091" t="s">
        <v>138</v>
      </c>
      <c r="P1091">
        <v>0.030207848848285715</v>
      </c>
      <c r="Q1091" t="s">
        <v>138</v>
      </c>
      <c r="R1091">
        <v>0.0029443371884040857</v>
      </c>
      <c r="S1091" t="s">
        <v>139</v>
      </c>
      <c r="T1091">
        <v>0.066304372073379594</v>
      </c>
      <c r="U1091">
        <v>0.65199299205489936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2.9266899999999998</v>
      </c>
      <c r="AB1091">
        <v>2</v>
      </c>
      <c r="AC1091">
        <v>0.01</v>
      </c>
      <c r="AD1091">
        <v>0.01099879013308536</v>
      </c>
      <c r="AE1091">
        <v>5400</v>
      </c>
      <c r="AF1091">
        <v>400000</v>
      </c>
      <c r="AG1091">
        <v>33333.333333333336</v>
      </c>
      <c r="AH1091">
        <v>1</v>
      </c>
      <c r="AI1091">
        <v>1</v>
      </c>
      <c r="AJ1091" t="s">
        <v>136</v>
      </c>
      <c r="AK1091" t="s">
        <v>137</v>
      </c>
      <c r="AL1091">
        <v>0</v>
      </c>
      <c r="AM1091" t="s">
        <v>137</v>
      </c>
      <c r="AN1091">
        <v>0</v>
      </c>
    </row>
    <row r="1092" spans="1:42" ht="12.75">
      <c r="A1092" s="2" t="str">
        <f>HYPERLINK("https://ibp.a2mac1.com/costing(costing:projects/details/8191/process/6975943)","MANUFACTURING  PROCESS")</f>
        <v>MANUFACTURING  PROCESS</v>
      </c>
      <c r="B1092" t="s">
        <v>6354</v>
      </c>
      <c r="C1092">
        <v>6975943</v>
      </c>
      <c r="D1092">
        <v>5389483</v>
      </c>
      <c r="E1092">
        <v>0.38145119999999999</v>
      </c>
      <c r="F1092">
        <v>0</v>
      </c>
      <c r="G1092">
        <v>0</v>
      </c>
      <c r="H1092">
        <v>4.6109485714285715E-05</v>
      </c>
      <c r="I1092" t="s">
        <v>137</v>
      </c>
      <c r="J1092">
        <v>0.014671200000000001</v>
      </c>
      <c r="K1092">
        <v>0.3961685094857143</v>
      </c>
      <c r="L1092">
        <v>0.0081787144122335721</v>
      </c>
      <c r="M1092">
        <v>0.049072286473401429</v>
      </c>
      <c r="N1092">
        <v>0.4452407959591157</v>
      </c>
      <c r="O1092" t="s">
        <v>138</v>
      </c>
      <c r="P1092">
        <v>0.023770110569142858</v>
      </c>
      <c r="Q1092" t="s">
        <v>138</v>
      </c>
      <c r="R1092">
        <v>0.0029443371884040857</v>
      </c>
      <c r="S1092" t="s">
        <v>139</v>
      </c>
      <c r="T1092">
        <v>0.053428895515093888</v>
      </c>
      <c r="U1092">
        <v>0.52538413923175653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2.9266899999999998</v>
      </c>
      <c r="AB1092">
        <v>2</v>
      </c>
      <c r="AC1092">
        <v>0.01</v>
      </c>
      <c r="AD1092">
        <v>0.01099879013308536</v>
      </c>
      <c r="AE1092">
        <v>5400</v>
      </c>
      <c r="AF1092">
        <v>400000</v>
      </c>
      <c r="AG1092">
        <v>33333.333333333336</v>
      </c>
      <c r="AH1092">
        <v>1</v>
      </c>
      <c r="AI1092">
        <v>1</v>
      </c>
      <c r="AJ1092" t="s">
        <v>136</v>
      </c>
      <c r="AK1092" t="s">
        <v>137</v>
      </c>
      <c r="AL1092">
        <v>0</v>
      </c>
      <c r="AM1092" t="s">
        <v>137</v>
      </c>
      <c r="AN1092">
        <v>0</v>
      </c>
    </row>
    <row r="1093" spans="1:42" ht="12.75">
      <c r="A1093" s="2" t="str">
        <f>HYPERLINK("https://ibp.a2mac1.com/costing(costing:projects/details/8191/process/6975944)","MANUFACTURING  PROCESS")</f>
        <v>MANUFACTURING  PROCESS</v>
      </c>
      <c r="B1093" t="s">
        <v>6354</v>
      </c>
      <c r="C1093">
        <v>6975944</v>
      </c>
      <c r="D1093">
        <v>5389484</v>
      </c>
      <c r="E1093">
        <v>13.1202357</v>
      </c>
      <c r="F1093">
        <v>0</v>
      </c>
      <c r="G1093">
        <v>0</v>
      </c>
      <c r="H1093">
        <v>0.0015859625571428572</v>
      </c>
      <c r="I1093" t="s">
        <v>137</v>
      </c>
      <c r="J1093">
        <v>0.50462445</v>
      </c>
      <c r="K1093">
        <v>13.626446112557144</v>
      </c>
      <c r="L1093">
        <v>0.053390781806786566</v>
      </c>
      <c r="M1093">
        <v>0.32034469084071937</v>
      </c>
      <c r="N1093">
        <v>13.946790803397862</v>
      </c>
      <c r="O1093" t="s">
        <v>138</v>
      </c>
      <c r="P1093">
        <v>0.81758676675342856</v>
      </c>
      <c r="Q1093" t="s">
        <v>138</v>
      </c>
      <c r="R1093">
        <v>0.019220681450443162</v>
      </c>
      <c r="S1093" t="s">
        <v>139</v>
      </c>
      <c r="T1093">
        <v>1.6736148964077435</v>
      </c>
      <c r="U1093">
        <v>16.457213148009476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21.064810000000001</v>
      </c>
      <c r="AB1093">
        <v>2</v>
      </c>
      <c r="AC1093">
        <v>0.01</v>
      </c>
      <c r="AD1093">
        <v>0.01099879013308536</v>
      </c>
      <c r="AE1093">
        <v>5400</v>
      </c>
      <c r="AF1093">
        <v>400000</v>
      </c>
      <c r="AG1093">
        <v>33333.333333333336</v>
      </c>
      <c r="AH1093">
        <v>1</v>
      </c>
      <c r="AI1093">
        <v>1</v>
      </c>
      <c r="AJ1093" t="s">
        <v>136</v>
      </c>
      <c r="AK1093" t="s">
        <v>137</v>
      </c>
      <c r="AL1093">
        <v>0</v>
      </c>
      <c r="AM1093" t="s">
        <v>137</v>
      </c>
      <c r="AN1093">
        <v>0</v>
      </c>
    </row>
    <row r="1094" spans="1:42" ht="12.75">
      <c r="A1094" s="2" t="str">
        <f>HYPERLINK("https://ibp.a2mac1.com/costing(costing:projects/details/8191/process/6975945)","MANUFACTURING  PROCESS")</f>
        <v>MANUFACTURING  PROCESS</v>
      </c>
      <c r="B1094" t="s">
        <v>6354</v>
      </c>
      <c r="C1094">
        <v>6975945</v>
      </c>
      <c r="D1094">
        <v>5389485</v>
      </c>
      <c r="E1094">
        <v>1.3627914666666667</v>
      </c>
      <c r="F1094">
        <v>0</v>
      </c>
      <c r="G1094">
        <v>0</v>
      </c>
      <c r="H1094">
        <v>0.00017034893333333332</v>
      </c>
      <c r="I1094" t="s">
        <v>137</v>
      </c>
      <c r="J1094">
        <v>0.054201933333333334</v>
      </c>
      <c r="K1094">
        <v>1.4171637489333333</v>
      </c>
      <c r="L1094">
        <v>0.03860173771317308</v>
      </c>
      <c r="M1094">
        <v>0.23161042627903847</v>
      </c>
      <c r="N1094">
        <v>1.6487741752123719</v>
      </c>
      <c r="O1094" t="s">
        <v>138</v>
      </c>
      <c r="P1094">
        <v>0.085029824936000004</v>
      </c>
      <c r="Q1094" t="s">
        <v>138</v>
      </c>
      <c r="R1094">
        <v>0.013896625576742308</v>
      </c>
      <c r="S1094" t="s">
        <v>139</v>
      </c>
      <c r="T1094">
        <v>0.19785290102548461</v>
      </c>
      <c r="U1094">
        <v>1.9455535267505988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7.5658799999999999</v>
      </c>
      <c r="AB1094">
        <v>1</v>
      </c>
      <c r="AC1094">
        <v>0.01</v>
      </c>
      <c r="AD1094">
        <v>0.01099879013308536</v>
      </c>
      <c r="AE1094">
        <v>5400</v>
      </c>
      <c r="AF1094">
        <v>400000</v>
      </c>
      <c r="AG1094">
        <v>33333.333333333336</v>
      </c>
      <c r="AH1094">
        <v>1</v>
      </c>
      <c r="AI1094">
        <v>1</v>
      </c>
      <c r="AJ1094" t="s">
        <v>136</v>
      </c>
      <c r="AK1094" t="s">
        <v>137</v>
      </c>
      <c r="AL1094">
        <v>0</v>
      </c>
      <c r="AM1094" t="s">
        <v>137</v>
      </c>
      <c r="AN1094">
        <v>0</v>
      </c>
    </row>
    <row r="1095" spans="1:42" ht="12.75">
      <c r="A1095" s="2" t="str">
        <f>HYPERLINK("https://ibp.a2mac1.com/costing(costing:projects/details/8191/process/6975946)","MANUFACTURING  PROCESS")</f>
        <v>MANUFACTURING  PROCESS</v>
      </c>
      <c r="B1095" t="s">
        <v>6354</v>
      </c>
      <c r="C1095">
        <v>6975946</v>
      </c>
      <c r="D1095">
        <v>5389486</v>
      </c>
      <c r="E1095">
        <v>0.44828666666666667</v>
      </c>
      <c r="F1095">
        <v>0</v>
      </c>
      <c r="G1095">
        <v>0</v>
      </c>
      <c r="H1095">
        <v>5.6035833333333337E-05</v>
      </c>
      <c r="I1095" t="s">
        <v>137</v>
      </c>
      <c r="J1095">
        <v>0.017829583333333333</v>
      </c>
      <c r="K1095">
        <v>0.46617228583333331</v>
      </c>
      <c r="L1095">
        <v>0.0081787144122335721</v>
      </c>
      <c r="M1095">
        <v>0.049072286473401429</v>
      </c>
      <c r="N1095">
        <v>0.51524457230673482</v>
      </c>
      <c r="O1095" t="s">
        <v>138</v>
      </c>
      <c r="P1095">
        <v>0.02797033715</v>
      </c>
      <c r="Q1095" t="s">
        <v>138</v>
      </c>
      <c r="R1095">
        <v>0.0029443371884040857</v>
      </c>
      <c r="S1095" t="s">
        <v>139</v>
      </c>
      <c r="T1095">
        <v>0.061829348676808171</v>
      </c>
      <c r="U1095">
        <v>0.60798859532194705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2.9266899999999998</v>
      </c>
      <c r="AB1095">
        <v>2</v>
      </c>
      <c r="AC1095">
        <v>0.01</v>
      </c>
      <c r="AD1095">
        <v>0.01099879013308536</v>
      </c>
      <c r="AE1095">
        <v>5400</v>
      </c>
      <c r="AF1095">
        <v>400000</v>
      </c>
      <c r="AG1095">
        <v>33333.333333333336</v>
      </c>
      <c r="AH1095">
        <v>1</v>
      </c>
      <c r="AI1095">
        <v>1</v>
      </c>
      <c r="AJ1095" t="s">
        <v>136</v>
      </c>
      <c r="AK1095" t="s">
        <v>137</v>
      </c>
      <c r="AL1095">
        <v>0</v>
      </c>
      <c r="AM1095" t="s">
        <v>137</v>
      </c>
      <c r="AN1095">
        <v>0</v>
      </c>
    </row>
    <row r="1096" spans="1:42" ht="12.75">
      <c r="A1096" s="2" t="str">
        <f>HYPERLINK("https://ibp.a2mac1.com/costing(costing:projects/details/8191/process/6975947)","MANUFACTURING  PROCESS")</f>
        <v>MANUFACTURING  PROCESS</v>
      </c>
      <c r="B1096" t="s">
        <v>6354</v>
      </c>
      <c r="C1096">
        <v>6975947</v>
      </c>
      <c r="D1096">
        <v>5389487</v>
      </c>
      <c r="E1096">
        <v>0.23372036666666668</v>
      </c>
      <c r="F1096">
        <v>0</v>
      </c>
      <c r="G1096">
        <v>0</v>
      </c>
      <c r="H1096">
        <v>2.7793773333333334E-05</v>
      </c>
      <c r="I1096" t="s">
        <v>137</v>
      </c>
      <c r="J1096">
        <v>0.0088434733333333342</v>
      </c>
      <c r="K1096">
        <v>0.24259163377333334</v>
      </c>
      <c r="L1096">
        <v>0.0081787144122335721</v>
      </c>
      <c r="M1096">
        <v>0.049072286473401429</v>
      </c>
      <c r="N1096">
        <v>0.29166392024673476</v>
      </c>
      <c r="O1096" t="s">
        <v>138</v>
      </c>
      <c r="P1096">
        <v>0.0145554980264</v>
      </c>
      <c r="Q1096" t="s">
        <v>138</v>
      </c>
      <c r="R1096">
        <v>0.0029443371884040857</v>
      </c>
      <c r="S1096" t="s">
        <v>139</v>
      </c>
      <c r="T1096">
        <v>0.034999670429608172</v>
      </c>
      <c r="U1096">
        <v>0.34416342589114701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2.9266899999999998</v>
      </c>
      <c r="AB1096">
        <v>2</v>
      </c>
      <c r="AC1096">
        <v>0.01</v>
      </c>
      <c r="AD1096">
        <v>0.01099879013308536</v>
      </c>
      <c r="AE1096">
        <v>5400</v>
      </c>
      <c r="AF1096">
        <v>400000</v>
      </c>
      <c r="AG1096">
        <v>33333.333333333336</v>
      </c>
      <c r="AH1096">
        <v>1</v>
      </c>
      <c r="AI1096">
        <v>1</v>
      </c>
      <c r="AJ1096" t="s">
        <v>136</v>
      </c>
      <c r="AK1096" t="s">
        <v>137</v>
      </c>
      <c r="AL1096">
        <v>0</v>
      </c>
      <c r="AM1096" t="s">
        <v>137</v>
      </c>
      <c r="AN1096">
        <v>0</v>
      </c>
    </row>
    <row r="1097" spans="1:42" ht="12.75">
      <c r="A1097" s="2" t="str">
        <f>HYPERLINK("https://ibp.a2mac1.com/costing(costing:projects/details/8191/process/6975948)","MANUFACTURING  PROCESS")</f>
        <v>MANUFACTURING  PROCESS</v>
      </c>
      <c r="B1097" t="s">
        <v>6354</v>
      </c>
      <c r="C1097">
        <v>6975948</v>
      </c>
      <c r="D1097">
        <v>5389488</v>
      </c>
      <c r="E1097">
        <v>0.071827749999999996</v>
      </c>
      <c r="F1097">
        <v>0</v>
      </c>
      <c r="G1097">
        <v>0</v>
      </c>
      <c r="H1097">
        <v>8.4053750000000008E-06</v>
      </c>
      <c r="I1097" t="s">
        <v>137</v>
      </c>
      <c r="J1097">
        <v>0.0026744375000000002</v>
      </c>
      <c r="K1097">
        <v>0.074510592875000003</v>
      </c>
      <c r="L1097">
        <v>0.0046551228631498652</v>
      </c>
      <c r="M1097">
        <v>0.027930737178899191</v>
      </c>
      <c r="N1097">
        <v>0.10244133005389919</v>
      </c>
      <c r="O1097" t="s">
        <v>138</v>
      </c>
      <c r="P1097">
        <v>0.0044706355725000002</v>
      </c>
      <c r="Q1097" t="s">
        <v>138</v>
      </c>
      <c r="R1097">
        <v>0.0016758442307339514</v>
      </c>
      <c r="S1097" t="s">
        <v>139</v>
      </c>
      <c r="T1097">
        <v>0.012292959606467903</v>
      </c>
      <c r="U1097">
        <v>0.12088076946360105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1.5130999999999999</v>
      </c>
      <c r="AB1097">
        <v>2</v>
      </c>
      <c r="AC1097">
        <v>0.01</v>
      </c>
      <c r="AD1097">
        <v>0.01099879013308536</v>
      </c>
      <c r="AE1097">
        <v>5400</v>
      </c>
      <c r="AF1097">
        <v>400000</v>
      </c>
      <c r="AG1097">
        <v>33333.333333333336</v>
      </c>
      <c r="AH1097">
        <v>1</v>
      </c>
      <c r="AI1097">
        <v>1</v>
      </c>
      <c r="AJ1097" t="s">
        <v>136</v>
      </c>
      <c r="AK1097" t="s">
        <v>137</v>
      </c>
      <c r="AL1097">
        <v>0</v>
      </c>
      <c r="AM1097" t="s">
        <v>137</v>
      </c>
      <c r="AN1097">
        <v>0</v>
      </c>
    </row>
    <row r="1098" spans="1:42" ht="12.75">
      <c r="A1098" s="2" t="str">
        <f>HYPERLINK("https://ibp.a2mac1.com/costing(costing:projects/details/8191/process/6975949)","MANUFACTURING  PROCESS")</f>
        <v>MANUFACTURING  PROCESS</v>
      </c>
      <c r="B1098" t="s">
        <v>6354</v>
      </c>
      <c r="C1098">
        <v>6975949</v>
      </c>
      <c r="D1098">
        <v>5389489</v>
      </c>
      <c r="E1098">
        <v>0.16586606666666667</v>
      </c>
      <c r="F1098">
        <v>0</v>
      </c>
      <c r="G1098">
        <v>0</v>
      </c>
      <c r="H1098">
        <v>1.9724613333333333E-05</v>
      </c>
      <c r="I1098" t="s">
        <v>137</v>
      </c>
      <c r="J1098">
        <v>0.0062760133333333336</v>
      </c>
      <c r="K1098">
        <v>0.17216180461333333</v>
      </c>
      <c r="L1098">
        <v>0.0046551228631498652</v>
      </c>
      <c r="M1098">
        <v>0.027930737178899191</v>
      </c>
      <c r="N1098">
        <v>0.20009254179223251</v>
      </c>
      <c r="O1098" t="s">
        <v>138</v>
      </c>
      <c r="P1098">
        <v>0.0103297082768</v>
      </c>
      <c r="Q1098" t="s">
        <v>138</v>
      </c>
      <c r="R1098">
        <v>0.0016758442307339514</v>
      </c>
      <c r="S1098" t="s">
        <v>139</v>
      </c>
      <c r="T1098">
        <v>0.024011105015067903</v>
      </c>
      <c r="U1098">
        <v>0.23610919931483437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1.5130999999999999</v>
      </c>
      <c r="AB1098">
        <v>2</v>
      </c>
      <c r="AC1098">
        <v>0.01</v>
      </c>
      <c r="AD1098">
        <v>0.01099879013308536</v>
      </c>
      <c r="AE1098">
        <v>5400</v>
      </c>
      <c r="AF1098">
        <v>400000</v>
      </c>
      <c r="AG1098">
        <v>33333.333333333336</v>
      </c>
      <c r="AH1098">
        <v>1</v>
      </c>
      <c r="AI1098">
        <v>1</v>
      </c>
      <c r="AJ1098" t="s">
        <v>136</v>
      </c>
      <c r="AK1098" t="s">
        <v>137</v>
      </c>
      <c r="AL1098">
        <v>0</v>
      </c>
      <c r="AM1098" t="s">
        <v>137</v>
      </c>
      <c r="AN1098">
        <v>0</v>
      </c>
    </row>
    <row r="1099" spans="1:42" ht="12.75">
      <c r="A1099" s="2" t="str">
        <f>HYPERLINK("https://ibp.a2mac1.com/costing(costing:projects/details/8191/process/6975950)","MANUFACTURING  PROCESS")</f>
        <v>MANUFACTURING  PROCESS</v>
      </c>
      <c r="B1099" t="s">
        <v>6354</v>
      </c>
      <c r="C1099">
        <v>6975950</v>
      </c>
      <c r="D1099">
        <v>5389490</v>
      </c>
      <c r="E1099">
        <v>0.265762675</v>
      </c>
      <c r="F1099">
        <v>0</v>
      </c>
      <c r="G1099">
        <v>0</v>
      </c>
      <c r="H1099">
        <v>3.1099887499999999E-05</v>
      </c>
      <c r="I1099" t="s">
        <v>137</v>
      </c>
      <c r="J1099">
        <v>0.0098954187499999992</v>
      </c>
      <c r="K1099">
        <v>0.2756891936375</v>
      </c>
      <c r="L1099">
        <v>0.0060085096525124091</v>
      </c>
      <c r="M1099">
        <v>0.036051057915074451</v>
      </c>
      <c r="N1099">
        <v>0.31174025155257445</v>
      </c>
      <c r="O1099" t="s">
        <v>138</v>
      </c>
      <c r="P1099">
        <v>0.016541351618249999</v>
      </c>
      <c r="Q1099" t="s">
        <v>138</v>
      </c>
      <c r="R1099">
        <v>0.0021630634749044671</v>
      </c>
      <c r="S1099" t="s">
        <v>139</v>
      </c>
      <c r="T1099">
        <v>0.037408830186308938</v>
      </c>
      <c r="U1099">
        <v>0.36785349683203783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2.0560499999999999</v>
      </c>
      <c r="AB1099">
        <v>2</v>
      </c>
      <c r="AC1099">
        <v>0.01</v>
      </c>
      <c r="AD1099">
        <v>0.01099879013308536</v>
      </c>
      <c r="AE1099">
        <v>5400</v>
      </c>
      <c r="AF1099">
        <v>400000</v>
      </c>
      <c r="AG1099">
        <v>33333.333333333336</v>
      </c>
      <c r="AH1099">
        <v>1</v>
      </c>
      <c r="AI1099">
        <v>1</v>
      </c>
      <c r="AJ1099" t="s">
        <v>136</v>
      </c>
      <c r="AK1099" t="s">
        <v>137</v>
      </c>
      <c r="AL1099">
        <v>0</v>
      </c>
      <c r="AM1099" t="s">
        <v>137</v>
      </c>
      <c r="AN1099">
        <v>0</v>
      </c>
    </row>
    <row r="1100" spans="1:42" ht="12.75">
      <c r="A1100" s="2" t="str">
        <f>HYPERLINK("https://ibp.a2mac1.com/costing(costing:projects/details/8191/process/6975951)","MANUFACTURING  PROCESS")</f>
        <v>MANUFACTURING  PROCESS</v>
      </c>
      <c r="B1100" t="s">
        <v>6354</v>
      </c>
      <c r="C1100">
        <v>6975951</v>
      </c>
      <c r="D1100">
        <v>5389491</v>
      </c>
      <c r="E1100">
        <v>0.13448599999999999</v>
      </c>
      <c r="F1100">
        <v>0</v>
      </c>
      <c r="G1100">
        <v>0</v>
      </c>
      <c r="H1100">
        <v>1.6810750000000002E-05</v>
      </c>
      <c r="I1100" t="s">
        <v>137</v>
      </c>
      <c r="J1100">
        <v>0.0053488750000000003</v>
      </c>
      <c r="K1100">
        <v>0.13985168575000001</v>
      </c>
      <c r="L1100">
        <v>0.0046551228631498652</v>
      </c>
      <c r="M1100">
        <v>0.027930737178899191</v>
      </c>
      <c r="N1100">
        <v>0.16778242292889919</v>
      </c>
      <c r="O1100" t="s">
        <v>138</v>
      </c>
      <c r="P1100">
        <v>0.0083911011449999996</v>
      </c>
      <c r="Q1100" t="s">
        <v>138</v>
      </c>
      <c r="R1100">
        <v>0.0016758442307339514</v>
      </c>
      <c r="S1100" t="s">
        <v>139</v>
      </c>
      <c r="T1100">
        <v>0.020133890751467903</v>
      </c>
      <c r="U1100">
        <v>0.19798325905610104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1.5130999999999999</v>
      </c>
      <c r="AB1100">
        <v>2</v>
      </c>
      <c r="AC1100">
        <v>0.01</v>
      </c>
      <c r="AD1100">
        <v>0.01099879013308536</v>
      </c>
      <c r="AE1100">
        <v>5400</v>
      </c>
      <c r="AF1100">
        <v>400000</v>
      </c>
      <c r="AG1100">
        <v>33333.333333333336</v>
      </c>
      <c r="AH1100">
        <v>1</v>
      </c>
      <c r="AI1100">
        <v>1</v>
      </c>
      <c r="AJ1100" t="s">
        <v>136</v>
      </c>
      <c r="AK1100" t="s">
        <v>137</v>
      </c>
      <c r="AL1100">
        <v>0</v>
      </c>
      <c r="AM1100" t="s">
        <v>137</v>
      </c>
      <c r="AN1100">
        <v>0</v>
      </c>
    </row>
    <row r="1101" spans="1:42" ht="12.75">
      <c r="A1101" s="2" t="str">
        <f>HYPERLINK("https://ibp.a2mac1.com/costing(costing:projects/details/8191/process/6975952)","MANUFACTURING  PROCESS")</f>
        <v>MANUFACTURING  PROCESS</v>
      </c>
      <c r="B1101" t="s">
        <v>6354</v>
      </c>
      <c r="C1101">
        <v>6975952</v>
      </c>
      <c r="D1101">
        <v>5389492</v>
      </c>
      <c r="E1101">
        <v>0.0519605</v>
      </c>
      <c r="F1101">
        <v>0</v>
      </c>
      <c r="G1101">
        <v>0</v>
      </c>
      <c r="H1101">
        <v>6.7243000000000001E-06</v>
      </c>
      <c r="I1101" t="s">
        <v>137</v>
      </c>
      <c r="J1101">
        <v>0.00213955</v>
      </c>
      <c r="K1101">
        <v>0.0541067743</v>
      </c>
      <c r="L1101">
        <v>0.001966047131748608</v>
      </c>
      <c r="M1101">
        <v>0.011796282790491648</v>
      </c>
      <c r="N1101">
        <v>0.065903057090491643</v>
      </c>
      <c r="O1101" t="s">
        <v>138</v>
      </c>
      <c r="P1101">
        <v>0.0032464064580000002</v>
      </c>
      <c r="Q1101" t="s">
        <v>138</v>
      </c>
      <c r="R1101">
        <v>0.00070777696742949884</v>
      </c>
      <c r="S1101" t="s">
        <v>139</v>
      </c>
      <c r="T1101">
        <v>0.0079083668508589978</v>
      </c>
      <c r="U1101">
        <v>0.077765607366780148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0.43430000000000002</v>
      </c>
      <c r="AB1101">
        <v>2</v>
      </c>
      <c r="AC1101">
        <v>0.01</v>
      </c>
      <c r="AD1101">
        <v>0.01099879013308536</v>
      </c>
      <c r="AE1101">
        <v>5400</v>
      </c>
      <c r="AF1101">
        <v>400000</v>
      </c>
      <c r="AG1101">
        <v>33333.333333333336</v>
      </c>
      <c r="AH1101">
        <v>1</v>
      </c>
      <c r="AI1101">
        <v>1</v>
      </c>
      <c r="AJ1101" t="s">
        <v>136</v>
      </c>
      <c r="AK1101" t="s">
        <v>137</v>
      </c>
      <c r="AL1101">
        <v>0</v>
      </c>
      <c r="AM1101" t="s">
        <v>137</v>
      </c>
      <c r="AN1101">
        <v>0</v>
      </c>
    </row>
    <row r="1102" spans="1:42" ht="12.75">
      <c r="A1102" s="2" t="str">
        <f>HYPERLINK("https://ibp.a2mac1.com/costing(costing:projects/details/8191/process/6975953)","MANUFACTURING  PROCESS")</f>
        <v>MANUFACTURING  PROCESS</v>
      </c>
      <c r="B1102" t="s">
        <v>6354</v>
      </c>
      <c r="C1102">
        <v>6975953</v>
      </c>
      <c r="D1102">
        <v>5389493</v>
      </c>
      <c r="E1102">
        <v>1.8738382666666666</v>
      </c>
      <c r="F1102">
        <v>0</v>
      </c>
      <c r="G1102">
        <v>0</v>
      </c>
      <c r="H1102">
        <v>0.00023422978333333333</v>
      </c>
      <c r="I1102" t="s">
        <v>137</v>
      </c>
      <c r="J1102">
        <v>0.07452765833333333</v>
      </c>
      <c r="K1102">
        <v>1.9486001547833334</v>
      </c>
      <c r="L1102">
        <v>0.05102587579995773</v>
      </c>
      <c r="M1102">
        <v>0.30615525479974642</v>
      </c>
      <c r="N1102">
        <v>2.2547554095830797</v>
      </c>
      <c r="O1102" t="s">
        <v>138</v>
      </c>
      <c r="P1102">
        <v>0.11691600928699999</v>
      </c>
      <c r="Q1102" t="s">
        <v>138</v>
      </c>
      <c r="R1102">
        <v>0.018369315287984782</v>
      </c>
      <c r="S1102" t="s">
        <v>139</v>
      </c>
      <c r="T1102">
        <v>0.27057064914996959</v>
      </c>
      <c r="U1102">
        <v>2.660611383308034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10.05803</v>
      </c>
      <c r="AB1102">
        <v>1</v>
      </c>
      <c r="AC1102">
        <v>0.01</v>
      </c>
      <c r="AD1102">
        <v>0.01099879013308536</v>
      </c>
      <c r="AE1102">
        <v>5400</v>
      </c>
      <c r="AF1102">
        <v>400000</v>
      </c>
      <c r="AG1102">
        <v>33333.333333333336</v>
      </c>
      <c r="AH1102">
        <v>1</v>
      </c>
      <c r="AI1102">
        <v>1</v>
      </c>
      <c r="AJ1102" t="s">
        <v>136</v>
      </c>
      <c r="AK1102" t="s">
        <v>137</v>
      </c>
      <c r="AL1102">
        <v>0</v>
      </c>
      <c r="AM1102" t="s">
        <v>137</v>
      </c>
      <c r="AN1102">
        <v>0</v>
      </c>
    </row>
    <row r="1103" spans="1:42" ht="12.75">
      <c r="A1103" s="2" t="str">
        <f>HYPERLINK("https://ibp.a2mac1.com/costing(costing:projects/details/8191/process/6975954)","MANUFACTURING  PROCESS")</f>
        <v>MANUFACTURING  PROCESS</v>
      </c>
      <c r="B1103" t="s">
        <v>6354</v>
      </c>
      <c r="C1103">
        <v>6975954</v>
      </c>
      <c r="D1103">
        <v>5389494</v>
      </c>
      <c r="E1103">
        <v>0.075754176923076927</v>
      </c>
      <c r="F1103">
        <v>0</v>
      </c>
      <c r="G1103">
        <v>0</v>
      </c>
      <c r="H1103">
        <v>9.3105692307692311E-06</v>
      </c>
      <c r="I1103" t="s">
        <v>137</v>
      </c>
      <c r="J1103">
        <v>0.0029624538461538461</v>
      </c>
      <c r="K1103">
        <v>0.078725941338461544</v>
      </c>
      <c r="L1103">
        <v>0.0060085096525124091</v>
      </c>
      <c r="M1103">
        <v>0.036051057915074451</v>
      </c>
      <c r="N1103">
        <v>0.11477699925353599</v>
      </c>
      <c r="O1103" t="s">
        <v>138</v>
      </c>
      <c r="P1103">
        <v>0.0047235564803076923</v>
      </c>
      <c r="Q1103" t="s">
        <v>138</v>
      </c>
      <c r="R1103">
        <v>0.0021630634749044671</v>
      </c>
      <c r="S1103" t="s">
        <v>139</v>
      </c>
      <c r="T1103">
        <v>0.013773239910424319</v>
      </c>
      <c r="U1103">
        <v>0.13543685911917247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2.0560499999999999</v>
      </c>
      <c r="AB1103">
        <v>2</v>
      </c>
      <c r="AC1103">
        <v>0.01</v>
      </c>
      <c r="AD1103">
        <v>0.01099879013308536</v>
      </c>
      <c r="AE1103">
        <v>5400</v>
      </c>
      <c r="AF1103">
        <v>400000</v>
      </c>
      <c r="AG1103">
        <v>33333.333333333336</v>
      </c>
      <c r="AH1103">
        <v>1</v>
      </c>
      <c r="AI1103">
        <v>1</v>
      </c>
      <c r="AJ1103" t="s">
        <v>136</v>
      </c>
      <c r="AK1103" t="s">
        <v>137</v>
      </c>
      <c r="AL1103">
        <v>0</v>
      </c>
      <c r="AM1103" t="s">
        <v>137</v>
      </c>
      <c r="AN1103">
        <v>0</v>
      </c>
    </row>
    <row r="1104" spans="1:42" ht="12.75">
      <c r="A1104" s="2" t="str">
        <f>HYPERLINK("https://ibp.a2mac1.com/costing(costing:projects/details/8191/process/6975955)","MANUFACTURING  PROCESS")</f>
        <v>MANUFACTURING  PROCESS</v>
      </c>
      <c r="B1104" t="s">
        <v>6354</v>
      </c>
      <c r="C1104">
        <v>6975955</v>
      </c>
      <c r="D1104">
        <v>5389495</v>
      </c>
      <c r="E1104">
        <v>0.65959270000000003</v>
      </c>
      <c r="F1104">
        <v>0</v>
      </c>
      <c r="G1104">
        <v>0</v>
      </c>
      <c r="H1104">
        <v>7.9730985714285719E-05</v>
      </c>
      <c r="I1104" t="s">
        <v>137</v>
      </c>
      <c r="J1104">
        <v>0.025368950000000001</v>
      </c>
      <c r="K1104">
        <v>0.68504138098571432</v>
      </c>
      <c r="L1104">
        <v>0.0092624458320901947</v>
      </c>
      <c r="M1104">
        <v>0.055574674992541165</v>
      </c>
      <c r="N1104">
        <v>0.74061605597825542</v>
      </c>
      <c r="O1104" t="s">
        <v>138</v>
      </c>
      <c r="P1104">
        <v>0.041102482859142857</v>
      </c>
      <c r="Q1104" t="s">
        <v>138</v>
      </c>
      <c r="R1104">
        <v>0.00333448049955247</v>
      </c>
      <c r="S1104" t="s">
        <v>139</v>
      </c>
      <c r="T1104">
        <v>0.088873926717390653</v>
      </c>
      <c r="U1104">
        <v>0.8739269460543414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3.3614600000000001</v>
      </c>
      <c r="AB1104">
        <v>2</v>
      </c>
      <c r="AC1104">
        <v>0.01</v>
      </c>
      <c r="AD1104">
        <v>0.01099879013308536</v>
      </c>
      <c r="AE1104">
        <v>5400</v>
      </c>
      <c r="AF1104">
        <v>400000</v>
      </c>
      <c r="AG1104">
        <v>33333.333333333336</v>
      </c>
      <c r="AH1104">
        <v>1</v>
      </c>
      <c r="AI1104">
        <v>1</v>
      </c>
      <c r="AJ1104" t="s">
        <v>136</v>
      </c>
      <c r="AK1104" t="s">
        <v>137</v>
      </c>
      <c r="AL1104">
        <v>0</v>
      </c>
      <c r="AM1104" t="s">
        <v>137</v>
      </c>
      <c r="AN1104">
        <v>0</v>
      </c>
    </row>
    <row r="1105" spans="1:42" ht="12.75">
      <c r="A1105" s="2" t="str">
        <f>HYPERLINK("https://ibp.a2mac1.com/costing(costing:projects/details/8191/process/6975956)","MANUFACTURING  PROCESS")</f>
        <v>MANUFACTURING  PROCESS</v>
      </c>
      <c r="B1105" t="s">
        <v>6354</v>
      </c>
      <c r="C1105">
        <v>6975956</v>
      </c>
      <c r="D1105">
        <v>5389496</v>
      </c>
      <c r="E1105">
        <v>1.4972774666666666</v>
      </c>
      <c r="F1105">
        <v>0</v>
      </c>
      <c r="G1105">
        <v>0</v>
      </c>
      <c r="H1105">
        <v>0.00018715968333333333</v>
      </c>
      <c r="I1105" t="s">
        <v>137</v>
      </c>
      <c r="J1105">
        <v>0.05955080833333333</v>
      </c>
      <c r="K1105">
        <v>1.5570154346833334</v>
      </c>
      <c r="L1105">
        <v>0.0081787144122335721</v>
      </c>
      <c r="M1105">
        <v>0.049072286473401429</v>
      </c>
      <c r="N1105">
        <v>1.6060877211567348</v>
      </c>
      <c r="O1105" t="s">
        <v>138</v>
      </c>
      <c r="P1105">
        <v>0.093420926081</v>
      </c>
      <c r="Q1105" t="s">
        <v>138</v>
      </c>
      <c r="R1105">
        <v>0.0029443371884040857</v>
      </c>
      <c r="S1105" t="s">
        <v>139</v>
      </c>
      <c r="T1105">
        <v>0.19273052653880818</v>
      </c>
      <c r="U1105">
        <v>1.8951835109649471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2.9266899999999998</v>
      </c>
      <c r="AB1105">
        <v>2</v>
      </c>
      <c r="AC1105">
        <v>0.01</v>
      </c>
      <c r="AD1105">
        <v>0.01099879013308536</v>
      </c>
      <c r="AE1105">
        <v>5400</v>
      </c>
      <c r="AF1105">
        <v>400000</v>
      </c>
      <c r="AG1105">
        <v>33333.333333333336</v>
      </c>
      <c r="AH1105">
        <v>1</v>
      </c>
      <c r="AI1105">
        <v>1</v>
      </c>
      <c r="AJ1105" t="s">
        <v>136</v>
      </c>
      <c r="AK1105" t="s">
        <v>137</v>
      </c>
      <c r="AL1105">
        <v>0</v>
      </c>
      <c r="AM1105" t="s">
        <v>137</v>
      </c>
      <c r="AN1105">
        <v>0</v>
      </c>
    </row>
    <row r="1106" spans="1:42" ht="12.75">
      <c r="A1106" s="2" t="str">
        <f>HYPERLINK("https://ibp.a2mac1.com/costing(costing:projects/details/8191/process/6975957)","MANUFACTURING  PROCESS")</f>
        <v>MANUFACTURING  PROCESS</v>
      </c>
      <c r="B1106" t="s">
        <v>6354</v>
      </c>
      <c r="C1106">
        <v>6975957</v>
      </c>
      <c r="D1106">
        <v>5389497</v>
      </c>
      <c r="E1106">
        <v>1.749762890909091</v>
      </c>
      <c r="F1106">
        <v>0</v>
      </c>
      <c r="G1106">
        <v>0</v>
      </c>
      <c r="H1106">
        <v>0.00022251319999999999</v>
      </c>
      <c r="I1106" t="s">
        <v>137</v>
      </c>
      <c r="J1106">
        <v>0.070799654545454546</v>
      </c>
      <c r="K1106">
        <v>1.8207850586545455</v>
      </c>
      <c r="L1106">
        <v>0.03860173771317308</v>
      </c>
      <c r="M1106">
        <v>0.23161042627903847</v>
      </c>
      <c r="N1106">
        <v>2.0523954849335841</v>
      </c>
      <c r="O1106" t="s">
        <v>138</v>
      </c>
      <c r="P1106">
        <v>0.10924710351927273</v>
      </c>
      <c r="Q1106" t="s">
        <v>138</v>
      </c>
      <c r="R1106">
        <v>0.013896625576742308</v>
      </c>
      <c r="S1106" t="s">
        <v>139</v>
      </c>
      <c r="T1106">
        <v>0.24628745819203007</v>
      </c>
      <c r="U1106">
        <v>2.4218266722216288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7.5658799999999999</v>
      </c>
      <c r="AB1106">
        <v>1</v>
      </c>
      <c r="AC1106">
        <v>0.01</v>
      </c>
      <c r="AD1106">
        <v>0.01099879013308536</v>
      </c>
      <c r="AE1106">
        <v>5400</v>
      </c>
      <c r="AF1106">
        <v>400000</v>
      </c>
      <c r="AG1106">
        <v>33333.333333333336</v>
      </c>
      <c r="AH1106">
        <v>1</v>
      </c>
      <c r="AI1106">
        <v>1</v>
      </c>
      <c r="AJ1106" t="s">
        <v>136</v>
      </c>
      <c r="AK1106" t="s">
        <v>137</v>
      </c>
      <c r="AL1106">
        <v>0</v>
      </c>
      <c r="AM1106" t="s">
        <v>137</v>
      </c>
      <c r="AN1106">
        <v>0</v>
      </c>
    </row>
    <row r="1107" spans="1:42" ht="12.75">
      <c r="A1107" s="2" t="str">
        <f>HYPERLINK("https://ibp.a2mac1.com/costing(costing:projects/details/8191/process/6975958)","MANUFACTURING  PROCESS")</f>
        <v>MANUFACTURING  PROCESS</v>
      </c>
      <c r="B1107" t="s">
        <v>6354</v>
      </c>
      <c r="C1107">
        <v>6975958</v>
      </c>
      <c r="D1107">
        <v>5389498</v>
      </c>
      <c r="E1107">
        <v>0.73519013333333338</v>
      </c>
      <c r="F1107">
        <v>0</v>
      </c>
      <c r="G1107">
        <v>0</v>
      </c>
      <c r="H1107">
        <v>9.1898766666666668E-05</v>
      </c>
      <c r="I1107" t="s">
        <v>137</v>
      </c>
      <c r="J1107">
        <v>0.029240516666666667</v>
      </c>
      <c r="K1107">
        <v>0.7645225487666667</v>
      </c>
      <c r="L1107">
        <v>0.0081787144122335721</v>
      </c>
      <c r="M1107">
        <v>0.049072286473401429</v>
      </c>
      <c r="N1107">
        <v>0.81359483524006815</v>
      </c>
      <c r="O1107" t="s">
        <v>138</v>
      </c>
      <c r="P1107">
        <v>0.045871352926000003</v>
      </c>
      <c r="Q1107" t="s">
        <v>138</v>
      </c>
      <c r="R1107">
        <v>0.0029443371884040857</v>
      </c>
      <c r="S1107" t="s">
        <v>139</v>
      </c>
      <c r="T1107">
        <v>0.097631380228808171</v>
      </c>
      <c r="U1107">
        <v>0.9600419055832804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2.9266899999999998</v>
      </c>
      <c r="AB1107">
        <v>2</v>
      </c>
      <c r="AC1107">
        <v>0.01</v>
      </c>
      <c r="AD1107">
        <v>0.01099879013308536</v>
      </c>
      <c r="AE1107">
        <v>5400</v>
      </c>
      <c r="AF1107">
        <v>400000</v>
      </c>
      <c r="AG1107">
        <v>33333.333333333336</v>
      </c>
      <c r="AH1107">
        <v>1</v>
      </c>
      <c r="AI1107">
        <v>1</v>
      </c>
      <c r="AJ1107" t="s">
        <v>136</v>
      </c>
      <c r="AK1107" t="s">
        <v>137</v>
      </c>
      <c r="AL1107">
        <v>0</v>
      </c>
      <c r="AM1107" t="s">
        <v>137</v>
      </c>
      <c r="AN1107">
        <v>0</v>
      </c>
    </row>
    <row r="1108" spans="1:42" ht="12.75">
      <c r="A1108" s="2" t="str">
        <f>HYPERLINK("https://ibp.a2mac1.com/costing(costing:projects/details/8191/process/6975959)","MANUFACTURING  PROCESS")</f>
        <v>MANUFACTURING  PROCESS</v>
      </c>
      <c r="B1108" t="s">
        <v>6354</v>
      </c>
      <c r="C1108">
        <v>6975959</v>
      </c>
      <c r="D1108">
        <v>5389499</v>
      </c>
      <c r="E1108">
        <v>0.55761674545454543</v>
      </c>
      <c r="F1108">
        <v>0</v>
      </c>
      <c r="G1108">
        <v>0</v>
      </c>
      <c r="H1108">
        <v>7.0910799999999999E-05</v>
      </c>
      <c r="I1108" t="s">
        <v>137</v>
      </c>
      <c r="J1108">
        <v>0.022562527272727274</v>
      </c>
      <c r="K1108">
        <v>0.58025018352727276</v>
      </c>
      <c r="L1108">
        <v>0.0081787144122335721</v>
      </c>
      <c r="M1108">
        <v>0.049072286473401429</v>
      </c>
      <c r="N1108">
        <v>0.62932247000067421</v>
      </c>
      <c r="O1108" t="s">
        <v>138</v>
      </c>
      <c r="P1108">
        <v>0.034815011011636365</v>
      </c>
      <c r="Q1108" t="s">
        <v>138</v>
      </c>
      <c r="R1108">
        <v>0.0029443371884040857</v>
      </c>
      <c r="S1108" t="s">
        <v>139</v>
      </c>
      <c r="T1108">
        <v>0.075518696400080895</v>
      </c>
      <c r="U1108">
        <v>0.74260051460079546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2.9266899999999998</v>
      </c>
      <c r="AB1108">
        <v>2</v>
      </c>
      <c r="AC1108">
        <v>0.01</v>
      </c>
      <c r="AD1108">
        <v>0.01099879013308536</v>
      </c>
      <c r="AE1108">
        <v>5400</v>
      </c>
      <c r="AF1108">
        <v>400000</v>
      </c>
      <c r="AG1108">
        <v>33333.333333333336</v>
      </c>
      <c r="AH1108">
        <v>1</v>
      </c>
      <c r="AI1108">
        <v>1</v>
      </c>
      <c r="AJ1108" t="s">
        <v>136</v>
      </c>
      <c r="AK1108" t="s">
        <v>137</v>
      </c>
      <c r="AL1108">
        <v>0</v>
      </c>
      <c r="AM1108" t="s">
        <v>137</v>
      </c>
      <c r="AN1108">
        <v>0</v>
      </c>
    </row>
    <row r="1109" spans="1:42" ht="12.75">
      <c r="A1109" s="2" t="str">
        <f>HYPERLINK("https://ibp.a2mac1.com/costing(costing:projects/details/8191/process/6975960)","MANUFACTURING  PROCESS")</f>
        <v>MANUFACTURING  PROCESS</v>
      </c>
      <c r="B1109" t="s">
        <v>6354</v>
      </c>
      <c r="C1109">
        <v>6975960</v>
      </c>
      <c r="D1109">
        <v>5389500</v>
      </c>
      <c r="E1109">
        <v>0.26093105384615384</v>
      </c>
      <c r="F1109">
        <v>0</v>
      </c>
      <c r="G1109">
        <v>0</v>
      </c>
      <c r="H1109">
        <v>3.2069738461538461E-05</v>
      </c>
      <c r="I1109" t="s">
        <v>137</v>
      </c>
      <c r="J1109">
        <v>0.010204007692307693</v>
      </c>
      <c r="K1109">
        <v>0.2711671312769231</v>
      </c>
      <c r="L1109">
        <v>0.0081787144122335721</v>
      </c>
      <c r="M1109">
        <v>0.049072286473401429</v>
      </c>
      <c r="N1109">
        <v>0.3202394177503245</v>
      </c>
      <c r="O1109" t="s">
        <v>138</v>
      </c>
      <c r="P1109">
        <v>0.016270027876615384</v>
      </c>
      <c r="Q1109" t="s">
        <v>138</v>
      </c>
      <c r="R1109">
        <v>0.0029443371884040857</v>
      </c>
      <c r="S1109" t="s">
        <v>139</v>
      </c>
      <c r="T1109">
        <v>0.038428730130038939</v>
      </c>
      <c r="U1109">
        <v>0.37788251294538294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2.9266899999999998</v>
      </c>
      <c r="AB1109">
        <v>2</v>
      </c>
      <c r="AC1109">
        <v>0.01</v>
      </c>
      <c r="AD1109">
        <v>0.01099879013308536</v>
      </c>
      <c r="AE1109">
        <v>5400</v>
      </c>
      <c r="AF1109">
        <v>400000</v>
      </c>
      <c r="AG1109">
        <v>33333.333333333336</v>
      </c>
      <c r="AH1109">
        <v>1</v>
      </c>
      <c r="AI1109">
        <v>1</v>
      </c>
      <c r="AJ1109" t="s">
        <v>136</v>
      </c>
      <c r="AK1109" t="s">
        <v>137</v>
      </c>
      <c r="AL1109">
        <v>0</v>
      </c>
      <c r="AM1109" t="s">
        <v>137</v>
      </c>
      <c r="AN1109">
        <v>0</v>
      </c>
    </row>
    <row r="1110" spans="1:42" ht="12.75">
      <c r="A1110" s="2" t="str">
        <f>HYPERLINK("https://ibp.a2mac1.com/costing(costing:projects/details/8191/process/6975961)","MANUFACTURING  PROCESS")</f>
        <v>MANUFACTURING  PROCESS</v>
      </c>
      <c r="B1110" t="s">
        <v>6354</v>
      </c>
      <c r="C1110">
        <v>6975961</v>
      </c>
      <c r="D1110">
        <v>5389501</v>
      </c>
      <c r="E1110">
        <v>0.26000626666666665</v>
      </c>
      <c r="F1110">
        <v>0</v>
      </c>
      <c r="G1110">
        <v>0</v>
      </c>
      <c r="H1110">
        <v>3.2500783333333336E-05</v>
      </c>
      <c r="I1110" t="s">
        <v>137</v>
      </c>
      <c r="J1110">
        <v>0.010341158333333333</v>
      </c>
      <c r="K1110">
        <v>0.27037992578333331</v>
      </c>
      <c r="L1110">
        <v>0.0060085096525124091</v>
      </c>
      <c r="M1110">
        <v>0.036051057915074451</v>
      </c>
      <c r="N1110">
        <v>0.30643098369840777</v>
      </c>
      <c r="O1110" t="s">
        <v>138</v>
      </c>
      <c r="P1110">
        <v>0.016222795546999999</v>
      </c>
      <c r="Q1110" t="s">
        <v>138</v>
      </c>
      <c r="R1110">
        <v>0.0021630634749044671</v>
      </c>
      <c r="S1110" t="s">
        <v>139</v>
      </c>
      <c r="T1110">
        <v>0.036771718043808937</v>
      </c>
      <c r="U1110">
        <v>0.36158856076412121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2.0560499999999999</v>
      </c>
      <c r="AB1110">
        <v>2</v>
      </c>
      <c r="AC1110">
        <v>0.01</v>
      </c>
      <c r="AD1110">
        <v>0.01099879013308536</v>
      </c>
      <c r="AE1110">
        <v>5400</v>
      </c>
      <c r="AF1110">
        <v>400000</v>
      </c>
      <c r="AG1110">
        <v>33333.333333333336</v>
      </c>
      <c r="AH1110">
        <v>1</v>
      </c>
      <c r="AI1110">
        <v>1</v>
      </c>
      <c r="AJ1110" t="s">
        <v>136</v>
      </c>
      <c r="AK1110" t="s">
        <v>137</v>
      </c>
      <c r="AL1110">
        <v>0</v>
      </c>
      <c r="AM1110" t="s">
        <v>137</v>
      </c>
      <c r="AN1110">
        <v>0</v>
      </c>
    </row>
    <row r="1111" spans="1:42" ht="12.75">
      <c r="A1111" s="2" t="str">
        <f>HYPERLINK("https://ibp.a2mac1.com/costing(costing:projects/details/8191/process/6975962)","MANUFACTURING  PROCESS")</f>
        <v>MANUFACTURING  PROCESS</v>
      </c>
      <c r="B1111" t="s">
        <v>6354</v>
      </c>
      <c r="C1111">
        <v>6975962</v>
      </c>
      <c r="D1111">
        <v>5389502</v>
      </c>
      <c r="E1111">
        <v>0.082933033333333336</v>
      </c>
      <c r="F1111">
        <v>0</v>
      </c>
      <c r="G1111">
        <v>0</v>
      </c>
      <c r="H1111">
        <v>9.8623066666666664E-06</v>
      </c>
      <c r="I1111" t="s">
        <v>137</v>
      </c>
      <c r="J1111">
        <v>0.0031380066666666668</v>
      </c>
      <c r="K1111">
        <v>0.086080902306666665</v>
      </c>
      <c r="L1111">
        <v>0.0060085096525124091</v>
      </c>
      <c r="M1111">
        <v>0.036051057915074451</v>
      </c>
      <c r="N1111">
        <v>0.12213196022174112</v>
      </c>
      <c r="O1111" t="s">
        <v>138</v>
      </c>
      <c r="P1111">
        <v>0.0051648541383999998</v>
      </c>
      <c r="Q1111" t="s">
        <v>138</v>
      </c>
      <c r="R1111">
        <v>0.0021630634749044671</v>
      </c>
      <c r="S1111" t="s">
        <v>139</v>
      </c>
      <c r="T1111">
        <v>0.014655835226608934</v>
      </c>
      <c r="U1111">
        <v>0.14411571306165452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2.0560499999999999</v>
      </c>
      <c r="AB1111">
        <v>2</v>
      </c>
      <c r="AC1111">
        <v>0.01</v>
      </c>
      <c r="AD1111">
        <v>0.01099879013308536</v>
      </c>
      <c r="AE1111">
        <v>5400</v>
      </c>
      <c r="AF1111">
        <v>400000</v>
      </c>
      <c r="AG1111">
        <v>33333.333333333336</v>
      </c>
      <c r="AH1111">
        <v>1</v>
      </c>
      <c r="AI1111">
        <v>1</v>
      </c>
      <c r="AJ1111" t="s">
        <v>136</v>
      </c>
      <c r="AK1111" t="s">
        <v>137</v>
      </c>
      <c r="AL1111">
        <v>0</v>
      </c>
      <c r="AM1111" t="s">
        <v>137</v>
      </c>
      <c r="AN1111">
        <v>0</v>
      </c>
    </row>
    <row r="1112" spans="1:42" ht="12.75">
      <c r="A1112" s="2" t="str">
        <f>HYPERLINK("https://ibp.a2mac1.com/costing(costing:projects/details/8191/process/6975963)","MANUFACTURING  PROCESS")</f>
        <v>MANUFACTURING  PROCESS</v>
      </c>
      <c r="B1112" t="s">
        <v>6354</v>
      </c>
      <c r="C1112">
        <v>6975963</v>
      </c>
      <c r="D1112">
        <v>5389503</v>
      </c>
      <c r="E1112">
        <v>0.42974390000000001</v>
      </c>
      <c r="F1112">
        <v>0</v>
      </c>
      <c r="G1112">
        <v>0</v>
      </c>
      <c r="H1112">
        <v>5.1104679999999997E-05</v>
      </c>
      <c r="I1112" t="s">
        <v>137</v>
      </c>
      <c r="J1112">
        <v>0.01626058</v>
      </c>
      <c r="K1112">
        <v>0.44605558468000001</v>
      </c>
      <c r="L1112">
        <v>0.0081787144122335721</v>
      </c>
      <c r="M1112">
        <v>0.049072286473401429</v>
      </c>
      <c r="N1112">
        <v>0.49512787115340146</v>
      </c>
      <c r="O1112" t="s">
        <v>138</v>
      </c>
      <c r="P1112">
        <v>0.026763335080800001</v>
      </c>
      <c r="Q1112" t="s">
        <v>138</v>
      </c>
      <c r="R1112">
        <v>0.0029443371884040857</v>
      </c>
      <c r="S1112" t="s">
        <v>139</v>
      </c>
      <c r="T1112">
        <v>0.059415344538408174</v>
      </c>
      <c r="U1112">
        <v>0.58425088796101365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2.9266899999999998</v>
      </c>
      <c r="AB1112">
        <v>2</v>
      </c>
      <c r="AC1112">
        <v>0.01</v>
      </c>
      <c r="AD1112">
        <v>0.01099879013308536</v>
      </c>
      <c r="AE1112">
        <v>5400</v>
      </c>
      <c r="AF1112">
        <v>400000</v>
      </c>
      <c r="AG1112">
        <v>33333.333333333336</v>
      </c>
      <c r="AH1112">
        <v>1</v>
      </c>
      <c r="AI1112">
        <v>1</v>
      </c>
      <c r="AJ1112" t="s">
        <v>136</v>
      </c>
      <c r="AK1112" t="s">
        <v>137</v>
      </c>
      <c r="AL1112">
        <v>0</v>
      </c>
      <c r="AM1112" t="s">
        <v>137</v>
      </c>
      <c r="AN1112">
        <v>0</v>
      </c>
    </row>
    <row r="1113" spans="1:42" ht="12.75">
      <c r="A1113" s="2" t="str">
        <f>HYPERLINK("https://ibp.a2mac1.com/costing(costing:projects/details/8191/process/6975964)","MANUFACTURING  PROCESS")</f>
        <v>MANUFACTURING  PROCESS</v>
      </c>
      <c r="B1113" t="s">
        <v>6354</v>
      </c>
      <c r="C1113">
        <v>6975964</v>
      </c>
      <c r="D1113">
        <v>5389504</v>
      </c>
      <c r="E1113">
        <v>0.025251392307692307</v>
      </c>
      <c r="F1113">
        <v>0</v>
      </c>
      <c r="G1113">
        <v>0</v>
      </c>
      <c r="H1113">
        <v>3.1035230769230769E-06</v>
      </c>
      <c r="I1113" t="s">
        <v>137</v>
      </c>
      <c r="J1113">
        <v>0.00098748461538461529</v>
      </c>
      <c r="K1113">
        <v>0.026241980446153845</v>
      </c>
      <c r="L1113">
        <v>0.0021784711527256333</v>
      </c>
      <c r="M1113">
        <v>0.013070826916353801</v>
      </c>
      <c r="N1113">
        <v>0.039312807362507647</v>
      </c>
      <c r="O1113" t="s">
        <v>138</v>
      </c>
      <c r="P1113">
        <v>0.0015745188267692308</v>
      </c>
      <c r="Q1113" t="s">
        <v>138</v>
      </c>
      <c r="R1113">
        <v>0.00078424961498122804</v>
      </c>
      <c r="S1113" t="s">
        <v>139</v>
      </c>
      <c r="T1113">
        <v>0.0047175368835009179</v>
      </c>
      <c r="U1113">
        <v>0.046389112687759027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0.51951999999999998</v>
      </c>
      <c r="AB1113">
        <v>2</v>
      </c>
      <c r="AC1113">
        <v>0.01</v>
      </c>
      <c r="AD1113">
        <v>0.01099879013308536</v>
      </c>
      <c r="AE1113">
        <v>5400</v>
      </c>
      <c r="AF1113">
        <v>400000</v>
      </c>
      <c r="AG1113">
        <v>33333.333333333336</v>
      </c>
      <c r="AH1113">
        <v>1</v>
      </c>
      <c r="AI1113">
        <v>1</v>
      </c>
      <c r="AJ1113" t="s">
        <v>136</v>
      </c>
      <c r="AK1113" t="s">
        <v>137</v>
      </c>
      <c r="AL1113">
        <v>0</v>
      </c>
      <c r="AM1113" t="s">
        <v>137</v>
      </c>
      <c r="AN1113">
        <v>0</v>
      </c>
    </row>
    <row r="1114" spans="1:42" ht="12.75">
      <c r="A1114" s="2" t="str">
        <f>HYPERLINK("https://ibp.a2mac1.com/costing(costing:projects/details/8191/process/6975965)","MANUFACTURING  PROCESS")</f>
        <v>MANUFACTURING  PROCESS</v>
      </c>
      <c r="B1114" t="s">
        <v>6354</v>
      </c>
      <c r="C1114">
        <v>6975965</v>
      </c>
      <c r="D1114">
        <v>5389505</v>
      </c>
      <c r="E1114">
        <v>1.2476632999999999</v>
      </c>
      <c r="F1114">
        <v>0</v>
      </c>
      <c r="G1114">
        <v>0</v>
      </c>
      <c r="H1114">
        <v>0.00015081644285714284</v>
      </c>
      <c r="I1114" t="s">
        <v>137</v>
      </c>
      <c r="J1114">
        <v>0.047987050000000003</v>
      </c>
      <c r="K1114">
        <v>1.295801166442857</v>
      </c>
      <c r="L1114">
        <v>0.0092624458320901947</v>
      </c>
      <c r="M1114">
        <v>0.055574674992541165</v>
      </c>
      <c r="N1114">
        <v>1.3513758414353982</v>
      </c>
      <c r="O1114" t="s">
        <v>138</v>
      </c>
      <c r="P1114">
        <v>0.077748069986571425</v>
      </c>
      <c r="Q1114" t="s">
        <v>138</v>
      </c>
      <c r="R1114">
        <v>0.00333448049955247</v>
      </c>
      <c r="S1114" t="s">
        <v>139</v>
      </c>
      <c r="T1114">
        <v>0.16216510097224779</v>
      </c>
      <c r="U1114">
        <v>1.5946234928937699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3.3614600000000001</v>
      </c>
      <c r="AB1114">
        <v>2</v>
      </c>
      <c r="AC1114">
        <v>0.01</v>
      </c>
      <c r="AD1114">
        <v>0.01099879013308536</v>
      </c>
      <c r="AE1114">
        <v>5400</v>
      </c>
      <c r="AF1114">
        <v>400000</v>
      </c>
      <c r="AG1114">
        <v>33333.333333333336</v>
      </c>
      <c r="AH1114">
        <v>1</v>
      </c>
      <c r="AI1114">
        <v>1</v>
      </c>
      <c r="AJ1114" t="s">
        <v>136</v>
      </c>
      <c r="AK1114" t="s">
        <v>137</v>
      </c>
      <c r="AL1114">
        <v>0</v>
      </c>
      <c r="AM1114" t="s">
        <v>137</v>
      </c>
      <c r="AN1114">
        <v>0</v>
      </c>
    </row>
    <row r="1115" spans="1:42" ht="12.75">
      <c r="A1115" s="2" t="str">
        <f>HYPERLINK("https://ibp.a2mac1.com/costing(costing:projects/details/8191/process/6975966)","MANUFACTURING  PROCESS")</f>
        <v>MANUFACTURING  PROCESS</v>
      </c>
      <c r="B1115" t="s">
        <v>6354</v>
      </c>
      <c r="C1115">
        <v>6975966</v>
      </c>
      <c r="D1115">
        <v>5389506</v>
      </c>
      <c r="E1115">
        <v>0.34510236153846152</v>
      </c>
      <c r="F1115">
        <v>0</v>
      </c>
      <c r="G1115">
        <v>0</v>
      </c>
      <c r="H1115">
        <v>4.2414815384615381E-05</v>
      </c>
      <c r="I1115" t="s">
        <v>137</v>
      </c>
      <c r="J1115">
        <v>0.013495623076923077</v>
      </c>
      <c r="K1115">
        <v>0.35864039943076925</v>
      </c>
      <c r="L1115">
        <v>0.0081787144122335721</v>
      </c>
      <c r="M1115">
        <v>0.049072286473401429</v>
      </c>
      <c r="N1115">
        <v>0.40771268590417065</v>
      </c>
      <c r="O1115" t="s">
        <v>138</v>
      </c>
      <c r="P1115">
        <v>0.021518423965846155</v>
      </c>
      <c r="Q1115" t="s">
        <v>138</v>
      </c>
      <c r="R1115">
        <v>0.0029443371884040857</v>
      </c>
      <c r="S1115" t="s">
        <v>139</v>
      </c>
      <c r="T1115">
        <v>0.048925522308500481</v>
      </c>
      <c r="U1115">
        <v>0.48110096936692137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2.9266899999999998</v>
      </c>
      <c r="AB1115">
        <v>2</v>
      </c>
      <c r="AC1115">
        <v>0.01</v>
      </c>
      <c r="AD1115">
        <v>0.01099879013308536</v>
      </c>
      <c r="AE1115">
        <v>5400</v>
      </c>
      <c r="AF1115">
        <v>400000</v>
      </c>
      <c r="AG1115">
        <v>33333.333333333336</v>
      </c>
      <c r="AH1115">
        <v>1</v>
      </c>
      <c r="AI1115">
        <v>1</v>
      </c>
      <c r="AJ1115" t="s">
        <v>136</v>
      </c>
      <c r="AK1115" t="s">
        <v>137</v>
      </c>
      <c r="AL1115">
        <v>0</v>
      </c>
      <c r="AM1115" t="s">
        <v>137</v>
      </c>
      <c r="AN1115">
        <v>0</v>
      </c>
    </row>
    <row r="1116" spans="1:42" ht="12.75">
      <c r="A1116" s="2" t="str">
        <f>HYPERLINK("https://ibp.a2mac1.com/costing(costing:projects/details/8191/process/6975967)","MANUFACTURING  PROCESS")</f>
        <v>MANUFACTURING  PROCESS</v>
      </c>
      <c r="B1116" t="s">
        <v>6354</v>
      </c>
      <c r="C1116">
        <v>6975967</v>
      </c>
      <c r="D1116">
        <v>5389507</v>
      </c>
      <c r="E1116">
        <v>0.1935940076923077</v>
      </c>
      <c r="F1116">
        <v>0</v>
      </c>
      <c r="G1116">
        <v>0</v>
      </c>
      <c r="H1116">
        <v>2.3793676923076922E-05</v>
      </c>
      <c r="I1116" t="s">
        <v>137</v>
      </c>
      <c r="J1116">
        <v>0.0075707153846153842</v>
      </c>
      <c r="K1116">
        <v>0.20118851675384616</v>
      </c>
      <c r="L1116">
        <v>0.0060085096525124091</v>
      </c>
      <c r="M1116">
        <v>0.036051057915074451</v>
      </c>
      <c r="N1116">
        <v>0.23723957466892059</v>
      </c>
      <c r="O1116" t="s">
        <v>138</v>
      </c>
      <c r="P1116">
        <v>0.012071311005230768</v>
      </c>
      <c r="Q1116" t="s">
        <v>138</v>
      </c>
      <c r="R1116">
        <v>0.0021630634749044671</v>
      </c>
      <c r="S1116" t="s">
        <v>139</v>
      </c>
      <c r="T1116">
        <v>0.028468748960270473</v>
      </c>
      <c r="U1116">
        <v>0.27994269810932632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2.0560499999999999</v>
      </c>
      <c r="AB1116">
        <v>2</v>
      </c>
      <c r="AC1116">
        <v>0.01</v>
      </c>
      <c r="AD1116">
        <v>0.01099879013308536</v>
      </c>
      <c r="AE1116">
        <v>5400</v>
      </c>
      <c r="AF1116">
        <v>400000</v>
      </c>
      <c r="AG1116">
        <v>33333.333333333336</v>
      </c>
      <c r="AH1116">
        <v>1</v>
      </c>
      <c r="AI1116">
        <v>1</v>
      </c>
      <c r="AJ1116" t="s">
        <v>136</v>
      </c>
      <c r="AK1116" t="s">
        <v>137</v>
      </c>
      <c r="AL1116">
        <v>0</v>
      </c>
      <c r="AM1116" t="s">
        <v>137</v>
      </c>
      <c r="AN1116">
        <v>0</v>
      </c>
    </row>
    <row r="1117" spans="1:42" ht="12.75">
      <c r="A1117" s="2" t="str">
        <f>HYPERLINK("https://ibp.a2mac1.com/costing(costing:projects/details/8191/process/6975968)","MANUFACTURING  PROCESS")</f>
        <v>MANUFACTURING  PROCESS</v>
      </c>
      <c r="B1117" t="s">
        <v>6354</v>
      </c>
      <c r="C1117">
        <v>6975968</v>
      </c>
      <c r="D1117">
        <v>5389508</v>
      </c>
      <c r="E1117">
        <v>16.543341059999999</v>
      </c>
      <c r="F1117">
        <v>0</v>
      </c>
      <c r="G1117">
        <v>0</v>
      </c>
      <c r="H1117">
        <v>0.00193592289</v>
      </c>
      <c r="I1117" t="s">
        <v>137</v>
      </c>
      <c r="J1117">
        <v>0.615975465</v>
      </c>
      <c r="K1117">
        <v>17.16125244789</v>
      </c>
      <c r="L1117">
        <v>0.053390781806786566</v>
      </c>
      <c r="M1117">
        <v>0.32034469084071937</v>
      </c>
      <c r="N1117">
        <v>17.48159713873072</v>
      </c>
      <c r="O1117" t="s">
        <v>138</v>
      </c>
      <c r="P1117">
        <v>1.0296751468734</v>
      </c>
      <c r="Q1117" t="s">
        <v>138</v>
      </c>
      <c r="R1117">
        <v>0.019220681450443162</v>
      </c>
      <c r="S1117" t="s">
        <v>139</v>
      </c>
      <c r="T1117">
        <v>2.0977916566476864</v>
      </c>
      <c r="U1117">
        <v>20.62828462370225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21.064810000000001</v>
      </c>
      <c r="AB1117">
        <v>2</v>
      </c>
      <c r="AC1117">
        <v>0.01</v>
      </c>
      <c r="AD1117">
        <v>0.01099879013308536</v>
      </c>
      <c r="AE1117">
        <v>5400</v>
      </c>
      <c r="AF1117">
        <v>400000</v>
      </c>
      <c r="AG1117">
        <v>33333.333333333336</v>
      </c>
      <c r="AH1117">
        <v>1</v>
      </c>
      <c r="AI1117">
        <v>1</v>
      </c>
      <c r="AJ1117" t="s">
        <v>136</v>
      </c>
      <c r="AK1117" t="s">
        <v>137</v>
      </c>
      <c r="AL1117">
        <v>0</v>
      </c>
      <c r="AM1117" t="s">
        <v>137</v>
      </c>
      <c r="AN1117">
        <v>0</v>
      </c>
    </row>
    <row r="1118" spans="1:42" ht="12.75">
      <c r="A1118" s="2" t="str">
        <f>HYPERLINK("https://ibp.a2mac1.com/costing(costing:projects/details/8191/process/6975969)","MANUFACTURING  PROCESS")</f>
        <v>MANUFACTURING  PROCESS</v>
      </c>
      <c r="B1118" t="s">
        <v>6354</v>
      </c>
      <c r="C1118">
        <v>6975969</v>
      </c>
      <c r="D1118">
        <v>5389509</v>
      </c>
      <c r="E1118">
        <v>0.37035375384615382</v>
      </c>
      <c r="F1118">
        <v>0</v>
      </c>
      <c r="G1118">
        <v>0</v>
      </c>
      <c r="H1118">
        <v>4.5518338461538459E-05</v>
      </c>
      <c r="I1118" t="s">
        <v>137</v>
      </c>
      <c r="J1118">
        <v>0.014483107692307692</v>
      </c>
      <c r="K1118">
        <v>0.38488237987692309</v>
      </c>
      <c r="L1118">
        <v>0.0081787144122335721</v>
      </c>
      <c r="M1118">
        <v>0.049072286473401429</v>
      </c>
      <c r="N1118">
        <v>0.43395466635032448</v>
      </c>
      <c r="O1118" t="s">
        <v>138</v>
      </c>
      <c r="P1118">
        <v>0.023092942792615385</v>
      </c>
      <c r="Q1118" t="s">
        <v>138</v>
      </c>
      <c r="R1118">
        <v>0.0029443371884040857</v>
      </c>
      <c r="S1118" t="s">
        <v>139</v>
      </c>
      <c r="T1118">
        <v>0.052074559962038941</v>
      </c>
      <c r="U1118">
        <v>0.51206650629338291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2.9266899999999998</v>
      </c>
      <c r="AB1118">
        <v>2</v>
      </c>
      <c r="AC1118">
        <v>0.01</v>
      </c>
      <c r="AD1118">
        <v>0.01099879013308536</v>
      </c>
      <c r="AE1118">
        <v>5400</v>
      </c>
      <c r="AF1118">
        <v>400000</v>
      </c>
      <c r="AG1118">
        <v>33333.333333333336</v>
      </c>
      <c r="AH1118">
        <v>1</v>
      </c>
      <c r="AI1118">
        <v>1</v>
      </c>
      <c r="AJ1118" t="s">
        <v>136</v>
      </c>
      <c r="AK1118" t="s">
        <v>137</v>
      </c>
      <c r="AL1118">
        <v>0</v>
      </c>
      <c r="AM1118" t="s">
        <v>137</v>
      </c>
      <c r="AN1118">
        <v>0</v>
      </c>
    </row>
    <row r="1119" spans="1:42" ht="12.75">
      <c r="A1119" s="2" t="str">
        <f>HYPERLINK("https://ibp.a2mac1.com/costing(costing:projects/details/8191/process/6975970)","MANUFACTURING  PROCESS")</f>
        <v>MANUFACTURING  PROCESS</v>
      </c>
      <c r="B1119" t="s">
        <v>6354</v>
      </c>
      <c r="C1119">
        <v>6975970</v>
      </c>
      <c r="D1119">
        <v>5389510</v>
      </c>
      <c r="E1119">
        <v>0.45073186666666665</v>
      </c>
      <c r="F1119">
        <v>0</v>
      </c>
      <c r="G1119">
        <v>0</v>
      </c>
      <c r="H1119">
        <v>6.2760133333333336E-05</v>
      </c>
      <c r="I1119" t="s">
        <v>137</v>
      </c>
      <c r="J1119">
        <v>0.019969133333333333</v>
      </c>
      <c r="K1119">
        <v>0.47076376013333332</v>
      </c>
      <c r="L1119">
        <v>0.030064346017248039</v>
      </c>
      <c r="M1119">
        <v>0.18038607610348822</v>
      </c>
      <c r="N1119">
        <v>0.65114983623682154</v>
      </c>
      <c r="O1119" t="s">
        <v>138</v>
      </c>
      <c r="P1119">
        <v>0.028245825608</v>
      </c>
      <c r="Q1119" t="s">
        <v>138</v>
      </c>
      <c r="R1119">
        <v>0.010823164566209294</v>
      </c>
      <c r="S1119" t="s">
        <v>139</v>
      </c>
      <c r="T1119">
        <v>0.078137980348418581</v>
      </c>
      <c r="U1119">
        <v>0.7683568067594494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5.85337</v>
      </c>
      <c r="AB1119">
        <v>1</v>
      </c>
      <c r="AC1119">
        <v>0.01</v>
      </c>
      <c r="AD1119">
        <v>0.01099879013308536</v>
      </c>
      <c r="AE1119">
        <v>5400</v>
      </c>
      <c r="AF1119">
        <v>400000</v>
      </c>
      <c r="AG1119">
        <v>33333.333333333336</v>
      </c>
      <c r="AH1119">
        <v>1</v>
      </c>
      <c r="AI1119">
        <v>1</v>
      </c>
      <c r="AJ1119" t="s">
        <v>136</v>
      </c>
      <c r="AK1119" t="s">
        <v>137</v>
      </c>
      <c r="AL1119">
        <v>0</v>
      </c>
      <c r="AM1119" t="s">
        <v>137</v>
      </c>
      <c r="AN1119">
        <v>0</v>
      </c>
    </row>
    <row r="1120" spans="1:42" ht="12.75">
      <c r="A1120" s="2" t="str">
        <f>HYPERLINK("https://ibp.a2mac1.com/costing(costing:projects/details/8191/process/6975971)","MANUFACTURING  PROCESS")</f>
        <v>MANUFACTURING  PROCESS</v>
      </c>
      <c r="B1120" t="s">
        <v>6354</v>
      </c>
      <c r="C1120">
        <v>6975971</v>
      </c>
      <c r="D1120">
        <v>5389511</v>
      </c>
      <c r="E1120">
        <v>0.40243916666666668</v>
      </c>
      <c r="F1120">
        <v>0</v>
      </c>
      <c r="G1120">
        <v>0</v>
      </c>
      <c r="H1120">
        <v>5.6035833333333337E-05</v>
      </c>
      <c r="I1120" t="s">
        <v>137</v>
      </c>
      <c r="J1120">
        <v>0.017829583333333333</v>
      </c>
      <c r="K1120">
        <v>0.42032478583333333</v>
      </c>
      <c r="L1120">
        <v>0.030064346017248039</v>
      </c>
      <c r="M1120">
        <v>0.18038607610348822</v>
      </c>
      <c r="N1120">
        <v>0.60071086193682155</v>
      </c>
      <c r="O1120" t="s">
        <v>138</v>
      </c>
      <c r="P1120">
        <v>0.025219487150000001</v>
      </c>
      <c r="Q1120" t="s">
        <v>138</v>
      </c>
      <c r="R1120">
        <v>0.010823164566209294</v>
      </c>
      <c r="S1120" t="s">
        <v>139</v>
      </c>
      <c r="T1120">
        <v>0.07208530343241859</v>
      </c>
      <c r="U1120">
        <v>0.70883881708544949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5.85337</v>
      </c>
      <c r="AB1120">
        <v>1</v>
      </c>
      <c r="AC1120">
        <v>0.01</v>
      </c>
      <c r="AD1120">
        <v>0.01099879013308536</v>
      </c>
      <c r="AE1120">
        <v>5400</v>
      </c>
      <c r="AF1120">
        <v>400000</v>
      </c>
      <c r="AG1120">
        <v>33333.333333333336</v>
      </c>
      <c r="AH1120">
        <v>1</v>
      </c>
      <c r="AI1120">
        <v>1</v>
      </c>
      <c r="AJ1120" t="s">
        <v>136</v>
      </c>
      <c r="AK1120" t="s">
        <v>137</v>
      </c>
      <c r="AL1120">
        <v>0</v>
      </c>
      <c r="AM1120" t="s">
        <v>137</v>
      </c>
      <c r="AN1120">
        <v>0</v>
      </c>
    </row>
    <row r="1121" spans="1:42" ht="12.75">
      <c r="A1121" s="2" t="str">
        <f>HYPERLINK("https://ibp.a2mac1.com/costing(costing:projects/details/8191/process/6976146)","MANUFACTURING  PROCESS")</f>
        <v>MANUFACTURING  PROCESS</v>
      </c>
      <c r="B1121" t="s">
        <v>6354</v>
      </c>
      <c r="C1121">
        <v>6976146</v>
      </c>
      <c r="D1121">
        <v>5389723</v>
      </c>
      <c r="E1121">
        <v>0.4572524</v>
      </c>
      <c r="F1121">
        <v>0</v>
      </c>
      <c r="G1121">
        <v>0</v>
      </c>
      <c r="H1121">
        <v>5.7156549999999997E-05</v>
      </c>
      <c r="I1121" t="s">
        <v>137</v>
      </c>
      <c r="J1121">
        <v>0.018186174999999999</v>
      </c>
      <c r="K1121">
        <v>0.47549573155000002</v>
      </c>
      <c r="L1121">
        <v>0.0081787144122335721</v>
      </c>
      <c r="M1121">
        <v>0.049072286473401429</v>
      </c>
      <c r="N1121">
        <v>0.52456801802340147</v>
      </c>
      <c r="O1121" t="s">
        <v>138</v>
      </c>
      <c r="P1121">
        <v>0.028529743893</v>
      </c>
      <c r="Q1121" t="s">
        <v>138</v>
      </c>
      <c r="R1121">
        <v>0.0029443371884040857</v>
      </c>
      <c r="S1121" t="s">
        <v>139</v>
      </c>
      <c r="T1121">
        <v>0.062948162162808172</v>
      </c>
      <c r="U1121">
        <v>0.6189902612676137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2.9266899999999998</v>
      </c>
      <c r="AB1121">
        <v>2</v>
      </c>
      <c r="AC1121">
        <v>0.01</v>
      </c>
      <c r="AD1121">
        <v>0.01099879013308536</v>
      </c>
      <c r="AE1121">
        <v>5400</v>
      </c>
      <c r="AF1121">
        <v>400000</v>
      </c>
      <c r="AG1121">
        <v>33333.333333333336</v>
      </c>
      <c r="AH1121">
        <v>1</v>
      </c>
      <c r="AI1121">
        <v>1</v>
      </c>
      <c r="AJ1121" t="s">
        <v>136</v>
      </c>
      <c r="AK1121" t="s">
        <v>137</v>
      </c>
      <c r="AL1121">
        <v>0</v>
      </c>
      <c r="AM1121" t="s">
        <v>137</v>
      </c>
      <c r="AN1121">
        <v>0</v>
      </c>
    </row>
    <row r="1122" spans="1:42" ht="12.75">
      <c r="A1122" s="2" t="str">
        <f>HYPERLINK("https://ibp.a2mac1.com/costing(costing:projects/details/8191/process/6976147)","MANUFACTURING  PROCESS")</f>
        <v>MANUFACTURING  PROCESS</v>
      </c>
      <c r="B1122" t="s">
        <v>6354</v>
      </c>
      <c r="C1122">
        <v>6976147</v>
      </c>
      <c r="D1122">
        <v>5389724</v>
      </c>
      <c r="E1122">
        <v>1.5337517000000001</v>
      </c>
      <c r="F1122">
        <v>0</v>
      </c>
      <c r="G1122">
        <v>0</v>
      </c>
      <c r="H1122">
        <v>0.00018539855714285713</v>
      </c>
      <c r="I1122" t="s">
        <v>137</v>
      </c>
      <c r="J1122">
        <v>0.05899045</v>
      </c>
      <c r="K1122">
        <v>1.5929275485571428</v>
      </c>
      <c r="L1122">
        <v>0.030064346017248039</v>
      </c>
      <c r="M1122">
        <v>0.18038607610348822</v>
      </c>
      <c r="N1122">
        <v>1.7733136246606311</v>
      </c>
      <c r="O1122" t="s">
        <v>138</v>
      </c>
      <c r="P1122">
        <v>0.095575652913428566</v>
      </c>
      <c r="Q1122" t="s">
        <v>138</v>
      </c>
      <c r="R1122">
        <v>0.010823164566209294</v>
      </c>
      <c r="S1122" t="s">
        <v>139</v>
      </c>
      <c r="T1122">
        <v>0.21279763495927573</v>
      </c>
      <c r="U1122">
        <v>2.0925100770995448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5.85337</v>
      </c>
      <c r="AB1122">
        <v>1</v>
      </c>
      <c r="AC1122">
        <v>0.01</v>
      </c>
      <c r="AD1122">
        <v>0.01099879013308536</v>
      </c>
      <c r="AE1122">
        <v>5400</v>
      </c>
      <c r="AF1122">
        <v>400000</v>
      </c>
      <c r="AG1122">
        <v>33333.333333333336</v>
      </c>
      <c r="AH1122">
        <v>1</v>
      </c>
      <c r="AI1122">
        <v>1</v>
      </c>
      <c r="AJ1122" t="s">
        <v>136</v>
      </c>
      <c r="AK1122" t="s">
        <v>137</v>
      </c>
      <c r="AL1122">
        <v>0</v>
      </c>
      <c r="AM1122" t="s">
        <v>137</v>
      </c>
      <c r="AN1122">
        <v>0</v>
      </c>
    </row>
    <row r="1123" spans="1:42" ht="12.75">
      <c r="A1123" s="2" t="str">
        <f>HYPERLINK("https://ibp.a2mac1.com/costing(costing:projects/details/8191/process/6976148)","MANUFACTURING  PROCESS")</f>
        <v>MANUFACTURING  PROCESS</v>
      </c>
      <c r="B1123" t="s">
        <v>6354</v>
      </c>
      <c r="C1123">
        <v>6976148</v>
      </c>
      <c r="D1123">
        <v>5389725</v>
      </c>
      <c r="E1123">
        <v>2.2807602999999999</v>
      </c>
      <c r="F1123">
        <v>0</v>
      </c>
      <c r="G1123">
        <v>0</v>
      </c>
      <c r="H1123">
        <v>0.00027569630000000002</v>
      </c>
      <c r="I1123" t="s">
        <v>137</v>
      </c>
      <c r="J1123">
        <v>0.087721549999999995</v>
      </c>
      <c r="K1123">
        <v>2.3687575462999999</v>
      </c>
      <c r="L1123">
        <v>0.010313049872942069</v>
      </c>
      <c r="M1123">
        <v>0.061878299237652409</v>
      </c>
      <c r="N1123">
        <v>2.4306358455376524</v>
      </c>
      <c r="O1123" t="s">
        <v>138</v>
      </c>
      <c r="P1123">
        <v>0.14212545277800001</v>
      </c>
      <c r="Q1123" t="s">
        <v>138</v>
      </c>
      <c r="R1123">
        <v>0.0037126979542591448</v>
      </c>
      <c r="S1123" t="s">
        <v>139</v>
      </c>
      <c r="T1123">
        <v>0.29167630146451828</v>
      </c>
      <c r="U1123">
        <v>2.86815029773443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3.78294</v>
      </c>
      <c r="AB1123">
        <v>2</v>
      </c>
      <c r="AC1123">
        <v>0.01</v>
      </c>
      <c r="AD1123">
        <v>0.01099879013308536</v>
      </c>
      <c r="AE1123">
        <v>5400</v>
      </c>
      <c r="AF1123">
        <v>400000</v>
      </c>
      <c r="AG1123">
        <v>33333.333333333336</v>
      </c>
      <c r="AH1123">
        <v>1</v>
      </c>
      <c r="AI1123">
        <v>1</v>
      </c>
      <c r="AJ1123" t="s">
        <v>136</v>
      </c>
      <c r="AK1123" t="s">
        <v>137</v>
      </c>
      <c r="AL1123">
        <v>0</v>
      </c>
      <c r="AM1123" t="s">
        <v>137</v>
      </c>
      <c r="AN1123">
        <v>0</v>
      </c>
    </row>
    <row r="1124" spans="1:42" ht="12.75">
      <c r="A1124" s="2" t="str">
        <f>HYPERLINK("https://ibp.a2mac1.com/costing(costing:projects/details/8191/process/6976149)","MANUFACTURING  PROCESS")</f>
        <v>MANUFACTURING  PROCESS</v>
      </c>
      <c r="B1124" t="s">
        <v>6354</v>
      </c>
      <c r="C1124">
        <v>6976149</v>
      </c>
      <c r="D1124">
        <v>5389726</v>
      </c>
      <c r="E1124">
        <v>0.92588438461538458</v>
      </c>
      <c r="F1124">
        <v>0</v>
      </c>
      <c r="G1124">
        <v>0</v>
      </c>
      <c r="H1124">
        <v>0.00011379584615384616</v>
      </c>
      <c r="I1124" t="s">
        <v>137</v>
      </c>
      <c r="J1124">
        <v>0.036207769230769231</v>
      </c>
      <c r="K1124">
        <v>0.96220594969230766</v>
      </c>
      <c r="L1124">
        <v>0.030064346017248039</v>
      </c>
      <c r="M1124">
        <v>0.18038607610348822</v>
      </c>
      <c r="N1124">
        <v>1.142592025795796</v>
      </c>
      <c r="O1124" t="s">
        <v>138</v>
      </c>
      <c r="P1124">
        <v>0.05773235698153846</v>
      </c>
      <c r="Q1124" t="s">
        <v>138</v>
      </c>
      <c r="R1124">
        <v>0.010823164566209294</v>
      </c>
      <c r="S1124" t="s">
        <v>139</v>
      </c>
      <c r="T1124">
        <v>0.13711104309549552</v>
      </c>
      <c r="U1124">
        <v>1.3482585904390392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5.85337</v>
      </c>
      <c r="AB1124">
        <v>1</v>
      </c>
      <c r="AC1124">
        <v>0.01</v>
      </c>
      <c r="AD1124">
        <v>0.01099879013308536</v>
      </c>
      <c r="AE1124">
        <v>5400</v>
      </c>
      <c r="AF1124">
        <v>400000</v>
      </c>
      <c r="AG1124">
        <v>33333.333333333336</v>
      </c>
      <c r="AH1124">
        <v>1</v>
      </c>
      <c r="AI1124">
        <v>1</v>
      </c>
      <c r="AJ1124" t="s">
        <v>136</v>
      </c>
      <c r="AK1124" t="s">
        <v>137</v>
      </c>
      <c r="AL1124">
        <v>0</v>
      </c>
      <c r="AM1124" t="s">
        <v>137</v>
      </c>
      <c r="AN1124">
        <v>0</v>
      </c>
    </row>
    <row r="1125" spans="1:42" ht="12.75">
      <c r="A1125" s="2" t="str">
        <f>HYPERLINK("https://ibp.a2mac1.com/costing(costing:projects/details/8191/process/6976150)","MANUFACTURING  PROCESS")</f>
        <v>MANUFACTURING  PROCESS</v>
      </c>
      <c r="B1125" t="s">
        <v>6354</v>
      </c>
      <c r="C1125">
        <v>6976150</v>
      </c>
      <c r="D1125">
        <v>5389727</v>
      </c>
      <c r="E1125">
        <v>0.54589089999999996</v>
      </c>
      <c r="F1125">
        <v>0</v>
      </c>
      <c r="G1125">
        <v>0</v>
      </c>
      <c r="H1125">
        <v>6.3880849999999997E-05</v>
      </c>
      <c r="I1125" t="s">
        <v>137</v>
      </c>
      <c r="J1125">
        <v>0.020325724999999999</v>
      </c>
      <c r="K1125">
        <v>0.56628050585</v>
      </c>
      <c r="L1125">
        <v>0.030064346017248039</v>
      </c>
      <c r="M1125">
        <v>0.18038607610348822</v>
      </c>
      <c r="N1125">
        <v>0.74666658195348823</v>
      </c>
      <c r="O1125" t="s">
        <v>138</v>
      </c>
      <c r="P1125">
        <v>0.033976830350999999</v>
      </c>
      <c r="Q1125" t="s">
        <v>138</v>
      </c>
      <c r="R1125">
        <v>0.010823164566209294</v>
      </c>
      <c r="S1125" t="s">
        <v>139</v>
      </c>
      <c r="T1125">
        <v>0.089599989834418581</v>
      </c>
      <c r="U1125">
        <v>0.88106656670511607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5.85337</v>
      </c>
      <c r="AB1125">
        <v>1</v>
      </c>
      <c r="AC1125">
        <v>0.01</v>
      </c>
      <c r="AD1125">
        <v>0.01099879013308536</v>
      </c>
      <c r="AE1125">
        <v>5400</v>
      </c>
      <c r="AF1125">
        <v>400000</v>
      </c>
      <c r="AG1125">
        <v>33333.333333333336</v>
      </c>
      <c r="AH1125">
        <v>1</v>
      </c>
      <c r="AI1125">
        <v>1</v>
      </c>
      <c r="AJ1125" t="s">
        <v>136</v>
      </c>
      <c r="AK1125" t="s">
        <v>137</v>
      </c>
      <c r="AL1125">
        <v>0</v>
      </c>
      <c r="AM1125" t="s">
        <v>137</v>
      </c>
      <c r="AN1125">
        <v>0</v>
      </c>
    </row>
    <row r="1126" spans="1:42" ht="12.75">
      <c r="A1126" s="2" t="str">
        <f>HYPERLINK("https://ibp.a2mac1.com/costing(costing:projects/details/8191/process/6976151)","MANUFACTURING  PROCESS")</f>
        <v>MANUFACTURING  PROCESS</v>
      </c>
      <c r="B1126" t="s">
        <v>6354</v>
      </c>
      <c r="C1126">
        <v>6976151</v>
      </c>
      <c r="D1126">
        <v>5389728</v>
      </c>
      <c r="E1126">
        <v>0.2151776</v>
      </c>
      <c r="F1126">
        <v>0</v>
      </c>
      <c r="G1126">
        <v>0</v>
      </c>
      <c r="H1126">
        <v>2.6897200000000001E-05</v>
      </c>
      <c r="I1126" t="s">
        <v>137</v>
      </c>
      <c r="J1126">
        <v>0.0085582000000000002</v>
      </c>
      <c r="K1126">
        <v>0.2237626972</v>
      </c>
      <c r="L1126">
        <v>0.021383526978363387</v>
      </c>
      <c r="M1126">
        <v>0.12830116187018031</v>
      </c>
      <c r="N1126">
        <v>0.35206385907018034</v>
      </c>
      <c r="O1126" t="s">
        <v>138</v>
      </c>
      <c r="P1126">
        <v>0.013425761832</v>
      </c>
      <c r="Q1126" t="s">
        <v>138</v>
      </c>
      <c r="R1126">
        <v>0.0076980697122108191</v>
      </c>
      <c r="S1126" t="s">
        <v>139</v>
      </c>
      <c r="T1126">
        <v>0.042247663088421636</v>
      </c>
      <c r="U1126">
        <v>0.41543535370281276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4.1120900000000002</v>
      </c>
      <c r="AB1126">
        <v>1</v>
      </c>
      <c r="AC1126">
        <v>0.01</v>
      </c>
      <c r="AD1126">
        <v>0.01099879013308536</v>
      </c>
      <c r="AE1126">
        <v>5400</v>
      </c>
      <c r="AF1126">
        <v>400000</v>
      </c>
      <c r="AG1126">
        <v>33333.333333333336</v>
      </c>
      <c r="AH1126">
        <v>1</v>
      </c>
      <c r="AI1126">
        <v>1</v>
      </c>
      <c r="AJ1126" t="s">
        <v>136</v>
      </c>
      <c r="AK1126" t="s">
        <v>137</v>
      </c>
      <c r="AL1126">
        <v>0</v>
      </c>
      <c r="AM1126" t="s">
        <v>137</v>
      </c>
      <c r="AN1126">
        <v>0</v>
      </c>
    </row>
    <row r="1127" spans="1:42" ht="12.75">
      <c r="A1127" s="2" t="str">
        <f>HYPERLINK("https://ibp.a2mac1.com/costing(costing:projects/details/8191/process/6975972)","MANUFACTURING  PROCESS")</f>
        <v>MANUFACTURING  PROCESS</v>
      </c>
      <c r="B1127" t="s">
        <v>6354</v>
      </c>
      <c r="C1127">
        <v>6975972</v>
      </c>
      <c r="D1127">
        <v>5389517</v>
      </c>
      <c r="E1127">
        <v>1.4078238999999999</v>
      </c>
      <c r="F1127">
        <v>0</v>
      </c>
      <c r="G1127">
        <v>0</v>
      </c>
      <c r="H1127">
        <v>0.00016474535000000001</v>
      </c>
      <c r="I1127" t="s">
        <v>137</v>
      </c>
      <c r="J1127">
        <v>0.052418975</v>
      </c>
      <c r="K1127">
        <v>1.46040762035</v>
      </c>
      <c r="L1127">
        <v>0.0081787144122335721</v>
      </c>
      <c r="M1127">
        <v>0.049072286473401429</v>
      </c>
      <c r="N1127">
        <v>1.5094799068234015</v>
      </c>
      <c r="O1127" t="s">
        <v>138</v>
      </c>
      <c r="P1127">
        <v>0.087624457220999999</v>
      </c>
      <c r="Q1127" t="s">
        <v>138</v>
      </c>
      <c r="R1127">
        <v>0.0029443371884040857</v>
      </c>
      <c r="S1127" t="s">
        <v>139</v>
      </c>
      <c r="T1127">
        <v>0.18113758881880818</v>
      </c>
      <c r="U1127">
        <v>1.7811862900516138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2.9266899999999998</v>
      </c>
      <c r="AB1127">
        <v>2</v>
      </c>
      <c r="AC1127">
        <v>0.01</v>
      </c>
      <c r="AD1127">
        <v>0.01099879013308536</v>
      </c>
      <c r="AE1127">
        <v>5400</v>
      </c>
      <c r="AF1127">
        <v>400000</v>
      </c>
      <c r="AG1127">
        <v>33333.333333333336</v>
      </c>
      <c r="AH1127">
        <v>1</v>
      </c>
      <c r="AI1127">
        <v>1</v>
      </c>
      <c r="AJ1127" t="s">
        <v>136</v>
      </c>
      <c r="AK1127" t="s">
        <v>137</v>
      </c>
      <c r="AL1127">
        <v>0</v>
      </c>
      <c r="AM1127" t="s">
        <v>137</v>
      </c>
      <c r="AN1127">
        <v>0</v>
      </c>
    </row>
    <row r="1128" spans="1:42" ht="12.75">
      <c r="A1128" s="2" t="str">
        <f>HYPERLINK("https://ibp.a2mac1.com/costing(costing:projects/details/8191/process/6975973)","MANUFACTURING  PROCESS")</f>
        <v>MANUFACTURING  PROCESS</v>
      </c>
      <c r="B1128" t="s">
        <v>6354</v>
      </c>
      <c r="C1128">
        <v>6975973</v>
      </c>
      <c r="D1128">
        <v>5389518</v>
      </c>
      <c r="E1128">
        <v>4.42401336</v>
      </c>
      <c r="F1128">
        <v>0</v>
      </c>
      <c r="G1128">
        <v>0</v>
      </c>
      <c r="H1128">
        <v>0.00053477084571428566</v>
      </c>
      <c r="I1128" t="s">
        <v>137</v>
      </c>
      <c r="J1128">
        <v>0.17015436</v>
      </c>
      <c r="K1128">
        <v>4.5947024908457141</v>
      </c>
      <c r="L1128">
        <v>0.053390781806786566</v>
      </c>
      <c r="M1128">
        <v>0.32034469084071937</v>
      </c>
      <c r="N1128">
        <v>4.9150471816864334</v>
      </c>
      <c r="O1128" t="s">
        <v>138</v>
      </c>
      <c r="P1128">
        <v>0.27568214945074287</v>
      </c>
      <c r="Q1128" t="s">
        <v>138</v>
      </c>
      <c r="R1128">
        <v>0.019220681450443162</v>
      </c>
      <c r="S1128" t="s">
        <v>139</v>
      </c>
      <c r="T1128">
        <v>0.58980566180237204</v>
      </c>
      <c r="U1128">
        <v>5.7997556743899921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21.064810000000001</v>
      </c>
      <c r="AB1128">
        <v>2</v>
      </c>
      <c r="AC1128">
        <v>0.01</v>
      </c>
      <c r="AD1128">
        <v>0.01099879013308536</v>
      </c>
      <c r="AE1128">
        <v>5400</v>
      </c>
      <c r="AF1128">
        <v>400000</v>
      </c>
      <c r="AG1128">
        <v>33333.333333333336</v>
      </c>
      <c r="AH1128">
        <v>1</v>
      </c>
      <c r="AI1128">
        <v>1</v>
      </c>
      <c r="AJ1128" t="s">
        <v>136</v>
      </c>
      <c r="AK1128" t="s">
        <v>137</v>
      </c>
      <c r="AL1128">
        <v>0</v>
      </c>
      <c r="AM1128" t="s">
        <v>137</v>
      </c>
      <c r="AN1128">
        <v>0</v>
      </c>
    </row>
    <row r="1129" spans="1:42" ht="12.75">
      <c r="A1129" s="2" t="str">
        <f>HYPERLINK("https://ibp.a2mac1.com/costing(costing:projects/details/8191/process/6975974)","MANUFACTURING  PROCESS")</f>
        <v>MANUFACTURING  PROCESS</v>
      </c>
      <c r="B1129" t="s">
        <v>6354</v>
      </c>
      <c r="C1129">
        <v>6975974</v>
      </c>
      <c r="D1129">
        <v>5389519</v>
      </c>
      <c r="E1129">
        <v>2.7895656666666668</v>
      </c>
      <c r="F1129">
        <v>0</v>
      </c>
      <c r="G1129">
        <v>0</v>
      </c>
      <c r="H1129">
        <v>0.00033173213333333331</v>
      </c>
      <c r="I1129" t="s">
        <v>137</v>
      </c>
      <c r="J1129">
        <v>0.10555113333333334</v>
      </c>
      <c r="K1129">
        <v>2.8954485321333334</v>
      </c>
      <c r="L1129">
        <v>0.0092624458320901947</v>
      </c>
      <c r="M1129">
        <v>0.055574674992541165</v>
      </c>
      <c r="N1129">
        <v>2.9510232071258744</v>
      </c>
      <c r="O1129" t="s">
        <v>138</v>
      </c>
      <c r="P1129">
        <v>0.17372691192799999</v>
      </c>
      <c r="Q1129" t="s">
        <v>138</v>
      </c>
      <c r="R1129">
        <v>0.00333448049955247</v>
      </c>
      <c r="S1129" t="s">
        <v>139</v>
      </c>
      <c r="T1129">
        <v>0.35412278485510496</v>
      </c>
      <c r="U1129">
        <v>3.4822073844085319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3.3614600000000001</v>
      </c>
      <c r="AB1129">
        <v>2</v>
      </c>
      <c r="AC1129">
        <v>0.01</v>
      </c>
      <c r="AD1129">
        <v>0.01099879013308536</v>
      </c>
      <c r="AE1129">
        <v>5400</v>
      </c>
      <c r="AF1129">
        <v>400000</v>
      </c>
      <c r="AG1129">
        <v>33333.333333333336</v>
      </c>
      <c r="AH1129">
        <v>1</v>
      </c>
      <c r="AI1129">
        <v>1</v>
      </c>
      <c r="AJ1129" t="s">
        <v>136</v>
      </c>
      <c r="AK1129" t="s">
        <v>137</v>
      </c>
      <c r="AL1129">
        <v>0</v>
      </c>
      <c r="AM1129" t="s">
        <v>137</v>
      </c>
      <c r="AN1129">
        <v>0</v>
      </c>
    </row>
    <row r="1130" spans="1:42" ht="12.75">
      <c r="A1130" s="2" t="str">
        <f>HYPERLINK("https://ibp.a2mac1.com/costing(costing:projects/details/8191/process/6975975)","MANUFACTURING  PROCESS")</f>
        <v>MANUFACTURING  PROCESS</v>
      </c>
      <c r="B1130" t="s">
        <v>6354</v>
      </c>
      <c r="C1130">
        <v>6975975</v>
      </c>
      <c r="D1130">
        <v>5389520</v>
      </c>
      <c r="E1130">
        <v>0.93376075000000003</v>
      </c>
      <c r="F1130">
        <v>0</v>
      </c>
      <c r="G1130">
        <v>0</v>
      </c>
      <c r="H1130">
        <v>0.000109269875</v>
      </c>
      <c r="I1130" t="s">
        <v>137</v>
      </c>
      <c r="J1130">
        <v>0.034767687499999998</v>
      </c>
      <c r="K1130">
        <v>0.96863770737499999</v>
      </c>
      <c r="L1130">
        <v>0.0081787144122335721</v>
      </c>
      <c r="M1130">
        <v>0.049072286473401429</v>
      </c>
      <c r="N1130">
        <v>1.0177099938484013</v>
      </c>
      <c r="O1130" t="s">
        <v>138</v>
      </c>
      <c r="P1130">
        <v>0.058118262442499999</v>
      </c>
      <c r="Q1130" t="s">
        <v>138</v>
      </c>
      <c r="R1130">
        <v>0.0029443371884040857</v>
      </c>
      <c r="S1130" t="s">
        <v>139</v>
      </c>
      <c r="T1130">
        <v>0.12212519926180818</v>
      </c>
      <c r="U1130">
        <v>1.2008977927411137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2.9266899999999998</v>
      </c>
      <c r="AB1130">
        <v>2</v>
      </c>
      <c r="AC1130">
        <v>0.01</v>
      </c>
      <c r="AD1130">
        <v>0.01099879013308536</v>
      </c>
      <c r="AE1130">
        <v>5400</v>
      </c>
      <c r="AF1130">
        <v>400000</v>
      </c>
      <c r="AG1130">
        <v>33333.333333333336</v>
      </c>
      <c r="AH1130">
        <v>1</v>
      </c>
      <c r="AI1130">
        <v>1</v>
      </c>
      <c r="AJ1130" t="s">
        <v>136</v>
      </c>
      <c r="AK1130" t="s">
        <v>137</v>
      </c>
      <c r="AL1130">
        <v>0</v>
      </c>
      <c r="AM1130" t="s">
        <v>137</v>
      </c>
      <c r="AN1130">
        <v>0</v>
      </c>
    </row>
    <row r="1131" spans="1:42" ht="12.75">
      <c r="A1131" s="2" t="str">
        <f>HYPERLINK("https://ibp.a2mac1.com/costing(costing:projects/details/8191/process/6975976)","MANUFACTURING  PROCESS")</f>
        <v>MANUFACTURING  PROCESS</v>
      </c>
      <c r="B1131" t="s">
        <v>6354</v>
      </c>
      <c r="C1131">
        <v>6975976</v>
      </c>
      <c r="D1131">
        <v>5389521</v>
      </c>
      <c r="E1131">
        <v>0.63970193846153844</v>
      </c>
      <c r="F1131">
        <v>0</v>
      </c>
      <c r="G1131">
        <v>0</v>
      </c>
      <c r="H1131">
        <v>7.862258461538462E-05</v>
      </c>
      <c r="I1131" t="s">
        <v>137</v>
      </c>
      <c r="J1131">
        <v>0.025016276923076924</v>
      </c>
      <c r="K1131">
        <v>0.66479683796923073</v>
      </c>
      <c r="L1131">
        <v>0.0081787144122335721</v>
      </c>
      <c r="M1131">
        <v>0.049072286473401429</v>
      </c>
      <c r="N1131">
        <v>0.71386912444263217</v>
      </c>
      <c r="O1131" t="s">
        <v>138</v>
      </c>
      <c r="P1131">
        <v>0.039887810278153843</v>
      </c>
      <c r="Q1131" t="s">
        <v>138</v>
      </c>
      <c r="R1131">
        <v>0.0029443371884040857</v>
      </c>
      <c r="S1131" t="s">
        <v>139</v>
      </c>
      <c r="T1131">
        <v>0.085664294933115864</v>
      </c>
      <c r="U1131">
        <v>0.84236556684230601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2.9266899999999998</v>
      </c>
      <c r="AB1131">
        <v>2</v>
      </c>
      <c r="AC1131">
        <v>0.01</v>
      </c>
      <c r="AD1131">
        <v>0.01099879013308536</v>
      </c>
      <c r="AE1131">
        <v>5400</v>
      </c>
      <c r="AF1131">
        <v>400000</v>
      </c>
      <c r="AG1131">
        <v>33333.333333333336</v>
      </c>
      <c r="AH1131">
        <v>1</v>
      </c>
      <c r="AI1131">
        <v>1</v>
      </c>
      <c r="AJ1131" t="s">
        <v>136</v>
      </c>
      <c r="AK1131" t="s">
        <v>137</v>
      </c>
      <c r="AL1131">
        <v>0</v>
      </c>
      <c r="AM1131" t="s">
        <v>137</v>
      </c>
      <c r="AN1131">
        <v>0</v>
      </c>
    </row>
    <row r="1132" spans="1:42" ht="12.75">
      <c r="A1132" s="2" t="str">
        <f>HYPERLINK("https://ibp.a2mac1.com/costing(costing:projects/details/8191/process/6975977)","MANUFACTURING  PROCESS")</f>
        <v>MANUFACTURING  PROCESS</v>
      </c>
      <c r="B1132" t="s">
        <v>6354</v>
      </c>
      <c r="C1132">
        <v>6975977</v>
      </c>
      <c r="D1132">
        <v>5389522</v>
      </c>
      <c r="E1132">
        <v>7.9232483890909089</v>
      </c>
      <c r="F1132">
        <v>0</v>
      </c>
      <c r="G1132">
        <v>0</v>
      </c>
      <c r="H1132">
        <v>0.00100758072</v>
      </c>
      <c r="I1132" t="s">
        <v>137</v>
      </c>
      <c r="J1132">
        <v>0.32059386545454543</v>
      </c>
      <c r="K1132">
        <v>8.2448498352654553</v>
      </c>
      <c r="L1132">
        <v>0.053390781806786566</v>
      </c>
      <c r="M1132">
        <v>0.32034469084071937</v>
      </c>
      <c r="N1132">
        <v>8.5651945261061737</v>
      </c>
      <c r="O1132" t="s">
        <v>138</v>
      </c>
      <c r="P1132">
        <v>0.49469099011592726</v>
      </c>
      <c r="Q1132" t="s">
        <v>138</v>
      </c>
      <c r="R1132">
        <v>0.019220681450443162</v>
      </c>
      <c r="S1132" t="s">
        <v>139</v>
      </c>
      <c r="T1132">
        <v>1.0278233431327408</v>
      </c>
      <c r="U1132">
        <v>10.106929540805286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21.064810000000001</v>
      </c>
      <c r="AB1132">
        <v>2</v>
      </c>
      <c r="AC1132">
        <v>0.01</v>
      </c>
      <c r="AD1132">
        <v>0.01099879013308536</v>
      </c>
      <c r="AE1132">
        <v>5400</v>
      </c>
      <c r="AF1132">
        <v>400000</v>
      </c>
      <c r="AG1132">
        <v>33333.333333333336</v>
      </c>
      <c r="AH1132">
        <v>1</v>
      </c>
      <c r="AI1132">
        <v>1</v>
      </c>
      <c r="AJ1132" t="s">
        <v>136</v>
      </c>
      <c r="AK1132" t="s">
        <v>137</v>
      </c>
      <c r="AL1132">
        <v>0</v>
      </c>
      <c r="AM1132" t="s">
        <v>137</v>
      </c>
      <c r="AN1132">
        <v>0</v>
      </c>
    </row>
    <row r="1133" spans="1:42" ht="12.75">
      <c r="A1133" s="2" t="str">
        <f>HYPERLINK("https://ibp.a2mac1.com/costing(costing:projects/details/8191/process/6975978)","MANUFACTURING  PROCESS")</f>
        <v>MANUFACTURING  PROCESS</v>
      </c>
      <c r="B1133" t="s">
        <v>6354</v>
      </c>
      <c r="C1133">
        <v>6975978</v>
      </c>
      <c r="D1133">
        <v>5389523</v>
      </c>
      <c r="E1133">
        <v>1.6317634666666667</v>
      </c>
      <c r="F1133">
        <v>0</v>
      </c>
      <c r="G1133">
        <v>0</v>
      </c>
      <c r="H1133">
        <v>0.00020397043333333334</v>
      </c>
      <c r="I1133" t="s">
        <v>137</v>
      </c>
      <c r="J1133">
        <v>0.064899683333333333</v>
      </c>
      <c r="K1133">
        <v>1.6968671204333334</v>
      </c>
      <c r="L1133">
        <v>0.0081787144122335721</v>
      </c>
      <c r="M1133">
        <v>0.049072286473401429</v>
      </c>
      <c r="N1133">
        <v>1.7459394069067347</v>
      </c>
      <c r="O1133" t="s">
        <v>138</v>
      </c>
      <c r="P1133">
        <v>0.101812027226</v>
      </c>
      <c r="Q1133" t="s">
        <v>138</v>
      </c>
      <c r="R1133">
        <v>0.0029443371884040857</v>
      </c>
      <c r="S1133" t="s">
        <v>139</v>
      </c>
      <c r="T1133">
        <v>0.20951272882880817</v>
      </c>
      <c r="U1133">
        <v>2.0602085001499471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2.9266899999999998</v>
      </c>
      <c r="AB1133">
        <v>2</v>
      </c>
      <c r="AC1133">
        <v>0.01</v>
      </c>
      <c r="AD1133">
        <v>0.01099879013308536</v>
      </c>
      <c r="AE1133">
        <v>5400</v>
      </c>
      <c r="AF1133">
        <v>400000</v>
      </c>
      <c r="AG1133">
        <v>33333.333333333336</v>
      </c>
      <c r="AH1133">
        <v>1</v>
      </c>
      <c r="AI1133">
        <v>1</v>
      </c>
      <c r="AJ1133" t="s">
        <v>136</v>
      </c>
      <c r="AK1133" t="s">
        <v>137</v>
      </c>
      <c r="AL1133">
        <v>0</v>
      </c>
      <c r="AM1133" t="s">
        <v>137</v>
      </c>
      <c r="AN1133">
        <v>0</v>
      </c>
    </row>
    <row r="1134" spans="1:42" ht="12.75">
      <c r="A1134" s="2" t="str">
        <f>HYPERLINK("https://ibp.a2mac1.com/costing(costing:projects/details/8191/process/6975979)","MANUFACTURING  PROCESS")</f>
        <v>MANUFACTURING  PROCESS</v>
      </c>
      <c r="B1134" t="s">
        <v>6354</v>
      </c>
      <c r="C1134">
        <v>6975979</v>
      </c>
      <c r="D1134">
        <v>5389524</v>
      </c>
      <c r="E1134">
        <v>0.035862933333333333</v>
      </c>
      <c r="F1134">
        <v>0</v>
      </c>
      <c r="G1134">
        <v>0</v>
      </c>
      <c r="H1134">
        <v>4.4828666666666665E-06</v>
      </c>
      <c r="I1134" t="s">
        <v>137</v>
      </c>
      <c r="J1134">
        <v>0.0014263666666666666</v>
      </c>
      <c r="K1134">
        <v>0.037293782866666667</v>
      </c>
      <c r="L1134">
        <v>0.0046551228631498652</v>
      </c>
      <c r="M1134">
        <v>0.027930737178899191</v>
      </c>
      <c r="N1134">
        <v>0.065224520045565851</v>
      </c>
      <c r="O1134" t="s">
        <v>138</v>
      </c>
      <c r="P1134">
        <v>0.002237626972</v>
      </c>
      <c r="Q1134" t="s">
        <v>138</v>
      </c>
      <c r="R1134">
        <v>0.0016758442307339514</v>
      </c>
      <c r="S1134" t="s">
        <v>139</v>
      </c>
      <c r="T1134">
        <v>0.0078269424054679022</v>
      </c>
      <c r="U1134">
        <v>0.076964933653767706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1.5130999999999999</v>
      </c>
      <c r="AB1134">
        <v>2</v>
      </c>
      <c r="AC1134">
        <v>0.01</v>
      </c>
      <c r="AD1134">
        <v>0.01099879013308536</v>
      </c>
      <c r="AE1134">
        <v>5400</v>
      </c>
      <c r="AF1134">
        <v>400000</v>
      </c>
      <c r="AG1134">
        <v>33333.333333333336</v>
      </c>
      <c r="AH1134">
        <v>1</v>
      </c>
      <c r="AI1134">
        <v>1</v>
      </c>
      <c r="AJ1134" t="s">
        <v>136</v>
      </c>
      <c r="AK1134" t="s">
        <v>137</v>
      </c>
      <c r="AL1134">
        <v>0</v>
      </c>
      <c r="AM1134" t="s">
        <v>137</v>
      </c>
      <c r="AN1134">
        <v>0</v>
      </c>
    </row>
    <row r="1135" spans="1:42" ht="12.75">
      <c r="A1135" s="2" t="str">
        <f>HYPERLINK("https://ibp.a2mac1.com/costing(costing:projects/details/8191/process/6975980)","MANUFACTURING  PROCESS")</f>
        <v>MANUFACTURING  PROCESS</v>
      </c>
      <c r="B1135" t="s">
        <v>6354</v>
      </c>
      <c r="C1135">
        <v>6975980</v>
      </c>
      <c r="D1135">
        <v>5389525</v>
      </c>
      <c r="E1135">
        <v>0.58277266666666672</v>
      </c>
      <c r="F1135">
        <v>0</v>
      </c>
      <c r="G1135">
        <v>0</v>
      </c>
      <c r="H1135">
        <v>7.2846583333333338E-05</v>
      </c>
      <c r="I1135" t="s">
        <v>137</v>
      </c>
      <c r="J1135">
        <v>0.023178458333333332</v>
      </c>
      <c r="K1135">
        <v>0.60602397158333332</v>
      </c>
      <c r="L1135">
        <v>0.0081787144122335721</v>
      </c>
      <c r="M1135">
        <v>0.049072286473401429</v>
      </c>
      <c r="N1135">
        <v>0.65509625805673477</v>
      </c>
      <c r="O1135" t="s">
        <v>138</v>
      </c>
      <c r="P1135">
        <v>0.036361438295</v>
      </c>
      <c r="Q1135" t="s">
        <v>138</v>
      </c>
      <c r="R1135">
        <v>0.0029443371884040857</v>
      </c>
      <c r="S1135" t="s">
        <v>139</v>
      </c>
      <c r="T1135">
        <v>0.078611550966808177</v>
      </c>
      <c r="U1135">
        <v>0.77301358450694702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2.9266899999999998</v>
      </c>
      <c r="AB1135">
        <v>2</v>
      </c>
      <c r="AC1135">
        <v>0.01</v>
      </c>
      <c r="AD1135">
        <v>0.01099879013308536</v>
      </c>
      <c r="AE1135">
        <v>5400</v>
      </c>
      <c r="AF1135">
        <v>400000</v>
      </c>
      <c r="AG1135">
        <v>33333.333333333336</v>
      </c>
      <c r="AH1135">
        <v>1</v>
      </c>
      <c r="AI1135">
        <v>1</v>
      </c>
      <c r="AJ1135" t="s">
        <v>136</v>
      </c>
      <c r="AK1135" t="s">
        <v>137</v>
      </c>
      <c r="AL1135">
        <v>0</v>
      </c>
      <c r="AM1135" t="s">
        <v>137</v>
      </c>
      <c r="AN1135">
        <v>0</v>
      </c>
    </row>
    <row r="1136" spans="1:42" ht="12.75">
      <c r="A1136" s="2" t="str">
        <f>HYPERLINK("https://ibp.a2mac1.com/costing(costing:projects/details/8191/process/6975992)","MANUFACTURING  PROCESS")</f>
        <v>MANUFACTURING  PROCESS</v>
      </c>
      <c r="B1136" t="s">
        <v>6354</v>
      </c>
      <c r="C1136">
        <v>6975992</v>
      </c>
      <c r="D1136">
        <v>5389526</v>
      </c>
      <c r="E1136">
        <v>0.94140199999999996</v>
      </c>
      <c r="F1136">
        <v>0</v>
      </c>
      <c r="G1136">
        <v>0</v>
      </c>
      <c r="H1136">
        <v>0.00011767525</v>
      </c>
      <c r="I1136" t="s">
        <v>137</v>
      </c>
      <c r="J1136">
        <v>0.037442125</v>
      </c>
      <c r="K1136">
        <v>0.97896180025000001</v>
      </c>
      <c r="L1136">
        <v>0.0081787144122335721</v>
      </c>
      <c r="M1136">
        <v>0.049072286473401429</v>
      </c>
      <c r="N1136">
        <v>1.0280340867234015</v>
      </c>
      <c r="O1136" t="s">
        <v>138</v>
      </c>
      <c r="P1136">
        <v>0.058737708015000001</v>
      </c>
      <c r="Q1136" t="s">
        <v>138</v>
      </c>
      <c r="R1136">
        <v>0.0029443371884040857</v>
      </c>
      <c r="S1136" t="s">
        <v>139</v>
      </c>
      <c r="T1136">
        <v>0.12336409040680817</v>
      </c>
      <c r="U1136">
        <v>1.2130802223336137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2.9266899999999998</v>
      </c>
      <c r="AB1136">
        <v>2</v>
      </c>
      <c r="AC1136">
        <v>0.01</v>
      </c>
      <c r="AD1136">
        <v>0.01099879013308536</v>
      </c>
      <c r="AE1136">
        <v>5400</v>
      </c>
      <c r="AF1136">
        <v>400000</v>
      </c>
      <c r="AG1136">
        <v>33333.333333333336</v>
      </c>
      <c r="AH1136">
        <v>1</v>
      </c>
      <c r="AI1136">
        <v>1</v>
      </c>
      <c r="AJ1136" t="s">
        <v>136</v>
      </c>
      <c r="AK1136" t="s">
        <v>137</v>
      </c>
      <c r="AL1136">
        <v>0</v>
      </c>
      <c r="AM1136" t="s">
        <v>137</v>
      </c>
      <c r="AN1136">
        <v>0</v>
      </c>
    </row>
    <row r="1137" spans="1:42" ht="12.75">
      <c r="A1137" s="2" t="str">
        <f>HYPERLINK("https://ibp.a2mac1.com/costing(costing:projects/details/8191/process/6975993)","MANUFACTURING  PROCESS")</f>
        <v>MANUFACTURING  PROCESS</v>
      </c>
      <c r="B1137" t="s">
        <v>6354</v>
      </c>
      <c r="C1137">
        <v>6975993</v>
      </c>
      <c r="D1137">
        <v>5389527</v>
      </c>
      <c r="E1137">
        <v>0.93773419999999996</v>
      </c>
      <c r="F1137">
        <v>0</v>
      </c>
      <c r="G1137">
        <v>0</v>
      </c>
      <c r="H1137">
        <v>0.00011335248571428571</v>
      </c>
      <c r="I1137" t="s">
        <v>137</v>
      </c>
      <c r="J1137">
        <v>0.0360667</v>
      </c>
      <c r="K1137">
        <v>0.97391425248571428</v>
      </c>
      <c r="L1137">
        <v>0.0081787144122335721</v>
      </c>
      <c r="M1137">
        <v>0.049072286473401429</v>
      </c>
      <c r="N1137">
        <v>1.0229865389591157</v>
      </c>
      <c r="O1137" t="s">
        <v>138</v>
      </c>
      <c r="P1137">
        <v>0.058434855149142859</v>
      </c>
      <c r="Q1137" t="s">
        <v>138</v>
      </c>
      <c r="R1137">
        <v>0.0029443371884040857</v>
      </c>
      <c r="S1137" t="s">
        <v>139</v>
      </c>
      <c r="T1137">
        <v>0.12275838467509388</v>
      </c>
      <c r="U1137">
        <v>1.2071241159717565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2.9266899999999998</v>
      </c>
      <c r="AB1137">
        <v>2</v>
      </c>
      <c r="AC1137">
        <v>0.01</v>
      </c>
      <c r="AD1137">
        <v>0.01099879013308536</v>
      </c>
      <c r="AE1137">
        <v>5400</v>
      </c>
      <c r="AF1137">
        <v>400000</v>
      </c>
      <c r="AG1137">
        <v>33333.333333333336</v>
      </c>
      <c r="AH1137">
        <v>1</v>
      </c>
      <c r="AI1137">
        <v>1</v>
      </c>
      <c r="AJ1137" t="s">
        <v>136</v>
      </c>
      <c r="AK1137" t="s">
        <v>137</v>
      </c>
      <c r="AL1137">
        <v>0</v>
      </c>
      <c r="AM1137" t="s">
        <v>137</v>
      </c>
      <c r="AN1137">
        <v>0</v>
      </c>
    </row>
    <row r="1138" spans="1:42" ht="12.75">
      <c r="A1138" s="2" t="str">
        <f>HYPERLINK("https://ibp.a2mac1.com/costing(costing:projects/details/8191/process/6975994)","MANUFACTURING  PROCESS")</f>
        <v>MANUFACTURING  PROCESS</v>
      </c>
      <c r="B1138" t="s">
        <v>6354</v>
      </c>
      <c r="C1138">
        <v>6975994</v>
      </c>
      <c r="D1138">
        <v>5389528</v>
      </c>
      <c r="E1138">
        <v>0.59560996666666666</v>
      </c>
      <c r="F1138">
        <v>0</v>
      </c>
      <c r="G1138">
        <v>0</v>
      </c>
      <c r="H1138">
        <v>8.2933033333333327E-05</v>
      </c>
      <c r="I1138" t="s">
        <v>137</v>
      </c>
      <c r="J1138">
        <v>0.026387783333333335</v>
      </c>
      <c r="K1138">
        <v>0.6220806830333333</v>
      </c>
      <c r="L1138">
        <v>0.0081787144122335721</v>
      </c>
      <c r="M1138">
        <v>0.049072286473401429</v>
      </c>
      <c r="N1138">
        <v>0.67115296950673475</v>
      </c>
      <c r="O1138" t="s">
        <v>138</v>
      </c>
      <c r="P1138">
        <v>0.037324840982</v>
      </c>
      <c r="Q1138" t="s">
        <v>138</v>
      </c>
      <c r="R1138">
        <v>0.0029443371884040857</v>
      </c>
      <c r="S1138" t="s">
        <v>139</v>
      </c>
      <c r="T1138">
        <v>0.080538356340808165</v>
      </c>
      <c r="U1138">
        <v>0.79196050401794704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2.9266899999999998</v>
      </c>
      <c r="AB1138">
        <v>2</v>
      </c>
      <c r="AC1138">
        <v>0.01</v>
      </c>
      <c r="AD1138">
        <v>0.01099879013308536</v>
      </c>
      <c r="AE1138">
        <v>5400</v>
      </c>
      <c r="AF1138">
        <v>400000</v>
      </c>
      <c r="AG1138">
        <v>33333.333333333336</v>
      </c>
      <c r="AH1138">
        <v>1</v>
      </c>
      <c r="AI1138">
        <v>1</v>
      </c>
      <c r="AJ1138" t="s">
        <v>136</v>
      </c>
      <c r="AK1138" t="s">
        <v>137</v>
      </c>
      <c r="AL1138">
        <v>0</v>
      </c>
      <c r="AM1138" t="s">
        <v>137</v>
      </c>
      <c r="AN1138">
        <v>0</v>
      </c>
    </row>
    <row r="1139" spans="1:42" ht="12.75">
      <c r="A1139" s="2" t="str">
        <f>HYPERLINK("https://ibp.a2mac1.com/costing(costing:projects/details/8191/process/6975995)","MANUFACTURING  PROCESS")</f>
        <v>MANUFACTURING  PROCESS</v>
      </c>
      <c r="B1139" t="s">
        <v>6354</v>
      </c>
      <c r="C1139">
        <v>6975995</v>
      </c>
      <c r="D1139">
        <v>5389529</v>
      </c>
      <c r="E1139">
        <v>0.21042826923076924</v>
      </c>
      <c r="F1139">
        <v>0</v>
      </c>
      <c r="G1139">
        <v>0</v>
      </c>
      <c r="H1139">
        <v>2.5862692307692308E-05</v>
      </c>
      <c r="I1139" t="s">
        <v>137</v>
      </c>
      <c r="J1139">
        <v>0.0082290384615384612</v>
      </c>
      <c r="K1139">
        <v>0.21868317038461538</v>
      </c>
      <c r="L1139">
        <v>0.0060085096525124091</v>
      </c>
      <c r="M1139">
        <v>0.036051057915074451</v>
      </c>
      <c r="N1139">
        <v>0.25473422829968984</v>
      </c>
      <c r="O1139" t="s">
        <v>138</v>
      </c>
      <c r="P1139">
        <v>0.013120990223076922</v>
      </c>
      <c r="Q1139" t="s">
        <v>138</v>
      </c>
      <c r="R1139">
        <v>0.0021630634749044671</v>
      </c>
      <c r="S1139" t="s">
        <v>139</v>
      </c>
      <c r="T1139">
        <v>0.030568107395962781</v>
      </c>
      <c r="U1139">
        <v>0.30058638939363402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2.0560499999999999</v>
      </c>
      <c r="AB1139">
        <v>2</v>
      </c>
      <c r="AC1139">
        <v>0.01</v>
      </c>
      <c r="AD1139">
        <v>0.01099879013308536</v>
      </c>
      <c r="AE1139">
        <v>5400</v>
      </c>
      <c r="AF1139">
        <v>400000</v>
      </c>
      <c r="AG1139">
        <v>33333.333333333336</v>
      </c>
      <c r="AH1139">
        <v>1</v>
      </c>
      <c r="AI1139">
        <v>1</v>
      </c>
      <c r="AJ1139" t="s">
        <v>136</v>
      </c>
      <c r="AK1139" t="s">
        <v>137</v>
      </c>
      <c r="AL1139">
        <v>0</v>
      </c>
      <c r="AM1139" t="s">
        <v>137</v>
      </c>
      <c r="AN1139">
        <v>0</v>
      </c>
    </row>
    <row r="1140" spans="1:42" ht="12.75">
      <c r="A1140" s="2" t="str">
        <f>HYPERLINK("https://ibp.a2mac1.com/costing(costing:projects/details/8191/process/6975996)","MANUFACTURING  PROCESS")</f>
        <v>MANUFACTURING  PROCESS</v>
      </c>
      <c r="B1140" t="s">
        <v>6354</v>
      </c>
      <c r="C1140">
        <v>6975996</v>
      </c>
      <c r="D1140">
        <v>5389530</v>
      </c>
      <c r="E1140">
        <v>0.70666280000000004</v>
      </c>
      <c r="F1140">
        <v>0</v>
      </c>
      <c r="G1140">
        <v>0</v>
      </c>
      <c r="H1140">
        <v>9.1450480000000007E-05</v>
      </c>
      <c r="I1140" t="s">
        <v>137</v>
      </c>
      <c r="J1140">
        <v>0.02909788</v>
      </c>
      <c r="K1140">
        <v>0.73585213047999998</v>
      </c>
      <c r="L1140">
        <v>0.0081787144122335721</v>
      </c>
      <c r="M1140">
        <v>0.049072286473401429</v>
      </c>
      <c r="N1140">
        <v>0.78492441695340143</v>
      </c>
      <c r="O1140" t="s">
        <v>138</v>
      </c>
      <c r="P1140">
        <v>0.044151127828799999</v>
      </c>
      <c r="Q1140" t="s">
        <v>138</v>
      </c>
      <c r="R1140">
        <v>0.0029443371884040857</v>
      </c>
      <c r="S1140" t="s">
        <v>139</v>
      </c>
      <c r="T1140">
        <v>0.094190930034408177</v>
      </c>
      <c r="U1140">
        <v>0.92621081200501365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2.9266899999999998</v>
      </c>
      <c r="AB1140">
        <v>2</v>
      </c>
      <c r="AC1140">
        <v>0.01</v>
      </c>
      <c r="AD1140">
        <v>0.01099879013308536</v>
      </c>
      <c r="AE1140">
        <v>5400</v>
      </c>
      <c r="AF1140">
        <v>400000</v>
      </c>
      <c r="AG1140">
        <v>33333.333333333336</v>
      </c>
      <c r="AH1140">
        <v>1</v>
      </c>
      <c r="AI1140">
        <v>1</v>
      </c>
      <c r="AJ1140" t="s">
        <v>136</v>
      </c>
      <c r="AK1140" t="s">
        <v>137</v>
      </c>
      <c r="AL1140">
        <v>0</v>
      </c>
      <c r="AM1140" t="s">
        <v>137</v>
      </c>
      <c r="AN1140">
        <v>0</v>
      </c>
    </row>
    <row r="1141" spans="1:42" ht="12.75">
      <c r="A1141" s="2" t="str">
        <f>HYPERLINK("https://ibp.a2mac1.com/costing(costing:projects/details/8191/process/6975997)","MANUFACTURING  PROCESS")</f>
        <v>MANUFACTURING  PROCESS</v>
      </c>
      <c r="B1141" t="s">
        <v>6354</v>
      </c>
      <c r="C1141">
        <v>6975997</v>
      </c>
      <c r="D1141">
        <v>5389531</v>
      </c>
      <c r="E1141">
        <v>0.1057549</v>
      </c>
      <c r="F1141">
        <v>0</v>
      </c>
      <c r="G1141">
        <v>0</v>
      </c>
      <c r="H1141">
        <v>1.34486E-05</v>
      </c>
      <c r="I1141" t="s">
        <v>137</v>
      </c>
      <c r="J1141">
        <v>0.0042791000000000001</v>
      </c>
      <c r="K1141">
        <v>0.1100474486</v>
      </c>
      <c r="L1141">
        <v>0.0046551228631498652</v>
      </c>
      <c r="M1141">
        <v>0.027930737178899191</v>
      </c>
      <c r="N1141">
        <v>0.1379781857788992</v>
      </c>
      <c r="O1141" t="s">
        <v>138</v>
      </c>
      <c r="P1141">
        <v>0.0066028469159999997</v>
      </c>
      <c r="Q1141" t="s">
        <v>138</v>
      </c>
      <c r="R1141">
        <v>0.0016758442307339514</v>
      </c>
      <c r="S1141" t="s">
        <v>139</v>
      </c>
      <c r="T1141">
        <v>0.016557382293467902</v>
      </c>
      <c r="U1141">
        <v>0.16281425921910103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1.5130999999999999</v>
      </c>
      <c r="AB1141">
        <v>2</v>
      </c>
      <c r="AC1141">
        <v>0.01</v>
      </c>
      <c r="AD1141">
        <v>0.01099879013308536</v>
      </c>
      <c r="AE1141">
        <v>5400</v>
      </c>
      <c r="AF1141">
        <v>400000</v>
      </c>
      <c r="AG1141">
        <v>33333.333333333336</v>
      </c>
      <c r="AH1141">
        <v>1</v>
      </c>
      <c r="AI1141">
        <v>1</v>
      </c>
      <c r="AJ1141" t="s">
        <v>136</v>
      </c>
      <c r="AK1141" t="s">
        <v>137</v>
      </c>
      <c r="AL1141">
        <v>0</v>
      </c>
      <c r="AM1141" t="s">
        <v>137</v>
      </c>
      <c r="AN1141">
        <v>0</v>
      </c>
    </row>
    <row r="1142" spans="1:42" ht="12.75">
      <c r="A1142" s="2" t="str">
        <f>HYPERLINK("https://ibp.a2mac1.com/costing(costing:projects/details/8191/process/6975998)","MANUFACTURING  PROCESS")</f>
        <v>MANUFACTURING  PROCESS</v>
      </c>
      <c r="B1142" t="s">
        <v>6354</v>
      </c>
      <c r="C1142">
        <v>6975998</v>
      </c>
      <c r="D1142">
        <v>5389532</v>
      </c>
      <c r="E1142">
        <v>0.15083827499999999</v>
      </c>
      <c r="F1142">
        <v>0</v>
      </c>
      <c r="G1142">
        <v>0</v>
      </c>
      <c r="H1142">
        <v>1.7651287500000001E-05</v>
      </c>
      <c r="I1142" t="s">
        <v>137</v>
      </c>
      <c r="J1142">
        <v>0.00561631875</v>
      </c>
      <c r="K1142">
        <v>0.15647224503750001</v>
      </c>
      <c r="L1142">
        <v>0.028427320066339194</v>
      </c>
      <c r="M1142">
        <v>0.17056392039803517</v>
      </c>
      <c r="N1142">
        <v>0.32703616543553515</v>
      </c>
      <c r="O1142" t="s">
        <v>138</v>
      </c>
      <c r="P1142">
        <v>0.0093883347022499994</v>
      </c>
      <c r="Q1142" t="s">
        <v>138</v>
      </c>
      <c r="R1142">
        <v>0.010233835223882109</v>
      </c>
      <c r="S1142" t="s">
        <v>139</v>
      </c>
      <c r="T1142">
        <v>0.039244339852264221</v>
      </c>
      <c r="U1142">
        <v>0.38590267521393151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11.05</v>
      </c>
      <c r="AB1142">
        <v>2</v>
      </c>
      <c r="AC1142">
        <v>0.01</v>
      </c>
      <c r="AD1142">
        <v>0.01099879013308536</v>
      </c>
      <c r="AE1142">
        <v>5400</v>
      </c>
      <c r="AF1142">
        <v>400000</v>
      </c>
      <c r="AG1142">
        <v>33333.333333333336</v>
      </c>
      <c r="AH1142">
        <v>1</v>
      </c>
      <c r="AI1142">
        <v>1</v>
      </c>
      <c r="AJ1142" t="s">
        <v>136</v>
      </c>
      <c r="AK1142" t="s">
        <v>137</v>
      </c>
      <c r="AL1142">
        <v>0</v>
      </c>
      <c r="AM1142" t="s">
        <v>137</v>
      </c>
      <c r="AN1142">
        <v>0</v>
      </c>
    </row>
    <row r="1143" spans="1:42" ht="12.75">
      <c r="A1143" s="2" t="str">
        <f>HYPERLINK("https://ibp.a2mac1.com/costing(costing:projects/details/8191/process/6975999)","MANUFACTURING  PROCESS")</f>
        <v>MANUFACTURING  PROCESS</v>
      </c>
      <c r="B1143" t="s">
        <v>6354</v>
      </c>
      <c r="C1143">
        <v>6975999</v>
      </c>
      <c r="D1143">
        <v>5389533</v>
      </c>
      <c r="E1143">
        <v>0.2151776</v>
      </c>
      <c r="F1143">
        <v>0</v>
      </c>
      <c r="G1143">
        <v>0</v>
      </c>
      <c r="H1143">
        <v>2.6897200000000001E-05</v>
      </c>
      <c r="I1143" t="s">
        <v>137</v>
      </c>
      <c r="J1143">
        <v>0.0085582000000000002</v>
      </c>
      <c r="K1143">
        <v>0.2237626972</v>
      </c>
      <c r="L1143">
        <v>0.0060085096525124091</v>
      </c>
      <c r="M1143">
        <v>0.036051057915074451</v>
      </c>
      <c r="N1143">
        <v>0.25981375511507443</v>
      </c>
      <c r="O1143" t="s">
        <v>138</v>
      </c>
      <c r="P1143">
        <v>0.013425761832</v>
      </c>
      <c r="Q1143" t="s">
        <v>138</v>
      </c>
      <c r="R1143">
        <v>0.0021630634749044671</v>
      </c>
      <c r="S1143" t="s">
        <v>139</v>
      </c>
      <c r="T1143">
        <v>0.031177650613808935</v>
      </c>
      <c r="U1143">
        <v>0.30658023103578785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2.0560499999999999</v>
      </c>
      <c r="AB1143">
        <v>2</v>
      </c>
      <c r="AC1143">
        <v>0.01</v>
      </c>
      <c r="AD1143">
        <v>0.01099879013308536</v>
      </c>
      <c r="AE1143">
        <v>5400</v>
      </c>
      <c r="AF1143">
        <v>400000</v>
      </c>
      <c r="AG1143">
        <v>33333.333333333336</v>
      </c>
      <c r="AH1143">
        <v>1</v>
      </c>
      <c r="AI1143">
        <v>1</v>
      </c>
      <c r="AJ1143" t="s">
        <v>136</v>
      </c>
      <c r="AK1143" t="s">
        <v>137</v>
      </c>
      <c r="AL1143">
        <v>0</v>
      </c>
      <c r="AM1143" t="s">
        <v>137</v>
      </c>
      <c r="AN1143">
        <v>0</v>
      </c>
    </row>
    <row r="1144" spans="1:42" ht="12.75">
      <c r="A1144" s="2" t="str">
        <f>HYPERLINK("https://ibp.a2mac1.com/costing(costing:projects/details/8191/process/6976000)","MANUFACTURING  PROCESS")</f>
        <v>MANUFACTURING  PROCESS</v>
      </c>
      <c r="B1144" t="s">
        <v>6354</v>
      </c>
      <c r="C1144">
        <v>6976000</v>
      </c>
      <c r="D1144">
        <v>5389534</v>
      </c>
      <c r="E1144">
        <v>0.27880837272727271</v>
      </c>
      <c r="F1144">
        <v>0</v>
      </c>
      <c r="G1144">
        <v>0</v>
      </c>
      <c r="H1144">
        <v>3.5455399999999999E-05</v>
      </c>
      <c r="I1144" t="s">
        <v>137</v>
      </c>
      <c r="J1144">
        <v>0.011281263636363637</v>
      </c>
      <c r="K1144">
        <v>0.29012509176363638</v>
      </c>
      <c r="L1144">
        <v>0.0060085096525124091</v>
      </c>
      <c r="M1144">
        <v>0.036051057915074451</v>
      </c>
      <c r="N1144">
        <v>0.32617614967871084</v>
      </c>
      <c r="O1144" t="s">
        <v>138</v>
      </c>
      <c r="P1144">
        <v>0.017407505505818183</v>
      </c>
      <c r="Q1144" t="s">
        <v>138</v>
      </c>
      <c r="R1144">
        <v>0.0021630634749044671</v>
      </c>
      <c r="S1144" t="s">
        <v>139</v>
      </c>
      <c r="T1144">
        <v>0.039141137961445298</v>
      </c>
      <c r="U1144">
        <v>0.38488785662087877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2.0560499999999999</v>
      </c>
      <c r="AB1144">
        <v>2</v>
      </c>
      <c r="AC1144">
        <v>0.01</v>
      </c>
      <c r="AD1144">
        <v>0.01099879013308536</v>
      </c>
      <c r="AE1144">
        <v>5400</v>
      </c>
      <c r="AF1144">
        <v>400000</v>
      </c>
      <c r="AG1144">
        <v>33333.333333333336</v>
      </c>
      <c r="AH1144">
        <v>1</v>
      </c>
      <c r="AI1144">
        <v>1</v>
      </c>
      <c r="AJ1144" t="s">
        <v>136</v>
      </c>
      <c r="AK1144" t="s">
        <v>137</v>
      </c>
      <c r="AL1144">
        <v>0</v>
      </c>
      <c r="AM1144" t="s">
        <v>137</v>
      </c>
      <c r="AN1144">
        <v>0</v>
      </c>
    </row>
    <row r="1145" spans="1:42" ht="12.75">
      <c r="A1145" s="2" t="str">
        <f>HYPERLINK("https://ibp.a2mac1.com/costing(costing:projects/details/8191/process/6976001)","MANUFACTURING  PROCESS")</f>
        <v>MANUFACTURING  PROCESS</v>
      </c>
      <c r="B1145" t="s">
        <v>6354</v>
      </c>
      <c r="C1145">
        <v>6976001</v>
      </c>
      <c r="D1145">
        <v>5389535</v>
      </c>
      <c r="E1145">
        <v>0.78898453333333329</v>
      </c>
      <c r="F1145">
        <v>0</v>
      </c>
      <c r="G1145">
        <v>0</v>
      </c>
      <c r="H1145">
        <v>9.8623066666666661E-05</v>
      </c>
      <c r="I1145" t="s">
        <v>137</v>
      </c>
      <c r="J1145">
        <v>0.031380066666666664</v>
      </c>
      <c r="K1145">
        <v>0.82046322306666664</v>
      </c>
      <c r="L1145">
        <v>0.0081787144122335721</v>
      </c>
      <c r="M1145">
        <v>0.049072286473401429</v>
      </c>
      <c r="N1145">
        <v>0.86953550954006809</v>
      </c>
      <c r="O1145" t="s">
        <v>138</v>
      </c>
      <c r="P1145">
        <v>0.049227793383999997</v>
      </c>
      <c r="Q1145" t="s">
        <v>138</v>
      </c>
      <c r="R1145">
        <v>0.0029443371884040857</v>
      </c>
      <c r="S1145" t="s">
        <v>139</v>
      </c>
      <c r="T1145">
        <v>0.10434426114480817</v>
      </c>
      <c r="U1145">
        <v>1.0260519012572804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2.9266899999999998</v>
      </c>
      <c r="AB1145">
        <v>2</v>
      </c>
      <c r="AC1145">
        <v>0.01</v>
      </c>
      <c r="AD1145">
        <v>0.01099879013308536</v>
      </c>
      <c r="AE1145">
        <v>5400</v>
      </c>
      <c r="AF1145">
        <v>400000</v>
      </c>
      <c r="AG1145">
        <v>33333.333333333336</v>
      </c>
      <c r="AH1145">
        <v>1</v>
      </c>
      <c r="AI1145">
        <v>1</v>
      </c>
      <c r="AJ1145" t="s">
        <v>136</v>
      </c>
      <c r="AK1145" t="s">
        <v>137</v>
      </c>
      <c r="AL1145">
        <v>0</v>
      </c>
      <c r="AM1145" t="s">
        <v>137</v>
      </c>
      <c r="AN1145">
        <v>0</v>
      </c>
    </row>
    <row r="1146" spans="1:42" ht="12.75">
      <c r="A1146" s="2" t="str">
        <f>HYPERLINK("https://ibp.a2mac1.com/costing(costing:projects/details/8191/process/6976002)","MANUFACTURING  PROCESS")</f>
        <v>MANUFACTURING  PROCESS</v>
      </c>
      <c r="B1146" t="s">
        <v>6354</v>
      </c>
      <c r="C1146">
        <v>6976002</v>
      </c>
      <c r="D1146">
        <v>5389536</v>
      </c>
      <c r="E1146">
        <v>0.050279425000000003</v>
      </c>
      <c r="F1146">
        <v>0</v>
      </c>
      <c r="G1146">
        <v>0</v>
      </c>
      <c r="H1146">
        <v>5.8837625000000002E-06</v>
      </c>
      <c r="I1146" t="s">
        <v>137</v>
      </c>
      <c r="J1146">
        <v>0.00187210625</v>
      </c>
      <c r="K1146">
        <v>0.0521574150125</v>
      </c>
      <c r="L1146">
        <v>0.11105881848676158</v>
      </c>
      <c r="M1146">
        <v>0.66635291092056947</v>
      </c>
      <c r="N1146">
        <v>0.71851032593306952</v>
      </c>
      <c r="O1146" t="s">
        <v>138</v>
      </c>
      <c r="P1146">
        <v>0.0031294449007500001</v>
      </c>
      <c r="Q1146" t="s">
        <v>138</v>
      </c>
      <c r="R1146">
        <v>0.039981174655234167</v>
      </c>
      <c r="S1146" t="s">
        <v>139</v>
      </c>
      <c r="T1146">
        <v>0.086221239111968342</v>
      </c>
      <c r="U1146">
        <v>0.84784218460102201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22.10</v>
      </c>
      <c r="AB1146">
        <v>1</v>
      </c>
      <c r="AC1146">
        <v>0.01</v>
      </c>
      <c r="AD1146">
        <v>0.01099879013308536</v>
      </c>
      <c r="AE1146">
        <v>5400</v>
      </c>
      <c r="AF1146">
        <v>400000</v>
      </c>
      <c r="AG1146">
        <v>33333.333333333336</v>
      </c>
      <c r="AH1146">
        <v>1</v>
      </c>
      <c r="AI1146">
        <v>1</v>
      </c>
      <c r="AJ1146" t="s">
        <v>136</v>
      </c>
      <c r="AK1146" t="s">
        <v>137</v>
      </c>
      <c r="AL1146">
        <v>0</v>
      </c>
      <c r="AM1146" t="s">
        <v>137</v>
      </c>
      <c r="AN1146">
        <v>0</v>
      </c>
    </row>
    <row r="1147" spans="1:42" ht="12.75">
      <c r="A1147" s="2" t="str">
        <f>HYPERLINK("https://ibp.a2mac1.com/costing(costing:projects/details/8191/process/6976003)","MANUFACTURING  PROCESS")</f>
        <v>MANUFACTURING  PROCESS</v>
      </c>
      <c r="B1147" t="s">
        <v>6354</v>
      </c>
      <c r="C1147">
        <v>6976003</v>
      </c>
      <c r="D1147">
        <v>5389537</v>
      </c>
      <c r="E1147">
        <v>0.050279425000000003</v>
      </c>
      <c r="F1147">
        <v>0</v>
      </c>
      <c r="G1147">
        <v>0</v>
      </c>
      <c r="H1147">
        <v>5.8837625000000002E-06</v>
      </c>
      <c r="I1147" t="s">
        <v>137</v>
      </c>
      <c r="J1147">
        <v>0.00187210625</v>
      </c>
      <c r="K1147">
        <v>0.0521574150125</v>
      </c>
      <c r="L1147">
        <v>0.11105881848676158</v>
      </c>
      <c r="M1147">
        <v>0.66635291092056947</v>
      </c>
      <c r="N1147">
        <v>0.71851032593306952</v>
      </c>
      <c r="O1147" t="s">
        <v>138</v>
      </c>
      <c r="P1147">
        <v>0.0031294449007500001</v>
      </c>
      <c r="Q1147" t="s">
        <v>138</v>
      </c>
      <c r="R1147">
        <v>0.039981174655234167</v>
      </c>
      <c r="S1147" t="s">
        <v>139</v>
      </c>
      <c r="T1147">
        <v>0.086221239111968342</v>
      </c>
      <c r="U1147">
        <v>0.84784218460102201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22.10</v>
      </c>
      <c r="AB1147">
        <v>1</v>
      </c>
      <c r="AC1147">
        <v>0.01</v>
      </c>
      <c r="AD1147">
        <v>0.01099879013308536</v>
      </c>
      <c r="AE1147">
        <v>5400</v>
      </c>
      <c r="AF1147">
        <v>400000</v>
      </c>
      <c r="AG1147">
        <v>33333.333333333336</v>
      </c>
      <c r="AH1147">
        <v>1</v>
      </c>
      <c r="AI1147">
        <v>1</v>
      </c>
      <c r="AJ1147" t="s">
        <v>136</v>
      </c>
      <c r="AK1147" t="s">
        <v>137</v>
      </c>
      <c r="AL1147">
        <v>0</v>
      </c>
      <c r="AM1147" t="s">
        <v>137</v>
      </c>
      <c r="AN1147">
        <v>0</v>
      </c>
    </row>
    <row r="1148" spans="1:42" ht="12.75">
      <c r="A1148" s="2" t="str">
        <f>HYPERLINK("https://ibp.a2mac1.com/costing(costing:projects/details/8191/process/6976004)","MANUFACTURING  PROCESS")</f>
        <v>MANUFACTURING  PROCESS</v>
      </c>
      <c r="B1148" t="s">
        <v>6354</v>
      </c>
      <c r="C1148">
        <v>6976004</v>
      </c>
      <c r="D1148">
        <v>5389538</v>
      </c>
      <c r="E1148">
        <v>2.5765739272727273</v>
      </c>
      <c r="F1148">
        <v>0</v>
      </c>
      <c r="G1148">
        <v>0</v>
      </c>
      <c r="H1148">
        <v>0.00041701774545454547</v>
      </c>
      <c r="I1148" t="s">
        <v>137</v>
      </c>
      <c r="J1148">
        <v>0.10425443636363636</v>
      </c>
      <c r="K1148">
        <v>2.6812453813818182</v>
      </c>
      <c r="L1148">
        <v>0.062248268758096685</v>
      </c>
      <c r="M1148">
        <v>0.3734896125485801</v>
      </c>
      <c r="N1148">
        <v>3.0547349939303983</v>
      </c>
      <c r="O1148" t="s">
        <v>138</v>
      </c>
      <c r="P1148">
        <v>0.1608747228829091</v>
      </c>
      <c r="Q1148" t="s">
        <v>138</v>
      </c>
      <c r="R1148">
        <v>0.022409376752914805</v>
      </c>
      <c r="S1148" t="s">
        <v>139</v>
      </c>
      <c r="T1148">
        <v>0.3665681992716478</v>
      </c>
      <c r="U1148">
        <v>3.6045872928378699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12.13153</v>
      </c>
      <c r="AB1148">
        <v>1</v>
      </c>
      <c r="AC1148">
        <v>0.01</v>
      </c>
      <c r="AD1148">
        <v>0.013998040274361589</v>
      </c>
      <c r="AE1148">
        <v>5400</v>
      </c>
      <c r="AF1148">
        <v>200000</v>
      </c>
      <c r="AG1148">
        <v>16666.666666666668</v>
      </c>
      <c r="AH1148">
        <v>1</v>
      </c>
      <c r="AI1148">
        <v>1</v>
      </c>
      <c r="AJ1148" t="s">
        <v>136</v>
      </c>
      <c r="AK1148" t="s">
        <v>137</v>
      </c>
      <c r="AL1148">
        <v>0</v>
      </c>
      <c r="AM1148" t="s">
        <v>137</v>
      </c>
      <c r="AN1148">
        <v>0</v>
      </c>
    </row>
    <row r="1149" spans="1:42" ht="12.75">
      <c r="A1149" s="2" t="str">
        <f>HYPERLINK("https://ibp.a2mac1.com/costing(costing:projects/details/8191/process/6976152)","MANUFACTURING  PROCESS")</f>
        <v>MANUFACTURING  PROCESS</v>
      </c>
      <c r="B1149" t="s">
        <v>6354</v>
      </c>
      <c r="C1149">
        <v>6976152</v>
      </c>
      <c r="D1149">
        <v>5389729</v>
      </c>
      <c r="E1149">
        <v>0.71827750000000001</v>
      </c>
      <c r="F1149">
        <v>0</v>
      </c>
      <c r="G1149">
        <v>0</v>
      </c>
      <c r="H1149">
        <v>0.0001069775</v>
      </c>
      <c r="I1149" t="s">
        <v>137</v>
      </c>
      <c r="J1149">
        <v>0.026744375000000001</v>
      </c>
      <c r="K1149">
        <v>0.74512885250000005</v>
      </c>
      <c r="L1149">
        <v>0.0090624735196952709</v>
      </c>
      <c r="M1149">
        <v>0.054374841118171625</v>
      </c>
      <c r="N1149">
        <v>0.79950369361817164</v>
      </c>
      <c r="O1149" t="s">
        <v>138</v>
      </c>
      <c r="P1149">
        <v>0.044707731149999999</v>
      </c>
      <c r="Q1149" t="s">
        <v>138</v>
      </c>
      <c r="R1149">
        <v>0.0032624904670902977</v>
      </c>
      <c r="S1149" t="s">
        <v>139</v>
      </c>
      <c r="T1149">
        <v>0.095940443234180592</v>
      </c>
      <c r="U1149">
        <v>0.94341435846944255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2.9266899999999998</v>
      </c>
      <c r="AB1149">
        <v>2</v>
      </c>
      <c r="AC1149">
        <v>0.01</v>
      </c>
      <c r="AD1149">
        <v>0.013998040274361589</v>
      </c>
      <c r="AE1149">
        <v>5400</v>
      </c>
      <c r="AF1149">
        <v>200000</v>
      </c>
      <c r="AG1149">
        <v>16666.666666666668</v>
      </c>
      <c r="AH1149">
        <v>1</v>
      </c>
      <c r="AI1149">
        <v>1</v>
      </c>
      <c r="AJ1149" t="s">
        <v>136</v>
      </c>
      <c r="AK1149" t="s">
        <v>137</v>
      </c>
      <c r="AL1149">
        <v>0</v>
      </c>
      <c r="AM1149" t="s">
        <v>137</v>
      </c>
      <c r="AN1149">
        <v>0</v>
      </c>
    </row>
    <row r="1150" spans="1:42" ht="12.75">
      <c r="A1150" s="2" t="str">
        <f>HYPERLINK("https://ibp.a2mac1.com/costing(costing:projects/details/8191/process/6976153)","MANUFACTURING  PROCESS")</f>
        <v>MANUFACTURING  PROCESS</v>
      </c>
      <c r="B1150" t="s">
        <v>6354</v>
      </c>
      <c r="C1150">
        <v>6976153</v>
      </c>
      <c r="D1150">
        <v>5389730</v>
      </c>
      <c r="E1150">
        <v>0.50208106666666663</v>
      </c>
      <c r="F1150">
        <v>0</v>
      </c>
      <c r="G1150">
        <v>0</v>
      </c>
      <c r="H1150">
        <v>6.2760133333333336E-05</v>
      </c>
      <c r="I1150" t="s">
        <v>137</v>
      </c>
      <c r="J1150">
        <v>0.019969133333333333</v>
      </c>
      <c r="K1150">
        <v>0.5221129601333333</v>
      </c>
      <c r="L1150">
        <v>0.0081787144122335721</v>
      </c>
      <c r="M1150">
        <v>0.049072286473401429</v>
      </c>
      <c r="N1150">
        <v>0.57118524660673475</v>
      </c>
      <c r="O1150" t="s">
        <v>138</v>
      </c>
      <c r="P1150">
        <v>0.031326777607999998</v>
      </c>
      <c r="Q1150" t="s">
        <v>138</v>
      </c>
      <c r="R1150">
        <v>0.0029443371884040857</v>
      </c>
      <c r="S1150" t="s">
        <v>139</v>
      </c>
      <c r="T1150">
        <v>0.068542229592808174</v>
      </c>
      <c r="U1150">
        <v>0.67399859099594706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2.9266899999999998</v>
      </c>
      <c r="AB1150">
        <v>2</v>
      </c>
      <c r="AC1150">
        <v>0.01</v>
      </c>
      <c r="AD1150">
        <v>0.01099879013308536</v>
      </c>
      <c r="AE1150">
        <v>5400</v>
      </c>
      <c r="AF1150">
        <v>400000</v>
      </c>
      <c r="AG1150">
        <v>33333.333333333336</v>
      </c>
      <c r="AH1150">
        <v>1</v>
      </c>
      <c r="AI1150">
        <v>1</v>
      </c>
      <c r="AJ1150" t="s">
        <v>136</v>
      </c>
      <c r="AK1150" t="s">
        <v>137</v>
      </c>
      <c r="AL1150">
        <v>0</v>
      </c>
      <c r="AM1150" t="s">
        <v>137</v>
      </c>
      <c r="AN1150">
        <v>0</v>
      </c>
    </row>
    <row r="1151" spans="1:42" ht="12.75">
      <c r="A1151" s="2" t="str">
        <f>HYPERLINK("https://ibp.a2mac1.com/costing(costing:projects/details/8191/process/6976005)","MANUFACTURING  PROCESS")</f>
        <v>MANUFACTURING  PROCESS</v>
      </c>
      <c r="B1151" t="s">
        <v>6354</v>
      </c>
      <c r="C1151">
        <v>6976005</v>
      </c>
      <c r="D1151">
        <v>5389541</v>
      </c>
      <c r="E1151">
        <v>5.2113943200000001</v>
      </c>
      <c r="F1151">
        <v>0</v>
      </c>
      <c r="G1151">
        <v>0</v>
      </c>
      <c r="H1151">
        <v>0.00065142428999999998</v>
      </c>
      <c r="I1151" t="s">
        <v>137</v>
      </c>
      <c r="J1151">
        <v>0.20727136500000001</v>
      </c>
      <c r="K1151">
        <v>5.4193171092899997</v>
      </c>
      <c r="L1151">
        <v>0.053390781806786566</v>
      </c>
      <c r="M1151">
        <v>0.32034469084071937</v>
      </c>
      <c r="N1151">
        <v>5.7396618001307198</v>
      </c>
      <c r="O1151" t="s">
        <v>138</v>
      </c>
      <c r="P1151">
        <v>0.32515902655739998</v>
      </c>
      <c r="Q1151" t="s">
        <v>138</v>
      </c>
      <c r="R1151">
        <v>0.019220681450443162</v>
      </c>
      <c r="S1151" t="s">
        <v>139</v>
      </c>
      <c r="T1151">
        <v>0.68875941601568635</v>
      </c>
      <c r="U1151">
        <v>6.7728009241542493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21.064810000000001</v>
      </c>
      <c r="AB1151">
        <v>2</v>
      </c>
      <c r="AC1151">
        <v>0.01</v>
      </c>
      <c r="AD1151">
        <v>0.01099879013308536</v>
      </c>
      <c r="AE1151">
        <v>5400</v>
      </c>
      <c r="AF1151">
        <v>400000</v>
      </c>
      <c r="AG1151">
        <v>33333.333333333336</v>
      </c>
      <c r="AH1151">
        <v>1</v>
      </c>
      <c r="AI1151">
        <v>1</v>
      </c>
      <c r="AJ1151" t="s">
        <v>136</v>
      </c>
      <c r="AK1151" t="s">
        <v>137</v>
      </c>
      <c r="AL1151">
        <v>0</v>
      </c>
      <c r="AM1151" t="s">
        <v>137</v>
      </c>
      <c r="AN1151">
        <v>0</v>
      </c>
    </row>
    <row r="1152" spans="1:42" ht="12.75">
      <c r="A1152" s="2" t="str">
        <f>HYPERLINK("https://ibp.a2mac1.com/costing(costing:projects/details/8191/process/6976006)","MANUFACTURING  PROCESS")</f>
        <v>MANUFACTURING  PROCESS</v>
      </c>
      <c r="B1152" t="s">
        <v>6354</v>
      </c>
      <c r="C1152">
        <v>6976006</v>
      </c>
      <c r="D1152">
        <v>5389542</v>
      </c>
      <c r="E1152">
        <v>1.0100556923076922</v>
      </c>
      <c r="F1152">
        <v>0</v>
      </c>
      <c r="G1152">
        <v>0</v>
      </c>
      <c r="H1152">
        <v>0.00012414092307692307</v>
      </c>
      <c r="I1152" t="s">
        <v>137</v>
      </c>
      <c r="J1152">
        <v>0.039499384615384617</v>
      </c>
      <c r="K1152">
        <v>1.0496792178461538</v>
      </c>
      <c r="L1152">
        <v>0.0081787144122335721</v>
      </c>
      <c r="M1152">
        <v>0.049072286473401429</v>
      </c>
      <c r="N1152">
        <v>1.0987515043195553</v>
      </c>
      <c r="O1152" t="s">
        <v>138</v>
      </c>
      <c r="P1152">
        <v>0.062980753070769224</v>
      </c>
      <c r="Q1152" t="s">
        <v>138</v>
      </c>
      <c r="R1152">
        <v>0.0029443371884040857</v>
      </c>
      <c r="S1152" t="s">
        <v>139</v>
      </c>
      <c r="T1152">
        <v>0.13185018051834663</v>
      </c>
      <c r="U1152">
        <v>1.2965267750970753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2.9266899999999998</v>
      </c>
      <c r="AB1152">
        <v>2</v>
      </c>
      <c r="AC1152">
        <v>0.01</v>
      </c>
      <c r="AD1152">
        <v>0.01099879013308536</v>
      </c>
      <c r="AE1152">
        <v>5400</v>
      </c>
      <c r="AF1152">
        <v>400000</v>
      </c>
      <c r="AG1152">
        <v>33333.333333333336</v>
      </c>
      <c r="AH1152">
        <v>1</v>
      </c>
      <c r="AI1152">
        <v>1</v>
      </c>
      <c r="AJ1152" t="s">
        <v>136</v>
      </c>
      <c r="AK1152" t="s">
        <v>137</v>
      </c>
      <c r="AL1152">
        <v>0</v>
      </c>
      <c r="AM1152" t="s">
        <v>137</v>
      </c>
      <c r="AN1152">
        <v>0</v>
      </c>
    </row>
    <row r="1153" spans="1:42" ht="12.75">
      <c r="A1153" s="2" t="str">
        <f>HYPERLINK("https://ibp.a2mac1.com/costing(costing:projects/details/8191/process/6976007)","MANUFACTURING  PROCESS")</f>
        <v>MANUFACTURING  PROCESS</v>
      </c>
      <c r="B1153" t="s">
        <v>6354</v>
      </c>
      <c r="C1153">
        <v>6976007</v>
      </c>
      <c r="D1153">
        <v>5389543</v>
      </c>
      <c r="E1153">
        <v>0.67548649999999999</v>
      </c>
      <c r="F1153">
        <v>0</v>
      </c>
      <c r="G1153">
        <v>0</v>
      </c>
      <c r="H1153">
        <v>8.7415899999999998E-05</v>
      </c>
      <c r="I1153" t="s">
        <v>137</v>
      </c>
      <c r="J1153">
        <v>0.027814149999999999</v>
      </c>
      <c r="K1153">
        <v>0.70338806590000003</v>
      </c>
      <c r="L1153">
        <v>0.0081787144122335721</v>
      </c>
      <c r="M1153">
        <v>0.049072286473401429</v>
      </c>
      <c r="N1153">
        <v>0.75246035237340148</v>
      </c>
      <c r="O1153" t="s">
        <v>138</v>
      </c>
      <c r="P1153">
        <v>0.042203283953999998</v>
      </c>
      <c r="Q1153" t="s">
        <v>138</v>
      </c>
      <c r="R1153">
        <v>0.0029443371884040857</v>
      </c>
      <c r="S1153" t="s">
        <v>139</v>
      </c>
      <c r="T1153">
        <v>0.090295242284808175</v>
      </c>
      <c r="U1153">
        <v>0.88790321580061371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2.9266899999999998</v>
      </c>
      <c r="AB1153">
        <v>2</v>
      </c>
      <c r="AC1153">
        <v>0.01</v>
      </c>
      <c r="AD1153">
        <v>0.01099879013308536</v>
      </c>
      <c r="AE1153">
        <v>5400</v>
      </c>
      <c r="AF1153">
        <v>400000</v>
      </c>
      <c r="AG1153">
        <v>33333.333333333336</v>
      </c>
      <c r="AH1153">
        <v>1</v>
      </c>
      <c r="AI1153">
        <v>1</v>
      </c>
      <c r="AJ1153" t="s">
        <v>136</v>
      </c>
      <c r="AK1153" t="s">
        <v>137</v>
      </c>
      <c r="AL1153">
        <v>0</v>
      </c>
      <c r="AM1153" t="s">
        <v>137</v>
      </c>
      <c r="AN1153">
        <v>0</v>
      </c>
    </row>
    <row r="1154" spans="1:42" ht="12.75">
      <c r="A1154" s="2" t="str">
        <f>HYPERLINK("https://ibp.a2mac1.com/costing(costing:projects/details/8191/process/6976008)","MANUFACTURING  PROCESS")</f>
        <v>MANUFACTURING  PROCESS</v>
      </c>
      <c r="B1154" t="s">
        <v>6354</v>
      </c>
      <c r="C1154">
        <v>6976008</v>
      </c>
      <c r="D1154">
        <v>5389544</v>
      </c>
      <c r="E1154">
        <v>8.6250354666666667</v>
      </c>
      <c r="F1154">
        <v>0</v>
      </c>
      <c r="G1154">
        <v>0</v>
      </c>
      <c r="H1154">
        <v>0.0013054107733333333</v>
      </c>
      <c r="I1154" t="s">
        <v>137</v>
      </c>
      <c r="J1154">
        <v>0.32635269333333333</v>
      </c>
      <c r="K1154">
        <v>8.9526935707733326</v>
      </c>
      <c r="L1154">
        <v>0.55634241877892621</v>
      </c>
      <c r="M1154">
        <v>3.338054512673557</v>
      </c>
      <c r="N1154">
        <v>12.290748083446891</v>
      </c>
      <c r="O1154" t="s">
        <v>90</v>
      </c>
      <c r="P1154">
        <v>0</v>
      </c>
      <c r="Q1154" t="s">
        <v>90</v>
      </c>
      <c r="R1154">
        <v>0</v>
      </c>
      <c r="S1154" t="s">
        <v>90</v>
      </c>
      <c r="T1154">
        <v>0</v>
      </c>
      <c r="U1154">
        <v>12.290748083446891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111.23859</v>
      </c>
      <c r="AB1154">
        <v>1</v>
      </c>
      <c r="AC1154">
        <v>0.01</v>
      </c>
      <c r="AD1154">
        <v>0.013998040274361589</v>
      </c>
      <c r="AE1154">
        <v>5400</v>
      </c>
      <c r="AF1154">
        <v>200000</v>
      </c>
      <c r="AG1154">
        <v>16666.666666666668</v>
      </c>
      <c r="AH1154">
        <v>1</v>
      </c>
      <c r="AI1154">
        <v>1</v>
      </c>
      <c r="AJ1154" t="s">
        <v>136</v>
      </c>
      <c r="AK1154" t="s">
        <v>137</v>
      </c>
      <c r="AL1154">
        <v>0</v>
      </c>
      <c r="AM1154" t="s">
        <v>137</v>
      </c>
      <c r="AN1154">
        <v>0</v>
      </c>
    </row>
    <row r="1155" spans="1:42" ht="12.75">
      <c r="A1155" s="2" t="str">
        <f>HYPERLINK("https://ibp.a2mac1.com/costing(costing:projects/details/8191/process/6976009)","MANUFACTURING  PROCESS")</f>
        <v>MANUFACTURING  PROCESS</v>
      </c>
      <c r="B1155" t="s">
        <v>6354</v>
      </c>
      <c r="C1155">
        <v>6976009</v>
      </c>
      <c r="D1155">
        <v>5389545</v>
      </c>
      <c r="E1155">
        <v>8.4527963815384624</v>
      </c>
      <c r="F1155">
        <v>0</v>
      </c>
      <c r="G1155">
        <v>0</v>
      </c>
      <c r="H1155">
        <v>0.0010388911753846154</v>
      </c>
      <c r="I1155" t="s">
        <v>137</v>
      </c>
      <c r="J1155">
        <v>0.33055628307692309</v>
      </c>
      <c r="K1155">
        <v>8.7843915557907692</v>
      </c>
      <c r="L1155">
        <v>0.053390781806786566</v>
      </c>
      <c r="M1155">
        <v>0.32034469084071937</v>
      </c>
      <c r="N1155">
        <v>9.1047362466314894</v>
      </c>
      <c r="O1155" t="s">
        <v>138</v>
      </c>
      <c r="P1155">
        <v>0.52706349334744618</v>
      </c>
      <c r="Q1155" t="s">
        <v>138</v>
      </c>
      <c r="R1155">
        <v>0.019220681450443162</v>
      </c>
      <c r="S1155" t="s">
        <v>139</v>
      </c>
      <c r="T1155">
        <v>1.0925683495957785</v>
      </c>
      <c r="U1155">
        <v>10.743588771025157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21.064810000000001</v>
      </c>
      <c r="AB1155">
        <v>2</v>
      </c>
      <c r="AC1155">
        <v>0.01</v>
      </c>
      <c r="AD1155">
        <v>0.01099879013308536</v>
      </c>
      <c r="AE1155">
        <v>5400</v>
      </c>
      <c r="AF1155">
        <v>400000</v>
      </c>
      <c r="AG1155">
        <v>33333.333333333336</v>
      </c>
      <c r="AH1155">
        <v>1</v>
      </c>
      <c r="AI1155">
        <v>1</v>
      </c>
      <c r="AJ1155" t="s">
        <v>136</v>
      </c>
      <c r="AK1155" t="s">
        <v>137</v>
      </c>
      <c r="AL1155">
        <v>0</v>
      </c>
      <c r="AM1155" t="s">
        <v>137</v>
      </c>
      <c r="AN1155">
        <v>0</v>
      </c>
    </row>
    <row r="1156" spans="1:42" ht="12.75">
      <c r="A1156" s="2" t="str">
        <f>HYPERLINK("https://ibp.a2mac1.com/costing(costing:projects/details/8191/process/6976010)","MANUFACTURING  PROCESS")</f>
        <v>MANUFACTURING  PROCESS</v>
      </c>
      <c r="B1156" t="s">
        <v>6354</v>
      </c>
      <c r="C1156">
        <v>6976010</v>
      </c>
      <c r="D1156">
        <v>5389546</v>
      </c>
      <c r="E1156">
        <v>12.817011904615384</v>
      </c>
      <c r="F1156">
        <v>0</v>
      </c>
      <c r="G1156">
        <v>0</v>
      </c>
      <c r="H1156">
        <v>0.0020048957169230769</v>
      </c>
      <c r="I1156" t="s">
        <v>137</v>
      </c>
      <c r="J1156">
        <v>0.50122392923076919</v>
      </c>
      <c r="K1156">
        <v>13.320240729563077</v>
      </c>
      <c r="L1156">
        <v>0.054275897186867962</v>
      </c>
      <c r="M1156">
        <v>0.32565538312120779</v>
      </c>
      <c r="N1156">
        <v>13.645896112684285</v>
      </c>
      <c r="O1156" t="s">
        <v>138</v>
      </c>
      <c r="P1156">
        <v>0.79921444377378459</v>
      </c>
      <c r="Q1156" t="s">
        <v>138</v>
      </c>
      <c r="R1156">
        <v>0.019539322987272466</v>
      </c>
      <c r="S1156" t="s">
        <v>139</v>
      </c>
      <c r="T1156">
        <v>1.6375075335221141</v>
      </c>
      <c r="U1156">
        <v>16.102157412967458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21.064810000000001</v>
      </c>
      <c r="AB1156">
        <v>2</v>
      </c>
      <c r="AC1156">
        <v>0.01</v>
      </c>
      <c r="AD1156">
        <v>0.013998040274361589</v>
      </c>
      <c r="AE1156">
        <v>5400</v>
      </c>
      <c r="AF1156">
        <v>200000</v>
      </c>
      <c r="AG1156">
        <v>16666.666666666668</v>
      </c>
      <c r="AH1156">
        <v>1</v>
      </c>
      <c r="AI1156">
        <v>1</v>
      </c>
      <c r="AJ1156" t="s">
        <v>136</v>
      </c>
      <c r="AK1156" t="s">
        <v>137</v>
      </c>
      <c r="AL1156">
        <v>0</v>
      </c>
      <c r="AM1156" t="s">
        <v>137</v>
      </c>
      <c r="AN1156">
        <v>0</v>
      </c>
    </row>
    <row r="1157" spans="1:42" ht="12.75">
      <c r="A1157" s="2" t="str">
        <f>HYPERLINK("https://ibp.a2mac1.com/costing(costing:projects/details/8191/process/6976011)","MANUFACTURING  PROCESS")</f>
        <v>MANUFACTURING  PROCESS</v>
      </c>
      <c r="B1157" t="s">
        <v>6354</v>
      </c>
      <c r="C1157">
        <v>6976011</v>
      </c>
      <c r="D1157">
        <v>5389547</v>
      </c>
      <c r="E1157">
        <v>0.041568399999999998</v>
      </c>
      <c r="F1157">
        <v>0</v>
      </c>
      <c r="G1157">
        <v>0</v>
      </c>
      <c r="H1157">
        <v>5.3794399999999999E-06</v>
      </c>
      <c r="I1157" t="s">
        <v>137</v>
      </c>
      <c r="J1157">
        <v>0.0017116399999999999</v>
      </c>
      <c r="K1157">
        <v>0.04328541944</v>
      </c>
      <c r="L1157">
        <v>0.0060634228323073382</v>
      </c>
      <c r="M1157">
        <v>0.036380536993844033</v>
      </c>
      <c r="N1157">
        <v>0.079665956433844026</v>
      </c>
      <c r="O1157" t="s">
        <v>138</v>
      </c>
      <c r="P1157">
        <v>0.0025971251664000002</v>
      </c>
      <c r="Q1157" t="s">
        <v>138</v>
      </c>
      <c r="R1157">
        <v>0.0021828322196306418</v>
      </c>
      <c r="S1157" t="s">
        <v>139</v>
      </c>
      <c r="T1157">
        <v>0.0095599147720612839</v>
      </c>
      <c r="U1157">
        <v>0.094005828591935958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1.03904</v>
      </c>
      <c r="AB1157">
        <v>1</v>
      </c>
      <c r="AC1157">
        <v>0.01</v>
      </c>
      <c r="AD1157">
        <v>0.01099879013308536</v>
      </c>
      <c r="AE1157">
        <v>5400</v>
      </c>
      <c r="AF1157">
        <v>400000</v>
      </c>
      <c r="AG1157">
        <v>33333.333333333336</v>
      </c>
      <c r="AH1157">
        <v>1</v>
      </c>
      <c r="AI1157">
        <v>1</v>
      </c>
      <c r="AJ1157" t="s">
        <v>136</v>
      </c>
      <c r="AK1157" t="s">
        <v>137</v>
      </c>
      <c r="AL1157">
        <v>0</v>
      </c>
      <c r="AM1157" t="s">
        <v>137</v>
      </c>
      <c r="AN1157">
        <v>0</v>
      </c>
    </row>
    <row r="1158" spans="1:42" ht="12.75">
      <c r="A1158" s="2" t="str">
        <f>HYPERLINK("https://ibp.a2mac1.com/costing(costing:projects/details/8191/process/6976012)","MANUFACTURING  PROCESS")</f>
        <v>MANUFACTURING  PROCESS</v>
      </c>
      <c r="B1158" t="s">
        <v>6354</v>
      </c>
      <c r="C1158">
        <v>6976012</v>
      </c>
      <c r="D1158">
        <v>5389548</v>
      </c>
      <c r="E1158">
        <v>0.030157466666666667</v>
      </c>
      <c r="F1158">
        <v>0</v>
      </c>
      <c r="G1158">
        <v>0</v>
      </c>
      <c r="H1158">
        <v>3.5862933333333334E-06</v>
      </c>
      <c r="I1158" t="s">
        <v>137</v>
      </c>
      <c r="J1158">
        <v>0.0011410933333333333</v>
      </c>
      <c r="K1158">
        <v>0.031302146293333333</v>
      </c>
      <c r="L1158">
        <v>0.0046551228631498652</v>
      </c>
      <c r="M1158">
        <v>0.027930737178899191</v>
      </c>
      <c r="N1158">
        <v>0.059232883472232524</v>
      </c>
      <c r="O1158" t="s">
        <v>138</v>
      </c>
      <c r="P1158">
        <v>0.0018781287776</v>
      </c>
      <c r="Q1158" t="s">
        <v>138</v>
      </c>
      <c r="R1158">
        <v>0.0016758442307339514</v>
      </c>
      <c r="S1158" t="s">
        <v>139</v>
      </c>
      <c r="T1158">
        <v>0.0071079460166679027</v>
      </c>
      <c r="U1158">
        <v>0.069894802497234371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1.5130999999999999</v>
      </c>
      <c r="AB1158">
        <v>2</v>
      </c>
      <c r="AC1158">
        <v>0.01</v>
      </c>
      <c r="AD1158">
        <v>0.01099879013308536</v>
      </c>
      <c r="AE1158">
        <v>5400</v>
      </c>
      <c r="AF1158">
        <v>400000</v>
      </c>
      <c r="AG1158">
        <v>33333.333333333336</v>
      </c>
      <c r="AH1158">
        <v>1</v>
      </c>
      <c r="AI1158">
        <v>1</v>
      </c>
      <c r="AJ1158" t="s">
        <v>136</v>
      </c>
      <c r="AK1158" t="s">
        <v>137</v>
      </c>
      <c r="AL1158">
        <v>0</v>
      </c>
      <c r="AM1158" t="s">
        <v>137</v>
      </c>
      <c r="AN1158">
        <v>0</v>
      </c>
    </row>
    <row r="1159" spans="1:42" ht="12.75">
      <c r="A1159" s="2" t="str">
        <f>HYPERLINK("https://ibp.a2mac1.com/costing(costing:projects/details/8191/process/6976013)","MANUFACTURING  PROCESS")</f>
        <v>MANUFACTURING  PROCESS</v>
      </c>
      <c r="B1159" t="s">
        <v>6354</v>
      </c>
      <c r="C1159">
        <v>6976013</v>
      </c>
      <c r="D1159">
        <v>5389549</v>
      </c>
      <c r="E1159">
        <v>2.9101955333333334</v>
      </c>
      <c r="F1159">
        <v>0</v>
      </c>
      <c r="G1159">
        <v>0</v>
      </c>
      <c r="H1159">
        <v>0.00044046202666666668</v>
      </c>
      <c r="I1159" t="s">
        <v>137</v>
      </c>
      <c r="J1159">
        <v>0.11011550666666667</v>
      </c>
      <c r="K1159">
        <v>3.0207515020266666</v>
      </c>
      <c r="L1159">
        <v>0.035283917078179447</v>
      </c>
      <c r="M1159">
        <v>0.21170350246907668</v>
      </c>
      <c r="N1159">
        <v>3.2324550044957432</v>
      </c>
      <c r="O1159" t="s">
        <v>138</v>
      </c>
      <c r="P1159">
        <v>0.18124509012160001</v>
      </c>
      <c r="Q1159" t="s">
        <v>138</v>
      </c>
      <c r="R1159">
        <v>0.012702210148144601</v>
      </c>
      <c r="S1159" t="s">
        <v>139</v>
      </c>
      <c r="T1159">
        <v>0.38789460053948921</v>
      </c>
      <c r="U1159">
        <v>3.8142969053049773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6.7229299999999999</v>
      </c>
      <c r="AB1159">
        <v>1</v>
      </c>
      <c r="AC1159">
        <v>0.01</v>
      </c>
      <c r="AD1159">
        <v>0.013998040274361589</v>
      </c>
      <c r="AE1159">
        <v>5400</v>
      </c>
      <c r="AF1159">
        <v>200000</v>
      </c>
      <c r="AG1159">
        <v>16666.666666666668</v>
      </c>
      <c r="AH1159">
        <v>1</v>
      </c>
      <c r="AI1159">
        <v>1</v>
      </c>
      <c r="AJ1159" t="s">
        <v>136</v>
      </c>
      <c r="AK1159" t="s">
        <v>137</v>
      </c>
      <c r="AL1159">
        <v>0</v>
      </c>
      <c r="AM1159" t="s">
        <v>137</v>
      </c>
      <c r="AN1159">
        <v>0</v>
      </c>
    </row>
    <row r="1160" spans="1:42" ht="12.75">
      <c r="A1160" s="2" t="str">
        <f>HYPERLINK("https://ibp.a2mac1.com/costing(costing:projects/details/8191/process/6976014)","MANUFACTURING  PROCESS")</f>
        <v>MANUFACTURING  PROCESS</v>
      </c>
      <c r="B1160" t="s">
        <v>6354</v>
      </c>
      <c r="C1160">
        <v>6976014</v>
      </c>
      <c r="D1160">
        <v>5389550</v>
      </c>
      <c r="E1160">
        <v>1.1523004999999999</v>
      </c>
      <c r="F1160">
        <v>0</v>
      </c>
      <c r="G1160">
        <v>0</v>
      </c>
      <c r="H1160">
        <v>0.00013928907142857143</v>
      </c>
      <c r="I1160" t="s">
        <v>137</v>
      </c>
      <c r="J1160">
        <v>0.044319249999999998</v>
      </c>
      <c r="K1160">
        <v>1.1967590390714287</v>
      </c>
      <c r="L1160">
        <v>0.0081787144122335721</v>
      </c>
      <c r="M1160">
        <v>0.049072286473401429</v>
      </c>
      <c r="N1160">
        <v>1.2458313255448299</v>
      </c>
      <c r="O1160" t="s">
        <v>138</v>
      </c>
      <c r="P1160">
        <v>0.071805542344285711</v>
      </c>
      <c r="Q1160" t="s">
        <v>138</v>
      </c>
      <c r="R1160">
        <v>0.0029443371884040857</v>
      </c>
      <c r="S1160" t="s">
        <v>139</v>
      </c>
      <c r="T1160">
        <v>0.1494997590653796</v>
      </c>
      <c r="U1160">
        <v>1.4700809641428993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2.9266899999999998</v>
      </c>
      <c r="AB1160">
        <v>2</v>
      </c>
      <c r="AC1160">
        <v>0.01</v>
      </c>
      <c r="AD1160">
        <v>0.01099879013308536</v>
      </c>
      <c r="AE1160">
        <v>5400</v>
      </c>
      <c r="AF1160">
        <v>400000</v>
      </c>
      <c r="AG1160">
        <v>33333.333333333336</v>
      </c>
      <c r="AH1160">
        <v>1</v>
      </c>
      <c r="AI1160">
        <v>1</v>
      </c>
      <c r="AJ1160" t="s">
        <v>136</v>
      </c>
      <c r="AK1160" t="s">
        <v>137</v>
      </c>
      <c r="AL1160">
        <v>0</v>
      </c>
      <c r="AM1160" t="s">
        <v>137</v>
      </c>
      <c r="AN1160">
        <v>0</v>
      </c>
    </row>
    <row r="1161" spans="1:42" ht="12.75">
      <c r="A1161" s="2" t="str">
        <f>HYPERLINK("https://ibp.a2mac1.com/costing(costing:projects/details/8191/process/6976015)","MANUFACTURING  PROCESS")</f>
        <v>MANUFACTURING  PROCESS</v>
      </c>
      <c r="B1161" t="s">
        <v>6354</v>
      </c>
      <c r="C1161">
        <v>6976015</v>
      </c>
      <c r="D1161">
        <v>5389551</v>
      </c>
      <c r="E1161">
        <v>0.057462199999999998</v>
      </c>
      <c r="F1161">
        <v>0</v>
      </c>
      <c r="G1161">
        <v>0</v>
      </c>
      <c r="H1161">
        <v>8.5582000000000005E-06</v>
      </c>
      <c r="I1161" t="s">
        <v>137</v>
      </c>
      <c r="J1161">
        <v>0.00213955</v>
      </c>
      <c r="K1161">
        <v>0.059610308200000003</v>
      </c>
      <c r="L1161">
        <v>0.0055387762698326255</v>
      </c>
      <c r="M1161">
        <v>0.033232657618995756</v>
      </c>
      <c r="N1161">
        <v>0.09284296581899576</v>
      </c>
      <c r="O1161" t="s">
        <v>138</v>
      </c>
      <c r="P1161">
        <v>0.0035766184919999999</v>
      </c>
      <c r="Q1161" t="s">
        <v>138</v>
      </c>
      <c r="R1161">
        <v>0.0019939594571397453</v>
      </c>
      <c r="S1161" t="s">
        <v>139</v>
      </c>
      <c r="T1161">
        <v>0.011141155898279491</v>
      </c>
      <c r="U1161">
        <v>0.10955469966641498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1.5130999999999999</v>
      </c>
      <c r="AB1161">
        <v>2</v>
      </c>
      <c r="AC1161">
        <v>0.01</v>
      </c>
      <c r="AD1161">
        <v>0.013998040274361589</v>
      </c>
      <c r="AE1161">
        <v>5400</v>
      </c>
      <c r="AF1161">
        <v>200000</v>
      </c>
      <c r="AG1161">
        <v>16666.666666666668</v>
      </c>
      <c r="AH1161">
        <v>1</v>
      </c>
      <c r="AI1161">
        <v>1</v>
      </c>
      <c r="AJ1161" t="s">
        <v>136</v>
      </c>
      <c r="AK1161" t="s">
        <v>137</v>
      </c>
      <c r="AL1161">
        <v>0</v>
      </c>
      <c r="AM1161" t="s">
        <v>137</v>
      </c>
      <c r="AN1161">
        <v>0</v>
      </c>
    </row>
    <row r="1162" spans="1:42" ht="12.75">
      <c r="A1162" s="2" t="str">
        <f>HYPERLINK("https://ibp.a2mac1.com/costing(costing:projects/details/8191/process/6976016)","MANUFACTURING  PROCESS")</f>
        <v>MANUFACTURING  PROCESS</v>
      </c>
      <c r="B1162" t="s">
        <v>6354</v>
      </c>
      <c r="C1162">
        <v>6976016</v>
      </c>
      <c r="D1162">
        <v>5389552</v>
      </c>
      <c r="E1162">
        <v>0.58195759999999996</v>
      </c>
      <c r="F1162">
        <v>0</v>
      </c>
      <c r="G1162">
        <v>0</v>
      </c>
      <c r="H1162">
        <v>9.5851840000000006E-05</v>
      </c>
      <c r="I1162" t="s">
        <v>137</v>
      </c>
      <c r="J1162">
        <v>0.023962959999999998</v>
      </c>
      <c r="K1162">
        <v>0.60601641183999999</v>
      </c>
      <c r="L1162">
        <v>0.0090624735196952709</v>
      </c>
      <c r="M1162">
        <v>0.054374841118171625</v>
      </c>
      <c r="N1162">
        <v>0.66039125295817158</v>
      </c>
      <c r="O1162" t="s">
        <v>138</v>
      </c>
      <c r="P1162">
        <v>0.036360984710400002</v>
      </c>
      <c r="Q1162" t="s">
        <v>138</v>
      </c>
      <c r="R1162">
        <v>0.0032624904670902977</v>
      </c>
      <c r="S1162" t="s">
        <v>139</v>
      </c>
      <c r="T1162">
        <v>0.079246950354980597</v>
      </c>
      <c r="U1162">
        <v>0.77926167849064254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2.9266899999999998</v>
      </c>
      <c r="AB1162">
        <v>2</v>
      </c>
      <c r="AC1162">
        <v>0.01</v>
      </c>
      <c r="AD1162">
        <v>0.013998040274361589</v>
      </c>
      <c r="AE1162">
        <v>5400</v>
      </c>
      <c r="AF1162">
        <v>200000</v>
      </c>
      <c r="AG1162">
        <v>16666.666666666668</v>
      </c>
      <c r="AH1162">
        <v>1</v>
      </c>
      <c r="AI1162">
        <v>1</v>
      </c>
      <c r="AJ1162" t="s">
        <v>136</v>
      </c>
      <c r="AK1162" t="s">
        <v>137</v>
      </c>
      <c r="AL1162">
        <v>0</v>
      </c>
      <c r="AM1162" t="s">
        <v>137</v>
      </c>
      <c r="AN1162">
        <v>0</v>
      </c>
    </row>
    <row r="1163" spans="1:42" ht="12.75">
      <c r="A1163" s="2" t="str">
        <f>HYPERLINK("https://ibp.a2mac1.com/costing(costing:projects/details/8191/process/6976017)","MANUFACTURING  PROCESS")</f>
        <v>MANUFACTURING  PROCESS</v>
      </c>
      <c r="B1163" t="s">
        <v>6354</v>
      </c>
      <c r="C1163">
        <v>6976017</v>
      </c>
      <c r="D1163">
        <v>5389553</v>
      </c>
      <c r="E1163">
        <v>0.1634393909090909</v>
      </c>
      <c r="F1163">
        <v>0</v>
      </c>
      <c r="G1163">
        <v>0</v>
      </c>
      <c r="H1163">
        <v>2.07842E-05</v>
      </c>
      <c r="I1163" t="s">
        <v>137</v>
      </c>
      <c r="J1163">
        <v>0.0066131545454545457</v>
      </c>
      <c r="K1163">
        <v>0.17007332965454544</v>
      </c>
      <c r="L1163">
        <v>0.0046551228631498652</v>
      </c>
      <c r="M1163">
        <v>0.027930737178899191</v>
      </c>
      <c r="N1163">
        <v>0.19800406683344465</v>
      </c>
      <c r="O1163" t="s">
        <v>138</v>
      </c>
      <c r="P1163">
        <v>0.010204399779272727</v>
      </c>
      <c r="Q1163" t="s">
        <v>138</v>
      </c>
      <c r="R1163">
        <v>0.0016758442307339514</v>
      </c>
      <c r="S1163" t="s">
        <v>139</v>
      </c>
      <c r="T1163">
        <v>0.023760488020013359</v>
      </c>
      <c r="U1163">
        <v>0.23364479886346468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1.5130999999999999</v>
      </c>
      <c r="AB1163">
        <v>2</v>
      </c>
      <c r="AC1163">
        <v>0.01</v>
      </c>
      <c r="AD1163">
        <v>0.01099879013308536</v>
      </c>
      <c r="AE1163">
        <v>5400</v>
      </c>
      <c r="AF1163">
        <v>400000</v>
      </c>
      <c r="AG1163">
        <v>33333.333333333336</v>
      </c>
      <c r="AH1163">
        <v>1</v>
      </c>
      <c r="AI1163">
        <v>1</v>
      </c>
      <c r="AJ1163" t="s">
        <v>136</v>
      </c>
      <c r="AK1163" t="s">
        <v>137</v>
      </c>
      <c r="AL1163">
        <v>0</v>
      </c>
      <c r="AM1163" t="s">
        <v>137</v>
      </c>
      <c r="AN1163">
        <v>0</v>
      </c>
    </row>
    <row r="1164" spans="1:42" ht="12.75">
      <c r="A1164" s="2" t="str">
        <f>HYPERLINK("https://ibp.a2mac1.com/costing(costing:projects/details/8191/process/6976018)","MANUFACTURING  PROCESS")</f>
        <v>MANUFACTURING  PROCESS</v>
      </c>
      <c r="B1164" t="s">
        <v>6354</v>
      </c>
      <c r="C1164">
        <v>6976018</v>
      </c>
      <c r="D1164">
        <v>5389554</v>
      </c>
      <c r="E1164">
        <v>10.2481858</v>
      </c>
      <c r="F1164">
        <v>0</v>
      </c>
      <c r="G1164">
        <v>0</v>
      </c>
      <c r="H1164">
        <v>0.0014791196000000001</v>
      </c>
      <c r="I1164" t="s">
        <v>137</v>
      </c>
      <c r="J1164">
        <v>0.36977989999999999</v>
      </c>
      <c r="K1164">
        <v>10.6194448196</v>
      </c>
      <c r="L1164">
        <v>0.054275897186867962</v>
      </c>
      <c r="M1164">
        <v>0.32565538312120779</v>
      </c>
      <c r="N1164">
        <v>10.945100202721207</v>
      </c>
      <c r="O1164" t="s">
        <v>138</v>
      </c>
      <c r="P1164">
        <v>0.63716668917599995</v>
      </c>
      <c r="Q1164" t="s">
        <v>138</v>
      </c>
      <c r="R1164">
        <v>0.019539322987272466</v>
      </c>
      <c r="S1164" t="s">
        <v>139</v>
      </c>
      <c r="T1164">
        <v>1.313412024326545</v>
      </c>
      <c r="U1164">
        <v>12.915218239211026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21.064810000000001</v>
      </c>
      <c r="AB1164">
        <v>2</v>
      </c>
      <c r="AC1164">
        <v>0.01</v>
      </c>
      <c r="AD1164">
        <v>0.013998040274361589</v>
      </c>
      <c r="AE1164">
        <v>5400</v>
      </c>
      <c r="AF1164">
        <v>200000</v>
      </c>
      <c r="AG1164">
        <v>16666.666666666668</v>
      </c>
      <c r="AH1164">
        <v>1</v>
      </c>
      <c r="AI1164">
        <v>1</v>
      </c>
      <c r="AJ1164" t="s">
        <v>136</v>
      </c>
      <c r="AK1164" t="s">
        <v>137</v>
      </c>
      <c r="AL1164">
        <v>0</v>
      </c>
      <c r="AM1164" t="s">
        <v>137</v>
      </c>
      <c r="AN1164">
        <v>0</v>
      </c>
    </row>
    <row r="1165" spans="1:42" ht="12.75">
      <c r="A1165" s="2" t="str">
        <f>HYPERLINK("https://ibp.a2mac1.com/costing(costing:projects/details/8191/process/6976019)","MANUFACTURING  PROCESS")</f>
        <v>MANUFACTURING  PROCESS</v>
      </c>
      <c r="B1165" t="s">
        <v>6354</v>
      </c>
      <c r="C1165">
        <v>6976019</v>
      </c>
      <c r="D1165">
        <v>5389555</v>
      </c>
      <c r="E1165">
        <v>0.2115098</v>
      </c>
      <c r="F1165">
        <v>0</v>
      </c>
      <c r="G1165">
        <v>0</v>
      </c>
      <c r="H1165">
        <v>2.6897200000000001E-05</v>
      </c>
      <c r="I1165" t="s">
        <v>137</v>
      </c>
      <c r="J1165">
        <v>0.0085582000000000002</v>
      </c>
      <c r="K1165">
        <v>0.2200948972</v>
      </c>
      <c r="L1165">
        <v>0.0046551228631498652</v>
      </c>
      <c r="M1165">
        <v>0.027930737178899191</v>
      </c>
      <c r="N1165">
        <v>0.24802563437889918</v>
      </c>
      <c r="O1165" t="s">
        <v>138</v>
      </c>
      <c r="P1165">
        <v>0.013205693831999999</v>
      </c>
      <c r="Q1165" t="s">
        <v>138</v>
      </c>
      <c r="R1165">
        <v>0.0016758442307339514</v>
      </c>
      <c r="S1165" t="s">
        <v>139</v>
      </c>
      <c r="T1165">
        <v>0.029763076125467903</v>
      </c>
      <c r="U1165">
        <v>0.29267024856710105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1.5130999999999999</v>
      </c>
      <c r="AB1165">
        <v>2</v>
      </c>
      <c r="AC1165">
        <v>0.01</v>
      </c>
      <c r="AD1165">
        <v>0.01099879013308536</v>
      </c>
      <c r="AE1165">
        <v>5400</v>
      </c>
      <c r="AF1165">
        <v>400000</v>
      </c>
      <c r="AG1165">
        <v>33333.333333333336</v>
      </c>
      <c r="AH1165">
        <v>1</v>
      </c>
      <c r="AI1165">
        <v>1</v>
      </c>
      <c r="AJ1165" t="s">
        <v>136</v>
      </c>
      <c r="AK1165" t="s">
        <v>137</v>
      </c>
      <c r="AL1165">
        <v>0</v>
      </c>
      <c r="AM1165" t="s">
        <v>137</v>
      </c>
      <c r="AN1165">
        <v>0</v>
      </c>
    </row>
    <row r="1166" spans="1:42" ht="12.75">
      <c r="A1166" s="2" t="str">
        <f>HYPERLINK("https://ibp.a2mac1.com/costing(costing:projects/details/8191/process/6976020)","MANUFACTURING  PROCESS")</f>
        <v>MANUFACTURING  PROCESS</v>
      </c>
      <c r="B1166" t="s">
        <v>6354</v>
      </c>
      <c r="C1166">
        <v>6976020</v>
      </c>
      <c r="D1166">
        <v>5389556</v>
      </c>
      <c r="E1166">
        <v>0.047681399999999999</v>
      </c>
      <c r="F1166">
        <v>0</v>
      </c>
      <c r="G1166">
        <v>0</v>
      </c>
      <c r="H1166">
        <v>5.7636857142857144E-06</v>
      </c>
      <c r="I1166" t="s">
        <v>137</v>
      </c>
      <c r="J1166">
        <v>0.0018339000000000001</v>
      </c>
      <c r="K1166">
        <v>0.049521063685714288</v>
      </c>
      <c r="L1166">
        <v>0.0021784711527256333</v>
      </c>
      <c r="M1166">
        <v>0.013070826916353801</v>
      </c>
      <c r="N1166">
        <v>0.062591890602068087</v>
      </c>
      <c r="O1166" t="s">
        <v>138</v>
      </c>
      <c r="P1166">
        <v>0.0029712638211428573</v>
      </c>
      <c r="Q1166" t="s">
        <v>138</v>
      </c>
      <c r="R1166">
        <v>0.00078424961498122804</v>
      </c>
      <c r="S1166" t="s">
        <v>139</v>
      </c>
      <c r="T1166">
        <v>0.00751102687224817</v>
      </c>
      <c r="U1166">
        <v>0.073858430910440337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0.51951999999999998</v>
      </c>
      <c r="AB1166">
        <v>2</v>
      </c>
      <c r="AC1166">
        <v>0.01</v>
      </c>
      <c r="AD1166">
        <v>0.01099879013308536</v>
      </c>
      <c r="AE1166">
        <v>5400</v>
      </c>
      <c r="AF1166">
        <v>400000</v>
      </c>
      <c r="AG1166">
        <v>33333.333333333336</v>
      </c>
      <c r="AH1166">
        <v>1</v>
      </c>
      <c r="AI1166">
        <v>1</v>
      </c>
      <c r="AJ1166" t="s">
        <v>136</v>
      </c>
      <c r="AK1166" t="s">
        <v>137</v>
      </c>
      <c r="AL1166">
        <v>0</v>
      </c>
      <c r="AM1166" t="s">
        <v>137</v>
      </c>
      <c r="AN1166">
        <v>0</v>
      </c>
    </row>
    <row r="1167" spans="1:42" ht="12.75">
      <c r="A1167" s="2" t="str">
        <f>HYPERLINK("https://ibp.a2mac1.com/costing(costing:projects/details/8191/process/6976021)","MANUFACTURING  PROCESS")</f>
        <v>MANUFACTURING  PROCESS</v>
      </c>
      <c r="B1167" t="s">
        <v>6354</v>
      </c>
      <c r="C1167">
        <v>6976021</v>
      </c>
      <c r="D1167">
        <v>5389557</v>
      </c>
      <c r="E1167">
        <v>0.15150835384615385</v>
      </c>
      <c r="F1167">
        <v>0</v>
      </c>
      <c r="G1167">
        <v>0</v>
      </c>
      <c r="H1167">
        <v>1.8621138461538462E-05</v>
      </c>
      <c r="I1167" t="s">
        <v>137</v>
      </c>
      <c r="J1167">
        <v>0.0059249076923076922</v>
      </c>
      <c r="K1167">
        <v>0.15745188267692309</v>
      </c>
      <c r="L1167">
        <v>0.0046551228631498652</v>
      </c>
      <c r="M1167">
        <v>0.027930737178899191</v>
      </c>
      <c r="N1167">
        <v>0.18538261985582227</v>
      </c>
      <c r="O1167" t="s">
        <v>138</v>
      </c>
      <c r="P1167">
        <v>0.0094471129606153847</v>
      </c>
      <c r="Q1167" t="s">
        <v>138</v>
      </c>
      <c r="R1167">
        <v>0.0016758442307339514</v>
      </c>
      <c r="S1167" t="s">
        <v>139</v>
      </c>
      <c r="T1167">
        <v>0.022245914382698673</v>
      </c>
      <c r="U1167">
        <v>0.21875149142987027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1.5130999999999999</v>
      </c>
      <c r="AB1167">
        <v>2</v>
      </c>
      <c r="AC1167">
        <v>0.01</v>
      </c>
      <c r="AD1167">
        <v>0.01099879013308536</v>
      </c>
      <c r="AE1167">
        <v>5400</v>
      </c>
      <c r="AF1167">
        <v>400000</v>
      </c>
      <c r="AG1167">
        <v>33333.333333333336</v>
      </c>
      <c r="AH1167">
        <v>1</v>
      </c>
      <c r="AI1167">
        <v>1</v>
      </c>
      <c r="AJ1167" t="s">
        <v>136</v>
      </c>
      <c r="AK1167" t="s">
        <v>137</v>
      </c>
      <c r="AL1167">
        <v>0</v>
      </c>
      <c r="AM1167" t="s">
        <v>137</v>
      </c>
      <c r="AN1167">
        <v>0</v>
      </c>
    </row>
    <row r="1168" spans="1:42" ht="12.75">
      <c r="A1168" s="2" t="str">
        <f>HYPERLINK("https://ibp.a2mac1.com/costing(costing:projects/details/8191/process/6976022)","MANUFACTURING  PROCESS")</f>
        <v>MANUFACTURING  PROCESS</v>
      </c>
      <c r="B1168" t="s">
        <v>6354</v>
      </c>
      <c r="C1168">
        <v>6976022</v>
      </c>
      <c r="D1168">
        <v>5389558</v>
      </c>
      <c r="E1168">
        <v>0.055628299999999999</v>
      </c>
      <c r="F1168">
        <v>0</v>
      </c>
      <c r="G1168">
        <v>0</v>
      </c>
      <c r="H1168">
        <v>6.7243000000000001E-06</v>
      </c>
      <c r="I1168" t="s">
        <v>137</v>
      </c>
      <c r="J1168">
        <v>0.00213955</v>
      </c>
      <c r="K1168">
        <v>0.057774574299999999</v>
      </c>
      <c r="L1168">
        <v>0.0021784711527256333</v>
      </c>
      <c r="M1168">
        <v>0.013070826916353801</v>
      </c>
      <c r="N1168">
        <v>0.070845401216353798</v>
      </c>
      <c r="O1168" t="s">
        <v>138</v>
      </c>
      <c r="P1168">
        <v>0.0034664744580000001</v>
      </c>
      <c r="Q1168" t="s">
        <v>138</v>
      </c>
      <c r="R1168">
        <v>0.00078424961498122804</v>
      </c>
      <c r="S1168" t="s">
        <v>139</v>
      </c>
      <c r="T1168">
        <v>0.0085014481459624557</v>
      </c>
      <c r="U1168">
        <v>0.083597573435297487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0.51951999999999998</v>
      </c>
      <c r="AB1168">
        <v>2</v>
      </c>
      <c r="AC1168">
        <v>0.01</v>
      </c>
      <c r="AD1168">
        <v>0.01099879013308536</v>
      </c>
      <c r="AE1168">
        <v>5400</v>
      </c>
      <c r="AF1168">
        <v>400000</v>
      </c>
      <c r="AG1168">
        <v>33333.333333333336</v>
      </c>
      <c r="AH1168">
        <v>1</v>
      </c>
      <c r="AI1168">
        <v>1</v>
      </c>
      <c r="AJ1168" t="s">
        <v>136</v>
      </c>
      <c r="AK1168" t="s">
        <v>137</v>
      </c>
      <c r="AL1168">
        <v>0</v>
      </c>
      <c r="AM1168" t="s">
        <v>137</v>
      </c>
      <c r="AN1168">
        <v>0</v>
      </c>
    </row>
    <row r="1169" spans="1:42" ht="12.75">
      <c r="A1169" s="2" t="str">
        <f>HYPERLINK("https://ibp.a2mac1.com/costing(costing:projects/details/8191/process/6976023)","MANUFACTURING  PROCESS")</f>
        <v>MANUFACTURING  PROCESS</v>
      </c>
      <c r="B1169" t="s">
        <v>6354</v>
      </c>
      <c r="C1169">
        <v>6976023</v>
      </c>
      <c r="D1169">
        <v>5389559</v>
      </c>
      <c r="E1169">
        <v>0.20201113846153845</v>
      </c>
      <c r="F1169">
        <v>0</v>
      </c>
      <c r="G1169">
        <v>0</v>
      </c>
      <c r="H1169">
        <v>3.1599507692307696E-05</v>
      </c>
      <c r="I1169" t="s">
        <v>137</v>
      </c>
      <c r="J1169">
        <v>0.0078998769230769223</v>
      </c>
      <c r="K1169">
        <v>0.2099426148923077</v>
      </c>
      <c r="L1169">
        <v>0.0068922036581226696</v>
      </c>
      <c r="M1169">
        <v>0.041353221948736016</v>
      </c>
      <c r="N1169">
        <v>0.25129583684104373</v>
      </c>
      <c r="O1169" t="s">
        <v>138</v>
      </c>
      <c r="P1169">
        <v>0.012596556893538462</v>
      </c>
      <c r="Q1169" t="s">
        <v>138</v>
      </c>
      <c r="R1169">
        <v>0.002481193316924161</v>
      </c>
      <c r="S1169" t="s">
        <v>139</v>
      </c>
      <c r="T1169">
        <v>0.030155500420925244</v>
      </c>
      <c r="U1169">
        <v>0.29652908747243156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2.0560499999999999</v>
      </c>
      <c r="AB1169">
        <v>2</v>
      </c>
      <c r="AC1169">
        <v>0.01</v>
      </c>
      <c r="AD1169">
        <v>0.013998040274361589</v>
      </c>
      <c r="AE1169">
        <v>5400</v>
      </c>
      <c r="AF1169">
        <v>200000</v>
      </c>
      <c r="AG1169">
        <v>16666.666666666668</v>
      </c>
      <c r="AH1169">
        <v>1</v>
      </c>
      <c r="AI1169">
        <v>1</v>
      </c>
      <c r="AJ1169" t="s">
        <v>136</v>
      </c>
      <c r="AK1169" t="s">
        <v>137</v>
      </c>
      <c r="AL1169">
        <v>0</v>
      </c>
      <c r="AM1169" t="s">
        <v>137</v>
      </c>
      <c r="AN1169">
        <v>0</v>
      </c>
    </row>
    <row r="1170" spans="1:42" ht="12.75">
      <c r="A1170" s="2" t="str">
        <f>HYPERLINK("https://ibp.a2mac1.com/costing(costing:projects/details/8191/process/6976024)","MANUFACTURING  PROCESS")</f>
        <v>MANUFACTURING  PROCESS</v>
      </c>
      <c r="B1170" t="s">
        <v>6354</v>
      </c>
      <c r="C1170">
        <v>6976024</v>
      </c>
      <c r="D1170">
        <v>5389560</v>
      </c>
      <c r="E1170">
        <v>8.5940926533333339</v>
      </c>
      <c r="F1170">
        <v>0</v>
      </c>
      <c r="G1170">
        <v>0</v>
      </c>
      <c r="H1170">
        <v>0.0012403845066666667</v>
      </c>
      <c r="I1170" t="s">
        <v>137</v>
      </c>
      <c r="J1170">
        <v>0.31009612666666669</v>
      </c>
      <c r="K1170">
        <v>8.9054291645066659</v>
      </c>
      <c r="L1170">
        <v>0.054275897186867962</v>
      </c>
      <c r="M1170">
        <v>0.32565538312120779</v>
      </c>
      <c r="N1170">
        <v>9.2310845476278747</v>
      </c>
      <c r="O1170" t="s">
        <v>138</v>
      </c>
      <c r="P1170">
        <v>0.53432574987040005</v>
      </c>
      <c r="Q1170" t="s">
        <v>138</v>
      </c>
      <c r="R1170">
        <v>0.019539322987272466</v>
      </c>
      <c r="S1170" t="s">
        <v>139</v>
      </c>
      <c r="T1170">
        <v>1.107730145715345</v>
      </c>
      <c r="U1170">
        <v>10.892679766200892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21.064810000000001</v>
      </c>
      <c r="AB1170">
        <v>2</v>
      </c>
      <c r="AC1170">
        <v>0.01</v>
      </c>
      <c r="AD1170">
        <v>0.013998040274361589</v>
      </c>
      <c r="AE1170">
        <v>5400</v>
      </c>
      <c r="AF1170">
        <v>200000</v>
      </c>
      <c r="AG1170">
        <v>16666.666666666668</v>
      </c>
      <c r="AH1170">
        <v>1</v>
      </c>
      <c r="AI1170">
        <v>1</v>
      </c>
      <c r="AJ1170" t="s">
        <v>136</v>
      </c>
      <c r="AK1170" t="s">
        <v>137</v>
      </c>
      <c r="AL1170">
        <v>0</v>
      </c>
      <c r="AM1170" t="s">
        <v>137</v>
      </c>
      <c r="AN1170">
        <v>0</v>
      </c>
    </row>
    <row r="1171" spans="1:42" ht="12.75">
      <c r="A1171" s="2" t="str">
        <f>HYPERLINK("https://ibp.a2mac1.com/costing(costing:projects/details/8191/process/6976025)","MANUFACTURING  PROCESS")</f>
        <v>MANUFACTURING  PROCESS</v>
      </c>
      <c r="B1171" t="s">
        <v>6354</v>
      </c>
      <c r="C1171">
        <v>6976025</v>
      </c>
      <c r="D1171">
        <v>5389561</v>
      </c>
      <c r="E1171">
        <v>0.43932093333333333</v>
      </c>
      <c r="F1171">
        <v>0</v>
      </c>
      <c r="G1171">
        <v>0</v>
      </c>
      <c r="H1171">
        <v>5.4915116666666669E-05</v>
      </c>
      <c r="I1171" t="s">
        <v>137</v>
      </c>
      <c r="J1171">
        <v>0.017472991666666667</v>
      </c>
      <c r="K1171">
        <v>0.45684884011666665</v>
      </c>
      <c r="L1171">
        <v>0.030064346017248039</v>
      </c>
      <c r="M1171">
        <v>0.18038607610348822</v>
      </c>
      <c r="N1171">
        <v>0.63723491622015493</v>
      </c>
      <c r="O1171" t="s">
        <v>138</v>
      </c>
      <c r="P1171">
        <v>0.027410930407</v>
      </c>
      <c r="Q1171" t="s">
        <v>138</v>
      </c>
      <c r="R1171">
        <v>0.010823164566209294</v>
      </c>
      <c r="S1171" t="s">
        <v>139</v>
      </c>
      <c r="T1171">
        <v>0.076468189946418588</v>
      </c>
      <c r="U1171">
        <v>0.7519372011397828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5.85337</v>
      </c>
      <c r="AB1171">
        <v>1</v>
      </c>
      <c r="AC1171">
        <v>0.01</v>
      </c>
      <c r="AD1171">
        <v>0.01099879013308536</v>
      </c>
      <c r="AE1171">
        <v>5400</v>
      </c>
      <c r="AF1171">
        <v>400000</v>
      </c>
      <c r="AG1171">
        <v>33333.333333333336</v>
      </c>
      <c r="AH1171">
        <v>1</v>
      </c>
      <c r="AI1171">
        <v>1</v>
      </c>
      <c r="AJ1171" t="s">
        <v>136</v>
      </c>
      <c r="AK1171" t="s">
        <v>137</v>
      </c>
      <c r="AL1171">
        <v>0</v>
      </c>
      <c r="AM1171" t="s">
        <v>137</v>
      </c>
      <c r="AN1171">
        <v>0</v>
      </c>
    </row>
    <row r="1172" spans="1:42" ht="12.75">
      <c r="A1172" s="2" t="str">
        <f>HYPERLINK("https://ibp.a2mac1.com/costing(costing:projects/details/8191/process/6976026)","MANUFACTURING  PROCESS")</f>
        <v>MANUFACTURING  PROCESS</v>
      </c>
      <c r="B1172" t="s">
        <v>6354</v>
      </c>
      <c r="C1172">
        <v>6976026</v>
      </c>
      <c r="D1172">
        <v>5389562</v>
      </c>
      <c r="E1172">
        <v>0.044828666666666669</v>
      </c>
      <c r="F1172">
        <v>0</v>
      </c>
      <c r="G1172">
        <v>0</v>
      </c>
      <c r="H1172">
        <v>5.6035833333333333E-06</v>
      </c>
      <c r="I1172" t="s">
        <v>137</v>
      </c>
      <c r="J1172">
        <v>0.0017829583333333332</v>
      </c>
      <c r="K1172">
        <v>0.046617228583333337</v>
      </c>
      <c r="L1172">
        <v>0.0060634228323073382</v>
      </c>
      <c r="M1172">
        <v>0.036380536993844033</v>
      </c>
      <c r="N1172">
        <v>0.082997765577177363</v>
      </c>
      <c r="O1172" t="s">
        <v>138</v>
      </c>
      <c r="P1172">
        <v>0.0027970337150000002</v>
      </c>
      <c r="Q1172" t="s">
        <v>138</v>
      </c>
      <c r="R1172">
        <v>0.0021828322196306418</v>
      </c>
      <c r="S1172" t="s">
        <v>139</v>
      </c>
      <c r="T1172">
        <v>0.0099597318692612839</v>
      </c>
      <c r="U1172">
        <v>0.097937363381069287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1.03904</v>
      </c>
      <c r="AB1172">
        <v>1</v>
      </c>
      <c r="AC1172">
        <v>0.01</v>
      </c>
      <c r="AD1172">
        <v>0.01099879013308536</v>
      </c>
      <c r="AE1172">
        <v>5400</v>
      </c>
      <c r="AF1172">
        <v>400000</v>
      </c>
      <c r="AG1172">
        <v>33333.333333333336</v>
      </c>
      <c r="AH1172">
        <v>1</v>
      </c>
      <c r="AI1172">
        <v>1</v>
      </c>
      <c r="AJ1172" t="s">
        <v>136</v>
      </c>
      <c r="AK1172" t="s">
        <v>137</v>
      </c>
      <c r="AL1172">
        <v>0</v>
      </c>
      <c r="AM1172" t="s">
        <v>137</v>
      </c>
      <c r="AN1172">
        <v>0</v>
      </c>
    </row>
    <row r="1173" spans="1:42" ht="12.75">
      <c r="A1173" s="2" t="str">
        <f>HYPERLINK("https://ibp.a2mac1.com/costing(costing:projects/details/8191/process/6976027)","MANUFACTURING  PROCESS")</f>
        <v>MANUFACTURING  PROCESS</v>
      </c>
      <c r="B1173" t="s">
        <v>6354</v>
      </c>
      <c r="C1173">
        <v>6976027</v>
      </c>
      <c r="D1173">
        <v>5389563</v>
      </c>
      <c r="E1173">
        <v>0.66417744999999995</v>
      </c>
      <c r="F1173">
        <v>0</v>
      </c>
      <c r="G1173">
        <v>0</v>
      </c>
      <c r="H1173">
        <v>8.9096974999999996E-05</v>
      </c>
      <c r="I1173" t="s">
        <v>137</v>
      </c>
      <c r="J1173">
        <v>0.0283490375</v>
      </c>
      <c r="K1173">
        <v>0.69261558447500005</v>
      </c>
      <c r="L1173">
        <v>0.030064346017248039</v>
      </c>
      <c r="M1173">
        <v>0.18038607610348822</v>
      </c>
      <c r="N1173">
        <v>0.87300166057848827</v>
      </c>
      <c r="O1173" t="s">
        <v>138</v>
      </c>
      <c r="P1173">
        <v>0.041556935068500001</v>
      </c>
      <c r="Q1173" t="s">
        <v>138</v>
      </c>
      <c r="R1173">
        <v>0.010823164566209294</v>
      </c>
      <c r="S1173" t="s">
        <v>139</v>
      </c>
      <c r="T1173">
        <v>0.10476019926941858</v>
      </c>
      <c r="U1173">
        <v>1.0301419594826162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5.85337</v>
      </c>
      <c r="AB1173">
        <v>1</v>
      </c>
      <c r="AC1173">
        <v>0.01</v>
      </c>
      <c r="AD1173">
        <v>0.01099879013308536</v>
      </c>
      <c r="AE1173">
        <v>5400</v>
      </c>
      <c r="AF1173">
        <v>400000</v>
      </c>
      <c r="AG1173">
        <v>33333.333333333336</v>
      </c>
      <c r="AH1173">
        <v>1</v>
      </c>
      <c r="AI1173">
        <v>1</v>
      </c>
      <c r="AJ1173" t="s">
        <v>136</v>
      </c>
      <c r="AK1173" t="s">
        <v>137</v>
      </c>
      <c r="AL1173">
        <v>0</v>
      </c>
      <c r="AM1173" t="s">
        <v>137</v>
      </c>
      <c r="AN1173">
        <v>0</v>
      </c>
    </row>
    <row r="1174" spans="1:42" ht="12.75">
      <c r="A1174" s="2" t="str">
        <f>HYPERLINK("https://ibp.a2mac1.com/costing(costing:projects/details/8191/process/6976028)","MANUFACTURING  PROCESS")</f>
        <v>MANUFACTURING  PROCESS</v>
      </c>
      <c r="B1174" t="s">
        <v>6354</v>
      </c>
      <c r="C1174">
        <v>6976028</v>
      </c>
      <c r="D1174">
        <v>5389564</v>
      </c>
      <c r="E1174">
        <v>1.1431309999999999</v>
      </c>
      <c r="F1174">
        <v>0</v>
      </c>
      <c r="G1174">
        <v>0</v>
      </c>
      <c r="H1174">
        <v>0.00018828040000000001</v>
      </c>
      <c r="I1174" t="s">
        <v>137</v>
      </c>
      <c r="J1174">
        <v>0.047070099999999997</v>
      </c>
      <c r="K1174">
        <v>1.1903893804000001</v>
      </c>
      <c r="L1174">
        <v>0.030948761650381341</v>
      </c>
      <c r="M1174">
        <v>0.18569256990228805</v>
      </c>
      <c r="N1174">
        <v>1.3760819503022881</v>
      </c>
      <c r="O1174" t="s">
        <v>138</v>
      </c>
      <c r="P1174">
        <v>0.071423362823999997</v>
      </c>
      <c r="Q1174" t="s">
        <v>138</v>
      </c>
      <c r="R1174">
        <v>0.011141554194137282</v>
      </c>
      <c r="S1174" t="s">
        <v>139</v>
      </c>
      <c r="T1174">
        <v>0.16512983403627457</v>
      </c>
      <c r="U1174">
        <v>1.6237767013566999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5.85337</v>
      </c>
      <c r="AB1174">
        <v>1</v>
      </c>
      <c r="AC1174">
        <v>0.01</v>
      </c>
      <c r="AD1174">
        <v>0.013998040274361589</v>
      </c>
      <c r="AE1174">
        <v>5400</v>
      </c>
      <c r="AF1174">
        <v>200000</v>
      </c>
      <c r="AG1174">
        <v>16666.666666666668</v>
      </c>
      <c r="AH1174">
        <v>1</v>
      </c>
      <c r="AI1174">
        <v>1</v>
      </c>
      <c r="AJ1174" t="s">
        <v>136</v>
      </c>
      <c r="AK1174" t="s">
        <v>137</v>
      </c>
      <c r="AL1174">
        <v>0</v>
      </c>
      <c r="AM1174" t="s">
        <v>137</v>
      </c>
      <c r="AN1174">
        <v>0</v>
      </c>
    </row>
    <row r="1175" spans="1:42" ht="12.75">
      <c r="A1175" s="2" t="str">
        <f>HYPERLINK("https://ibp.a2mac1.com/costing(costing:projects/details/8191/process/6976029)","MANUFACTURING  PROCESS")</f>
        <v>MANUFACTURING  PROCESS</v>
      </c>
      <c r="B1175" t="s">
        <v>6354</v>
      </c>
      <c r="C1175">
        <v>6976029</v>
      </c>
      <c r="D1175">
        <v>5389565</v>
      </c>
      <c r="E1175">
        <v>0.2494104</v>
      </c>
      <c r="F1175">
        <v>0</v>
      </c>
      <c r="G1175">
        <v>0</v>
      </c>
      <c r="H1175">
        <v>4.1079360000000002E-05</v>
      </c>
      <c r="I1175" t="s">
        <v>137</v>
      </c>
      <c r="J1175">
        <v>0.010269840000000001</v>
      </c>
      <c r="K1175">
        <v>0.25972131935999998</v>
      </c>
      <c r="L1175">
        <v>0.022267682204090936</v>
      </c>
      <c r="M1175">
        <v>0.13360609322454561</v>
      </c>
      <c r="N1175">
        <v>0.39332741258454562</v>
      </c>
      <c r="O1175" t="s">
        <v>138</v>
      </c>
      <c r="P1175">
        <v>0.015583279161599999</v>
      </c>
      <c r="Q1175" t="s">
        <v>138</v>
      </c>
      <c r="R1175">
        <v>0.0080163655934727355</v>
      </c>
      <c r="S1175" t="s">
        <v>139</v>
      </c>
      <c r="T1175">
        <v>0.047199289510145473</v>
      </c>
      <c r="U1175">
        <v>0.46412634684976384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4.1120900000000002</v>
      </c>
      <c r="AB1175">
        <v>1</v>
      </c>
      <c r="AC1175">
        <v>0.01</v>
      </c>
      <c r="AD1175">
        <v>0.013998040274361589</v>
      </c>
      <c r="AE1175">
        <v>5400</v>
      </c>
      <c r="AF1175">
        <v>200000</v>
      </c>
      <c r="AG1175">
        <v>16666.666666666668</v>
      </c>
      <c r="AH1175">
        <v>1</v>
      </c>
      <c r="AI1175">
        <v>1</v>
      </c>
      <c r="AJ1175" t="s">
        <v>136</v>
      </c>
      <c r="AK1175" t="s">
        <v>137</v>
      </c>
      <c r="AL1175">
        <v>0</v>
      </c>
      <c r="AM1175" t="s">
        <v>137</v>
      </c>
      <c r="AN1175">
        <v>0</v>
      </c>
    </row>
    <row r="1176" spans="1:42" ht="12.75">
      <c r="A1176" s="2" t="str">
        <f>HYPERLINK("https://ibp.a2mac1.com/costing(costing:projects/details/8191/process/6976030)","MANUFACTURING  PROCESS")</f>
        <v>MANUFACTURING  PROCESS</v>
      </c>
      <c r="B1176" t="s">
        <v>6354</v>
      </c>
      <c r="C1176">
        <v>6976030</v>
      </c>
      <c r="D1176">
        <v>5389566</v>
      </c>
      <c r="E1176">
        <v>0.17931466666666668</v>
      </c>
      <c r="F1176">
        <v>0</v>
      </c>
      <c r="G1176">
        <v>0</v>
      </c>
      <c r="H1176">
        <v>2.2414333333333333E-05</v>
      </c>
      <c r="I1176" t="s">
        <v>137</v>
      </c>
      <c r="J1176">
        <v>0.0071318333333333329</v>
      </c>
      <c r="K1176">
        <v>0.18646891433333335</v>
      </c>
      <c r="L1176">
        <v>0.015970079527095317</v>
      </c>
      <c r="M1176">
        <v>0.095820477162571902</v>
      </c>
      <c r="N1176">
        <v>0.28228939149590526</v>
      </c>
      <c r="O1176" t="s">
        <v>138</v>
      </c>
      <c r="P1176">
        <v>0.011188134860000001</v>
      </c>
      <c r="Q1176" t="s">
        <v>138</v>
      </c>
      <c r="R1176">
        <v>0.0057492286297543141</v>
      </c>
      <c r="S1176" t="s">
        <v>139</v>
      </c>
      <c r="T1176">
        <v>0.033874726979508628</v>
      </c>
      <c r="U1176">
        <v>0.3331014819651682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3.0262099999999998</v>
      </c>
      <c r="AB1176">
        <v>1</v>
      </c>
      <c r="AC1176">
        <v>0.01</v>
      </c>
      <c r="AD1176">
        <v>0.01099879013308536</v>
      </c>
      <c r="AE1176">
        <v>5400</v>
      </c>
      <c r="AF1176">
        <v>400000</v>
      </c>
      <c r="AG1176">
        <v>33333.333333333336</v>
      </c>
      <c r="AH1176">
        <v>1</v>
      </c>
      <c r="AI1176">
        <v>1</v>
      </c>
      <c r="AJ1176" t="s">
        <v>136</v>
      </c>
      <c r="AK1176" t="s">
        <v>137</v>
      </c>
      <c r="AL1176">
        <v>0</v>
      </c>
      <c r="AM1176" t="s">
        <v>137</v>
      </c>
      <c r="AN1176">
        <v>0</v>
      </c>
    </row>
    <row r="1177" spans="1:42" ht="12.75">
      <c r="A1177" s="2" t="str">
        <f>HYPERLINK("https://ibp.a2mac1.com/costing(costing:projects/details/8191/process/6976031)","MANUFACTURING  PROCESS")</f>
        <v>MANUFACTURING  PROCESS</v>
      </c>
      <c r="B1177" t="s">
        <v>6354</v>
      </c>
      <c r="C1177">
        <v>6976031</v>
      </c>
      <c r="D1177">
        <v>5389567</v>
      </c>
      <c r="E1177">
        <v>0.49882080000000001</v>
      </c>
      <c r="F1177">
        <v>0</v>
      </c>
      <c r="G1177">
        <v>0</v>
      </c>
      <c r="H1177">
        <v>8.2158720000000005E-05</v>
      </c>
      <c r="I1177" t="s">
        <v>137</v>
      </c>
      <c r="J1177">
        <v>0.020539680000000001</v>
      </c>
      <c r="K1177">
        <v>0.51944263871999996</v>
      </c>
      <c r="L1177">
        <v>0.030948761650381341</v>
      </c>
      <c r="M1177">
        <v>0.18569256990228805</v>
      </c>
      <c r="N1177">
        <v>0.70513520862228807</v>
      </c>
      <c r="O1177" t="s">
        <v>138</v>
      </c>
      <c r="P1177">
        <v>0.031166558323199998</v>
      </c>
      <c r="Q1177" t="s">
        <v>138</v>
      </c>
      <c r="R1177">
        <v>0.011141554194137282</v>
      </c>
      <c r="S1177" t="s">
        <v>139</v>
      </c>
      <c r="T1177">
        <v>0.084616225034674558</v>
      </c>
      <c r="U1177">
        <v>0.83205954617429989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5.85337</v>
      </c>
      <c r="AB1177">
        <v>1</v>
      </c>
      <c r="AC1177">
        <v>0.01</v>
      </c>
      <c r="AD1177">
        <v>0.013998040274361589</v>
      </c>
      <c r="AE1177">
        <v>5400</v>
      </c>
      <c r="AF1177">
        <v>200000</v>
      </c>
      <c r="AG1177">
        <v>16666.666666666668</v>
      </c>
      <c r="AH1177">
        <v>1</v>
      </c>
      <c r="AI1177">
        <v>1</v>
      </c>
      <c r="AJ1177" t="s">
        <v>136</v>
      </c>
      <c r="AK1177" t="s">
        <v>137</v>
      </c>
      <c r="AL1177">
        <v>0</v>
      </c>
      <c r="AM1177" t="s">
        <v>137</v>
      </c>
      <c r="AN1177">
        <v>0</v>
      </c>
    </row>
    <row r="1178" spans="1:42" ht="12.75">
      <c r="A1178" s="2" t="str">
        <f>HYPERLINK("https://ibp.a2mac1.com/costing(costing:projects/details/8191/process/6976032)","MANUFACTURING  PROCESS")</f>
        <v>MANUFACTURING  PROCESS</v>
      </c>
      <c r="B1178" t="s">
        <v>6354</v>
      </c>
      <c r="C1178">
        <v>6976032</v>
      </c>
      <c r="D1178">
        <v>5389568</v>
      </c>
      <c r="E1178">
        <v>10.032510346363637</v>
      </c>
      <c r="F1178">
        <v>0</v>
      </c>
      <c r="G1178">
        <v>0</v>
      </c>
      <c r="H1178">
        <v>0.001144788525</v>
      </c>
      <c r="I1178" t="s">
        <v>137</v>
      </c>
      <c r="J1178">
        <v>0.36425089431818181</v>
      </c>
      <c r="K1178">
        <v>10.397906029206819</v>
      </c>
      <c r="L1178">
        <v>0.053390781806786566</v>
      </c>
      <c r="M1178">
        <v>0.32034469084071937</v>
      </c>
      <c r="N1178">
        <v>10.718250720047537</v>
      </c>
      <c r="O1178" t="s">
        <v>138</v>
      </c>
      <c r="P1178">
        <v>0.62387436175240907</v>
      </c>
      <c r="Q1178" t="s">
        <v>138</v>
      </c>
      <c r="R1178">
        <v>0.019220681450443162</v>
      </c>
      <c r="S1178" t="s">
        <v>139</v>
      </c>
      <c r="T1178">
        <v>1.2861900864057045</v>
      </c>
      <c r="U1178">
        <v>12.647535849656094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21.064810000000001</v>
      </c>
      <c r="AB1178">
        <v>2</v>
      </c>
      <c r="AC1178">
        <v>0.01</v>
      </c>
      <c r="AD1178">
        <v>0.01099879013308536</v>
      </c>
      <c r="AE1178">
        <v>5400</v>
      </c>
      <c r="AF1178">
        <v>400000</v>
      </c>
      <c r="AG1178">
        <v>33333.333333333336</v>
      </c>
      <c r="AH1178">
        <v>1</v>
      </c>
      <c r="AI1178">
        <v>1</v>
      </c>
      <c r="AJ1178" t="s">
        <v>136</v>
      </c>
      <c r="AK1178" t="s">
        <v>137</v>
      </c>
      <c r="AL1178">
        <v>0</v>
      </c>
      <c r="AM1178" t="s">
        <v>137</v>
      </c>
      <c r="AN1178">
        <v>0</v>
      </c>
    </row>
    <row r="1179" spans="1:42" ht="12.75">
      <c r="A1179" s="2" t="str">
        <f>HYPERLINK("https://ibp.a2mac1.com/costing(costing:projects/details/8191/process/6976033)","MANUFACTURING  PROCESS")</f>
        <v>MANUFACTURING  PROCESS</v>
      </c>
      <c r="B1179" t="s">
        <v>6354</v>
      </c>
      <c r="C1179">
        <v>6976033</v>
      </c>
      <c r="D1179">
        <v>5389590</v>
      </c>
      <c r="E1179">
        <v>4.7059357799999999</v>
      </c>
      <c r="F1179">
        <v>0</v>
      </c>
      <c r="G1179">
        <v>0</v>
      </c>
      <c r="H1179">
        <v>0.00056884937999999996</v>
      </c>
      <c r="I1179" t="s">
        <v>137</v>
      </c>
      <c r="J1179">
        <v>0.18099752999999999</v>
      </c>
      <c r="K1179">
        <v>4.8875021593800003</v>
      </c>
      <c r="L1179">
        <v>0.053390781806786566</v>
      </c>
      <c r="M1179">
        <v>0.32034469084071937</v>
      </c>
      <c r="N1179">
        <v>5.2078468502207196</v>
      </c>
      <c r="O1179" t="s">
        <v>138</v>
      </c>
      <c r="P1179">
        <v>0.2932501295628</v>
      </c>
      <c r="Q1179" t="s">
        <v>138</v>
      </c>
      <c r="R1179">
        <v>0.019220681450443162</v>
      </c>
      <c r="S1179" t="s">
        <v>139</v>
      </c>
      <c r="T1179">
        <v>0.62494162202648629</v>
      </c>
      <c r="U1179">
        <v>6.1452592832604491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21.064810000000001</v>
      </c>
      <c r="AB1179">
        <v>2</v>
      </c>
      <c r="AC1179">
        <v>0.01</v>
      </c>
      <c r="AD1179">
        <v>0.01099879013308536</v>
      </c>
      <c r="AE1179">
        <v>5400</v>
      </c>
      <c r="AF1179">
        <v>400000</v>
      </c>
      <c r="AG1179">
        <v>33333.333333333336</v>
      </c>
      <c r="AH1179">
        <v>1</v>
      </c>
      <c r="AI1179">
        <v>1</v>
      </c>
      <c r="AJ1179" t="s">
        <v>136</v>
      </c>
      <c r="AK1179" t="s">
        <v>137</v>
      </c>
      <c r="AL1179">
        <v>0</v>
      </c>
      <c r="AM1179" t="s">
        <v>137</v>
      </c>
      <c r="AN1179">
        <v>0</v>
      </c>
    </row>
    <row r="1180" spans="1:42" ht="12.75">
      <c r="A1180" s="2" t="str">
        <f>HYPERLINK("https://ibp.a2mac1.com/costing(costing:projects/details/8191/process/6976034)","MANUFACTURING  PROCESS")</f>
        <v>MANUFACTURING  PROCESS</v>
      </c>
      <c r="B1180" t="s">
        <v>6354</v>
      </c>
      <c r="C1180">
        <v>6976034</v>
      </c>
      <c r="D1180">
        <v>5389591</v>
      </c>
      <c r="E1180">
        <v>7.7177706092307696</v>
      </c>
      <c r="F1180">
        <v>0</v>
      </c>
      <c r="G1180">
        <v>0</v>
      </c>
      <c r="H1180">
        <v>0.00094855281230769232</v>
      </c>
      <c r="I1180" t="s">
        <v>137</v>
      </c>
      <c r="J1180">
        <v>0.30181225846153847</v>
      </c>
      <c r="K1180">
        <v>8.0205314205046161</v>
      </c>
      <c r="L1180">
        <v>0.053390781806786566</v>
      </c>
      <c r="M1180">
        <v>0.32034469084071937</v>
      </c>
      <c r="N1180">
        <v>8.3408761113453345</v>
      </c>
      <c r="O1180" t="s">
        <v>138</v>
      </c>
      <c r="P1180">
        <v>0.48123188523027693</v>
      </c>
      <c r="Q1180" t="s">
        <v>138</v>
      </c>
      <c r="R1180">
        <v>0.019220681450443162</v>
      </c>
      <c r="S1180" t="s">
        <v>139</v>
      </c>
      <c r="T1180">
        <v>1.0009051333614403</v>
      </c>
      <c r="U1180">
        <v>9.8422338113874943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21.064810000000001</v>
      </c>
      <c r="AB1180">
        <v>2</v>
      </c>
      <c r="AC1180">
        <v>0.01</v>
      </c>
      <c r="AD1180">
        <v>0.01099879013308536</v>
      </c>
      <c r="AE1180">
        <v>5400</v>
      </c>
      <c r="AF1180">
        <v>400000</v>
      </c>
      <c r="AG1180">
        <v>33333.333333333336</v>
      </c>
      <c r="AH1180">
        <v>1</v>
      </c>
      <c r="AI1180">
        <v>1</v>
      </c>
      <c r="AJ1180" t="s">
        <v>136</v>
      </c>
      <c r="AK1180" t="s">
        <v>137</v>
      </c>
      <c r="AL1180">
        <v>0</v>
      </c>
      <c r="AM1180" t="s">
        <v>137</v>
      </c>
      <c r="AN1180">
        <v>0</v>
      </c>
    </row>
    <row r="1181" spans="1:42" ht="12.75">
      <c r="A1181" s="2" t="str">
        <f>HYPERLINK("https://ibp.a2mac1.com/costing(costing:projects/details/8191/process/6976035)","MANUFACTURING  PROCESS")</f>
        <v>MANUFACTURING  PROCESS</v>
      </c>
      <c r="B1181" t="s">
        <v>6354</v>
      </c>
      <c r="C1181">
        <v>6976035</v>
      </c>
      <c r="D1181">
        <v>5389592</v>
      </c>
      <c r="E1181">
        <v>1.211374309090909</v>
      </c>
      <c r="F1181">
        <v>0</v>
      </c>
      <c r="G1181">
        <v>0</v>
      </c>
      <c r="H1181">
        <v>0.0001540476</v>
      </c>
      <c r="I1181" t="s">
        <v>137</v>
      </c>
      <c r="J1181">
        <v>0.049015145454545453</v>
      </c>
      <c r="K1181">
        <v>1.2605435021454545</v>
      </c>
      <c r="L1181">
        <v>0.030064346017248039</v>
      </c>
      <c r="M1181">
        <v>0.18038607610348822</v>
      </c>
      <c r="N1181">
        <v>1.4409295782489429</v>
      </c>
      <c r="O1181" t="s">
        <v>138</v>
      </c>
      <c r="P1181">
        <v>0.075632610128727268</v>
      </c>
      <c r="Q1181" t="s">
        <v>138</v>
      </c>
      <c r="R1181">
        <v>0.010823164566209294</v>
      </c>
      <c r="S1181" t="s">
        <v>139</v>
      </c>
      <c r="T1181">
        <v>0.17291154938987313</v>
      </c>
      <c r="U1181">
        <v>1.7002969023337524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5.85337</v>
      </c>
      <c r="AB1181">
        <v>1</v>
      </c>
      <c r="AC1181">
        <v>0.01</v>
      </c>
      <c r="AD1181">
        <v>0.01099879013308536</v>
      </c>
      <c r="AE1181">
        <v>5400</v>
      </c>
      <c r="AF1181">
        <v>400000</v>
      </c>
      <c r="AG1181">
        <v>33333.333333333336</v>
      </c>
      <c r="AH1181">
        <v>1</v>
      </c>
      <c r="AI1181">
        <v>1</v>
      </c>
      <c r="AJ1181" t="s">
        <v>136</v>
      </c>
      <c r="AK1181" t="s">
        <v>137</v>
      </c>
      <c r="AL1181">
        <v>0</v>
      </c>
      <c r="AM1181" t="s">
        <v>137</v>
      </c>
      <c r="AN1181">
        <v>0</v>
      </c>
    </row>
    <row r="1182" spans="1:42" ht="12.75">
      <c r="A1182" s="2" t="str">
        <f>HYPERLINK("https://ibp.a2mac1.com/costing(costing:projects/details/8191/process/6976036)","MANUFACTURING  PROCESS")</f>
        <v>MANUFACTURING  PROCESS</v>
      </c>
      <c r="B1182" t="s">
        <v>6354</v>
      </c>
      <c r="C1182">
        <v>6976036</v>
      </c>
      <c r="D1182">
        <v>5389593</v>
      </c>
      <c r="E1182">
        <v>0.29097879999999998</v>
      </c>
      <c r="F1182">
        <v>0</v>
      </c>
      <c r="G1182">
        <v>0</v>
      </c>
      <c r="H1182">
        <v>3.7656079999999999E-05</v>
      </c>
      <c r="I1182" t="s">
        <v>137</v>
      </c>
      <c r="J1182">
        <v>0.011981479999999999</v>
      </c>
      <c r="K1182">
        <v>0.30299793607999997</v>
      </c>
      <c r="L1182">
        <v>0.030064346017248039</v>
      </c>
      <c r="M1182">
        <v>0.18038607610348822</v>
      </c>
      <c r="N1182">
        <v>0.48338401218348825</v>
      </c>
      <c r="O1182" t="s">
        <v>138</v>
      </c>
      <c r="P1182">
        <v>0.018179876164800001</v>
      </c>
      <c r="Q1182" t="s">
        <v>138</v>
      </c>
      <c r="R1182">
        <v>0.010823164566209294</v>
      </c>
      <c r="S1182" t="s">
        <v>139</v>
      </c>
      <c r="T1182">
        <v>0.058006081462018591</v>
      </c>
      <c r="U1182">
        <v>0.57039313437651606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5.85337</v>
      </c>
      <c r="AB1182">
        <v>1</v>
      </c>
      <c r="AC1182">
        <v>0.01</v>
      </c>
      <c r="AD1182">
        <v>0.01099879013308536</v>
      </c>
      <c r="AE1182">
        <v>5400</v>
      </c>
      <c r="AF1182">
        <v>400000</v>
      </c>
      <c r="AG1182">
        <v>33333.333333333336</v>
      </c>
      <c r="AH1182">
        <v>1</v>
      </c>
      <c r="AI1182">
        <v>1</v>
      </c>
      <c r="AJ1182" t="s">
        <v>136</v>
      </c>
      <c r="AK1182" t="s">
        <v>137</v>
      </c>
      <c r="AL1182">
        <v>0</v>
      </c>
      <c r="AM1182" t="s">
        <v>137</v>
      </c>
      <c r="AN1182">
        <v>0</v>
      </c>
    </row>
    <row r="1183" spans="1:42" ht="12.75">
      <c r="A1183" s="2" t="str">
        <f>HYPERLINK("https://ibp.a2mac1.com/costing(costing:projects/details/8191/process/6976037)","MANUFACTURING  PROCESS")</f>
        <v>MANUFACTURING  PROCESS</v>
      </c>
      <c r="B1183" t="s">
        <v>6354</v>
      </c>
      <c r="C1183">
        <v>6976037</v>
      </c>
      <c r="D1183">
        <v>5389594</v>
      </c>
      <c r="E1183">
        <v>74.717110250000005</v>
      </c>
      <c r="F1183">
        <v>0</v>
      </c>
      <c r="G1183">
        <v>0</v>
      </c>
      <c r="H1183">
        <v>0.0087434916250000005</v>
      </c>
      <c r="I1183" t="s">
        <v>137</v>
      </c>
      <c r="J1183">
        <v>2.7820200625</v>
      </c>
      <c r="K1183">
        <v>77.507873804124998</v>
      </c>
      <c r="L1183">
        <v>0.21211287861565312</v>
      </c>
      <c r="M1183">
        <v>1.2726772716939188</v>
      </c>
      <c r="N1183">
        <v>78.78055107581892</v>
      </c>
      <c r="O1183" t="s">
        <v>138</v>
      </c>
      <c r="P1183">
        <v>4.6504724282475003</v>
      </c>
      <c r="Q1183" t="s">
        <v>138</v>
      </c>
      <c r="R1183">
        <v>0.076360636301635129</v>
      </c>
      <c r="S1183" t="s">
        <v>139</v>
      </c>
      <c r="T1183">
        <v>9.45366612909827</v>
      </c>
      <c r="U1183">
        <v>92.961050269466327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42.370370000000001</v>
      </c>
      <c r="AB1183">
        <v>1</v>
      </c>
      <c r="AC1183">
        <v>0.01</v>
      </c>
      <c r="AD1183">
        <v>0.01099879013308536</v>
      </c>
      <c r="AE1183">
        <v>5400</v>
      </c>
      <c r="AF1183">
        <v>400000</v>
      </c>
      <c r="AG1183">
        <v>33333.333333333336</v>
      </c>
      <c r="AH1183">
        <v>1</v>
      </c>
      <c r="AI1183">
        <v>1</v>
      </c>
      <c r="AJ1183" t="s">
        <v>136</v>
      </c>
      <c r="AK1183" t="s">
        <v>137</v>
      </c>
      <c r="AL1183">
        <v>0</v>
      </c>
      <c r="AM1183" t="s">
        <v>137</v>
      </c>
      <c r="AN1183">
        <v>0</v>
      </c>
    </row>
    <row r="1184" spans="1:42" ht="12.75">
      <c r="A1184" s="2" t="str">
        <f>HYPERLINK("https://ibp.a2mac1.com/costing(costing:projects/details/8191/process/6976038)","MANUFACTURING  PROCESS")</f>
        <v>MANUFACTURING  PROCESS</v>
      </c>
      <c r="B1184" t="s">
        <v>6354</v>
      </c>
      <c r="C1184">
        <v>6976038</v>
      </c>
      <c r="D1184">
        <v>5389595</v>
      </c>
      <c r="E1184">
        <v>0.033668523076923078</v>
      </c>
      <c r="F1184">
        <v>0</v>
      </c>
      <c r="G1184">
        <v>0</v>
      </c>
      <c r="H1184">
        <v>4.1380307692307692E-06</v>
      </c>
      <c r="I1184" t="s">
        <v>137</v>
      </c>
      <c r="J1184">
        <v>0.0013166461538461538</v>
      </c>
      <c r="K1184">
        <v>0.034989307261538462</v>
      </c>
      <c r="L1184">
        <v>0.0060634228323073382</v>
      </c>
      <c r="M1184">
        <v>0.036380536993844033</v>
      </c>
      <c r="N1184">
        <v>0.071369844255382495</v>
      </c>
      <c r="O1184" t="s">
        <v>138</v>
      </c>
      <c r="P1184">
        <v>0.0020993584356923077</v>
      </c>
      <c r="Q1184" t="s">
        <v>138</v>
      </c>
      <c r="R1184">
        <v>0.0021828322196306418</v>
      </c>
      <c r="S1184" t="s">
        <v>139</v>
      </c>
      <c r="T1184">
        <v>0.008564381310645899</v>
      </c>
      <c r="U1184">
        <v>0.084216416221351342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1.03904</v>
      </c>
      <c r="AB1184">
        <v>1</v>
      </c>
      <c r="AC1184">
        <v>0.01</v>
      </c>
      <c r="AD1184">
        <v>0.01099879013308536</v>
      </c>
      <c r="AE1184">
        <v>5400</v>
      </c>
      <c r="AF1184">
        <v>400000</v>
      </c>
      <c r="AG1184">
        <v>33333.333333333336</v>
      </c>
      <c r="AH1184">
        <v>1</v>
      </c>
      <c r="AI1184">
        <v>1</v>
      </c>
      <c r="AJ1184" t="s">
        <v>136</v>
      </c>
      <c r="AK1184" t="s">
        <v>137</v>
      </c>
      <c r="AL1184">
        <v>0</v>
      </c>
      <c r="AM1184" t="s">
        <v>137</v>
      </c>
      <c r="AN1184">
        <v>0</v>
      </c>
    </row>
    <row r="1185" spans="1:42" ht="12.75">
      <c r="A1185" s="2" t="str">
        <f>HYPERLINK("https://ibp.a2mac1.com/costing(costing:projects/details/8191/process/6976039)","MANUFACTURING  PROCESS")</f>
        <v>MANUFACTURING  PROCESS</v>
      </c>
      <c r="B1185" t="s">
        <v>6354</v>
      </c>
      <c r="C1185">
        <v>6976039</v>
      </c>
      <c r="D1185">
        <v>5389596</v>
      </c>
      <c r="E1185">
        <v>0.050502784615384613</v>
      </c>
      <c r="F1185">
        <v>0</v>
      </c>
      <c r="G1185">
        <v>0</v>
      </c>
      <c r="H1185">
        <v>6.2070461538461538E-06</v>
      </c>
      <c r="I1185" t="s">
        <v>137</v>
      </c>
      <c r="J1185">
        <v>0.0019749692307692306</v>
      </c>
      <c r="K1185">
        <v>0.052483960892307689</v>
      </c>
      <c r="L1185">
        <v>0.0060085096525124091</v>
      </c>
      <c r="M1185">
        <v>0.036051057915074451</v>
      </c>
      <c r="N1185">
        <v>0.08853501880738214</v>
      </c>
      <c r="O1185" t="s">
        <v>138</v>
      </c>
      <c r="P1185">
        <v>0.0031490376535384616</v>
      </c>
      <c r="Q1185" t="s">
        <v>138</v>
      </c>
      <c r="R1185">
        <v>0.0021630634749044671</v>
      </c>
      <c r="S1185" t="s">
        <v>139</v>
      </c>
      <c r="T1185">
        <v>0.010624202256885857</v>
      </c>
      <c r="U1185">
        <v>0.10447132219271094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2.0560499999999999</v>
      </c>
      <c r="AB1185">
        <v>2</v>
      </c>
      <c r="AC1185">
        <v>0.01</v>
      </c>
      <c r="AD1185">
        <v>0.01099879013308536</v>
      </c>
      <c r="AE1185">
        <v>5400</v>
      </c>
      <c r="AF1185">
        <v>400000</v>
      </c>
      <c r="AG1185">
        <v>33333.333333333336</v>
      </c>
      <c r="AH1185">
        <v>1</v>
      </c>
      <c r="AI1185">
        <v>1</v>
      </c>
      <c r="AJ1185" t="s">
        <v>136</v>
      </c>
      <c r="AK1185" t="s">
        <v>137</v>
      </c>
      <c r="AL1185">
        <v>0</v>
      </c>
      <c r="AM1185" t="s">
        <v>137</v>
      </c>
      <c r="AN1185">
        <v>0</v>
      </c>
    </row>
    <row r="1186" spans="1:42" ht="12.75">
      <c r="A1186" s="2" t="str">
        <f>HYPERLINK("https://ibp.a2mac1.com/costing(costing:projects/details/8191/process/6976040)","MANUFACTURING  PROCESS")</f>
        <v>MANUFACTURING  PROCESS</v>
      </c>
      <c r="B1186" t="s">
        <v>6354</v>
      </c>
      <c r="C1186">
        <v>6976040</v>
      </c>
      <c r="D1186">
        <v>5389597</v>
      </c>
      <c r="E1186">
        <v>0.092588438461538455</v>
      </c>
      <c r="F1186">
        <v>0</v>
      </c>
      <c r="G1186">
        <v>0</v>
      </c>
      <c r="H1186">
        <v>1.1379584615384615E-05</v>
      </c>
      <c r="I1186" t="s">
        <v>137</v>
      </c>
      <c r="J1186">
        <v>0.0036207769230769231</v>
      </c>
      <c r="K1186">
        <v>0.096220594969230772</v>
      </c>
      <c r="L1186">
        <v>0.0046551228631498652</v>
      </c>
      <c r="M1186">
        <v>0.027930737178899191</v>
      </c>
      <c r="N1186">
        <v>0.12415133214812996</v>
      </c>
      <c r="O1186" t="s">
        <v>138</v>
      </c>
      <c r="P1186">
        <v>0.0057732356981538462</v>
      </c>
      <c r="Q1186" t="s">
        <v>138</v>
      </c>
      <c r="R1186">
        <v>0.0016758442307339514</v>
      </c>
      <c r="S1186" t="s">
        <v>139</v>
      </c>
      <c r="T1186">
        <v>0.014898159857775595</v>
      </c>
      <c r="U1186">
        <v>0.14649857193479335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1.5130999999999999</v>
      </c>
      <c r="AB1186">
        <v>2</v>
      </c>
      <c r="AC1186">
        <v>0.01</v>
      </c>
      <c r="AD1186">
        <v>0.01099879013308536</v>
      </c>
      <c r="AE1186">
        <v>5400</v>
      </c>
      <c r="AF1186">
        <v>400000</v>
      </c>
      <c r="AG1186">
        <v>33333.333333333336</v>
      </c>
      <c r="AH1186">
        <v>1</v>
      </c>
      <c r="AI1186">
        <v>1</v>
      </c>
      <c r="AJ1186" t="s">
        <v>136</v>
      </c>
      <c r="AK1186" t="s">
        <v>137</v>
      </c>
      <c r="AL1186">
        <v>0</v>
      </c>
      <c r="AM1186" t="s">
        <v>137</v>
      </c>
      <c r="AN1186">
        <v>0</v>
      </c>
    </row>
    <row r="1187" spans="1:42" ht="12.75">
      <c r="A1187" s="2" t="str">
        <f>HYPERLINK("https://ibp.a2mac1.com/costing(costing:projects/details/8191/process/6976041)","MANUFACTURING  PROCESS")</f>
        <v>MANUFACTURING  PROCESS</v>
      </c>
      <c r="B1187" t="s">
        <v>6354</v>
      </c>
      <c r="C1187">
        <v>6976041</v>
      </c>
      <c r="D1187">
        <v>5389598</v>
      </c>
      <c r="E1187">
        <v>0.035862933333333333</v>
      </c>
      <c r="F1187">
        <v>0</v>
      </c>
      <c r="G1187">
        <v>0</v>
      </c>
      <c r="H1187">
        <v>4.4828666666666665E-06</v>
      </c>
      <c r="I1187" t="s">
        <v>137</v>
      </c>
      <c r="J1187">
        <v>0.0014263666666666666</v>
      </c>
      <c r="K1187">
        <v>0.037293782866666667</v>
      </c>
      <c r="L1187">
        <v>0.0046551228631498652</v>
      </c>
      <c r="M1187">
        <v>0.027930737178899191</v>
      </c>
      <c r="N1187">
        <v>0.065224520045565851</v>
      </c>
      <c r="O1187" t="s">
        <v>138</v>
      </c>
      <c r="P1187">
        <v>0.002237626972</v>
      </c>
      <c r="Q1187" t="s">
        <v>138</v>
      </c>
      <c r="R1187">
        <v>0.0016758442307339514</v>
      </c>
      <c r="S1187" t="s">
        <v>139</v>
      </c>
      <c r="T1187">
        <v>0.0078269424054679022</v>
      </c>
      <c r="U1187">
        <v>0.076964933653767706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1.5130999999999999</v>
      </c>
      <c r="AB1187">
        <v>2</v>
      </c>
      <c r="AC1187">
        <v>0.01</v>
      </c>
      <c r="AD1187">
        <v>0.01099879013308536</v>
      </c>
      <c r="AE1187">
        <v>5400</v>
      </c>
      <c r="AF1187">
        <v>400000</v>
      </c>
      <c r="AG1187">
        <v>33333.333333333336</v>
      </c>
      <c r="AH1187">
        <v>1</v>
      </c>
      <c r="AI1187">
        <v>1</v>
      </c>
      <c r="AJ1187" t="s">
        <v>136</v>
      </c>
      <c r="AK1187" t="s">
        <v>137</v>
      </c>
      <c r="AL1187">
        <v>0</v>
      </c>
      <c r="AM1187" t="s">
        <v>137</v>
      </c>
      <c r="AN1187">
        <v>0</v>
      </c>
    </row>
    <row r="1188" spans="1:42" ht="12.75">
      <c r="A1188" s="2" t="str">
        <f>HYPERLINK("https://ibp.a2mac1.com/costing(costing:projects/details/8191/process/6976042)","MANUFACTURING  PROCESS")</f>
        <v>MANUFACTURING  PROCESS</v>
      </c>
      <c r="B1188" t="s">
        <v>6354</v>
      </c>
      <c r="C1188">
        <v>6976042</v>
      </c>
      <c r="D1188">
        <v>5389599</v>
      </c>
      <c r="E1188">
        <v>0.0268972</v>
      </c>
      <c r="F1188">
        <v>0</v>
      </c>
      <c r="G1188">
        <v>0</v>
      </c>
      <c r="H1188">
        <v>3.3621500000000001E-06</v>
      </c>
      <c r="I1188" t="s">
        <v>137</v>
      </c>
      <c r="J1188">
        <v>0.001069775</v>
      </c>
      <c r="K1188">
        <v>0.02797033715</v>
      </c>
      <c r="L1188">
        <v>0.0021784711527256333</v>
      </c>
      <c r="M1188">
        <v>0.013070826916353801</v>
      </c>
      <c r="N1188">
        <v>0.041041164066353802</v>
      </c>
      <c r="O1188" t="s">
        <v>138</v>
      </c>
      <c r="P1188">
        <v>0.001678220229</v>
      </c>
      <c r="Q1188" t="s">
        <v>138</v>
      </c>
      <c r="R1188">
        <v>0.00078424961498122804</v>
      </c>
      <c r="S1188" t="s">
        <v>139</v>
      </c>
      <c r="T1188">
        <v>0.0049249396879624558</v>
      </c>
      <c r="U1188">
        <v>0.048428573598297484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0.51951999999999998</v>
      </c>
      <c r="AB1188">
        <v>2</v>
      </c>
      <c r="AC1188">
        <v>0.01</v>
      </c>
      <c r="AD1188">
        <v>0.01099879013308536</v>
      </c>
      <c r="AE1188">
        <v>5400</v>
      </c>
      <c r="AF1188">
        <v>400000</v>
      </c>
      <c r="AG1188">
        <v>33333.333333333336</v>
      </c>
      <c r="AH1188">
        <v>1</v>
      </c>
      <c r="AI1188">
        <v>1</v>
      </c>
      <c r="AJ1188" t="s">
        <v>136</v>
      </c>
      <c r="AK1188" t="s">
        <v>137</v>
      </c>
      <c r="AL1188">
        <v>0</v>
      </c>
      <c r="AM1188" t="s">
        <v>137</v>
      </c>
      <c r="AN1188">
        <v>0</v>
      </c>
    </row>
    <row r="1189" spans="1:42" ht="12.75">
      <c r="A1189" s="2" t="str">
        <f>HYPERLINK("https://ibp.a2mac1.com/costing(costing:projects/details/8191/process/6976043)","MANUFACTURING  PROCESS")</f>
        <v>MANUFACTURING  PROCESS</v>
      </c>
      <c r="B1189" t="s">
        <v>6354</v>
      </c>
      <c r="C1189">
        <v>6976043</v>
      </c>
      <c r="D1189">
        <v>5389600</v>
      </c>
      <c r="E1189">
        <v>0.035862933333333333</v>
      </c>
      <c r="F1189">
        <v>0</v>
      </c>
      <c r="G1189">
        <v>0</v>
      </c>
      <c r="H1189">
        <v>4.4828666666666665E-06</v>
      </c>
      <c r="I1189" t="s">
        <v>137</v>
      </c>
      <c r="J1189">
        <v>0.0014263666666666666</v>
      </c>
      <c r="K1189">
        <v>0.037293782866666667</v>
      </c>
      <c r="L1189">
        <v>0.0046551228631498652</v>
      </c>
      <c r="M1189">
        <v>0.027930737178899191</v>
      </c>
      <c r="N1189">
        <v>0.065224520045565851</v>
      </c>
      <c r="O1189" t="s">
        <v>138</v>
      </c>
      <c r="P1189">
        <v>0.002237626972</v>
      </c>
      <c r="Q1189" t="s">
        <v>138</v>
      </c>
      <c r="R1189">
        <v>0.0016758442307339514</v>
      </c>
      <c r="S1189" t="s">
        <v>139</v>
      </c>
      <c r="T1189">
        <v>0.0078269424054679022</v>
      </c>
      <c r="U1189">
        <v>0.076964933653767706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1.5130999999999999</v>
      </c>
      <c r="AB1189">
        <v>2</v>
      </c>
      <c r="AC1189">
        <v>0.01</v>
      </c>
      <c r="AD1189">
        <v>0.01099879013308536</v>
      </c>
      <c r="AE1189">
        <v>5400</v>
      </c>
      <c r="AF1189">
        <v>400000</v>
      </c>
      <c r="AG1189">
        <v>33333.333333333336</v>
      </c>
      <c r="AH1189">
        <v>1</v>
      </c>
      <c r="AI1189">
        <v>1</v>
      </c>
      <c r="AJ1189" t="s">
        <v>136</v>
      </c>
      <c r="AK1189" t="s">
        <v>137</v>
      </c>
      <c r="AL1189">
        <v>0</v>
      </c>
      <c r="AM1189" t="s">
        <v>137</v>
      </c>
      <c r="AN1189">
        <v>0</v>
      </c>
    </row>
    <row r="1190" spans="1:42" ht="12.75">
      <c r="A1190" s="2" t="str">
        <f>HYPERLINK("https://ibp.a2mac1.com/costing(costing:projects/details/8191/process/6976044)","MANUFACTURING  PROCESS")</f>
        <v>MANUFACTURING  PROCESS</v>
      </c>
      <c r="B1190" t="s">
        <v>6354</v>
      </c>
      <c r="C1190">
        <v>6976044</v>
      </c>
      <c r="D1190">
        <v>5389601</v>
      </c>
      <c r="E1190">
        <v>0.27019460000000001</v>
      </c>
      <c r="F1190">
        <v>0</v>
      </c>
      <c r="G1190">
        <v>0</v>
      </c>
      <c r="H1190">
        <v>3.2660885714285717E-05</v>
      </c>
      <c r="I1190" t="s">
        <v>137</v>
      </c>
      <c r="J1190">
        <v>0.0103921</v>
      </c>
      <c r="K1190">
        <v>0.28061936088571426</v>
      </c>
      <c r="L1190">
        <v>0.0081787144122335721</v>
      </c>
      <c r="M1190">
        <v>0.049072286473401429</v>
      </c>
      <c r="N1190">
        <v>0.32969164735911571</v>
      </c>
      <c r="O1190" t="s">
        <v>138</v>
      </c>
      <c r="P1190">
        <v>0.016837161653142856</v>
      </c>
      <c r="Q1190" t="s">
        <v>138</v>
      </c>
      <c r="R1190">
        <v>0.0029443371884040857</v>
      </c>
      <c r="S1190" t="s">
        <v>139</v>
      </c>
      <c r="T1190">
        <v>0.039562997683093883</v>
      </c>
      <c r="U1190">
        <v>0.38903614388375657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2.9266899999999998</v>
      </c>
      <c r="AB1190">
        <v>2</v>
      </c>
      <c r="AC1190">
        <v>0.01</v>
      </c>
      <c r="AD1190">
        <v>0.01099879013308536</v>
      </c>
      <c r="AE1190">
        <v>5400</v>
      </c>
      <c r="AF1190">
        <v>400000</v>
      </c>
      <c r="AG1190">
        <v>33333.333333333336</v>
      </c>
      <c r="AH1190">
        <v>1</v>
      </c>
      <c r="AI1190">
        <v>1</v>
      </c>
      <c r="AJ1190" t="s">
        <v>136</v>
      </c>
      <c r="AK1190" t="s">
        <v>137</v>
      </c>
      <c r="AL1190">
        <v>0</v>
      </c>
      <c r="AM1190" t="s">
        <v>137</v>
      </c>
      <c r="AN1190">
        <v>0</v>
      </c>
    </row>
    <row r="1191" spans="1:42" ht="12.75">
      <c r="A1191" s="2" t="str">
        <f>HYPERLINK("https://ibp.a2mac1.com/costing(costing:projects/details/8191/process/6976045)","MANUFACTURING  PROCESS")</f>
        <v>MANUFACTURING  PROCESS</v>
      </c>
      <c r="B1191" t="s">
        <v>6354</v>
      </c>
      <c r="C1191">
        <v>6976045</v>
      </c>
      <c r="D1191">
        <v>5389602</v>
      </c>
      <c r="E1191">
        <v>0.24377285555555556</v>
      </c>
      <c r="F1191">
        <v>0</v>
      </c>
      <c r="G1191">
        <v>0</v>
      </c>
      <c r="H1191">
        <v>2.7644344444444445E-05</v>
      </c>
      <c r="I1191" t="s">
        <v>137</v>
      </c>
      <c r="J1191">
        <v>0.0087959277777777782</v>
      </c>
      <c r="K1191">
        <v>0.25259642767777779</v>
      </c>
      <c r="L1191">
        <v>0.0046551228631498652</v>
      </c>
      <c r="M1191">
        <v>0.027930737178899191</v>
      </c>
      <c r="N1191">
        <v>0.28052716485667695</v>
      </c>
      <c r="O1191" t="s">
        <v>138</v>
      </c>
      <c r="P1191">
        <v>0.015155785660666667</v>
      </c>
      <c r="Q1191" t="s">
        <v>138</v>
      </c>
      <c r="R1191">
        <v>0.0016758442307339514</v>
      </c>
      <c r="S1191" t="s">
        <v>139</v>
      </c>
      <c r="T1191">
        <v>0.033663259782801234</v>
      </c>
      <c r="U1191">
        <v>0.3310220545308788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1.5130999999999999</v>
      </c>
      <c r="AB1191">
        <v>2</v>
      </c>
      <c r="AC1191">
        <v>0.01</v>
      </c>
      <c r="AD1191">
        <v>0.01099879013308536</v>
      </c>
      <c r="AE1191">
        <v>5400</v>
      </c>
      <c r="AF1191">
        <v>400000</v>
      </c>
      <c r="AG1191">
        <v>33333.333333333336</v>
      </c>
      <c r="AH1191">
        <v>1</v>
      </c>
      <c r="AI1191">
        <v>1</v>
      </c>
      <c r="AJ1191" t="s">
        <v>136</v>
      </c>
      <c r="AK1191" t="s">
        <v>137</v>
      </c>
      <c r="AL1191">
        <v>0</v>
      </c>
      <c r="AM1191" t="s">
        <v>137</v>
      </c>
      <c r="AN1191">
        <v>0</v>
      </c>
    </row>
    <row r="1192" spans="1:42" ht="12.75">
      <c r="A1192" s="2" t="str">
        <f>HYPERLINK("https://ibp.a2mac1.com/costing(costing:projects/details/8191/process/6976046)","MANUFACTURING  PROCESS")</f>
        <v>MANUFACTURING  PROCESS</v>
      </c>
      <c r="B1192" t="s">
        <v>6354</v>
      </c>
      <c r="C1192">
        <v>6976046</v>
      </c>
      <c r="D1192">
        <v>5389603</v>
      </c>
      <c r="E1192">
        <v>0.079061466666666663</v>
      </c>
      <c r="F1192">
        <v>0</v>
      </c>
      <c r="G1192">
        <v>0</v>
      </c>
      <c r="H1192">
        <v>8.965733333333333E-06</v>
      </c>
      <c r="I1192" t="s">
        <v>137</v>
      </c>
      <c r="J1192">
        <v>0.0028527333333333332</v>
      </c>
      <c r="K1192">
        <v>0.081923165733333331</v>
      </c>
      <c r="L1192">
        <v>0.0046551228631498652</v>
      </c>
      <c r="M1192">
        <v>0.027930737178899191</v>
      </c>
      <c r="N1192">
        <v>0.10985390291223253</v>
      </c>
      <c r="O1192" t="s">
        <v>138</v>
      </c>
      <c r="P1192">
        <v>0.0049153899439999997</v>
      </c>
      <c r="Q1192" t="s">
        <v>138</v>
      </c>
      <c r="R1192">
        <v>0.0016758442307339514</v>
      </c>
      <c r="S1192" t="s">
        <v>139</v>
      </c>
      <c r="T1192">
        <v>0.013182468349467904</v>
      </c>
      <c r="U1192">
        <v>0.12962760543643437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1.5130999999999999</v>
      </c>
      <c r="AB1192">
        <v>2</v>
      </c>
      <c r="AC1192">
        <v>0.01</v>
      </c>
      <c r="AD1192">
        <v>0.01099879013308536</v>
      </c>
      <c r="AE1192">
        <v>5400</v>
      </c>
      <c r="AF1192">
        <v>400000</v>
      </c>
      <c r="AG1192">
        <v>33333.333333333336</v>
      </c>
      <c r="AH1192">
        <v>1</v>
      </c>
      <c r="AI1192">
        <v>1</v>
      </c>
      <c r="AJ1192" t="s">
        <v>136</v>
      </c>
      <c r="AK1192" t="s">
        <v>137</v>
      </c>
      <c r="AL1192">
        <v>0</v>
      </c>
      <c r="AM1192" t="s">
        <v>137</v>
      </c>
      <c r="AN1192">
        <v>0</v>
      </c>
    </row>
    <row r="1193" spans="1:42" ht="12.75">
      <c r="A1193" s="2" t="str">
        <f>HYPERLINK("https://ibp.a2mac1.com/costing(costing:projects/details/8191/process/6976047)","MANUFACTURING  PROCESS")</f>
        <v>MANUFACTURING  PROCESS</v>
      </c>
      <c r="B1193" t="s">
        <v>6354</v>
      </c>
      <c r="C1193">
        <v>6976047</v>
      </c>
      <c r="D1193">
        <v>5389604</v>
      </c>
      <c r="E1193">
        <v>2.01729</v>
      </c>
      <c r="F1193">
        <v>0</v>
      </c>
      <c r="G1193">
        <v>0</v>
      </c>
      <c r="H1193">
        <v>0.00025216125000000002</v>
      </c>
      <c r="I1193" t="s">
        <v>137</v>
      </c>
      <c r="J1193">
        <v>0.080233125000000002</v>
      </c>
      <c r="K1193">
        <v>2.0977752862500001</v>
      </c>
      <c r="L1193">
        <v>0.034399371402856635</v>
      </c>
      <c r="M1193">
        <v>0.20639622841713981</v>
      </c>
      <c r="N1193">
        <v>2.3041715146671398</v>
      </c>
      <c r="O1193" t="s">
        <v>138</v>
      </c>
      <c r="P1193">
        <v>0.125866517175</v>
      </c>
      <c r="Q1193" t="s">
        <v>138</v>
      </c>
      <c r="R1193">
        <v>0.012383773705028389</v>
      </c>
      <c r="S1193" t="s">
        <v>139</v>
      </c>
      <c r="T1193">
        <v>0.27650058176005676</v>
      </c>
      <c r="U1193">
        <v>2.718922387307225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6.7229299999999999</v>
      </c>
      <c r="AB1193">
        <v>1</v>
      </c>
      <c r="AC1193">
        <v>0.01</v>
      </c>
      <c r="AD1193">
        <v>0.01099879013308536</v>
      </c>
      <c r="AE1193">
        <v>5400</v>
      </c>
      <c r="AF1193">
        <v>400000</v>
      </c>
      <c r="AG1193">
        <v>33333.333333333336</v>
      </c>
      <c r="AH1193">
        <v>1</v>
      </c>
      <c r="AI1193">
        <v>1</v>
      </c>
      <c r="AJ1193" t="s">
        <v>136</v>
      </c>
      <c r="AK1193" t="s">
        <v>137</v>
      </c>
      <c r="AL1193">
        <v>0</v>
      </c>
      <c r="AM1193" t="s">
        <v>137</v>
      </c>
      <c r="AN1193">
        <v>0</v>
      </c>
    </row>
    <row r="1194" spans="1:42" ht="12.75">
      <c r="A1194" s="2" t="str">
        <f>HYPERLINK("https://ibp.a2mac1.com/costing(costing:projects/details/8191/process/6976048)","MANUFACTURING  PROCESS")</f>
        <v>MANUFACTURING  PROCESS</v>
      </c>
      <c r="B1194" t="s">
        <v>6354</v>
      </c>
      <c r="C1194">
        <v>6976048</v>
      </c>
      <c r="D1194">
        <v>5389605</v>
      </c>
      <c r="E1194">
        <v>1.501199975</v>
      </c>
      <c r="F1194">
        <v>0</v>
      </c>
      <c r="G1194">
        <v>0</v>
      </c>
      <c r="H1194">
        <v>0.00017567233749999999</v>
      </c>
      <c r="I1194" t="s">
        <v>137</v>
      </c>
      <c r="J1194">
        <v>0.055895743749999997</v>
      </c>
      <c r="K1194">
        <v>1.5572713910875</v>
      </c>
      <c r="L1194">
        <v>0.0092624458320901947</v>
      </c>
      <c r="M1194">
        <v>0.055574674992541165</v>
      </c>
      <c r="N1194">
        <v>1.6128460660800412</v>
      </c>
      <c r="O1194" t="s">
        <v>138</v>
      </c>
      <c r="P1194">
        <v>0.09343628346525</v>
      </c>
      <c r="Q1194" t="s">
        <v>138</v>
      </c>
      <c r="R1194">
        <v>0.00333448049955247</v>
      </c>
      <c r="S1194" t="s">
        <v>139</v>
      </c>
      <c r="T1194">
        <v>0.19354152792960494</v>
      </c>
      <c r="U1194">
        <v>1.9031583579744487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3.3614600000000001</v>
      </c>
      <c r="AB1194">
        <v>2</v>
      </c>
      <c r="AC1194">
        <v>0.01</v>
      </c>
      <c r="AD1194">
        <v>0.01099879013308536</v>
      </c>
      <c r="AE1194">
        <v>5400</v>
      </c>
      <c r="AF1194">
        <v>400000</v>
      </c>
      <c r="AG1194">
        <v>33333.333333333336</v>
      </c>
      <c r="AH1194">
        <v>1</v>
      </c>
      <c r="AI1194">
        <v>1</v>
      </c>
      <c r="AJ1194" t="s">
        <v>136</v>
      </c>
      <c r="AK1194" t="s">
        <v>137</v>
      </c>
      <c r="AL1194">
        <v>0</v>
      </c>
      <c r="AM1194" t="s">
        <v>137</v>
      </c>
      <c r="AN1194">
        <v>0</v>
      </c>
    </row>
    <row r="1195" spans="1:42" ht="12.75">
      <c r="A1195" s="2" t="str">
        <f>HYPERLINK("https://ibp.a2mac1.com/costing(costing:projects/details/8191/process/6976049)","MANUFACTURING  PROCESS")</f>
        <v>MANUFACTURING  PROCESS</v>
      </c>
      <c r="B1195" t="s">
        <v>6354</v>
      </c>
      <c r="C1195">
        <v>6976049</v>
      </c>
      <c r="D1195">
        <v>5389606</v>
      </c>
      <c r="E1195">
        <v>0.7154561153846154</v>
      </c>
      <c r="F1195">
        <v>0</v>
      </c>
      <c r="G1195">
        <v>0</v>
      </c>
      <c r="H1195">
        <v>8.7933153846153847E-05</v>
      </c>
      <c r="I1195" t="s">
        <v>137</v>
      </c>
      <c r="J1195">
        <v>0.02797873076923077</v>
      </c>
      <c r="K1195">
        <v>0.74352277930769228</v>
      </c>
      <c r="L1195">
        <v>0.030064346017248039</v>
      </c>
      <c r="M1195">
        <v>0.18038607610348822</v>
      </c>
      <c r="N1195">
        <v>0.92390885541118051</v>
      </c>
      <c r="O1195" t="s">
        <v>138</v>
      </c>
      <c r="P1195">
        <v>0.044611366758461536</v>
      </c>
      <c r="Q1195" t="s">
        <v>138</v>
      </c>
      <c r="R1195">
        <v>0.010823164566209294</v>
      </c>
      <c r="S1195" t="s">
        <v>139</v>
      </c>
      <c r="T1195">
        <v>0.11086906264934167</v>
      </c>
      <c r="U1195">
        <v>1.090212449385193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5.85337</v>
      </c>
      <c r="AB1195">
        <v>1</v>
      </c>
      <c r="AC1195">
        <v>0.01</v>
      </c>
      <c r="AD1195">
        <v>0.01099879013308536</v>
      </c>
      <c r="AE1195">
        <v>5400</v>
      </c>
      <c r="AF1195">
        <v>400000</v>
      </c>
      <c r="AG1195">
        <v>33333.333333333336</v>
      </c>
      <c r="AH1195">
        <v>1</v>
      </c>
      <c r="AI1195">
        <v>1</v>
      </c>
      <c r="AJ1195" t="s">
        <v>136</v>
      </c>
      <c r="AK1195" t="s">
        <v>137</v>
      </c>
      <c r="AL1195">
        <v>0</v>
      </c>
      <c r="AM1195" t="s">
        <v>137</v>
      </c>
      <c r="AN1195">
        <v>0</v>
      </c>
    </row>
    <row r="1196" spans="1:42" ht="12.75">
      <c r="A1196" s="2" t="str">
        <f>HYPERLINK("https://ibp.a2mac1.com/costing(costing:projects/details/8191/process/6976050)","MANUFACTURING  PROCESS")</f>
        <v>MANUFACTURING  PROCESS</v>
      </c>
      <c r="B1196" t="s">
        <v>6354</v>
      </c>
      <c r="C1196">
        <v>6976050</v>
      </c>
      <c r="D1196">
        <v>5389607</v>
      </c>
      <c r="E1196">
        <v>1.430442</v>
      </c>
      <c r="F1196">
        <v>0</v>
      </c>
      <c r="G1196">
        <v>0</v>
      </c>
      <c r="H1196">
        <v>0.00017291057142857142</v>
      </c>
      <c r="I1196" t="s">
        <v>137</v>
      </c>
      <c r="J1196">
        <v>0.055017000000000003</v>
      </c>
      <c r="K1196">
        <v>1.4856319105714286</v>
      </c>
      <c r="L1196">
        <v>0.030064346017248039</v>
      </c>
      <c r="M1196">
        <v>0.18038607610348822</v>
      </c>
      <c r="N1196">
        <v>1.6660179866749167</v>
      </c>
      <c r="O1196" t="s">
        <v>138</v>
      </c>
      <c r="P1196">
        <v>0.08913791463428572</v>
      </c>
      <c r="Q1196" t="s">
        <v>138</v>
      </c>
      <c r="R1196">
        <v>0.010823164566209294</v>
      </c>
      <c r="S1196" t="s">
        <v>139</v>
      </c>
      <c r="T1196">
        <v>0.19992215840099001</v>
      </c>
      <c r="U1196">
        <v>1.9659012242764018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5.85337</v>
      </c>
      <c r="AB1196">
        <v>1</v>
      </c>
      <c r="AC1196">
        <v>0.01</v>
      </c>
      <c r="AD1196">
        <v>0.01099879013308536</v>
      </c>
      <c r="AE1196">
        <v>5400</v>
      </c>
      <c r="AF1196">
        <v>400000</v>
      </c>
      <c r="AG1196">
        <v>33333.333333333336</v>
      </c>
      <c r="AH1196">
        <v>1</v>
      </c>
      <c r="AI1196">
        <v>1</v>
      </c>
      <c r="AJ1196" t="s">
        <v>136</v>
      </c>
      <c r="AK1196" t="s">
        <v>137</v>
      </c>
      <c r="AL1196">
        <v>0</v>
      </c>
      <c r="AM1196" t="s">
        <v>137</v>
      </c>
      <c r="AN1196">
        <v>0</v>
      </c>
    </row>
    <row r="1197" spans="1:42" ht="12.75">
      <c r="A1197" s="2" t="str">
        <f>HYPERLINK("https://ibp.a2mac1.com/costing(costing:projects/details/8191/process/6976051)","MANUFACTURING  PROCESS")</f>
        <v>MANUFACTURING  PROCESS</v>
      </c>
      <c r="B1197" t="s">
        <v>6354</v>
      </c>
      <c r="C1197">
        <v>6976051</v>
      </c>
      <c r="D1197">
        <v>5389608</v>
      </c>
      <c r="E1197">
        <v>0.17034893333333334</v>
      </c>
      <c r="F1197">
        <v>0</v>
      </c>
      <c r="G1197">
        <v>0</v>
      </c>
      <c r="H1197">
        <v>2.1293616666666666E-05</v>
      </c>
      <c r="I1197" t="s">
        <v>137</v>
      </c>
      <c r="J1197">
        <v>0.0067752416666666667</v>
      </c>
      <c r="K1197">
        <v>0.17714546861666666</v>
      </c>
      <c r="L1197">
        <v>0.0060634228323073382</v>
      </c>
      <c r="M1197">
        <v>0.036380536993844033</v>
      </c>
      <c r="N1197">
        <v>0.21352600561051069</v>
      </c>
      <c r="O1197" t="s">
        <v>138</v>
      </c>
      <c r="P1197">
        <v>0.010628728117</v>
      </c>
      <c r="Q1197" t="s">
        <v>138</v>
      </c>
      <c r="R1197">
        <v>0.0021828322196306418</v>
      </c>
      <c r="S1197" t="s">
        <v>139</v>
      </c>
      <c r="T1197">
        <v>0.025623120673261283</v>
      </c>
      <c r="U1197">
        <v>0.25196068662040261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1.03904</v>
      </c>
      <c r="AB1197">
        <v>1</v>
      </c>
      <c r="AC1197">
        <v>0.01</v>
      </c>
      <c r="AD1197">
        <v>0.01099879013308536</v>
      </c>
      <c r="AE1197">
        <v>5400</v>
      </c>
      <c r="AF1197">
        <v>400000</v>
      </c>
      <c r="AG1197">
        <v>33333.333333333336</v>
      </c>
      <c r="AH1197">
        <v>1</v>
      </c>
      <c r="AI1197">
        <v>1</v>
      </c>
      <c r="AJ1197" t="s">
        <v>136</v>
      </c>
      <c r="AK1197" t="s">
        <v>137</v>
      </c>
      <c r="AL1197">
        <v>0</v>
      </c>
      <c r="AM1197" t="s">
        <v>137</v>
      </c>
      <c r="AN1197">
        <v>0</v>
      </c>
    </row>
    <row r="1198" spans="1:42" ht="12.75">
      <c r="A1198" s="2" t="str">
        <f>HYPERLINK("https://ibp.a2mac1.com/costing(costing:projects/details/8191/process/6976052)","MANUFACTURING  PROCESS")</f>
        <v>MANUFACTURING  PROCESS</v>
      </c>
      <c r="B1198" t="s">
        <v>6354</v>
      </c>
      <c r="C1198">
        <v>6976052</v>
      </c>
      <c r="D1198">
        <v>5389609</v>
      </c>
      <c r="E1198">
        <v>0.1613832</v>
      </c>
      <c r="F1198">
        <v>0</v>
      </c>
      <c r="G1198">
        <v>0</v>
      </c>
      <c r="H1198">
        <v>2.0172900000000001E-05</v>
      </c>
      <c r="I1198" t="s">
        <v>137</v>
      </c>
      <c r="J1198">
        <v>0.0064186499999999997</v>
      </c>
      <c r="K1198">
        <v>0.16782202290000001</v>
      </c>
      <c r="L1198">
        <v>0.0060634228323073382</v>
      </c>
      <c r="M1198">
        <v>0.036380536993844033</v>
      </c>
      <c r="N1198">
        <v>0.20420255989384403</v>
      </c>
      <c r="O1198" t="s">
        <v>138</v>
      </c>
      <c r="P1198">
        <v>0.010069321374</v>
      </c>
      <c r="Q1198" t="s">
        <v>138</v>
      </c>
      <c r="R1198">
        <v>0.0021828322196306418</v>
      </c>
      <c r="S1198" t="s">
        <v>139</v>
      </c>
      <c r="T1198">
        <v>0.024504307187261282</v>
      </c>
      <c r="U1198">
        <v>0.24095902067473596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1.03904</v>
      </c>
      <c r="AB1198">
        <v>1</v>
      </c>
      <c r="AC1198">
        <v>0.01</v>
      </c>
      <c r="AD1198">
        <v>0.01099879013308536</v>
      </c>
      <c r="AE1198">
        <v>5400</v>
      </c>
      <c r="AF1198">
        <v>400000</v>
      </c>
      <c r="AG1198">
        <v>33333.333333333336</v>
      </c>
      <c r="AH1198">
        <v>1</v>
      </c>
      <c r="AI1198">
        <v>1</v>
      </c>
      <c r="AJ1198" t="s">
        <v>136</v>
      </c>
      <c r="AK1198" t="s">
        <v>137</v>
      </c>
      <c r="AL1198">
        <v>0</v>
      </c>
      <c r="AM1198" t="s">
        <v>137</v>
      </c>
      <c r="AN1198">
        <v>0</v>
      </c>
    </row>
    <row r="1199" spans="1:42" ht="12.75">
      <c r="A1199" s="2" t="str">
        <f>HYPERLINK("https://ibp.a2mac1.com/costing(costing:projects/details/8191/process/6976053)","MANUFACTURING  PROCESS")</f>
        <v>MANUFACTURING  PROCESS</v>
      </c>
      <c r="B1199" t="s">
        <v>6354</v>
      </c>
      <c r="C1199">
        <v>6976053</v>
      </c>
      <c r="D1199">
        <v>5389610</v>
      </c>
      <c r="E1199">
        <v>0.03845632727272727</v>
      </c>
      <c r="F1199">
        <v>0</v>
      </c>
      <c r="G1199">
        <v>0</v>
      </c>
      <c r="H1199">
        <v>4.8903999999999998E-06</v>
      </c>
      <c r="I1199" t="s">
        <v>137</v>
      </c>
      <c r="J1199">
        <v>0.0015560363636363636</v>
      </c>
      <c r="K1199">
        <v>0.040017254036363636</v>
      </c>
      <c r="L1199">
        <v>0.0046551228631498652</v>
      </c>
      <c r="M1199">
        <v>0.027930737178899191</v>
      </c>
      <c r="N1199">
        <v>0.067947991215262821</v>
      </c>
      <c r="O1199" t="s">
        <v>138</v>
      </c>
      <c r="P1199">
        <v>0.0024010352421818182</v>
      </c>
      <c r="Q1199" t="s">
        <v>138</v>
      </c>
      <c r="R1199">
        <v>0.0016758442307339514</v>
      </c>
      <c r="S1199" t="s">
        <v>139</v>
      </c>
      <c r="T1199">
        <v>0.0081537589458315386</v>
      </c>
      <c r="U1199">
        <v>0.080178629634010137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1.5130999999999999</v>
      </c>
      <c r="AB1199">
        <v>2</v>
      </c>
      <c r="AC1199">
        <v>0.01</v>
      </c>
      <c r="AD1199">
        <v>0.01099879013308536</v>
      </c>
      <c r="AE1199">
        <v>5400</v>
      </c>
      <c r="AF1199">
        <v>400000</v>
      </c>
      <c r="AG1199">
        <v>33333.333333333336</v>
      </c>
      <c r="AH1199">
        <v>1</v>
      </c>
      <c r="AI1199">
        <v>1</v>
      </c>
      <c r="AJ1199" t="s">
        <v>136</v>
      </c>
      <c r="AK1199" t="s">
        <v>137</v>
      </c>
      <c r="AL1199">
        <v>0</v>
      </c>
      <c r="AM1199" t="s">
        <v>137</v>
      </c>
      <c r="AN1199">
        <v>0</v>
      </c>
    </row>
    <row r="1200" spans="1:42" ht="12.75">
      <c r="A1200" s="2" t="str">
        <f>HYPERLINK("https://ibp.a2mac1.com/costing(costing:projects/details/8191/process/6976054)","MANUFACTURING  PROCESS")</f>
        <v>MANUFACTURING  PROCESS</v>
      </c>
      <c r="B1200" t="s">
        <v>6354</v>
      </c>
      <c r="C1200">
        <v>6976054</v>
      </c>
      <c r="D1200">
        <v>5389611</v>
      </c>
      <c r="E1200">
        <v>0.075754176923076927</v>
      </c>
      <c r="F1200">
        <v>0</v>
      </c>
      <c r="G1200">
        <v>0</v>
      </c>
      <c r="H1200">
        <v>9.3105692307692311E-06</v>
      </c>
      <c r="I1200" t="s">
        <v>137</v>
      </c>
      <c r="J1200">
        <v>0.0029624538461538461</v>
      </c>
      <c r="K1200">
        <v>0.078725941338461544</v>
      </c>
      <c r="L1200">
        <v>0.0046551228631498652</v>
      </c>
      <c r="M1200">
        <v>0.027930737178899191</v>
      </c>
      <c r="N1200">
        <v>0.10665667851736073</v>
      </c>
      <c r="O1200" t="s">
        <v>138</v>
      </c>
      <c r="P1200">
        <v>0.0047235564803076923</v>
      </c>
      <c r="Q1200" t="s">
        <v>138</v>
      </c>
      <c r="R1200">
        <v>0.0016758442307339514</v>
      </c>
      <c r="S1200" t="s">
        <v>139</v>
      </c>
      <c r="T1200">
        <v>0.012798801422083287</v>
      </c>
      <c r="U1200">
        <v>0.12585488065048567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1.5130999999999999</v>
      </c>
      <c r="AB1200">
        <v>2</v>
      </c>
      <c r="AC1200">
        <v>0.01</v>
      </c>
      <c r="AD1200">
        <v>0.01099879013308536</v>
      </c>
      <c r="AE1200">
        <v>5400</v>
      </c>
      <c r="AF1200">
        <v>400000</v>
      </c>
      <c r="AG1200">
        <v>33333.333333333336</v>
      </c>
      <c r="AH1200">
        <v>1</v>
      </c>
      <c r="AI1200">
        <v>1</v>
      </c>
      <c r="AJ1200" t="s">
        <v>136</v>
      </c>
      <c r="AK1200" t="s">
        <v>137</v>
      </c>
      <c r="AL1200">
        <v>0</v>
      </c>
      <c r="AM1200" t="s">
        <v>137</v>
      </c>
      <c r="AN1200">
        <v>0</v>
      </c>
    </row>
    <row r="1201" spans="1:42" ht="12.75">
      <c r="A1201" s="2" t="str">
        <f>HYPERLINK("https://ibp.a2mac1.com/costing(costing:projects/details/8191/process/6976055)","MANUFACTURING  PROCESS")</f>
        <v>MANUFACTURING  PROCESS</v>
      </c>
      <c r="B1201" t="s">
        <v>6354</v>
      </c>
      <c r="C1201">
        <v>6976055</v>
      </c>
      <c r="D1201">
        <v>5389612</v>
      </c>
      <c r="E1201">
        <v>0.0861933</v>
      </c>
      <c r="F1201">
        <v>0</v>
      </c>
      <c r="G1201">
        <v>0</v>
      </c>
      <c r="H1201">
        <v>1.0086450000000001E-05</v>
      </c>
      <c r="I1201" t="s">
        <v>137</v>
      </c>
      <c r="J1201">
        <v>0.0032093249999999999</v>
      </c>
      <c r="K1201">
        <v>0.089412711450000001</v>
      </c>
      <c r="L1201">
        <v>0.012213050879155727</v>
      </c>
      <c r="M1201">
        <v>0.073278305274934355</v>
      </c>
      <c r="N1201">
        <v>0.16269101672493436</v>
      </c>
      <c r="O1201" t="s">
        <v>138</v>
      </c>
      <c r="P1201">
        <v>0.0053647626869999998</v>
      </c>
      <c r="Q1201" t="s">
        <v>138</v>
      </c>
      <c r="R1201">
        <v>0.0043966983164960612</v>
      </c>
      <c r="S1201" t="s">
        <v>139</v>
      </c>
      <c r="T1201">
        <v>0.019522922006992124</v>
      </c>
      <c r="U1201">
        <v>0.19197539973542255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2.2725900000000001</v>
      </c>
      <c r="AB1201">
        <v>1</v>
      </c>
      <c r="AC1201">
        <v>0.01</v>
      </c>
      <c r="AD1201">
        <v>0.01099879013308536</v>
      </c>
      <c r="AE1201">
        <v>5400</v>
      </c>
      <c r="AF1201">
        <v>400000</v>
      </c>
      <c r="AG1201">
        <v>33333.333333333336</v>
      </c>
      <c r="AH1201">
        <v>1</v>
      </c>
      <c r="AI1201">
        <v>1</v>
      </c>
      <c r="AJ1201" t="s">
        <v>136</v>
      </c>
      <c r="AK1201" t="s">
        <v>137</v>
      </c>
      <c r="AL1201">
        <v>0</v>
      </c>
      <c r="AM1201" t="s">
        <v>137</v>
      </c>
      <c r="AN1201">
        <v>0</v>
      </c>
    </row>
    <row r="1202" spans="1:42" ht="12.75">
      <c r="A1202" s="2" t="str">
        <f>HYPERLINK("https://ibp.a2mac1.com/costing(costing:projects/details/8191/process/6976056)","MANUFACTURING  PROCESS")</f>
        <v>MANUFACTURING  PROCESS</v>
      </c>
      <c r="B1202" t="s">
        <v>6354</v>
      </c>
      <c r="C1202">
        <v>6976056</v>
      </c>
      <c r="D1202">
        <v>5389613</v>
      </c>
      <c r="E1202">
        <v>0.031787599999999999</v>
      </c>
      <c r="F1202">
        <v>0</v>
      </c>
      <c r="G1202">
        <v>0</v>
      </c>
      <c r="H1202">
        <v>3.8424571428571429E-06</v>
      </c>
      <c r="I1202" t="s">
        <v>137</v>
      </c>
      <c r="J1202">
        <v>0.0012225999999999999</v>
      </c>
      <c r="K1202">
        <v>0.033014042457142859</v>
      </c>
      <c r="L1202">
        <v>0.001966047131748608</v>
      </c>
      <c r="M1202">
        <v>0.011796282790491648</v>
      </c>
      <c r="N1202">
        <v>0.044810325247634508</v>
      </c>
      <c r="O1202" t="s">
        <v>138</v>
      </c>
      <c r="P1202">
        <v>0.0019808425474285712</v>
      </c>
      <c r="Q1202" t="s">
        <v>138</v>
      </c>
      <c r="R1202">
        <v>0.00070777696742949884</v>
      </c>
      <c r="S1202" t="s">
        <v>139</v>
      </c>
      <c r="T1202">
        <v>0.0053772390297161408</v>
      </c>
      <c r="U1202">
        <v>0.052876183792208716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0.43430000000000002</v>
      </c>
      <c r="AB1202">
        <v>2</v>
      </c>
      <c r="AC1202">
        <v>0.01</v>
      </c>
      <c r="AD1202">
        <v>0.01099879013308536</v>
      </c>
      <c r="AE1202">
        <v>5400</v>
      </c>
      <c r="AF1202">
        <v>400000</v>
      </c>
      <c r="AG1202">
        <v>33333.333333333336</v>
      </c>
      <c r="AH1202">
        <v>1</v>
      </c>
      <c r="AI1202">
        <v>1</v>
      </c>
      <c r="AJ1202" t="s">
        <v>136</v>
      </c>
      <c r="AK1202" t="s">
        <v>137</v>
      </c>
      <c r="AL1202">
        <v>0</v>
      </c>
      <c r="AM1202" t="s">
        <v>137</v>
      </c>
      <c r="AN1202">
        <v>0</v>
      </c>
    </row>
    <row r="1203" spans="1:42" ht="12.75">
      <c r="A1203" s="2" t="str">
        <f>HYPERLINK("https://ibp.a2mac1.com/costing(costing:projects/details/8191/process/6976057)","MANUFACTURING  PROCESS")</f>
        <v>MANUFACTURING  PROCESS</v>
      </c>
      <c r="B1203" t="s">
        <v>6354</v>
      </c>
      <c r="C1203">
        <v>6976057</v>
      </c>
      <c r="D1203">
        <v>5389614</v>
      </c>
      <c r="E1203">
        <v>0.044828666666666669</v>
      </c>
      <c r="F1203">
        <v>0</v>
      </c>
      <c r="G1203">
        <v>0</v>
      </c>
      <c r="H1203">
        <v>5.6035833333333333E-06</v>
      </c>
      <c r="I1203" t="s">
        <v>137</v>
      </c>
      <c r="J1203">
        <v>0.0017829583333333332</v>
      </c>
      <c r="K1203">
        <v>0.046617228583333337</v>
      </c>
      <c r="L1203">
        <v>0.0021784711527256333</v>
      </c>
      <c r="M1203">
        <v>0.013070826916353801</v>
      </c>
      <c r="N1203">
        <v>0.059688055499687136</v>
      </c>
      <c r="O1203" t="s">
        <v>138</v>
      </c>
      <c r="P1203">
        <v>0.0027970337150000002</v>
      </c>
      <c r="Q1203" t="s">
        <v>138</v>
      </c>
      <c r="R1203">
        <v>0.00078424961498122804</v>
      </c>
      <c r="S1203" t="s">
        <v>139</v>
      </c>
      <c r="T1203">
        <v>0.0071625666599624558</v>
      </c>
      <c r="U1203">
        <v>0.070431905489630825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0.51951999999999998</v>
      </c>
      <c r="AB1203">
        <v>2</v>
      </c>
      <c r="AC1203">
        <v>0.01</v>
      </c>
      <c r="AD1203">
        <v>0.01099879013308536</v>
      </c>
      <c r="AE1203">
        <v>5400</v>
      </c>
      <c r="AF1203">
        <v>400000</v>
      </c>
      <c r="AG1203">
        <v>33333.333333333336</v>
      </c>
      <c r="AH1203">
        <v>1</v>
      </c>
      <c r="AI1203">
        <v>1</v>
      </c>
      <c r="AJ1203" t="s">
        <v>136</v>
      </c>
      <c r="AK1203" t="s">
        <v>137</v>
      </c>
      <c r="AL1203">
        <v>0</v>
      </c>
      <c r="AM1203" t="s">
        <v>137</v>
      </c>
      <c r="AN1203">
        <v>0</v>
      </c>
    </row>
    <row r="1204" spans="1:42" ht="12.75">
      <c r="A1204" s="2" t="str">
        <f>HYPERLINK("https://ibp.a2mac1.com/costing(costing:projects/details/8191/process/6976058)","MANUFACTURING  PROCESS")</f>
        <v>MANUFACTURING  PROCESS</v>
      </c>
      <c r="B1204" t="s">
        <v>6354</v>
      </c>
      <c r="C1204">
        <v>6976058</v>
      </c>
      <c r="D1204">
        <v>5389615</v>
      </c>
      <c r="E1204">
        <v>0.37035375384615382</v>
      </c>
      <c r="F1204">
        <v>0</v>
      </c>
      <c r="G1204">
        <v>0</v>
      </c>
      <c r="H1204">
        <v>4.5518338461538459E-05</v>
      </c>
      <c r="I1204" t="s">
        <v>137</v>
      </c>
      <c r="J1204">
        <v>0.014483107692307692</v>
      </c>
      <c r="K1204">
        <v>0.38488237987692309</v>
      </c>
      <c r="L1204">
        <v>0.0081787144122335721</v>
      </c>
      <c r="M1204">
        <v>0.049072286473401429</v>
      </c>
      <c r="N1204">
        <v>0.43395466635032448</v>
      </c>
      <c r="O1204" t="s">
        <v>138</v>
      </c>
      <c r="P1204">
        <v>0.023092942792615385</v>
      </c>
      <c r="Q1204" t="s">
        <v>138</v>
      </c>
      <c r="R1204">
        <v>0.0029443371884040857</v>
      </c>
      <c r="S1204" t="s">
        <v>139</v>
      </c>
      <c r="T1204">
        <v>0.052074559962038941</v>
      </c>
      <c r="U1204">
        <v>0.51206650629338291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2.9266899999999998</v>
      </c>
      <c r="AB1204">
        <v>2</v>
      </c>
      <c r="AC1204">
        <v>0.01</v>
      </c>
      <c r="AD1204">
        <v>0.01099879013308536</v>
      </c>
      <c r="AE1204">
        <v>5400</v>
      </c>
      <c r="AF1204">
        <v>400000</v>
      </c>
      <c r="AG1204">
        <v>33333.333333333336</v>
      </c>
      <c r="AH1204">
        <v>1</v>
      </c>
      <c r="AI1204">
        <v>1</v>
      </c>
      <c r="AJ1204" t="s">
        <v>136</v>
      </c>
      <c r="AK1204" t="s">
        <v>137</v>
      </c>
      <c r="AL1204">
        <v>0</v>
      </c>
      <c r="AM1204" t="s">
        <v>137</v>
      </c>
      <c r="AN1204">
        <v>0</v>
      </c>
    </row>
    <row r="1205" spans="1:42" ht="12.75">
      <c r="A1205" s="2" t="str">
        <f>HYPERLINK("https://ibp.a2mac1.com/costing(costing:projects/details/8191/process/6976059)","MANUFACTURING  PROCESS")</f>
        <v>MANUFACTURING  PROCESS</v>
      </c>
      <c r="B1205" t="s">
        <v>6354</v>
      </c>
      <c r="C1205">
        <v>6976059</v>
      </c>
      <c r="D1205">
        <v>5389616</v>
      </c>
      <c r="E1205">
        <v>1.1205129</v>
      </c>
      <c r="F1205">
        <v>0</v>
      </c>
      <c r="G1205">
        <v>0</v>
      </c>
      <c r="H1205">
        <v>0.00013544661428571429</v>
      </c>
      <c r="I1205" t="s">
        <v>137</v>
      </c>
      <c r="J1205">
        <v>0.04309665</v>
      </c>
      <c r="K1205">
        <v>1.1637449966142857</v>
      </c>
      <c r="L1205">
        <v>0.0092624458320901947</v>
      </c>
      <c r="M1205">
        <v>0.055574674992541165</v>
      </c>
      <c r="N1205">
        <v>1.2193196716068269</v>
      </c>
      <c r="O1205" t="s">
        <v>138</v>
      </c>
      <c r="P1205">
        <v>0.06982469979685714</v>
      </c>
      <c r="Q1205" t="s">
        <v>138</v>
      </c>
      <c r="R1205">
        <v>0.00333448049955247</v>
      </c>
      <c r="S1205" t="s">
        <v>139</v>
      </c>
      <c r="T1205">
        <v>0.14631836059281922</v>
      </c>
      <c r="U1205">
        <v>1.4387972124960557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3.3614600000000001</v>
      </c>
      <c r="AB1205">
        <v>2</v>
      </c>
      <c r="AC1205">
        <v>0.01</v>
      </c>
      <c r="AD1205">
        <v>0.01099879013308536</v>
      </c>
      <c r="AE1205">
        <v>5400</v>
      </c>
      <c r="AF1205">
        <v>400000</v>
      </c>
      <c r="AG1205">
        <v>33333.333333333336</v>
      </c>
      <c r="AH1205">
        <v>1</v>
      </c>
      <c r="AI1205">
        <v>1</v>
      </c>
      <c r="AJ1205" t="s">
        <v>136</v>
      </c>
      <c r="AK1205" t="s">
        <v>137</v>
      </c>
      <c r="AL1205">
        <v>0</v>
      </c>
      <c r="AM1205" t="s">
        <v>137</v>
      </c>
      <c r="AN1205">
        <v>0</v>
      </c>
    </row>
    <row r="1206" spans="1:42" ht="12.75">
      <c r="A1206" s="2" t="str">
        <f>HYPERLINK("https://ibp.a2mac1.com/costing(costing:projects/details/8191/process/6976060)","MANUFACTURING  PROCESS")</f>
        <v>MANUFACTURING  PROCESS</v>
      </c>
      <c r="B1206" t="s">
        <v>6354</v>
      </c>
      <c r="C1206">
        <v>6976060</v>
      </c>
      <c r="D1206">
        <v>5389617</v>
      </c>
      <c r="E1206">
        <v>0.050279425000000003</v>
      </c>
      <c r="F1206">
        <v>0</v>
      </c>
      <c r="G1206">
        <v>0</v>
      </c>
      <c r="H1206">
        <v>5.8837625000000002E-06</v>
      </c>
      <c r="I1206" t="s">
        <v>137</v>
      </c>
      <c r="J1206">
        <v>0.00187210625</v>
      </c>
      <c r="K1206">
        <v>0.0521574150125</v>
      </c>
      <c r="L1206">
        <v>0.11105881848676158</v>
      </c>
      <c r="M1206">
        <v>0.66635291092056947</v>
      </c>
      <c r="N1206">
        <v>0.71851032593306952</v>
      </c>
      <c r="O1206" t="s">
        <v>138</v>
      </c>
      <c r="P1206">
        <v>0.0031294449007500001</v>
      </c>
      <c r="Q1206" t="s">
        <v>138</v>
      </c>
      <c r="R1206">
        <v>0.039981174655234167</v>
      </c>
      <c r="S1206" t="s">
        <v>139</v>
      </c>
      <c r="T1206">
        <v>0.086221239111968342</v>
      </c>
      <c r="U1206">
        <v>0.84784218460102201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22.10</v>
      </c>
      <c r="AB1206">
        <v>1</v>
      </c>
      <c r="AC1206">
        <v>0.01</v>
      </c>
      <c r="AD1206">
        <v>0.01099879013308536</v>
      </c>
      <c r="AE1206">
        <v>5400</v>
      </c>
      <c r="AF1206">
        <v>400000</v>
      </c>
      <c r="AG1206">
        <v>33333.333333333336</v>
      </c>
      <c r="AH1206">
        <v>1</v>
      </c>
      <c r="AI1206">
        <v>1</v>
      </c>
      <c r="AJ1206" t="s">
        <v>136</v>
      </c>
      <c r="AK1206" t="s">
        <v>137</v>
      </c>
      <c r="AL1206">
        <v>0</v>
      </c>
      <c r="AM1206" t="s">
        <v>137</v>
      </c>
      <c r="AN1206">
        <v>0</v>
      </c>
    </row>
    <row r="1207" spans="1:42" ht="12.75">
      <c r="A1207" s="2" t="str">
        <f>HYPERLINK("https://ibp.a2mac1.com/costing(costing:projects/details/8191/process/6976061)","MANUFACTURING  PROCESS")</f>
        <v>MANUFACTURING  PROCESS</v>
      </c>
      <c r="B1207" t="s">
        <v>6354</v>
      </c>
      <c r="C1207">
        <v>6976061</v>
      </c>
      <c r="D1207">
        <v>5389618</v>
      </c>
      <c r="E1207">
        <v>0.1683426153846154</v>
      </c>
      <c r="F1207">
        <v>0</v>
      </c>
      <c r="G1207">
        <v>0</v>
      </c>
      <c r="H1207">
        <v>2.0690153846153848E-05</v>
      </c>
      <c r="I1207" t="s">
        <v>137</v>
      </c>
      <c r="J1207">
        <v>0.0065832307692307692</v>
      </c>
      <c r="K1207">
        <v>0.1749465363076923</v>
      </c>
      <c r="L1207">
        <v>0.0046551228631498652</v>
      </c>
      <c r="M1207">
        <v>0.027930737178899191</v>
      </c>
      <c r="N1207">
        <v>0.20287727348659149</v>
      </c>
      <c r="O1207" t="s">
        <v>138</v>
      </c>
      <c r="P1207">
        <v>0.010496792178461539</v>
      </c>
      <c r="Q1207" t="s">
        <v>138</v>
      </c>
      <c r="R1207">
        <v>0.0016758442307339514</v>
      </c>
      <c r="S1207" t="s">
        <v>139</v>
      </c>
      <c r="T1207">
        <v>0.024345272818390981</v>
      </c>
      <c r="U1207">
        <v>0.23939518271417798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1.5130999999999999</v>
      </c>
      <c r="AB1207">
        <v>2</v>
      </c>
      <c r="AC1207">
        <v>0.01</v>
      </c>
      <c r="AD1207">
        <v>0.01099879013308536</v>
      </c>
      <c r="AE1207">
        <v>5400</v>
      </c>
      <c r="AF1207">
        <v>400000</v>
      </c>
      <c r="AG1207">
        <v>33333.333333333336</v>
      </c>
      <c r="AH1207">
        <v>1</v>
      </c>
      <c r="AI1207">
        <v>1</v>
      </c>
      <c r="AJ1207" t="s">
        <v>136</v>
      </c>
      <c r="AK1207" t="s">
        <v>137</v>
      </c>
      <c r="AL1207">
        <v>0</v>
      </c>
      <c r="AM1207" t="s">
        <v>137</v>
      </c>
      <c r="AN1207">
        <v>0</v>
      </c>
    </row>
    <row r="1208" spans="1:42" ht="12.75">
      <c r="A1208" s="2" t="str">
        <f>HYPERLINK("https://ibp.a2mac1.com/costing(costing:projects/details/8191/process/6976062)","MANUFACTURING  PROCESS")</f>
        <v>MANUFACTURING  PROCESS</v>
      </c>
      <c r="B1208" t="s">
        <v>6354</v>
      </c>
      <c r="C1208">
        <v>6976062</v>
      </c>
      <c r="D1208">
        <v>5389619</v>
      </c>
      <c r="E1208">
        <v>0.017931466666666666</v>
      </c>
      <c r="F1208">
        <v>0</v>
      </c>
      <c r="G1208">
        <v>0</v>
      </c>
      <c r="H1208">
        <v>2.2414333333333332E-06</v>
      </c>
      <c r="I1208" t="s">
        <v>137</v>
      </c>
      <c r="J1208">
        <v>0.00071318333333333331</v>
      </c>
      <c r="K1208">
        <v>0.018646891433333333</v>
      </c>
      <c r="L1208">
        <v>0.0046551228631498652</v>
      </c>
      <c r="M1208">
        <v>0.027930737178899191</v>
      </c>
      <c r="N1208">
        <v>0.046577628612232524</v>
      </c>
      <c r="O1208" t="s">
        <v>138</v>
      </c>
      <c r="P1208">
        <v>0.001118813486</v>
      </c>
      <c r="Q1208" t="s">
        <v>138</v>
      </c>
      <c r="R1208">
        <v>0.0016758442307339514</v>
      </c>
      <c r="S1208" t="s">
        <v>139</v>
      </c>
      <c r="T1208">
        <v>0.0055893154334679031</v>
      </c>
      <c r="U1208">
        <v>0.054961601762434378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1.5130999999999999</v>
      </c>
      <c r="AB1208">
        <v>2</v>
      </c>
      <c r="AC1208">
        <v>0.01</v>
      </c>
      <c r="AD1208">
        <v>0.01099879013308536</v>
      </c>
      <c r="AE1208">
        <v>5400</v>
      </c>
      <c r="AF1208">
        <v>400000</v>
      </c>
      <c r="AG1208">
        <v>33333.333333333336</v>
      </c>
      <c r="AH1208">
        <v>1</v>
      </c>
      <c r="AI1208">
        <v>1</v>
      </c>
      <c r="AJ1208" t="s">
        <v>136</v>
      </c>
      <c r="AK1208" t="s">
        <v>137</v>
      </c>
      <c r="AL1208">
        <v>0</v>
      </c>
      <c r="AM1208" t="s">
        <v>137</v>
      </c>
      <c r="AN1208">
        <v>0</v>
      </c>
    </row>
    <row r="1209" spans="1:42" ht="12.75">
      <c r="A1209" s="2" t="str">
        <f>HYPERLINK("https://ibp.a2mac1.com/costing(costing:projects/details/8191/process/6976154)","MANUFACTURING  PROCESS")</f>
        <v>MANUFACTURING  PROCESS</v>
      </c>
      <c r="B1209" t="s">
        <v>6354</v>
      </c>
      <c r="C1209">
        <v>6976154</v>
      </c>
      <c r="D1209">
        <v>5389731</v>
      </c>
      <c r="E1209">
        <v>2.5589018000000001</v>
      </c>
      <c r="F1209">
        <v>0</v>
      </c>
      <c r="G1209">
        <v>0</v>
      </c>
      <c r="H1209">
        <v>0.00039367720000000001</v>
      </c>
      <c r="I1209" t="s">
        <v>137</v>
      </c>
      <c r="J1209">
        <v>0.098419300000000001</v>
      </c>
      <c r="K1209">
        <v>2.6577147771999998</v>
      </c>
      <c r="L1209">
        <v>0.051910920237535282</v>
      </c>
      <c r="M1209">
        <v>0.31146552142521172</v>
      </c>
      <c r="N1209">
        <v>2.9691802986252118</v>
      </c>
      <c r="O1209" t="s">
        <v>138</v>
      </c>
      <c r="P1209">
        <v>0.15946288663200001</v>
      </c>
      <c r="Q1209" t="s">
        <v>138</v>
      </c>
      <c r="R1209">
        <v>0.018687931285512702</v>
      </c>
      <c r="S1209" t="s">
        <v>139</v>
      </c>
      <c r="T1209">
        <v>0.35630163583502539</v>
      </c>
      <c r="U1209">
        <v>3.50363275237775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10.05803</v>
      </c>
      <c r="AB1209">
        <v>1</v>
      </c>
      <c r="AC1209">
        <v>0.01</v>
      </c>
      <c r="AD1209">
        <v>0.013998040274361589</v>
      </c>
      <c r="AE1209">
        <v>5400</v>
      </c>
      <c r="AF1209">
        <v>200000</v>
      </c>
      <c r="AG1209">
        <v>16666.666666666668</v>
      </c>
      <c r="AH1209">
        <v>1</v>
      </c>
      <c r="AI1209">
        <v>1</v>
      </c>
      <c r="AJ1209" t="s">
        <v>136</v>
      </c>
      <c r="AK1209" t="s">
        <v>137</v>
      </c>
      <c r="AL1209">
        <v>0</v>
      </c>
      <c r="AM1209" t="s">
        <v>137</v>
      </c>
      <c r="AN1209">
        <v>0</v>
      </c>
    </row>
    <row r="1210" spans="1:42" ht="12.75">
      <c r="A1210" s="2" t="str">
        <f>HYPERLINK("https://ibp.a2mac1.com/costing(costing:projects/details/8191/process/6976155)","MANUFACTURING  PROCESS")</f>
        <v>MANUFACTURING  PROCESS</v>
      </c>
      <c r="B1210" t="s">
        <v>6354</v>
      </c>
      <c r="C1210">
        <v>6976155</v>
      </c>
      <c r="D1210">
        <v>5389732</v>
      </c>
      <c r="E1210">
        <v>0.1935940076923077</v>
      </c>
      <c r="F1210">
        <v>0</v>
      </c>
      <c r="G1210">
        <v>0</v>
      </c>
      <c r="H1210">
        <v>2.3793676923076922E-05</v>
      </c>
      <c r="I1210" t="s">
        <v>137</v>
      </c>
      <c r="J1210">
        <v>0.0075707153846153842</v>
      </c>
      <c r="K1210">
        <v>0.20118851675384616</v>
      </c>
      <c r="L1210">
        <v>0.0081787144122335721</v>
      </c>
      <c r="M1210">
        <v>0.049072286473401429</v>
      </c>
      <c r="N1210">
        <v>0.25026080322724759</v>
      </c>
      <c r="O1210" t="s">
        <v>138</v>
      </c>
      <c r="P1210">
        <v>0.012071311005230768</v>
      </c>
      <c r="Q1210" t="s">
        <v>138</v>
      </c>
      <c r="R1210">
        <v>0.0029443371884040857</v>
      </c>
      <c r="S1210" t="s">
        <v>139</v>
      </c>
      <c r="T1210">
        <v>0.030031296387269712</v>
      </c>
      <c r="U1210">
        <v>0.29530774780815217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2.9266899999999998</v>
      </c>
      <c r="AB1210">
        <v>2</v>
      </c>
      <c r="AC1210">
        <v>0.01</v>
      </c>
      <c r="AD1210">
        <v>0.01099879013308536</v>
      </c>
      <c r="AE1210">
        <v>5400</v>
      </c>
      <c r="AF1210">
        <v>400000</v>
      </c>
      <c r="AG1210">
        <v>33333.333333333336</v>
      </c>
      <c r="AH1210">
        <v>1</v>
      </c>
      <c r="AI1210">
        <v>1</v>
      </c>
      <c r="AJ1210" t="s">
        <v>136</v>
      </c>
      <c r="AK1210" t="s">
        <v>137</v>
      </c>
      <c r="AL1210">
        <v>0</v>
      </c>
      <c r="AM1210" t="s">
        <v>137</v>
      </c>
      <c r="AN1210">
        <v>0</v>
      </c>
    </row>
    <row r="1211" spans="1:42" ht="12.75">
      <c r="A1211" s="2" t="str">
        <f>HYPERLINK("https://ibp.a2mac1.com/costing(costing:projects/details/8191/process/6976156)","MANUFACTURING  PROCESS")</f>
        <v>MANUFACTURING  PROCESS</v>
      </c>
      <c r="B1211" t="s">
        <v>6354</v>
      </c>
      <c r="C1211">
        <v>6976156</v>
      </c>
      <c r="D1211">
        <v>5389746</v>
      </c>
      <c r="E1211">
        <v>0.1935940076923077</v>
      </c>
      <c r="F1211">
        <v>0</v>
      </c>
      <c r="G1211">
        <v>0</v>
      </c>
      <c r="H1211">
        <v>2.3793676923076922E-05</v>
      </c>
      <c r="I1211" t="s">
        <v>137</v>
      </c>
      <c r="J1211">
        <v>0.0075707153846153842</v>
      </c>
      <c r="K1211">
        <v>0.20118851675384616</v>
      </c>
      <c r="L1211">
        <v>0.0081787144122335721</v>
      </c>
      <c r="M1211">
        <v>0.049072286473401429</v>
      </c>
      <c r="N1211">
        <v>0.25026080322724759</v>
      </c>
      <c r="O1211" t="s">
        <v>138</v>
      </c>
      <c r="P1211">
        <v>0.012071311005230768</v>
      </c>
      <c r="Q1211" t="s">
        <v>138</v>
      </c>
      <c r="R1211">
        <v>0.0029443371884040857</v>
      </c>
      <c r="S1211" t="s">
        <v>139</v>
      </c>
      <c r="T1211">
        <v>0.030031296387269712</v>
      </c>
      <c r="U1211">
        <v>0.29530774780815217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2.9266899999999998</v>
      </c>
      <c r="AB1211">
        <v>2</v>
      </c>
      <c r="AC1211">
        <v>0.01</v>
      </c>
      <c r="AD1211">
        <v>0.01099879013308536</v>
      </c>
      <c r="AE1211">
        <v>5400</v>
      </c>
      <c r="AF1211">
        <v>400000</v>
      </c>
      <c r="AG1211">
        <v>33333.333333333336</v>
      </c>
      <c r="AH1211">
        <v>1</v>
      </c>
      <c r="AI1211">
        <v>1</v>
      </c>
      <c r="AJ1211" t="s">
        <v>136</v>
      </c>
      <c r="AK1211" t="s">
        <v>137</v>
      </c>
      <c r="AL1211">
        <v>0</v>
      </c>
      <c r="AM1211" t="s">
        <v>137</v>
      </c>
      <c r="AN1211">
        <v>0</v>
      </c>
    </row>
    <row r="1212" spans="1:42" ht="12.75">
      <c r="A1212" s="2" t="str">
        <f>HYPERLINK("https://ibp.a2mac1.com/costing(costing:projects/details/8191/process/6976157)","MANUFACTURING  PROCESS")</f>
        <v>MANUFACTURING  PROCESS</v>
      </c>
      <c r="B1212" t="s">
        <v>6354</v>
      </c>
      <c r="C1212">
        <v>6976157</v>
      </c>
      <c r="D1212">
        <v>5389747</v>
      </c>
      <c r="E1212">
        <v>4.1466516666666671</v>
      </c>
      <c r="F1212">
        <v>0</v>
      </c>
      <c r="G1212">
        <v>0</v>
      </c>
      <c r="H1212">
        <v>0.00062760133333333336</v>
      </c>
      <c r="I1212" t="s">
        <v>137</v>
      </c>
      <c r="J1212">
        <v>0.15690033333333334</v>
      </c>
      <c r="K1212">
        <v>4.3041796013333338</v>
      </c>
      <c r="L1212">
        <v>0.096559042747849308</v>
      </c>
      <c r="M1212">
        <v>0.57935425648709582</v>
      </c>
      <c r="N1212">
        <v>4.8835338578204288</v>
      </c>
      <c r="O1212" t="s">
        <v>138</v>
      </c>
      <c r="P1212">
        <v>0.25825077608000002</v>
      </c>
      <c r="Q1212" t="s">
        <v>138</v>
      </c>
      <c r="R1212">
        <v>0.034761255389225747</v>
      </c>
      <c r="S1212" t="s">
        <v>139</v>
      </c>
      <c r="T1212">
        <v>0.58602406293845155</v>
      </c>
      <c r="U1212">
        <v>5.7625699522281062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19.0137</v>
      </c>
      <c r="AB1212">
        <v>1</v>
      </c>
      <c r="AC1212">
        <v>0.01</v>
      </c>
      <c r="AD1212">
        <v>0.013998040274361589</v>
      </c>
      <c r="AE1212">
        <v>5400</v>
      </c>
      <c r="AF1212">
        <v>200000</v>
      </c>
      <c r="AG1212">
        <v>16666.666666666668</v>
      </c>
      <c r="AH1212">
        <v>1</v>
      </c>
      <c r="AI1212">
        <v>1</v>
      </c>
      <c r="AJ1212" t="s">
        <v>136</v>
      </c>
      <c r="AK1212" t="s">
        <v>137</v>
      </c>
      <c r="AL1212">
        <v>0</v>
      </c>
      <c r="AM1212" t="s">
        <v>137</v>
      </c>
      <c r="AN1212">
        <v>0</v>
      </c>
    </row>
    <row r="1213" spans="1:42" ht="12.75">
      <c r="A1213" s="2" t="str">
        <f>HYPERLINK("https://ibp.a2mac1.com/costing(costing:projects/details/8191/process/6976158)","MANUFACTURING  PROCESS")</f>
        <v>MANUFACTURING  PROCESS</v>
      </c>
      <c r="B1213" t="s">
        <v>6354</v>
      </c>
      <c r="C1213">
        <v>6976158</v>
      </c>
      <c r="D1213">
        <v>5389748</v>
      </c>
      <c r="E1213">
        <v>0.74912463846153843</v>
      </c>
      <c r="F1213">
        <v>0</v>
      </c>
      <c r="G1213">
        <v>0</v>
      </c>
      <c r="H1213">
        <v>9.2071184615384618E-05</v>
      </c>
      <c r="I1213" t="s">
        <v>137</v>
      </c>
      <c r="J1213">
        <v>0.029295376923076922</v>
      </c>
      <c r="K1213">
        <v>0.77851208656923077</v>
      </c>
      <c r="L1213">
        <v>0.034399371402856635</v>
      </c>
      <c r="M1213">
        <v>0.20639622841713981</v>
      </c>
      <c r="N1213">
        <v>0.98490831498637055</v>
      </c>
      <c r="O1213" t="s">
        <v>138</v>
      </c>
      <c r="P1213">
        <v>0.046710725194153847</v>
      </c>
      <c r="Q1213" t="s">
        <v>138</v>
      </c>
      <c r="R1213">
        <v>0.012383773705028389</v>
      </c>
      <c r="S1213" t="s">
        <v>139</v>
      </c>
      <c r="T1213">
        <v>0.11818899779836448</v>
      </c>
      <c r="U1213">
        <v>1.1621918116839174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6.7229299999999999</v>
      </c>
      <c r="AB1213">
        <v>1</v>
      </c>
      <c r="AC1213">
        <v>0.01</v>
      </c>
      <c r="AD1213">
        <v>0.01099879013308536</v>
      </c>
      <c r="AE1213">
        <v>5400</v>
      </c>
      <c r="AF1213">
        <v>400000</v>
      </c>
      <c r="AG1213">
        <v>33333.333333333336</v>
      </c>
      <c r="AH1213">
        <v>1</v>
      </c>
      <c r="AI1213">
        <v>1</v>
      </c>
      <c r="AJ1213" t="s">
        <v>136</v>
      </c>
      <c r="AK1213" t="s">
        <v>137</v>
      </c>
      <c r="AL1213">
        <v>0</v>
      </c>
      <c r="AM1213" t="s">
        <v>137</v>
      </c>
      <c r="AN1213">
        <v>0</v>
      </c>
    </row>
    <row r="1214" spans="1:42" ht="12.75">
      <c r="A1214" s="2" t="str">
        <f>HYPERLINK("https://ibp.a2mac1.com/costing(costing:projects/details/8191/process/6976159)","MANUFACTURING  PROCESS")</f>
        <v>MANUFACTURING  PROCESS</v>
      </c>
      <c r="B1214" t="s">
        <v>6354</v>
      </c>
      <c r="C1214">
        <v>6976159</v>
      </c>
      <c r="D1214">
        <v>5389749</v>
      </c>
      <c r="E1214">
        <v>2.9162066499999999</v>
      </c>
      <c r="F1214">
        <v>0</v>
      </c>
      <c r="G1214">
        <v>0</v>
      </c>
      <c r="H1214">
        <v>0.00043432865</v>
      </c>
      <c r="I1214" t="s">
        <v>137</v>
      </c>
      <c r="J1214">
        <v>0.1085821625</v>
      </c>
      <c r="K1214">
        <v>3.0252231411500001</v>
      </c>
      <c r="L1214">
        <v>0.035283917078179447</v>
      </c>
      <c r="M1214">
        <v>0.21170350246907668</v>
      </c>
      <c r="N1214">
        <v>3.2369266436190767</v>
      </c>
      <c r="O1214" t="s">
        <v>138</v>
      </c>
      <c r="P1214">
        <v>0.181513388469</v>
      </c>
      <c r="Q1214" t="s">
        <v>138</v>
      </c>
      <c r="R1214">
        <v>0.012702210148144601</v>
      </c>
      <c r="S1214" t="s">
        <v>139</v>
      </c>
      <c r="T1214">
        <v>0.3884311972342892</v>
      </c>
      <c r="U1214">
        <v>3.8195734394705103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6.7229299999999999</v>
      </c>
      <c r="AB1214">
        <v>1</v>
      </c>
      <c r="AC1214">
        <v>0.01</v>
      </c>
      <c r="AD1214">
        <v>0.013998040274361589</v>
      </c>
      <c r="AE1214">
        <v>5400</v>
      </c>
      <c r="AF1214">
        <v>200000</v>
      </c>
      <c r="AG1214">
        <v>16666.666666666668</v>
      </c>
      <c r="AH1214">
        <v>1</v>
      </c>
      <c r="AI1214">
        <v>1</v>
      </c>
      <c r="AJ1214" t="s">
        <v>136</v>
      </c>
      <c r="AK1214" t="s">
        <v>137</v>
      </c>
      <c r="AL1214">
        <v>0</v>
      </c>
      <c r="AM1214" t="s">
        <v>137</v>
      </c>
      <c r="AN1214">
        <v>0</v>
      </c>
    </row>
    <row r="1215" spans="1:42" ht="12.75">
      <c r="A1215" s="2" t="str">
        <f>HYPERLINK("https://ibp.a2mac1.com/costing(costing:projects/details/8191/process/6976160)","MANUFACTURING  PROCESS")</f>
        <v>MANUFACTURING  PROCESS</v>
      </c>
      <c r="B1215" t="s">
        <v>6354</v>
      </c>
      <c r="C1215">
        <v>6976160</v>
      </c>
      <c r="D1215">
        <v>5389750</v>
      </c>
      <c r="E1215">
        <v>0.14309122307692307</v>
      </c>
      <c r="F1215">
        <v>0</v>
      </c>
      <c r="G1215">
        <v>0</v>
      </c>
      <c r="H1215">
        <v>1.7586630769230769E-05</v>
      </c>
      <c r="I1215" t="s">
        <v>137</v>
      </c>
      <c r="J1215">
        <v>0.0055957461538461541</v>
      </c>
      <c r="K1215">
        <v>0.14870455586153847</v>
      </c>
      <c r="L1215">
        <v>0.0060085096525124091</v>
      </c>
      <c r="M1215">
        <v>0.036051057915074451</v>
      </c>
      <c r="N1215">
        <v>0.18475561377661293</v>
      </c>
      <c r="O1215" t="s">
        <v>138</v>
      </c>
      <c r="P1215">
        <v>0.0089222733516923069</v>
      </c>
      <c r="Q1215" t="s">
        <v>138</v>
      </c>
      <c r="R1215">
        <v>0.0021630634749044671</v>
      </c>
      <c r="S1215" t="s">
        <v>139</v>
      </c>
      <c r="T1215">
        <v>0.02217067365319355</v>
      </c>
      <c r="U1215">
        <v>0.21801162425640325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2.0560499999999999</v>
      </c>
      <c r="AB1215">
        <v>2</v>
      </c>
      <c r="AC1215">
        <v>0.01</v>
      </c>
      <c r="AD1215">
        <v>0.01099879013308536</v>
      </c>
      <c r="AE1215">
        <v>5400</v>
      </c>
      <c r="AF1215">
        <v>400000</v>
      </c>
      <c r="AG1215">
        <v>33333.333333333336</v>
      </c>
      <c r="AH1215">
        <v>1</v>
      </c>
      <c r="AI1215">
        <v>1</v>
      </c>
      <c r="AJ1215" t="s">
        <v>136</v>
      </c>
      <c r="AK1215" t="s">
        <v>137</v>
      </c>
      <c r="AL1215">
        <v>0</v>
      </c>
      <c r="AM1215" t="s">
        <v>137</v>
      </c>
      <c r="AN1215">
        <v>0</v>
      </c>
    </row>
    <row r="1216" spans="1:42" ht="12.75">
      <c r="A1216" s="2" t="str">
        <f>HYPERLINK("https://ibp.a2mac1.com/costing(costing:projects/details/8191/process/6976063)","MANUFACTURING  PROCESS")</f>
        <v>MANUFACTURING  PROCESS</v>
      </c>
      <c r="B1216" t="s">
        <v>6354</v>
      </c>
      <c r="C1216">
        <v>6976063</v>
      </c>
      <c r="D1216">
        <v>5389624</v>
      </c>
      <c r="E1216">
        <v>9.0500048215384616</v>
      </c>
      <c r="F1216">
        <v>0</v>
      </c>
      <c r="G1216">
        <v>0</v>
      </c>
      <c r="H1216">
        <v>0.0011122910953846154</v>
      </c>
      <c r="I1216" t="s">
        <v>137</v>
      </c>
      <c r="J1216">
        <v>0.35391080307692308</v>
      </c>
      <c r="K1216">
        <v>9.4050279157107699</v>
      </c>
      <c r="L1216">
        <v>0.053390781806786566</v>
      </c>
      <c r="M1216">
        <v>0.32034469084071937</v>
      </c>
      <c r="N1216">
        <v>9.7253726065514883</v>
      </c>
      <c r="O1216" t="s">
        <v>138</v>
      </c>
      <c r="P1216">
        <v>0.56430167494264616</v>
      </c>
      <c r="Q1216" t="s">
        <v>138</v>
      </c>
      <c r="R1216">
        <v>0.019220681450443162</v>
      </c>
      <c r="S1216" t="s">
        <v>139</v>
      </c>
      <c r="T1216">
        <v>1.1670447127861787</v>
      </c>
      <c r="U1216">
        <v>11.475939675730757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21.064810000000001</v>
      </c>
      <c r="AB1216">
        <v>2</v>
      </c>
      <c r="AC1216">
        <v>0.01</v>
      </c>
      <c r="AD1216">
        <v>0.01099879013308536</v>
      </c>
      <c r="AE1216">
        <v>5400</v>
      </c>
      <c r="AF1216">
        <v>400000</v>
      </c>
      <c r="AG1216">
        <v>33333.333333333336</v>
      </c>
      <c r="AH1216">
        <v>1</v>
      </c>
      <c r="AI1216">
        <v>1</v>
      </c>
      <c r="AJ1216" t="s">
        <v>136</v>
      </c>
      <c r="AK1216" t="s">
        <v>137</v>
      </c>
      <c r="AL1216">
        <v>0</v>
      </c>
      <c r="AM1216" t="s">
        <v>137</v>
      </c>
      <c r="AN1216">
        <v>0</v>
      </c>
    </row>
    <row r="1217" spans="1:42" ht="12.75">
      <c r="A1217" s="2" t="str">
        <f>HYPERLINK("https://ibp.a2mac1.com/costing(costing:projects/details/8191/process/6976064)","MANUFACTURING  PROCESS")</f>
        <v>MANUFACTURING  PROCESS</v>
      </c>
      <c r="B1217" t="s">
        <v>6354</v>
      </c>
      <c r="C1217">
        <v>6976064</v>
      </c>
      <c r="D1217">
        <v>5389625</v>
      </c>
      <c r="E1217">
        <v>3.1227555153846156</v>
      </c>
      <c r="F1217">
        <v>0</v>
      </c>
      <c r="G1217">
        <v>0</v>
      </c>
      <c r="H1217">
        <v>0.00038380235384615386</v>
      </c>
      <c r="I1217" t="s">
        <v>137</v>
      </c>
      <c r="J1217">
        <v>0.12211893076923076</v>
      </c>
      <c r="K1217">
        <v>3.2452582485076924</v>
      </c>
      <c r="L1217">
        <v>0.010313049872942069</v>
      </c>
      <c r="M1217">
        <v>0.061878299237652409</v>
      </c>
      <c r="N1217">
        <v>3.3071365477453449</v>
      </c>
      <c r="O1217" t="s">
        <v>138</v>
      </c>
      <c r="P1217">
        <v>0.19471549491046153</v>
      </c>
      <c r="Q1217" t="s">
        <v>138</v>
      </c>
      <c r="R1217">
        <v>0.0037126979542591448</v>
      </c>
      <c r="S1217" t="s">
        <v>139</v>
      </c>
      <c r="T1217">
        <v>0.39685638572944137</v>
      </c>
      <c r="U1217">
        <v>3.9024211263395068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3.78294</v>
      </c>
      <c r="AB1217">
        <v>2</v>
      </c>
      <c r="AC1217">
        <v>0.01</v>
      </c>
      <c r="AD1217">
        <v>0.01099879013308536</v>
      </c>
      <c r="AE1217">
        <v>5400</v>
      </c>
      <c r="AF1217">
        <v>400000</v>
      </c>
      <c r="AG1217">
        <v>33333.333333333336</v>
      </c>
      <c r="AH1217">
        <v>1</v>
      </c>
      <c r="AI1217">
        <v>1</v>
      </c>
      <c r="AJ1217" t="s">
        <v>136</v>
      </c>
      <c r="AK1217" t="s">
        <v>137</v>
      </c>
      <c r="AL1217">
        <v>0</v>
      </c>
      <c r="AM1217" t="s">
        <v>137</v>
      </c>
      <c r="AN1217">
        <v>0</v>
      </c>
    </row>
    <row r="1218" spans="1:42" ht="12.75">
      <c r="A1218" s="2" t="str">
        <f>HYPERLINK("https://ibp.a2mac1.com/costing(costing:projects/details/8191/process/6976065)","MANUFACTURING  PROCESS")</f>
        <v>MANUFACTURING  PROCESS</v>
      </c>
      <c r="B1218" t="s">
        <v>6354</v>
      </c>
      <c r="C1218">
        <v>6976065</v>
      </c>
      <c r="D1218">
        <v>5389626</v>
      </c>
      <c r="E1218">
        <v>0.58012370000000002</v>
      </c>
      <c r="F1218">
        <v>0</v>
      </c>
      <c r="G1218">
        <v>0</v>
      </c>
      <c r="H1218">
        <v>7.0124842857142853E-05</v>
      </c>
      <c r="I1218" t="s">
        <v>137</v>
      </c>
      <c r="J1218">
        <v>0.022312450000000001</v>
      </c>
      <c r="K1218">
        <v>0.60250627484285713</v>
      </c>
      <c r="L1218">
        <v>0.0081787144122335721</v>
      </c>
      <c r="M1218">
        <v>0.049072286473401429</v>
      </c>
      <c r="N1218">
        <v>0.65157856131625858</v>
      </c>
      <c r="O1218" t="s">
        <v>138</v>
      </c>
      <c r="P1218">
        <v>0.036150376490571429</v>
      </c>
      <c r="Q1218" t="s">
        <v>138</v>
      </c>
      <c r="R1218">
        <v>0.0029443371884040857</v>
      </c>
      <c r="S1218" t="s">
        <v>139</v>
      </c>
      <c r="T1218">
        <v>0.078189427357951036</v>
      </c>
      <c r="U1218">
        <v>0.7688627023531851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2.9266899999999998</v>
      </c>
      <c r="AB1218">
        <v>2</v>
      </c>
      <c r="AC1218">
        <v>0.01</v>
      </c>
      <c r="AD1218">
        <v>0.01099879013308536</v>
      </c>
      <c r="AE1218">
        <v>5400</v>
      </c>
      <c r="AF1218">
        <v>400000</v>
      </c>
      <c r="AG1218">
        <v>33333.333333333336</v>
      </c>
      <c r="AH1218">
        <v>1</v>
      </c>
      <c r="AI1218">
        <v>1</v>
      </c>
      <c r="AJ1218" t="s">
        <v>136</v>
      </c>
      <c r="AK1218" t="s">
        <v>137</v>
      </c>
      <c r="AL1218">
        <v>0</v>
      </c>
      <c r="AM1218" t="s">
        <v>137</v>
      </c>
      <c r="AN1218">
        <v>0</v>
      </c>
    </row>
    <row r="1219" spans="1:42" ht="12.75">
      <c r="A1219" s="2" t="str">
        <f>HYPERLINK("https://ibp.a2mac1.com/costing(costing:projects/details/8191/process/6976066)","MANUFACTURING  PROCESS")</f>
        <v>MANUFACTURING  PROCESS</v>
      </c>
      <c r="B1219" t="s">
        <v>6354</v>
      </c>
      <c r="C1219">
        <v>6976066</v>
      </c>
      <c r="D1219">
        <v>5389627</v>
      </c>
      <c r="E1219">
        <v>1.3176911111111111</v>
      </c>
      <c r="F1219">
        <v>0</v>
      </c>
      <c r="G1219">
        <v>0</v>
      </c>
      <c r="H1219">
        <v>0.00014942888888888888</v>
      </c>
      <c r="I1219" t="s">
        <v>137</v>
      </c>
      <c r="J1219">
        <v>0.047545555555555556</v>
      </c>
      <c r="K1219">
        <v>1.3653860955555555</v>
      </c>
      <c r="L1219">
        <v>0.0081787144122335721</v>
      </c>
      <c r="M1219">
        <v>0.049072286473401429</v>
      </c>
      <c r="N1219">
        <v>1.4144583820289569</v>
      </c>
      <c r="O1219" t="s">
        <v>138</v>
      </c>
      <c r="P1219">
        <v>0.081923165733333331</v>
      </c>
      <c r="Q1219" t="s">
        <v>138</v>
      </c>
      <c r="R1219">
        <v>0.0029443371884040857</v>
      </c>
      <c r="S1219" t="s">
        <v>139</v>
      </c>
      <c r="T1219">
        <v>0.16973500584347484</v>
      </c>
      <c r="U1219">
        <v>1.6690608907941693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2.9266899999999998</v>
      </c>
      <c r="AB1219">
        <v>2</v>
      </c>
      <c r="AC1219">
        <v>0.01</v>
      </c>
      <c r="AD1219">
        <v>0.01099879013308536</v>
      </c>
      <c r="AE1219">
        <v>5400</v>
      </c>
      <c r="AF1219">
        <v>400000</v>
      </c>
      <c r="AG1219">
        <v>33333.333333333336</v>
      </c>
      <c r="AH1219">
        <v>1</v>
      </c>
      <c r="AI1219">
        <v>1</v>
      </c>
      <c r="AJ1219" t="s">
        <v>136</v>
      </c>
      <c r="AK1219" t="s">
        <v>137</v>
      </c>
      <c r="AL1219">
        <v>0</v>
      </c>
      <c r="AM1219" t="s">
        <v>137</v>
      </c>
      <c r="AN1219">
        <v>0</v>
      </c>
    </row>
    <row r="1220" spans="1:42" ht="12.75">
      <c r="A1220" s="2" t="str">
        <f>HYPERLINK("https://ibp.a2mac1.com/costing(costing:projects/details/8191/process/6976067)","MANUFACTURING  PROCESS")</f>
        <v>MANUFACTURING  PROCESS</v>
      </c>
      <c r="B1220" t="s">
        <v>6354</v>
      </c>
      <c r="C1220">
        <v>6976067</v>
      </c>
      <c r="D1220">
        <v>5389628</v>
      </c>
      <c r="E1220">
        <v>0.60603341538461541</v>
      </c>
      <c r="F1220">
        <v>0</v>
      </c>
      <c r="G1220">
        <v>0</v>
      </c>
      <c r="H1220">
        <v>7.4484553846153849E-05</v>
      </c>
      <c r="I1220" t="s">
        <v>137</v>
      </c>
      <c r="J1220">
        <v>0.023699630769230769</v>
      </c>
      <c r="K1220">
        <v>0.62980753070769235</v>
      </c>
      <c r="L1220">
        <v>0.0081787144122335721</v>
      </c>
      <c r="M1220">
        <v>0.049072286473401429</v>
      </c>
      <c r="N1220">
        <v>0.67887981718109369</v>
      </c>
      <c r="O1220" t="s">
        <v>138</v>
      </c>
      <c r="P1220">
        <v>0.037788451842461539</v>
      </c>
      <c r="Q1220" t="s">
        <v>138</v>
      </c>
      <c r="R1220">
        <v>0.0029443371884040857</v>
      </c>
      <c r="S1220" t="s">
        <v>139</v>
      </c>
      <c r="T1220">
        <v>0.081465578061731242</v>
      </c>
      <c r="U1220">
        <v>0.8010781842736906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2.9266899999999998</v>
      </c>
      <c r="AB1220">
        <v>2</v>
      </c>
      <c r="AC1220">
        <v>0.01</v>
      </c>
      <c r="AD1220">
        <v>0.01099879013308536</v>
      </c>
      <c r="AE1220">
        <v>5400</v>
      </c>
      <c r="AF1220">
        <v>400000</v>
      </c>
      <c r="AG1220">
        <v>33333.333333333336</v>
      </c>
      <c r="AH1220">
        <v>1</v>
      </c>
      <c r="AI1220">
        <v>1</v>
      </c>
      <c r="AJ1220" t="s">
        <v>136</v>
      </c>
      <c r="AK1220" t="s">
        <v>137</v>
      </c>
      <c r="AL1220">
        <v>0</v>
      </c>
      <c r="AM1220" t="s">
        <v>137</v>
      </c>
      <c r="AN1220">
        <v>0</v>
      </c>
    </row>
    <row r="1221" spans="1:42" ht="12.75">
      <c r="A1221" s="2" t="str">
        <f>HYPERLINK("https://ibp.a2mac1.com/costing(costing:projects/details/8191/process/6976068)","MANUFACTURING  PROCESS")</f>
        <v>MANUFACTURING  PROCESS</v>
      </c>
      <c r="B1221" t="s">
        <v>6354</v>
      </c>
      <c r="C1221">
        <v>6976068</v>
      </c>
      <c r="D1221">
        <v>5389629</v>
      </c>
      <c r="E1221">
        <v>0.82487881538461538</v>
      </c>
      <c r="F1221">
        <v>0</v>
      </c>
      <c r="G1221">
        <v>0</v>
      </c>
      <c r="H1221">
        <v>0.00010138175384615385</v>
      </c>
      <c r="I1221" t="s">
        <v>137</v>
      </c>
      <c r="J1221">
        <v>0.032257830769230771</v>
      </c>
      <c r="K1221">
        <v>0.85723802790769232</v>
      </c>
      <c r="L1221">
        <v>0.0081787144122335721</v>
      </c>
      <c r="M1221">
        <v>0.049072286473401429</v>
      </c>
      <c r="N1221">
        <v>0.90631031438109377</v>
      </c>
      <c r="O1221" t="s">
        <v>138</v>
      </c>
      <c r="P1221">
        <v>0.051434281674461541</v>
      </c>
      <c r="Q1221" t="s">
        <v>138</v>
      </c>
      <c r="R1221">
        <v>0.0029443371884040857</v>
      </c>
      <c r="S1221" t="s">
        <v>139</v>
      </c>
      <c r="T1221">
        <v>0.10875723772573125</v>
      </c>
      <c r="U1221">
        <v>1.0694461709696905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2.9266899999999998</v>
      </c>
      <c r="AB1221">
        <v>2</v>
      </c>
      <c r="AC1221">
        <v>0.01</v>
      </c>
      <c r="AD1221">
        <v>0.01099879013308536</v>
      </c>
      <c r="AE1221">
        <v>5400</v>
      </c>
      <c r="AF1221">
        <v>400000</v>
      </c>
      <c r="AG1221">
        <v>33333.333333333336</v>
      </c>
      <c r="AH1221">
        <v>1</v>
      </c>
      <c r="AI1221">
        <v>1</v>
      </c>
      <c r="AJ1221" t="s">
        <v>136</v>
      </c>
      <c r="AK1221" t="s">
        <v>137</v>
      </c>
      <c r="AL1221">
        <v>0</v>
      </c>
      <c r="AM1221" t="s">
        <v>137</v>
      </c>
      <c r="AN1221">
        <v>0</v>
      </c>
    </row>
    <row r="1222" spans="1:42" ht="12.75">
      <c r="A1222" s="2" t="str">
        <f>HYPERLINK("https://ibp.a2mac1.com/costing(costing:projects/details/8191/process/6976069)","MANUFACTURING  PROCESS")</f>
        <v>MANUFACTURING  PROCESS</v>
      </c>
      <c r="B1222" t="s">
        <v>6354</v>
      </c>
      <c r="C1222">
        <v>6976069</v>
      </c>
      <c r="D1222">
        <v>5389630</v>
      </c>
      <c r="E1222">
        <v>0.053794399999999999</v>
      </c>
      <c r="F1222">
        <v>0</v>
      </c>
      <c r="G1222">
        <v>0</v>
      </c>
      <c r="H1222">
        <v>6.7243000000000001E-06</v>
      </c>
      <c r="I1222" t="s">
        <v>137</v>
      </c>
      <c r="J1222">
        <v>0.00213955</v>
      </c>
      <c r="K1222">
        <v>0.0559406743</v>
      </c>
      <c r="L1222">
        <v>0.0081787144122335721</v>
      </c>
      <c r="M1222">
        <v>0.049072286473401429</v>
      </c>
      <c r="N1222">
        <v>0.10501296077340143</v>
      </c>
      <c r="O1222" t="s">
        <v>138</v>
      </c>
      <c r="P1222">
        <v>0.0033564404579999999</v>
      </c>
      <c r="Q1222" t="s">
        <v>138</v>
      </c>
      <c r="R1222">
        <v>0.0029443371884040857</v>
      </c>
      <c r="S1222" t="s">
        <v>139</v>
      </c>
      <c r="T1222">
        <v>0.012601555292808172</v>
      </c>
      <c r="U1222">
        <v>0.12391529371261369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2.9266899999999998</v>
      </c>
      <c r="AB1222">
        <v>2</v>
      </c>
      <c r="AC1222">
        <v>0.01</v>
      </c>
      <c r="AD1222">
        <v>0.01099879013308536</v>
      </c>
      <c r="AE1222">
        <v>5400</v>
      </c>
      <c r="AF1222">
        <v>400000</v>
      </c>
      <c r="AG1222">
        <v>33333.333333333336</v>
      </c>
      <c r="AH1222">
        <v>1</v>
      </c>
      <c r="AI1222">
        <v>1</v>
      </c>
      <c r="AJ1222" t="s">
        <v>136</v>
      </c>
      <c r="AK1222" t="s">
        <v>137</v>
      </c>
      <c r="AL1222">
        <v>0</v>
      </c>
      <c r="AM1222" t="s">
        <v>137</v>
      </c>
      <c r="AN1222">
        <v>0</v>
      </c>
    </row>
    <row r="1223" spans="1:42" ht="12.75">
      <c r="A1223" s="2" t="str">
        <f>HYPERLINK("https://ibp.a2mac1.com/costing(costing:projects/details/8191/process/6976070)","MANUFACTURING  PROCESS")</f>
        <v>MANUFACTURING  PROCESS</v>
      </c>
      <c r="B1223" t="s">
        <v>6354</v>
      </c>
      <c r="C1223">
        <v>6976070</v>
      </c>
      <c r="D1223">
        <v>5389631</v>
      </c>
      <c r="E1223">
        <v>0.52186210769230768</v>
      </c>
      <c r="F1223">
        <v>0</v>
      </c>
      <c r="G1223">
        <v>0</v>
      </c>
      <c r="H1223">
        <v>6.4139476923076922E-05</v>
      </c>
      <c r="I1223" t="s">
        <v>137</v>
      </c>
      <c r="J1223">
        <v>0.020408015384615386</v>
      </c>
      <c r="K1223">
        <v>0.5423342625538462</v>
      </c>
      <c r="L1223">
        <v>0.0081787144122335721</v>
      </c>
      <c r="M1223">
        <v>0.049072286473401429</v>
      </c>
      <c r="N1223">
        <v>0.59140654902724754</v>
      </c>
      <c r="O1223" t="s">
        <v>138</v>
      </c>
      <c r="P1223">
        <v>0.032540055753230768</v>
      </c>
      <c r="Q1223" t="s">
        <v>138</v>
      </c>
      <c r="R1223">
        <v>0.0029443371884040857</v>
      </c>
      <c r="S1223" t="s">
        <v>139</v>
      </c>
      <c r="T1223">
        <v>0.070968785883269714</v>
      </c>
      <c r="U1223">
        <v>0.69785972785215211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2.9266899999999998</v>
      </c>
      <c r="AB1223">
        <v>2</v>
      </c>
      <c r="AC1223">
        <v>0.01</v>
      </c>
      <c r="AD1223">
        <v>0.01099879013308536</v>
      </c>
      <c r="AE1223">
        <v>5400</v>
      </c>
      <c r="AF1223">
        <v>400000</v>
      </c>
      <c r="AG1223">
        <v>33333.333333333336</v>
      </c>
      <c r="AH1223">
        <v>1</v>
      </c>
      <c r="AI1223">
        <v>1</v>
      </c>
      <c r="AJ1223" t="s">
        <v>136</v>
      </c>
      <c r="AK1223" t="s">
        <v>137</v>
      </c>
      <c r="AL1223">
        <v>0</v>
      </c>
      <c r="AM1223" t="s">
        <v>137</v>
      </c>
      <c r="AN1223">
        <v>0</v>
      </c>
    </row>
    <row r="1224" spans="1:42" ht="12.75">
      <c r="A1224" s="2" t="str">
        <f>HYPERLINK("https://ibp.a2mac1.com/costing(costing:projects/details/8191/process/6976071)","MANUFACTURING  PROCESS")</f>
        <v>MANUFACTURING  PROCESS</v>
      </c>
      <c r="B1224" t="s">
        <v>6354</v>
      </c>
      <c r="C1224">
        <v>6976071</v>
      </c>
      <c r="D1224">
        <v>5389633</v>
      </c>
      <c r="E1224">
        <v>0.062760133333333329</v>
      </c>
      <c r="F1224">
        <v>0</v>
      </c>
      <c r="G1224">
        <v>0</v>
      </c>
      <c r="H1224">
        <v>7.845016666666667E-06</v>
      </c>
      <c r="I1224" t="s">
        <v>137</v>
      </c>
      <c r="J1224">
        <v>0.0024961416666666666</v>
      </c>
      <c r="K1224">
        <v>0.065264120016666663</v>
      </c>
      <c r="L1224">
        <v>0.0081787144122335721</v>
      </c>
      <c r="M1224">
        <v>0.049072286473401429</v>
      </c>
      <c r="N1224">
        <v>0.1143364064900681</v>
      </c>
      <c r="O1224" t="s">
        <v>138</v>
      </c>
      <c r="P1224">
        <v>0.0039158472009999997</v>
      </c>
      <c r="Q1224" t="s">
        <v>138</v>
      </c>
      <c r="R1224">
        <v>0.0029443371884040857</v>
      </c>
      <c r="S1224" t="s">
        <v>139</v>
      </c>
      <c r="T1224">
        <v>0.013720368778808171</v>
      </c>
      <c r="U1224">
        <v>0.13491695965828035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2.9266899999999998</v>
      </c>
      <c r="AB1224">
        <v>2</v>
      </c>
      <c r="AC1224">
        <v>0.01</v>
      </c>
      <c r="AD1224">
        <v>0.01099879013308536</v>
      </c>
      <c r="AE1224">
        <v>5400</v>
      </c>
      <c r="AF1224">
        <v>400000</v>
      </c>
      <c r="AG1224">
        <v>33333.333333333336</v>
      </c>
      <c r="AH1224">
        <v>1</v>
      </c>
      <c r="AI1224">
        <v>1</v>
      </c>
      <c r="AJ1224" t="s">
        <v>136</v>
      </c>
      <c r="AK1224" t="s">
        <v>137</v>
      </c>
      <c r="AL1224">
        <v>0</v>
      </c>
      <c r="AM1224" t="s">
        <v>137</v>
      </c>
      <c r="AN1224">
        <v>0</v>
      </c>
    </row>
    <row r="1225" spans="1:42" ht="12.75">
      <c r="A1225" s="2" t="str">
        <f>HYPERLINK("https://ibp.a2mac1.com/costing(costing:projects/details/8191/process/6976072)","MANUFACTURING  PROCESS")</f>
        <v>MANUFACTURING  PROCESS</v>
      </c>
      <c r="B1225" t="s">
        <v>6354</v>
      </c>
      <c r="C1225">
        <v>6976072</v>
      </c>
      <c r="D1225">
        <v>5389634</v>
      </c>
      <c r="E1225">
        <v>0.57217680000000004</v>
      </c>
      <c r="F1225">
        <v>0</v>
      </c>
      <c r="G1225">
        <v>0</v>
      </c>
      <c r="H1225">
        <v>6.9164228571428566E-05</v>
      </c>
      <c r="I1225" t="s">
        <v>137</v>
      </c>
      <c r="J1225">
        <v>0.0220068</v>
      </c>
      <c r="K1225">
        <v>0.59425276422857143</v>
      </c>
      <c r="L1225">
        <v>0.0081787144122335721</v>
      </c>
      <c r="M1225">
        <v>0.049072286473401429</v>
      </c>
      <c r="N1225">
        <v>0.64332505070197288</v>
      </c>
      <c r="O1225" t="s">
        <v>138</v>
      </c>
      <c r="P1225">
        <v>0.035655165853714282</v>
      </c>
      <c r="Q1225" t="s">
        <v>138</v>
      </c>
      <c r="R1225">
        <v>0.0029443371884040857</v>
      </c>
      <c r="S1225" t="s">
        <v>139</v>
      </c>
      <c r="T1225">
        <v>0.077199006084236743</v>
      </c>
      <c r="U1225">
        <v>0.75912355982832802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2.9266899999999998</v>
      </c>
      <c r="AB1225">
        <v>2</v>
      </c>
      <c r="AC1225">
        <v>0.01</v>
      </c>
      <c r="AD1225">
        <v>0.01099879013308536</v>
      </c>
      <c r="AE1225">
        <v>5400</v>
      </c>
      <c r="AF1225">
        <v>400000</v>
      </c>
      <c r="AG1225">
        <v>33333.333333333336</v>
      </c>
      <c r="AH1225">
        <v>1</v>
      </c>
      <c r="AI1225">
        <v>1</v>
      </c>
      <c r="AJ1225" t="s">
        <v>136</v>
      </c>
      <c r="AK1225" t="s">
        <v>137</v>
      </c>
      <c r="AL1225">
        <v>0</v>
      </c>
      <c r="AM1225" t="s">
        <v>137</v>
      </c>
      <c r="AN1225">
        <v>0</v>
      </c>
    </row>
    <row r="1226" spans="1:42" ht="12.75">
      <c r="A1226" s="2" t="str">
        <f>HYPERLINK("https://ibp.a2mac1.com/costing(costing:projects/details/8191/process/6976073)","MANUFACTURING  PROCESS")</f>
        <v>MANUFACTURING  PROCESS</v>
      </c>
      <c r="B1226" t="s">
        <v>6354</v>
      </c>
      <c r="C1226">
        <v>6976073</v>
      </c>
      <c r="D1226">
        <v>5389635</v>
      </c>
      <c r="E1226">
        <v>0.31380066666666667</v>
      </c>
      <c r="F1226">
        <v>0</v>
      </c>
      <c r="G1226">
        <v>0</v>
      </c>
      <c r="H1226">
        <v>3.9225083333333335E-05</v>
      </c>
      <c r="I1226" t="s">
        <v>137</v>
      </c>
      <c r="J1226">
        <v>0.012480708333333333</v>
      </c>
      <c r="K1226">
        <v>0.32632060008333336</v>
      </c>
      <c r="L1226">
        <v>0.0081787144122335721</v>
      </c>
      <c r="M1226">
        <v>0.049072286473401429</v>
      </c>
      <c r="N1226">
        <v>0.37539288655673475</v>
      </c>
      <c r="O1226" t="s">
        <v>138</v>
      </c>
      <c r="P1226">
        <v>0.019579236005</v>
      </c>
      <c r="Q1226" t="s">
        <v>138</v>
      </c>
      <c r="R1226">
        <v>0.0029443371884040857</v>
      </c>
      <c r="S1226" t="s">
        <v>139</v>
      </c>
      <c r="T1226">
        <v>0.045047146386808172</v>
      </c>
      <c r="U1226">
        <v>0.44296360613694702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2.9266899999999998</v>
      </c>
      <c r="AB1226">
        <v>2</v>
      </c>
      <c r="AC1226">
        <v>0.01</v>
      </c>
      <c r="AD1226">
        <v>0.01099879013308536</v>
      </c>
      <c r="AE1226">
        <v>5400</v>
      </c>
      <c r="AF1226">
        <v>400000</v>
      </c>
      <c r="AG1226">
        <v>33333.333333333336</v>
      </c>
      <c r="AH1226">
        <v>1</v>
      </c>
      <c r="AI1226">
        <v>1</v>
      </c>
      <c r="AJ1226" t="s">
        <v>136</v>
      </c>
      <c r="AK1226" t="s">
        <v>137</v>
      </c>
      <c r="AL1226">
        <v>0</v>
      </c>
      <c r="AM1226" t="s">
        <v>137</v>
      </c>
      <c r="AN1226">
        <v>0</v>
      </c>
    </row>
    <row r="1227" spans="1:42" ht="12.75">
      <c r="A1227" s="2" t="str">
        <f>HYPERLINK("https://ibp.a2mac1.com/costing(costing:projects/details/8191/process/6976074)","MANUFACTURING  PROCESS")</f>
        <v>MANUFACTURING  PROCESS</v>
      </c>
      <c r="B1227" t="s">
        <v>6354</v>
      </c>
      <c r="C1227">
        <v>6976074</v>
      </c>
      <c r="D1227">
        <v>5389636</v>
      </c>
      <c r="E1227">
        <v>0.13448599999999999</v>
      </c>
      <c r="F1227">
        <v>0</v>
      </c>
      <c r="G1227">
        <v>0</v>
      </c>
      <c r="H1227">
        <v>1.6810750000000002E-05</v>
      </c>
      <c r="I1227" t="s">
        <v>137</v>
      </c>
      <c r="J1227">
        <v>0.0053488750000000003</v>
      </c>
      <c r="K1227">
        <v>0.13985168575000001</v>
      </c>
      <c r="L1227">
        <v>0.0060085096525124091</v>
      </c>
      <c r="M1227">
        <v>0.036051057915074451</v>
      </c>
      <c r="N1227">
        <v>0.17590274366507444</v>
      </c>
      <c r="O1227" t="s">
        <v>138</v>
      </c>
      <c r="P1227">
        <v>0.0083911011449999996</v>
      </c>
      <c r="Q1227" t="s">
        <v>138</v>
      </c>
      <c r="R1227">
        <v>0.0021630634749044671</v>
      </c>
      <c r="S1227" t="s">
        <v>139</v>
      </c>
      <c r="T1227">
        <v>0.021108329239808935</v>
      </c>
      <c r="U1227">
        <v>0.20756523752478787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2.0560499999999999</v>
      </c>
      <c r="AB1227">
        <v>2</v>
      </c>
      <c r="AC1227">
        <v>0.01</v>
      </c>
      <c r="AD1227">
        <v>0.01099879013308536</v>
      </c>
      <c r="AE1227">
        <v>5400</v>
      </c>
      <c r="AF1227">
        <v>400000</v>
      </c>
      <c r="AG1227">
        <v>33333.333333333336</v>
      </c>
      <c r="AH1227">
        <v>1</v>
      </c>
      <c r="AI1227">
        <v>1</v>
      </c>
      <c r="AJ1227" t="s">
        <v>136</v>
      </c>
      <c r="AK1227" t="s">
        <v>137</v>
      </c>
      <c r="AL1227">
        <v>0</v>
      </c>
      <c r="AM1227" t="s">
        <v>137</v>
      </c>
      <c r="AN1227">
        <v>0</v>
      </c>
    </row>
    <row r="1228" spans="1:42" ht="12.75">
      <c r="A1228" s="2" t="str">
        <f>HYPERLINK("https://ibp.a2mac1.com/costing(costing:projects/details/8191/process/6976075)","MANUFACTURING  PROCESS")</f>
        <v>MANUFACTURING  PROCESS</v>
      </c>
      <c r="B1228" t="s">
        <v>6354</v>
      </c>
      <c r="C1228">
        <v>6976075</v>
      </c>
      <c r="D1228">
        <v>5389637</v>
      </c>
      <c r="E1228">
        <v>0.13467409230769231</v>
      </c>
      <c r="F1228">
        <v>0</v>
      </c>
      <c r="G1228">
        <v>0</v>
      </c>
      <c r="H1228">
        <v>1.6552123076923077E-05</v>
      </c>
      <c r="I1228" t="s">
        <v>137</v>
      </c>
      <c r="J1228">
        <v>0.0052665846153846152</v>
      </c>
      <c r="K1228">
        <v>0.13995722904615385</v>
      </c>
      <c r="L1228">
        <v>0.0046551228631498652</v>
      </c>
      <c r="M1228">
        <v>0.027930737178899191</v>
      </c>
      <c r="N1228">
        <v>0.16788796622505303</v>
      </c>
      <c r="O1228" t="s">
        <v>138</v>
      </c>
      <c r="P1228">
        <v>0.0083974337427692308</v>
      </c>
      <c r="Q1228" t="s">
        <v>138</v>
      </c>
      <c r="R1228">
        <v>0.0016758442307339514</v>
      </c>
      <c r="S1228" t="s">
        <v>139</v>
      </c>
      <c r="T1228">
        <v>0.020146555947006366</v>
      </c>
      <c r="U1228">
        <v>0.19810780014556259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1.5130999999999999</v>
      </c>
      <c r="AB1228">
        <v>2</v>
      </c>
      <c r="AC1228">
        <v>0.01</v>
      </c>
      <c r="AD1228">
        <v>0.01099879013308536</v>
      </c>
      <c r="AE1228">
        <v>5400</v>
      </c>
      <c r="AF1228">
        <v>400000</v>
      </c>
      <c r="AG1228">
        <v>33333.333333333336</v>
      </c>
      <c r="AH1228">
        <v>1</v>
      </c>
      <c r="AI1228">
        <v>1</v>
      </c>
      <c r="AJ1228" t="s">
        <v>136</v>
      </c>
      <c r="AK1228" t="s">
        <v>137</v>
      </c>
      <c r="AL1228">
        <v>0</v>
      </c>
      <c r="AM1228" t="s">
        <v>137</v>
      </c>
      <c r="AN1228">
        <v>0</v>
      </c>
    </row>
    <row r="1229" spans="1:42" ht="12.75">
      <c r="A1229" s="2" t="str">
        <f>HYPERLINK("https://ibp.a2mac1.com/costing(costing:projects/details/8191/process/6976076)","MANUFACTURING  PROCESS")</f>
        <v>MANUFACTURING  PROCESS</v>
      </c>
      <c r="B1229" t="s">
        <v>6354</v>
      </c>
      <c r="C1229">
        <v>6976076</v>
      </c>
      <c r="D1229">
        <v>5389638</v>
      </c>
      <c r="E1229">
        <v>0.38456327272727275</v>
      </c>
      <c r="F1229">
        <v>0</v>
      </c>
      <c r="G1229">
        <v>0</v>
      </c>
      <c r="H1229">
        <v>4.8903999999999998E-05</v>
      </c>
      <c r="I1229" t="s">
        <v>137</v>
      </c>
      <c r="J1229">
        <v>0.015560363636363636</v>
      </c>
      <c r="K1229">
        <v>0.40017254036363636</v>
      </c>
      <c r="L1229">
        <v>0.0060085096525124091</v>
      </c>
      <c r="M1229">
        <v>0.036051057915074451</v>
      </c>
      <c r="N1229">
        <v>0.43622359827871082</v>
      </c>
      <c r="O1229" t="s">
        <v>138</v>
      </c>
      <c r="P1229">
        <v>0.024010352421818183</v>
      </c>
      <c r="Q1229" t="s">
        <v>138</v>
      </c>
      <c r="R1229">
        <v>0.0021630634749044671</v>
      </c>
      <c r="S1229" t="s">
        <v>139</v>
      </c>
      <c r="T1229">
        <v>0.052346831793445299</v>
      </c>
      <c r="U1229">
        <v>0.51474384596887879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2.0560499999999999</v>
      </c>
      <c r="AB1229">
        <v>2</v>
      </c>
      <c r="AC1229">
        <v>0.01</v>
      </c>
      <c r="AD1229">
        <v>0.01099879013308536</v>
      </c>
      <c r="AE1229">
        <v>5400</v>
      </c>
      <c r="AF1229">
        <v>400000</v>
      </c>
      <c r="AG1229">
        <v>33333.333333333336</v>
      </c>
      <c r="AH1229">
        <v>1</v>
      </c>
      <c r="AI1229">
        <v>1</v>
      </c>
      <c r="AJ1229" t="s">
        <v>136</v>
      </c>
      <c r="AK1229" t="s">
        <v>137</v>
      </c>
      <c r="AL1229">
        <v>0</v>
      </c>
      <c r="AM1229" t="s">
        <v>137</v>
      </c>
      <c r="AN1229">
        <v>0</v>
      </c>
    </row>
    <row r="1230" spans="1:42" ht="12.75">
      <c r="A1230" s="2" t="str">
        <f>HYPERLINK("https://ibp.a2mac1.com/costing(costing:projects/details/8191/process/6976077)","MANUFACTURING  PROCESS")</f>
        <v>MANUFACTURING  PROCESS</v>
      </c>
      <c r="B1230" t="s">
        <v>6354</v>
      </c>
      <c r="C1230">
        <v>6976077</v>
      </c>
      <c r="D1230">
        <v>5389639</v>
      </c>
      <c r="E1230">
        <v>0.99519639999999998</v>
      </c>
      <c r="F1230">
        <v>0</v>
      </c>
      <c r="G1230">
        <v>0</v>
      </c>
      <c r="H1230">
        <v>0.00011834768</v>
      </c>
      <c r="I1230" t="s">
        <v>137</v>
      </c>
      <c r="J1230">
        <v>0.037656080000000001</v>
      </c>
      <c r="K1230">
        <v>1.03297082768</v>
      </c>
      <c r="L1230">
        <v>0.0092624458320901947</v>
      </c>
      <c r="M1230">
        <v>0.055574674992541165</v>
      </c>
      <c r="N1230">
        <v>1.0885455026725412</v>
      </c>
      <c r="O1230" t="s">
        <v>138</v>
      </c>
      <c r="P1230">
        <v>0.061978249660799997</v>
      </c>
      <c r="Q1230" t="s">
        <v>138</v>
      </c>
      <c r="R1230">
        <v>0.00333448049955247</v>
      </c>
      <c r="S1230" t="s">
        <v>139</v>
      </c>
      <c r="T1230">
        <v>0.13062546032070493</v>
      </c>
      <c r="U1230">
        <v>1.2844836931535986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3.3614600000000001</v>
      </c>
      <c r="AB1230">
        <v>2</v>
      </c>
      <c r="AC1230">
        <v>0.01</v>
      </c>
      <c r="AD1230">
        <v>0.01099879013308536</v>
      </c>
      <c r="AE1230">
        <v>5400</v>
      </c>
      <c r="AF1230">
        <v>400000</v>
      </c>
      <c r="AG1230">
        <v>33333.333333333336</v>
      </c>
      <c r="AH1230">
        <v>1</v>
      </c>
      <c r="AI1230">
        <v>1</v>
      </c>
      <c r="AJ1230" t="s">
        <v>136</v>
      </c>
      <c r="AK1230" t="s">
        <v>137</v>
      </c>
      <c r="AL1230">
        <v>0</v>
      </c>
      <c r="AM1230" t="s">
        <v>137</v>
      </c>
      <c r="AN1230">
        <v>0</v>
      </c>
    </row>
    <row r="1231" spans="1:42" ht="12.75">
      <c r="A1231" s="2" t="str">
        <f>HYPERLINK("https://ibp.a2mac1.com/costing(costing:projects/details/8191/process/6976078)","MANUFACTURING  PROCESS")</f>
        <v>MANUFACTURING  PROCESS</v>
      </c>
      <c r="B1231" t="s">
        <v>6354</v>
      </c>
      <c r="C1231">
        <v>6976078</v>
      </c>
      <c r="D1231">
        <v>5389640</v>
      </c>
      <c r="E1231">
        <v>0.122107175</v>
      </c>
      <c r="F1231">
        <v>0</v>
      </c>
      <c r="G1231">
        <v>0</v>
      </c>
      <c r="H1231">
        <v>1.4289137499999999E-05</v>
      </c>
      <c r="I1231" t="s">
        <v>137</v>
      </c>
      <c r="J1231">
        <v>0.0045465437499999997</v>
      </c>
      <c r="K1231">
        <v>0.12666800788749999</v>
      </c>
      <c r="L1231">
        <v>0.0081787144122335721</v>
      </c>
      <c r="M1231">
        <v>0.049072286473401429</v>
      </c>
      <c r="N1231">
        <v>0.17574029436090144</v>
      </c>
      <c r="O1231" t="s">
        <v>138</v>
      </c>
      <c r="P1231">
        <v>0.0076000804732500003</v>
      </c>
      <c r="Q1231" t="s">
        <v>138</v>
      </c>
      <c r="R1231">
        <v>0.0029443371884040857</v>
      </c>
      <c r="S1231" t="s">
        <v>139</v>
      </c>
      <c r="T1231">
        <v>0.021088835323308172</v>
      </c>
      <c r="U1231">
        <v>0.20737354734586369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2.9266899999999998</v>
      </c>
      <c r="AB1231">
        <v>2</v>
      </c>
      <c r="AC1231">
        <v>0.01</v>
      </c>
      <c r="AD1231">
        <v>0.01099879013308536</v>
      </c>
      <c r="AE1231">
        <v>5400</v>
      </c>
      <c r="AF1231">
        <v>400000</v>
      </c>
      <c r="AG1231">
        <v>33333.333333333336</v>
      </c>
      <c r="AH1231">
        <v>1</v>
      </c>
      <c r="AI1231">
        <v>1</v>
      </c>
      <c r="AJ1231" t="s">
        <v>136</v>
      </c>
      <c r="AK1231" t="s">
        <v>137</v>
      </c>
      <c r="AL1231">
        <v>0</v>
      </c>
      <c r="AM1231" t="s">
        <v>137</v>
      </c>
      <c r="AN1231">
        <v>0</v>
      </c>
    </row>
    <row r="1232" spans="1:42" ht="12.75">
      <c r="A1232" s="2" t="str">
        <f>HYPERLINK("https://ibp.a2mac1.com/costing(costing:projects/details/8191/process/6976079)","MANUFACTURING  PROCESS")</f>
        <v>MANUFACTURING  PROCESS</v>
      </c>
      <c r="B1232" t="s">
        <v>6354</v>
      </c>
      <c r="C1232">
        <v>6976079</v>
      </c>
      <c r="D1232">
        <v>5389641</v>
      </c>
      <c r="E1232">
        <v>0.23029146551724139</v>
      </c>
      <c r="F1232">
        <v>0</v>
      </c>
      <c r="G1232">
        <v>0</v>
      </c>
      <c r="H1232">
        <v>2.8984051724137932E-05</v>
      </c>
      <c r="I1232" t="s">
        <v>137</v>
      </c>
      <c r="J1232">
        <v>0.0092221982758620685</v>
      </c>
      <c r="K1232">
        <v>0.23954264784482759</v>
      </c>
      <c r="L1232">
        <v>0.0081787144122335721</v>
      </c>
      <c r="M1232">
        <v>0.049072286473401429</v>
      </c>
      <c r="N1232">
        <v>0.28861493431822904</v>
      </c>
      <c r="O1232" t="s">
        <v>138</v>
      </c>
      <c r="P1232">
        <v>0.014372558870689655</v>
      </c>
      <c r="Q1232" t="s">
        <v>138</v>
      </c>
      <c r="R1232">
        <v>0.0029443371884040857</v>
      </c>
      <c r="S1232" t="s">
        <v>139</v>
      </c>
      <c r="T1232">
        <v>0.034633792118187484</v>
      </c>
      <c r="U1232">
        <v>0.34056562249551026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2.9266899999999998</v>
      </c>
      <c r="AB1232">
        <v>2</v>
      </c>
      <c r="AC1232">
        <v>0.01</v>
      </c>
      <c r="AD1232">
        <v>0.01099879013308536</v>
      </c>
      <c r="AE1232">
        <v>5400</v>
      </c>
      <c r="AF1232">
        <v>400000</v>
      </c>
      <c r="AG1232">
        <v>33333.333333333336</v>
      </c>
      <c r="AH1232">
        <v>1</v>
      </c>
      <c r="AI1232">
        <v>1</v>
      </c>
      <c r="AJ1232" t="s">
        <v>136</v>
      </c>
      <c r="AK1232" t="s">
        <v>137</v>
      </c>
      <c r="AL1232">
        <v>0</v>
      </c>
      <c r="AM1232" t="s">
        <v>137</v>
      </c>
      <c r="AN1232">
        <v>0</v>
      </c>
    </row>
    <row r="1233" spans="1:42" ht="12.75">
      <c r="A1233" s="2" t="str">
        <f>HYPERLINK("https://ibp.a2mac1.com/costing(costing:projects/details/8191/process/6976080)","MANUFACTURING  PROCESS")</f>
        <v>MANUFACTURING  PROCESS</v>
      </c>
      <c r="B1233" t="s">
        <v>6354</v>
      </c>
      <c r="C1233">
        <v>6976080</v>
      </c>
      <c r="D1233">
        <v>5389642</v>
      </c>
      <c r="E1233">
        <v>0.28608840000000002</v>
      </c>
      <c r="F1233">
        <v>0</v>
      </c>
      <c r="G1233">
        <v>0</v>
      </c>
      <c r="H1233">
        <v>3.4582114285714283E-05</v>
      </c>
      <c r="I1233" t="s">
        <v>137</v>
      </c>
      <c r="J1233">
        <v>0.0110034</v>
      </c>
      <c r="K1233">
        <v>0.29712638211428571</v>
      </c>
      <c r="L1233">
        <v>0.028427320066339194</v>
      </c>
      <c r="M1233">
        <v>0.17056392039803517</v>
      </c>
      <c r="N1233">
        <v>0.46769030251232085</v>
      </c>
      <c r="O1233" t="s">
        <v>138</v>
      </c>
      <c r="P1233">
        <v>0.017827582926857141</v>
      </c>
      <c r="Q1233" t="s">
        <v>138</v>
      </c>
      <c r="R1233">
        <v>0.010233835223882109</v>
      </c>
      <c r="S1233" t="s">
        <v>139</v>
      </c>
      <c r="T1233">
        <v>0.056122836301478504</v>
      </c>
      <c r="U1233">
        <v>0.55187455696453869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11.05</v>
      </c>
      <c r="AB1233">
        <v>2</v>
      </c>
      <c r="AC1233">
        <v>0.01</v>
      </c>
      <c r="AD1233">
        <v>0.01099879013308536</v>
      </c>
      <c r="AE1233">
        <v>5400</v>
      </c>
      <c r="AF1233">
        <v>400000</v>
      </c>
      <c r="AG1233">
        <v>33333.333333333336</v>
      </c>
      <c r="AH1233">
        <v>1</v>
      </c>
      <c r="AI1233">
        <v>1</v>
      </c>
      <c r="AJ1233" t="s">
        <v>136</v>
      </c>
      <c r="AK1233" t="s">
        <v>137</v>
      </c>
      <c r="AL1233">
        <v>0</v>
      </c>
      <c r="AM1233" t="s">
        <v>137</v>
      </c>
      <c r="AN1233">
        <v>0</v>
      </c>
    </row>
    <row r="1234" spans="1:42" ht="12.75">
      <c r="A1234" s="2" t="str">
        <f>HYPERLINK("https://ibp.a2mac1.com/costing(costing:projects/details/8191/process/6976081)","MANUFACTURING  PROCESS")</f>
        <v>MANUFACTURING  PROCESS</v>
      </c>
      <c r="B1234" t="s">
        <v>6354</v>
      </c>
      <c r="C1234">
        <v>6976081</v>
      </c>
      <c r="D1234">
        <v>5389643</v>
      </c>
      <c r="E1234">
        <v>0.45460343333333331</v>
      </c>
      <c r="F1234">
        <v>0</v>
      </c>
      <c r="G1234">
        <v>0</v>
      </c>
      <c r="H1234">
        <v>5.1552966666666666E-05</v>
      </c>
      <c r="I1234" t="s">
        <v>137</v>
      </c>
      <c r="J1234">
        <v>0.016403216666666668</v>
      </c>
      <c r="K1234">
        <v>0.47105820296666667</v>
      </c>
      <c r="L1234">
        <v>0.0081787144122335721</v>
      </c>
      <c r="M1234">
        <v>0.049072286473401429</v>
      </c>
      <c r="N1234">
        <v>0.52013048944006812</v>
      </c>
      <c r="O1234" t="s">
        <v>138</v>
      </c>
      <c r="P1234">
        <v>0.028263492178000001</v>
      </c>
      <c r="Q1234" t="s">
        <v>138</v>
      </c>
      <c r="R1234">
        <v>0.0029443371884040857</v>
      </c>
      <c r="S1234" t="s">
        <v>139</v>
      </c>
      <c r="T1234">
        <v>0.062415658732808174</v>
      </c>
      <c r="U1234">
        <v>0.6137539775392804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2.9266899999999998</v>
      </c>
      <c r="AB1234">
        <v>2</v>
      </c>
      <c r="AC1234">
        <v>0.01</v>
      </c>
      <c r="AD1234">
        <v>0.01099879013308536</v>
      </c>
      <c r="AE1234">
        <v>5400</v>
      </c>
      <c r="AF1234">
        <v>400000</v>
      </c>
      <c r="AG1234">
        <v>33333.333333333336</v>
      </c>
      <c r="AH1234">
        <v>1</v>
      </c>
      <c r="AI1234">
        <v>1</v>
      </c>
      <c r="AJ1234" t="s">
        <v>136</v>
      </c>
      <c r="AK1234" t="s">
        <v>137</v>
      </c>
      <c r="AL1234">
        <v>0</v>
      </c>
      <c r="AM1234" t="s">
        <v>137</v>
      </c>
      <c r="AN1234">
        <v>0</v>
      </c>
    </row>
    <row r="1235" spans="1:42" ht="12.75">
      <c r="A1235" s="2" t="str">
        <f>HYPERLINK("https://ibp.a2mac1.com/costing(costing:projects/details/8191/process/6976082)","MANUFACTURING  PROCESS")</f>
        <v>MANUFACTURING  PROCESS</v>
      </c>
      <c r="B1235" t="s">
        <v>6354</v>
      </c>
      <c r="C1235">
        <v>6976082</v>
      </c>
      <c r="D1235">
        <v>5389644</v>
      </c>
      <c r="E1235">
        <v>1.388826576923077</v>
      </c>
      <c r="F1235">
        <v>0</v>
      </c>
      <c r="G1235">
        <v>0</v>
      </c>
      <c r="H1235">
        <v>0.00017069376923076922</v>
      </c>
      <c r="I1235" t="s">
        <v>137</v>
      </c>
      <c r="J1235">
        <v>0.054311653846153843</v>
      </c>
      <c r="K1235">
        <v>1.4433089245384616</v>
      </c>
      <c r="L1235">
        <v>0.0081787144122335721</v>
      </c>
      <c r="M1235">
        <v>0.049072286473401429</v>
      </c>
      <c r="N1235">
        <v>1.4923812110118631</v>
      </c>
      <c r="O1235" t="s">
        <v>138</v>
      </c>
      <c r="P1235">
        <v>0.086598535472307697</v>
      </c>
      <c r="Q1235" t="s">
        <v>138</v>
      </c>
      <c r="R1235">
        <v>0.0029443371884040857</v>
      </c>
      <c r="S1235" t="s">
        <v>139</v>
      </c>
      <c r="T1235">
        <v>0.17908574532142355</v>
      </c>
      <c r="U1235">
        <v>1.7610098289939984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2.9266899999999998</v>
      </c>
      <c r="AB1235">
        <v>2</v>
      </c>
      <c r="AC1235">
        <v>0.01</v>
      </c>
      <c r="AD1235">
        <v>0.01099879013308536</v>
      </c>
      <c r="AE1235">
        <v>5400</v>
      </c>
      <c r="AF1235">
        <v>400000</v>
      </c>
      <c r="AG1235">
        <v>33333.333333333336</v>
      </c>
      <c r="AH1235">
        <v>1</v>
      </c>
      <c r="AI1235">
        <v>1</v>
      </c>
      <c r="AJ1235" t="s">
        <v>136</v>
      </c>
      <c r="AK1235" t="s">
        <v>137</v>
      </c>
      <c r="AL1235">
        <v>0</v>
      </c>
      <c r="AM1235" t="s">
        <v>137</v>
      </c>
      <c r="AN1235">
        <v>0</v>
      </c>
    </row>
    <row r="1236" spans="1:42" ht="12.75">
      <c r="A1236" s="2" t="str">
        <f>HYPERLINK("https://ibp.a2mac1.com/costing(costing:projects/details/8191/process/6976083)","MANUFACTURING  PROCESS")</f>
        <v>MANUFACTURING  PROCESS</v>
      </c>
      <c r="B1236" t="s">
        <v>6354</v>
      </c>
      <c r="C1236">
        <v>6976083</v>
      </c>
      <c r="D1236">
        <v>5389645</v>
      </c>
      <c r="E1236">
        <v>0.37350430000000001</v>
      </c>
      <c r="F1236">
        <v>0</v>
      </c>
      <c r="G1236">
        <v>0</v>
      </c>
      <c r="H1236">
        <v>4.5148871428571429E-05</v>
      </c>
      <c r="I1236" t="s">
        <v>137</v>
      </c>
      <c r="J1236">
        <v>0.01436555</v>
      </c>
      <c r="K1236">
        <v>0.38791499887142855</v>
      </c>
      <c r="L1236">
        <v>0.0046551228631498652</v>
      </c>
      <c r="M1236">
        <v>0.027930737178899191</v>
      </c>
      <c r="N1236">
        <v>0.41584573605032776</v>
      </c>
      <c r="O1236" t="s">
        <v>138</v>
      </c>
      <c r="P1236">
        <v>0.023274899932285716</v>
      </c>
      <c r="Q1236" t="s">
        <v>138</v>
      </c>
      <c r="R1236">
        <v>0.0016758442307339514</v>
      </c>
      <c r="S1236" t="s">
        <v>139</v>
      </c>
      <c r="T1236">
        <v>0.049901488326039328</v>
      </c>
      <c r="U1236">
        <v>0.49069796853938674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1.5130999999999999</v>
      </c>
      <c r="AB1236">
        <v>2</v>
      </c>
      <c r="AC1236">
        <v>0.01</v>
      </c>
      <c r="AD1236">
        <v>0.01099879013308536</v>
      </c>
      <c r="AE1236">
        <v>5400</v>
      </c>
      <c r="AF1236">
        <v>400000</v>
      </c>
      <c r="AG1236">
        <v>33333.333333333336</v>
      </c>
      <c r="AH1236">
        <v>1</v>
      </c>
      <c r="AI1236">
        <v>1</v>
      </c>
      <c r="AJ1236" t="s">
        <v>136</v>
      </c>
      <c r="AK1236" t="s">
        <v>137</v>
      </c>
      <c r="AL1236">
        <v>0</v>
      </c>
      <c r="AM1236" t="s">
        <v>137</v>
      </c>
      <c r="AN1236">
        <v>0</v>
      </c>
    </row>
    <row r="1237" spans="1:42" ht="12.75">
      <c r="A1237" s="2" t="str">
        <f>HYPERLINK("https://ibp.a2mac1.com/costing(costing:projects/details/8191/process/6976084)","MANUFACTURING  PROCESS")</f>
        <v>MANUFACTURING  PROCESS</v>
      </c>
      <c r="B1237" t="s">
        <v>6354</v>
      </c>
      <c r="C1237">
        <v>6976084</v>
      </c>
      <c r="D1237">
        <v>5389646</v>
      </c>
      <c r="E1237">
        <v>0.14345173333333333</v>
      </c>
      <c r="F1237">
        <v>0</v>
      </c>
      <c r="G1237">
        <v>0</v>
      </c>
      <c r="H1237">
        <v>1.7931466666666666E-05</v>
      </c>
      <c r="I1237" t="s">
        <v>137</v>
      </c>
      <c r="J1237">
        <v>0.0057054666666666665</v>
      </c>
      <c r="K1237">
        <v>0.14917513146666667</v>
      </c>
      <c r="L1237">
        <v>0.0046551228631498652</v>
      </c>
      <c r="M1237">
        <v>0.027930737178899191</v>
      </c>
      <c r="N1237">
        <v>0.17710586864556585</v>
      </c>
      <c r="O1237" t="s">
        <v>138</v>
      </c>
      <c r="P1237">
        <v>0.0089505078879999998</v>
      </c>
      <c r="Q1237" t="s">
        <v>138</v>
      </c>
      <c r="R1237">
        <v>0.0016758442307339514</v>
      </c>
      <c r="S1237" t="s">
        <v>139</v>
      </c>
      <c r="T1237">
        <v>0.021252704237467904</v>
      </c>
      <c r="U1237">
        <v>0.20898492500176771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1.5130999999999999</v>
      </c>
      <c r="AB1237">
        <v>2</v>
      </c>
      <c r="AC1237">
        <v>0.01</v>
      </c>
      <c r="AD1237">
        <v>0.01099879013308536</v>
      </c>
      <c r="AE1237">
        <v>5400</v>
      </c>
      <c r="AF1237">
        <v>400000</v>
      </c>
      <c r="AG1237">
        <v>33333.333333333336</v>
      </c>
      <c r="AH1237">
        <v>1</v>
      </c>
      <c r="AI1237">
        <v>1</v>
      </c>
      <c r="AJ1237" t="s">
        <v>136</v>
      </c>
      <c r="AK1237" t="s">
        <v>137</v>
      </c>
      <c r="AL1237">
        <v>0</v>
      </c>
      <c r="AM1237" t="s">
        <v>137</v>
      </c>
      <c r="AN1237">
        <v>0</v>
      </c>
    </row>
    <row r="1238" spans="1:42" ht="12.75">
      <c r="A1238" s="2" t="str">
        <f>HYPERLINK("https://ibp.a2mac1.com/costing(costing:projects/details/8191/process/6976085)","MANUFACTURING  PROCESS")</f>
        <v>MANUFACTURING  PROCESS</v>
      </c>
      <c r="B1238" t="s">
        <v>6354</v>
      </c>
      <c r="C1238">
        <v>6976085</v>
      </c>
      <c r="D1238">
        <v>5389647</v>
      </c>
      <c r="E1238">
        <v>0.039734499999999999</v>
      </c>
      <c r="F1238">
        <v>0</v>
      </c>
      <c r="G1238">
        <v>0</v>
      </c>
      <c r="H1238">
        <v>4.8030714285714287E-06</v>
      </c>
      <c r="I1238" t="s">
        <v>137</v>
      </c>
      <c r="J1238">
        <v>0.0015282500000000001</v>
      </c>
      <c r="K1238">
        <v>0.04126755307142857</v>
      </c>
      <c r="L1238">
        <v>0.001966047131748608</v>
      </c>
      <c r="M1238">
        <v>0.011796282790491648</v>
      </c>
      <c r="N1238">
        <v>0.053063835861920219</v>
      </c>
      <c r="O1238" t="s">
        <v>138</v>
      </c>
      <c r="P1238">
        <v>0.0024760531842857145</v>
      </c>
      <c r="Q1238" t="s">
        <v>138</v>
      </c>
      <c r="R1238">
        <v>0.00070777696742949884</v>
      </c>
      <c r="S1238" t="s">
        <v>139</v>
      </c>
      <c r="T1238">
        <v>0.0063676603034304264</v>
      </c>
      <c r="U1238">
        <v>0.062615326317065859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0.43430000000000002</v>
      </c>
      <c r="AB1238">
        <v>2</v>
      </c>
      <c r="AC1238">
        <v>0.01</v>
      </c>
      <c r="AD1238">
        <v>0.01099879013308536</v>
      </c>
      <c r="AE1238">
        <v>5400</v>
      </c>
      <c r="AF1238">
        <v>400000</v>
      </c>
      <c r="AG1238">
        <v>33333.333333333336</v>
      </c>
      <c r="AH1238">
        <v>1</v>
      </c>
      <c r="AI1238">
        <v>1</v>
      </c>
      <c r="AJ1238" t="s">
        <v>136</v>
      </c>
      <c r="AK1238" t="s">
        <v>137</v>
      </c>
      <c r="AL1238">
        <v>0</v>
      </c>
      <c r="AM1238" t="s">
        <v>137</v>
      </c>
      <c r="AN1238">
        <v>0</v>
      </c>
    </row>
    <row r="1239" spans="1:42" ht="12.75">
      <c r="A1239" s="2" t="str">
        <f>HYPERLINK("https://ibp.a2mac1.com/costing(costing:projects/details/8191/process/6976161)","MANUFACTURING  PROCESS")</f>
        <v>MANUFACTURING  PROCESS</v>
      </c>
      <c r="B1239" t="s">
        <v>6354</v>
      </c>
      <c r="C1239">
        <v>6976161</v>
      </c>
      <c r="D1239">
        <v>5389751</v>
      </c>
      <c r="E1239">
        <v>1.6376727</v>
      </c>
      <c r="F1239">
        <v>0</v>
      </c>
      <c r="G1239">
        <v>0</v>
      </c>
      <c r="H1239">
        <v>0.0002439087</v>
      </c>
      <c r="I1239" t="s">
        <v>137</v>
      </c>
      <c r="J1239">
        <v>0.060977175000000002</v>
      </c>
      <c r="K1239">
        <v>1.6988937837</v>
      </c>
      <c r="L1239">
        <v>0.014302988239190483</v>
      </c>
      <c r="M1239">
        <v>0.085817929435142895</v>
      </c>
      <c r="N1239">
        <v>1.7847117131351429</v>
      </c>
      <c r="O1239" t="s">
        <v>138</v>
      </c>
      <c r="P1239">
        <v>0.101933627022</v>
      </c>
      <c r="Q1239" t="s">
        <v>138</v>
      </c>
      <c r="R1239">
        <v>0.0051490757661085736</v>
      </c>
      <c r="S1239" t="s">
        <v>139</v>
      </c>
      <c r="T1239">
        <v>0.21416540557621716</v>
      </c>
      <c r="U1239">
        <v>2.1059598214994688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5.0290100000000004</v>
      </c>
      <c r="AB1239">
        <v>2</v>
      </c>
      <c r="AC1239">
        <v>0.01</v>
      </c>
      <c r="AD1239">
        <v>0.013998040274361589</v>
      </c>
      <c r="AE1239">
        <v>5400</v>
      </c>
      <c r="AF1239">
        <v>200000</v>
      </c>
      <c r="AG1239">
        <v>16666.666666666668</v>
      </c>
      <c r="AH1239">
        <v>1</v>
      </c>
      <c r="AI1239">
        <v>1</v>
      </c>
      <c r="AJ1239" t="s">
        <v>136</v>
      </c>
      <c r="AK1239" t="s">
        <v>137</v>
      </c>
      <c r="AL1239">
        <v>0</v>
      </c>
      <c r="AM1239" t="s">
        <v>137</v>
      </c>
      <c r="AN1239">
        <v>0</v>
      </c>
    </row>
    <row r="1240" spans="1:42" ht="12.75">
      <c r="A1240" s="2" t="str">
        <f>HYPERLINK("https://ibp.a2mac1.com/costing(costing:projects/details/8191/process/6976162)","MANUFACTURING  PROCESS")</f>
        <v>MANUFACTURING  PROCESS</v>
      </c>
      <c r="B1240" t="s">
        <v>6354</v>
      </c>
      <c r="C1240">
        <v>6976162</v>
      </c>
      <c r="D1240">
        <v>5389752</v>
      </c>
      <c r="E1240">
        <v>0.055628299999999999</v>
      </c>
      <c r="F1240">
        <v>0</v>
      </c>
      <c r="G1240">
        <v>0</v>
      </c>
      <c r="H1240">
        <v>6.7243000000000001E-06</v>
      </c>
      <c r="I1240" t="s">
        <v>137</v>
      </c>
      <c r="J1240">
        <v>0.00213955</v>
      </c>
      <c r="K1240">
        <v>0.057774574299999999</v>
      </c>
      <c r="L1240">
        <v>0.0021784711527256333</v>
      </c>
      <c r="M1240">
        <v>0.013070826916353801</v>
      </c>
      <c r="N1240">
        <v>0.070845401216353798</v>
      </c>
      <c r="O1240" t="s">
        <v>138</v>
      </c>
      <c r="P1240">
        <v>0.0034664744580000001</v>
      </c>
      <c r="Q1240" t="s">
        <v>138</v>
      </c>
      <c r="R1240">
        <v>0.00078424961498122804</v>
      </c>
      <c r="S1240" t="s">
        <v>139</v>
      </c>
      <c r="T1240">
        <v>0.0085014481459624557</v>
      </c>
      <c r="U1240">
        <v>0.083597573435297487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0.51951999999999998</v>
      </c>
      <c r="AB1240">
        <v>2</v>
      </c>
      <c r="AC1240">
        <v>0.01</v>
      </c>
      <c r="AD1240">
        <v>0.01099879013308536</v>
      </c>
      <c r="AE1240">
        <v>5400</v>
      </c>
      <c r="AF1240">
        <v>400000</v>
      </c>
      <c r="AG1240">
        <v>33333.333333333336</v>
      </c>
      <c r="AH1240">
        <v>1</v>
      </c>
      <c r="AI1240">
        <v>1</v>
      </c>
      <c r="AJ1240" t="s">
        <v>136</v>
      </c>
      <c r="AK1240" t="s">
        <v>137</v>
      </c>
      <c r="AL1240">
        <v>0</v>
      </c>
      <c r="AM1240" t="s">
        <v>137</v>
      </c>
      <c r="AN1240">
        <v>0</v>
      </c>
    </row>
    <row r="1241" spans="1:42" ht="12.75">
      <c r="A1241" s="2" t="str">
        <f>HYPERLINK("https://ibp.a2mac1.com/costing(costing:projects/details/8191/process/6976163)","MANUFACTURING  PROCESS")</f>
        <v>MANUFACTURING  PROCESS</v>
      </c>
      <c r="B1241" t="s">
        <v>6354</v>
      </c>
      <c r="C1241">
        <v>6976163</v>
      </c>
      <c r="D1241">
        <v>5389753</v>
      </c>
      <c r="E1241">
        <v>0.055628299999999999</v>
      </c>
      <c r="F1241">
        <v>0</v>
      </c>
      <c r="G1241">
        <v>0</v>
      </c>
      <c r="H1241">
        <v>6.7243000000000001E-06</v>
      </c>
      <c r="I1241" t="s">
        <v>137</v>
      </c>
      <c r="J1241">
        <v>0.00213955</v>
      </c>
      <c r="K1241">
        <v>0.057774574299999999</v>
      </c>
      <c r="L1241">
        <v>0.0021784711527256333</v>
      </c>
      <c r="M1241">
        <v>0.013070826916353801</v>
      </c>
      <c r="N1241">
        <v>0.070845401216353798</v>
      </c>
      <c r="O1241" t="s">
        <v>138</v>
      </c>
      <c r="P1241">
        <v>0.0034664744580000001</v>
      </c>
      <c r="Q1241" t="s">
        <v>138</v>
      </c>
      <c r="R1241">
        <v>0.00078424961498122804</v>
      </c>
      <c r="S1241" t="s">
        <v>139</v>
      </c>
      <c r="T1241">
        <v>0.0085014481459624557</v>
      </c>
      <c r="U1241">
        <v>0.083597573435297487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0.51951999999999998</v>
      </c>
      <c r="AB1241">
        <v>2</v>
      </c>
      <c r="AC1241">
        <v>0.01</v>
      </c>
      <c r="AD1241">
        <v>0.01099879013308536</v>
      </c>
      <c r="AE1241">
        <v>5400</v>
      </c>
      <c r="AF1241">
        <v>400000</v>
      </c>
      <c r="AG1241">
        <v>33333.333333333336</v>
      </c>
      <c r="AH1241">
        <v>1</v>
      </c>
      <c r="AI1241">
        <v>1</v>
      </c>
      <c r="AJ1241" t="s">
        <v>136</v>
      </c>
      <c r="AK1241" t="s">
        <v>137</v>
      </c>
      <c r="AL1241">
        <v>0</v>
      </c>
      <c r="AM1241" t="s">
        <v>137</v>
      </c>
      <c r="AN1241">
        <v>0</v>
      </c>
    </row>
    <row r="1242" spans="1:42" ht="12.75">
      <c r="A1242" s="2" t="str">
        <f>HYPERLINK("https://ibp.a2mac1.com/costing(costing:projects/details/8191/process/6976164)","MANUFACTURING  PROCESS")</f>
        <v>MANUFACTURING  PROCESS</v>
      </c>
      <c r="B1242" t="s">
        <v>6354</v>
      </c>
      <c r="C1242">
        <v>6976164</v>
      </c>
      <c r="D1242">
        <v>5389754</v>
      </c>
      <c r="E1242">
        <v>0.050279425000000003</v>
      </c>
      <c r="F1242">
        <v>0</v>
      </c>
      <c r="G1242">
        <v>0</v>
      </c>
      <c r="H1242">
        <v>5.8837625000000002E-06</v>
      </c>
      <c r="I1242" t="s">
        <v>137</v>
      </c>
      <c r="J1242">
        <v>0.00187210625</v>
      </c>
      <c r="K1242">
        <v>0.0521574150125</v>
      </c>
      <c r="L1242">
        <v>0.012213050879155727</v>
      </c>
      <c r="M1242">
        <v>0.073278305274934355</v>
      </c>
      <c r="N1242">
        <v>0.12543572028743435</v>
      </c>
      <c r="O1242" t="s">
        <v>138</v>
      </c>
      <c r="P1242">
        <v>0.0031294449007500001</v>
      </c>
      <c r="Q1242" t="s">
        <v>138</v>
      </c>
      <c r="R1242">
        <v>0.0043966983164960612</v>
      </c>
      <c r="S1242" t="s">
        <v>139</v>
      </c>
      <c r="T1242">
        <v>0.015052286434492123</v>
      </c>
      <c r="U1242">
        <v>0.14801414993917256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2.2725900000000001</v>
      </c>
      <c r="AB1242">
        <v>1</v>
      </c>
      <c r="AC1242">
        <v>0.01</v>
      </c>
      <c r="AD1242">
        <v>0.01099879013308536</v>
      </c>
      <c r="AE1242">
        <v>5400</v>
      </c>
      <c r="AF1242">
        <v>400000</v>
      </c>
      <c r="AG1242">
        <v>33333.333333333336</v>
      </c>
      <c r="AH1242">
        <v>1</v>
      </c>
      <c r="AI1242">
        <v>1</v>
      </c>
      <c r="AJ1242" t="s">
        <v>136</v>
      </c>
      <c r="AK1242" t="s">
        <v>137</v>
      </c>
      <c r="AL1242">
        <v>0</v>
      </c>
      <c r="AM1242" t="s">
        <v>137</v>
      </c>
      <c r="AN1242">
        <v>0</v>
      </c>
    </row>
    <row r="1243" spans="1:42" ht="12.75">
      <c r="A1243" s="2" t="str">
        <f>HYPERLINK("https://ibp.a2mac1.com/costing(costing:projects/details/8191/process/6976165)","MANUFACTURING  PROCESS")</f>
        <v>MANUFACTURING  PROCESS</v>
      </c>
      <c r="B1243" t="s">
        <v>6354</v>
      </c>
      <c r="C1243">
        <v>6976165</v>
      </c>
      <c r="D1243">
        <v>5389755</v>
      </c>
      <c r="E1243">
        <v>0.04309665</v>
      </c>
      <c r="F1243">
        <v>0</v>
      </c>
      <c r="G1243">
        <v>0</v>
      </c>
      <c r="H1243">
        <v>5.0432250000000003E-06</v>
      </c>
      <c r="I1243" t="s">
        <v>137</v>
      </c>
      <c r="J1243">
        <v>0.0016046624999999999</v>
      </c>
      <c r="K1243">
        <v>0.044706355725000001</v>
      </c>
      <c r="L1243">
        <v>0.012213050879155727</v>
      </c>
      <c r="M1243">
        <v>0.073278305274934355</v>
      </c>
      <c r="N1243">
        <v>0.11798466099993436</v>
      </c>
      <c r="O1243" t="s">
        <v>138</v>
      </c>
      <c r="P1243">
        <v>0.0026823813434999999</v>
      </c>
      <c r="Q1243" t="s">
        <v>138</v>
      </c>
      <c r="R1243">
        <v>0.0043966983164960612</v>
      </c>
      <c r="S1243" t="s">
        <v>139</v>
      </c>
      <c r="T1243">
        <v>0.014158159319992123</v>
      </c>
      <c r="U1243">
        <v>0.13922189997992254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2.2725900000000001</v>
      </c>
      <c r="AB1243">
        <v>1</v>
      </c>
      <c r="AC1243">
        <v>0.01</v>
      </c>
      <c r="AD1243">
        <v>0.01099879013308536</v>
      </c>
      <c r="AE1243">
        <v>5400</v>
      </c>
      <c r="AF1243">
        <v>400000</v>
      </c>
      <c r="AG1243">
        <v>33333.333333333336</v>
      </c>
      <c r="AH1243">
        <v>1</v>
      </c>
      <c r="AI1243">
        <v>1</v>
      </c>
      <c r="AJ1243" t="s">
        <v>136</v>
      </c>
      <c r="AK1243" t="s">
        <v>137</v>
      </c>
      <c r="AL1243">
        <v>0</v>
      </c>
      <c r="AM1243" t="s">
        <v>137</v>
      </c>
      <c r="AN1243">
        <v>0</v>
      </c>
    </row>
    <row r="1244" spans="1:42" ht="12.75">
      <c r="A1244" s="2" t="str">
        <f>HYPERLINK("https://ibp.a2mac1.com/costing(costing:projects/details/8191/process/6976166)","MANUFACTURING  PROCESS")</f>
        <v>MANUFACTURING  PROCESS</v>
      </c>
      <c r="B1244" t="s">
        <v>6354</v>
      </c>
      <c r="C1244">
        <v>6976166</v>
      </c>
      <c r="D1244">
        <v>5389756</v>
      </c>
      <c r="E1244">
        <v>1.5945760499999999</v>
      </c>
      <c r="F1244">
        <v>0</v>
      </c>
      <c r="G1244">
        <v>0</v>
      </c>
      <c r="H1244">
        <v>0.00023749004999999999</v>
      </c>
      <c r="I1244" t="s">
        <v>137</v>
      </c>
      <c r="J1244">
        <v>0.059372512500000002</v>
      </c>
      <c r="K1244">
        <v>1.6541860525500001</v>
      </c>
      <c r="L1244">
        <v>0.0090624735196952709</v>
      </c>
      <c r="M1244">
        <v>0.054374841118171625</v>
      </c>
      <c r="N1244">
        <v>1.7085608936681715</v>
      </c>
      <c r="O1244" t="s">
        <v>138</v>
      </c>
      <c r="P1244">
        <v>0.099251163153000005</v>
      </c>
      <c r="Q1244" t="s">
        <v>138</v>
      </c>
      <c r="R1244">
        <v>0.0032624904670902977</v>
      </c>
      <c r="S1244" t="s">
        <v>139</v>
      </c>
      <c r="T1244">
        <v>0.20502730724018059</v>
      </c>
      <c r="U1244">
        <v>2.0161018545284426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2.9266899999999998</v>
      </c>
      <c r="AB1244">
        <v>2</v>
      </c>
      <c r="AC1244">
        <v>0.01</v>
      </c>
      <c r="AD1244">
        <v>0.013998040274361589</v>
      </c>
      <c r="AE1244">
        <v>5400</v>
      </c>
      <c r="AF1244">
        <v>200000</v>
      </c>
      <c r="AG1244">
        <v>16666.666666666668</v>
      </c>
      <c r="AH1244">
        <v>1</v>
      </c>
      <c r="AI1244">
        <v>1</v>
      </c>
      <c r="AJ1244" t="s">
        <v>136</v>
      </c>
      <c r="AK1244" t="s">
        <v>137</v>
      </c>
      <c r="AL1244">
        <v>0</v>
      </c>
      <c r="AM1244" t="s">
        <v>137</v>
      </c>
      <c r="AN1244">
        <v>0</v>
      </c>
    </row>
    <row r="1245" spans="1:42" ht="12.75">
      <c r="A1245" s="2" t="str">
        <f>HYPERLINK("https://ibp.a2mac1.com/costing(costing:projects/details/8191/process/6976167)","MANUFACTURING  PROCESS")</f>
        <v>MANUFACTURING  PROCESS</v>
      </c>
      <c r="B1245" t="s">
        <v>6354</v>
      </c>
      <c r="C1245">
        <v>6976167</v>
      </c>
      <c r="D1245">
        <v>5389757</v>
      </c>
      <c r="E1245">
        <v>1.8200438666666667</v>
      </c>
      <c r="F1245">
        <v>0</v>
      </c>
      <c r="G1245">
        <v>0</v>
      </c>
      <c r="H1245">
        <v>0.00022750548333333334</v>
      </c>
      <c r="I1245" t="s">
        <v>137</v>
      </c>
      <c r="J1245">
        <v>0.07238810833333334</v>
      </c>
      <c r="K1245">
        <v>1.8926594804833334</v>
      </c>
      <c r="L1245">
        <v>0.034399371402856635</v>
      </c>
      <c r="M1245">
        <v>0.20639622841713981</v>
      </c>
      <c r="N1245">
        <v>2.0990557089004733</v>
      </c>
      <c r="O1245" t="s">
        <v>138</v>
      </c>
      <c r="P1245">
        <v>0.11355956882899999</v>
      </c>
      <c r="Q1245" t="s">
        <v>138</v>
      </c>
      <c r="R1245">
        <v>0.012383773705028389</v>
      </c>
      <c r="S1245" t="s">
        <v>139</v>
      </c>
      <c r="T1245">
        <v>0.25188668506805678</v>
      </c>
      <c r="U1245">
        <v>2.4768857365025583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6.7229299999999999</v>
      </c>
      <c r="AB1245">
        <v>1</v>
      </c>
      <c r="AC1245">
        <v>0.01</v>
      </c>
      <c r="AD1245">
        <v>0.01099879013308536</v>
      </c>
      <c r="AE1245">
        <v>5400</v>
      </c>
      <c r="AF1245">
        <v>400000</v>
      </c>
      <c r="AG1245">
        <v>33333.333333333336</v>
      </c>
      <c r="AH1245">
        <v>1</v>
      </c>
      <c r="AI1245">
        <v>1</v>
      </c>
      <c r="AJ1245" t="s">
        <v>136</v>
      </c>
      <c r="AK1245" t="s">
        <v>137</v>
      </c>
      <c r="AL1245">
        <v>0</v>
      </c>
      <c r="AM1245" t="s">
        <v>137</v>
      </c>
      <c r="AN1245">
        <v>0</v>
      </c>
    </row>
    <row r="1246" spans="1:42" ht="12.75">
      <c r="A1246" s="2" t="str">
        <f>HYPERLINK("https://ibp.a2mac1.com/costing(costing:projects/details/8191/process/6976168)","MANUFACTURING  PROCESS")</f>
        <v>MANUFACTURING  PROCESS</v>
      </c>
      <c r="B1246" t="s">
        <v>6354</v>
      </c>
      <c r="C1246">
        <v>6976168</v>
      </c>
      <c r="D1246">
        <v>5389758</v>
      </c>
      <c r="E1246">
        <v>0.33173213333333335</v>
      </c>
      <c r="F1246">
        <v>0</v>
      </c>
      <c r="G1246">
        <v>0</v>
      </c>
      <c r="H1246">
        <v>3.9449226666666666E-05</v>
      </c>
      <c r="I1246" t="s">
        <v>137</v>
      </c>
      <c r="J1246">
        <v>0.012552026666666667</v>
      </c>
      <c r="K1246">
        <v>0.34432360922666666</v>
      </c>
      <c r="L1246">
        <v>0.0060085096525124091</v>
      </c>
      <c r="M1246">
        <v>0.036051057915074451</v>
      </c>
      <c r="N1246">
        <v>0.38037466714174112</v>
      </c>
      <c r="O1246" t="s">
        <v>138</v>
      </c>
      <c r="P1246">
        <v>0.020659416553599999</v>
      </c>
      <c r="Q1246" t="s">
        <v>138</v>
      </c>
      <c r="R1246">
        <v>0.0021630634749044671</v>
      </c>
      <c r="S1246" t="s">
        <v>139</v>
      </c>
      <c r="T1246">
        <v>0.045644960057008938</v>
      </c>
      <c r="U1246">
        <v>0.44884210722725454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2.0560499999999999</v>
      </c>
      <c r="AB1246">
        <v>2</v>
      </c>
      <c r="AC1246">
        <v>0.01</v>
      </c>
      <c r="AD1246">
        <v>0.01099879013308536</v>
      </c>
      <c r="AE1246">
        <v>5400</v>
      </c>
      <c r="AF1246">
        <v>400000</v>
      </c>
      <c r="AG1246">
        <v>33333.333333333336</v>
      </c>
      <c r="AH1246">
        <v>1</v>
      </c>
      <c r="AI1246">
        <v>1</v>
      </c>
      <c r="AJ1246" t="s">
        <v>136</v>
      </c>
      <c r="AK1246" t="s">
        <v>137</v>
      </c>
      <c r="AL1246">
        <v>0</v>
      </c>
      <c r="AM1246" t="s">
        <v>137</v>
      </c>
      <c r="AN1246">
        <v>0</v>
      </c>
    </row>
    <row r="1247" spans="1:42" ht="12.75">
      <c r="A1247" s="2" t="str">
        <f>HYPERLINK("https://ibp.a2mac1.com/costing(costing:projects/details/8191/process/6976169)","MANUFACTURING  PROCESS")</f>
        <v>MANUFACTURING  PROCESS</v>
      </c>
      <c r="B1247" t="s">
        <v>6354</v>
      </c>
      <c r="C1247">
        <v>6976169</v>
      </c>
      <c r="D1247">
        <v>5389759</v>
      </c>
      <c r="E1247">
        <v>0.23351659999999999</v>
      </c>
      <c r="F1247">
        <v>0</v>
      </c>
      <c r="G1247">
        <v>0</v>
      </c>
      <c r="H1247">
        <v>2.6897200000000001E-05</v>
      </c>
      <c r="I1247" t="s">
        <v>137</v>
      </c>
      <c r="J1247">
        <v>0.0085582000000000002</v>
      </c>
      <c r="K1247">
        <v>0.24210169719999999</v>
      </c>
      <c r="L1247">
        <v>0.0060085096525124091</v>
      </c>
      <c r="M1247">
        <v>0.036051057915074451</v>
      </c>
      <c r="N1247">
        <v>0.27815275511507448</v>
      </c>
      <c r="O1247" t="s">
        <v>138</v>
      </c>
      <c r="P1247">
        <v>0.014526101832</v>
      </c>
      <c r="Q1247" t="s">
        <v>138</v>
      </c>
      <c r="R1247">
        <v>0.0021630634749044671</v>
      </c>
      <c r="S1247" t="s">
        <v>139</v>
      </c>
      <c r="T1247">
        <v>0.033378330613808932</v>
      </c>
      <c r="U1247">
        <v>0.32822025103578784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2.0560499999999999</v>
      </c>
      <c r="AB1247">
        <v>2</v>
      </c>
      <c r="AC1247">
        <v>0.01</v>
      </c>
      <c r="AD1247">
        <v>0.01099879013308536</v>
      </c>
      <c r="AE1247">
        <v>5400</v>
      </c>
      <c r="AF1247">
        <v>400000</v>
      </c>
      <c r="AG1247">
        <v>33333.333333333336</v>
      </c>
      <c r="AH1247">
        <v>1</v>
      </c>
      <c r="AI1247">
        <v>1</v>
      </c>
      <c r="AJ1247" t="s">
        <v>136</v>
      </c>
      <c r="AK1247" t="s">
        <v>137</v>
      </c>
      <c r="AL1247">
        <v>0</v>
      </c>
      <c r="AM1247" t="s">
        <v>137</v>
      </c>
      <c r="AN1247">
        <v>0</v>
      </c>
    </row>
    <row r="1248" spans="1:42" ht="12.75">
      <c r="A1248" s="2" t="str">
        <f>HYPERLINK("https://ibp.a2mac1.com/costing(costing:projects/details/8191/process/6976170)","MANUFACTURING  PROCESS")</f>
        <v>MANUFACTURING  PROCESS</v>
      </c>
      <c r="B1248" t="s">
        <v>6354</v>
      </c>
      <c r="C1248">
        <v>6976170</v>
      </c>
      <c r="D1248">
        <v>5389760</v>
      </c>
      <c r="E1248">
        <v>1.5944062444444445</v>
      </c>
      <c r="F1248">
        <v>0</v>
      </c>
      <c r="G1248">
        <v>0</v>
      </c>
      <c r="H1248">
        <v>0.0002301204888888889</v>
      </c>
      <c r="I1248" t="s">
        <v>137</v>
      </c>
      <c r="J1248">
        <v>0.057530122222222223</v>
      </c>
      <c r="K1248">
        <v>1.6521664871555555</v>
      </c>
      <c r="L1248">
        <v>0.0090624735196952709</v>
      </c>
      <c r="M1248">
        <v>0.054374841118171625</v>
      </c>
      <c r="N1248">
        <v>1.7065413282737272</v>
      </c>
      <c r="O1248" t="s">
        <v>138</v>
      </c>
      <c r="P1248">
        <v>0.099129989229333332</v>
      </c>
      <c r="Q1248" t="s">
        <v>138</v>
      </c>
      <c r="R1248">
        <v>0.0032624904670902977</v>
      </c>
      <c r="S1248" t="s">
        <v>139</v>
      </c>
      <c r="T1248">
        <v>0.20478495939284727</v>
      </c>
      <c r="U1248">
        <v>2.0137187673629979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2.9266899999999998</v>
      </c>
      <c r="AB1248">
        <v>2</v>
      </c>
      <c r="AC1248">
        <v>0.01</v>
      </c>
      <c r="AD1248">
        <v>0.013998040274361589</v>
      </c>
      <c r="AE1248">
        <v>5400</v>
      </c>
      <c r="AF1248">
        <v>200000</v>
      </c>
      <c r="AG1248">
        <v>16666.666666666668</v>
      </c>
      <c r="AH1248">
        <v>1</v>
      </c>
      <c r="AI1248">
        <v>1</v>
      </c>
      <c r="AJ1248" t="s">
        <v>136</v>
      </c>
      <c r="AK1248" t="s">
        <v>137</v>
      </c>
      <c r="AL1248">
        <v>0</v>
      </c>
      <c r="AM1248" t="s">
        <v>137</v>
      </c>
      <c r="AN1248">
        <v>0</v>
      </c>
    </row>
    <row r="1249" spans="1:42" ht="12.75">
      <c r="A1249" s="2" t="str">
        <f>HYPERLINK("https://ibp.a2mac1.com/costing(costing:projects/details/8191/process/6976171)","MANUFACTURING  PROCESS")</f>
        <v>MANUFACTURING  PROCESS</v>
      </c>
      <c r="B1249" t="s">
        <v>6354</v>
      </c>
      <c r="C1249">
        <v>6976171</v>
      </c>
      <c r="D1249">
        <v>5389761</v>
      </c>
      <c r="E1249">
        <v>0.14494602222222222</v>
      </c>
      <c r="F1249">
        <v>0</v>
      </c>
      <c r="G1249">
        <v>0</v>
      </c>
      <c r="H1249">
        <v>1.6437177777777778E-05</v>
      </c>
      <c r="I1249" t="s">
        <v>137</v>
      </c>
      <c r="J1249">
        <v>0.0052300111111111113</v>
      </c>
      <c r="K1249">
        <v>0.15019247051111112</v>
      </c>
      <c r="L1249">
        <v>0.0081787144122335721</v>
      </c>
      <c r="M1249">
        <v>0.049072286473401429</v>
      </c>
      <c r="N1249">
        <v>0.19926475698451254</v>
      </c>
      <c r="O1249" t="s">
        <v>138</v>
      </c>
      <c r="P1249">
        <v>0.0090115482306666675</v>
      </c>
      <c r="Q1249" t="s">
        <v>138</v>
      </c>
      <c r="R1249">
        <v>0.0029443371884040857</v>
      </c>
      <c r="S1249" t="s">
        <v>139</v>
      </c>
      <c r="T1249">
        <v>0.023911770838141506</v>
      </c>
      <c r="U1249">
        <v>0.23513241324172479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2.9266899999999998</v>
      </c>
      <c r="AB1249">
        <v>2</v>
      </c>
      <c r="AC1249">
        <v>0.01</v>
      </c>
      <c r="AD1249">
        <v>0.01099879013308536</v>
      </c>
      <c r="AE1249">
        <v>5400</v>
      </c>
      <c r="AF1249">
        <v>400000</v>
      </c>
      <c r="AG1249">
        <v>33333.333333333336</v>
      </c>
      <c r="AH1249">
        <v>1</v>
      </c>
      <c r="AI1249">
        <v>1</v>
      </c>
      <c r="AJ1249" t="s">
        <v>136</v>
      </c>
      <c r="AK1249" t="s">
        <v>137</v>
      </c>
      <c r="AL1249">
        <v>0</v>
      </c>
      <c r="AM1249" t="s">
        <v>137</v>
      </c>
      <c r="AN1249">
        <v>0</v>
      </c>
    </row>
    <row r="1250" spans="1:42" ht="12.75">
      <c r="A1250" s="2" t="str">
        <f>HYPERLINK("https://ibp.a2mac1.com/costing(costing:projects/details/8191/process/6976172)","MANUFACTURING  PROCESS")</f>
        <v>MANUFACTURING  PROCESS</v>
      </c>
      <c r="B1250" t="s">
        <v>6354</v>
      </c>
      <c r="C1250">
        <v>6976172</v>
      </c>
      <c r="D1250">
        <v>5389762</v>
      </c>
      <c r="E1250">
        <v>0.68343339999999997</v>
      </c>
      <c r="F1250">
        <v>0</v>
      </c>
      <c r="G1250">
        <v>0</v>
      </c>
      <c r="H1250">
        <v>8.2612828571428565E-05</v>
      </c>
      <c r="I1250" t="s">
        <v>137</v>
      </c>
      <c r="J1250">
        <v>0.026285900000000001</v>
      </c>
      <c r="K1250">
        <v>0.70980191282857141</v>
      </c>
      <c r="L1250">
        <v>0.0081787144122335721</v>
      </c>
      <c r="M1250">
        <v>0.049072286473401429</v>
      </c>
      <c r="N1250">
        <v>0.75887419930197286</v>
      </c>
      <c r="O1250" t="s">
        <v>138</v>
      </c>
      <c r="P1250">
        <v>0.042588114769714289</v>
      </c>
      <c r="Q1250" t="s">
        <v>138</v>
      </c>
      <c r="R1250">
        <v>0.0029443371884040857</v>
      </c>
      <c r="S1250" t="s">
        <v>139</v>
      </c>
      <c r="T1250">
        <v>0.091064903916236742</v>
      </c>
      <c r="U1250">
        <v>0.89547155517632793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2.9266899999999998</v>
      </c>
      <c r="AB1250">
        <v>2</v>
      </c>
      <c r="AC1250">
        <v>0.01</v>
      </c>
      <c r="AD1250">
        <v>0.01099879013308536</v>
      </c>
      <c r="AE1250">
        <v>5400</v>
      </c>
      <c r="AF1250">
        <v>400000</v>
      </c>
      <c r="AG1250">
        <v>33333.333333333336</v>
      </c>
      <c r="AH1250">
        <v>1</v>
      </c>
      <c r="AI1250">
        <v>1</v>
      </c>
      <c r="AJ1250" t="s">
        <v>136</v>
      </c>
      <c r="AK1250" t="s">
        <v>137</v>
      </c>
      <c r="AL1250">
        <v>0</v>
      </c>
      <c r="AM1250" t="s">
        <v>137</v>
      </c>
      <c r="AN1250">
        <v>0</v>
      </c>
    </row>
    <row r="1251" spans="1:42" ht="12.75">
      <c r="A1251" s="2" t="str">
        <f>HYPERLINK("https://ibp.a2mac1.com/costing(costing:projects/details/8191/process/6976173)","MANUFACTURING  PROCESS")</f>
        <v>MANUFACTURING  PROCESS</v>
      </c>
      <c r="B1251" t="s">
        <v>6354</v>
      </c>
      <c r="C1251">
        <v>6976173</v>
      </c>
      <c r="D1251">
        <v>5389763</v>
      </c>
      <c r="E1251">
        <v>0.19724613333333332</v>
      </c>
      <c r="F1251">
        <v>0</v>
      </c>
      <c r="G1251">
        <v>0</v>
      </c>
      <c r="H1251">
        <v>2.4655766666666665E-05</v>
      </c>
      <c r="I1251" t="s">
        <v>137</v>
      </c>
      <c r="J1251">
        <v>0.0078450166666666661</v>
      </c>
      <c r="K1251">
        <v>0.20511580576666666</v>
      </c>
      <c r="L1251">
        <v>0.0060085096525124091</v>
      </c>
      <c r="M1251">
        <v>0.036051057915074451</v>
      </c>
      <c r="N1251">
        <v>0.24116686368174112</v>
      </c>
      <c r="O1251" t="s">
        <v>138</v>
      </c>
      <c r="P1251">
        <v>0.012306948345999999</v>
      </c>
      <c r="Q1251" t="s">
        <v>138</v>
      </c>
      <c r="R1251">
        <v>0.0021630634749044671</v>
      </c>
      <c r="S1251" t="s">
        <v>139</v>
      </c>
      <c r="T1251">
        <v>0.028940023641808935</v>
      </c>
      <c r="U1251">
        <v>0.2845768991444545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2.0560499999999999</v>
      </c>
      <c r="AB1251">
        <v>2</v>
      </c>
      <c r="AC1251">
        <v>0.01</v>
      </c>
      <c r="AD1251">
        <v>0.01099879013308536</v>
      </c>
      <c r="AE1251">
        <v>5400</v>
      </c>
      <c r="AF1251">
        <v>400000</v>
      </c>
      <c r="AG1251">
        <v>33333.333333333336</v>
      </c>
      <c r="AH1251">
        <v>1</v>
      </c>
      <c r="AI1251">
        <v>1</v>
      </c>
      <c r="AJ1251" t="s">
        <v>136</v>
      </c>
      <c r="AK1251" t="s">
        <v>137</v>
      </c>
      <c r="AL1251">
        <v>0</v>
      </c>
      <c r="AM1251" t="s">
        <v>137</v>
      </c>
      <c r="AN1251">
        <v>0</v>
      </c>
    </row>
    <row r="1252" spans="1:42" ht="12.75">
      <c r="A1252" s="2" t="str">
        <f>HYPERLINK("https://ibp.a2mac1.com/costing(costing:projects/details/8191/process/6976174)","MANUFACTURING  PROCESS")</f>
        <v>MANUFACTURING  PROCESS</v>
      </c>
      <c r="B1252" t="s">
        <v>6354</v>
      </c>
      <c r="C1252">
        <v>6976174</v>
      </c>
      <c r="D1252">
        <v>5389764</v>
      </c>
      <c r="E1252">
        <v>0.064644974999999993</v>
      </c>
      <c r="F1252">
        <v>0</v>
      </c>
      <c r="G1252">
        <v>0</v>
      </c>
      <c r="H1252">
        <v>7.5648375000000001E-06</v>
      </c>
      <c r="I1252" t="s">
        <v>137</v>
      </c>
      <c r="J1252">
        <v>0.0024069937500000001</v>
      </c>
      <c r="K1252">
        <v>0.067059533587499998</v>
      </c>
      <c r="L1252">
        <v>0.0060085096525124091</v>
      </c>
      <c r="M1252">
        <v>0.036051057915074451</v>
      </c>
      <c r="N1252">
        <v>0.10311059150257446</v>
      </c>
      <c r="O1252" t="s">
        <v>138</v>
      </c>
      <c r="P1252">
        <v>0.0040235720152499996</v>
      </c>
      <c r="Q1252" t="s">
        <v>138</v>
      </c>
      <c r="R1252">
        <v>0.0021630634749044671</v>
      </c>
      <c r="S1252" t="s">
        <v>139</v>
      </c>
      <c r="T1252">
        <v>0.012373270980308935</v>
      </c>
      <c r="U1252">
        <v>0.12167049797303786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2.0560499999999999</v>
      </c>
      <c r="AB1252">
        <v>2</v>
      </c>
      <c r="AC1252">
        <v>0.01</v>
      </c>
      <c r="AD1252">
        <v>0.01099879013308536</v>
      </c>
      <c r="AE1252">
        <v>5400</v>
      </c>
      <c r="AF1252">
        <v>400000</v>
      </c>
      <c r="AG1252">
        <v>33333.333333333336</v>
      </c>
      <c r="AH1252">
        <v>1</v>
      </c>
      <c r="AI1252">
        <v>1</v>
      </c>
      <c r="AJ1252" t="s">
        <v>136</v>
      </c>
      <c r="AK1252" t="s">
        <v>137</v>
      </c>
      <c r="AL1252">
        <v>0</v>
      </c>
      <c r="AM1252" t="s">
        <v>137</v>
      </c>
      <c r="AN1252">
        <v>0</v>
      </c>
    </row>
    <row r="1253" spans="1:42" ht="12.75">
      <c r="A1253" s="2" t="str">
        <f>HYPERLINK("https://ibp.a2mac1.com/costing(costing:projects/details/8191/process/6976175)","MANUFACTURING  PROCESS")</f>
        <v>MANUFACTURING  PROCESS</v>
      </c>
      <c r="B1253" t="s">
        <v>6354</v>
      </c>
      <c r="C1253">
        <v>6976175</v>
      </c>
      <c r="D1253">
        <v>5389765</v>
      </c>
      <c r="E1253">
        <v>0.04309665</v>
      </c>
      <c r="F1253">
        <v>0</v>
      </c>
      <c r="G1253">
        <v>0</v>
      </c>
      <c r="H1253">
        <v>5.0432250000000003E-06</v>
      </c>
      <c r="I1253" t="s">
        <v>137</v>
      </c>
      <c r="J1253">
        <v>0.0016046624999999999</v>
      </c>
      <c r="K1253">
        <v>0.044706355725000001</v>
      </c>
      <c r="L1253">
        <v>0.0046551228631498652</v>
      </c>
      <c r="M1253">
        <v>0.027930737178899191</v>
      </c>
      <c r="N1253">
        <v>0.072637092903899192</v>
      </c>
      <c r="O1253" t="s">
        <v>138</v>
      </c>
      <c r="P1253">
        <v>0.0026823813434999999</v>
      </c>
      <c r="Q1253" t="s">
        <v>138</v>
      </c>
      <c r="R1253">
        <v>0.0016758442307339514</v>
      </c>
      <c r="S1253" t="s">
        <v>139</v>
      </c>
      <c r="T1253">
        <v>0.008716451148467903</v>
      </c>
      <c r="U1253">
        <v>0.085711769626601042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1.5130999999999999</v>
      </c>
      <c r="AB1253">
        <v>2</v>
      </c>
      <c r="AC1253">
        <v>0.01</v>
      </c>
      <c r="AD1253">
        <v>0.01099879013308536</v>
      </c>
      <c r="AE1253">
        <v>5400</v>
      </c>
      <c r="AF1253">
        <v>400000</v>
      </c>
      <c r="AG1253">
        <v>33333.333333333336</v>
      </c>
      <c r="AH1253">
        <v>1</v>
      </c>
      <c r="AI1253">
        <v>1</v>
      </c>
      <c r="AJ1253" t="s">
        <v>136</v>
      </c>
      <c r="AK1253" t="s">
        <v>137</v>
      </c>
      <c r="AL1253">
        <v>0</v>
      </c>
      <c r="AM1253" t="s">
        <v>137</v>
      </c>
      <c r="AN1253">
        <v>0</v>
      </c>
    </row>
    <row r="1254" spans="1:42" ht="12.75">
      <c r="A1254" s="2" t="str">
        <f>HYPERLINK("https://ibp.a2mac1.com/costing(costing:projects/details/8191/process/6976176)","MANUFACTURING  PROCESS")</f>
        <v>MANUFACTURING  PROCESS</v>
      </c>
      <c r="B1254" t="s">
        <v>6354</v>
      </c>
      <c r="C1254">
        <v>6976176</v>
      </c>
      <c r="D1254">
        <v>5389766</v>
      </c>
      <c r="E1254">
        <v>0.19724613333333332</v>
      </c>
      <c r="F1254">
        <v>0</v>
      </c>
      <c r="G1254">
        <v>0</v>
      </c>
      <c r="H1254">
        <v>2.4655766666666665E-05</v>
      </c>
      <c r="I1254" t="s">
        <v>137</v>
      </c>
      <c r="J1254">
        <v>0.0078450166666666661</v>
      </c>
      <c r="K1254">
        <v>0.20511580576666666</v>
      </c>
      <c r="L1254">
        <v>0.0060085096525124091</v>
      </c>
      <c r="M1254">
        <v>0.036051057915074451</v>
      </c>
      <c r="N1254">
        <v>0.24116686368174112</v>
      </c>
      <c r="O1254" t="s">
        <v>138</v>
      </c>
      <c r="P1254">
        <v>0.012306948345999999</v>
      </c>
      <c r="Q1254" t="s">
        <v>138</v>
      </c>
      <c r="R1254">
        <v>0.0021630634749044671</v>
      </c>
      <c r="S1254" t="s">
        <v>139</v>
      </c>
      <c r="T1254">
        <v>0.028940023641808935</v>
      </c>
      <c r="U1254">
        <v>0.2845768991444545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2.0560499999999999</v>
      </c>
      <c r="AB1254">
        <v>2</v>
      </c>
      <c r="AC1254">
        <v>0.01</v>
      </c>
      <c r="AD1254">
        <v>0.01099879013308536</v>
      </c>
      <c r="AE1254">
        <v>5400</v>
      </c>
      <c r="AF1254">
        <v>400000</v>
      </c>
      <c r="AG1254">
        <v>33333.333333333336</v>
      </c>
      <c r="AH1254">
        <v>1</v>
      </c>
      <c r="AI1254">
        <v>1</v>
      </c>
      <c r="AJ1254" t="s">
        <v>136</v>
      </c>
      <c r="AK1254" t="s">
        <v>137</v>
      </c>
      <c r="AL1254">
        <v>0</v>
      </c>
      <c r="AM1254" t="s">
        <v>137</v>
      </c>
      <c r="AN1254">
        <v>0</v>
      </c>
    </row>
    <row r="1255" spans="1:42" ht="12.75">
      <c r="A1255" s="2" t="str">
        <f>HYPERLINK("https://ibp.a2mac1.com/costing(costing:projects/details/8191/process/6976177)","MANUFACTURING  PROCESS")</f>
        <v>MANUFACTURING  PROCESS</v>
      </c>
      <c r="B1255" t="s">
        <v>6354</v>
      </c>
      <c r="C1255">
        <v>6976177</v>
      </c>
      <c r="D1255">
        <v>5389767</v>
      </c>
      <c r="E1255">
        <v>0.72802234117647058</v>
      </c>
      <c r="F1255">
        <v>0</v>
      </c>
      <c r="G1255">
        <v>0</v>
      </c>
      <c r="H1255">
        <v>0.00010672578823529411</v>
      </c>
      <c r="I1255" t="s">
        <v>137</v>
      </c>
      <c r="J1255">
        <v>0.02668144705882353</v>
      </c>
      <c r="K1255">
        <v>0.75481051402352939</v>
      </c>
      <c r="L1255">
        <v>0.0090624735196952709</v>
      </c>
      <c r="M1255">
        <v>0.054374841118171625</v>
      </c>
      <c r="N1255">
        <v>0.80918535514170109</v>
      </c>
      <c r="O1255" t="s">
        <v>138</v>
      </c>
      <c r="P1255">
        <v>0.045288630841411763</v>
      </c>
      <c r="Q1255" t="s">
        <v>138</v>
      </c>
      <c r="R1255">
        <v>0.0032624904670902977</v>
      </c>
      <c r="S1255" t="s">
        <v>139</v>
      </c>
      <c r="T1255">
        <v>0.09710224261700412</v>
      </c>
      <c r="U1255">
        <v>0.95483871906720719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2.9266899999999998</v>
      </c>
      <c r="AB1255">
        <v>2</v>
      </c>
      <c r="AC1255">
        <v>0.01</v>
      </c>
      <c r="AD1255">
        <v>0.013998040274361589</v>
      </c>
      <c r="AE1255">
        <v>5400</v>
      </c>
      <c r="AF1255">
        <v>200000</v>
      </c>
      <c r="AG1255">
        <v>16666.666666666668</v>
      </c>
      <c r="AH1255">
        <v>1</v>
      </c>
      <c r="AI1255">
        <v>1</v>
      </c>
      <c r="AJ1255" t="s">
        <v>136</v>
      </c>
      <c r="AK1255" t="s">
        <v>137</v>
      </c>
      <c r="AL1255">
        <v>0</v>
      </c>
      <c r="AM1255" t="s">
        <v>137</v>
      </c>
      <c r="AN1255">
        <v>0</v>
      </c>
    </row>
    <row r="1256" spans="1:42" ht="12.75">
      <c r="A1256" s="2" t="str">
        <f>HYPERLINK("https://ibp.a2mac1.com/costing(costing:projects/details/8191/process/6976178)","MANUFACTURING  PROCESS")</f>
        <v>MANUFACTURING  PROCESS</v>
      </c>
      <c r="B1256" t="s">
        <v>6354</v>
      </c>
      <c r="C1256">
        <v>6976178</v>
      </c>
      <c r="D1256">
        <v>5389768</v>
      </c>
      <c r="E1256">
        <v>0.1149244</v>
      </c>
      <c r="F1256">
        <v>0</v>
      </c>
      <c r="G1256">
        <v>0</v>
      </c>
      <c r="H1256">
        <v>1.34486E-05</v>
      </c>
      <c r="I1256" t="s">
        <v>137</v>
      </c>
      <c r="J1256">
        <v>0.0042791000000000001</v>
      </c>
      <c r="K1256">
        <v>0.1192169486</v>
      </c>
      <c r="L1256">
        <v>0.0060085096525124091</v>
      </c>
      <c r="M1256">
        <v>0.036051057915074451</v>
      </c>
      <c r="N1256">
        <v>0.15526800651507444</v>
      </c>
      <c r="O1256" t="s">
        <v>138</v>
      </c>
      <c r="P1256">
        <v>0.0071530169159999997</v>
      </c>
      <c r="Q1256" t="s">
        <v>138</v>
      </c>
      <c r="R1256">
        <v>0.0021630634749044671</v>
      </c>
      <c r="S1256" t="s">
        <v>139</v>
      </c>
      <c r="T1256">
        <v>0.018632160781808935</v>
      </c>
      <c r="U1256">
        <v>0.18321624768778785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2.0560499999999999</v>
      </c>
      <c r="AB1256">
        <v>2</v>
      </c>
      <c r="AC1256">
        <v>0.01</v>
      </c>
      <c r="AD1256">
        <v>0.01099879013308536</v>
      </c>
      <c r="AE1256">
        <v>5400</v>
      </c>
      <c r="AF1256">
        <v>400000</v>
      </c>
      <c r="AG1256">
        <v>33333.333333333336</v>
      </c>
      <c r="AH1256">
        <v>1</v>
      </c>
      <c r="AI1256">
        <v>1</v>
      </c>
      <c r="AJ1256" t="s">
        <v>136</v>
      </c>
      <c r="AK1256" t="s">
        <v>137</v>
      </c>
      <c r="AL1256">
        <v>0</v>
      </c>
      <c r="AM1256" t="s">
        <v>137</v>
      </c>
      <c r="AN1256">
        <v>0</v>
      </c>
    </row>
    <row r="1257" spans="1:42" ht="12.75">
      <c r="A1257" s="2" t="str">
        <f>HYPERLINK("https://ibp.a2mac1.com/costing(costing:projects/details/8191/process/6975274)","Assembly")</f>
        <v>Assembly</v>
      </c>
      <c r="C1257">
        <v>6975274</v>
      </c>
      <c r="D1257">
        <v>5388155</v>
      </c>
      <c r="E1257">
        <v>0</v>
      </c>
      <c r="F1257">
        <v>0</v>
      </c>
      <c r="G1257">
        <v>38.772602999999997</v>
      </c>
      <c r="H1257">
        <v>0</v>
      </c>
      <c r="I1257" t="s">
        <v>137</v>
      </c>
      <c r="J1257">
        <v>0</v>
      </c>
      <c r="K1257">
        <v>40.129644104999997</v>
      </c>
      <c r="L1257">
        <v>41.365951665622802</v>
      </c>
      <c r="M1257">
        <v>248.19570999373681</v>
      </c>
      <c r="N1257">
        <v>288.3253540987368</v>
      </c>
      <c r="O1257" t="s">
        <v>90</v>
      </c>
      <c r="P1257">
        <v>0</v>
      </c>
      <c r="Q1257" t="s">
        <v>90</v>
      </c>
      <c r="R1257">
        <v>0</v>
      </c>
      <c r="S1257" t="s">
        <v>90</v>
      </c>
      <c r="T1257">
        <v>0</v>
      </c>
      <c r="U1257">
        <v>288.3253540987368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47</v>
      </c>
      <c r="AB1257">
        <v>1</v>
      </c>
      <c r="AC1257">
        <v>0</v>
      </c>
      <c r="AD1257">
        <v>0.10987913295375087</v>
      </c>
      <c r="AE1257">
        <v>600</v>
      </c>
      <c r="AF1257">
        <v>200000</v>
      </c>
      <c r="AG1257">
        <v>10000</v>
      </c>
      <c r="AH1257">
        <v>1</v>
      </c>
      <c r="AI1257">
        <v>1</v>
      </c>
      <c r="AJ1257" t="s">
        <v>79</v>
      </c>
      <c r="AK1257" t="s">
        <v>137</v>
      </c>
      <c r="AL1257">
        <v>0</v>
      </c>
      <c r="AM1257" t="s">
        <v>137</v>
      </c>
      <c r="AN1257">
        <v>1.357041105</v>
      </c>
      <c r="AP1257">
        <v>0</v>
      </c>
    </row>
    <row r="1258" spans="1:42" ht="12.75">
      <c r="A1258" s="2" t="str">
        <f>HYPERLINK("https://ibp.a2mac1.com/costing(costing:projects/details/8191/process/6975275)","Partial Cost for BIW Painting ")</f>
        <v xml:space="preserve">Partial Cost for BIW Painting </v>
      </c>
      <c r="B1258" t="s">
        <v>7188</v>
      </c>
      <c r="C1258">
        <v>6975275</v>
      </c>
      <c r="D1258">
        <v>5388155</v>
      </c>
      <c r="E1258">
        <v>113.33</v>
      </c>
      <c r="F1258">
        <v>0</v>
      </c>
      <c r="G1258">
        <v>0</v>
      </c>
      <c r="H1258">
        <v>0</v>
      </c>
      <c r="I1258" t="s">
        <v>74</v>
      </c>
      <c r="J1258">
        <v>0</v>
      </c>
      <c r="K1258">
        <v>113.33</v>
      </c>
      <c r="L1258">
        <v>0</v>
      </c>
      <c r="M1258">
        <v>0</v>
      </c>
      <c r="N1258">
        <v>113.33</v>
      </c>
      <c r="O1258" t="s">
        <v>74</v>
      </c>
      <c r="P1258">
        <v>0</v>
      </c>
      <c r="Q1258" t="s">
        <v>74</v>
      </c>
      <c r="R1258">
        <v>0</v>
      </c>
      <c r="S1258" t="s">
        <v>74</v>
      </c>
      <c r="T1258">
        <v>0</v>
      </c>
      <c r="U1258">
        <v>113.33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0.10</v>
      </c>
      <c r="AD1258">
        <v>0</v>
      </c>
      <c r="AE1258">
        <v>0</v>
      </c>
      <c r="AF1258">
        <v>200000</v>
      </c>
      <c r="AG1258">
        <v>10000</v>
      </c>
      <c r="AH1258">
        <v>1</v>
      </c>
      <c r="AI1258">
        <v>1</v>
      </c>
      <c r="AJ1258" t="s">
        <v>79</v>
      </c>
      <c r="AK1258" t="s">
        <v>74</v>
      </c>
      <c r="AL1258">
        <v>0</v>
      </c>
      <c r="AM1258" t="s">
        <v>74</v>
      </c>
      <c r="AN1258">
        <v>0</v>
      </c>
      <c r="AO1258">
        <v>113.33</v>
      </c>
      <c r="AP1258">
        <v>0</v>
      </c>
    </row>
    <row r="1259" spans="1:42" ht="12.75">
      <c r="A1259" s="2" t="str">
        <f>HYPERLINK("https://ibp.a2mac1.com/costing(costing:projects/details/8191/process/6975272)","Injection molding")</f>
        <v>Injection molding</v>
      </c>
      <c r="B1259" t="s">
        <v>7193</v>
      </c>
      <c r="C1259">
        <v>6975272</v>
      </c>
      <c r="D1259">
        <v>5388140</v>
      </c>
      <c r="E1259">
        <v>0.097860963829464132</v>
      </c>
      <c r="F1259">
        <v>0</v>
      </c>
      <c r="G1259">
        <v>0</v>
      </c>
      <c r="H1259">
        <v>0.00010187528090804495</v>
      </c>
      <c r="I1259" t="s">
        <v>137</v>
      </c>
      <c r="J1259">
        <v>0.0034284950305592051</v>
      </c>
      <c r="K1259">
        <v>0.10139133414093138</v>
      </c>
      <c r="L1259">
        <v>0.011666230062426305</v>
      </c>
      <c r="M1259">
        <v>0.069997380374557827</v>
      </c>
      <c r="N1259">
        <v>0.1713887145154892</v>
      </c>
      <c r="O1259" t="s">
        <v>138</v>
      </c>
      <c r="P1259">
        <v>0.006083480048455883</v>
      </c>
      <c r="Q1259" t="s">
        <v>138</v>
      </c>
      <c r="R1259">
        <v>0.00419984282247347</v>
      </c>
      <c r="S1259" t="s">
        <v>139</v>
      </c>
      <c r="T1259">
        <v>0.020566645741858704</v>
      </c>
      <c r="U1259">
        <v>0.20223868312827728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27.079470000000001</v>
      </c>
      <c r="AB1259">
        <v>1</v>
      </c>
      <c r="AC1259">
        <v>0.10</v>
      </c>
      <c r="AD1259">
        <v>0.10389195236953569</v>
      </c>
      <c r="AE1259">
        <v>7200</v>
      </c>
      <c r="AF1259">
        <v>200000</v>
      </c>
      <c r="AG1259">
        <v>16666.666666666668</v>
      </c>
      <c r="AH1259">
        <v>1</v>
      </c>
      <c r="AI1259">
        <v>1</v>
      </c>
      <c r="AJ1259" t="s">
        <v>136</v>
      </c>
      <c r="AK1259" t="s">
        <v>137</v>
      </c>
      <c r="AL1259">
        <v>0</v>
      </c>
      <c r="AM1259" t="s">
        <v>137</v>
      </c>
      <c r="AN1259">
        <v>0</v>
      </c>
    </row>
    <row r="1260" spans="1:42" ht="12.75">
      <c r="A1260" s="2" t="str">
        <f>HYPERLINK("https://ibp.a2mac1.com/costing(costing:projects/details/8191/process/6975273)","Injection molding")</f>
        <v>Injection molding</v>
      </c>
      <c r="B1260" t="s">
        <v>7193</v>
      </c>
      <c r="C1260">
        <v>6975273</v>
      </c>
      <c r="D1260">
        <v>5388141</v>
      </c>
      <c r="E1260">
        <v>0.097860963829464132</v>
      </c>
      <c r="F1260">
        <v>0</v>
      </c>
      <c r="G1260">
        <v>0</v>
      </c>
      <c r="H1260">
        <v>0.00010187528090804495</v>
      </c>
      <c r="I1260" t="s">
        <v>137</v>
      </c>
      <c r="J1260">
        <v>0.0034284950305592051</v>
      </c>
      <c r="K1260">
        <v>0.10139133414093138</v>
      </c>
      <c r="L1260">
        <v>0.011666230062426305</v>
      </c>
      <c r="M1260">
        <v>0.069997380374557827</v>
      </c>
      <c r="N1260">
        <v>0.1713887145154892</v>
      </c>
      <c r="O1260" t="s">
        <v>138</v>
      </c>
      <c r="P1260">
        <v>0.006083480048455883</v>
      </c>
      <c r="Q1260" t="s">
        <v>138</v>
      </c>
      <c r="R1260">
        <v>0.00419984282247347</v>
      </c>
      <c r="S1260" t="s">
        <v>139</v>
      </c>
      <c r="T1260">
        <v>0.020566645741858704</v>
      </c>
      <c r="U1260">
        <v>0.20223868312827728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27.079470000000001</v>
      </c>
      <c r="AB1260">
        <v>1</v>
      </c>
      <c r="AC1260">
        <v>0.10</v>
      </c>
      <c r="AD1260">
        <v>0.10389195236953569</v>
      </c>
      <c r="AE1260">
        <v>7200</v>
      </c>
      <c r="AF1260">
        <v>200000</v>
      </c>
      <c r="AG1260">
        <v>16666.666666666668</v>
      </c>
      <c r="AH1260">
        <v>1</v>
      </c>
      <c r="AI1260">
        <v>1</v>
      </c>
      <c r="AJ1260" t="s">
        <v>136</v>
      </c>
      <c r="AK1260" t="s">
        <v>137</v>
      </c>
      <c r="AL1260">
        <v>0</v>
      </c>
      <c r="AM1260" t="s">
        <v>137</v>
      </c>
      <c r="AN1260">
        <v>0</v>
      </c>
    </row>
    <row r="1261" spans="1:42" ht="12.75">
      <c r="A1261" s="2" t="str">
        <f>HYPERLINK("https://ibp.a2mac1.com/costing(costing:projects/details/8191/process/6975752)","Manufacturing Process")</f>
        <v>Manufacturing Process</v>
      </c>
      <c r="C1261">
        <v>6975752</v>
      </c>
      <c r="D1261">
        <v>5388966</v>
      </c>
      <c r="E1261">
        <v>1.7880525</v>
      </c>
      <c r="F1261">
        <v>0</v>
      </c>
      <c r="G1261">
        <v>0</v>
      </c>
      <c r="H1261">
        <v>0.0019845417857142856</v>
      </c>
      <c r="I1261" t="s">
        <v>137</v>
      </c>
      <c r="J1261">
        <v>0.068771250000000006</v>
      </c>
      <c r="K1261">
        <v>1.8588082917857143</v>
      </c>
      <c r="L1261">
        <v>0.01896070202240014</v>
      </c>
      <c r="M1261">
        <v>0.11376421213440084</v>
      </c>
      <c r="N1261">
        <v>1.9725725039201152</v>
      </c>
      <c r="O1261" t="s">
        <v>90</v>
      </c>
      <c r="P1261">
        <v>0</v>
      </c>
      <c r="Q1261" t="s">
        <v>90</v>
      </c>
      <c r="R1261">
        <v>0</v>
      </c>
      <c r="S1261" t="s">
        <v>90</v>
      </c>
      <c r="T1261">
        <v>0</v>
      </c>
      <c r="U1261">
        <v>1.9725725039201152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3.60</v>
      </c>
      <c r="AB1261">
        <v>1</v>
      </c>
      <c r="AC1261">
        <v>0.10</v>
      </c>
      <c r="AD1261">
        <v>0.1008980929261446</v>
      </c>
      <c r="AE1261">
        <v>5400</v>
      </c>
      <c r="AF1261">
        <v>400000</v>
      </c>
      <c r="AG1261">
        <v>33333.333333333336</v>
      </c>
      <c r="AH1261">
        <v>1</v>
      </c>
      <c r="AI1261">
        <v>1</v>
      </c>
      <c r="AJ1261" t="s">
        <v>136</v>
      </c>
      <c r="AK1261" t="s">
        <v>137</v>
      </c>
      <c r="AL1261">
        <v>0</v>
      </c>
      <c r="AM1261" t="s">
        <v>137</v>
      </c>
      <c r="AN1261">
        <v>0</v>
      </c>
    </row>
    <row r="1262" spans="1:42" ht="12.75">
      <c r="A1262" s="2" t="str">
        <f>HYPERLINK("https://ibp.a2mac1.com/costing(costing:projects/details/8191/process/6975753)","Manufacturing Process")</f>
        <v>Manufacturing Process</v>
      </c>
      <c r="C1262">
        <v>6975753</v>
      </c>
      <c r="D1262">
        <v>5388967</v>
      </c>
      <c r="E1262">
        <v>0.075549488235294116</v>
      </c>
      <c r="F1262">
        <v>0</v>
      </c>
      <c r="G1262">
        <v>0</v>
      </c>
      <c r="H1262">
        <v>7.9900505882352939E-05</v>
      </c>
      <c r="I1262" t="s">
        <v>137</v>
      </c>
      <c r="J1262">
        <v>0.0027688294117647061</v>
      </c>
      <c r="K1262">
        <v>0.078398218152941179</v>
      </c>
      <c r="L1262">
        <v>0.009979070332261317</v>
      </c>
      <c r="M1262">
        <v>0.059874421993567906</v>
      </c>
      <c r="N1262">
        <v>0.13827264014650908</v>
      </c>
      <c r="O1262" t="s">
        <v>138</v>
      </c>
      <c r="P1262">
        <v>0.0047038930891764707</v>
      </c>
      <c r="Q1262" t="s">
        <v>138</v>
      </c>
      <c r="R1262">
        <v>0.0035924653196140743</v>
      </c>
      <c r="S1262" t="s">
        <v>139</v>
      </c>
      <c r="T1262">
        <v>0.01659271681758109</v>
      </c>
      <c r="U1262">
        <v>0.16316171537288071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1.80</v>
      </c>
      <c r="AB1262">
        <v>1</v>
      </c>
      <c r="AC1262">
        <v>0.10</v>
      </c>
      <c r="AD1262">
        <v>0.1008980929261446</v>
      </c>
      <c r="AE1262">
        <v>5400</v>
      </c>
      <c r="AF1262">
        <v>400000</v>
      </c>
      <c r="AG1262">
        <v>33333.333333333336</v>
      </c>
      <c r="AH1262">
        <v>1</v>
      </c>
      <c r="AI1262">
        <v>1</v>
      </c>
      <c r="AJ1262" t="s">
        <v>136</v>
      </c>
      <c r="AK1262" t="s">
        <v>137</v>
      </c>
      <c r="AL1262">
        <v>0</v>
      </c>
      <c r="AM1262" t="s">
        <v>137</v>
      </c>
      <c r="AN1262">
        <v>0</v>
      </c>
    </row>
    <row r="1263" spans="1:42" ht="12.75">
      <c r="A1263" s="2" t="str">
        <f>HYPERLINK("https://ibp.a2mac1.com/costing(costing:projects/details/8191/process/6975754)","Manufacturing Process")</f>
        <v>Manufacturing Process</v>
      </c>
      <c r="C1263">
        <v>6975754</v>
      </c>
      <c r="D1263">
        <v>5388968</v>
      </c>
      <c r="E1263">
        <v>0.028731099999999999</v>
      </c>
      <c r="F1263">
        <v>0</v>
      </c>
      <c r="G1263">
        <v>0</v>
      </c>
      <c r="H1263">
        <v>3.0870649999999999E-05</v>
      </c>
      <c r="I1263" t="s">
        <v>137</v>
      </c>
      <c r="J1263">
        <v>0.001069775</v>
      </c>
      <c r="K1263">
        <v>0.029831745650000002</v>
      </c>
      <c r="L1263">
        <v>0.009979070332261317</v>
      </c>
      <c r="M1263">
        <v>0.059874421993567906</v>
      </c>
      <c r="N1263">
        <v>0.089706167643567911</v>
      </c>
      <c r="O1263" t="s">
        <v>138</v>
      </c>
      <c r="P1263">
        <v>0.001789904739</v>
      </c>
      <c r="Q1263" t="s">
        <v>138</v>
      </c>
      <c r="R1263">
        <v>0.0035924653196140743</v>
      </c>
      <c r="S1263" t="s">
        <v>139</v>
      </c>
      <c r="T1263">
        <v>0.010764740117228149</v>
      </c>
      <c r="U1263">
        <v>0.10585327781941013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1.80</v>
      </c>
      <c r="AB1263">
        <v>1</v>
      </c>
      <c r="AC1263">
        <v>0.10</v>
      </c>
      <c r="AD1263">
        <v>0.1008980929261446</v>
      </c>
      <c r="AE1263">
        <v>5400</v>
      </c>
      <c r="AF1263">
        <v>400000</v>
      </c>
      <c r="AG1263">
        <v>33333.333333333336</v>
      </c>
      <c r="AH1263">
        <v>1</v>
      </c>
      <c r="AI1263">
        <v>1</v>
      </c>
      <c r="AJ1263" t="s">
        <v>136</v>
      </c>
      <c r="AK1263" t="s">
        <v>137</v>
      </c>
      <c r="AL1263">
        <v>0</v>
      </c>
      <c r="AM1263" t="s">
        <v>137</v>
      </c>
      <c r="AN1263">
        <v>0</v>
      </c>
    </row>
    <row r="1264" spans="1:42" ht="12.75">
      <c r="A1264" s="2" t="str">
        <f>HYPERLINK("https://ibp.a2mac1.com/costing(costing:projects/details/8191/process/6975755)","Manufacturing Process")</f>
        <v>Manufacturing Process</v>
      </c>
      <c r="C1264">
        <v>6975755</v>
      </c>
      <c r="D1264">
        <v>5388969</v>
      </c>
      <c r="E1264">
        <v>0.15083827499999999</v>
      </c>
      <c r="F1264">
        <v>0</v>
      </c>
      <c r="G1264">
        <v>0</v>
      </c>
      <c r="H1264">
        <v>0.00016207091250000001</v>
      </c>
      <c r="I1264" t="s">
        <v>137</v>
      </c>
      <c r="J1264">
        <v>0.00561631875</v>
      </c>
      <c r="K1264">
        <v>0.15661666466249999</v>
      </c>
      <c r="L1264">
        <v>0.009979070332261317</v>
      </c>
      <c r="M1264">
        <v>0.059874421993567906</v>
      </c>
      <c r="N1264">
        <v>0.21649108665606789</v>
      </c>
      <c r="O1264" t="s">
        <v>138</v>
      </c>
      <c r="P1264">
        <v>0.0093969998797499999</v>
      </c>
      <c r="Q1264" t="s">
        <v>138</v>
      </c>
      <c r="R1264">
        <v>0.0035924653196140743</v>
      </c>
      <c r="S1264" t="s">
        <v>139</v>
      </c>
      <c r="T1264">
        <v>0.025978930398728148</v>
      </c>
      <c r="U1264">
        <v>0.25545948225416015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1.80</v>
      </c>
      <c r="AB1264">
        <v>1</v>
      </c>
      <c r="AC1264">
        <v>0.10</v>
      </c>
      <c r="AD1264">
        <v>0.1008980929261446</v>
      </c>
      <c r="AE1264">
        <v>5400</v>
      </c>
      <c r="AF1264">
        <v>400000</v>
      </c>
      <c r="AG1264">
        <v>33333.333333333336</v>
      </c>
      <c r="AH1264">
        <v>1</v>
      </c>
      <c r="AI1264">
        <v>1</v>
      </c>
      <c r="AJ1264" t="s">
        <v>136</v>
      </c>
      <c r="AK1264" t="s">
        <v>137</v>
      </c>
      <c r="AL1264">
        <v>0</v>
      </c>
      <c r="AM1264" t="s">
        <v>137</v>
      </c>
      <c r="AN1264">
        <v>0</v>
      </c>
    </row>
    <row r="1265" spans="1:42" ht="12.75">
      <c r="A1265" s="2" t="str">
        <f>HYPERLINK("https://ibp.a2mac1.com/costing(costing:projects/details/8191/process/6975756)","Manufacturing Process")</f>
        <v>Manufacturing Process</v>
      </c>
      <c r="C1265">
        <v>6975756</v>
      </c>
      <c r="D1265">
        <v>5388970</v>
      </c>
      <c r="E1265">
        <v>0.027472541176470588</v>
      </c>
      <c r="F1265">
        <v>0</v>
      </c>
      <c r="G1265">
        <v>0</v>
      </c>
      <c r="H1265">
        <v>2.9054729411764705E-05</v>
      </c>
      <c r="I1265" t="s">
        <v>137</v>
      </c>
      <c r="J1265">
        <v>0.0010068470588235293</v>
      </c>
      <c r="K1265">
        <v>0.028508442964705883</v>
      </c>
      <c r="L1265">
        <v>0.009979070332261317</v>
      </c>
      <c r="M1265">
        <v>0.059874421993567906</v>
      </c>
      <c r="N1265">
        <v>0.088382864958273785</v>
      </c>
      <c r="O1265" t="s">
        <v>138</v>
      </c>
      <c r="P1265">
        <v>0.001710506577882353</v>
      </c>
      <c r="Q1265" t="s">
        <v>138</v>
      </c>
      <c r="R1265">
        <v>0.0035924653196140743</v>
      </c>
      <c r="S1265" t="s">
        <v>139</v>
      </c>
      <c r="T1265">
        <v>0.010605943794992854</v>
      </c>
      <c r="U1265">
        <v>0.10429178065076307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1.80</v>
      </c>
      <c r="AB1265">
        <v>1</v>
      </c>
      <c r="AC1265">
        <v>0.10</v>
      </c>
      <c r="AD1265">
        <v>0.1008980929261446</v>
      </c>
      <c r="AE1265">
        <v>5400</v>
      </c>
      <c r="AF1265">
        <v>400000</v>
      </c>
      <c r="AG1265">
        <v>33333.333333333336</v>
      </c>
      <c r="AH1265">
        <v>1</v>
      </c>
      <c r="AI1265">
        <v>1</v>
      </c>
      <c r="AJ1265" t="s">
        <v>136</v>
      </c>
      <c r="AK1265" t="s">
        <v>137</v>
      </c>
      <c r="AL1265">
        <v>0</v>
      </c>
      <c r="AM1265" t="s">
        <v>137</v>
      </c>
      <c r="AN1265">
        <v>0</v>
      </c>
    </row>
    <row r="1266" spans="1:42" ht="12.75">
      <c r="A1266" s="2" t="str">
        <f>HYPERLINK("https://ibp.a2mac1.com/costing(costing:projects/details/8191/process/6975757)","Manufacturing Process")</f>
        <v>Manufacturing Process</v>
      </c>
      <c r="C1266">
        <v>6975757</v>
      </c>
      <c r="D1266">
        <v>5388971</v>
      </c>
      <c r="E1266">
        <v>0.02060440588235294</v>
      </c>
      <c r="F1266">
        <v>0</v>
      </c>
      <c r="G1266">
        <v>0</v>
      </c>
      <c r="H1266">
        <v>2.1791047058823528E-05</v>
      </c>
      <c r="I1266" t="s">
        <v>137</v>
      </c>
      <c r="J1266">
        <v>0.00075513529411764711</v>
      </c>
      <c r="K1266">
        <v>0.021381332223529413</v>
      </c>
      <c r="L1266">
        <v>0.009979070332261317</v>
      </c>
      <c r="M1266">
        <v>0.059874421993567906</v>
      </c>
      <c r="N1266">
        <v>0.081255754217097312</v>
      </c>
      <c r="O1266" t="s">
        <v>138</v>
      </c>
      <c r="P1266">
        <v>0.0012828799334117648</v>
      </c>
      <c r="Q1266" t="s">
        <v>138</v>
      </c>
      <c r="R1266">
        <v>0.0035924653196140743</v>
      </c>
      <c r="S1266" t="s">
        <v>139</v>
      </c>
      <c r="T1266">
        <v>0.0097506905060516774</v>
      </c>
      <c r="U1266">
        <v>0.09588178997617483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1.80</v>
      </c>
      <c r="AB1266">
        <v>1</v>
      </c>
      <c r="AC1266">
        <v>0.10</v>
      </c>
      <c r="AD1266">
        <v>0.1008980929261446</v>
      </c>
      <c r="AE1266">
        <v>5400</v>
      </c>
      <c r="AF1266">
        <v>400000</v>
      </c>
      <c r="AG1266">
        <v>33333.333333333336</v>
      </c>
      <c r="AH1266">
        <v>1</v>
      </c>
      <c r="AI1266">
        <v>1</v>
      </c>
      <c r="AJ1266" t="s">
        <v>136</v>
      </c>
      <c r="AK1266" t="s">
        <v>137</v>
      </c>
      <c r="AL1266">
        <v>0</v>
      </c>
      <c r="AM1266" t="s">
        <v>137</v>
      </c>
      <c r="AN1266">
        <v>0</v>
      </c>
    </row>
    <row r="1267" spans="1:42" ht="12.75">
      <c r="A1267" s="2" t="str">
        <f>HYPERLINK("https://ibp.a2mac1.com/costing(costing:projects/details/8191/process/6975328)","Stamping")</f>
        <v>Stamping</v>
      </c>
      <c r="C1267">
        <v>6975328</v>
      </c>
      <c r="D1267">
        <v>5388294</v>
      </c>
      <c r="E1267">
        <v>0.1632171</v>
      </c>
      <c r="F1267">
        <v>0</v>
      </c>
      <c r="G1267">
        <v>0</v>
      </c>
      <c r="H1267">
        <v>0.00049781215499999996</v>
      </c>
      <c r="I1267" t="s">
        <v>137</v>
      </c>
      <c r="J1267">
        <v>0.0057125984999999999</v>
      </c>
      <c r="K1267">
        <v>0.169427510655</v>
      </c>
      <c r="L1267">
        <v>0.0036095743662273678</v>
      </c>
      <c r="M1267">
        <v>0.021657446197364209</v>
      </c>
      <c r="N1267">
        <v>0.19108495685236421</v>
      </c>
      <c r="O1267" t="s">
        <v>138</v>
      </c>
      <c r="P1267">
        <v>0.0101656506393</v>
      </c>
      <c r="Q1267" t="s">
        <v>138</v>
      </c>
      <c r="R1267">
        <v>0.0012994467718418525</v>
      </c>
      <c r="S1267" t="s">
        <v>139</v>
      </c>
      <c r="T1267">
        <v>0.022930194822283704</v>
      </c>
      <c r="U1267">
        <v>0.22548024908578976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0.85511000000000004</v>
      </c>
      <c r="AB1267">
        <v>1</v>
      </c>
      <c r="AC1267">
        <v>0.10</v>
      </c>
      <c r="AD1267">
        <v>0.30407257863516274</v>
      </c>
      <c r="AE1267">
        <v>1800</v>
      </c>
      <c r="AF1267">
        <v>400000</v>
      </c>
      <c r="AG1267">
        <v>33333.333333333336</v>
      </c>
      <c r="AH1267">
        <v>1</v>
      </c>
      <c r="AI1267">
        <v>1</v>
      </c>
      <c r="AJ1267" t="s">
        <v>136</v>
      </c>
      <c r="AK1267" t="s">
        <v>137</v>
      </c>
      <c r="AL1267">
        <v>0</v>
      </c>
      <c r="AM1267" t="s">
        <v>137</v>
      </c>
      <c r="AN1267">
        <v>0</v>
      </c>
    </row>
    <row r="1268" spans="1:42" ht="12.75">
      <c r="A1268" s="2" t="str">
        <f>HYPERLINK("https://ibp.a2mac1.com/costing(costing:projects/details/8191/process/6975329)","Cleaning")</f>
        <v>Cleaning</v>
      </c>
      <c r="C1268">
        <v>6975329</v>
      </c>
      <c r="D1268">
        <v>5388294</v>
      </c>
      <c r="E1268">
        <v>0</v>
      </c>
      <c r="F1268">
        <v>0</v>
      </c>
      <c r="G1268">
        <v>0</v>
      </c>
      <c r="H1268">
        <v>0</v>
      </c>
      <c r="I1268" t="s">
        <v>137</v>
      </c>
      <c r="J1268">
        <v>0</v>
      </c>
      <c r="K1268">
        <v>0</v>
      </c>
      <c r="L1268">
        <v>0.013386663984690388</v>
      </c>
      <c r="M1268">
        <v>0.080319983908142337</v>
      </c>
      <c r="N1268">
        <v>0.080319983908142337</v>
      </c>
      <c r="O1268" t="s">
        <v>138</v>
      </c>
      <c r="P1268">
        <v>0</v>
      </c>
      <c r="Q1268" t="s">
        <v>138</v>
      </c>
      <c r="R1268">
        <v>0.0048191990344885402</v>
      </c>
      <c r="S1268" t="s">
        <v>139</v>
      </c>
      <c r="T1268">
        <v>0.0096383980689770804</v>
      </c>
      <c r="U1268">
        <v>0.09477758101160795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10</v>
      </c>
      <c r="AB1268">
        <v>1</v>
      </c>
      <c r="AC1268">
        <v>0.10</v>
      </c>
      <c r="AD1268">
        <v>0.20258874484795864</v>
      </c>
      <c r="AE1268">
        <v>0</v>
      </c>
      <c r="AF1268">
        <v>400000</v>
      </c>
      <c r="AG1268">
        <v>33333.333333333336</v>
      </c>
      <c r="AH1268">
        <v>1</v>
      </c>
      <c r="AI1268">
        <v>1</v>
      </c>
      <c r="AJ1268" t="s">
        <v>136</v>
      </c>
      <c r="AK1268" t="s">
        <v>137</v>
      </c>
      <c r="AL1268">
        <v>0</v>
      </c>
      <c r="AM1268" t="s">
        <v>137</v>
      </c>
      <c r="AN1268">
        <v>0</v>
      </c>
    </row>
    <row r="1269" spans="1:42" ht="12.75">
      <c r="A1269" s="2" t="str">
        <f>HYPERLINK("https://ibp.a2mac1.com/costing(costing:projects/details/8191/process/6975330)","Packaging")</f>
        <v>Packaging</v>
      </c>
      <c r="C1269">
        <v>6975330</v>
      </c>
      <c r="D1269">
        <v>5388294</v>
      </c>
      <c r="E1269">
        <v>0</v>
      </c>
      <c r="F1269">
        <v>0</v>
      </c>
      <c r="G1269">
        <v>0</v>
      </c>
      <c r="H1269">
        <v>0</v>
      </c>
      <c r="I1269" t="s">
        <v>137</v>
      </c>
      <c r="J1269">
        <v>0</v>
      </c>
      <c r="K1269">
        <v>0</v>
      </c>
      <c r="L1269">
        <v>0.0060501411787337415</v>
      </c>
      <c r="M1269">
        <v>0.036300847072402449</v>
      </c>
      <c r="N1269">
        <v>0.036300847072402449</v>
      </c>
      <c r="O1269" t="s">
        <v>138</v>
      </c>
      <c r="P1269">
        <v>0</v>
      </c>
      <c r="Q1269" t="s">
        <v>138</v>
      </c>
      <c r="R1269">
        <v>0.0021780508243441467</v>
      </c>
      <c r="S1269" t="s">
        <v>139</v>
      </c>
      <c r="T1269">
        <v>0.0043561016486882934</v>
      </c>
      <c r="U1269">
        <v>0.04283499954543489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8</v>
      </c>
      <c r="AB1269">
        <v>1</v>
      </c>
      <c r="AC1269">
        <v>0.10</v>
      </c>
      <c r="AD1269">
        <v>0.1008980929261446</v>
      </c>
      <c r="AE1269">
        <v>900</v>
      </c>
      <c r="AF1269">
        <v>400000</v>
      </c>
      <c r="AG1269">
        <v>33333.333333333336</v>
      </c>
      <c r="AH1269">
        <v>1</v>
      </c>
      <c r="AI1269">
        <v>1</v>
      </c>
      <c r="AJ1269" t="s">
        <v>136</v>
      </c>
      <c r="AK1269" t="s">
        <v>137</v>
      </c>
      <c r="AL1269">
        <v>0</v>
      </c>
      <c r="AM1269" t="s">
        <v>137</v>
      </c>
      <c r="AN1269">
        <v>0</v>
      </c>
    </row>
    <row r="1270" spans="1:42" ht="12.75">
      <c r="A1270" s="2" t="str">
        <f>HYPERLINK("https://ibp.a2mac1.com/costing(costing:projects/details/8191/process/6975331)","Injection molding")</f>
        <v>Injection molding</v>
      </c>
      <c r="B1270" t="s">
        <v>7237</v>
      </c>
      <c r="C1270">
        <v>6975331</v>
      </c>
      <c r="D1270">
        <v>5388296</v>
      </c>
      <c r="E1270">
        <v>0.56098738367376311</v>
      </c>
      <c r="F1270">
        <v>0</v>
      </c>
      <c r="G1270">
        <v>0</v>
      </c>
      <c r="H1270">
        <v>0.001139921968355515</v>
      </c>
      <c r="I1270" t="s">
        <v>137</v>
      </c>
      <c r="J1270">
        <v>0.019653827040612328</v>
      </c>
      <c r="K1270">
        <v>0.58178113268273102</v>
      </c>
      <c r="L1270">
        <v>0.048582252576892825</v>
      </c>
      <c r="M1270">
        <v>0.29149351546135693</v>
      </c>
      <c r="N1270">
        <v>0.87327464814408795</v>
      </c>
      <c r="O1270" t="s">
        <v>138</v>
      </c>
      <c r="P1270">
        <v>0.034906867960963858</v>
      </c>
      <c r="Q1270" t="s">
        <v>138</v>
      </c>
      <c r="R1270">
        <v>0.017489610927681417</v>
      </c>
      <c r="S1270" t="s">
        <v>139</v>
      </c>
      <c r="T1270">
        <v>0.10479295777729056</v>
      </c>
      <c r="U1270">
        <v>1.0304640848100237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33.585729999999998</v>
      </c>
      <c r="AB1270">
        <v>1</v>
      </c>
      <c r="AC1270">
        <v>0.10</v>
      </c>
      <c r="AD1270">
        <v>0.20258874484795864</v>
      </c>
      <c r="AE1270">
        <v>14400</v>
      </c>
      <c r="AF1270">
        <v>400000</v>
      </c>
      <c r="AG1270">
        <v>33333.333333333336</v>
      </c>
      <c r="AH1270">
        <v>1</v>
      </c>
      <c r="AI1270">
        <v>1</v>
      </c>
      <c r="AJ1270" t="s">
        <v>136</v>
      </c>
      <c r="AK1270" t="s">
        <v>137</v>
      </c>
      <c r="AL1270">
        <v>0</v>
      </c>
      <c r="AM1270" t="s">
        <v>137</v>
      </c>
      <c r="AN1270">
        <v>0</v>
      </c>
    </row>
    <row r="1271" spans="1:42" ht="12.75">
      <c r="A1271" s="2" t="str">
        <f>HYPERLINK("https://ibp.a2mac1.com/costing(costing:projects/details/8191/process/6975332)","Handling/Visual Inspection/Packaging")</f>
        <v>Handling/Visual Inspection/Packaging</v>
      </c>
      <c r="C1271">
        <v>6975332</v>
      </c>
      <c r="D1271">
        <v>5388296</v>
      </c>
      <c r="E1271">
        <v>0</v>
      </c>
      <c r="F1271">
        <v>0</v>
      </c>
      <c r="G1271">
        <v>0</v>
      </c>
      <c r="H1271">
        <v>0</v>
      </c>
      <c r="I1271" t="s">
        <v>137</v>
      </c>
      <c r="J1271">
        <v>0</v>
      </c>
      <c r="K1271">
        <v>0</v>
      </c>
      <c r="L1271">
        <v>0.01292896571883159</v>
      </c>
      <c r="M1271">
        <v>0.077573794312989539</v>
      </c>
      <c r="N1271">
        <v>0.077573794312989539</v>
      </c>
      <c r="O1271" t="s">
        <v>138</v>
      </c>
      <c r="P1271">
        <v>0</v>
      </c>
      <c r="Q1271" t="s">
        <v>138</v>
      </c>
      <c r="R1271">
        <v>0.0046544276587793722</v>
      </c>
      <c r="S1271" t="s">
        <v>139</v>
      </c>
      <c r="T1271">
        <v>0.0093088553175587445</v>
      </c>
      <c r="U1271">
        <v>0.091537077289327654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45</v>
      </c>
      <c r="AB1271">
        <v>1</v>
      </c>
      <c r="AC1271">
        <v>0.10</v>
      </c>
      <c r="AD1271">
        <v>0.1008980929261446</v>
      </c>
      <c r="AE1271">
        <v>900</v>
      </c>
      <c r="AF1271">
        <v>400000</v>
      </c>
      <c r="AG1271">
        <v>33333.333333333336</v>
      </c>
      <c r="AH1271">
        <v>1</v>
      </c>
      <c r="AI1271">
        <v>1</v>
      </c>
      <c r="AJ1271" t="s">
        <v>136</v>
      </c>
      <c r="AK1271" t="s">
        <v>137</v>
      </c>
      <c r="AL1271">
        <v>0</v>
      </c>
      <c r="AM1271" t="s">
        <v>137</v>
      </c>
      <c r="AN1271">
        <v>0</v>
      </c>
    </row>
    <row r="1272" spans="1:42" ht="12.75">
      <c r="A1272" s="2" t="str">
        <f>HYPERLINK("https://ibp.a2mac1.com/costing(costing:projects/details/8191/process/6975333)","Stamping")</f>
        <v>Stamping</v>
      </c>
      <c r="C1272">
        <v>6975333</v>
      </c>
      <c r="D1272">
        <v>5388297</v>
      </c>
      <c r="E1272">
        <v>0.2901830239315441</v>
      </c>
      <c r="F1272">
        <v>0</v>
      </c>
      <c r="G1272">
        <v>0</v>
      </c>
      <c r="H1272">
        <v>0.0010174604535588706</v>
      </c>
      <c r="I1272" t="s">
        <v>137</v>
      </c>
      <c r="J1272">
        <v>0.011675775696577203</v>
      </c>
      <c r="K1272">
        <v>0.30287626008168017</v>
      </c>
      <c r="L1272">
        <v>0.0036095743662273678</v>
      </c>
      <c r="M1272">
        <v>0.021657446197364209</v>
      </c>
      <c r="N1272">
        <v>0.32453370627904438</v>
      </c>
      <c r="O1272" t="s">
        <v>138</v>
      </c>
      <c r="P1272">
        <v>0.01817257560490081</v>
      </c>
      <c r="Q1272" t="s">
        <v>138</v>
      </c>
      <c r="R1272">
        <v>0.0012994467718418525</v>
      </c>
      <c r="S1272" t="s">
        <v>139</v>
      </c>
      <c r="T1272">
        <v>0.038944044753485327</v>
      </c>
      <c r="U1272">
        <v>0.38294977340927233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0.85511000000000004</v>
      </c>
      <c r="AB1272">
        <v>1</v>
      </c>
      <c r="AC1272">
        <v>0.10</v>
      </c>
      <c r="AD1272">
        <v>0.30407257863516274</v>
      </c>
      <c r="AE1272">
        <v>1800</v>
      </c>
      <c r="AF1272">
        <v>400000</v>
      </c>
      <c r="AG1272">
        <v>33333.333333333336</v>
      </c>
      <c r="AH1272">
        <v>1</v>
      </c>
      <c r="AI1272">
        <v>1</v>
      </c>
      <c r="AJ1272" t="s">
        <v>136</v>
      </c>
      <c r="AK1272" t="s">
        <v>137</v>
      </c>
      <c r="AL1272">
        <v>0</v>
      </c>
      <c r="AM1272" t="s">
        <v>137</v>
      </c>
      <c r="AN1272">
        <v>0</v>
      </c>
    </row>
    <row r="1273" spans="1:42" ht="12.75">
      <c r="A1273" s="2" t="str">
        <f>HYPERLINK("https://ibp.a2mac1.com/costing(costing:projects/details/8191/process/6975334)","Cleaning")</f>
        <v>Cleaning</v>
      </c>
      <c r="C1273">
        <v>6975334</v>
      </c>
      <c r="D1273">
        <v>5388297</v>
      </c>
      <c r="E1273">
        <v>0</v>
      </c>
      <c r="F1273">
        <v>0</v>
      </c>
      <c r="G1273">
        <v>0</v>
      </c>
      <c r="H1273">
        <v>0</v>
      </c>
      <c r="I1273" t="s">
        <v>137</v>
      </c>
      <c r="J1273">
        <v>0</v>
      </c>
      <c r="K1273">
        <v>0</v>
      </c>
      <c r="L1273">
        <v>0.013386663984690388</v>
      </c>
      <c r="M1273">
        <v>0.080319983908142337</v>
      </c>
      <c r="N1273">
        <v>0.080319983908142337</v>
      </c>
      <c r="O1273" t="s">
        <v>138</v>
      </c>
      <c r="P1273">
        <v>0</v>
      </c>
      <c r="Q1273" t="s">
        <v>138</v>
      </c>
      <c r="R1273">
        <v>0.0048191990344885402</v>
      </c>
      <c r="S1273" t="s">
        <v>139</v>
      </c>
      <c r="T1273">
        <v>0.0096383980689770804</v>
      </c>
      <c r="U1273">
        <v>0.09477758101160795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10</v>
      </c>
      <c r="AB1273">
        <v>1</v>
      </c>
      <c r="AC1273">
        <v>0.10</v>
      </c>
      <c r="AD1273">
        <v>0.20258874484795864</v>
      </c>
      <c r="AE1273">
        <v>0</v>
      </c>
      <c r="AF1273">
        <v>400000</v>
      </c>
      <c r="AG1273">
        <v>33333.333333333336</v>
      </c>
      <c r="AH1273">
        <v>1</v>
      </c>
      <c r="AI1273">
        <v>1</v>
      </c>
      <c r="AJ1273" t="s">
        <v>136</v>
      </c>
      <c r="AK1273" t="s">
        <v>137</v>
      </c>
      <c r="AL1273">
        <v>0</v>
      </c>
      <c r="AM1273" t="s">
        <v>137</v>
      </c>
      <c r="AN1273">
        <v>0</v>
      </c>
    </row>
    <row r="1274" spans="1:42" ht="12.75">
      <c r="A1274" s="2" t="str">
        <f>HYPERLINK("https://ibp.a2mac1.com/costing(costing:projects/details/8191/process/6975335)","Packaging")</f>
        <v>Packaging</v>
      </c>
      <c r="C1274">
        <v>6975335</v>
      </c>
      <c r="D1274">
        <v>5388297</v>
      </c>
      <c r="E1274">
        <v>0</v>
      </c>
      <c r="F1274">
        <v>0</v>
      </c>
      <c r="G1274">
        <v>0</v>
      </c>
      <c r="H1274">
        <v>0</v>
      </c>
      <c r="I1274" t="s">
        <v>137</v>
      </c>
      <c r="J1274">
        <v>0</v>
      </c>
      <c r="K1274">
        <v>0</v>
      </c>
      <c r="L1274">
        <v>0.0060501411787337415</v>
      </c>
      <c r="M1274">
        <v>0.036300847072402449</v>
      </c>
      <c r="N1274">
        <v>0.036300847072402449</v>
      </c>
      <c r="O1274" t="s">
        <v>138</v>
      </c>
      <c r="P1274">
        <v>0</v>
      </c>
      <c r="Q1274" t="s">
        <v>138</v>
      </c>
      <c r="R1274">
        <v>0.0021780508243441467</v>
      </c>
      <c r="S1274" t="s">
        <v>139</v>
      </c>
      <c r="T1274">
        <v>0.0043561016486882934</v>
      </c>
      <c r="U1274">
        <v>0.04283499954543489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8</v>
      </c>
      <c r="AB1274">
        <v>1</v>
      </c>
      <c r="AC1274">
        <v>0.10</v>
      </c>
      <c r="AD1274">
        <v>0.1008980929261446</v>
      </c>
      <c r="AE1274">
        <v>900</v>
      </c>
      <c r="AF1274">
        <v>400000</v>
      </c>
      <c r="AG1274">
        <v>33333.333333333336</v>
      </c>
      <c r="AH1274">
        <v>1</v>
      </c>
      <c r="AI1274">
        <v>1</v>
      </c>
      <c r="AJ1274" t="s">
        <v>136</v>
      </c>
      <c r="AK1274" t="s">
        <v>137</v>
      </c>
      <c r="AL1274">
        <v>0</v>
      </c>
      <c r="AM1274" t="s">
        <v>137</v>
      </c>
      <c r="AN1274">
        <v>0</v>
      </c>
    </row>
    <row r="1275" spans="1:42" ht="12.75">
      <c r="A1275" s="2" t="str">
        <f>HYPERLINK("https://ibp.a2mac1.com/costing(costing:projects/details/8191/process/6975336)","Stamping")</f>
        <v>Stamping</v>
      </c>
      <c r="C1275">
        <v>6975336</v>
      </c>
      <c r="D1275">
        <v>5388298</v>
      </c>
      <c r="E1275">
        <v>0.042485733438402784</v>
      </c>
      <c r="F1275">
        <v>0</v>
      </c>
      <c r="G1275">
        <v>0</v>
      </c>
      <c r="H1275">
        <v>0.00016074518891018356</v>
      </c>
      <c r="I1275" t="s">
        <v>137</v>
      </c>
      <c r="J1275">
        <v>0.0018446169219201393</v>
      </c>
      <c r="K1275">
        <v>0.044491095549233112</v>
      </c>
      <c r="L1275">
        <v>0.0036095743662273678</v>
      </c>
      <c r="M1275">
        <v>0.021657446197364209</v>
      </c>
      <c r="N1275">
        <v>0.066148541746597317</v>
      </c>
      <c r="O1275" t="s">
        <v>138</v>
      </c>
      <c r="P1275">
        <v>0.0026694657329539863</v>
      </c>
      <c r="Q1275" t="s">
        <v>138</v>
      </c>
      <c r="R1275">
        <v>0.0012994467718418525</v>
      </c>
      <c r="S1275" t="s">
        <v>139</v>
      </c>
      <c r="T1275">
        <v>0.0079378250095916772</v>
      </c>
      <c r="U1275">
        <v>0.078055279260984836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0.85511000000000004</v>
      </c>
      <c r="AB1275">
        <v>1</v>
      </c>
      <c r="AC1275">
        <v>0.10</v>
      </c>
      <c r="AD1275">
        <v>0.30407257863516274</v>
      </c>
      <c r="AE1275">
        <v>1800</v>
      </c>
      <c r="AF1275">
        <v>400000</v>
      </c>
      <c r="AG1275">
        <v>33333.333333333336</v>
      </c>
      <c r="AH1275">
        <v>1</v>
      </c>
      <c r="AI1275">
        <v>1</v>
      </c>
      <c r="AJ1275" t="s">
        <v>136</v>
      </c>
      <c r="AK1275" t="s">
        <v>137</v>
      </c>
      <c r="AL1275">
        <v>0</v>
      </c>
      <c r="AM1275" t="s">
        <v>137</v>
      </c>
      <c r="AN1275">
        <v>0</v>
      </c>
    </row>
    <row r="1276" spans="1:42" ht="12.75">
      <c r="A1276" s="2" t="str">
        <f>HYPERLINK("https://ibp.a2mac1.com/costing(costing:projects/details/8191/process/6975337)","Cleaning")</f>
        <v>Cleaning</v>
      </c>
      <c r="C1276">
        <v>6975337</v>
      </c>
      <c r="D1276">
        <v>5388298</v>
      </c>
      <c r="E1276">
        <v>0</v>
      </c>
      <c r="F1276">
        <v>0</v>
      </c>
      <c r="G1276">
        <v>0</v>
      </c>
      <c r="H1276">
        <v>0</v>
      </c>
      <c r="I1276" t="s">
        <v>137</v>
      </c>
      <c r="J1276">
        <v>0</v>
      </c>
      <c r="K1276">
        <v>0</v>
      </c>
      <c r="L1276">
        <v>0.013386663984690388</v>
      </c>
      <c r="M1276">
        <v>0.080319983908142337</v>
      </c>
      <c r="N1276">
        <v>0.080319983908142337</v>
      </c>
      <c r="O1276" t="s">
        <v>138</v>
      </c>
      <c r="P1276">
        <v>0</v>
      </c>
      <c r="Q1276" t="s">
        <v>138</v>
      </c>
      <c r="R1276">
        <v>0.0048191990344885402</v>
      </c>
      <c r="S1276" t="s">
        <v>139</v>
      </c>
      <c r="T1276">
        <v>0.0096383980689770804</v>
      </c>
      <c r="U1276">
        <v>0.09477758101160795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10</v>
      </c>
      <c r="AB1276">
        <v>1</v>
      </c>
      <c r="AC1276">
        <v>0.10</v>
      </c>
      <c r="AD1276">
        <v>0.20258874484795864</v>
      </c>
      <c r="AE1276">
        <v>0</v>
      </c>
      <c r="AF1276">
        <v>400000</v>
      </c>
      <c r="AG1276">
        <v>33333.333333333336</v>
      </c>
      <c r="AH1276">
        <v>1</v>
      </c>
      <c r="AI1276">
        <v>1</v>
      </c>
      <c r="AJ1276" t="s">
        <v>136</v>
      </c>
      <c r="AK1276" t="s">
        <v>137</v>
      </c>
      <c r="AL1276">
        <v>0</v>
      </c>
      <c r="AM1276" t="s">
        <v>137</v>
      </c>
      <c r="AN1276">
        <v>0</v>
      </c>
    </row>
    <row r="1277" spans="1:42" ht="12.75">
      <c r="A1277" s="2" t="str">
        <f>HYPERLINK("https://ibp.a2mac1.com/costing(costing:projects/details/8191/process/6975338)","Packaging")</f>
        <v>Packaging</v>
      </c>
      <c r="C1277">
        <v>6975338</v>
      </c>
      <c r="D1277">
        <v>5388298</v>
      </c>
      <c r="E1277">
        <v>0</v>
      </c>
      <c r="F1277">
        <v>0</v>
      </c>
      <c r="G1277">
        <v>0</v>
      </c>
      <c r="H1277">
        <v>0</v>
      </c>
      <c r="I1277" t="s">
        <v>137</v>
      </c>
      <c r="J1277">
        <v>0</v>
      </c>
      <c r="K1277">
        <v>0</v>
      </c>
      <c r="L1277">
        <v>0.0060501411787337415</v>
      </c>
      <c r="M1277">
        <v>0.036300847072402449</v>
      </c>
      <c r="N1277">
        <v>0.036300847072402449</v>
      </c>
      <c r="O1277" t="s">
        <v>138</v>
      </c>
      <c r="P1277">
        <v>0</v>
      </c>
      <c r="Q1277" t="s">
        <v>138</v>
      </c>
      <c r="R1277">
        <v>0.0021780508243441467</v>
      </c>
      <c r="S1277" t="s">
        <v>139</v>
      </c>
      <c r="T1277">
        <v>0.0043561016486882934</v>
      </c>
      <c r="U1277">
        <v>0.04283499954543489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8</v>
      </c>
      <c r="AB1277">
        <v>1</v>
      </c>
      <c r="AC1277">
        <v>0.10</v>
      </c>
      <c r="AD1277">
        <v>0.1008980929261446</v>
      </c>
      <c r="AE1277">
        <v>900</v>
      </c>
      <c r="AF1277">
        <v>400000</v>
      </c>
      <c r="AG1277">
        <v>33333.333333333336</v>
      </c>
      <c r="AH1277">
        <v>1</v>
      </c>
      <c r="AI1277">
        <v>1</v>
      </c>
      <c r="AJ1277" t="s">
        <v>136</v>
      </c>
      <c r="AK1277" t="s">
        <v>137</v>
      </c>
      <c r="AL1277">
        <v>0</v>
      </c>
      <c r="AM1277" t="s">
        <v>137</v>
      </c>
      <c r="AN1277">
        <v>0</v>
      </c>
    </row>
    <row r="1278" spans="1:42" ht="12.75">
      <c r="A1278" s="2" t="str">
        <f>HYPERLINK("https://ibp.a2mac1.com/costing(costing:projects/details/8191/process/6975339)","Injection molding")</f>
        <v>Injection molding</v>
      </c>
      <c r="B1278" t="s">
        <v>7256</v>
      </c>
      <c r="C1278">
        <v>6975339</v>
      </c>
      <c r="D1278">
        <v>5388299</v>
      </c>
      <c r="E1278">
        <v>0.23401426194507502</v>
      </c>
      <c r="F1278">
        <v>0</v>
      </c>
      <c r="G1278">
        <v>0</v>
      </c>
      <c r="H1278">
        <v>0.00047551514679842349</v>
      </c>
      <c r="I1278" t="s">
        <v>137</v>
      </c>
      <c r="J1278">
        <v>0.008198537013765923</v>
      </c>
      <c r="K1278">
        <v>0.24268831410563937</v>
      </c>
      <c r="L1278">
        <v>0.033598070546214782</v>
      </c>
      <c r="M1278">
        <v>0.20158842327728868</v>
      </c>
      <c r="N1278">
        <v>0.44427673738292806</v>
      </c>
      <c r="O1278" t="s">
        <v>138</v>
      </c>
      <c r="P1278">
        <v>0.014561298846338363</v>
      </c>
      <c r="Q1278" t="s">
        <v>138</v>
      </c>
      <c r="R1278">
        <v>0.012095305396637321</v>
      </c>
      <c r="S1278" t="s">
        <v>139</v>
      </c>
      <c r="T1278">
        <v>0.05331320848595137</v>
      </c>
      <c r="U1278">
        <v>0.52424655011185517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29.180250000000001</v>
      </c>
      <c r="AB1278">
        <v>1</v>
      </c>
      <c r="AC1278">
        <v>0.10</v>
      </c>
      <c r="AD1278">
        <v>0.20258874484795864</v>
      </c>
      <c r="AE1278">
        <v>14400</v>
      </c>
      <c r="AF1278">
        <v>400000</v>
      </c>
      <c r="AG1278">
        <v>33333.333333333336</v>
      </c>
      <c r="AH1278">
        <v>1</v>
      </c>
      <c r="AI1278">
        <v>1</v>
      </c>
      <c r="AJ1278" t="s">
        <v>136</v>
      </c>
      <c r="AK1278" t="s">
        <v>137</v>
      </c>
      <c r="AL1278">
        <v>0</v>
      </c>
      <c r="AM1278" t="s">
        <v>137</v>
      </c>
      <c r="AN1278">
        <v>0</v>
      </c>
    </row>
    <row r="1279" spans="1:42" ht="12.75">
      <c r="A1279" s="2" t="str">
        <f>HYPERLINK("https://ibp.a2mac1.com/costing(costing:projects/details/8191/process/6975340)","Handling and Packaging")</f>
        <v>Handling and Packaging</v>
      </c>
      <c r="C1279">
        <v>6975340</v>
      </c>
      <c r="D1279">
        <v>5388299</v>
      </c>
      <c r="E1279">
        <v>0</v>
      </c>
      <c r="F1279">
        <v>0</v>
      </c>
      <c r="G1279">
        <v>0</v>
      </c>
      <c r="H1279">
        <v>0</v>
      </c>
      <c r="I1279" t="s">
        <v>137</v>
      </c>
      <c r="J1279">
        <v>0</v>
      </c>
      <c r="K1279">
        <v>0</v>
      </c>
      <c r="L1279">
        <v>0.013148147229539718</v>
      </c>
      <c r="M1279">
        <v>0.078888883377238303</v>
      </c>
      <c r="N1279">
        <v>0.078888883377238303</v>
      </c>
      <c r="O1279" t="s">
        <v>138</v>
      </c>
      <c r="P1279">
        <v>0</v>
      </c>
      <c r="Q1279" t="s">
        <v>138</v>
      </c>
      <c r="R1279">
        <v>0.0047333330026342983</v>
      </c>
      <c r="S1279" t="s">
        <v>139</v>
      </c>
      <c r="T1279">
        <v>0.0094666660052685966</v>
      </c>
      <c r="U1279">
        <v>0.093088882385141195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45</v>
      </c>
      <c r="AB1279">
        <v>1</v>
      </c>
      <c r="AC1279">
        <v>0.10</v>
      </c>
      <c r="AD1279">
        <v>0.1008980929261446</v>
      </c>
      <c r="AE1279">
        <v>900</v>
      </c>
      <c r="AF1279">
        <v>400000</v>
      </c>
      <c r="AG1279">
        <v>33333.333333333336</v>
      </c>
      <c r="AH1279">
        <v>1</v>
      </c>
      <c r="AI1279">
        <v>1</v>
      </c>
      <c r="AJ1279" t="s">
        <v>136</v>
      </c>
      <c r="AK1279" t="s">
        <v>137</v>
      </c>
      <c r="AL1279">
        <v>0</v>
      </c>
      <c r="AM1279" t="s">
        <v>137</v>
      </c>
      <c r="AN1279">
        <v>0</v>
      </c>
    </row>
    <row r="1280" spans="1:42" ht="12.75">
      <c r="A1280" s="2" t="str">
        <f>HYPERLINK("https://ibp.a2mac1.com/costing(costing:projects/details/8191/process/6975341)","Injection molding")</f>
        <v>Injection molding</v>
      </c>
      <c r="C1280">
        <v>6975341</v>
      </c>
      <c r="D1280">
        <v>5388302</v>
      </c>
      <c r="E1280">
        <v>0.67262482761997244</v>
      </c>
      <c r="F1280">
        <v>0</v>
      </c>
      <c r="G1280">
        <v>0</v>
      </c>
      <c r="H1280">
        <v>0.001365428400068544</v>
      </c>
      <c r="I1280" t="s">
        <v>137</v>
      </c>
      <c r="J1280">
        <v>0.023541868966699034</v>
      </c>
      <c r="K1280">
        <v>0.69753212498674</v>
      </c>
      <c r="L1280">
        <v>0.046730139516215526</v>
      </c>
      <c r="M1280">
        <v>0.28038083709729311</v>
      </c>
      <c r="N1280">
        <v>0.97791296208403311</v>
      </c>
      <c r="O1280" t="s">
        <v>138</v>
      </c>
      <c r="P1280">
        <v>0.041851927499204397</v>
      </c>
      <c r="Q1280" t="s">
        <v>138</v>
      </c>
      <c r="R1280">
        <v>0.016822850225837589</v>
      </c>
      <c r="S1280" t="s">
        <v>139</v>
      </c>
      <c r="T1280">
        <v>0.11734955545008398</v>
      </c>
      <c r="U1280">
        <v>1.1539372952591591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32.265590000000003</v>
      </c>
      <c r="AB1280">
        <v>1</v>
      </c>
      <c r="AC1280">
        <v>0.10</v>
      </c>
      <c r="AD1280">
        <v>0.20258874484795864</v>
      </c>
      <c r="AE1280">
        <v>14400</v>
      </c>
      <c r="AF1280">
        <v>400000</v>
      </c>
      <c r="AG1280">
        <v>33333.333333333336</v>
      </c>
      <c r="AH1280">
        <v>1</v>
      </c>
      <c r="AI1280">
        <v>1</v>
      </c>
      <c r="AJ1280" t="s">
        <v>136</v>
      </c>
      <c r="AK1280" t="s">
        <v>137</v>
      </c>
      <c r="AL1280">
        <v>0</v>
      </c>
      <c r="AM1280" t="s">
        <v>137</v>
      </c>
      <c r="AN1280">
        <v>0</v>
      </c>
    </row>
    <row r="1281" spans="1:42" ht="12.75">
      <c r="A1281" s="2" t="str">
        <f>HYPERLINK("https://ibp.a2mac1.com/costing(costing:projects/details/8191/process/6975342)","Handling/Visual Inspection/Packaging")</f>
        <v>Handling/Visual Inspection/Packaging</v>
      </c>
      <c r="C1281">
        <v>6975342</v>
      </c>
      <c r="D1281">
        <v>5388302</v>
      </c>
      <c r="E1281">
        <v>0</v>
      </c>
      <c r="F1281">
        <v>0</v>
      </c>
      <c r="G1281">
        <v>0</v>
      </c>
      <c r="H1281">
        <v>0</v>
      </c>
      <c r="I1281" t="s">
        <v>137</v>
      </c>
      <c r="J1281">
        <v>0</v>
      </c>
      <c r="K1281">
        <v>0</v>
      </c>
      <c r="L1281">
        <v>0.0086198281353737343</v>
      </c>
      <c r="M1281">
        <v>0.051718968812242409</v>
      </c>
      <c r="N1281">
        <v>0.051718968812242409</v>
      </c>
      <c r="O1281" t="s">
        <v>138</v>
      </c>
      <c r="P1281">
        <v>0</v>
      </c>
      <c r="Q1281" t="s">
        <v>138</v>
      </c>
      <c r="R1281">
        <v>0.0031031381287345444</v>
      </c>
      <c r="S1281" t="s">
        <v>139</v>
      </c>
      <c r="T1281">
        <v>0.0062062762574690887</v>
      </c>
      <c r="U1281">
        <v>0.061028383198446043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30</v>
      </c>
      <c r="AB1281">
        <v>1</v>
      </c>
      <c r="AC1281">
        <v>0.10</v>
      </c>
      <c r="AD1281">
        <v>0.1008980929261446</v>
      </c>
      <c r="AE1281">
        <v>900</v>
      </c>
      <c r="AF1281">
        <v>400000</v>
      </c>
      <c r="AG1281">
        <v>33333.333333333336</v>
      </c>
      <c r="AH1281">
        <v>1</v>
      </c>
      <c r="AI1281">
        <v>1</v>
      </c>
      <c r="AJ1281" t="s">
        <v>136</v>
      </c>
      <c r="AK1281" t="s">
        <v>137</v>
      </c>
      <c r="AL1281">
        <v>0</v>
      </c>
      <c r="AM1281" t="s">
        <v>137</v>
      </c>
      <c r="AN1281">
        <v>0</v>
      </c>
    </row>
    <row r="1282" spans="1:42" ht="12.75">
      <c r="A1282" s="2" t="str">
        <f>HYPERLINK("https://ibp.a2mac1.com/costing(costing:projects/details/8191/process/6975758)","Automated Process")</f>
        <v>Automated Process</v>
      </c>
      <c r="C1282">
        <v>6975758</v>
      </c>
      <c r="D1282">
        <v>5388972</v>
      </c>
      <c r="E1282">
        <v>1.5845452035000001</v>
      </c>
      <c r="F1282">
        <v>0</v>
      </c>
      <c r="G1282">
        <v>0</v>
      </c>
      <c r="H1282">
        <v>0.0080378934633684208</v>
      </c>
      <c r="I1282" t="s">
        <v>137</v>
      </c>
      <c r="J1282">
        <v>0.055598077315789474</v>
      </c>
      <c r="K1282">
        <v>1.6481811742791579</v>
      </c>
      <c r="L1282">
        <v>0.046954456095611406</v>
      </c>
      <c r="M1282">
        <v>0.28172673657366842</v>
      </c>
      <c r="N1282">
        <v>1.9299079108528263</v>
      </c>
      <c r="O1282" t="s">
        <v>138</v>
      </c>
      <c r="P1282">
        <v>0.098890870456749477</v>
      </c>
      <c r="Q1282" t="s">
        <v>138</v>
      </c>
      <c r="R1282">
        <v>0.016903604194420108</v>
      </c>
      <c r="S1282" t="s">
        <v>139</v>
      </c>
      <c r="T1282">
        <v>0.23158894930233917</v>
      </c>
      <c r="U1282">
        <v>2.2772913348063351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60</v>
      </c>
      <c r="AB1282">
        <v>1</v>
      </c>
      <c r="AC1282">
        <v>0.50</v>
      </c>
      <c r="AD1282">
        <v>0.50345253019720215</v>
      </c>
      <c r="AE1282">
        <v>2724.30</v>
      </c>
      <c r="AF1282">
        <v>200000</v>
      </c>
      <c r="AG1282">
        <v>16666.666666666668</v>
      </c>
      <c r="AH1282">
        <v>1</v>
      </c>
      <c r="AI1282">
        <v>1</v>
      </c>
      <c r="AJ1282" t="s">
        <v>136</v>
      </c>
      <c r="AK1282" t="s">
        <v>137</v>
      </c>
      <c r="AL1282">
        <v>0</v>
      </c>
      <c r="AM1282" t="s">
        <v>137</v>
      </c>
      <c r="AN1282">
        <v>0</v>
      </c>
    </row>
    <row r="1283" spans="1:42" ht="12.75">
      <c r="A1283" s="2" t="str">
        <f>HYPERLINK("https://ibp.a2mac1.com/costing(costing:projects/details/8191/process/6975759)","Automated Process")</f>
        <v>Automated Process</v>
      </c>
      <c r="C1283">
        <v>6975759</v>
      </c>
      <c r="D1283">
        <v>5388973</v>
      </c>
      <c r="E1283">
        <v>0.84645179849999996</v>
      </c>
      <c r="F1283">
        <v>0</v>
      </c>
      <c r="G1283">
        <v>0</v>
      </c>
      <c r="H1283">
        <v>0.004293780551789474</v>
      </c>
      <c r="I1283" t="s">
        <v>137</v>
      </c>
      <c r="J1283">
        <v>0.029700063105263158</v>
      </c>
      <c r="K1283">
        <v>0.88044564215705268</v>
      </c>
      <c r="L1283">
        <v>0.02505300730957891</v>
      </c>
      <c r="M1283">
        <v>0.15031804385747347</v>
      </c>
      <c r="N1283">
        <v>1.0307636860145262</v>
      </c>
      <c r="O1283" t="s">
        <v>90</v>
      </c>
      <c r="P1283">
        <v>0</v>
      </c>
      <c r="Q1283" t="s">
        <v>90</v>
      </c>
      <c r="R1283">
        <v>0</v>
      </c>
      <c r="S1283" t="s">
        <v>90</v>
      </c>
      <c r="T1283">
        <v>0</v>
      </c>
      <c r="U1283">
        <v>1.0307636860145262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60</v>
      </c>
      <c r="AB1283">
        <v>1</v>
      </c>
      <c r="AC1283">
        <v>0.50</v>
      </c>
      <c r="AD1283">
        <v>0.50345253019720215</v>
      </c>
      <c r="AE1283">
        <v>1455.30</v>
      </c>
      <c r="AF1283">
        <v>200000</v>
      </c>
      <c r="AG1283">
        <v>16666.666666666668</v>
      </c>
      <c r="AH1283">
        <v>1</v>
      </c>
      <c r="AI1283">
        <v>1</v>
      </c>
      <c r="AJ1283" t="s">
        <v>136</v>
      </c>
      <c r="AK1283" t="s">
        <v>137</v>
      </c>
      <c r="AL1283">
        <v>0</v>
      </c>
      <c r="AM1283" t="s">
        <v>137</v>
      </c>
      <c r="AN1283">
        <v>0</v>
      </c>
    </row>
    <row r="1284" spans="1:42" ht="12.75">
      <c r="A1284" s="2" t="str">
        <f>HYPERLINK("https://ibp.a2mac1.com/costing(costing:projects/details/8191/process/6975760)","Automated Process")</f>
        <v>Automated Process</v>
      </c>
      <c r="C1284">
        <v>6975760</v>
      </c>
      <c r="D1284">
        <v>5388974</v>
      </c>
      <c r="E1284">
        <v>0.232566831</v>
      </c>
      <c r="F1284">
        <v>0</v>
      </c>
      <c r="G1284">
        <v>0</v>
      </c>
      <c r="H1284">
        <v>0.0011727430174736841</v>
      </c>
      <c r="I1284" t="s">
        <v>137</v>
      </c>
      <c r="J1284">
        <v>0.0081602396842105265</v>
      </c>
      <c r="K1284">
        <v>0.2418998137016842</v>
      </c>
      <c r="L1284">
        <v>0.010143024908744304</v>
      </c>
      <c r="M1284">
        <v>0.060858149452465829</v>
      </c>
      <c r="N1284">
        <v>0.30275796315415004</v>
      </c>
      <c r="O1284" t="s">
        <v>90</v>
      </c>
      <c r="P1284">
        <v>0</v>
      </c>
      <c r="Q1284" t="s">
        <v>90</v>
      </c>
      <c r="R1284">
        <v>0</v>
      </c>
      <c r="S1284" t="s">
        <v>90</v>
      </c>
      <c r="T1284">
        <v>0</v>
      </c>
      <c r="U1284">
        <v>0.30275796315415004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60</v>
      </c>
      <c r="AB1284">
        <v>1</v>
      </c>
      <c r="AC1284">
        <v>0.50</v>
      </c>
      <c r="AD1284">
        <v>0.50048257265952256</v>
      </c>
      <c r="AE1284">
        <v>591.30</v>
      </c>
      <c r="AF1284">
        <v>400000</v>
      </c>
      <c r="AG1284">
        <v>33333.333333333336</v>
      </c>
      <c r="AH1284">
        <v>1</v>
      </c>
      <c r="AI1284">
        <v>1</v>
      </c>
      <c r="AJ1284" t="s">
        <v>136</v>
      </c>
      <c r="AK1284" t="s">
        <v>137</v>
      </c>
      <c r="AL1284">
        <v>0</v>
      </c>
      <c r="AM1284" t="s">
        <v>137</v>
      </c>
      <c r="AN1284">
        <v>0</v>
      </c>
    </row>
    <row r="1285" spans="1:42" ht="12.75">
      <c r="A1285" s="2" t="str">
        <f>HYPERLINK("https://ibp.a2mac1.com/costing(costing:projects/details/8191/process/6975761)","Automated Process")</f>
        <v>Automated Process</v>
      </c>
      <c r="C1285">
        <v>6975761</v>
      </c>
      <c r="D1285">
        <v>5388975</v>
      </c>
      <c r="E1285">
        <v>0.0441</v>
      </c>
      <c r="F1285">
        <v>0</v>
      </c>
      <c r="G1285">
        <v>0</v>
      </c>
      <c r="H1285">
        <v>0.00022370526315789474</v>
      </c>
      <c r="I1285" t="s">
        <v>137</v>
      </c>
      <c r="J1285">
        <v>0.0015473684210526315</v>
      </c>
      <c r="K1285">
        <v>0.045871073684210527</v>
      </c>
      <c r="L1285">
        <v>0.00092839371990018039</v>
      </c>
      <c r="M1285">
        <v>0.0055703623194010825</v>
      </c>
      <c r="N1285">
        <v>0.051441436003611611</v>
      </c>
      <c r="O1285" t="s">
        <v>90</v>
      </c>
      <c r="P1285">
        <v>0</v>
      </c>
      <c r="Q1285" t="s">
        <v>90</v>
      </c>
      <c r="R1285">
        <v>0</v>
      </c>
      <c r="S1285" t="s">
        <v>90</v>
      </c>
      <c r="T1285">
        <v>0</v>
      </c>
      <c r="U1285">
        <v>0.051441436003611611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60</v>
      </c>
      <c r="AB1285">
        <v>1</v>
      </c>
      <c r="AC1285">
        <v>0.50</v>
      </c>
      <c r="AD1285">
        <v>0.50345253019720215</v>
      </c>
      <c r="AE1285">
        <v>54</v>
      </c>
      <c r="AF1285">
        <v>200000</v>
      </c>
      <c r="AG1285">
        <v>16666.666666666668</v>
      </c>
      <c r="AH1285">
        <v>1</v>
      </c>
      <c r="AI1285">
        <v>1</v>
      </c>
      <c r="AJ1285" t="s">
        <v>136</v>
      </c>
      <c r="AK1285" t="s">
        <v>137</v>
      </c>
      <c r="AL1285">
        <v>0</v>
      </c>
      <c r="AM1285" t="s">
        <v>137</v>
      </c>
      <c r="AN1285">
        <v>0</v>
      </c>
    </row>
    <row r="1286" spans="1:42" ht="12.75">
      <c r="A1286" s="2" t="str">
        <f>HYPERLINK("https://ibp.a2mac1.com/costing(costing:projects/details/8191/process/6975762)","Automated Process")</f>
        <v>Automated Process</v>
      </c>
      <c r="C1286">
        <v>6975762</v>
      </c>
      <c r="D1286">
        <v>5388976</v>
      </c>
      <c r="E1286">
        <v>0.24849606599999999</v>
      </c>
      <c r="F1286">
        <v>0</v>
      </c>
      <c r="G1286">
        <v>0</v>
      </c>
      <c r="H1286">
        <v>0.0012530678816842105</v>
      </c>
      <c r="I1286" t="s">
        <v>137</v>
      </c>
      <c r="J1286">
        <v>0.0087191602105263152</v>
      </c>
      <c r="K1286">
        <v>0.2584682940922105</v>
      </c>
      <c r="L1286">
        <v>0.010837958390543273</v>
      </c>
      <c r="M1286">
        <v>0.065027750343259638</v>
      </c>
      <c r="N1286">
        <v>0.32349604443547014</v>
      </c>
      <c r="O1286" t="s">
        <v>90</v>
      </c>
      <c r="P1286">
        <v>0</v>
      </c>
      <c r="Q1286" t="s">
        <v>90</v>
      </c>
      <c r="R1286">
        <v>0</v>
      </c>
      <c r="S1286" t="s">
        <v>90</v>
      </c>
      <c r="T1286">
        <v>0</v>
      </c>
      <c r="U1286">
        <v>0.32349604443547014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60</v>
      </c>
      <c r="AB1286">
        <v>1</v>
      </c>
      <c r="AC1286">
        <v>0.50</v>
      </c>
      <c r="AD1286">
        <v>0.50048257265952256</v>
      </c>
      <c r="AE1286">
        <v>631.80</v>
      </c>
      <c r="AF1286">
        <v>400000</v>
      </c>
      <c r="AG1286">
        <v>33333.333333333336</v>
      </c>
      <c r="AH1286">
        <v>1</v>
      </c>
      <c r="AI1286">
        <v>1</v>
      </c>
      <c r="AJ1286" t="s">
        <v>136</v>
      </c>
      <c r="AK1286" t="s">
        <v>137</v>
      </c>
      <c r="AL1286">
        <v>0</v>
      </c>
      <c r="AM1286" t="s">
        <v>137</v>
      </c>
      <c r="AN1286">
        <v>0</v>
      </c>
    </row>
    <row r="1287" spans="1:42" ht="12.75">
      <c r="A1287" s="2" t="str">
        <f>HYPERLINK("https://ibp.a2mac1.com/costing(costing:projects/details/8191/process/6975763)","Automated Process")</f>
        <v>Automated Process</v>
      </c>
      <c r="C1287">
        <v>6975763</v>
      </c>
      <c r="D1287">
        <v>5388977</v>
      </c>
      <c r="E1287">
        <v>1.2029352090000001</v>
      </c>
      <c r="F1287">
        <v>0</v>
      </c>
      <c r="G1287">
        <v>0</v>
      </c>
      <c r="H1287">
        <v>0.0061021074261052629</v>
      </c>
      <c r="I1287" t="s">
        <v>137</v>
      </c>
      <c r="J1287">
        <v>0.042208252947368421</v>
      </c>
      <c r="K1287">
        <v>1.2512455693734736</v>
      </c>
      <c r="L1287">
        <v>0.17720059565923829</v>
      </c>
      <c r="M1287">
        <v>1.0632035739554297</v>
      </c>
      <c r="N1287">
        <v>2.3144491433289036</v>
      </c>
      <c r="O1287" t="s">
        <v>90</v>
      </c>
      <c r="P1287">
        <v>0</v>
      </c>
      <c r="Q1287" t="s">
        <v>90</v>
      </c>
      <c r="R1287">
        <v>0</v>
      </c>
      <c r="S1287" t="s">
        <v>90</v>
      </c>
      <c r="T1287">
        <v>0</v>
      </c>
      <c r="U1287">
        <v>2.3144491433289036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99</v>
      </c>
      <c r="AB1287">
        <v>1</v>
      </c>
      <c r="AC1287">
        <v>0.50</v>
      </c>
      <c r="AD1287">
        <v>0.50345253019720215</v>
      </c>
      <c r="AE1287">
        <v>10800</v>
      </c>
      <c r="AF1287">
        <v>200000</v>
      </c>
      <c r="AG1287">
        <v>16666.666666666668</v>
      </c>
      <c r="AH1287">
        <v>1</v>
      </c>
      <c r="AI1287">
        <v>1</v>
      </c>
      <c r="AJ1287" t="s">
        <v>136</v>
      </c>
      <c r="AK1287" t="s">
        <v>137</v>
      </c>
      <c r="AL1287">
        <v>0</v>
      </c>
      <c r="AM1287" t="s">
        <v>137</v>
      </c>
      <c r="AN1287">
        <v>0</v>
      </c>
    </row>
    <row r="1288" spans="1:42" ht="12.75">
      <c r="A1288" s="2" t="str">
        <f>HYPERLINK("https://ibp.a2mac1.com/costing(costing:projects/details/8191/process/6975764)","Automated Process")</f>
        <v>Automated Process</v>
      </c>
      <c r="C1288">
        <v>6975764</v>
      </c>
      <c r="D1288">
        <v>5388978</v>
      </c>
      <c r="E1288">
        <v>0.047935303499999998</v>
      </c>
      <c r="F1288">
        <v>0</v>
      </c>
      <c r="G1288">
        <v>0</v>
      </c>
      <c r="H1288">
        <v>0.0002417188737894737</v>
      </c>
      <c r="I1288" t="s">
        <v>137</v>
      </c>
      <c r="J1288">
        <v>0.0016819404736842106</v>
      </c>
      <c r="K1288">
        <v>0.049858962847473681</v>
      </c>
      <c r="L1288">
        <v>0.00099552751233560987</v>
      </c>
      <c r="M1288">
        <v>0.0059731650740136597</v>
      </c>
      <c r="N1288">
        <v>0.055832127921487347</v>
      </c>
      <c r="O1288" t="s">
        <v>90</v>
      </c>
      <c r="P1288">
        <v>0</v>
      </c>
      <c r="Q1288" t="s">
        <v>90</v>
      </c>
      <c r="R1288">
        <v>0</v>
      </c>
      <c r="S1288" t="s">
        <v>90</v>
      </c>
      <c r="T1288">
        <v>0</v>
      </c>
      <c r="U1288">
        <v>0.055832127921487347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60</v>
      </c>
      <c r="AB1288">
        <v>1</v>
      </c>
      <c r="AC1288">
        <v>0.50</v>
      </c>
      <c r="AD1288">
        <v>0.50048257265952256</v>
      </c>
      <c r="AE1288">
        <v>58.05</v>
      </c>
      <c r="AF1288">
        <v>400000</v>
      </c>
      <c r="AG1288">
        <v>33333.333333333336</v>
      </c>
      <c r="AH1288">
        <v>1</v>
      </c>
      <c r="AI1288">
        <v>1</v>
      </c>
      <c r="AJ1288" t="s">
        <v>136</v>
      </c>
      <c r="AK1288" t="s">
        <v>137</v>
      </c>
      <c r="AL1288">
        <v>0</v>
      </c>
      <c r="AM1288" t="s">
        <v>137</v>
      </c>
      <c r="AN1288">
        <v>0</v>
      </c>
    </row>
    <row r="1289" spans="1:42" ht="12.75">
      <c r="A1289" s="2" t="str">
        <f>HYPERLINK("https://ibp.a2mac1.com/costing(costing:projects/details/8191/process/6975765)","Automated Process")</f>
        <v>Automated Process</v>
      </c>
      <c r="C1289">
        <v>6975765</v>
      </c>
      <c r="D1289">
        <v>5388979</v>
      </c>
      <c r="E1289">
        <v>0.1226551095</v>
      </c>
      <c r="F1289">
        <v>0</v>
      </c>
      <c r="G1289">
        <v>0</v>
      </c>
      <c r="H1289">
        <v>0.00061850145442105258</v>
      </c>
      <c r="I1289" t="s">
        <v>137</v>
      </c>
      <c r="J1289">
        <v>0.0043036880526315787</v>
      </c>
      <c r="K1289">
        <v>0.12757729900705264</v>
      </c>
      <c r="L1289">
        <v>0.0053487028164535275</v>
      </c>
      <c r="M1289">
        <v>0.032092216898721167</v>
      </c>
      <c r="N1289">
        <v>0.1596695159057738</v>
      </c>
      <c r="O1289" t="s">
        <v>90</v>
      </c>
      <c r="P1289">
        <v>0</v>
      </c>
      <c r="Q1289" t="s">
        <v>90</v>
      </c>
      <c r="R1289">
        <v>0</v>
      </c>
      <c r="S1289" t="s">
        <v>90</v>
      </c>
      <c r="T1289">
        <v>0</v>
      </c>
      <c r="U1289">
        <v>0.1596695159057738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60</v>
      </c>
      <c r="AB1289">
        <v>1</v>
      </c>
      <c r="AC1289">
        <v>0.50</v>
      </c>
      <c r="AD1289">
        <v>0.50048257265952256</v>
      </c>
      <c r="AE1289">
        <v>311.85</v>
      </c>
      <c r="AF1289">
        <v>400000</v>
      </c>
      <c r="AG1289">
        <v>33333.333333333336</v>
      </c>
      <c r="AH1289">
        <v>1</v>
      </c>
      <c r="AI1289">
        <v>1</v>
      </c>
      <c r="AJ1289" t="s">
        <v>136</v>
      </c>
      <c r="AK1289" t="s">
        <v>137</v>
      </c>
      <c r="AL1289">
        <v>0</v>
      </c>
      <c r="AM1289" t="s">
        <v>137</v>
      </c>
      <c r="AN1289">
        <v>0</v>
      </c>
    </row>
    <row r="1290" spans="1:42" ht="12.75">
      <c r="A1290" s="2" t="str">
        <f>HYPERLINK("https://ibp.a2mac1.com/costing(costing:projects/details/8191/process/6975766)","Automated Process")</f>
        <v>Automated Process</v>
      </c>
      <c r="C1290">
        <v>6975766</v>
      </c>
      <c r="D1290">
        <v>5388980</v>
      </c>
      <c r="E1290">
        <v>1.800003555</v>
      </c>
      <c r="F1290">
        <v>0</v>
      </c>
      <c r="G1290">
        <v>0</v>
      </c>
      <c r="H1290">
        <v>0.0091308451010526318</v>
      </c>
      <c r="I1290" t="s">
        <v>137</v>
      </c>
      <c r="J1290">
        <v>0.063158019473684213</v>
      </c>
      <c r="K1290">
        <v>1.8722924195747368</v>
      </c>
      <c r="L1290">
        <v>0.079014223969588515</v>
      </c>
      <c r="M1290">
        <v>0.47408534381753109</v>
      </c>
      <c r="N1290">
        <v>2.346377763392268</v>
      </c>
      <c r="O1290" t="s">
        <v>90</v>
      </c>
      <c r="P1290">
        <v>0</v>
      </c>
      <c r="Q1290" t="s">
        <v>90</v>
      </c>
      <c r="R1290">
        <v>0</v>
      </c>
      <c r="S1290" t="s">
        <v>90</v>
      </c>
      <c r="T1290">
        <v>0</v>
      </c>
      <c r="U1290">
        <v>2.346377763392268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60</v>
      </c>
      <c r="AB1290">
        <v>1</v>
      </c>
      <c r="AC1290">
        <v>0.50</v>
      </c>
      <c r="AD1290">
        <v>0.50345253019720215</v>
      </c>
      <c r="AE1290">
        <v>4576.50</v>
      </c>
      <c r="AF1290">
        <v>200000</v>
      </c>
      <c r="AG1290">
        <v>16666.666666666668</v>
      </c>
      <c r="AH1290">
        <v>1</v>
      </c>
      <c r="AI1290">
        <v>1</v>
      </c>
      <c r="AJ1290" t="s">
        <v>136</v>
      </c>
      <c r="AK1290" t="s">
        <v>137</v>
      </c>
      <c r="AL1290">
        <v>0</v>
      </c>
      <c r="AM1290" t="s">
        <v>137</v>
      </c>
      <c r="AN1290">
        <v>0</v>
      </c>
    </row>
    <row r="1291" spans="1:42" ht="12.75">
      <c r="A1291" s="2" t="str">
        <f>HYPERLINK("https://ibp.a2mac1.com/costing(costing:projects/details/8191/process/6975524)","Automated Process")</f>
        <v>Automated Process</v>
      </c>
      <c r="C1291">
        <v>6975524</v>
      </c>
      <c r="D1291">
        <v>5388638</v>
      </c>
      <c r="E1291">
        <v>5.1387038399999998</v>
      </c>
      <c r="F1291">
        <v>0</v>
      </c>
      <c r="G1291">
        <v>0</v>
      </c>
      <c r="H1291">
        <v>0.0053442519936000004</v>
      </c>
      <c r="I1291" t="s">
        <v>137</v>
      </c>
      <c r="J1291">
        <v>0.17985463439999999</v>
      </c>
      <c r="K1291">
        <v>5.3239027263935998</v>
      </c>
      <c r="L1291">
        <v>0.86250956477902818</v>
      </c>
      <c r="M1291">
        <v>5.1750573886741691</v>
      </c>
      <c r="N1291">
        <v>10.498960115067769</v>
      </c>
      <c r="O1291" t="s">
        <v>90</v>
      </c>
      <c r="P1291">
        <v>0</v>
      </c>
      <c r="Q1291" t="s">
        <v>90</v>
      </c>
      <c r="R1291">
        <v>0</v>
      </c>
      <c r="S1291" t="s">
        <v>90</v>
      </c>
      <c r="T1291">
        <v>0</v>
      </c>
      <c r="U1291">
        <v>10.498960115067769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489</v>
      </c>
      <c r="AB1291">
        <v>1</v>
      </c>
      <c r="AC1291">
        <v>0.10</v>
      </c>
      <c r="AD1291">
        <v>0.10389195236953569</v>
      </c>
      <c r="AE1291">
        <v>10800</v>
      </c>
      <c r="AF1291">
        <v>200000</v>
      </c>
      <c r="AG1291">
        <v>16666.666666666668</v>
      </c>
      <c r="AH1291">
        <v>1</v>
      </c>
      <c r="AI1291">
        <v>1</v>
      </c>
      <c r="AJ1291" t="s">
        <v>136</v>
      </c>
      <c r="AK1291" t="s">
        <v>137</v>
      </c>
      <c r="AL1291">
        <v>0</v>
      </c>
      <c r="AM1291" t="s">
        <v>137</v>
      </c>
      <c r="AN1291">
        <v>0</v>
      </c>
    </row>
    <row r="1292" spans="1:42" ht="12.75">
      <c r="A1292" s="2" t="str">
        <f>HYPERLINK("https://ibp.a2mac1.com/costing(costing:projects/details/8191/process/6975525)","Automated Process")</f>
        <v>Automated Process</v>
      </c>
      <c r="C1292">
        <v>6975525</v>
      </c>
      <c r="D1292">
        <v>5388639</v>
      </c>
      <c r="E1292">
        <v>0.38920430849999998</v>
      </c>
      <c r="F1292">
        <v>0</v>
      </c>
      <c r="G1292">
        <v>0</v>
      </c>
      <c r="H1292">
        <v>0.0019626041822105264</v>
      </c>
      <c r="I1292" t="s">
        <v>137</v>
      </c>
      <c r="J1292">
        <v>0.013656291526315789</v>
      </c>
      <c r="K1292">
        <v>0.4048232042085263</v>
      </c>
      <c r="L1292">
        <v>0.12303525801180633</v>
      </c>
      <c r="M1292">
        <v>0.738211548070838</v>
      </c>
      <c r="N1292">
        <v>1.1430347522793642</v>
      </c>
      <c r="O1292" t="s">
        <v>90</v>
      </c>
      <c r="P1292">
        <v>0</v>
      </c>
      <c r="Q1292" t="s">
        <v>90</v>
      </c>
      <c r="R1292">
        <v>0</v>
      </c>
      <c r="S1292" t="s">
        <v>90</v>
      </c>
      <c r="T1292">
        <v>0</v>
      </c>
      <c r="U1292">
        <v>1.1430347522793642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69</v>
      </c>
      <c r="AB1292">
        <v>1</v>
      </c>
      <c r="AC1292">
        <v>0.50</v>
      </c>
      <c r="AD1292">
        <v>0.50048257265952256</v>
      </c>
      <c r="AE1292">
        <v>10800</v>
      </c>
      <c r="AF1292">
        <v>400000</v>
      </c>
      <c r="AG1292">
        <v>33333.333333333336</v>
      </c>
      <c r="AH1292">
        <v>1</v>
      </c>
      <c r="AI1292">
        <v>1</v>
      </c>
      <c r="AJ1292" t="s">
        <v>136</v>
      </c>
      <c r="AK1292" t="s">
        <v>137</v>
      </c>
      <c r="AL1292">
        <v>0</v>
      </c>
      <c r="AM1292" t="s">
        <v>137</v>
      </c>
      <c r="AN1292">
        <v>0</v>
      </c>
    </row>
    <row r="1293" spans="1:42" ht="12.75">
      <c r="A1293" s="2" t="str">
        <f>HYPERLINK("https://ibp.a2mac1.com/costing(costing:projects/details/8191/process/6975526)","Automated Process")</f>
        <v>Automated Process</v>
      </c>
      <c r="C1293">
        <v>6975526</v>
      </c>
      <c r="D1293">
        <v>5388640</v>
      </c>
      <c r="E1293">
        <v>0.033005574000000003</v>
      </c>
      <c r="F1293">
        <v>0</v>
      </c>
      <c r="G1293">
        <v>0</v>
      </c>
      <c r="H1293">
        <v>0.00016742677136842105</v>
      </c>
      <c r="I1293" t="s">
        <v>137</v>
      </c>
      <c r="J1293">
        <v>0.0011580903157894736</v>
      </c>
      <c r="K1293">
        <v>0.034331091087157893</v>
      </c>
      <c r="L1293">
        <v>0.023551311007241758</v>
      </c>
      <c r="M1293">
        <v>0.14130786604345055</v>
      </c>
      <c r="N1293">
        <v>0.17563895713060843</v>
      </c>
      <c r="O1293" t="s">
        <v>90</v>
      </c>
      <c r="P1293">
        <v>0</v>
      </c>
      <c r="Q1293" t="s">
        <v>90</v>
      </c>
      <c r="R1293">
        <v>0</v>
      </c>
      <c r="S1293" t="s">
        <v>90</v>
      </c>
      <c r="T1293">
        <v>0</v>
      </c>
      <c r="U1293">
        <v>0.17563895713060843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12</v>
      </c>
      <c r="AB1293">
        <v>1</v>
      </c>
      <c r="AC1293">
        <v>0.50</v>
      </c>
      <c r="AD1293">
        <v>0.50345253019720215</v>
      </c>
      <c r="AE1293">
        <v>10800</v>
      </c>
      <c r="AF1293">
        <v>200000</v>
      </c>
      <c r="AG1293">
        <v>16666.666666666668</v>
      </c>
      <c r="AH1293">
        <v>1</v>
      </c>
      <c r="AI1293">
        <v>1</v>
      </c>
      <c r="AJ1293" t="s">
        <v>136</v>
      </c>
      <c r="AK1293" t="s">
        <v>137</v>
      </c>
      <c r="AL1293">
        <v>0</v>
      </c>
      <c r="AM1293" t="s">
        <v>137</v>
      </c>
      <c r="AN1293">
        <v>0</v>
      </c>
    </row>
    <row r="1294" spans="1:42" ht="12.75">
      <c r="A1294" s="2" t="str">
        <f>HYPERLINK("https://ibp.a2mac1.com/costing(costing:projects/details/8191/process/6975527)","Process")</f>
        <v>Process</v>
      </c>
      <c r="C1294">
        <v>6975527</v>
      </c>
      <c r="D1294">
        <v>5388641</v>
      </c>
      <c r="E1294">
        <v>0</v>
      </c>
      <c r="F1294">
        <v>0</v>
      </c>
      <c r="G1294">
        <v>0</v>
      </c>
      <c r="H1294">
        <v>0</v>
      </c>
      <c r="I1294" t="s">
        <v>137</v>
      </c>
      <c r="J1294">
        <v>0</v>
      </c>
      <c r="K1294">
        <v>0</v>
      </c>
      <c r="L1294">
        <v>0.4496293819648346</v>
      </c>
      <c r="M1294">
        <v>1.573702836876921</v>
      </c>
      <c r="N1294">
        <v>1.573702836876921</v>
      </c>
      <c r="O1294" t="s">
        <v>138</v>
      </c>
      <c r="P1294">
        <v>0</v>
      </c>
      <c r="Q1294" t="s">
        <v>138</v>
      </c>
      <c r="R1294">
        <v>0.094422170212615272</v>
      </c>
      <c r="S1294" t="s">
        <v>1643</v>
      </c>
      <c r="T1294">
        <v>0.1573702836876921</v>
      </c>
      <c r="U1294">
        <v>1.8254952907772284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197</v>
      </c>
      <c r="AB1294">
        <v>1</v>
      </c>
      <c r="AC1294">
        <v>10</v>
      </c>
      <c r="AD1294">
        <v>10.002339939161581</v>
      </c>
      <c r="AE1294">
        <v>126</v>
      </c>
      <c r="AF1294">
        <v>200000</v>
      </c>
      <c r="AG1294">
        <v>16666.666666666668</v>
      </c>
      <c r="AH1294">
        <v>1</v>
      </c>
      <c r="AI1294">
        <v>1</v>
      </c>
      <c r="AJ1294" t="s">
        <v>136</v>
      </c>
      <c r="AK1294" t="s">
        <v>137</v>
      </c>
      <c r="AL1294">
        <v>0</v>
      </c>
      <c r="AM1294" t="s">
        <v>137</v>
      </c>
      <c r="AN1294">
        <v>0</v>
      </c>
    </row>
    <row r="1295" spans="1:42" ht="12.75">
      <c r="A1295" s="2" t="str">
        <f>HYPERLINK("https://ibp.a2mac1.com/costing(costing:projects/details/8191/process/6975528)","Automated Process")</f>
        <v>Automated Process</v>
      </c>
      <c r="C1295">
        <v>6975528</v>
      </c>
      <c r="D1295">
        <v>5388642</v>
      </c>
      <c r="E1295">
        <v>0.58690799999999999</v>
      </c>
      <c r="F1295">
        <v>0</v>
      </c>
      <c r="G1295">
        <v>0</v>
      </c>
      <c r="H1295">
        <v>0.00296975448</v>
      </c>
      <c r="I1295" t="s">
        <v>137</v>
      </c>
      <c r="J1295">
        <v>0.020541779999999999</v>
      </c>
      <c r="K1295">
        <v>0.61041953447999997</v>
      </c>
      <c r="L1295">
        <v>0.20722401909698474</v>
      </c>
      <c r="M1295">
        <v>1.2433441145819084</v>
      </c>
      <c r="N1295">
        <v>1.8537636490619085</v>
      </c>
      <c r="O1295" t="s">
        <v>90</v>
      </c>
      <c r="P1295">
        <v>0</v>
      </c>
      <c r="Q1295" t="s">
        <v>90</v>
      </c>
      <c r="R1295">
        <v>0</v>
      </c>
      <c r="S1295" t="s">
        <v>90</v>
      </c>
      <c r="T1295">
        <v>0</v>
      </c>
      <c r="U1295">
        <v>1.8537636490619085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116</v>
      </c>
      <c r="AB1295">
        <v>1</v>
      </c>
      <c r="AC1295">
        <v>0.50</v>
      </c>
      <c r="AD1295">
        <v>0.50345253019720215</v>
      </c>
      <c r="AE1295">
        <v>10800</v>
      </c>
      <c r="AF1295">
        <v>200000</v>
      </c>
      <c r="AG1295">
        <v>16666.666666666668</v>
      </c>
      <c r="AH1295">
        <v>1</v>
      </c>
      <c r="AI1295">
        <v>1</v>
      </c>
      <c r="AJ1295" t="s">
        <v>136</v>
      </c>
      <c r="AK1295" t="s">
        <v>137</v>
      </c>
      <c r="AL1295">
        <v>0</v>
      </c>
      <c r="AM1295" t="s">
        <v>137</v>
      </c>
      <c r="AN1295">
        <v>0</v>
      </c>
    </row>
    <row r="1296" spans="1:42" ht="12.75">
      <c r="A1296" s="2" t="str">
        <f>HYPERLINK("https://ibp.a2mac1.com/costing(costing:projects/details/8191/process/6975529)","Automated Process")</f>
        <v>Automated Process</v>
      </c>
      <c r="C1296">
        <v>6975529</v>
      </c>
      <c r="D1296">
        <v>5388643</v>
      </c>
      <c r="E1296">
        <v>0.52381852949999996</v>
      </c>
      <c r="F1296">
        <v>0</v>
      </c>
      <c r="G1296">
        <v>0</v>
      </c>
      <c r="H1296">
        <v>0.0026571646709473685</v>
      </c>
      <c r="I1296" t="s">
        <v>137</v>
      </c>
      <c r="J1296">
        <v>0.018379597526315791</v>
      </c>
      <c r="K1296">
        <v>0.54485529169726321</v>
      </c>
      <c r="L1296">
        <v>0.0083124605326081371</v>
      </c>
      <c r="M1296">
        <v>0.049874763195648819</v>
      </c>
      <c r="N1296">
        <v>0.59473005489291197</v>
      </c>
      <c r="O1296" t="s">
        <v>90</v>
      </c>
      <c r="P1296">
        <v>0</v>
      </c>
      <c r="Q1296" t="s">
        <v>90</v>
      </c>
      <c r="R1296">
        <v>0</v>
      </c>
      <c r="S1296" t="s">
        <v>90</v>
      </c>
      <c r="T1296">
        <v>0</v>
      </c>
      <c r="U1296">
        <v>0.59473005489291197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60</v>
      </c>
      <c r="AB1296">
        <v>1</v>
      </c>
      <c r="AC1296">
        <v>0.50</v>
      </c>
      <c r="AD1296">
        <v>0.50345253019720215</v>
      </c>
      <c r="AE1296">
        <v>483.30</v>
      </c>
      <c r="AF1296">
        <v>200000</v>
      </c>
      <c r="AG1296">
        <v>16666.666666666668</v>
      </c>
      <c r="AH1296">
        <v>1</v>
      </c>
      <c r="AI1296">
        <v>1</v>
      </c>
      <c r="AJ1296" t="s">
        <v>136</v>
      </c>
      <c r="AK1296" t="s">
        <v>137</v>
      </c>
      <c r="AL1296">
        <v>0</v>
      </c>
      <c r="AM1296" t="s">
        <v>137</v>
      </c>
      <c r="AN1296">
        <v>0</v>
      </c>
    </row>
    <row r="1297" spans="1:42" ht="12.75">
      <c r="A1297" s="2" t="str">
        <f>HYPERLINK("https://ibp.a2mac1.com/costing(costing:projects/details/8191/process/6975767)","Automated Process")</f>
        <v>Automated Process</v>
      </c>
      <c r="C1297">
        <v>6975767</v>
      </c>
      <c r="D1297">
        <v>5388981</v>
      </c>
      <c r="E1297">
        <v>1.1285135399999999</v>
      </c>
      <c r="F1297">
        <v>0</v>
      </c>
      <c r="G1297">
        <v>0</v>
      </c>
      <c r="H1297">
        <v>0.0057245899873684209</v>
      </c>
      <c r="I1297" t="s">
        <v>137</v>
      </c>
      <c r="J1297">
        <v>0.039596966315789475</v>
      </c>
      <c r="K1297">
        <v>1.1738350963031579</v>
      </c>
      <c r="L1297">
        <v>0.037092394362739978</v>
      </c>
      <c r="M1297">
        <v>0.22255436617643987</v>
      </c>
      <c r="N1297">
        <v>1.3963894624795978</v>
      </c>
      <c r="O1297" t="s">
        <v>138</v>
      </c>
      <c r="P1297">
        <v>0.070430105778189478</v>
      </c>
      <c r="Q1297" t="s">
        <v>138</v>
      </c>
      <c r="R1297">
        <v>0.013353261970586391</v>
      </c>
      <c r="S1297" t="s">
        <v>139</v>
      </c>
      <c r="T1297">
        <v>0.16756673549755174</v>
      </c>
      <c r="U1297">
        <v>1.6477395657259253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60</v>
      </c>
      <c r="AB1297">
        <v>1</v>
      </c>
      <c r="AC1297">
        <v>0.50</v>
      </c>
      <c r="AD1297">
        <v>0.50345253019720215</v>
      </c>
      <c r="AE1297">
        <v>2153.25</v>
      </c>
      <c r="AF1297">
        <v>200000</v>
      </c>
      <c r="AG1297">
        <v>16666.666666666668</v>
      </c>
      <c r="AH1297">
        <v>1</v>
      </c>
      <c r="AI1297">
        <v>1</v>
      </c>
      <c r="AJ1297" t="s">
        <v>136</v>
      </c>
      <c r="AK1297" t="s">
        <v>137</v>
      </c>
      <c r="AL1297">
        <v>0</v>
      </c>
      <c r="AM1297" t="s">
        <v>137</v>
      </c>
      <c r="AN1297">
        <v>0</v>
      </c>
    </row>
    <row r="1298" spans="1:42" ht="12.75">
      <c r="A1298" s="2" t="str">
        <f>HYPERLINK("https://ibp.a2mac1.com/costing(costing:projects/details/8191/process/6975768)","Automated Process")</f>
        <v>Automated Process</v>
      </c>
      <c r="C1298">
        <v>6975768</v>
      </c>
      <c r="D1298">
        <v>5388982</v>
      </c>
      <c r="E1298">
        <v>1.1285135399999999</v>
      </c>
      <c r="F1298">
        <v>0</v>
      </c>
      <c r="G1298">
        <v>0</v>
      </c>
      <c r="H1298">
        <v>0.0057245899873684209</v>
      </c>
      <c r="I1298" t="s">
        <v>137</v>
      </c>
      <c r="J1298">
        <v>0.039596966315789475</v>
      </c>
      <c r="K1298">
        <v>1.1738350963031579</v>
      </c>
      <c r="L1298">
        <v>0.037092394362739978</v>
      </c>
      <c r="M1298">
        <v>0.22255436617643987</v>
      </c>
      <c r="N1298">
        <v>1.3963894624795978</v>
      </c>
      <c r="O1298" t="s">
        <v>138</v>
      </c>
      <c r="P1298">
        <v>0.070430105778189478</v>
      </c>
      <c r="Q1298" t="s">
        <v>138</v>
      </c>
      <c r="R1298">
        <v>0.013353261970586391</v>
      </c>
      <c r="S1298" t="s">
        <v>139</v>
      </c>
      <c r="T1298">
        <v>0.16756673549755174</v>
      </c>
      <c r="U1298">
        <v>1.6477395657259253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60</v>
      </c>
      <c r="AB1298">
        <v>1</v>
      </c>
      <c r="AC1298">
        <v>0.50</v>
      </c>
      <c r="AD1298">
        <v>0.50345253019720215</v>
      </c>
      <c r="AE1298">
        <v>2153.25</v>
      </c>
      <c r="AF1298">
        <v>200000</v>
      </c>
      <c r="AG1298">
        <v>16666.666666666668</v>
      </c>
      <c r="AH1298">
        <v>1</v>
      </c>
      <c r="AI1298">
        <v>1</v>
      </c>
      <c r="AJ1298" t="s">
        <v>136</v>
      </c>
      <c r="AK1298" t="s">
        <v>137</v>
      </c>
      <c r="AL1298">
        <v>0</v>
      </c>
      <c r="AM1298" t="s">
        <v>137</v>
      </c>
      <c r="AN1298">
        <v>0</v>
      </c>
    </row>
    <row r="1299" spans="1:42" ht="12.75">
      <c r="A1299" s="2" t="str">
        <f>HYPERLINK("https://ibp.a2mac1.com/costing(costing:projects/details/8191/process/6975530)","Press")</f>
        <v>Press</v>
      </c>
      <c r="C1299">
        <v>6975530</v>
      </c>
      <c r="D1299">
        <v>5388651</v>
      </c>
      <c r="E1299">
        <v>0.60693338690721654</v>
      </c>
      <c r="F1299">
        <v>0</v>
      </c>
      <c r="G1299">
        <v>0</v>
      </c>
      <c r="H1299">
        <v>0.012412198057731959</v>
      </c>
      <c r="I1299" t="s">
        <v>137</v>
      </c>
      <c r="J1299">
        <v>0.021274580412371135</v>
      </c>
      <c r="K1299">
        <v>0.64062016537731958</v>
      </c>
      <c r="L1299">
        <v>0.044314429072923996</v>
      </c>
      <c r="M1299">
        <v>0.26588657443754399</v>
      </c>
      <c r="N1299">
        <v>0.90650673981486352</v>
      </c>
      <c r="O1299" t="s">
        <v>138</v>
      </c>
      <c r="P1299">
        <v>0.038437209922639173</v>
      </c>
      <c r="Q1299" t="s">
        <v>138</v>
      </c>
      <c r="R1299">
        <v>0.015953194466252638</v>
      </c>
      <c r="S1299" t="s">
        <v>139</v>
      </c>
      <c r="T1299">
        <v>0.10878080877778362</v>
      </c>
      <c r="U1299">
        <v>1.069677952981539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136</v>
      </c>
      <c r="AB1299">
        <v>3</v>
      </c>
      <c r="AC1299">
        <v>1</v>
      </c>
      <c r="AD1299">
        <v>2.001136786813273</v>
      </c>
      <c r="AE1299">
        <v>3600</v>
      </c>
      <c r="AF1299">
        <v>200000</v>
      </c>
      <c r="AG1299">
        <v>16666.666666666668</v>
      </c>
      <c r="AH1299">
        <v>1</v>
      </c>
      <c r="AI1299">
        <v>1</v>
      </c>
      <c r="AJ1299" t="s">
        <v>136</v>
      </c>
      <c r="AK1299" t="s">
        <v>137</v>
      </c>
      <c r="AL1299">
        <v>0</v>
      </c>
      <c r="AM1299" t="s">
        <v>137</v>
      </c>
      <c r="AN1299">
        <v>0</v>
      </c>
    </row>
    <row r="1300" spans="1:42" ht="12.75">
      <c r="A1300" s="2" t="str">
        <f>HYPERLINK("https://ibp.a2mac1.com/costing(costing:projects/details/8191/process/6975531)","Steam facility")</f>
        <v>Steam facility</v>
      </c>
      <c r="C1300">
        <v>6975531</v>
      </c>
      <c r="D1300">
        <v>5388651</v>
      </c>
      <c r="E1300">
        <v>0</v>
      </c>
      <c r="F1300">
        <v>0</v>
      </c>
      <c r="G1300">
        <v>0</v>
      </c>
      <c r="H1300">
        <v>0</v>
      </c>
      <c r="I1300" t="s">
        <v>137</v>
      </c>
      <c r="J1300">
        <v>0</v>
      </c>
      <c r="K1300">
        <v>0</v>
      </c>
      <c r="L1300">
        <v>0.0030681108030160731</v>
      </c>
      <c r="M1300">
        <v>0.018408664818096439</v>
      </c>
      <c r="N1300">
        <v>0.018408664818096439</v>
      </c>
      <c r="O1300" t="s">
        <v>138</v>
      </c>
      <c r="P1300">
        <v>0</v>
      </c>
      <c r="Q1300" t="s">
        <v>138</v>
      </c>
      <c r="R1300">
        <v>0.0011045198890857863</v>
      </c>
      <c r="S1300" t="s">
        <v>139</v>
      </c>
      <c r="T1300">
        <v>0.0022090397781715726</v>
      </c>
      <c r="U1300">
        <v>0.021722224485353797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120</v>
      </c>
      <c r="AB1300">
        <v>36</v>
      </c>
      <c r="AC1300">
        <v>1</v>
      </c>
      <c r="AD1300">
        <v>1.0057812623742775</v>
      </c>
      <c r="AE1300">
        <v>3600</v>
      </c>
      <c r="AF1300">
        <v>200000</v>
      </c>
      <c r="AG1300">
        <v>16666.666666666668</v>
      </c>
      <c r="AH1300">
        <v>1</v>
      </c>
      <c r="AI1300">
        <v>1</v>
      </c>
      <c r="AJ1300" t="s">
        <v>136</v>
      </c>
      <c r="AK1300" t="s">
        <v>137</v>
      </c>
      <c r="AL1300">
        <v>0</v>
      </c>
      <c r="AM1300" t="s">
        <v>137</v>
      </c>
      <c r="AN1300">
        <v>0</v>
      </c>
    </row>
    <row r="1301" spans="1:42" ht="12.75">
      <c r="A1301" s="2" t="str">
        <f>HYPERLINK("https://ibp.a2mac1.com/costing(costing:projects/details/8191/process/6975532)","Process")</f>
        <v>Process</v>
      </c>
      <c r="C1301">
        <v>6975532</v>
      </c>
      <c r="D1301">
        <v>5388652</v>
      </c>
      <c r="E1301">
        <v>10.407038180000001</v>
      </c>
      <c r="F1301">
        <v>0</v>
      </c>
      <c r="G1301">
        <v>0</v>
      </c>
      <c r="H1301">
        <v>0.052659613190800002</v>
      </c>
      <c r="I1301" t="s">
        <v>137</v>
      </c>
      <c r="J1301">
        <v>0.36424633629999997</v>
      </c>
      <c r="K1301">
        <v>10.823944129490799</v>
      </c>
      <c r="L1301">
        <v>5.2123053143011404</v>
      </c>
      <c r="M1301">
        <v>31.273831885806846</v>
      </c>
      <c r="N1301">
        <v>42.097776015297647</v>
      </c>
      <c r="O1301" t="s">
        <v>138</v>
      </c>
      <c r="P1301">
        <v>0.64943664776944798</v>
      </c>
      <c r="Q1301" t="s">
        <v>138</v>
      </c>
      <c r="R1301">
        <v>1.8764299131484106</v>
      </c>
      <c r="S1301" t="s">
        <v>139</v>
      </c>
      <c r="T1301">
        <v>5.0517331218357171</v>
      </c>
      <c r="U1301">
        <v>49.675375698051219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2950</v>
      </c>
      <c r="AB1301">
        <v>1</v>
      </c>
      <c r="AC1301">
        <v>0.50</v>
      </c>
      <c r="AD1301">
        <v>0.50345253019720215</v>
      </c>
      <c r="AE1301">
        <v>10800</v>
      </c>
      <c r="AF1301">
        <v>200000</v>
      </c>
      <c r="AG1301">
        <v>16666.666666666668</v>
      </c>
      <c r="AH1301">
        <v>1</v>
      </c>
      <c r="AI1301">
        <v>1</v>
      </c>
      <c r="AJ1301" t="s">
        <v>136</v>
      </c>
      <c r="AK1301" t="s">
        <v>137</v>
      </c>
      <c r="AL1301">
        <v>0</v>
      </c>
      <c r="AM1301" t="s">
        <v>137</v>
      </c>
      <c r="AN1301">
        <v>0</v>
      </c>
    </row>
    <row r="1302" spans="1:42" ht="12.75">
      <c r="A1302" s="2" t="str">
        <f>HYPERLINK("https://ibp.a2mac1.com/costing(costing:projects/details/8191/process/6975533)","Automated Process")</f>
        <v>Automated Process</v>
      </c>
      <c r="C1302">
        <v>6975533</v>
      </c>
      <c r="D1302">
        <v>5388653</v>
      </c>
      <c r="E1302">
        <v>0.15383888100000001</v>
      </c>
      <c r="F1302">
        <v>0</v>
      </c>
      <c r="G1302">
        <v>0</v>
      </c>
      <c r="H1302">
        <v>0.00078037567705263155</v>
      </c>
      <c r="I1302" t="s">
        <v>137</v>
      </c>
      <c r="J1302">
        <v>0.0053978554736842108</v>
      </c>
      <c r="K1302">
        <v>0.16001711215073683</v>
      </c>
      <c r="L1302">
        <v>0.0032033547187529359</v>
      </c>
      <c r="M1302">
        <v>0.019220128312517615</v>
      </c>
      <c r="N1302">
        <v>0.17923724046325445</v>
      </c>
      <c r="O1302" t="s">
        <v>138</v>
      </c>
      <c r="P1302">
        <v>0.0096010267290442108</v>
      </c>
      <c r="Q1302" t="s">
        <v>138</v>
      </c>
      <c r="R1302">
        <v>0.0011532076987510571</v>
      </c>
      <c r="S1302" t="s">
        <v>139</v>
      </c>
      <c r="T1302">
        <v>0.021508468855590535</v>
      </c>
      <c r="U1302">
        <v>0.21149994374664027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60</v>
      </c>
      <c r="AB1302">
        <v>1</v>
      </c>
      <c r="AC1302">
        <v>0.50</v>
      </c>
      <c r="AD1302">
        <v>0.50345253019720215</v>
      </c>
      <c r="AE1302">
        <v>186.30</v>
      </c>
      <c r="AF1302">
        <v>200000</v>
      </c>
      <c r="AG1302">
        <v>16666.666666666668</v>
      </c>
      <c r="AH1302">
        <v>1</v>
      </c>
      <c r="AI1302">
        <v>1</v>
      </c>
      <c r="AJ1302" t="s">
        <v>136</v>
      </c>
      <c r="AK1302" t="s">
        <v>137</v>
      </c>
      <c r="AL1302">
        <v>0</v>
      </c>
      <c r="AM1302" t="s">
        <v>137</v>
      </c>
      <c r="AN1302">
        <v>0</v>
      </c>
    </row>
    <row r="1303" spans="1:42" ht="12.75">
      <c r="A1303" s="2" t="str">
        <f>HYPERLINK("https://ibp.a2mac1.com/costing(costing:projects/details/8191/process/6975534)","Automated Process")</f>
        <v>Automated Process</v>
      </c>
      <c r="C1303">
        <v>6975534</v>
      </c>
      <c r="D1303">
        <v>5388654</v>
      </c>
      <c r="E1303">
        <v>0.15383888100000001</v>
      </c>
      <c r="F1303">
        <v>0</v>
      </c>
      <c r="G1303">
        <v>0</v>
      </c>
      <c r="H1303">
        <v>0.00078037567705263155</v>
      </c>
      <c r="I1303" t="s">
        <v>137</v>
      </c>
      <c r="J1303">
        <v>0.0053978554736842108</v>
      </c>
      <c r="K1303">
        <v>0.16001711215073683</v>
      </c>
      <c r="L1303">
        <v>0.0032033547187529359</v>
      </c>
      <c r="M1303">
        <v>0.019220128312517615</v>
      </c>
      <c r="N1303">
        <v>0.17923724046325445</v>
      </c>
      <c r="O1303" t="s">
        <v>90</v>
      </c>
      <c r="P1303">
        <v>0</v>
      </c>
      <c r="Q1303" t="s">
        <v>90</v>
      </c>
      <c r="R1303">
        <v>0</v>
      </c>
      <c r="S1303" t="s">
        <v>90</v>
      </c>
      <c r="T1303">
        <v>0</v>
      </c>
      <c r="U1303">
        <v>0.17923724046325445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60</v>
      </c>
      <c r="AB1303">
        <v>1</v>
      </c>
      <c r="AC1303">
        <v>0.50</v>
      </c>
      <c r="AD1303">
        <v>0.50345253019720215</v>
      </c>
      <c r="AE1303">
        <v>186.30</v>
      </c>
      <c r="AF1303">
        <v>200000</v>
      </c>
      <c r="AG1303">
        <v>16666.666666666668</v>
      </c>
      <c r="AH1303">
        <v>1</v>
      </c>
      <c r="AI1303">
        <v>1</v>
      </c>
      <c r="AJ1303" t="s">
        <v>136</v>
      </c>
      <c r="AK1303" t="s">
        <v>137</v>
      </c>
      <c r="AL1303">
        <v>0</v>
      </c>
      <c r="AM1303" t="s">
        <v>137</v>
      </c>
      <c r="AN1303">
        <v>0</v>
      </c>
    </row>
    <row r="1304" spans="1:42" ht="12.75">
      <c r="A1304" s="2" t="str">
        <f>HYPERLINK("https://ibp.a2mac1.com/costing(costing:projects/details/8191/process/6975769)","Automated Process")</f>
        <v>Automated Process</v>
      </c>
      <c r="C1304">
        <v>6975769</v>
      </c>
      <c r="D1304">
        <v>5388983</v>
      </c>
      <c r="E1304">
        <v>0.71139640950000005</v>
      </c>
      <c r="F1304">
        <v>0</v>
      </c>
      <c r="G1304">
        <v>0</v>
      </c>
      <c r="H1304">
        <v>0.0036086875509473686</v>
      </c>
      <c r="I1304" t="s">
        <v>137</v>
      </c>
      <c r="J1304">
        <v>0.02496127752631579</v>
      </c>
      <c r="K1304">
        <v>0.73996637457726311</v>
      </c>
      <c r="L1304">
        <v>0.021051114070572863</v>
      </c>
      <c r="M1304">
        <v>0.12630668442343718</v>
      </c>
      <c r="N1304">
        <v>0.86627305900070029</v>
      </c>
      <c r="O1304" t="s">
        <v>90</v>
      </c>
      <c r="P1304">
        <v>0</v>
      </c>
      <c r="Q1304" t="s">
        <v>90</v>
      </c>
      <c r="R1304">
        <v>0</v>
      </c>
      <c r="S1304" t="s">
        <v>90</v>
      </c>
      <c r="T1304">
        <v>0</v>
      </c>
      <c r="U1304">
        <v>0.86627305900070029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60</v>
      </c>
      <c r="AB1304">
        <v>1</v>
      </c>
      <c r="AC1304">
        <v>0.50</v>
      </c>
      <c r="AD1304">
        <v>0.50345253019720215</v>
      </c>
      <c r="AE1304">
        <v>1223.10</v>
      </c>
      <c r="AF1304">
        <v>200000</v>
      </c>
      <c r="AG1304">
        <v>16666.666666666668</v>
      </c>
      <c r="AH1304">
        <v>1</v>
      </c>
      <c r="AI1304">
        <v>1</v>
      </c>
      <c r="AJ1304" t="s">
        <v>136</v>
      </c>
      <c r="AK1304" t="s">
        <v>137</v>
      </c>
      <c r="AL1304">
        <v>0</v>
      </c>
      <c r="AM1304" t="s">
        <v>137</v>
      </c>
      <c r="AN1304">
        <v>0</v>
      </c>
    </row>
    <row r="1305" spans="1:42" ht="12.75">
      <c r="A1305" s="2" t="str">
        <f>HYPERLINK("https://ibp.a2mac1.com/costing(costing:projects/details/8191/process/6975770)","Automated Process")</f>
        <v>Automated Process</v>
      </c>
      <c r="C1305">
        <v>6975770</v>
      </c>
      <c r="D1305">
        <v>5388984</v>
      </c>
      <c r="E1305">
        <v>2.3760325994999998</v>
      </c>
      <c r="F1305">
        <v>0</v>
      </c>
      <c r="G1305">
        <v>0</v>
      </c>
      <c r="H1305">
        <v>0.012052857096210526</v>
      </c>
      <c r="I1305" t="s">
        <v>137</v>
      </c>
      <c r="J1305">
        <v>0.083369564894736847</v>
      </c>
      <c r="K1305">
        <v>2.4714550214909474</v>
      </c>
      <c r="L1305">
        <v>0.070497817168297811</v>
      </c>
      <c r="M1305">
        <v>0.42298690300978686</v>
      </c>
      <c r="N1305">
        <v>2.8944419245007342</v>
      </c>
      <c r="O1305" t="s">
        <v>90</v>
      </c>
      <c r="P1305">
        <v>0</v>
      </c>
      <c r="Q1305" t="s">
        <v>90</v>
      </c>
      <c r="R1305">
        <v>0</v>
      </c>
      <c r="S1305" t="s">
        <v>90</v>
      </c>
      <c r="T1305">
        <v>0</v>
      </c>
      <c r="U1305">
        <v>2.8944419245007342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60</v>
      </c>
      <c r="AB1305">
        <v>1</v>
      </c>
      <c r="AC1305">
        <v>0.50</v>
      </c>
      <c r="AD1305">
        <v>0.50345253019720215</v>
      </c>
      <c r="AE1305">
        <v>4085.10</v>
      </c>
      <c r="AF1305">
        <v>200000</v>
      </c>
      <c r="AG1305">
        <v>16666.666666666668</v>
      </c>
      <c r="AH1305">
        <v>1</v>
      </c>
      <c r="AI1305">
        <v>1</v>
      </c>
      <c r="AJ1305" t="s">
        <v>136</v>
      </c>
      <c r="AK1305" t="s">
        <v>137</v>
      </c>
      <c r="AL1305">
        <v>0</v>
      </c>
      <c r="AM1305" t="s">
        <v>137</v>
      </c>
      <c r="AN1305">
        <v>0</v>
      </c>
    </row>
    <row r="1306" spans="1:42" ht="12.75">
      <c r="A1306" s="2" t="str">
        <f>HYPERLINK("https://ibp.a2mac1.com/costing(costing:projects/details/8191/process/6975535)","Injection molding")</f>
        <v>Injection molding</v>
      </c>
      <c r="B1306" t="s">
        <v>7412</v>
      </c>
      <c r="C1306">
        <v>6975535</v>
      </c>
      <c r="D1306">
        <v>5388655</v>
      </c>
      <c r="E1306">
        <v>3.0062496311383775</v>
      </c>
      <c r="F1306">
        <v>0</v>
      </c>
      <c r="G1306">
        <v>0</v>
      </c>
      <c r="H1306">
        <v>0.0031295678446988553</v>
      </c>
      <c r="I1306" t="s">
        <v>137</v>
      </c>
      <c r="J1306">
        <v>0.10532199477351917</v>
      </c>
      <c r="K1306">
        <v>3.1147011937565954</v>
      </c>
      <c r="L1306">
        <v>0.25948848788273648</v>
      </c>
      <c r="M1306">
        <v>1.5569309272964189</v>
      </c>
      <c r="N1306">
        <v>4.6716321210530145</v>
      </c>
      <c r="O1306" t="s">
        <v>90</v>
      </c>
      <c r="P1306">
        <v>0</v>
      </c>
      <c r="Q1306" t="s">
        <v>90</v>
      </c>
      <c r="R1306">
        <v>0</v>
      </c>
      <c r="S1306" t="s">
        <v>90</v>
      </c>
      <c r="T1306">
        <v>0</v>
      </c>
      <c r="U1306">
        <v>4.6716321210530145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44.668280000000003</v>
      </c>
      <c r="AB1306">
        <v>1</v>
      </c>
      <c r="AC1306">
        <v>0.10</v>
      </c>
      <c r="AD1306">
        <v>0.10389195236953569</v>
      </c>
      <c r="AE1306">
        <v>21600</v>
      </c>
      <c r="AF1306">
        <v>200000</v>
      </c>
      <c r="AG1306">
        <v>16666.666666666668</v>
      </c>
      <c r="AH1306">
        <v>1</v>
      </c>
      <c r="AI1306">
        <v>1</v>
      </c>
      <c r="AJ1306" t="s">
        <v>136</v>
      </c>
      <c r="AK1306" t="s">
        <v>137</v>
      </c>
      <c r="AL1306">
        <v>0</v>
      </c>
      <c r="AM1306" t="s">
        <v>137</v>
      </c>
      <c r="AN1306">
        <v>0</v>
      </c>
    </row>
    <row r="1307" spans="1:42" ht="12.75">
      <c r="A1307" s="2" t="str">
        <f>HYPERLINK("https://ibp.a2mac1.com/costing(costing:projects/details/8191/process/6975536)","Automated Process")</f>
        <v>Automated Process</v>
      </c>
      <c r="C1307">
        <v>6975536</v>
      </c>
      <c r="D1307">
        <v>5388656</v>
      </c>
      <c r="E1307">
        <v>1.2893078415000001</v>
      </c>
      <c r="F1307">
        <v>0</v>
      </c>
      <c r="G1307">
        <v>0</v>
      </c>
      <c r="H1307">
        <v>0.0065402482987368419</v>
      </c>
      <c r="I1307" t="s">
        <v>137</v>
      </c>
      <c r="J1307">
        <v>0.045238871631578949</v>
      </c>
      <c r="K1307">
        <v>1.3410869614303158</v>
      </c>
      <c r="L1307">
        <v>0.18956318178066328</v>
      </c>
      <c r="M1307">
        <v>1.1373790906839798</v>
      </c>
      <c r="N1307">
        <v>2.4784660521142956</v>
      </c>
      <c r="O1307" t="s">
        <v>90</v>
      </c>
      <c r="P1307">
        <v>0</v>
      </c>
      <c r="Q1307" t="s">
        <v>90</v>
      </c>
      <c r="R1307">
        <v>0</v>
      </c>
      <c r="S1307" t="s">
        <v>90</v>
      </c>
      <c r="T1307">
        <v>0</v>
      </c>
      <c r="U1307">
        <v>2.4784660521142956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106</v>
      </c>
      <c r="AB1307">
        <v>1</v>
      </c>
      <c r="AC1307">
        <v>0.50</v>
      </c>
      <c r="AD1307">
        <v>0.50345253019720215</v>
      </c>
      <c r="AE1307">
        <v>10800</v>
      </c>
      <c r="AF1307">
        <v>200000</v>
      </c>
      <c r="AG1307">
        <v>16666.666666666668</v>
      </c>
      <c r="AH1307">
        <v>1</v>
      </c>
      <c r="AI1307">
        <v>1</v>
      </c>
      <c r="AJ1307" t="s">
        <v>136</v>
      </c>
      <c r="AK1307" t="s">
        <v>137</v>
      </c>
      <c r="AL1307">
        <v>0</v>
      </c>
      <c r="AM1307" t="s">
        <v>137</v>
      </c>
      <c r="AN1307">
        <v>0</v>
      </c>
    </row>
    <row r="1308" spans="1:42" ht="12.75">
      <c r="A1308" s="2" t="str">
        <f>HYPERLINK("https://ibp.a2mac1.com/costing(costing:projects/details/8191/process/6975537)","Automated Process")</f>
        <v>Automated Process</v>
      </c>
      <c r="C1308">
        <v>6975537</v>
      </c>
      <c r="D1308">
        <v>5388657</v>
      </c>
      <c r="E1308">
        <v>1.2971598989999999</v>
      </c>
      <c r="F1308">
        <v>0</v>
      </c>
      <c r="G1308">
        <v>0</v>
      </c>
      <c r="H1308">
        <v>0.0065800792871578946</v>
      </c>
      <c r="I1308" t="s">
        <v>137</v>
      </c>
      <c r="J1308">
        <v>0.045514382421052629</v>
      </c>
      <c r="K1308">
        <v>1.3492543607082106</v>
      </c>
      <c r="L1308">
        <v>0.18956318178066328</v>
      </c>
      <c r="M1308">
        <v>1.1373790906839798</v>
      </c>
      <c r="N1308">
        <v>2.4866334513921902</v>
      </c>
      <c r="O1308" t="s">
        <v>90</v>
      </c>
      <c r="P1308">
        <v>0</v>
      </c>
      <c r="Q1308" t="s">
        <v>90</v>
      </c>
      <c r="R1308">
        <v>0</v>
      </c>
      <c r="S1308" t="s">
        <v>90</v>
      </c>
      <c r="T1308">
        <v>0</v>
      </c>
      <c r="U1308">
        <v>2.4866334513921902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106</v>
      </c>
      <c r="AB1308">
        <v>1</v>
      </c>
      <c r="AC1308">
        <v>0.50</v>
      </c>
      <c r="AD1308">
        <v>0.50345253019720215</v>
      </c>
      <c r="AE1308">
        <v>10800</v>
      </c>
      <c r="AF1308">
        <v>200000</v>
      </c>
      <c r="AG1308">
        <v>16666.666666666668</v>
      </c>
      <c r="AH1308">
        <v>1</v>
      </c>
      <c r="AI1308">
        <v>1</v>
      </c>
      <c r="AJ1308" t="s">
        <v>136</v>
      </c>
      <c r="AK1308" t="s">
        <v>137</v>
      </c>
      <c r="AL1308">
        <v>0</v>
      </c>
      <c r="AM1308" t="s">
        <v>137</v>
      </c>
      <c r="AN1308">
        <v>0</v>
      </c>
    </row>
    <row r="1309" spans="1:42" ht="12.75">
      <c r="A1309" s="2" t="str">
        <f>HYPERLINK("https://ibp.a2mac1.com/costing(costing:projects/details/8191/process/6975538)","Automated Process")</f>
        <v>Automated Process</v>
      </c>
      <c r="C1309">
        <v>6975538</v>
      </c>
      <c r="D1309">
        <v>5388658</v>
      </c>
      <c r="E1309">
        <v>0.0078520575000000006</v>
      </c>
      <c r="F1309">
        <v>0</v>
      </c>
      <c r="G1309">
        <v>0</v>
      </c>
      <c r="H1309">
        <v>3.983098842105263E-05</v>
      </c>
      <c r="I1309" t="s">
        <v>137</v>
      </c>
      <c r="J1309">
        <v>0.0002755107894736842</v>
      </c>
      <c r="K1309">
        <v>0.0081673992778947373</v>
      </c>
      <c r="L1309">
        <v>0.00023208963704919518</v>
      </c>
      <c r="M1309">
        <v>0.0013925378222951711</v>
      </c>
      <c r="N1309">
        <v>0.0095599371001899077</v>
      </c>
      <c r="O1309" t="s">
        <v>90</v>
      </c>
      <c r="P1309">
        <v>0</v>
      </c>
      <c r="Q1309" t="s">
        <v>90</v>
      </c>
      <c r="R1309">
        <v>0</v>
      </c>
      <c r="S1309" t="s">
        <v>90</v>
      </c>
      <c r="T1309">
        <v>0</v>
      </c>
      <c r="U1309">
        <v>0.0095599371001899077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60</v>
      </c>
      <c r="AB1309">
        <v>1</v>
      </c>
      <c r="AC1309">
        <v>0.50</v>
      </c>
      <c r="AD1309">
        <v>0.50345253019720215</v>
      </c>
      <c r="AE1309">
        <v>13.50</v>
      </c>
      <c r="AF1309">
        <v>200000</v>
      </c>
      <c r="AG1309">
        <v>16666.666666666668</v>
      </c>
      <c r="AH1309">
        <v>1</v>
      </c>
      <c r="AI1309">
        <v>1</v>
      </c>
      <c r="AJ1309" t="s">
        <v>136</v>
      </c>
      <c r="AK1309" t="s">
        <v>137</v>
      </c>
      <c r="AL1309">
        <v>0</v>
      </c>
      <c r="AM1309" t="s">
        <v>137</v>
      </c>
      <c r="AN1309">
        <v>0</v>
      </c>
    </row>
    <row r="1310" spans="1:42" ht="12.75">
      <c r="A1310" s="2" t="str">
        <f>HYPERLINK("https://ibp.a2mac1.com/costing(costing:projects/details/8191/process/6975539)","Automated Process")</f>
        <v>Automated Process</v>
      </c>
      <c r="C1310">
        <v>6975539</v>
      </c>
      <c r="D1310">
        <v>5388659</v>
      </c>
      <c r="E1310">
        <v>0.0033180842105263158</v>
      </c>
      <c r="F1310">
        <v>0</v>
      </c>
      <c r="G1310">
        <v>0</v>
      </c>
      <c r="H1310">
        <v>1.6789506105263158E-05</v>
      </c>
      <c r="I1310" t="s">
        <v>137</v>
      </c>
      <c r="J1310">
        <v>0.00011613294736842105</v>
      </c>
      <c r="K1310">
        <v>0.0034510066639999999</v>
      </c>
      <c r="L1310">
        <v>9.2835151385610077E-05</v>
      </c>
      <c r="M1310">
        <v>0.00055701090831366043</v>
      </c>
      <c r="N1310">
        <v>0.0040080175723136609</v>
      </c>
      <c r="O1310" t="s">
        <v>90</v>
      </c>
      <c r="P1310">
        <v>0</v>
      </c>
      <c r="Q1310" t="s">
        <v>90</v>
      </c>
      <c r="R1310">
        <v>0</v>
      </c>
      <c r="S1310" t="s">
        <v>90</v>
      </c>
      <c r="T1310">
        <v>0</v>
      </c>
      <c r="U1310">
        <v>0.0040080175723136609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60</v>
      </c>
      <c r="AB1310">
        <v>1</v>
      </c>
      <c r="AC1310">
        <v>0.50</v>
      </c>
      <c r="AD1310">
        <v>0.50345253019720215</v>
      </c>
      <c r="AE1310">
        <v>5.40</v>
      </c>
      <c r="AF1310">
        <v>200000</v>
      </c>
      <c r="AG1310">
        <v>16666.666666666668</v>
      </c>
      <c r="AH1310">
        <v>1</v>
      </c>
      <c r="AI1310">
        <v>1</v>
      </c>
      <c r="AJ1310" t="s">
        <v>136</v>
      </c>
      <c r="AK1310" t="s">
        <v>137</v>
      </c>
      <c r="AL1310">
        <v>0</v>
      </c>
      <c r="AM1310" t="s">
        <v>137</v>
      </c>
      <c r="AN1310">
        <v>0</v>
      </c>
    </row>
    <row r="1311" spans="1:42" ht="12.75">
      <c r="A1311" s="2" t="str">
        <f>HYPERLINK("https://ibp.a2mac1.com/costing(costing:projects/details/8191/process/6975540)","Automated Process")</f>
        <v>Automated Process</v>
      </c>
      <c r="C1311">
        <v>6975540</v>
      </c>
      <c r="D1311">
        <v>5388663</v>
      </c>
      <c r="E1311">
        <v>0.48158258399999998</v>
      </c>
      <c r="F1311">
        <v>0</v>
      </c>
      <c r="G1311">
        <v>0</v>
      </c>
      <c r="H1311">
        <v>0.0024429151629473686</v>
      </c>
      <c r="I1311" t="s">
        <v>137</v>
      </c>
      <c r="J1311">
        <v>0.016897634526315788</v>
      </c>
      <c r="K1311">
        <v>0.50092313368926311</v>
      </c>
      <c r="L1311">
        <v>0.010031615605705703</v>
      </c>
      <c r="M1311">
        <v>0.060189693634234223</v>
      </c>
      <c r="N1311">
        <v>0.56111282732349743</v>
      </c>
      <c r="O1311" t="s">
        <v>138</v>
      </c>
      <c r="P1311">
        <v>0.030055388021355791</v>
      </c>
      <c r="Q1311" t="s">
        <v>138</v>
      </c>
      <c r="R1311">
        <v>0.0036113816180540531</v>
      </c>
      <c r="S1311" t="s">
        <v>139</v>
      </c>
      <c r="T1311">
        <v>0.067333539278819687</v>
      </c>
      <c r="U1311">
        <v>0.66211313624172685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60</v>
      </c>
      <c r="AB1311">
        <v>1</v>
      </c>
      <c r="AC1311">
        <v>0.50</v>
      </c>
      <c r="AD1311">
        <v>0.50345253019720215</v>
      </c>
      <c r="AE1311">
        <v>583.20</v>
      </c>
      <c r="AF1311">
        <v>200000</v>
      </c>
      <c r="AG1311">
        <v>16666.666666666668</v>
      </c>
      <c r="AH1311">
        <v>1</v>
      </c>
      <c r="AI1311">
        <v>1</v>
      </c>
      <c r="AJ1311" t="s">
        <v>136</v>
      </c>
      <c r="AK1311" t="s">
        <v>137</v>
      </c>
      <c r="AL1311">
        <v>0</v>
      </c>
      <c r="AM1311" t="s">
        <v>137</v>
      </c>
      <c r="AN1311">
        <v>0</v>
      </c>
    </row>
    <row r="1312" spans="1:42" ht="12.75">
      <c r="A1312" s="2" t="str">
        <f>HYPERLINK("https://ibp.a2mac1.com/costing(costing:projects/details/8191/process/6975541)","Automated Process")</f>
        <v>Automated Process</v>
      </c>
      <c r="C1312">
        <v>6975541</v>
      </c>
      <c r="D1312">
        <v>5388664</v>
      </c>
      <c r="E1312">
        <v>0.47043483899999999</v>
      </c>
      <c r="F1312">
        <v>0</v>
      </c>
      <c r="G1312">
        <v>0</v>
      </c>
      <c r="H1312">
        <v>0.0023863662008421051</v>
      </c>
      <c r="I1312" t="s">
        <v>137</v>
      </c>
      <c r="J1312">
        <v>0.016506485578947367</v>
      </c>
      <c r="K1312">
        <v>0.48932769077978949</v>
      </c>
      <c r="L1312">
        <v>0.0097992785943425975</v>
      </c>
      <c r="M1312">
        <v>0.058795671566055585</v>
      </c>
      <c r="N1312">
        <v>0.54812336234584502</v>
      </c>
      <c r="O1312" t="s">
        <v>138</v>
      </c>
      <c r="P1312">
        <v>0.02935966144678737</v>
      </c>
      <c r="Q1312" t="s">
        <v>138</v>
      </c>
      <c r="R1312">
        <v>0.0035277402939633351</v>
      </c>
      <c r="S1312" t="s">
        <v>139</v>
      </c>
      <c r="T1312">
        <v>0.065774803481501401</v>
      </c>
      <c r="U1312">
        <v>0.64678556756809713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60</v>
      </c>
      <c r="AB1312">
        <v>1</v>
      </c>
      <c r="AC1312">
        <v>0.50</v>
      </c>
      <c r="AD1312">
        <v>0.50345253019720215</v>
      </c>
      <c r="AE1312">
        <v>569.70</v>
      </c>
      <c r="AF1312">
        <v>200000</v>
      </c>
      <c r="AG1312">
        <v>16666.666666666668</v>
      </c>
      <c r="AH1312">
        <v>1</v>
      </c>
      <c r="AI1312">
        <v>1</v>
      </c>
      <c r="AJ1312" t="s">
        <v>136</v>
      </c>
      <c r="AK1312" t="s">
        <v>137</v>
      </c>
      <c r="AL1312">
        <v>0</v>
      </c>
      <c r="AM1312" t="s">
        <v>137</v>
      </c>
      <c r="AN1312">
        <v>0</v>
      </c>
    </row>
    <row r="1313" spans="1:42" ht="12.75">
      <c r="A1313" s="2" t="str">
        <f>HYPERLINK("https://ibp.a2mac1.com/costing(costing:projects/details/8191/process/6975542)","Automated Process")</f>
        <v>Automated Process</v>
      </c>
      <c r="C1313">
        <v>6975542</v>
      </c>
      <c r="D1313">
        <v>5388665</v>
      </c>
      <c r="E1313">
        <v>0.34112099699999998</v>
      </c>
      <c r="F1313">
        <v>0</v>
      </c>
      <c r="G1313">
        <v>0</v>
      </c>
      <c r="H1313">
        <v>0.0017303982404210526</v>
      </c>
      <c r="I1313" t="s">
        <v>137</v>
      </c>
      <c r="J1313">
        <v>0.011969157789473684</v>
      </c>
      <c r="K1313">
        <v>0.35482055302989474</v>
      </c>
      <c r="L1313">
        <v>0.0071045976538779768</v>
      </c>
      <c r="M1313">
        <v>0.042627585923267861</v>
      </c>
      <c r="N1313">
        <v>0.39744813895316261</v>
      </c>
      <c r="O1313" t="s">
        <v>138</v>
      </c>
      <c r="P1313">
        <v>0.021289233181793685</v>
      </c>
      <c r="Q1313" t="s">
        <v>138</v>
      </c>
      <c r="R1313">
        <v>0.0025576551553960717</v>
      </c>
      <c r="S1313" t="s">
        <v>139</v>
      </c>
      <c r="T1313">
        <v>0.047693776674379511</v>
      </c>
      <c r="U1313">
        <v>0.46898880396473186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60</v>
      </c>
      <c r="AB1313">
        <v>1</v>
      </c>
      <c r="AC1313">
        <v>0.50</v>
      </c>
      <c r="AD1313">
        <v>0.50345253019720215</v>
      </c>
      <c r="AE1313">
        <v>413.10</v>
      </c>
      <c r="AF1313">
        <v>200000</v>
      </c>
      <c r="AG1313">
        <v>16666.666666666668</v>
      </c>
      <c r="AH1313">
        <v>1</v>
      </c>
      <c r="AI1313">
        <v>1</v>
      </c>
      <c r="AJ1313" t="s">
        <v>136</v>
      </c>
      <c r="AK1313" t="s">
        <v>137</v>
      </c>
      <c r="AL1313">
        <v>0</v>
      </c>
      <c r="AM1313" t="s">
        <v>137</v>
      </c>
      <c r="AN1313">
        <v>0</v>
      </c>
    </row>
    <row r="1314" spans="1:42" ht="12.75">
      <c r="A1314" s="2" t="str">
        <f>HYPERLINK("https://ibp.a2mac1.com/costing(costing:projects/details/8191/process/6975543)","Automated Process")</f>
        <v>Automated Process</v>
      </c>
      <c r="C1314">
        <v>6975543</v>
      </c>
      <c r="D1314">
        <v>5388666</v>
      </c>
      <c r="E1314">
        <v>0.33889144799999998</v>
      </c>
      <c r="F1314">
        <v>0</v>
      </c>
      <c r="G1314">
        <v>0</v>
      </c>
      <c r="H1314">
        <v>0.0017190884480000001</v>
      </c>
      <c r="I1314" t="s">
        <v>137</v>
      </c>
      <c r="J1314">
        <v>0.011890928</v>
      </c>
      <c r="K1314">
        <v>0.35250146444800001</v>
      </c>
      <c r="L1314">
        <v>0.0070581445547647382</v>
      </c>
      <c r="M1314">
        <v>0.042348867328588426</v>
      </c>
      <c r="N1314">
        <v>0.3948503317765884</v>
      </c>
      <c r="O1314" t="s">
        <v>90</v>
      </c>
      <c r="P1314">
        <v>0</v>
      </c>
      <c r="Q1314" t="s">
        <v>90</v>
      </c>
      <c r="R1314">
        <v>0</v>
      </c>
      <c r="S1314" t="s">
        <v>90</v>
      </c>
      <c r="T1314">
        <v>0</v>
      </c>
      <c r="U1314">
        <v>0.3948503317765884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60</v>
      </c>
      <c r="AB1314">
        <v>1</v>
      </c>
      <c r="AC1314">
        <v>0.50</v>
      </c>
      <c r="AD1314">
        <v>0.50345253019720215</v>
      </c>
      <c r="AE1314">
        <v>410.40</v>
      </c>
      <c r="AF1314">
        <v>200000</v>
      </c>
      <c r="AG1314">
        <v>16666.666666666668</v>
      </c>
      <c r="AH1314">
        <v>1</v>
      </c>
      <c r="AI1314">
        <v>1</v>
      </c>
      <c r="AJ1314" t="s">
        <v>136</v>
      </c>
      <c r="AK1314" t="s">
        <v>137</v>
      </c>
      <c r="AL1314">
        <v>0</v>
      </c>
      <c r="AM1314" t="s">
        <v>137</v>
      </c>
      <c r="AN1314">
        <v>0</v>
      </c>
    </row>
    <row r="1315" spans="1:42" ht="12.75">
      <c r="A1315" s="2" t="str">
        <f>HYPERLINK("https://ibp.a2mac1.com/costing(costing:projects/details/8191/process/6975771)","Automated Process")</f>
        <v>Automated Process</v>
      </c>
      <c r="C1315">
        <v>6975771</v>
      </c>
      <c r="D1315">
        <v>5388985</v>
      </c>
      <c r="E1315">
        <v>1.69</v>
      </c>
      <c r="F1315">
        <v>0</v>
      </c>
      <c r="G1315">
        <v>0</v>
      </c>
      <c r="H1315">
        <v>0.0085514000000000007</v>
      </c>
      <c r="I1315" t="s">
        <v>137</v>
      </c>
      <c r="J1315">
        <v>0.059150000000000001</v>
      </c>
      <c r="K1315">
        <v>1.7577014</v>
      </c>
      <c r="L1315">
        <v>0.23679118301002461</v>
      </c>
      <c r="M1315">
        <v>1.4207470980601475</v>
      </c>
      <c r="N1315">
        <v>3.1784484980601477</v>
      </c>
      <c r="O1315" t="s">
        <v>138</v>
      </c>
      <c r="P1315">
        <v>0.105462084</v>
      </c>
      <c r="Q1315" t="s">
        <v>138</v>
      </c>
      <c r="R1315">
        <v>0.085244825883608849</v>
      </c>
      <c r="S1315" t="s">
        <v>139</v>
      </c>
      <c r="T1315">
        <v>0.38141381976721772</v>
      </c>
      <c r="U1315">
        <v>3.7505692277109741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125</v>
      </c>
      <c r="AB1315">
        <v>1</v>
      </c>
      <c r="AC1315">
        <v>0.50</v>
      </c>
      <c r="AD1315">
        <v>0.50345253019720215</v>
      </c>
      <c r="AE1315">
        <v>10800</v>
      </c>
      <c r="AF1315">
        <v>200000</v>
      </c>
      <c r="AG1315">
        <v>16666.666666666668</v>
      </c>
      <c r="AH1315">
        <v>1</v>
      </c>
      <c r="AI1315">
        <v>1</v>
      </c>
      <c r="AJ1315" t="s">
        <v>136</v>
      </c>
      <c r="AK1315" t="s">
        <v>137</v>
      </c>
      <c r="AL1315">
        <v>0</v>
      </c>
      <c r="AM1315" t="s">
        <v>137</v>
      </c>
      <c r="AN1315">
        <v>0</v>
      </c>
    </row>
    <row r="1316" spans="1:42" ht="12.75">
      <c r="A1316" s="2" t="str">
        <f>HYPERLINK("https://ibp.a2mac1.com/costing(costing:projects/details/8191/process/6975772)","Automated Process")</f>
        <v>Automated Process</v>
      </c>
      <c r="C1316">
        <v>6975772</v>
      </c>
      <c r="D1316">
        <v>5388986</v>
      </c>
      <c r="E1316">
        <v>1.69</v>
      </c>
      <c r="F1316">
        <v>0</v>
      </c>
      <c r="G1316">
        <v>0</v>
      </c>
      <c r="H1316">
        <v>0.0085514000000000007</v>
      </c>
      <c r="I1316" t="s">
        <v>137</v>
      </c>
      <c r="J1316">
        <v>0.059150000000000001</v>
      </c>
      <c r="K1316">
        <v>1.7577014</v>
      </c>
      <c r="L1316">
        <v>0.23679118301002461</v>
      </c>
      <c r="M1316">
        <v>1.4207470980601475</v>
      </c>
      <c r="N1316">
        <v>3.1784484980601477</v>
      </c>
      <c r="O1316" t="s">
        <v>138</v>
      </c>
      <c r="P1316">
        <v>0.105462084</v>
      </c>
      <c r="Q1316" t="s">
        <v>138</v>
      </c>
      <c r="R1316">
        <v>0.085244825883608849</v>
      </c>
      <c r="S1316" t="s">
        <v>139</v>
      </c>
      <c r="T1316">
        <v>0.38141381976721772</v>
      </c>
      <c r="U1316">
        <v>3.7505692277109741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125</v>
      </c>
      <c r="AB1316">
        <v>1</v>
      </c>
      <c r="AC1316">
        <v>0.50</v>
      </c>
      <c r="AD1316">
        <v>0.50345253019720215</v>
      </c>
      <c r="AE1316">
        <v>10800</v>
      </c>
      <c r="AF1316">
        <v>200000</v>
      </c>
      <c r="AG1316">
        <v>16666.666666666668</v>
      </c>
      <c r="AH1316">
        <v>1</v>
      </c>
      <c r="AI1316">
        <v>1</v>
      </c>
      <c r="AJ1316" t="s">
        <v>136</v>
      </c>
      <c r="AK1316" t="s">
        <v>137</v>
      </c>
      <c r="AL1316">
        <v>0</v>
      </c>
      <c r="AM1316" t="s">
        <v>137</v>
      </c>
      <c r="AN1316">
        <v>0</v>
      </c>
    </row>
    <row r="1317" spans="1:42" ht="12.75">
      <c r="A1317" s="2" t="str">
        <f>HYPERLINK("https://ibp.a2mac1.com/costing(costing:projects/details/8191/process/6975544)","Automated Process")</f>
        <v>Automated Process</v>
      </c>
      <c r="C1317">
        <v>6975544</v>
      </c>
      <c r="D1317">
        <v>5388667</v>
      </c>
      <c r="E1317">
        <v>0.217956228</v>
      </c>
      <c r="F1317">
        <v>0</v>
      </c>
      <c r="G1317">
        <v>0</v>
      </c>
      <c r="H1317">
        <v>0.0010990674955789475</v>
      </c>
      <c r="I1317" t="s">
        <v>137</v>
      </c>
      <c r="J1317">
        <v>0.0076475869473684212</v>
      </c>
      <c r="K1317">
        <v>0.22670288244294737</v>
      </c>
      <c r="L1317">
        <v>0.0053718607739303564</v>
      </c>
      <c r="M1317">
        <v>0.032231164643582139</v>
      </c>
      <c r="N1317">
        <v>0.25893404708652951</v>
      </c>
      <c r="O1317" t="s">
        <v>138</v>
      </c>
      <c r="P1317">
        <v>0.013602172946576842</v>
      </c>
      <c r="Q1317" t="s">
        <v>138</v>
      </c>
      <c r="R1317">
        <v>0.0019338698786149284</v>
      </c>
      <c r="S1317" t="s">
        <v>139</v>
      </c>
      <c r="T1317">
        <v>0.031072085650383541</v>
      </c>
      <c r="U1317">
        <v>0.30554217556210483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60</v>
      </c>
      <c r="AB1317">
        <v>1</v>
      </c>
      <c r="AC1317">
        <v>0.50</v>
      </c>
      <c r="AD1317">
        <v>0.50048257265952256</v>
      </c>
      <c r="AE1317">
        <v>313.20</v>
      </c>
      <c r="AF1317">
        <v>400000</v>
      </c>
      <c r="AG1317">
        <v>33333.333333333336</v>
      </c>
      <c r="AH1317">
        <v>1</v>
      </c>
      <c r="AI1317">
        <v>1</v>
      </c>
      <c r="AJ1317" t="s">
        <v>136</v>
      </c>
      <c r="AK1317" t="s">
        <v>137</v>
      </c>
      <c r="AL1317">
        <v>0</v>
      </c>
      <c r="AM1317" t="s">
        <v>137</v>
      </c>
      <c r="AN1317">
        <v>0</v>
      </c>
    </row>
    <row r="1318" spans="1:42" ht="12.75">
      <c r="A1318" s="2" t="str">
        <f>HYPERLINK("https://ibp.a2mac1.com/costing(costing:projects/details/8191/process/6975343)","Process")</f>
        <v>Process</v>
      </c>
      <c r="C1318">
        <v>6975343</v>
      </c>
      <c r="D1318">
        <v>5388309</v>
      </c>
      <c r="E1318">
        <v>10.510987200000001</v>
      </c>
      <c r="F1318">
        <v>0</v>
      </c>
      <c r="G1318">
        <v>0</v>
      </c>
      <c r="H1318">
        <v>0.053185595231999998</v>
      </c>
      <c r="I1318" t="s">
        <v>137</v>
      </c>
      <c r="J1318">
        <v>0.36788455199999998</v>
      </c>
      <c r="K1318">
        <v>10.932057347232</v>
      </c>
      <c r="L1318">
        <v>5.3271007568519133</v>
      </c>
      <c r="M1318">
        <v>31.962604541111482</v>
      </c>
      <c r="N1318">
        <v>42.894661888343478</v>
      </c>
      <c r="O1318" t="s">
        <v>138</v>
      </c>
      <c r="P1318">
        <v>0.65592344083391996</v>
      </c>
      <c r="Q1318" t="s">
        <v>138</v>
      </c>
      <c r="R1318">
        <v>1.9177562724666888</v>
      </c>
      <c r="S1318" t="s">
        <v>139</v>
      </c>
      <c r="T1318">
        <v>5.1473594266012181</v>
      </c>
      <c r="U1318">
        <v>50.615701028245311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3015</v>
      </c>
      <c r="AB1318">
        <v>1</v>
      </c>
      <c r="AC1318">
        <v>0.50</v>
      </c>
      <c r="AD1318">
        <v>0.50345253019720215</v>
      </c>
      <c r="AE1318">
        <v>10800</v>
      </c>
      <c r="AF1318">
        <v>200000</v>
      </c>
      <c r="AG1318">
        <v>16666.666666666668</v>
      </c>
      <c r="AH1318">
        <v>1</v>
      </c>
      <c r="AI1318">
        <v>1</v>
      </c>
      <c r="AJ1318" t="s">
        <v>136</v>
      </c>
      <c r="AK1318" t="s">
        <v>137</v>
      </c>
      <c r="AL1318">
        <v>0</v>
      </c>
      <c r="AM1318" t="s">
        <v>137</v>
      </c>
      <c r="AN1318">
        <v>0</v>
      </c>
    </row>
    <row r="1319" spans="1:42" ht="12.75">
      <c r="A1319" s="2" t="str">
        <f>HYPERLINK("https://ibp.a2mac1.com/costing(costing:projects/details/8191/process/6975344)","Process")</f>
        <v>Process</v>
      </c>
      <c r="C1319">
        <v>6975344</v>
      </c>
      <c r="D1319">
        <v>5388313</v>
      </c>
      <c r="E1319">
        <v>0</v>
      </c>
      <c r="F1319">
        <v>0</v>
      </c>
      <c r="G1319">
        <v>0</v>
      </c>
      <c r="H1319">
        <v>0</v>
      </c>
      <c r="I1319" t="s">
        <v>137</v>
      </c>
      <c r="J1319">
        <v>0</v>
      </c>
      <c r="K1319">
        <v>0</v>
      </c>
      <c r="L1319">
        <v>1.9134684218938538</v>
      </c>
      <c r="M1319">
        <v>6.6971394766284886</v>
      </c>
      <c r="N1319">
        <v>6.6971394766284886</v>
      </c>
      <c r="O1319" t="s">
        <v>90</v>
      </c>
      <c r="P1319">
        <v>0</v>
      </c>
      <c r="Q1319" t="s">
        <v>90</v>
      </c>
      <c r="R1319">
        <v>0</v>
      </c>
      <c r="S1319" t="s">
        <v>90</v>
      </c>
      <c r="T1319">
        <v>0</v>
      </c>
      <c r="U1319">
        <v>6.6971394766284886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750</v>
      </c>
      <c r="AB1319">
        <v>1</v>
      </c>
      <c r="AC1319">
        <v>15</v>
      </c>
      <c r="AD1319">
        <v>15.002124946876329</v>
      </c>
      <c r="AE1319">
        <v>216</v>
      </c>
      <c r="AF1319">
        <v>400000</v>
      </c>
      <c r="AG1319">
        <v>20000</v>
      </c>
      <c r="AH1319">
        <v>1</v>
      </c>
      <c r="AI1319">
        <v>1</v>
      </c>
      <c r="AJ1319" t="s">
        <v>79</v>
      </c>
      <c r="AK1319" t="s">
        <v>137</v>
      </c>
      <c r="AL1319">
        <v>0</v>
      </c>
      <c r="AM1319" t="s">
        <v>137</v>
      </c>
      <c r="AN1319">
        <v>0</v>
      </c>
      <c r="AP1319">
        <v>0</v>
      </c>
    </row>
    <row r="1320" spans="1:42" ht="12.75">
      <c r="A1320" s="2" t="str">
        <f>HYPERLINK("https://ibp.a2mac1.com/costing(costing:projects/details/8191/process/6975545)","Automated Process")</f>
        <v>Automated Process</v>
      </c>
      <c r="C1320">
        <v>6975545</v>
      </c>
      <c r="D1320">
        <v>5388670</v>
      </c>
      <c r="E1320">
        <v>0.01601901</v>
      </c>
      <c r="F1320">
        <v>0</v>
      </c>
      <c r="G1320">
        <v>0</v>
      </c>
      <c r="H1320">
        <v>8.0777564210526311E-05</v>
      </c>
      <c r="I1320" t="s">
        <v>137</v>
      </c>
      <c r="J1320">
        <v>0.00056207052631578947</v>
      </c>
      <c r="K1320">
        <v>0.016661858090526317</v>
      </c>
      <c r="L1320">
        <v>0.00034727088432246752</v>
      </c>
      <c r="M1320">
        <v>0.0020836253059348052</v>
      </c>
      <c r="N1320">
        <v>0.018745483396461121</v>
      </c>
      <c r="O1320" t="s">
        <v>138</v>
      </c>
      <c r="P1320">
        <v>0.00099971148543157896</v>
      </c>
      <c r="Q1320" t="s">
        <v>138</v>
      </c>
      <c r="R1320">
        <v>0.0001250175183560883</v>
      </c>
      <c r="S1320" t="s">
        <v>139</v>
      </c>
      <c r="T1320">
        <v>0.0022494580075753346</v>
      </c>
      <c r="U1320">
        <v>0.022119670407824123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60</v>
      </c>
      <c r="AB1320">
        <v>1</v>
      </c>
      <c r="AC1320">
        <v>0.50</v>
      </c>
      <c r="AD1320">
        <v>0.50048257265952256</v>
      </c>
      <c r="AE1320">
        <v>20.25</v>
      </c>
      <c r="AF1320">
        <v>400000</v>
      </c>
      <c r="AG1320">
        <v>33333.333333333336</v>
      </c>
      <c r="AH1320">
        <v>1</v>
      </c>
      <c r="AI1320">
        <v>1</v>
      </c>
      <c r="AJ1320" t="s">
        <v>136</v>
      </c>
      <c r="AK1320" t="s">
        <v>137</v>
      </c>
      <c r="AL1320">
        <v>0</v>
      </c>
      <c r="AM1320" t="s">
        <v>137</v>
      </c>
      <c r="AN1320">
        <v>0</v>
      </c>
    </row>
    <row r="1321" spans="1:42" ht="12.75">
      <c r="A1321" s="2" t="str">
        <f>HYPERLINK("https://ibp.a2mac1.com/costing(costing:projects/details/8191/process/6975551)","Process")</f>
        <v>Process</v>
      </c>
      <c r="C1321">
        <v>6975551</v>
      </c>
      <c r="D1321">
        <v>5388671</v>
      </c>
      <c r="E1321">
        <v>0</v>
      </c>
      <c r="F1321">
        <v>0</v>
      </c>
      <c r="G1321">
        <v>0</v>
      </c>
      <c r="H1321">
        <v>0</v>
      </c>
      <c r="I1321" t="s">
        <v>137</v>
      </c>
      <c r="J1321">
        <v>0</v>
      </c>
      <c r="K1321">
        <v>0</v>
      </c>
      <c r="L1321">
        <v>0.54785367690131692</v>
      </c>
      <c r="M1321">
        <v>1.9174878691546091</v>
      </c>
      <c r="N1321">
        <v>1.9174878691546091</v>
      </c>
      <c r="O1321" t="s">
        <v>138</v>
      </c>
      <c r="P1321">
        <v>0</v>
      </c>
      <c r="Q1321" t="s">
        <v>138</v>
      </c>
      <c r="R1321">
        <v>0.11504927214927656</v>
      </c>
      <c r="S1321" t="s">
        <v>139</v>
      </c>
      <c r="T1321">
        <v>0.23009854429855311</v>
      </c>
      <c r="U1321">
        <v>2.2626356856024388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240</v>
      </c>
      <c r="AB1321">
        <v>1</v>
      </c>
      <c r="AC1321">
        <v>5</v>
      </c>
      <c r="AD1321">
        <v>5.0007599939200489</v>
      </c>
      <c r="AE1321">
        <v>216</v>
      </c>
      <c r="AF1321">
        <v>400000</v>
      </c>
      <c r="AG1321">
        <v>33333.333333333336</v>
      </c>
      <c r="AH1321">
        <v>1</v>
      </c>
      <c r="AI1321">
        <v>1</v>
      </c>
      <c r="AJ1321" t="s">
        <v>136</v>
      </c>
      <c r="AK1321" t="s">
        <v>137</v>
      </c>
      <c r="AL1321">
        <v>0</v>
      </c>
      <c r="AM1321" t="s">
        <v>137</v>
      </c>
      <c r="AN1321">
        <v>0</v>
      </c>
    </row>
    <row r="1322" spans="1:42" ht="12.75">
      <c r="A1322" s="2" t="str">
        <f>HYPERLINK("https://ibp.a2mac1.com/costing(costing:projects/details/8191/process/6975345)","Process")</f>
        <v>Process</v>
      </c>
      <c r="C1322">
        <v>6975345</v>
      </c>
      <c r="D1322">
        <v>5388317</v>
      </c>
      <c r="E1322">
        <v>0</v>
      </c>
      <c r="F1322">
        <v>0</v>
      </c>
      <c r="G1322">
        <v>0</v>
      </c>
      <c r="H1322">
        <v>0</v>
      </c>
      <c r="I1322" t="s">
        <v>137</v>
      </c>
      <c r="J1322">
        <v>0</v>
      </c>
      <c r="K1322">
        <v>0</v>
      </c>
      <c r="L1322">
        <v>1.2288711296087176</v>
      </c>
      <c r="M1322">
        <v>4.3010489536305112</v>
      </c>
      <c r="N1322">
        <v>4.3010489536305112</v>
      </c>
      <c r="O1322" t="s">
        <v>138</v>
      </c>
      <c r="P1322">
        <v>0</v>
      </c>
      <c r="Q1322" t="s">
        <v>138</v>
      </c>
      <c r="R1322">
        <v>0.25806293721783069</v>
      </c>
      <c r="S1322" t="s">
        <v>139</v>
      </c>
      <c r="T1322">
        <v>0.51612587443566138</v>
      </c>
      <c r="U1322">
        <v>5.0752377652840028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510</v>
      </c>
      <c r="AB1322">
        <v>1</v>
      </c>
      <c r="AC1322">
        <v>10</v>
      </c>
      <c r="AD1322">
        <v>10.002339939161581</v>
      </c>
      <c r="AE1322">
        <v>216</v>
      </c>
      <c r="AF1322">
        <v>400000</v>
      </c>
      <c r="AG1322">
        <v>33333.333333333336</v>
      </c>
      <c r="AH1322">
        <v>1</v>
      </c>
      <c r="AI1322">
        <v>1</v>
      </c>
      <c r="AJ1322" t="s">
        <v>136</v>
      </c>
      <c r="AK1322" t="s">
        <v>137</v>
      </c>
      <c r="AL1322">
        <v>0</v>
      </c>
      <c r="AM1322" t="s">
        <v>137</v>
      </c>
      <c r="AN1322">
        <v>0</v>
      </c>
    </row>
    <row r="1323" spans="1:42" ht="12.75">
      <c r="A1323" s="2" t="str">
        <f>HYPERLINK("https://ibp.a2mac1.com/costing(costing:projects/details/8191/process/6975346)","Process")</f>
        <v>Process</v>
      </c>
      <c r="C1323">
        <v>6975346</v>
      </c>
      <c r="D1323">
        <v>5388318</v>
      </c>
      <c r="E1323">
        <v>0</v>
      </c>
      <c r="F1323">
        <v>0</v>
      </c>
      <c r="G1323">
        <v>0</v>
      </c>
      <c r="H1323">
        <v>0</v>
      </c>
      <c r="I1323" t="s">
        <v>137</v>
      </c>
      <c r="J1323">
        <v>0</v>
      </c>
      <c r="K1323">
        <v>0</v>
      </c>
      <c r="L1323">
        <v>0.82178776718420943</v>
      </c>
      <c r="M1323">
        <v>2.8762571851447332</v>
      </c>
      <c r="N1323">
        <v>2.8762571851447332</v>
      </c>
      <c r="O1323" t="s">
        <v>138</v>
      </c>
      <c r="P1323">
        <v>0</v>
      </c>
      <c r="Q1323" t="s">
        <v>138</v>
      </c>
      <c r="R1323">
        <v>0.17257543110868398</v>
      </c>
      <c r="S1323" t="s">
        <v>139</v>
      </c>
      <c r="T1323">
        <v>0.34515086221736796</v>
      </c>
      <c r="U1323">
        <v>3.3939834784707852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360</v>
      </c>
      <c r="AB1323">
        <v>1</v>
      </c>
      <c r="AC1323">
        <v>5</v>
      </c>
      <c r="AD1323">
        <v>5.0007599939200489</v>
      </c>
      <c r="AE1323">
        <v>216</v>
      </c>
      <c r="AF1323">
        <v>200000</v>
      </c>
      <c r="AG1323">
        <v>16666.666666666668</v>
      </c>
      <c r="AH1323">
        <v>1</v>
      </c>
      <c r="AI1323">
        <v>1</v>
      </c>
      <c r="AJ1323" t="s">
        <v>136</v>
      </c>
      <c r="AK1323" t="s">
        <v>137</v>
      </c>
      <c r="AL1323">
        <v>0</v>
      </c>
      <c r="AM1323" t="s">
        <v>137</v>
      </c>
      <c r="AN1323">
        <v>0</v>
      </c>
    </row>
    <row r="1324" spans="1:42" ht="12.75">
      <c r="A1324" s="2" t="str">
        <f>HYPERLINK("https://ibp.a2mac1.com/costing(costing:projects/details/8191/process/6975347)","Process")</f>
        <v>Process</v>
      </c>
      <c r="C1324">
        <v>6975347</v>
      </c>
      <c r="D1324">
        <v>5388319</v>
      </c>
      <c r="E1324">
        <v>0</v>
      </c>
      <c r="F1324">
        <v>0</v>
      </c>
      <c r="G1324">
        <v>0</v>
      </c>
      <c r="H1324">
        <v>0</v>
      </c>
      <c r="I1324" t="s">
        <v>137</v>
      </c>
      <c r="J1324">
        <v>0</v>
      </c>
      <c r="K1324">
        <v>0</v>
      </c>
      <c r="L1324">
        <v>0.25112196172915874</v>
      </c>
      <c r="M1324">
        <v>0.87892686605205561</v>
      </c>
      <c r="N1324">
        <v>0.87892686605205561</v>
      </c>
      <c r="O1324" t="s">
        <v>138</v>
      </c>
      <c r="P1324">
        <v>0</v>
      </c>
      <c r="Q1324" t="s">
        <v>138</v>
      </c>
      <c r="R1324">
        <v>0.052735611963123333</v>
      </c>
      <c r="S1324" t="s">
        <v>139</v>
      </c>
      <c r="T1324">
        <v>0.10547122392624667</v>
      </c>
      <c r="U1324">
        <v>1.0371337019414255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110</v>
      </c>
      <c r="AB1324">
        <v>1</v>
      </c>
      <c r="AC1324">
        <v>5</v>
      </c>
      <c r="AD1324">
        <v>5.0007599939200489</v>
      </c>
      <c r="AE1324">
        <v>216</v>
      </c>
      <c r="AF1324">
        <v>200000</v>
      </c>
      <c r="AG1324">
        <v>16666.666666666668</v>
      </c>
      <c r="AH1324">
        <v>1</v>
      </c>
      <c r="AI1324">
        <v>1</v>
      </c>
      <c r="AJ1324" t="s">
        <v>136</v>
      </c>
      <c r="AK1324" t="s">
        <v>137</v>
      </c>
      <c r="AL1324">
        <v>0</v>
      </c>
      <c r="AM1324" t="s">
        <v>137</v>
      </c>
      <c r="AN1324">
        <v>0</v>
      </c>
    </row>
    <row r="1325" spans="1:42" ht="12.75">
      <c r="A1325" s="2" t="str">
        <f>HYPERLINK("https://ibp.a2mac1.com/costing(costing:projects/details/8191/process/6975348)","Process")</f>
        <v>Process</v>
      </c>
      <c r="C1325">
        <v>6975348</v>
      </c>
      <c r="D1325">
        <v>5388322</v>
      </c>
      <c r="E1325">
        <v>0</v>
      </c>
      <c r="F1325">
        <v>0</v>
      </c>
      <c r="G1325">
        <v>0</v>
      </c>
      <c r="H1325">
        <v>0</v>
      </c>
      <c r="I1325" t="s">
        <v>137</v>
      </c>
      <c r="J1325">
        <v>0</v>
      </c>
      <c r="K1325">
        <v>0</v>
      </c>
      <c r="L1325">
        <v>0.55926699301041793</v>
      </c>
      <c r="M1325">
        <v>1.9574344755364628</v>
      </c>
      <c r="N1325">
        <v>1.9574344755364628</v>
      </c>
      <c r="O1325" t="s">
        <v>138</v>
      </c>
      <c r="P1325">
        <v>0</v>
      </c>
      <c r="Q1325" t="s">
        <v>138</v>
      </c>
      <c r="R1325">
        <v>0.11744606853218777</v>
      </c>
      <c r="S1325" t="s">
        <v>139</v>
      </c>
      <c r="T1325">
        <v>0.23489213706437553</v>
      </c>
      <c r="U1325">
        <v>2.3097726811330261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245</v>
      </c>
      <c r="AB1325">
        <v>1</v>
      </c>
      <c r="AC1325">
        <v>5</v>
      </c>
      <c r="AD1325">
        <v>5.0007599939200489</v>
      </c>
      <c r="AE1325">
        <v>216</v>
      </c>
      <c r="AF1325">
        <v>400000</v>
      </c>
      <c r="AG1325">
        <v>33333.333333333336</v>
      </c>
      <c r="AH1325">
        <v>1</v>
      </c>
      <c r="AI1325">
        <v>1</v>
      </c>
      <c r="AJ1325" t="s">
        <v>136</v>
      </c>
      <c r="AK1325" t="s">
        <v>137</v>
      </c>
      <c r="AL1325">
        <v>0</v>
      </c>
      <c r="AM1325" t="s">
        <v>137</v>
      </c>
      <c r="AN1325">
        <v>0</v>
      </c>
    </row>
    <row r="1326" spans="1:42" ht="12.75">
      <c r="A1326" s="2" t="str">
        <f>HYPERLINK("https://ibp.a2mac1.com/costing(costing:projects/details/8191/process/6975552)","Stamping")</f>
        <v>Stamping</v>
      </c>
      <c r="C1326">
        <v>6975552</v>
      </c>
      <c r="D1326">
        <v>5388682</v>
      </c>
      <c r="E1326">
        <v>1.9646623463333333</v>
      </c>
      <c r="F1326">
        <v>0</v>
      </c>
      <c r="G1326">
        <v>0</v>
      </c>
      <c r="H1326">
        <v>0.010747234024266666</v>
      </c>
      <c r="I1326" t="s">
        <v>137</v>
      </c>
      <c r="J1326">
        <v>0.074338575266666665</v>
      </c>
      <c r="K1326">
        <v>2.0497481556242665</v>
      </c>
      <c r="L1326">
        <v>0.0011076856488619849</v>
      </c>
      <c r="M1326">
        <v>0.0066461138931719101</v>
      </c>
      <c r="N1326">
        <v>2.0563942695174386</v>
      </c>
      <c r="O1326" t="s">
        <v>138</v>
      </c>
      <c r="P1326">
        <v>0.12298488933745599</v>
      </c>
      <c r="Q1326" t="s">
        <v>138</v>
      </c>
      <c r="R1326">
        <v>0.00039876683359031456</v>
      </c>
      <c r="S1326" t="s">
        <v>139</v>
      </c>
      <c r="T1326">
        <v>0.24676731234209262</v>
      </c>
      <c r="U1326">
        <v>2.4265452380305774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30</v>
      </c>
      <c r="AB1326">
        <v>1</v>
      </c>
      <c r="AC1326">
        <v>0.50</v>
      </c>
      <c r="AD1326">
        <v>0.50345253019720215</v>
      </c>
      <c r="AE1326">
        <v>4113</v>
      </c>
      <c r="AF1326">
        <v>200000</v>
      </c>
      <c r="AG1326">
        <v>16666.666666666668</v>
      </c>
      <c r="AH1326">
        <v>1</v>
      </c>
      <c r="AI1326">
        <v>1</v>
      </c>
      <c r="AJ1326" t="s">
        <v>136</v>
      </c>
      <c r="AK1326" t="s">
        <v>137</v>
      </c>
      <c r="AL1326">
        <v>0</v>
      </c>
      <c r="AM1326" t="s">
        <v>137</v>
      </c>
      <c r="AN1326">
        <v>0</v>
      </c>
    </row>
    <row r="1327" spans="1:42" ht="12.75">
      <c r="A1327" s="2" t="str">
        <f>HYPERLINK("https://ibp.a2mac1.com/costing(costing:projects/details/8191/process/6975553)","Stamping")</f>
        <v>Stamping</v>
      </c>
      <c r="C1327">
        <v>6975553</v>
      </c>
      <c r="D1327">
        <v>5388683</v>
      </c>
      <c r="E1327">
        <v>2.5493321036666665</v>
      </c>
      <c r="F1327">
        <v>0</v>
      </c>
      <c r="G1327">
        <v>0</v>
      </c>
      <c r="H1327">
        <v>0.013945535615733333</v>
      </c>
      <c r="I1327" t="s">
        <v>137</v>
      </c>
      <c r="J1327">
        <v>0.096461214733333328</v>
      </c>
      <c r="K1327">
        <v>2.6597388540157332</v>
      </c>
      <c r="L1327">
        <v>0.0014394649278222688</v>
      </c>
      <c r="M1327">
        <v>0.0086367895669336135</v>
      </c>
      <c r="N1327">
        <v>2.6683756435826669</v>
      </c>
      <c r="O1327" t="s">
        <v>138</v>
      </c>
      <c r="P1327">
        <v>0.15958433124094401</v>
      </c>
      <c r="Q1327" t="s">
        <v>138</v>
      </c>
      <c r="R1327">
        <v>0.00051820737401601675</v>
      </c>
      <c r="S1327" t="s">
        <v>139</v>
      </c>
      <c r="T1327">
        <v>0.32020507722992003</v>
      </c>
      <c r="U1327">
        <v>3.1486832594275471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30</v>
      </c>
      <c r="AB1327">
        <v>1</v>
      </c>
      <c r="AC1327">
        <v>0.50</v>
      </c>
      <c r="AD1327">
        <v>0.50345253019720215</v>
      </c>
      <c r="AE1327">
        <v>5337</v>
      </c>
      <c r="AF1327">
        <v>200000</v>
      </c>
      <c r="AG1327">
        <v>16666.666666666668</v>
      </c>
      <c r="AH1327">
        <v>1</v>
      </c>
      <c r="AI1327">
        <v>1</v>
      </c>
      <c r="AJ1327" t="s">
        <v>136</v>
      </c>
      <c r="AK1327" t="s">
        <v>137</v>
      </c>
      <c r="AL1327">
        <v>0</v>
      </c>
      <c r="AM1327" t="s">
        <v>137</v>
      </c>
      <c r="AN1327">
        <v>0</v>
      </c>
    </row>
    <row r="1328" spans="1:42" ht="12.75">
      <c r="A1328" s="2" t="str">
        <f>HYPERLINK("https://ibp.a2mac1.com/costing(costing:projects/details/8191/process/6975349)","Process")</f>
        <v>Process</v>
      </c>
      <c r="C1328">
        <v>6975349</v>
      </c>
      <c r="D1328">
        <v>5388325</v>
      </c>
      <c r="E1328">
        <v>0</v>
      </c>
      <c r="F1328">
        <v>0</v>
      </c>
      <c r="G1328">
        <v>0</v>
      </c>
      <c r="H1328">
        <v>0</v>
      </c>
      <c r="I1328" t="s">
        <v>137</v>
      </c>
      <c r="J1328">
        <v>0</v>
      </c>
      <c r="K1328">
        <v>0</v>
      </c>
      <c r="L1328">
        <v>0.3081740386101956</v>
      </c>
      <c r="M1328">
        <v>1.8490442316611737</v>
      </c>
      <c r="N1328">
        <v>1.8490442316611737</v>
      </c>
      <c r="O1328" t="s">
        <v>138</v>
      </c>
      <c r="P1328">
        <v>0</v>
      </c>
      <c r="Q1328" t="s">
        <v>138</v>
      </c>
      <c r="R1328">
        <v>0.11094265389967042</v>
      </c>
      <c r="S1328" t="s">
        <v>139</v>
      </c>
      <c r="T1328">
        <v>0.22188530779934085</v>
      </c>
      <c r="U1328">
        <v>2.181872193360185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270</v>
      </c>
      <c r="AB1328">
        <v>1</v>
      </c>
      <c r="AC1328">
        <v>5</v>
      </c>
      <c r="AD1328">
        <v>5.0007599939200489</v>
      </c>
      <c r="AE1328">
        <v>216</v>
      </c>
      <c r="AF1328">
        <v>200000</v>
      </c>
      <c r="AG1328">
        <v>16666.666666666668</v>
      </c>
      <c r="AH1328">
        <v>1</v>
      </c>
      <c r="AI1328">
        <v>1</v>
      </c>
      <c r="AJ1328" t="s">
        <v>136</v>
      </c>
      <c r="AK1328" t="s">
        <v>137</v>
      </c>
      <c r="AL1328">
        <v>0</v>
      </c>
      <c r="AM1328" t="s">
        <v>137</v>
      </c>
      <c r="AN1328">
        <v>0</v>
      </c>
    </row>
    <row r="1329" spans="1:42" ht="12.75">
      <c r="A1329" s="2" t="str">
        <f>HYPERLINK("https://ibp.a2mac1.com/costing(costing:projects/details/8191/process/6975350)","Stamping")</f>
        <v>Stamping</v>
      </c>
      <c r="C1329">
        <v>6975350</v>
      </c>
      <c r="D1329">
        <v>5388327</v>
      </c>
      <c r="E1329">
        <v>0.109331152</v>
      </c>
      <c r="F1329">
        <v>0</v>
      </c>
      <c r="G1329">
        <v>0</v>
      </c>
      <c r="H1329">
        <v>0.00059807095040000004</v>
      </c>
      <c r="I1329" t="s">
        <v>137</v>
      </c>
      <c r="J1329">
        <v>0.0041368543999999998</v>
      </c>
      <c r="K1329">
        <v>0.1140660773504</v>
      </c>
      <c r="L1329">
        <v>0.0013913688590171407</v>
      </c>
      <c r="M1329">
        <v>0.0083482131541028435</v>
      </c>
      <c r="N1329">
        <v>0.12241429050450284</v>
      </c>
      <c r="O1329" t="s">
        <v>138</v>
      </c>
      <c r="P1329">
        <v>0.0068439646410239996</v>
      </c>
      <c r="Q1329" t="s">
        <v>138</v>
      </c>
      <c r="R1329">
        <v>0.00050089278924617066</v>
      </c>
      <c r="S1329" t="s">
        <v>139</v>
      </c>
      <c r="T1329">
        <v>0.014689714860540342</v>
      </c>
      <c r="U1329">
        <v>0.14444886279531335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10</v>
      </c>
      <c r="AB1329">
        <v>1</v>
      </c>
      <c r="AC1329">
        <v>0.50</v>
      </c>
      <c r="AD1329">
        <v>0.50345253019720215</v>
      </c>
      <c r="AE1329">
        <v>9369</v>
      </c>
      <c r="AF1329">
        <v>200000</v>
      </c>
      <c r="AG1329">
        <v>16666.666666666668</v>
      </c>
      <c r="AH1329">
        <v>1</v>
      </c>
      <c r="AI1329">
        <v>1</v>
      </c>
      <c r="AJ1329" t="s">
        <v>136</v>
      </c>
      <c r="AK1329" t="s">
        <v>137</v>
      </c>
      <c r="AL1329">
        <v>0</v>
      </c>
      <c r="AM1329" t="s">
        <v>137</v>
      </c>
      <c r="AN1329">
        <v>0</v>
      </c>
    </row>
    <row r="1330" spans="1:42" ht="12.75">
      <c r="A1330" s="2" t="str">
        <f>HYPERLINK("https://ibp.a2mac1.com/costing(costing:projects/details/8191/process/6975351)","Stamping")</f>
        <v>Stamping</v>
      </c>
      <c r="C1330">
        <v>6975351</v>
      </c>
      <c r="D1330">
        <v>5388328</v>
      </c>
      <c r="E1330">
        <v>0.14765696</v>
      </c>
      <c r="F1330">
        <v>0</v>
      </c>
      <c r="G1330">
        <v>0</v>
      </c>
      <c r="H1330">
        <v>0.00074714421760000002</v>
      </c>
      <c r="I1330" t="s">
        <v>137</v>
      </c>
      <c r="J1330">
        <v>0.0051679936000000003</v>
      </c>
      <c r="K1330">
        <v>0.15357209781760001</v>
      </c>
      <c r="L1330">
        <v>0.0016783666544858114</v>
      </c>
      <c r="M1330">
        <v>0.01007019992691487</v>
      </c>
      <c r="N1330">
        <v>0.16364229774451486</v>
      </c>
      <c r="O1330" t="s">
        <v>138</v>
      </c>
      <c r="P1330">
        <v>0.0092143258690559997</v>
      </c>
      <c r="Q1330" t="s">
        <v>138</v>
      </c>
      <c r="R1330">
        <v>0.00060421199561489218</v>
      </c>
      <c r="S1330" t="s">
        <v>139</v>
      </c>
      <c r="T1330">
        <v>0.019637075729341785</v>
      </c>
      <c r="U1330">
        <v>0.19309791133852755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15</v>
      </c>
      <c r="AB1330">
        <v>1</v>
      </c>
      <c r="AC1330">
        <v>0.50</v>
      </c>
      <c r="AD1330">
        <v>0.50345253019720215</v>
      </c>
      <c r="AE1330">
        <v>9369</v>
      </c>
      <c r="AF1330">
        <v>200000</v>
      </c>
      <c r="AG1330">
        <v>16666.666666666668</v>
      </c>
      <c r="AH1330">
        <v>1</v>
      </c>
      <c r="AI1330">
        <v>1</v>
      </c>
      <c r="AJ1330" t="s">
        <v>136</v>
      </c>
      <c r="AK1330" t="s">
        <v>137</v>
      </c>
      <c r="AL1330">
        <v>0</v>
      </c>
      <c r="AM1330" t="s">
        <v>137</v>
      </c>
      <c r="AN1330">
        <v>0</v>
      </c>
    </row>
    <row r="1331" spans="1:42" ht="12.75">
      <c r="A1331" s="2" t="str">
        <f>HYPERLINK("https://ibp.a2mac1.com/costing(costing:projects/details/8191/process/6975554)","Seal Extrusion")</f>
        <v>Seal Extrusion</v>
      </c>
      <c r="B1331" t="s">
        <v>5362</v>
      </c>
      <c r="C1331">
        <v>6975554</v>
      </c>
      <c r="D1331">
        <v>5388685</v>
      </c>
      <c r="E1331">
        <v>0.067539937342105269</v>
      </c>
      <c r="F1331">
        <v>0</v>
      </c>
      <c r="G1331">
        <v>0</v>
      </c>
      <c r="H1331">
        <v>7.0498107789473678E-05</v>
      </c>
      <c r="I1331" t="s">
        <v>137</v>
      </c>
      <c r="J1331">
        <v>0.0023725324736842105</v>
      </c>
      <c r="K1331">
        <v>0.069982967923578943</v>
      </c>
      <c r="L1331">
        <v>0.01251453650535788</v>
      </c>
      <c r="M1331">
        <v>0.075087219032147282</v>
      </c>
      <c r="N1331">
        <v>0.14507018695572624</v>
      </c>
      <c r="O1331" t="s">
        <v>90</v>
      </c>
      <c r="P1331">
        <v>0</v>
      </c>
      <c r="Q1331" t="s">
        <v>90</v>
      </c>
      <c r="R1331">
        <v>0</v>
      </c>
      <c r="S1331" t="s">
        <v>90</v>
      </c>
      <c r="T1331">
        <v>0</v>
      </c>
      <c r="U1331">
        <v>0.14507018695572624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5</v>
      </c>
      <c r="AB1331">
        <v>1</v>
      </c>
      <c r="AC1331">
        <v>0.10</v>
      </c>
      <c r="AD1331">
        <v>0.10389195236953569</v>
      </c>
      <c r="AE1331">
        <v>1800</v>
      </c>
      <c r="AF1331">
        <v>200000</v>
      </c>
      <c r="AG1331">
        <v>16666.666666666668</v>
      </c>
      <c r="AH1331">
        <v>1</v>
      </c>
      <c r="AI1331">
        <v>1</v>
      </c>
      <c r="AJ1331" t="s">
        <v>136</v>
      </c>
      <c r="AK1331" t="s">
        <v>137</v>
      </c>
      <c r="AL1331">
        <v>0</v>
      </c>
      <c r="AM1331" t="s">
        <v>137</v>
      </c>
      <c r="AN1331">
        <v>0</v>
      </c>
    </row>
    <row r="1332" spans="1:42" ht="12.75">
      <c r="A1332" s="2" t="str">
        <f>HYPERLINK("https://ibp.a2mac1.com/costing(costing:projects/details/8191/process/6975555)","Injection molding")</f>
        <v>Injection molding</v>
      </c>
      <c r="B1332" t="s">
        <v>7595</v>
      </c>
      <c r="C1332">
        <v>6975555</v>
      </c>
      <c r="D1332">
        <v>5388686</v>
      </c>
      <c r="E1332">
        <v>0.21784707042525031</v>
      </c>
      <c r="F1332">
        <v>0</v>
      </c>
      <c r="G1332">
        <v>0</v>
      </c>
      <c r="H1332">
        <v>0.00044920536601685858</v>
      </c>
      <c r="I1332" t="s">
        <v>137</v>
      </c>
      <c r="J1332">
        <v>0.007632130005140801</v>
      </c>
      <c r="K1332">
        <v>0.22592840579640797</v>
      </c>
      <c r="L1332">
        <v>0.0046830249744729971</v>
      </c>
      <c r="M1332">
        <v>0.028098149846837981</v>
      </c>
      <c r="N1332">
        <v>0.25402655564324594</v>
      </c>
      <c r="O1332" t="s">
        <v>90</v>
      </c>
      <c r="P1332">
        <v>0</v>
      </c>
      <c r="Q1332" t="s">
        <v>90</v>
      </c>
      <c r="R1332">
        <v>0</v>
      </c>
      <c r="S1332" t="s">
        <v>90</v>
      </c>
      <c r="T1332">
        <v>0</v>
      </c>
      <c r="U1332">
        <v>0.25402655564324594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10.961679999999999</v>
      </c>
      <c r="AB1332">
        <v>1</v>
      </c>
      <c r="AC1332">
        <v>0.10</v>
      </c>
      <c r="AD1332">
        <v>0.20557651238448796</v>
      </c>
      <c r="AE1332">
        <v>7200</v>
      </c>
      <c r="AF1332">
        <v>200000</v>
      </c>
      <c r="AG1332">
        <v>16666.666666666668</v>
      </c>
      <c r="AH1332">
        <v>1</v>
      </c>
      <c r="AI1332">
        <v>1</v>
      </c>
      <c r="AJ1332" t="s">
        <v>136</v>
      </c>
      <c r="AK1332" t="s">
        <v>137</v>
      </c>
      <c r="AL1332">
        <v>0</v>
      </c>
      <c r="AM1332" t="s">
        <v>137</v>
      </c>
      <c r="AN1332">
        <v>0</v>
      </c>
    </row>
    <row r="1333" spans="1:42" ht="12.75">
      <c r="A1333" s="2" t="str">
        <f>HYPERLINK("https://ibp.a2mac1.com/costing(costing:projects/details/8191/process/6975556)","Handling/Visual Inspection/Packaging")</f>
        <v>Handling/Visual Inspection/Packaging</v>
      </c>
      <c r="C1333">
        <v>6975556</v>
      </c>
      <c r="D1333">
        <v>5388686</v>
      </c>
      <c r="E1333">
        <v>0</v>
      </c>
      <c r="F1333">
        <v>0</v>
      </c>
      <c r="G1333">
        <v>0</v>
      </c>
      <c r="H1333">
        <v>0</v>
      </c>
      <c r="I1333" t="s">
        <v>137</v>
      </c>
      <c r="J1333">
        <v>0</v>
      </c>
      <c r="K1333">
        <v>0</v>
      </c>
      <c r="L1333">
        <v>0.0086216394843006</v>
      </c>
      <c r="M1333">
        <v>0.0517298369058036</v>
      </c>
      <c r="N1333">
        <v>0.0517298369058036</v>
      </c>
      <c r="O1333" t="s">
        <v>90</v>
      </c>
      <c r="P1333">
        <v>0</v>
      </c>
      <c r="Q1333" t="s">
        <v>90</v>
      </c>
      <c r="R1333">
        <v>0</v>
      </c>
      <c r="S1333" t="s">
        <v>90</v>
      </c>
      <c r="T1333">
        <v>0</v>
      </c>
      <c r="U1333">
        <v>0.0517298369058036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30</v>
      </c>
      <c r="AB1333">
        <v>1</v>
      </c>
      <c r="AC1333">
        <v>0.10</v>
      </c>
      <c r="AD1333">
        <v>0.10389195236953569</v>
      </c>
      <c r="AE1333">
        <v>900</v>
      </c>
      <c r="AF1333">
        <v>200000</v>
      </c>
      <c r="AG1333">
        <v>16666.666666666668</v>
      </c>
      <c r="AH1333">
        <v>1</v>
      </c>
      <c r="AI1333">
        <v>1</v>
      </c>
      <c r="AJ1333" t="s">
        <v>136</v>
      </c>
      <c r="AK1333" t="s">
        <v>137</v>
      </c>
      <c r="AL1333">
        <v>0</v>
      </c>
      <c r="AM1333" t="s">
        <v>137</v>
      </c>
      <c r="AN1333">
        <v>0</v>
      </c>
    </row>
    <row r="1334" spans="1:42" ht="12.75">
      <c r="A1334" s="2" t="str">
        <f>HYPERLINK("https://ibp.a2mac1.com/costing(costing:projects/details/8191/process/6975557)","Injection molding")</f>
        <v>Injection molding</v>
      </c>
      <c r="B1334" t="s">
        <v>7601</v>
      </c>
      <c r="C1334">
        <v>6975557</v>
      </c>
      <c r="D1334">
        <v>5388687</v>
      </c>
      <c r="E1334">
        <v>0.029372638709022514</v>
      </c>
      <c r="F1334">
        <v>0</v>
      </c>
      <c r="G1334">
        <v>0</v>
      </c>
      <c r="H1334">
        <v>6.0567015642722501E-05</v>
      </c>
      <c r="I1334" t="s">
        <v>137</v>
      </c>
      <c r="J1334">
        <v>0.0010290512366481978</v>
      </c>
      <c r="K1334">
        <v>0.030462256961313435</v>
      </c>
      <c r="L1334">
        <v>0.0036281702353605596</v>
      </c>
      <c r="M1334">
        <v>0.021769021412163355</v>
      </c>
      <c r="N1334">
        <v>0.05223127837347679</v>
      </c>
      <c r="O1334" t="s">
        <v>90</v>
      </c>
      <c r="P1334">
        <v>0</v>
      </c>
      <c r="Q1334" t="s">
        <v>90</v>
      </c>
      <c r="R1334">
        <v>0</v>
      </c>
      <c r="S1334" t="s">
        <v>90</v>
      </c>
      <c r="T1334">
        <v>0</v>
      </c>
      <c r="U1334">
        <v>0.05223127837347679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9.5994799999999998</v>
      </c>
      <c r="AB1334">
        <v>1</v>
      </c>
      <c r="AC1334">
        <v>0.10</v>
      </c>
      <c r="AD1334">
        <v>0.20557651238448796</v>
      </c>
      <c r="AE1334">
        <v>7200</v>
      </c>
      <c r="AF1334">
        <v>200000</v>
      </c>
      <c r="AG1334">
        <v>16666.666666666668</v>
      </c>
      <c r="AH1334">
        <v>1</v>
      </c>
      <c r="AI1334">
        <v>1</v>
      </c>
      <c r="AJ1334" t="s">
        <v>136</v>
      </c>
      <c r="AK1334" t="s">
        <v>137</v>
      </c>
      <c r="AL1334">
        <v>0</v>
      </c>
      <c r="AM1334" t="s">
        <v>137</v>
      </c>
      <c r="AN1334">
        <v>0</v>
      </c>
    </row>
    <row r="1335" spans="1:42" ht="12.75">
      <c r="A1335" s="2" t="str">
        <f>HYPERLINK("https://ibp.a2mac1.com/costing(costing:projects/details/8191/process/6975558)","Handling/Visual Inspection/Packaging")</f>
        <v>Handling/Visual Inspection/Packaging</v>
      </c>
      <c r="C1335">
        <v>6975558</v>
      </c>
      <c r="D1335">
        <v>5388687</v>
      </c>
      <c r="E1335">
        <v>0</v>
      </c>
      <c r="F1335">
        <v>0</v>
      </c>
      <c r="G1335">
        <v>0</v>
      </c>
      <c r="H1335">
        <v>0</v>
      </c>
      <c r="I1335" t="s">
        <v>137</v>
      </c>
      <c r="J1335">
        <v>0</v>
      </c>
      <c r="K1335">
        <v>0</v>
      </c>
      <c r="L1335">
        <v>0.0086216394843006</v>
      </c>
      <c r="M1335">
        <v>0.0517298369058036</v>
      </c>
      <c r="N1335">
        <v>0.0517298369058036</v>
      </c>
      <c r="O1335" t="s">
        <v>90</v>
      </c>
      <c r="P1335">
        <v>0</v>
      </c>
      <c r="Q1335" t="s">
        <v>90</v>
      </c>
      <c r="R1335">
        <v>0</v>
      </c>
      <c r="S1335" t="s">
        <v>90</v>
      </c>
      <c r="T1335">
        <v>0</v>
      </c>
      <c r="U1335">
        <v>0.0517298369058036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30</v>
      </c>
      <c r="AB1335">
        <v>1</v>
      </c>
      <c r="AC1335">
        <v>0.10</v>
      </c>
      <c r="AD1335">
        <v>0.10389195236953569</v>
      </c>
      <c r="AE1335">
        <v>900</v>
      </c>
      <c r="AF1335">
        <v>200000</v>
      </c>
      <c r="AG1335">
        <v>16666.666666666668</v>
      </c>
      <c r="AH1335">
        <v>1</v>
      </c>
      <c r="AI1335">
        <v>1</v>
      </c>
      <c r="AJ1335" t="s">
        <v>136</v>
      </c>
      <c r="AK1335" t="s">
        <v>137</v>
      </c>
      <c r="AL1335">
        <v>0</v>
      </c>
      <c r="AM1335" t="s">
        <v>137</v>
      </c>
      <c r="AN1335">
        <v>0</v>
      </c>
    </row>
    <row r="1336" spans="1:42" ht="12.75">
      <c r="A1336" s="2" t="str">
        <f>HYPERLINK("https://ibp.a2mac1.com/costing(costing:projects/details/8191/process/6975559)","Overmolding")</f>
        <v>Overmolding</v>
      </c>
      <c r="C1336">
        <v>6975559</v>
      </c>
      <c r="D1336">
        <v>5388689</v>
      </c>
      <c r="E1336">
        <v>0.011688813500000001</v>
      </c>
      <c r="F1336">
        <v>0</v>
      </c>
      <c r="G1336">
        <v>0</v>
      </c>
      <c r="H1336">
        <v>6.1791050200000005E-05</v>
      </c>
      <c r="I1336" t="s">
        <v>137</v>
      </c>
      <c r="J1336">
        <v>0.00042740844999999999</v>
      </c>
      <c r="K1336">
        <v>0.012178013000199999</v>
      </c>
      <c r="L1336">
        <v>3.4983690928856677E-05</v>
      </c>
      <c r="M1336">
        <v>0.00020990214557314009</v>
      </c>
      <c r="N1336">
        <v>0.012387915145773139</v>
      </c>
      <c r="O1336" t="s">
        <v>138</v>
      </c>
      <c r="P1336">
        <v>0.00073068078001200002</v>
      </c>
      <c r="Q1336" t="s">
        <v>138</v>
      </c>
      <c r="R1336">
        <v>1.2594128734388404E-05</v>
      </c>
      <c r="S1336" t="s">
        <v>139</v>
      </c>
      <c r="T1336">
        <v>0.0014865498174927768</v>
      </c>
      <c r="U1336">
        <v>0.014617739872012305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30</v>
      </c>
      <c r="AB1336">
        <v>1</v>
      </c>
      <c r="AC1336">
        <v>0.50</v>
      </c>
      <c r="AD1336">
        <v>0.50345253019720215</v>
      </c>
      <c r="AE1336">
        <v>4.05</v>
      </c>
      <c r="AF1336">
        <v>200000</v>
      </c>
      <c r="AG1336">
        <v>16666.666666666668</v>
      </c>
      <c r="AH1336">
        <v>1</v>
      </c>
      <c r="AI1336">
        <v>1</v>
      </c>
      <c r="AJ1336" t="s">
        <v>136</v>
      </c>
      <c r="AK1336" t="s">
        <v>137</v>
      </c>
      <c r="AL1336">
        <v>0</v>
      </c>
      <c r="AM1336" t="s">
        <v>137</v>
      </c>
      <c r="AN1336">
        <v>0</v>
      </c>
    </row>
    <row r="1337" spans="1:42" ht="12.75">
      <c r="A1337" s="2" t="str">
        <f>HYPERLINK("https://ibp.a2mac1.com/costing(costing:projects/details/8191/process/6975352)","Process")</f>
        <v>Process</v>
      </c>
      <c r="C1337">
        <v>6975352</v>
      </c>
      <c r="D1337">
        <v>5388332</v>
      </c>
      <c r="E1337">
        <v>0</v>
      </c>
      <c r="F1337">
        <v>0</v>
      </c>
      <c r="G1337">
        <v>0</v>
      </c>
      <c r="H1337">
        <v>0</v>
      </c>
      <c r="I1337" t="s">
        <v>137</v>
      </c>
      <c r="J1337">
        <v>0</v>
      </c>
      <c r="K1337">
        <v>0</v>
      </c>
      <c r="L1337">
        <v>0.28536191005646178</v>
      </c>
      <c r="M1337">
        <v>0.99876668519761624</v>
      </c>
      <c r="N1337">
        <v>0.99876668519761624</v>
      </c>
      <c r="O1337" t="s">
        <v>138</v>
      </c>
      <c r="P1337">
        <v>0</v>
      </c>
      <c r="Q1337" t="s">
        <v>138</v>
      </c>
      <c r="R1337">
        <v>0.059926001111856975</v>
      </c>
      <c r="S1337" t="s">
        <v>139</v>
      </c>
      <c r="T1337">
        <v>0.11985200222371395</v>
      </c>
      <c r="U1337">
        <v>1.1785446885331872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125</v>
      </c>
      <c r="AB1337">
        <v>1</v>
      </c>
      <c r="AC1337">
        <v>5</v>
      </c>
      <c r="AD1337">
        <v>5.0007599939200489</v>
      </c>
      <c r="AE1337">
        <v>216</v>
      </c>
      <c r="AF1337">
        <v>200000</v>
      </c>
      <c r="AG1337">
        <v>16666.666666666668</v>
      </c>
      <c r="AH1337">
        <v>1</v>
      </c>
      <c r="AI1337">
        <v>1</v>
      </c>
      <c r="AJ1337" t="s">
        <v>136</v>
      </c>
      <c r="AK1337" t="s">
        <v>137</v>
      </c>
      <c r="AL1337">
        <v>0</v>
      </c>
      <c r="AM1337" t="s">
        <v>137</v>
      </c>
      <c r="AN1337">
        <v>0</v>
      </c>
    </row>
    <row r="1338" spans="1:42" ht="12.75">
      <c r="A1338" s="2" t="str">
        <f>HYPERLINK("https://ibp.a2mac1.com/costing(costing:projects/details/8191/process/6975353)","Injection molding")</f>
        <v>Injection molding</v>
      </c>
      <c r="B1338" t="s">
        <v>4715</v>
      </c>
      <c r="C1338">
        <v>6975353</v>
      </c>
      <c r="D1338">
        <v>5388333</v>
      </c>
      <c r="E1338">
        <v>0.026337244499999999</v>
      </c>
      <c r="F1338">
        <v>0</v>
      </c>
      <c r="G1338">
        <v>0</v>
      </c>
      <c r="H1338">
        <v>0.00013360045831578948</v>
      </c>
      <c r="I1338" t="s">
        <v>137</v>
      </c>
      <c r="J1338">
        <v>0.00092411384210526319</v>
      </c>
      <c r="K1338">
        <v>0.027394958800421053</v>
      </c>
      <c r="L1338">
        <v>0.00041776556729295931</v>
      </c>
      <c r="M1338">
        <v>0.0025065934037577556</v>
      </c>
      <c r="N1338">
        <v>0.029901552204178807</v>
      </c>
      <c r="O1338" t="s">
        <v>138</v>
      </c>
      <c r="P1338">
        <v>0.0016436975280252632</v>
      </c>
      <c r="Q1338" t="s">
        <v>138</v>
      </c>
      <c r="R1338">
        <v>0.00015039560422546534</v>
      </c>
      <c r="S1338" t="s">
        <v>139</v>
      </c>
      <c r="T1338">
        <v>0.0035881862645014569</v>
      </c>
      <c r="U1338">
        <v>0.035283831600930994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60</v>
      </c>
      <c r="AB1338">
        <v>1</v>
      </c>
      <c r="AC1338">
        <v>0.50</v>
      </c>
      <c r="AD1338">
        <v>0.50345253019720215</v>
      </c>
      <c r="AE1338">
        <v>24.30</v>
      </c>
      <c r="AF1338">
        <v>200000</v>
      </c>
      <c r="AG1338">
        <v>16666.666666666668</v>
      </c>
      <c r="AH1338">
        <v>1</v>
      </c>
      <c r="AI1338">
        <v>1</v>
      </c>
      <c r="AJ1338" t="s">
        <v>136</v>
      </c>
      <c r="AK1338" t="s">
        <v>137</v>
      </c>
      <c r="AL1338">
        <v>0</v>
      </c>
      <c r="AM1338" t="s">
        <v>137</v>
      </c>
      <c r="AN1338">
        <v>0</v>
      </c>
    </row>
    <row r="1339" spans="1:42" ht="12.75">
      <c r="A1339" s="2" t="str">
        <f>HYPERLINK("https://ibp.a2mac1.com/costing(costing:projects/details/8191/process/6975354)","Automated Process")</f>
        <v>Automated Process</v>
      </c>
      <c r="C1339">
        <v>6975354</v>
      </c>
      <c r="D1339">
        <v>5388337</v>
      </c>
      <c r="E1339">
        <v>0.25188139199999998</v>
      </c>
      <c r="F1339">
        <v>0</v>
      </c>
      <c r="G1339">
        <v>0</v>
      </c>
      <c r="H1339">
        <v>0.0012777141288421053</v>
      </c>
      <c r="I1339" t="s">
        <v>137</v>
      </c>
      <c r="J1339">
        <v>0.0088379435789473684</v>
      </c>
      <c r="K1339">
        <v>0.26199704970778948</v>
      </c>
      <c r="L1339">
        <v>0.0082660013370663091</v>
      </c>
      <c r="M1339">
        <v>0.049596008022397851</v>
      </c>
      <c r="N1339">
        <v>0.31159305773018731</v>
      </c>
      <c r="O1339" t="s">
        <v>138</v>
      </c>
      <c r="P1339">
        <v>0.015719822982467369</v>
      </c>
      <c r="Q1339" t="s">
        <v>138</v>
      </c>
      <c r="R1339">
        <v>0.002975760481343871</v>
      </c>
      <c r="S1339" t="s">
        <v>139</v>
      </c>
      <c r="T1339">
        <v>0.037391166927622482</v>
      </c>
      <c r="U1339">
        <v>0.36767980812162104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60</v>
      </c>
      <c r="AB1339">
        <v>1</v>
      </c>
      <c r="AC1339">
        <v>0.50</v>
      </c>
      <c r="AD1339">
        <v>0.50345253019720215</v>
      </c>
      <c r="AE1339">
        <v>480.60</v>
      </c>
      <c r="AF1339">
        <v>200000</v>
      </c>
      <c r="AG1339">
        <v>16666.666666666668</v>
      </c>
      <c r="AH1339">
        <v>1</v>
      </c>
      <c r="AI1339">
        <v>1</v>
      </c>
      <c r="AJ1339" t="s">
        <v>136</v>
      </c>
      <c r="AK1339" t="s">
        <v>137</v>
      </c>
      <c r="AL1339">
        <v>0</v>
      </c>
      <c r="AM1339" t="s">
        <v>137</v>
      </c>
      <c r="AN1339">
        <v>0</v>
      </c>
    </row>
    <row r="1340" spans="1:42" ht="12.75">
      <c r="A1340" s="2" t="str">
        <f>HYPERLINK("https://ibp.a2mac1.com/costing(costing:projects/details/8191/process/6975355)","Automated Process")</f>
        <v>Automated Process</v>
      </c>
      <c r="C1340">
        <v>6975355</v>
      </c>
      <c r="D1340">
        <v>5388338</v>
      </c>
      <c r="E1340">
        <v>0.070753200000000002</v>
      </c>
      <c r="F1340">
        <v>0</v>
      </c>
      <c r="G1340">
        <v>0</v>
      </c>
      <c r="H1340">
        <v>0.00035890846315789475</v>
      </c>
      <c r="I1340" t="s">
        <v>137</v>
      </c>
      <c r="J1340">
        <v>0.0024825684210526317</v>
      </c>
      <c r="K1340">
        <v>0.073594676884210522</v>
      </c>
      <c r="L1340">
        <v>0.0023211601582674491</v>
      </c>
      <c r="M1340">
        <v>0.013926960949604694</v>
      </c>
      <c r="N1340">
        <v>0.087521637833815225</v>
      </c>
      <c r="O1340" t="s">
        <v>138</v>
      </c>
      <c r="P1340">
        <v>0.0044156806130526312</v>
      </c>
      <c r="Q1340" t="s">
        <v>138</v>
      </c>
      <c r="R1340">
        <v>0.00083561765697628162</v>
      </c>
      <c r="S1340" t="s">
        <v>139</v>
      </c>
      <c r="T1340">
        <v>0.010502596540057826</v>
      </c>
      <c r="U1340">
        <v>0.10327553264390196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60</v>
      </c>
      <c r="AB1340">
        <v>1</v>
      </c>
      <c r="AC1340">
        <v>0.50</v>
      </c>
      <c r="AD1340">
        <v>0.50345253019720215</v>
      </c>
      <c r="AE1340">
        <v>135</v>
      </c>
      <c r="AF1340">
        <v>200000</v>
      </c>
      <c r="AG1340">
        <v>16666.666666666668</v>
      </c>
      <c r="AH1340">
        <v>1</v>
      </c>
      <c r="AI1340">
        <v>1</v>
      </c>
      <c r="AJ1340" t="s">
        <v>136</v>
      </c>
      <c r="AK1340" t="s">
        <v>137</v>
      </c>
      <c r="AL1340">
        <v>0</v>
      </c>
      <c r="AM1340" t="s">
        <v>137</v>
      </c>
      <c r="AN1340">
        <v>0</v>
      </c>
    </row>
    <row r="1341" spans="1:42" ht="12.75">
      <c r="A1341" s="2" t="str">
        <f>HYPERLINK("https://ibp.a2mac1.com/costing(costing:projects/details/8191/process/6975356)","Automated Process")</f>
        <v>Automated Process</v>
      </c>
      <c r="C1341">
        <v>6975356</v>
      </c>
      <c r="D1341">
        <v>5388339</v>
      </c>
      <c r="E1341">
        <v>0.066508007999999993</v>
      </c>
      <c r="F1341">
        <v>0</v>
      </c>
      <c r="G1341">
        <v>0</v>
      </c>
      <c r="H1341">
        <v>0.00033737395536842106</v>
      </c>
      <c r="I1341" t="s">
        <v>137</v>
      </c>
      <c r="J1341">
        <v>0.0023336143157894735</v>
      </c>
      <c r="K1341">
        <v>0.069178996271157894</v>
      </c>
      <c r="L1341">
        <v>0.0021818740180708043</v>
      </c>
      <c r="M1341">
        <v>0.013091244108424825</v>
      </c>
      <c r="N1341">
        <v>0.082270240379582721</v>
      </c>
      <c r="O1341" t="s">
        <v>138</v>
      </c>
      <c r="P1341">
        <v>0.0041507397762694737</v>
      </c>
      <c r="Q1341" t="s">
        <v>138</v>
      </c>
      <c r="R1341">
        <v>0.00078547464650548953</v>
      </c>
      <c r="S1341" t="s">
        <v>139</v>
      </c>
      <c r="T1341">
        <v>0.009872428845549926</v>
      </c>
      <c r="U1341">
        <v>0.097078883647907607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60</v>
      </c>
      <c r="AB1341">
        <v>1</v>
      </c>
      <c r="AC1341">
        <v>0.50</v>
      </c>
      <c r="AD1341">
        <v>0.50345253019720215</v>
      </c>
      <c r="AE1341">
        <v>126.90</v>
      </c>
      <c r="AF1341">
        <v>200000</v>
      </c>
      <c r="AG1341">
        <v>16666.666666666668</v>
      </c>
      <c r="AH1341">
        <v>1</v>
      </c>
      <c r="AI1341">
        <v>1</v>
      </c>
      <c r="AJ1341" t="s">
        <v>136</v>
      </c>
      <c r="AK1341" t="s">
        <v>137</v>
      </c>
      <c r="AL1341">
        <v>0</v>
      </c>
      <c r="AM1341" t="s">
        <v>137</v>
      </c>
      <c r="AN1341">
        <v>0</v>
      </c>
    </row>
    <row r="1342" spans="1:42" ht="12.75">
      <c r="A1342" s="2" t="str">
        <f>HYPERLINK("https://ibp.a2mac1.com/costing(costing:projects/details/8191/process/6975357)","Automated Process")</f>
        <v>Automated Process</v>
      </c>
      <c r="C1342">
        <v>6975357</v>
      </c>
      <c r="D1342">
        <v>5388340</v>
      </c>
      <c r="E1342">
        <v>0.0084955919999999997</v>
      </c>
      <c r="F1342">
        <v>0</v>
      </c>
      <c r="G1342">
        <v>0</v>
      </c>
      <c r="H1342">
        <v>4.3095434105263156E-05</v>
      </c>
      <c r="I1342" t="s">
        <v>137</v>
      </c>
      <c r="J1342">
        <v>0.00029809094736842106</v>
      </c>
      <c r="K1342">
        <v>0.0088367783814736842</v>
      </c>
      <c r="L1342">
        <v>0.00037134623301498425</v>
      </c>
      <c r="M1342">
        <v>0.0022280773980899054</v>
      </c>
      <c r="N1342">
        <v>0.011064855779563589</v>
      </c>
      <c r="O1342" t="s">
        <v>138</v>
      </c>
      <c r="P1342">
        <v>0.00053020670288842105</v>
      </c>
      <c r="Q1342" t="s">
        <v>138</v>
      </c>
      <c r="R1342">
        <v>0.00013368464388539435</v>
      </c>
      <c r="S1342" t="s">
        <v>139</v>
      </c>
      <c r="T1342">
        <v>0.0013277826935476308</v>
      </c>
      <c r="U1342">
        <v>0.013056529819885036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60</v>
      </c>
      <c r="AB1342">
        <v>1</v>
      </c>
      <c r="AC1342">
        <v>0.50</v>
      </c>
      <c r="AD1342">
        <v>0.50345253019720215</v>
      </c>
      <c r="AE1342">
        <v>21.60</v>
      </c>
      <c r="AF1342">
        <v>200000</v>
      </c>
      <c r="AG1342">
        <v>16666.666666666668</v>
      </c>
      <c r="AH1342">
        <v>1</v>
      </c>
      <c r="AI1342">
        <v>1</v>
      </c>
      <c r="AJ1342" t="s">
        <v>136</v>
      </c>
      <c r="AK1342" t="s">
        <v>137</v>
      </c>
      <c r="AL1342">
        <v>0</v>
      </c>
      <c r="AM1342" t="s">
        <v>137</v>
      </c>
      <c r="AN1342">
        <v>0</v>
      </c>
    </row>
    <row r="1343" spans="1:42" ht="12.75">
      <c r="A1343" s="2" t="str">
        <f>HYPERLINK("https://ibp.a2mac1.com/costing(costing:projects/details/8191/process/6975358)","Automated Process")</f>
        <v>Automated Process</v>
      </c>
      <c r="C1343">
        <v>6975358</v>
      </c>
      <c r="D1343">
        <v>5388341</v>
      </c>
      <c r="E1343">
        <v>0.14261817338999999</v>
      </c>
      <c r="F1343">
        <v>0</v>
      </c>
      <c r="G1343">
        <v>0</v>
      </c>
      <c r="H1343">
        <v>0.00072345659885052628</v>
      </c>
      <c r="I1343" t="s">
        <v>137</v>
      </c>
      <c r="J1343">
        <v>0.0050041464347368421</v>
      </c>
      <c r="K1343">
        <v>0.14834577642358737</v>
      </c>
      <c r="L1343">
        <v>0.005476193345850932</v>
      </c>
      <c r="M1343">
        <v>0.032857160075105592</v>
      </c>
      <c r="N1343">
        <v>0.18120293649869296</v>
      </c>
      <c r="O1343" t="s">
        <v>138</v>
      </c>
      <c r="P1343">
        <v>0.0089007465854152416</v>
      </c>
      <c r="Q1343" t="s">
        <v>138</v>
      </c>
      <c r="R1343">
        <v>0.0019714296045063354</v>
      </c>
      <c r="S1343" t="s">
        <v>139</v>
      </c>
      <c r="T1343">
        <v>0.021744352379843155</v>
      </c>
      <c r="U1343">
        <v>0.2138194650684577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60</v>
      </c>
      <c r="AB1343">
        <v>1</v>
      </c>
      <c r="AC1343">
        <v>0.50</v>
      </c>
      <c r="AD1343">
        <v>0.50345253019720215</v>
      </c>
      <c r="AE1343">
        <v>264.60</v>
      </c>
      <c r="AF1343">
        <v>200000</v>
      </c>
      <c r="AG1343">
        <v>16666.666666666668</v>
      </c>
      <c r="AH1343">
        <v>1</v>
      </c>
      <c r="AI1343">
        <v>1</v>
      </c>
      <c r="AJ1343" t="s">
        <v>136</v>
      </c>
      <c r="AK1343" t="s">
        <v>137</v>
      </c>
      <c r="AL1343">
        <v>0</v>
      </c>
      <c r="AM1343" t="s">
        <v>137</v>
      </c>
      <c r="AN1343">
        <v>0</v>
      </c>
    </row>
    <row r="1344" spans="1:42" ht="12.75">
      <c r="A1344" s="2" t="str">
        <f>HYPERLINK("https://ibp.a2mac1.com/costing(costing:projects/details/8191/process/6975359)","Automated Process")</f>
        <v>Automated Process</v>
      </c>
      <c r="C1344">
        <v>6975359</v>
      </c>
      <c r="D1344">
        <v>5388342</v>
      </c>
      <c r="E1344">
        <v>0.01044409275</v>
      </c>
      <c r="F1344">
        <v>0</v>
      </c>
      <c r="G1344">
        <v>0</v>
      </c>
      <c r="H1344">
        <v>5.2665450157894737E-05</v>
      </c>
      <c r="I1344" t="s">
        <v>137</v>
      </c>
      <c r="J1344">
        <v>0.00036645939473684209</v>
      </c>
      <c r="K1344">
        <v>0.010863217594894737</v>
      </c>
      <c r="L1344">
        <v>0.00054441046311267511</v>
      </c>
      <c r="M1344">
        <v>0.0032664627786760502</v>
      </c>
      <c r="N1344">
        <v>0.014129680373570788</v>
      </c>
      <c r="O1344" t="s">
        <v>138</v>
      </c>
      <c r="P1344">
        <v>0.00065179305569368416</v>
      </c>
      <c r="Q1344" t="s">
        <v>138</v>
      </c>
      <c r="R1344">
        <v>0.00019598776672056302</v>
      </c>
      <c r="S1344" t="s">
        <v>139</v>
      </c>
      <c r="T1344">
        <v>0.0016955616448284944</v>
      </c>
      <c r="U1344">
        <v>0.016673022840813529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60</v>
      </c>
      <c r="AB1344">
        <v>1</v>
      </c>
      <c r="AC1344">
        <v>0.50</v>
      </c>
      <c r="AD1344">
        <v>0.50048257265952256</v>
      </c>
      <c r="AE1344">
        <v>24.30</v>
      </c>
      <c r="AF1344">
        <v>400000</v>
      </c>
      <c r="AG1344">
        <v>33333.333333333336</v>
      </c>
      <c r="AH1344">
        <v>1</v>
      </c>
      <c r="AI1344">
        <v>1</v>
      </c>
      <c r="AJ1344" t="s">
        <v>136</v>
      </c>
      <c r="AK1344" t="s">
        <v>137</v>
      </c>
      <c r="AL1344">
        <v>0</v>
      </c>
      <c r="AM1344" t="s">
        <v>137</v>
      </c>
      <c r="AN1344">
        <v>0</v>
      </c>
    </row>
    <row r="1345" spans="1:42" ht="12.75">
      <c r="A1345" s="2" t="str">
        <f>HYPERLINK("https://ibp.a2mac1.com/costing(costing:projects/details/8191/process/6975360)","Automated Process")</f>
        <v>Automated Process</v>
      </c>
      <c r="C1345">
        <v>6975360</v>
      </c>
      <c r="D1345">
        <v>5388343</v>
      </c>
      <c r="E1345">
        <v>0.016980768</v>
      </c>
      <c r="F1345">
        <v>0</v>
      </c>
      <c r="G1345">
        <v>0</v>
      </c>
      <c r="H1345">
        <v>8.613803115789474E-05</v>
      </c>
      <c r="I1345" t="s">
        <v>137</v>
      </c>
      <c r="J1345">
        <v>0.00059581642105263155</v>
      </c>
      <c r="K1345">
        <v>0.017662722452210525</v>
      </c>
      <c r="L1345">
        <v>0.0005570249769950203</v>
      </c>
      <c r="M1345">
        <v>0.003342149861970122</v>
      </c>
      <c r="N1345">
        <v>0.021004872314180648</v>
      </c>
      <c r="O1345" t="s">
        <v>138</v>
      </c>
      <c r="P1345">
        <v>0.0010597633471326315</v>
      </c>
      <c r="Q1345" t="s">
        <v>138</v>
      </c>
      <c r="R1345">
        <v>0.00020052899171820731</v>
      </c>
      <c r="S1345" t="s">
        <v>139</v>
      </c>
      <c r="T1345">
        <v>0.002520584677701678</v>
      </c>
      <c r="U1345">
        <v>0.024785749330733166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60</v>
      </c>
      <c r="AB1345">
        <v>1</v>
      </c>
      <c r="AC1345">
        <v>0.50</v>
      </c>
      <c r="AD1345">
        <v>0.50345253019720215</v>
      </c>
      <c r="AE1345">
        <v>32.40</v>
      </c>
      <c r="AF1345">
        <v>200000</v>
      </c>
      <c r="AG1345">
        <v>16666.666666666668</v>
      </c>
      <c r="AH1345">
        <v>1</v>
      </c>
      <c r="AI1345">
        <v>1</v>
      </c>
      <c r="AJ1345" t="s">
        <v>136</v>
      </c>
      <c r="AK1345" t="s">
        <v>137</v>
      </c>
      <c r="AL1345">
        <v>0</v>
      </c>
      <c r="AM1345" t="s">
        <v>137</v>
      </c>
      <c r="AN1345">
        <v>0</v>
      </c>
    </row>
    <row r="1346" spans="1:42" ht="12.75">
      <c r="A1346" s="2" t="str">
        <f>HYPERLINK("https://ibp.a2mac1.com/costing(costing:projects/details/8191/process/6975361)","Automated Process")</f>
        <v>Automated Process</v>
      </c>
      <c r="C1346">
        <v>6975361</v>
      </c>
      <c r="D1346">
        <v>5388344</v>
      </c>
      <c r="E1346">
        <v>0.031213686000000001</v>
      </c>
      <c r="F1346">
        <v>0</v>
      </c>
      <c r="G1346">
        <v>0</v>
      </c>
      <c r="H1346">
        <v>0.00015739833642105264</v>
      </c>
      <c r="I1346" t="s">
        <v>137</v>
      </c>
      <c r="J1346">
        <v>0.0010952170526315789</v>
      </c>
      <c r="K1346">
        <v>0.032466301389052633</v>
      </c>
      <c r="L1346">
        <v>0.0006482443182843961</v>
      </c>
      <c r="M1346">
        <v>0.0038894659097063766</v>
      </c>
      <c r="N1346">
        <v>0.036355767298759008</v>
      </c>
      <c r="O1346" t="s">
        <v>138</v>
      </c>
      <c r="P1346">
        <v>0.0019479780833431578</v>
      </c>
      <c r="Q1346" t="s">
        <v>138</v>
      </c>
      <c r="R1346">
        <v>0.0002333679545823826</v>
      </c>
      <c r="S1346" t="s">
        <v>139</v>
      </c>
      <c r="T1346">
        <v>0.0043626920758510811</v>
      </c>
      <c r="U1346">
        <v>0.04289980541253563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60</v>
      </c>
      <c r="AB1346">
        <v>1</v>
      </c>
      <c r="AC1346">
        <v>0.50</v>
      </c>
      <c r="AD1346">
        <v>0.50048257265952256</v>
      </c>
      <c r="AE1346">
        <v>37.80</v>
      </c>
      <c r="AF1346">
        <v>400000</v>
      </c>
      <c r="AG1346">
        <v>33333.333333333336</v>
      </c>
      <c r="AH1346">
        <v>1</v>
      </c>
      <c r="AI1346">
        <v>1</v>
      </c>
      <c r="AJ1346" t="s">
        <v>136</v>
      </c>
      <c r="AK1346" t="s">
        <v>137</v>
      </c>
      <c r="AL1346">
        <v>0</v>
      </c>
      <c r="AM1346" t="s">
        <v>137</v>
      </c>
      <c r="AN1346">
        <v>0</v>
      </c>
    </row>
  </sheetData>
  <mergeCells count="15">
    <mergeCell ref="A1:D2"/>
    <mergeCell ref="E1:U1"/>
    <mergeCell ref="I3:J3"/>
    <mergeCell ref="E2:K2"/>
    <mergeCell ref="L2:M2"/>
    <mergeCell ref="O3:P3"/>
    <mergeCell ref="Q3:R3"/>
    <mergeCell ref="S3:T3"/>
    <mergeCell ref="O2:T2"/>
    <mergeCell ref="V1:Z1"/>
    <mergeCell ref="V2:X2"/>
    <mergeCell ref="AA1:AJ2"/>
    <mergeCell ref="AK1:AP2"/>
    <mergeCell ref="AK3:AL3"/>
    <mergeCell ref="AM3:AN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d90fd4-f788-4cd1-a8f3-c231558bf030}">
  <dimension ref="A1:X632"/>
  <sheetViews>
    <sheetView workbookViewId="0" topLeftCell="A1"/>
  </sheetViews>
  <sheetFormatPr defaultRowHeight="12.75"/>
  <cols>
    <col min="1" max="1" width="6.57142857142857" customWidth="1"/>
    <col min="2" max="2" width="3.14285714285714" customWidth="1"/>
    <col min="3" max="3" width="17.1428571428571" customWidth="1"/>
    <col min="4" max="4" width="33.2857142857143" customWidth="1"/>
    <col min="5" max="5" width="8.71428571428571" customWidth="1"/>
    <col min="6" max="6" width="11.4285714285714" customWidth="1"/>
    <col min="7" max="7" width="19" customWidth="1"/>
    <col min="8" max="8" width="13.8571428571429" customWidth="1"/>
    <col min="9" max="9" width="31.8571428571429" customWidth="1"/>
    <col min="10" max="10" width="12" customWidth="1"/>
    <col min="11" max="11" width="12.7142857142857" customWidth="1"/>
    <col min="12" max="12" width="11.7142857142857" customWidth="1"/>
    <col min="13" max="13" width="12.2857142857143" customWidth="1"/>
    <col min="14" max="14" width="15.2857142857143" customWidth="1"/>
    <col min="15" max="15" width="11.5714285714286" customWidth="1"/>
    <col min="16" max="16" width="6.85714285714286" customWidth="1"/>
    <col min="17" max="17" width="17.2857142857143" customWidth="1"/>
    <col min="18" max="18" width="18.5714285714286" customWidth="1"/>
    <col min="19" max="19" width="12.7142857142857" customWidth="1"/>
    <col min="20" max="20" width="18.7142857142857" customWidth="1"/>
    <col min="21" max="21" width="13.8571428571429" customWidth="1"/>
    <col min="22" max="22" width="17.8571428571429" customWidth="1"/>
    <col min="23" max="23" width="14.2857142857143" customWidth="1"/>
    <col min="24" max="24" width="13.5714285714286" customWidth="1"/>
  </cols>
  <sheetData>
    <row r="1" spans="1:24" ht="12.75">
      <c r="A1" s="1" t="s">
        <v>565</v>
      </c>
      <c r="B1" s="1"/>
      <c r="C1" s="1"/>
      <c r="D1" s="1"/>
      <c r="E1" s="1"/>
      <c r="F1" s="1"/>
      <c r="G1" s="1"/>
      <c r="H1" s="1"/>
      <c r="I1" s="1"/>
      <c r="J1" s="1"/>
      <c r="K1" s="1" t="s">
        <v>567</v>
      </c>
      <c r="L1" s="1"/>
      <c r="M1" s="1"/>
      <c r="N1" s="1"/>
      <c r="O1" s="1"/>
      <c r="P1" s="1"/>
      <c r="Q1" s="1"/>
      <c r="R1" s="1" t="s">
        <v>66</v>
      </c>
      <c r="S1" s="1"/>
      <c r="T1" s="1"/>
      <c r="U1" s="1"/>
      <c r="V1" s="1"/>
      <c r="W1" s="1"/>
      <c r="X1" s="1"/>
    </row>
    <row r="2" spans="1:24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>
      <c r="A3" s="4" t="s">
        <v>4</v>
      </c>
      <c r="B3" s="4" t="s">
        <v>14</v>
      </c>
      <c r="C3" s="4" t="s">
        <v>101</v>
      </c>
      <c r="D3" s="4" t="s">
        <v>561</v>
      </c>
      <c r="E3" s="4" t="s">
        <v>562</v>
      </c>
      <c r="F3" s="4" t="s">
        <v>16</v>
      </c>
      <c r="G3" s="4" t="s">
        <v>563</v>
      </c>
      <c r="H3" s="4" t="s">
        <v>564</v>
      </c>
      <c r="I3" s="4" t="s">
        <v>54</v>
      </c>
      <c r="J3" s="4" t="s">
        <v>65</v>
      </c>
      <c r="K3" s="4" t="s">
        <v>45</v>
      </c>
      <c r="L3" s="4" t="s">
        <v>46</v>
      </c>
      <c r="M3" s="4" t="s">
        <v>47</v>
      </c>
      <c r="N3" s="4" t="s">
        <v>48</v>
      </c>
      <c r="O3" s="4" t="s">
        <v>49</v>
      </c>
      <c r="P3" s="4" t="s">
        <v>111</v>
      </c>
      <c r="Q3" s="4" t="s">
        <v>566</v>
      </c>
      <c r="R3" s="4" t="s">
        <v>568</v>
      </c>
      <c r="S3" s="4" t="s">
        <v>569</v>
      </c>
      <c r="T3" s="4" t="s">
        <v>570</v>
      </c>
      <c r="U3" s="4" t="s">
        <v>571</v>
      </c>
      <c r="V3" s="4" t="s">
        <v>572</v>
      </c>
      <c r="W3" s="4" t="s">
        <v>72</v>
      </c>
      <c r="X3" s="4" t="s">
        <v>131</v>
      </c>
    </row>
    <row r="4" spans="1:24" ht="12.75">
      <c r="A4" s="2" t="str">
        <f>HYPERLINK("https://ibp.a2mac1.com/costing(costing:projects/details/8191/component/5315274)","Electronics")</f>
        <v>Electronics</v>
      </c>
      <c r="B4">
        <v>5315274</v>
      </c>
      <c r="D4">
        <v>0</v>
      </c>
      <c r="E4">
        <v>10.454639999999999</v>
      </c>
      <c r="H4">
        <v>1</v>
      </c>
      <c r="I4">
        <v>200000</v>
      </c>
      <c r="J4" t="s">
        <v>136</v>
      </c>
      <c r="K4">
        <v>0</v>
      </c>
      <c r="L4">
        <v>0</v>
      </c>
      <c r="M4">
        <v>0</v>
      </c>
      <c r="N4">
        <v>0</v>
      </c>
      <c r="O4">
        <v>0</v>
      </c>
      <c r="P4" t="s">
        <v>573</v>
      </c>
      <c r="Q4">
        <v>0</v>
      </c>
      <c r="R4">
        <v>0</v>
      </c>
      <c r="S4">
        <v>9.8108922650933312</v>
      </c>
      <c r="U4">
        <v>5381252</v>
      </c>
    </row>
    <row r="5" spans="1:24" ht="12.75">
      <c r="A5" s="2" t="str">
        <f>HYPERLINK("https://ibp.a2mac1.com/costing(costing:projects/details/8191/component/5315275)","Mechanics")</f>
        <v>Mechanics</v>
      </c>
      <c r="B5">
        <v>5315275</v>
      </c>
      <c r="D5">
        <v>0</v>
      </c>
      <c r="E5">
        <v>5.3057600000000003</v>
      </c>
      <c r="H5">
        <v>1</v>
      </c>
      <c r="I5">
        <v>200000</v>
      </c>
      <c r="J5" t="s">
        <v>136</v>
      </c>
      <c r="K5">
        <v>0</v>
      </c>
      <c r="L5">
        <v>0</v>
      </c>
      <c r="M5">
        <v>0</v>
      </c>
      <c r="N5">
        <v>0</v>
      </c>
      <c r="O5">
        <v>0</v>
      </c>
      <c r="P5" t="s">
        <v>575</v>
      </c>
      <c r="Q5">
        <v>0</v>
      </c>
      <c r="R5">
        <v>0</v>
      </c>
      <c r="S5">
        <v>5.210127535097465</v>
      </c>
      <c r="U5">
        <v>5381252</v>
      </c>
    </row>
    <row r="6" spans="1:24" ht="12.75">
      <c r="A6" s="2" t="str">
        <f>HYPERLINK("https://ibp.a2mac1.com/costing(costing:projects/details/8191/component/5315306)","Mechanics")</f>
        <v>Mechanics</v>
      </c>
      <c r="B6">
        <v>5315306</v>
      </c>
      <c r="D6">
        <v>0</v>
      </c>
      <c r="E6">
        <v>2.60</v>
      </c>
      <c r="H6">
        <v>1</v>
      </c>
      <c r="I6">
        <v>200000</v>
      </c>
      <c r="J6" t="s">
        <v>79</v>
      </c>
      <c r="K6">
        <v>0</v>
      </c>
      <c r="L6">
        <v>0</v>
      </c>
      <c r="M6">
        <v>0</v>
      </c>
      <c r="N6">
        <v>0</v>
      </c>
      <c r="O6">
        <v>0</v>
      </c>
      <c r="P6" t="s">
        <v>575</v>
      </c>
      <c r="Q6">
        <v>0</v>
      </c>
      <c r="R6">
        <v>0</v>
      </c>
      <c r="S6">
        <v>2.5531368910869339</v>
      </c>
      <c r="T6">
        <v>5381271</v>
      </c>
    </row>
    <row r="7" spans="1:24" ht="12.75">
      <c r="A7" s="2" t="str">
        <f>HYPERLINK("https://ibp.a2mac1.com/costing(costing:projects/details/8191/component/5315307)","Electronics")</f>
        <v>Electronics</v>
      </c>
      <c r="B7">
        <v>5315307</v>
      </c>
      <c r="D7">
        <v>0</v>
      </c>
      <c r="E7">
        <v>5.20</v>
      </c>
      <c r="H7">
        <v>1</v>
      </c>
      <c r="I7">
        <v>200000</v>
      </c>
      <c r="J7" t="s">
        <v>79</v>
      </c>
      <c r="K7">
        <v>0</v>
      </c>
      <c r="L7">
        <v>0</v>
      </c>
      <c r="M7">
        <v>0</v>
      </c>
      <c r="N7">
        <v>0</v>
      </c>
      <c r="O7">
        <v>0</v>
      </c>
      <c r="P7" t="s">
        <v>573</v>
      </c>
      <c r="Q7">
        <v>0</v>
      </c>
      <c r="R7">
        <v>0</v>
      </c>
      <c r="S7">
        <v>4.879808370109858</v>
      </c>
      <c r="T7">
        <v>5381271</v>
      </c>
    </row>
    <row r="8" spans="1:24" ht="12.75">
      <c r="A8" s="2" t="str">
        <f>HYPERLINK("https://ibp.a2mac1.com/costing(costing:projects/details/8191/component/5315308)","Electronics")</f>
        <v>Electronics</v>
      </c>
      <c r="B8">
        <v>5315308</v>
      </c>
      <c r="D8">
        <v>0</v>
      </c>
      <c r="E8">
        <v>5.20</v>
      </c>
      <c r="H8">
        <v>1</v>
      </c>
      <c r="I8">
        <v>200000</v>
      </c>
      <c r="J8" t="s">
        <v>79</v>
      </c>
      <c r="K8">
        <v>0</v>
      </c>
      <c r="L8">
        <v>0</v>
      </c>
      <c r="M8">
        <v>0</v>
      </c>
      <c r="N8">
        <v>0</v>
      </c>
      <c r="O8">
        <v>0</v>
      </c>
      <c r="P8" t="s">
        <v>573</v>
      </c>
      <c r="Q8">
        <v>0</v>
      </c>
      <c r="R8">
        <v>0</v>
      </c>
      <c r="S8">
        <v>4.879808370109858</v>
      </c>
      <c r="T8">
        <v>5381272</v>
      </c>
    </row>
    <row r="9" spans="1:24" ht="12.75">
      <c r="A9" s="2" t="str">
        <f>HYPERLINK("https://ibp.a2mac1.com/costing(costing:projects/details/8191/component/5315309)","Mechanics")</f>
        <v>Mechanics</v>
      </c>
      <c r="B9">
        <v>5315309</v>
      </c>
      <c r="D9">
        <v>0</v>
      </c>
      <c r="E9">
        <v>2.60</v>
      </c>
      <c r="H9">
        <v>1</v>
      </c>
      <c r="I9">
        <v>200000</v>
      </c>
      <c r="J9" t="s">
        <v>79</v>
      </c>
      <c r="K9">
        <v>0</v>
      </c>
      <c r="L9">
        <v>0</v>
      </c>
      <c r="M9">
        <v>0</v>
      </c>
      <c r="N9">
        <v>0</v>
      </c>
      <c r="O9">
        <v>0</v>
      </c>
      <c r="P9" t="s">
        <v>575</v>
      </c>
      <c r="Q9">
        <v>0</v>
      </c>
      <c r="R9">
        <v>0</v>
      </c>
      <c r="S9">
        <v>2.5531368910869339</v>
      </c>
      <c r="T9">
        <v>5381272</v>
      </c>
    </row>
    <row r="10" spans="1:24" ht="12.75">
      <c r="A10" s="2" t="str">
        <f>HYPERLINK("https://ibp.a2mac1.com/costing(costing:projects/details/8191/component/5315310)","Fasteners")</f>
        <v>Fasteners</v>
      </c>
      <c r="B10">
        <v>5315310</v>
      </c>
      <c r="D10">
        <v>0.047</v>
      </c>
      <c r="E10">
        <v>0.025</v>
      </c>
      <c r="H10">
        <v>1</v>
      </c>
      <c r="I10">
        <v>200000</v>
      </c>
      <c r="J10" t="s">
        <v>136</v>
      </c>
      <c r="K10">
        <v>0</v>
      </c>
      <c r="L10">
        <v>0</v>
      </c>
      <c r="M10">
        <v>0</v>
      </c>
      <c r="N10">
        <v>0</v>
      </c>
      <c r="Q10">
        <v>0</v>
      </c>
      <c r="R10">
        <v>0.047</v>
      </c>
      <c r="S10">
        <v>0.025</v>
      </c>
      <c r="U10">
        <v>5381273</v>
      </c>
    </row>
    <row r="11" spans="1:24" ht="12.75">
      <c r="A11" s="2" t="str">
        <f>HYPERLINK("https://ibp.a2mac1.com/costing(costing:projects/details/8191/component/5315311)","Fasteners")</f>
        <v>Fasteners</v>
      </c>
      <c r="B11">
        <v>5315311</v>
      </c>
      <c r="D11">
        <v>0.047</v>
      </c>
      <c r="E11">
        <v>0.025</v>
      </c>
      <c r="H11">
        <v>1</v>
      </c>
      <c r="I11">
        <v>200000</v>
      </c>
      <c r="J11" t="s">
        <v>136</v>
      </c>
      <c r="K11">
        <v>0</v>
      </c>
      <c r="L11">
        <v>0</v>
      </c>
      <c r="M11">
        <v>0</v>
      </c>
      <c r="N11">
        <v>0</v>
      </c>
      <c r="Q11">
        <v>0</v>
      </c>
      <c r="R11">
        <v>0.047</v>
      </c>
      <c r="S11">
        <v>0.025</v>
      </c>
      <c r="U11">
        <v>5381274</v>
      </c>
    </row>
    <row r="12" spans="1:24" ht="12.75">
      <c r="A12" s="2" t="str">
        <f>HYPERLINK("https://ibp.a2mac1.com/costing(costing:projects/details/8191/component/5315312)","Hub/Boss")</f>
        <v>Hub/Boss</v>
      </c>
      <c r="B12">
        <v>5315312</v>
      </c>
      <c r="D12">
        <v>0.235</v>
      </c>
      <c r="E12">
        <v>0.80</v>
      </c>
      <c r="H12">
        <v>1</v>
      </c>
      <c r="I12">
        <v>200000</v>
      </c>
      <c r="J12" t="s">
        <v>136</v>
      </c>
      <c r="K12">
        <v>0</v>
      </c>
      <c r="L12">
        <v>0</v>
      </c>
      <c r="M12">
        <v>0</v>
      </c>
      <c r="N12">
        <v>0</v>
      </c>
      <c r="Q12">
        <v>0</v>
      </c>
      <c r="R12">
        <v>0.235</v>
      </c>
      <c r="S12">
        <v>0.80</v>
      </c>
      <c r="U12">
        <v>5381275</v>
      </c>
    </row>
    <row r="13" spans="1:24" ht="12.75">
      <c r="A13" s="2" t="str">
        <f>HYPERLINK("https://ibp.a2mac1.com/costing(costing:projects/details/8191/component/5315276)","Fasteners")</f>
        <v>Fasteners</v>
      </c>
      <c r="B13">
        <v>5315276</v>
      </c>
      <c r="D13">
        <v>0</v>
      </c>
      <c r="E13">
        <v>0.1175</v>
      </c>
      <c r="H13">
        <v>1</v>
      </c>
      <c r="I13">
        <v>200000</v>
      </c>
      <c r="J13" t="s">
        <v>79</v>
      </c>
      <c r="K13">
        <v>0</v>
      </c>
      <c r="L13">
        <v>0</v>
      </c>
      <c r="M13">
        <v>0</v>
      </c>
      <c r="N13">
        <v>0</v>
      </c>
      <c r="Q13">
        <v>0</v>
      </c>
      <c r="R13">
        <v>0</v>
      </c>
      <c r="S13">
        <v>0.1175</v>
      </c>
      <c r="T13">
        <v>5381261</v>
      </c>
    </row>
    <row r="14" spans="1:24" ht="12.75">
      <c r="A14" s="2" t="str">
        <f>HYPERLINK("https://ibp.a2mac1.com/costing(costing:projects/details/8191/component/5315354)","Mechanics")</f>
        <v>Mechanics</v>
      </c>
      <c r="B14">
        <v>5315354</v>
      </c>
      <c r="D14">
        <v>0</v>
      </c>
      <c r="E14">
        <v>2.2053500000000001</v>
      </c>
      <c r="H14">
        <v>1</v>
      </c>
      <c r="I14">
        <v>200000</v>
      </c>
      <c r="J14" t="s">
        <v>136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575</v>
      </c>
      <c r="Q14">
        <v>0</v>
      </c>
      <c r="R14">
        <v>0</v>
      </c>
      <c r="S14">
        <v>2.1656001702917576</v>
      </c>
      <c r="U14">
        <v>5381357</v>
      </c>
    </row>
    <row r="15" spans="1:24" ht="12.75">
      <c r="A15" s="2" t="str">
        <f>HYPERLINK("https://ibp.a2mac1.com/costing(costing:projects/details/8191/component/5315355)","Electronics")</f>
        <v>Electronics</v>
      </c>
      <c r="B15">
        <v>5315355</v>
      </c>
      <c r="D15">
        <v>0</v>
      </c>
      <c r="E15">
        <v>30.025960000000001</v>
      </c>
      <c r="H15">
        <v>1</v>
      </c>
      <c r="I15">
        <v>200000</v>
      </c>
      <c r="J15" t="s">
        <v>136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573</v>
      </c>
      <c r="Q15">
        <v>0</v>
      </c>
      <c r="R15">
        <v>0</v>
      </c>
      <c r="S15">
        <v>28.177102101650728</v>
      </c>
      <c r="U15">
        <v>5381357</v>
      </c>
    </row>
    <row r="16" spans="1:24" ht="12.75">
      <c r="A16" s="2" t="str">
        <f>HYPERLINK("https://ibp.a2mac1.com/costing(costing:projects/details/8191/component/5315356)","Mechanics")</f>
        <v>Mechanics</v>
      </c>
      <c r="B16">
        <v>5315356</v>
      </c>
      <c r="D16">
        <v>0</v>
      </c>
      <c r="E16">
        <v>1.3656600000000001</v>
      </c>
      <c r="H16">
        <v>1</v>
      </c>
      <c r="I16">
        <v>200000</v>
      </c>
      <c r="J16" t="s">
        <v>136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575</v>
      </c>
      <c r="Q16">
        <v>0</v>
      </c>
      <c r="R16">
        <v>0</v>
      </c>
      <c r="S16">
        <v>1.3410449718006854</v>
      </c>
      <c r="U16">
        <v>5381359</v>
      </c>
    </row>
    <row r="17" spans="1:24" ht="12.75">
      <c r="A17" s="2" t="str">
        <f>HYPERLINK("https://ibp.a2mac1.com/costing(costing:projects/details/8191/component/5315357)","Electronics")</f>
        <v>Electronics</v>
      </c>
      <c r="B17">
        <v>5315357</v>
      </c>
      <c r="D17">
        <v>0</v>
      </c>
      <c r="E17">
        <v>2.6943999999999999</v>
      </c>
      <c r="H17">
        <v>1</v>
      </c>
      <c r="I17">
        <v>200000</v>
      </c>
      <c r="J17" t="s">
        <v>136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573</v>
      </c>
      <c r="Q17">
        <v>0</v>
      </c>
      <c r="R17">
        <v>0</v>
      </c>
      <c r="S17">
        <v>2.5284914754661538</v>
      </c>
      <c r="U17">
        <v>5381359</v>
      </c>
    </row>
    <row r="18" spans="1:24" ht="12.75">
      <c r="A18" s="2" t="str">
        <f>HYPERLINK("https://ibp.a2mac1.com/costing(costing:projects/details/8191/component/5315358)","Screw &gt; Various shape screw")</f>
        <v>Screw &gt; Various shape screw</v>
      </c>
      <c r="B18">
        <v>5315358</v>
      </c>
      <c r="E18">
        <v>0</v>
      </c>
      <c r="F18" t="s">
        <v>704</v>
      </c>
      <c r="H18">
        <v>0</v>
      </c>
      <c r="I18">
        <v>200000</v>
      </c>
      <c r="J18" t="s">
        <v>136</v>
      </c>
      <c r="K18">
        <v>16</v>
      </c>
      <c r="L18">
        <v>8</v>
      </c>
      <c r="M18">
        <v>9</v>
      </c>
      <c r="O18">
        <v>0.0085000000000000006</v>
      </c>
      <c r="Q18">
        <v>0</v>
      </c>
      <c r="R18">
        <v>0</v>
      </c>
      <c r="S18">
        <v>0</v>
      </c>
      <c r="U18">
        <v>5381363</v>
      </c>
    </row>
    <row r="19" spans="1:24" ht="12.75">
      <c r="A19" s="2" t="str">
        <f>HYPERLINK("https://ibp.a2mac1.com/costing(costing:projects/details/8191/component/5315359)","Fasteners")</f>
        <v>Fasteners</v>
      </c>
      <c r="B19">
        <v>5315359</v>
      </c>
      <c r="D19">
        <v>0.1598</v>
      </c>
      <c r="E19">
        <v>0.085</v>
      </c>
      <c r="H19">
        <v>1</v>
      </c>
      <c r="I19">
        <v>200000</v>
      </c>
      <c r="J19" t="s">
        <v>136</v>
      </c>
      <c r="K19">
        <v>0</v>
      </c>
      <c r="L19">
        <v>0</v>
      </c>
      <c r="M19">
        <v>0</v>
      </c>
      <c r="N19">
        <v>0</v>
      </c>
      <c r="Q19">
        <v>0</v>
      </c>
      <c r="R19">
        <v>0.1598</v>
      </c>
      <c r="S19">
        <v>0.085</v>
      </c>
      <c r="U19">
        <v>5381363</v>
      </c>
    </row>
    <row r="20" spans="1:24" ht="12.75">
      <c r="A20" s="2" t="str">
        <f>HYPERLINK("https://ibp.a2mac1.com/costing(costing:projects/details/8191/component/5315360)","Screw &gt; Torx socket head cap screw with flange")</f>
        <v>Screw &gt; Torx socket head cap screw with flange</v>
      </c>
      <c r="B20">
        <v>5315360</v>
      </c>
      <c r="E20">
        <v>0</v>
      </c>
      <c r="F20" t="s">
        <v>704</v>
      </c>
      <c r="H20">
        <v>0</v>
      </c>
      <c r="I20">
        <v>200000</v>
      </c>
      <c r="J20" t="s">
        <v>136</v>
      </c>
      <c r="K20">
        <v>30</v>
      </c>
      <c r="L20">
        <v>5</v>
      </c>
      <c r="M20">
        <v>6</v>
      </c>
      <c r="O20">
        <v>0.0083000000000000001</v>
      </c>
      <c r="Q20">
        <v>0</v>
      </c>
      <c r="R20">
        <v>0</v>
      </c>
      <c r="S20">
        <v>0</v>
      </c>
      <c r="U20">
        <v>5381364</v>
      </c>
    </row>
    <row r="21" spans="1:24" ht="12.75">
      <c r="A21" s="2" t="str">
        <f>HYPERLINK("https://ibp.a2mac1.com/costing(costing:projects/details/8191/component/5315361)","Fasteners")</f>
        <v>Fasteners</v>
      </c>
      <c r="B21">
        <v>5315361</v>
      </c>
      <c r="D21">
        <v>0.15509999999999999</v>
      </c>
      <c r="E21">
        <v>0.0825</v>
      </c>
      <c r="H21">
        <v>1</v>
      </c>
      <c r="I21">
        <v>200000</v>
      </c>
      <c r="J21" t="s">
        <v>136</v>
      </c>
      <c r="K21">
        <v>0</v>
      </c>
      <c r="L21">
        <v>0</v>
      </c>
      <c r="M21">
        <v>0</v>
      </c>
      <c r="N21">
        <v>0</v>
      </c>
      <c r="Q21">
        <v>0</v>
      </c>
      <c r="R21">
        <v>0.15509999999999999</v>
      </c>
      <c r="S21">
        <v>0.0825</v>
      </c>
      <c r="U21">
        <v>5381364</v>
      </c>
    </row>
    <row r="22" spans="1:24" ht="12.75">
      <c r="A22" s="2" t="str">
        <f>HYPERLINK("https://ibp.a2mac1.com/costing(costing:projects/details/8191/component/5315410)","Screw &gt; Torx socket head cap screw with flange")</f>
        <v>Screw &gt; Torx socket head cap screw with flange</v>
      </c>
      <c r="B22">
        <v>5315410</v>
      </c>
      <c r="E22">
        <v>0</v>
      </c>
      <c r="F22" t="s">
        <v>704</v>
      </c>
      <c r="H22">
        <v>0</v>
      </c>
      <c r="I22">
        <v>400000</v>
      </c>
      <c r="J22" t="s">
        <v>136</v>
      </c>
      <c r="K22">
        <v>18</v>
      </c>
      <c r="L22">
        <v>4</v>
      </c>
      <c r="M22">
        <v>5</v>
      </c>
      <c r="O22">
        <v>0.0040000000000000001</v>
      </c>
      <c r="Q22">
        <v>0</v>
      </c>
      <c r="R22">
        <v>0</v>
      </c>
      <c r="S22">
        <v>0</v>
      </c>
      <c r="U22">
        <v>5381483</v>
      </c>
    </row>
    <row r="23" spans="1:24" ht="12.75">
      <c r="A23" s="2" t="str">
        <f>HYPERLINK("https://ibp.a2mac1.com/costing(costing:projects/details/8191/component/5315411)","Panel holder &gt; Clips in rectangular hole")</f>
        <v>Panel holder &gt; Clips in rectangular hole</v>
      </c>
      <c r="B23">
        <v>5315411</v>
      </c>
      <c r="E23">
        <v>0</v>
      </c>
      <c r="F23" t="s">
        <v>704</v>
      </c>
      <c r="H23">
        <v>0</v>
      </c>
      <c r="I23">
        <v>400000</v>
      </c>
      <c r="J23" t="s">
        <v>136</v>
      </c>
      <c r="K23">
        <v>2</v>
      </c>
      <c r="L23">
        <v>28</v>
      </c>
      <c r="M23">
        <v>6</v>
      </c>
      <c r="O23">
        <v>0.001</v>
      </c>
      <c r="Q23">
        <v>0</v>
      </c>
      <c r="R23">
        <v>0</v>
      </c>
      <c r="S23">
        <v>0</v>
      </c>
      <c r="U23">
        <v>5381484</v>
      </c>
    </row>
    <row r="24" spans="1:24" ht="12.75">
      <c r="A24" s="2" t="str">
        <f>HYPERLINK("https://ibp.a2mac1.com/costing(costing:projects/details/8191/component/5315362)","Washer &gt; Lock interior washer")</f>
        <v>Washer &gt; Lock interior washer</v>
      </c>
      <c r="B24">
        <v>5315362</v>
      </c>
      <c r="E24">
        <v>0</v>
      </c>
      <c r="F24" t="s">
        <v>704</v>
      </c>
      <c r="H24">
        <v>0</v>
      </c>
      <c r="I24">
        <v>400000</v>
      </c>
      <c r="J24" t="s">
        <v>136</v>
      </c>
      <c r="K24">
        <v>1</v>
      </c>
      <c r="L24">
        <v>13</v>
      </c>
      <c r="M24">
        <v>5</v>
      </c>
      <c r="O24">
        <v>0.00050000000000000001</v>
      </c>
      <c r="Q24">
        <v>0</v>
      </c>
      <c r="R24">
        <v>0</v>
      </c>
      <c r="S24">
        <v>0</v>
      </c>
      <c r="U24">
        <v>5381365</v>
      </c>
    </row>
    <row r="25" spans="1:24" ht="12.75">
      <c r="A25" s="2" t="str">
        <f>HYPERLINK("https://ibp.a2mac1.com/costing(costing:projects/details/8191/component/5315363)","Other fastener &gt; Attachment")</f>
        <v>Other fastener &gt; Attachment</v>
      </c>
      <c r="B25">
        <v>5315363</v>
      </c>
      <c r="E25">
        <v>0</v>
      </c>
      <c r="F25" t="s">
        <v>733</v>
      </c>
      <c r="H25">
        <v>0</v>
      </c>
      <c r="I25">
        <v>400000</v>
      </c>
      <c r="J25" t="s">
        <v>136</v>
      </c>
      <c r="K25">
        <v>51</v>
      </c>
      <c r="L25">
        <v>45</v>
      </c>
      <c r="M25">
        <v>44</v>
      </c>
      <c r="O25">
        <v>0.0025</v>
      </c>
      <c r="Q25">
        <v>0</v>
      </c>
      <c r="R25">
        <v>0</v>
      </c>
      <c r="S25">
        <v>0</v>
      </c>
      <c r="U25">
        <v>5381365</v>
      </c>
    </row>
    <row r="26" spans="1:24" ht="12.75">
      <c r="A26" s="2" t="str">
        <f>HYPERLINK("https://ibp.a2mac1.com/costing(costing:projects/details/8191/component/5315364)","Washer &gt; Wave washer")</f>
        <v>Washer &gt; Wave washer</v>
      </c>
      <c r="B26">
        <v>5315364</v>
      </c>
      <c r="E26">
        <v>0</v>
      </c>
      <c r="F26" t="s">
        <v>733</v>
      </c>
      <c r="H26">
        <v>0</v>
      </c>
      <c r="I26">
        <v>400000</v>
      </c>
      <c r="J26" t="s">
        <v>136</v>
      </c>
      <c r="K26">
        <v>2</v>
      </c>
      <c r="L26">
        <v>26</v>
      </c>
      <c r="M26">
        <v>14</v>
      </c>
      <c r="O26">
        <v>0.00050000000000000001</v>
      </c>
      <c r="Q26">
        <v>0</v>
      </c>
      <c r="R26">
        <v>0</v>
      </c>
      <c r="S26">
        <v>0</v>
      </c>
      <c r="U26">
        <v>5381365</v>
      </c>
    </row>
    <row r="27" spans="1:24" ht="12.75">
      <c r="A27" s="2" t="str">
        <f>HYPERLINK("https://ibp.a2mac1.com/costing(costing:projects/details/8191/component/5315365)","Panel holder &gt; Clips in rectangular hole")</f>
        <v>Panel holder &gt; Clips in rectangular hole</v>
      </c>
      <c r="B27">
        <v>5315365</v>
      </c>
      <c r="E27">
        <v>0</v>
      </c>
      <c r="F27" t="s">
        <v>704</v>
      </c>
      <c r="H27">
        <v>0</v>
      </c>
      <c r="I27">
        <v>400000</v>
      </c>
      <c r="J27" t="s">
        <v>136</v>
      </c>
      <c r="K27">
        <v>2</v>
      </c>
      <c r="L27">
        <v>9</v>
      </c>
      <c r="M27">
        <v>6</v>
      </c>
      <c r="O27">
        <v>0.0041999999999999997</v>
      </c>
      <c r="Q27">
        <v>0</v>
      </c>
      <c r="R27">
        <v>0</v>
      </c>
      <c r="S27">
        <v>0</v>
      </c>
      <c r="U27">
        <v>5381365</v>
      </c>
    </row>
    <row r="28" spans="1:24" ht="12.75">
      <c r="A28" s="2" t="str">
        <f>HYPERLINK("https://ibp.a2mac1.com/costing(costing:projects/details/8191/component/5315366)","Screw &gt; Torx socket head cap screw with flange")</f>
        <v>Screw &gt; Torx socket head cap screw with flange</v>
      </c>
      <c r="B28">
        <v>5315366</v>
      </c>
      <c r="E28">
        <v>0</v>
      </c>
      <c r="F28" t="s">
        <v>704</v>
      </c>
      <c r="H28">
        <v>0</v>
      </c>
      <c r="I28">
        <v>400000</v>
      </c>
      <c r="J28" t="s">
        <v>136</v>
      </c>
      <c r="K28">
        <v>18</v>
      </c>
      <c r="L28">
        <v>4</v>
      </c>
      <c r="M28">
        <v>5</v>
      </c>
      <c r="O28">
        <v>0.0035000000000000001</v>
      </c>
      <c r="Q28">
        <v>0</v>
      </c>
      <c r="R28">
        <v>0</v>
      </c>
      <c r="S28">
        <v>0</v>
      </c>
      <c r="U28">
        <v>5381365</v>
      </c>
    </row>
    <row r="29" spans="1:24" ht="12.75">
      <c r="A29" s="2" t="str">
        <f>HYPERLINK("https://ibp.a2mac1.com/costing(costing:projects/details/8191/component/5315367)","Fasteners")</f>
        <v>Fasteners</v>
      </c>
      <c r="B29">
        <v>5315367</v>
      </c>
      <c r="D29">
        <v>0.43709999999999999</v>
      </c>
      <c r="E29">
        <v>0.2325</v>
      </c>
      <c r="H29">
        <v>1</v>
      </c>
      <c r="I29">
        <v>400000</v>
      </c>
      <c r="J29" t="s">
        <v>136</v>
      </c>
      <c r="K29">
        <v>0</v>
      </c>
      <c r="L29">
        <v>0</v>
      </c>
      <c r="M29">
        <v>0</v>
      </c>
      <c r="N29">
        <v>0</v>
      </c>
      <c r="Q29">
        <v>0</v>
      </c>
      <c r="R29">
        <v>0.43709999999999999</v>
      </c>
      <c r="S29">
        <v>0.2325</v>
      </c>
      <c r="U29">
        <v>5381365</v>
      </c>
    </row>
    <row r="30" spans="1:24" ht="12.75">
      <c r="A30" s="2" t="str">
        <f>HYPERLINK("https://ibp.a2mac1.com/costing(costing:projects/details/8191/component/5315316)","Screw &gt; 12 point socket head cap screw with flange")</f>
        <v>Screw &gt; 12 point socket head cap screw with flange</v>
      </c>
      <c r="B30">
        <v>5315316</v>
      </c>
      <c r="D30">
        <v>0</v>
      </c>
      <c r="E30">
        <v>0.092270000000000005</v>
      </c>
      <c r="H30">
        <v>1</v>
      </c>
      <c r="I30">
        <v>200000</v>
      </c>
      <c r="J30" t="s">
        <v>79</v>
      </c>
      <c r="K30">
        <v>22</v>
      </c>
      <c r="L30">
        <v>9</v>
      </c>
      <c r="M30">
        <v>11</v>
      </c>
      <c r="O30">
        <v>0.023</v>
      </c>
      <c r="Q30">
        <v>0</v>
      </c>
      <c r="R30">
        <v>0</v>
      </c>
      <c r="S30">
        <v>0.092270000000000005</v>
      </c>
      <c r="T30">
        <v>5381287</v>
      </c>
    </row>
    <row r="31" spans="1:24" ht="12.75">
      <c r="A31" s="2" t="str">
        <f>HYPERLINK("https://ibp.a2mac1.com/costing(costing:projects/details/8191/component/5315317)","Screw &gt; 12 point socket head cap screw")</f>
        <v>Screw &gt; 12 point socket head cap screw</v>
      </c>
      <c r="B31">
        <v>5315317</v>
      </c>
      <c r="D31">
        <v>0</v>
      </c>
      <c r="E31">
        <v>0.092270000000000005</v>
      </c>
      <c r="H31">
        <v>1</v>
      </c>
      <c r="I31">
        <v>200000</v>
      </c>
      <c r="J31" t="s">
        <v>79</v>
      </c>
      <c r="K31">
        <v>11</v>
      </c>
      <c r="L31">
        <v>7</v>
      </c>
      <c r="M31">
        <v>11</v>
      </c>
      <c r="O31">
        <v>0.017000000000000001</v>
      </c>
      <c r="Q31">
        <v>0</v>
      </c>
      <c r="R31">
        <v>0</v>
      </c>
      <c r="S31">
        <v>0.092270000000000005</v>
      </c>
      <c r="T31">
        <v>5381287</v>
      </c>
    </row>
    <row r="32" spans="1:24" ht="12.75">
      <c r="A32" s="2" t="str">
        <f>HYPERLINK("https://ibp.a2mac1.com/costing(costing:projects/details/8191/component/5315318)","Screw &gt; 12 point socket head cap screw")</f>
        <v>Screw &gt; 12 point socket head cap screw</v>
      </c>
      <c r="B32">
        <v>5315318</v>
      </c>
      <c r="D32">
        <v>0</v>
      </c>
      <c r="E32">
        <v>0.092270000000000005</v>
      </c>
      <c r="H32">
        <v>1</v>
      </c>
      <c r="I32">
        <v>200000</v>
      </c>
      <c r="J32" t="s">
        <v>79</v>
      </c>
      <c r="K32">
        <v>16</v>
      </c>
      <c r="L32">
        <v>9</v>
      </c>
      <c r="M32">
        <v>8</v>
      </c>
      <c r="O32">
        <v>0.01</v>
      </c>
      <c r="Q32">
        <v>0</v>
      </c>
      <c r="R32">
        <v>0</v>
      </c>
      <c r="S32">
        <v>0.092270000000000005</v>
      </c>
      <c r="T32">
        <v>5381287</v>
      </c>
    </row>
    <row r="33" spans="1:24" ht="12.75">
      <c r="A33" s="2" t="str">
        <f>HYPERLINK("https://ibp.a2mac1.com/costing(costing:projects/details/8191/component/5315319)","Nut &gt; Hexagonal nut with collar")</f>
        <v>Nut &gt; Hexagonal nut with collar</v>
      </c>
      <c r="B33">
        <v>5315319</v>
      </c>
      <c r="D33">
        <v>0</v>
      </c>
      <c r="E33">
        <v>0.092270000000000005</v>
      </c>
      <c r="H33">
        <v>1</v>
      </c>
      <c r="I33">
        <v>200000</v>
      </c>
      <c r="J33" t="s">
        <v>79</v>
      </c>
      <c r="K33">
        <v>12</v>
      </c>
      <c r="L33">
        <v>17</v>
      </c>
      <c r="M33">
        <v>11</v>
      </c>
      <c r="O33">
        <v>0.02</v>
      </c>
      <c r="Q33">
        <v>0</v>
      </c>
      <c r="R33">
        <v>0</v>
      </c>
      <c r="S33">
        <v>0.092270000000000005</v>
      </c>
      <c r="T33">
        <v>5381287</v>
      </c>
    </row>
    <row r="34" spans="1:24" ht="12.75">
      <c r="A34" s="2" t="str">
        <f>HYPERLINK("https://ibp.a2mac1.com/costing(costing:projects/details/8191/component/5315368)","Screw &gt; 12 point socket head cap screw")</f>
        <v>Screw &gt; 12 point socket head cap screw</v>
      </c>
      <c r="B34">
        <v>5315368</v>
      </c>
      <c r="D34">
        <v>0</v>
      </c>
      <c r="E34">
        <v>0.10</v>
      </c>
      <c r="H34">
        <v>1</v>
      </c>
      <c r="I34">
        <v>200000</v>
      </c>
      <c r="J34" t="s">
        <v>79</v>
      </c>
      <c r="K34">
        <v>22</v>
      </c>
      <c r="L34">
        <v>9</v>
      </c>
      <c r="M34">
        <v>11</v>
      </c>
      <c r="O34">
        <v>0.035</v>
      </c>
      <c r="Q34">
        <v>0</v>
      </c>
      <c r="R34">
        <v>0</v>
      </c>
      <c r="S34">
        <v>0.10</v>
      </c>
      <c r="T34">
        <v>5381377</v>
      </c>
    </row>
    <row r="35" spans="1:24" ht="12.75">
      <c r="A35" s="2" t="str">
        <f>HYPERLINK("https://ibp.a2mac1.com/costing(costing:projects/details/8191/component/5315320)","Screw &gt; 12 point socket head cap screw with flange")</f>
        <v>Screw &gt; 12 point socket head cap screw with flange</v>
      </c>
      <c r="B35">
        <v>5315320</v>
      </c>
      <c r="D35">
        <v>0</v>
      </c>
      <c r="E35">
        <v>0.092270000000000005</v>
      </c>
      <c r="H35">
        <v>1</v>
      </c>
      <c r="I35">
        <v>200000</v>
      </c>
      <c r="J35" t="s">
        <v>79</v>
      </c>
      <c r="K35">
        <v>22</v>
      </c>
      <c r="L35">
        <v>9</v>
      </c>
      <c r="M35">
        <v>11</v>
      </c>
      <c r="O35">
        <v>0.024</v>
      </c>
      <c r="Q35">
        <v>0</v>
      </c>
      <c r="R35">
        <v>0</v>
      </c>
      <c r="S35">
        <v>0.092270000000000005</v>
      </c>
      <c r="T35">
        <v>5381288</v>
      </c>
    </row>
    <row r="36" spans="1:24" ht="12.75">
      <c r="A36" s="2" t="str">
        <f>HYPERLINK("https://ibp.a2mac1.com/costing(costing:projects/details/8191/component/5315321)","Screw &gt; 12 point socket head cap screw")</f>
        <v>Screw &gt; 12 point socket head cap screw</v>
      </c>
      <c r="B36">
        <v>5315321</v>
      </c>
      <c r="D36">
        <v>0</v>
      </c>
      <c r="E36">
        <v>0.092270000000000005</v>
      </c>
      <c r="H36">
        <v>1</v>
      </c>
      <c r="I36">
        <v>200000</v>
      </c>
      <c r="J36" t="s">
        <v>79</v>
      </c>
      <c r="K36">
        <v>16</v>
      </c>
      <c r="L36">
        <v>9</v>
      </c>
      <c r="M36">
        <v>8</v>
      </c>
      <c r="O36">
        <v>0.01</v>
      </c>
      <c r="Q36">
        <v>0</v>
      </c>
      <c r="R36">
        <v>0</v>
      </c>
      <c r="S36">
        <v>0.092270000000000005</v>
      </c>
      <c r="T36">
        <v>5381288</v>
      </c>
    </row>
    <row r="37" spans="1:24" ht="12.75">
      <c r="A37" s="2" t="str">
        <f>HYPERLINK("https://ibp.a2mac1.com/costing(costing:projects/details/8191/component/5315322)","Screw &gt; 12 point socket head cap screw")</f>
        <v>Screw &gt; 12 point socket head cap screw</v>
      </c>
      <c r="B37">
        <v>5315322</v>
      </c>
      <c r="D37">
        <v>0</v>
      </c>
      <c r="E37">
        <v>0.092270000000000005</v>
      </c>
      <c r="H37">
        <v>1</v>
      </c>
      <c r="I37">
        <v>200000</v>
      </c>
      <c r="J37" t="s">
        <v>79</v>
      </c>
      <c r="K37">
        <v>11</v>
      </c>
      <c r="L37">
        <v>7</v>
      </c>
      <c r="M37">
        <v>11</v>
      </c>
      <c r="O37">
        <v>0.017000000000000001</v>
      </c>
      <c r="Q37">
        <v>0</v>
      </c>
      <c r="R37">
        <v>0</v>
      </c>
      <c r="S37">
        <v>0.092270000000000005</v>
      </c>
      <c r="T37">
        <v>5381288</v>
      </c>
    </row>
    <row r="38" spans="1:24" ht="12.75">
      <c r="A38" s="2" t="str">
        <f>HYPERLINK("https://ibp.a2mac1.com/costing(costing:projects/details/8191/component/5315323)","Nut &gt; Hexagonal nut with collar")</f>
        <v>Nut &gt; Hexagonal nut with collar</v>
      </c>
      <c r="B38">
        <v>5315323</v>
      </c>
      <c r="D38">
        <v>0</v>
      </c>
      <c r="E38">
        <v>0.092270000000000005</v>
      </c>
      <c r="H38">
        <v>1</v>
      </c>
      <c r="I38">
        <v>200000</v>
      </c>
      <c r="J38" t="s">
        <v>79</v>
      </c>
      <c r="K38">
        <v>12</v>
      </c>
      <c r="L38">
        <v>17</v>
      </c>
      <c r="M38">
        <v>11</v>
      </c>
      <c r="O38">
        <v>0.02</v>
      </c>
      <c r="Q38">
        <v>0</v>
      </c>
      <c r="R38">
        <v>0</v>
      </c>
      <c r="S38">
        <v>0.092270000000000005</v>
      </c>
      <c r="T38">
        <v>5381288</v>
      </c>
    </row>
    <row r="39" spans="1:24" ht="12.75">
      <c r="A39" s="2" t="str">
        <f>HYPERLINK("https://ibp.a2mac1.com/costing(costing:projects/details/8191/component/5315324)","Nut &gt; Hexagonal nut with collar")</f>
        <v>Nut &gt; Hexagonal nut with collar</v>
      </c>
      <c r="B39">
        <v>5315324</v>
      </c>
      <c r="D39">
        <v>0</v>
      </c>
      <c r="E39">
        <v>0.10</v>
      </c>
      <c r="H39">
        <v>1</v>
      </c>
      <c r="I39">
        <v>200000</v>
      </c>
      <c r="J39" t="s">
        <v>79</v>
      </c>
      <c r="K39">
        <v>12</v>
      </c>
      <c r="L39">
        <v>17</v>
      </c>
      <c r="M39">
        <v>11</v>
      </c>
      <c r="O39">
        <v>0.019</v>
      </c>
      <c r="Q39">
        <v>0</v>
      </c>
      <c r="R39">
        <v>0</v>
      </c>
      <c r="S39">
        <v>0.10</v>
      </c>
      <c r="T39">
        <v>5381289</v>
      </c>
    </row>
    <row r="40" spans="1:24" ht="12.75">
      <c r="A40" s="2" t="str">
        <f>HYPERLINK("https://ibp.a2mac1.com/costing(costing:projects/details/8191/component/5315325)","Screw &gt; 12 point socket head cap screw with flange")</f>
        <v>Screw &gt; 12 point socket head cap screw with flange</v>
      </c>
      <c r="B40">
        <v>5315325</v>
      </c>
      <c r="D40">
        <v>0</v>
      </c>
      <c r="E40">
        <v>0.10</v>
      </c>
      <c r="H40">
        <v>1</v>
      </c>
      <c r="I40">
        <v>200000</v>
      </c>
      <c r="J40" t="s">
        <v>79</v>
      </c>
      <c r="K40">
        <v>25</v>
      </c>
      <c r="L40">
        <v>9</v>
      </c>
      <c r="M40">
        <v>11</v>
      </c>
      <c r="O40">
        <v>0.025</v>
      </c>
      <c r="Q40">
        <v>0</v>
      </c>
      <c r="R40">
        <v>0</v>
      </c>
      <c r="S40">
        <v>0.10</v>
      </c>
      <c r="T40">
        <v>5381289</v>
      </c>
    </row>
    <row r="41" spans="1:24" ht="12.75">
      <c r="A41" s="2" t="str">
        <f>HYPERLINK("https://ibp.a2mac1.com/costing(costing:projects/details/8191/component/5315326)","Nut &gt; Hexagonal nut")</f>
        <v>Nut &gt; Hexagonal nut</v>
      </c>
      <c r="B41">
        <v>5315326</v>
      </c>
      <c r="D41">
        <v>0</v>
      </c>
      <c r="E41">
        <v>0.10</v>
      </c>
      <c r="H41">
        <v>1</v>
      </c>
      <c r="I41">
        <v>200000</v>
      </c>
      <c r="J41" t="s">
        <v>79</v>
      </c>
      <c r="K41">
        <v>9</v>
      </c>
      <c r="L41">
        <v>17</v>
      </c>
      <c r="M41">
        <v>11</v>
      </c>
      <c r="O41">
        <v>0.010999999999999999</v>
      </c>
      <c r="Q41">
        <v>0</v>
      </c>
      <c r="R41">
        <v>0</v>
      </c>
      <c r="S41">
        <v>0.10</v>
      </c>
      <c r="T41">
        <v>5381290</v>
      </c>
    </row>
    <row r="42" spans="1:24" ht="12.75">
      <c r="A42" s="2" t="str">
        <f>HYPERLINK("https://ibp.a2mac1.com/costing(costing:projects/details/8191/component/5315327)","Rivet &gt; Pop rivet")</f>
        <v>Rivet &gt; Pop rivet</v>
      </c>
      <c r="B42">
        <v>5315327</v>
      </c>
      <c r="D42">
        <v>0</v>
      </c>
      <c r="E42">
        <v>0.018450000000000001</v>
      </c>
      <c r="H42">
        <v>1</v>
      </c>
      <c r="I42">
        <v>200000</v>
      </c>
      <c r="J42" t="s">
        <v>79</v>
      </c>
      <c r="L42">
        <v>4</v>
      </c>
      <c r="M42">
        <v>8</v>
      </c>
      <c r="O42">
        <v>0.001</v>
      </c>
      <c r="Q42">
        <v>0</v>
      </c>
      <c r="R42">
        <v>0</v>
      </c>
      <c r="S42">
        <v>0.018450000000000001</v>
      </c>
      <c r="T42">
        <v>5381290</v>
      </c>
    </row>
    <row r="43" spans="1:24" ht="12.75">
      <c r="A43" s="2" t="str">
        <f>HYPERLINK("https://ibp.a2mac1.com/costing(costing:projects/details/8191/component/5315369)","Nut &gt; Hexagonal nut with collar")</f>
        <v>Nut &gt; Hexagonal nut with collar</v>
      </c>
      <c r="B43">
        <v>5315369</v>
      </c>
      <c r="D43">
        <v>0</v>
      </c>
      <c r="E43">
        <v>0.10</v>
      </c>
      <c r="H43">
        <v>1</v>
      </c>
      <c r="I43">
        <v>200000</v>
      </c>
      <c r="J43" t="s">
        <v>79</v>
      </c>
      <c r="K43">
        <v>12</v>
      </c>
      <c r="L43">
        <v>17</v>
      </c>
      <c r="M43">
        <v>11</v>
      </c>
      <c r="O43">
        <v>0.019</v>
      </c>
      <c r="Q43">
        <v>0</v>
      </c>
      <c r="R43">
        <v>0</v>
      </c>
      <c r="S43">
        <v>0.10</v>
      </c>
      <c r="T43">
        <v>5381387</v>
      </c>
    </row>
    <row r="44" spans="1:24" ht="12.75">
      <c r="A44" s="2" t="str">
        <f>HYPERLINK("https://ibp.a2mac1.com/costing(costing:projects/details/8191/component/5315328)","Screw &gt; 12 point socket head cap screw with flange")</f>
        <v>Screw &gt; 12 point socket head cap screw with flange</v>
      </c>
      <c r="B44">
        <v>5315328</v>
      </c>
      <c r="D44">
        <v>0</v>
      </c>
      <c r="E44">
        <v>0.10</v>
      </c>
      <c r="H44">
        <v>1</v>
      </c>
      <c r="I44">
        <v>200000</v>
      </c>
      <c r="J44" t="s">
        <v>79</v>
      </c>
      <c r="K44">
        <v>22</v>
      </c>
      <c r="L44">
        <v>9</v>
      </c>
      <c r="M44">
        <v>11</v>
      </c>
      <c r="O44">
        <v>0.023</v>
      </c>
      <c r="Q44">
        <v>0</v>
      </c>
      <c r="R44">
        <v>0</v>
      </c>
      <c r="S44">
        <v>0.10</v>
      </c>
      <c r="T44">
        <v>5381291</v>
      </c>
    </row>
    <row r="45" spans="1:24" ht="12.75">
      <c r="A45" s="2" t="str">
        <f>HYPERLINK("https://ibp.a2mac1.com/costing(costing:projects/details/8191/component/5315329)","Screw &gt; 12 point socket head cap screw with flange")</f>
        <v>Screw &gt; 12 point socket head cap screw with flange</v>
      </c>
      <c r="B45">
        <v>5315329</v>
      </c>
      <c r="D45">
        <v>0</v>
      </c>
      <c r="E45">
        <v>0.10</v>
      </c>
      <c r="H45">
        <v>1</v>
      </c>
      <c r="I45">
        <v>200000</v>
      </c>
      <c r="J45" t="s">
        <v>79</v>
      </c>
      <c r="K45">
        <v>25</v>
      </c>
      <c r="L45">
        <v>9</v>
      </c>
      <c r="M45">
        <v>11</v>
      </c>
      <c r="O45">
        <v>0.025</v>
      </c>
      <c r="Q45">
        <v>0</v>
      </c>
      <c r="R45">
        <v>0</v>
      </c>
      <c r="S45">
        <v>0.10</v>
      </c>
      <c r="T45">
        <v>5381291</v>
      </c>
    </row>
    <row r="46" spans="1:24" ht="12.75">
      <c r="A46" s="2" t="str">
        <f>HYPERLINK("https://ibp.a2mac1.com/costing(costing:projects/details/8191/component/5315429)","Electronics")</f>
        <v>Electronics</v>
      </c>
      <c r="B46">
        <v>5315429</v>
      </c>
      <c r="D46">
        <v>0</v>
      </c>
      <c r="E46">
        <v>4.7890199999999998</v>
      </c>
      <c r="H46">
        <v>1</v>
      </c>
      <c r="I46">
        <v>200000</v>
      </c>
      <c r="J46" t="s">
        <v>136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573</v>
      </c>
      <c r="Q46">
        <v>0</v>
      </c>
      <c r="R46">
        <v>0</v>
      </c>
      <c r="S46">
        <v>4.4941345924275984</v>
      </c>
      <c r="U46">
        <v>5381531</v>
      </c>
    </row>
    <row r="47" spans="1:24" ht="12.75">
      <c r="A47" s="2" t="str">
        <f>HYPERLINK("https://ibp.a2mac1.com/costing(costing:projects/details/8191/component/5315430)","Mechanics")</f>
        <v>Mechanics</v>
      </c>
      <c r="B47">
        <v>5315430</v>
      </c>
      <c r="D47">
        <v>0</v>
      </c>
      <c r="E47">
        <v>2.4268100000000001</v>
      </c>
      <c r="H47">
        <v>1</v>
      </c>
      <c r="I47">
        <v>200000</v>
      </c>
      <c r="J47" t="s">
        <v>136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575</v>
      </c>
      <c r="Q47">
        <v>0</v>
      </c>
      <c r="R47">
        <v>0</v>
      </c>
      <c r="S47">
        <v>2.3830685148687238</v>
      </c>
      <c r="U47">
        <v>5381531</v>
      </c>
    </row>
    <row r="48" spans="1:24" ht="12.75">
      <c r="A48" s="2" t="str">
        <f>HYPERLINK("https://ibp.a2mac1.com/costing(costing:projects/details/8191/component/5315374)","Panel holder &gt; Clips in rectangular hole")</f>
        <v>Panel holder &gt; Clips in rectangular hole</v>
      </c>
      <c r="B48">
        <v>5315374</v>
      </c>
      <c r="D48">
        <v>0</v>
      </c>
      <c r="E48">
        <v>0</v>
      </c>
      <c r="H48">
        <v>2</v>
      </c>
      <c r="I48">
        <v>400000</v>
      </c>
      <c r="J48" t="s">
        <v>79</v>
      </c>
      <c r="K48">
        <v>2</v>
      </c>
      <c r="L48">
        <v>15</v>
      </c>
      <c r="M48">
        <v>10</v>
      </c>
      <c r="O48">
        <v>0.0015</v>
      </c>
      <c r="Q48">
        <v>0</v>
      </c>
      <c r="R48">
        <v>0</v>
      </c>
      <c r="S48">
        <v>0</v>
      </c>
      <c r="T48">
        <v>5381391</v>
      </c>
    </row>
    <row r="49" spans="1:24" ht="12.75">
      <c r="A49" s="2" t="str">
        <f>HYPERLINK("https://ibp.a2mac1.com/costing(costing:projects/details/8191/component/5315370)","Mechanics")</f>
        <v>Mechanics</v>
      </c>
      <c r="B49">
        <v>5315370</v>
      </c>
      <c r="D49">
        <v>0</v>
      </c>
      <c r="E49">
        <v>2.4268100000000001</v>
      </c>
      <c r="H49">
        <v>1</v>
      </c>
      <c r="I49">
        <v>200000</v>
      </c>
      <c r="J49" t="s">
        <v>136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575</v>
      </c>
      <c r="Q49">
        <v>0</v>
      </c>
      <c r="R49">
        <v>0</v>
      </c>
      <c r="S49">
        <v>2.3830685148687238</v>
      </c>
      <c r="U49">
        <v>5381388</v>
      </c>
    </row>
    <row r="50" spans="1:24" ht="12.75">
      <c r="A50" s="2" t="str">
        <f>HYPERLINK("https://ibp.a2mac1.com/costing(costing:projects/details/8191/component/5315371)","Electronics")</f>
        <v>Electronics</v>
      </c>
      <c r="B50">
        <v>5315371</v>
      </c>
      <c r="D50">
        <v>0</v>
      </c>
      <c r="E50">
        <v>4.7890199999999998</v>
      </c>
      <c r="H50">
        <v>1</v>
      </c>
      <c r="I50">
        <v>200000</v>
      </c>
      <c r="J50" t="s">
        <v>136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573</v>
      </c>
      <c r="Q50">
        <v>0</v>
      </c>
      <c r="R50">
        <v>0</v>
      </c>
      <c r="S50">
        <v>4.4941345924275984</v>
      </c>
      <c r="U50">
        <v>5381388</v>
      </c>
    </row>
    <row r="51" spans="1:24" ht="12.75">
      <c r="A51" s="2" t="str">
        <f>HYPERLINK("https://ibp.a2mac1.com/costing(costing:projects/details/8191/component/5315372)","Electronics")</f>
        <v>Electronics</v>
      </c>
      <c r="B51">
        <v>5315372</v>
      </c>
      <c r="D51">
        <v>0</v>
      </c>
      <c r="E51">
        <v>4.7890199999999998</v>
      </c>
      <c r="H51">
        <v>1</v>
      </c>
      <c r="I51">
        <v>200000</v>
      </c>
      <c r="J51" t="s">
        <v>136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573</v>
      </c>
      <c r="Q51">
        <v>0</v>
      </c>
      <c r="R51">
        <v>0</v>
      </c>
      <c r="S51">
        <v>4.4941345924275984</v>
      </c>
      <c r="U51">
        <v>5381390</v>
      </c>
    </row>
    <row r="52" spans="1:24" ht="12.75">
      <c r="A52" s="2" t="str">
        <f>HYPERLINK("https://ibp.a2mac1.com/costing(costing:projects/details/8191/component/5315373)","Mechanics")</f>
        <v>Mechanics</v>
      </c>
      <c r="B52">
        <v>5315373</v>
      </c>
      <c r="D52">
        <v>0</v>
      </c>
      <c r="E52">
        <v>2.4268100000000001</v>
      </c>
      <c r="H52">
        <v>1</v>
      </c>
      <c r="I52">
        <v>200000</v>
      </c>
      <c r="J52" t="s">
        <v>136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575</v>
      </c>
      <c r="Q52">
        <v>0</v>
      </c>
      <c r="R52">
        <v>0</v>
      </c>
      <c r="S52">
        <v>2.3830685148687238</v>
      </c>
      <c r="U52">
        <v>5381390</v>
      </c>
    </row>
    <row r="53" spans="1:24" ht="12.75">
      <c r="A53" s="2" t="str">
        <f>HYPERLINK("https://ibp.a2mac1.com/costing(costing:projects/details/8191/component/5315330)","Other fastener &gt; Attachment")</f>
        <v>Other fastener &gt; Attachment</v>
      </c>
      <c r="B53">
        <v>5315330</v>
      </c>
      <c r="D53">
        <v>0</v>
      </c>
      <c r="E53">
        <v>0</v>
      </c>
      <c r="H53">
        <v>1</v>
      </c>
      <c r="I53">
        <v>200000</v>
      </c>
      <c r="J53" t="s">
        <v>79</v>
      </c>
      <c r="K53">
        <v>25</v>
      </c>
      <c r="L53">
        <v>11</v>
      </c>
      <c r="M53">
        <v>48</v>
      </c>
      <c r="O53">
        <v>0.0030000000000000001</v>
      </c>
      <c r="Q53">
        <v>0</v>
      </c>
      <c r="R53">
        <v>0</v>
      </c>
      <c r="S53">
        <v>0</v>
      </c>
      <c r="T53">
        <v>5381308</v>
      </c>
    </row>
    <row r="54" spans="1:24" ht="12.75">
      <c r="A54" s="2" t="str">
        <f>HYPERLINK("https://ibp.a2mac1.com/costing(costing:projects/details/8191/component/5315375)","Mechanics [2]")</f>
        <v>Mechanics [2]</v>
      </c>
      <c r="B54">
        <v>5315375</v>
      </c>
      <c r="D54">
        <v>0</v>
      </c>
      <c r="E54">
        <v>0.38755000000000001</v>
      </c>
      <c r="H54">
        <v>1</v>
      </c>
      <c r="I54">
        <v>200000</v>
      </c>
      <c r="J54" t="s">
        <v>79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575</v>
      </c>
      <c r="Q54">
        <v>0</v>
      </c>
      <c r="R54">
        <v>0</v>
      </c>
      <c r="S54">
        <v>0.38056469313105429</v>
      </c>
      <c r="T54">
        <v>5381394</v>
      </c>
    </row>
    <row r="55" spans="1:24" ht="12.75">
      <c r="A55" s="2" t="str">
        <f>HYPERLINK("https://ibp.a2mac1.com/costing(costing:projects/details/8191/component/5315376)","Electronics [2]")</f>
        <v>Electronics [2]</v>
      </c>
      <c r="B55">
        <v>5315376</v>
      </c>
      <c r="D55">
        <v>0</v>
      </c>
      <c r="E55">
        <v>4.3553300000000004</v>
      </c>
      <c r="H55">
        <v>1</v>
      </c>
      <c r="I55">
        <v>200000</v>
      </c>
      <c r="J55" t="s">
        <v>79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573</v>
      </c>
      <c r="Q55">
        <v>0</v>
      </c>
      <c r="R55">
        <v>0</v>
      </c>
      <c r="S55">
        <v>4.0871491901135704</v>
      </c>
      <c r="T55">
        <v>5381394</v>
      </c>
    </row>
    <row r="56" spans="1:24" ht="12.75">
      <c r="A56" s="2" t="str">
        <f>HYPERLINK("https://ibp.a2mac1.com/costing(costing:projects/details/8191/component/5315377)","Mechanics [2]")</f>
        <v>Mechanics [2]</v>
      </c>
      <c r="B56">
        <v>5315377</v>
      </c>
      <c r="D56">
        <v>0</v>
      </c>
      <c r="E56">
        <v>0.38755000000000001</v>
      </c>
      <c r="H56">
        <v>1</v>
      </c>
      <c r="I56">
        <v>200000</v>
      </c>
      <c r="J56" t="s">
        <v>79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575</v>
      </c>
      <c r="Q56">
        <v>0</v>
      </c>
      <c r="R56">
        <v>0</v>
      </c>
      <c r="S56">
        <v>0.38056469313105429</v>
      </c>
      <c r="T56">
        <v>5381395</v>
      </c>
    </row>
    <row r="57" spans="1:24" ht="12.75">
      <c r="A57" s="2" t="str">
        <f>HYPERLINK("https://ibp.a2mac1.com/costing(costing:projects/details/8191/component/5315378)","Electronics [2]")</f>
        <v>Electronics [2]</v>
      </c>
      <c r="B57">
        <v>5315378</v>
      </c>
      <c r="D57">
        <v>0</v>
      </c>
      <c r="E57">
        <v>4.3553300000000004</v>
      </c>
      <c r="H57">
        <v>1</v>
      </c>
      <c r="I57">
        <v>200000</v>
      </c>
      <c r="J57" t="s">
        <v>79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573</v>
      </c>
      <c r="Q57">
        <v>0</v>
      </c>
      <c r="R57">
        <v>0</v>
      </c>
      <c r="S57">
        <v>4.0871491901135704</v>
      </c>
      <c r="T57">
        <v>5381395</v>
      </c>
    </row>
    <row r="58" spans="1:24" ht="12.75">
      <c r="A58" s="2" t="str">
        <f>HYPERLINK("https://ibp.a2mac1.com/costing(costing:projects/details/8191/component/5315331)","Other fastener &gt; Attachment")</f>
        <v>Other fastener &gt; Attachment</v>
      </c>
      <c r="B58">
        <v>5315331</v>
      </c>
      <c r="D58">
        <v>0</v>
      </c>
      <c r="E58">
        <v>0</v>
      </c>
      <c r="H58">
        <v>1</v>
      </c>
      <c r="I58">
        <v>200000</v>
      </c>
      <c r="J58" t="s">
        <v>79</v>
      </c>
      <c r="K58">
        <v>38</v>
      </c>
      <c r="L58">
        <v>3</v>
      </c>
      <c r="M58">
        <v>58</v>
      </c>
      <c r="O58">
        <v>0.002</v>
      </c>
      <c r="Q58">
        <v>0</v>
      </c>
      <c r="R58">
        <v>0</v>
      </c>
      <c r="S58">
        <v>0</v>
      </c>
      <c r="T58">
        <v>5381310</v>
      </c>
    </row>
    <row r="59" spans="1:24" ht="12.75">
      <c r="A59" s="2" t="str">
        <f>HYPERLINK("https://ibp.a2mac1.com/costing(costing:projects/details/8191/component/5315435)","Electronics")</f>
        <v>Electronics</v>
      </c>
      <c r="B59">
        <v>5315435</v>
      </c>
      <c r="D59">
        <v>0</v>
      </c>
      <c r="E59">
        <v>9.5780399999999997</v>
      </c>
      <c r="H59">
        <v>1</v>
      </c>
      <c r="I59">
        <v>200000</v>
      </c>
      <c r="J59" t="s">
        <v>136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573</v>
      </c>
      <c r="Q59">
        <v>0</v>
      </c>
      <c r="R59">
        <v>0</v>
      </c>
      <c r="S59">
        <v>8.9882691848551968</v>
      </c>
      <c r="U59">
        <v>5381533</v>
      </c>
    </row>
    <row r="60" spans="1:24" ht="12.75">
      <c r="A60" s="2" t="str">
        <f>HYPERLINK("https://ibp.a2mac1.com/costing(costing:projects/details/8191/component/5315436)","Mechanics")</f>
        <v>Mechanics</v>
      </c>
      <c r="B60">
        <v>5315436</v>
      </c>
      <c r="D60">
        <v>0</v>
      </c>
      <c r="E60">
        <v>4.8628400000000003</v>
      </c>
      <c r="H60">
        <v>1</v>
      </c>
      <c r="I60">
        <v>200000</v>
      </c>
      <c r="J60" t="s">
        <v>136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575</v>
      </c>
      <c r="Q60">
        <v>0</v>
      </c>
      <c r="R60">
        <v>0</v>
      </c>
      <c r="S60">
        <v>4.7751908459435324</v>
      </c>
      <c r="U60">
        <v>5381533</v>
      </c>
    </row>
    <row r="61" spans="1:24" ht="12.75">
      <c r="A61" s="2" t="str">
        <f>HYPERLINK("https://ibp.a2mac1.com/costing(costing:projects/details/8191/component/5315332)","Panel holder &gt; Clips for panel side")</f>
        <v>Panel holder &gt; Clips for panel side</v>
      </c>
      <c r="B61">
        <v>5315332</v>
      </c>
      <c r="D61">
        <v>0</v>
      </c>
      <c r="E61">
        <v>0</v>
      </c>
      <c r="H61">
        <v>2</v>
      </c>
      <c r="I61">
        <v>400000</v>
      </c>
      <c r="J61" t="s">
        <v>79</v>
      </c>
      <c r="L61">
        <v>22</v>
      </c>
      <c r="M61">
        <v>12</v>
      </c>
      <c r="O61">
        <v>0.002</v>
      </c>
      <c r="Q61">
        <v>0</v>
      </c>
      <c r="R61">
        <v>0</v>
      </c>
      <c r="S61">
        <v>0</v>
      </c>
      <c r="T61">
        <v>5381311</v>
      </c>
    </row>
    <row r="62" spans="1:24" ht="12.75">
      <c r="A62" s="2" t="str">
        <f>HYPERLINK("https://ibp.a2mac1.com/costing(costing:projects/details/8191/component/5315379)","Electronics")</f>
        <v>Electronics</v>
      </c>
      <c r="B62">
        <v>5315379</v>
      </c>
      <c r="D62">
        <v>0</v>
      </c>
      <c r="E62">
        <v>50.520020000000002</v>
      </c>
      <c r="H62">
        <v>1</v>
      </c>
      <c r="I62">
        <v>200000</v>
      </c>
      <c r="J62" t="s">
        <v>136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573</v>
      </c>
      <c r="Q62">
        <v>0</v>
      </c>
      <c r="R62">
        <v>0</v>
      </c>
      <c r="S62">
        <v>47.409233933484117</v>
      </c>
      <c r="U62">
        <v>5381407</v>
      </c>
    </row>
    <row r="63" spans="1:24" ht="12.75">
      <c r="A63" s="2" t="str">
        <f>HYPERLINK("https://ibp.a2mac1.com/costing(costing:projects/details/8191/component/5315380)","Mechanics")</f>
        <v>Mechanics</v>
      </c>
      <c r="B63">
        <v>5315380</v>
      </c>
      <c r="D63">
        <v>0</v>
      </c>
      <c r="E63">
        <v>25.624490000000002</v>
      </c>
      <c r="H63">
        <v>1</v>
      </c>
      <c r="I63">
        <v>200000</v>
      </c>
      <c r="J63" t="s">
        <v>136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575</v>
      </c>
      <c r="Q63">
        <v>0</v>
      </c>
      <c r="R63">
        <v>0</v>
      </c>
      <c r="S63">
        <v>25.162627205495472</v>
      </c>
      <c r="U63">
        <v>5381407</v>
      </c>
    </row>
    <row r="64" spans="1:24" ht="12.75">
      <c r="A64" s="2" t="str">
        <f>HYPERLINK("https://ibp.a2mac1.com/costing(costing:projects/details/8191/component/5315381)","Electronics")</f>
        <v>Electronics</v>
      </c>
      <c r="B64">
        <v>5315381</v>
      </c>
      <c r="D64">
        <v>0</v>
      </c>
      <c r="E64">
        <v>13.841100000000001</v>
      </c>
      <c r="H64">
        <v>1</v>
      </c>
      <c r="I64">
        <v>200000</v>
      </c>
      <c r="J64" t="s">
        <v>136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573</v>
      </c>
      <c r="Q64">
        <v>0</v>
      </c>
      <c r="R64">
        <v>0</v>
      </c>
      <c r="S64">
        <v>12.988829929139914</v>
      </c>
      <c r="U64">
        <v>5381410</v>
      </c>
    </row>
    <row r="65" spans="1:24" ht="12.75">
      <c r="A65" s="2" t="str">
        <f>HYPERLINK("https://ibp.a2mac1.com/costing(costing:projects/details/8191/component/5315382)","Mechanics")</f>
        <v>Mechanics</v>
      </c>
      <c r="B65">
        <v>5315382</v>
      </c>
      <c r="D65">
        <v>0</v>
      </c>
      <c r="E65">
        <v>7.0681900000000004</v>
      </c>
      <c r="H65">
        <v>1</v>
      </c>
      <c r="I65">
        <v>200000</v>
      </c>
      <c r="J65" t="s">
        <v>136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575</v>
      </c>
      <c r="Q65">
        <v>0</v>
      </c>
      <c r="R65">
        <v>0</v>
      </c>
      <c r="S65">
        <v>6.9407910162352904</v>
      </c>
      <c r="U65">
        <v>5381410</v>
      </c>
    </row>
    <row r="66" spans="1:24" ht="12.75">
      <c r="A66" s="2" t="str">
        <f>HYPERLINK("https://ibp.a2mac1.com/costing(costing:projects/details/8191/component/5315333)","Panel holder &gt; Clips in rectangular hole")</f>
        <v>Panel holder &gt; Clips in rectangular hole</v>
      </c>
      <c r="B66">
        <v>5315333</v>
      </c>
      <c r="D66">
        <v>0</v>
      </c>
      <c r="E66">
        <v>0</v>
      </c>
      <c r="H66">
        <v>2</v>
      </c>
      <c r="I66">
        <v>400000</v>
      </c>
      <c r="J66" t="s">
        <v>79</v>
      </c>
      <c r="K66">
        <v>3</v>
      </c>
      <c r="L66">
        <v>11</v>
      </c>
      <c r="M66">
        <v>5</v>
      </c>
      <c r="O66">
        <v>0.00050000000000000001</v>
      </c>
      <c r="Q66">
        <v>0</v>
      </c>
      <c r="R66">
        <v>0</v>
      </c>
      <c r="S66">
        <v>0</v>
      </c>
      <c r="T66">
        <v>5381312</v>
      </c>
    </row>
    <row r="67" spans="1:24" ht="12.75">
      <c r="A67" s="2" t="str">
        <f>HYPERLINK("https://ibp.a2mac1.com/costing(costing:projects/details/8191/component/5315334)","Nut &gt; Hexagonal nut with collar")</f>
        <v>Nut &gt; Hexagonal nut with collar</v>
      </c>
      <c r="B67">
        <v>5315334</v>
      </c>
      <c r="D67">
        <v>0</v>
      </c>
      <c r="E67">
        <v>0</v>
      </c>
      <c r="H67">
        <v>1</v>
      </c>
      <c r="I67">
        <v>200000</v>
      </c>
      <c r="J67" t="s">
        <v>79</v>
      </c>
      <c r="K67">
        <v>6</v>
      </c>
      <c r="L67">
        <v>10</v>
      </c>
      <c r="M67">
        <v>6</v>
      </c>
      <c r="O67">
        <v>0.0030000000000000001</v>
      </c>
      <c r="Q67">
        <v>0</v>
      </c>
      <c r="R67">
        <v>0</v>
      </c>
      <c r="S67">
        <v>0</v>
      </c>
      <c r="T67">
        <v>5381312</v>
      </c>
    </row>
    <row r="68" spans="1:24" ht="12.75">
      <c r="A68" s="2" t="str">
        <f>HYPERLINK("https://ibp.a2mac1.com/costing(costing:projects/details/8191/component/5315335)","Other fastener &gt; Glue")</f>
        <v>Other fastener &gt; Glue</v>
      </c>
      <c r="B68">
        <v>5315335</v>
      </c>
      <c r="D68">
        <v>0</v>
      </c>
      <c r="E68">
        <v>0</v>
      </c>
      <c r="H68">
        <v>1</v>
      </c>
      <c r="I68">
        <v>200000</v>
      </c>
      <c r="J68" t="s">
        <v>79</v>
      </c>
      <c r="O68">
        <v>0.005</v>
      </c>
      <c r="Q68">
        <v>0</v>
      </c>
      <c r="R68">
        <v>0</v>
      </c>
      <c r="S68">
        <v>0</v>
      </c>
      <c r="T68">
        <v>5381313</v>
      </c>
    </row>
    <row r="69" spans="1:24" ht="12.75">
      <c r="A69" s="2" t="str">
        <f>HYPERLINK("https://ibp.a2mac1.com/costing(costing:projects/details/8191/component/5315389)","Screw &gt; Torx socket head cap screw with flange")</f>
        <v>Screw &gt; Torx socket head cap screw with flange</v>
      </c>
      <c r="B69">
        <v>5315389</v>
      </c>
      <c r="D69">
        <v>0</v>
      </c>
      <c r="E69">
        <v>0</v>
      </c>
      <c r="H69">
        <v>4</v>
      </c>
      <c r="I69">
        <v>800000</v>
      </c>
      <c r="J69" t="s">
        <v>79</v>
      </c>
      <c r="K69">
        <v>16</v>
      </c>
      <c r="L69">
        <v>4</v>
      </c>
      <c r="M69">
        <v>5</v>
      </c>
      <c r="O69">
        <v>0.0040000000000000001</v>
      </c>
      <c r="Q69">
        <v>0</v>
      </c>
      <c r="R69">
        <v>0</v>
      </c>
      <c r="S69">
        <v>0</v>
      </c>
      <c r="T69">
        <v>5381425</v>
      </c>
    </row>
    <row r="70" spans="1:24" ht="12.75">
      <c r="A70" s="2" t="str">
        <f>HYPERLINK("https://ibp.a2mac1.com/costing(costing:projects/details/8191/component/5315383)","Electronics")</f>
        <v>Electronics</v>
      </c>
      <c r="B70">
        <v>5315383</v>
      </c>
      <c r="D70">
        <v>0</v>
      </c>
      <c r="E70">
        <v>6.5330000000000004</v>
      </c>
      <c r="H70">
        <v>1</v>
      </c>
      <c r="I70">
        <v>200000</v>
      </c>
      <c r="J70" t="s">
        <v>136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573</v>
      </c>
      <c r="Q70">
        <v>0</v>
      </c>
      <c r="R70">
        <v>0</v>
      </c>
      <c r="S70">
        <v>6.1307284772937889</v>
      </c>
      <c r="U70">
        <v>5381416</v>
      </c>
    </row>
    <row r="71" spans="1:24" ht="12.75">
      <c r="A71" s="2" t="str">
        <f>HYPERLINK("https://ibp.a2mac1.com/costing(costing:projects/details/8191/component/5315384)","Mechanics")</f>
        <v>Mechanics</v>
      </c>
      <c r="B71">
        <v>5315384</v>
      </c>
      <c r="D71">
        <v>0</v>
      </c>
      <c r="E71">
        <v>3.31264</v>
      </c>
      <c r="H71">
        <v>1</v>
      </c>
      <c r="I71">
        <v>200000</v>
      </c>
      <c r="J71" t="s">
        <v>136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575</v>
      </c>
      <c r="Q71">
        <v>0</v>
      </c>
      <c r="R71">
        <v>0</v>
      </c>
      <c r="S71">
        <v>3.2529320734193155</v>
      </c>
      <c r="U71">
        <v>5381416</v>
      </c>
    </row>
    <row r="72" spans="1:24" ht="12.75">
      <c r="A72" s="2" t="str">
        <f>HYPERLINK("https://ibp.a2mac1.com/costing(costing:projects/details/8191/component/5315385)","Electronics")</f>
        <v>Electronics</v>
      </c>
      <c r="B72">
        <v>5315385</v>
      </c>
      <c r="D72">
        <v>0</v>
      </c>
      <c r="E72">
        <v>3.0450400000000002</v>
      </c>
      <c r="H72">
        <v>1</v>
      </c>
      <c r="I72">
        <v>200000</v>
      </c>
      <c r="J72" t="s">
        <v>136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573</v>
      </c>
      <c r="Q72">
        <v>0</v>
      </c>
      <c r="R72">
        <v>0</v>
      </c>
      <c r="S72">
        <v>2.8575407075614079</v>
      </c>
      <c r="U72">
        <v>5381421</v>
      </c>
    </row>
    <row r="73" spans="1:24" ht="12.75">
      <c r="A73" s="2" t="str">
        <f>HYPERLINK("https://ibp.a2mac1.com/costing(costing:projects/details/8191/component/5315386)","Mechanics")</f>
        <v>Mechanics</v>
      </c>
      <c r="B73">
        <v>5315386</v>
      </c>
      <c r="D73">
        <v>0</v>
      </c>
      <c r="E73">
        <v>1.5502</v>
      </c>
      <c r="H73">
        <v>1</v>
      </c>
      <c r="I73">
        <v>200000</v>
      </c>
      <c r="J73" t="s">
        <v>136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575</v>
      </c>
      <c r="Q73">
        <v>0</v>
      </c>
      <c r="R73">
        <v>0</v>
      </c>
      <c r="S73">
        <v>1.5222587725242172</v>
      </c>
      <c r="U73">
        <v>5381421</v>
      </c>
    </row>
    <row r="74" spans="1:24" ht="12.75">
      <c r="A74" s="2" t="str">
        <f>HYPERLINK("https://ibp.a2mac1.com/costing(costing:projects/details/8191/component/5315387)","Electronics")</f>
        <v>Electronics</v>
      </c>
      <c r="B74">
        <v>5315387</v>
      </c>
      <c r="D74">
        <v>0</v>
      </c>
      <c r="E74">
        <v>3.0450400000000002</v>
      </c>
      <c r="H74">
        <v>1</v>
      </c>
      <c r="I74">
        <v>200000</v>
      </c>
      <c r="J74" t="s">
        <v>136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573</v>
      </c>
      <c r="Q74">
        <v>0</v>
      </c>
      <c r="R74">
        <v>0</v>
      </c>
      <c r="S74">
        <v>2.8575407075614079</v>
      </c>
      <c r="U74">
        <v>5381422</v>
      </c>
    </row>
    <row r="75" spans="1:24" ht="12.75">
      <c r="A75" s="2" t="str">
        <f>HYPERLINK("https://ibp.a2mac1.com/costing(costing:projects/details/8191/component/5315388)","Mechanics")</f>
        <v>Mechanics</v>
      </c>
      <c r="B75">
        <v>5315388</v>
      </c>
      <c r="D75">
        <v>0</v>
      </c>
      <c r="E75">
        <v>1.5502</v>
      </c>
      <c r="H75">
        <v>1</v>
      </c>
      <c r="I75">
        <v>200000</v>
      </c>
      <c r="J75" t="s">
        <v>136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575</v>
      </c>
      <c r="Q75">
        <v>0</v>
      </c>
      <c r="R75">
        <v>0</v>
      </c>
      <c r="S75">
        <v>1.5222587725242172</v>
      </c>
      <c r="U75">
        <v>5381422</v>
      </c>
    </row>
    <row r="76" spans="1:24" ht="12.75">
      <c r="A76" s="2" t="str">
        <f>HYPERLINK("https://ibp.a2mac1.com/costing(costing:projects/details/8191/component/5315445)","Electronics")</f>
        <v>Electronics</v>
      </c>
      <c r="B76">
        <v>5315445</v>
      </c>
      <c r="D76">
        <v>0</v>
      </c>
      <c r="E76">
        <v>14.36706</v>
      </c>
      <c r="H76">
        <v>1</v>
      </c>
      <c r="I76">
        <v>200000</v>
      </c>
      <c r="J76" t="s">
        <v>136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573</v>
      </c>
      <c r="Q76">
        <v>0</v>
      </c>
      <c r="R76">
        <v>0</v>
      </c>
      <c r="S76">
        <v>13.482403777282794</v>
      </c>
      <c r="U76">
        <v>5381690</v>
      </c>
    </row>
    <row r="77" spans="1:24" ht="12.75">
      <c r="A77" s="2" t="str">
        <f>HYPERLINK("https://ibp.a2mac1.com/costing(costing:projects/details/8191/component/5315446)","Mechanics")</f>
        <v>Mechanics</v>
      </c>
      <c r="B77">
        <v>5315446</v>
      </c>
      <c r="D77">
        <v>0</v>
      </c>
      <c r="E77">
        <v>7.28965</v>
      </c>
      <c r="H77">
        <v>1</v>
      </c>
      <c r="I77">
        <v>200000</v>
      </c>
      <c r="J77" t="s">
        <v>136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575</v>
      </c>
      <c r="Q77">
        <v>0</v>
      </c>
      <c r="R77">
        <v>0</v>
      </c>
      <c r="S77">
        <v>7.1582593608122567</v>
      </c>
      <c r="U77">
        <v>5381690</v>
      </c>
    </row>
    <row r="78" spans="1:24" ht="12.75">
      <c r="A78" s="2" t="str">
        <f>HYPERLINK("https://ibp.a2mac1.com/costing(costing:projects/details/8191/component/5315442)","Electronics")</f>
        <v>Electronics</v>
      </c>
      <c r="B78">
        <v>5315442</v>
      </c>
      <c r="D78">
        <v>0</v>
      </c>
      <c r="E78">
        <v>7.85</v>
      </c>
      <c r="H78">
        <v>1</v>
      </c>
      <c r="I78">
        <v>200000</v>
      </c>
      <c r="J78" t="s">
        <v>136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573</v>
      </c>
      <c r="Q78">
        <v>0</v>
      </c>
      <c r="R78">
        <v>0</v>
      </c>
      <c r="S78">
        <v>7.3666337894927665</v>
      </c>
      <c r="U78">
        <v>5381539</v>
      </c>
    </row>
    <row r="79" spans="1:24" ht="12.75">
      <c r="A79" s="2" t="str">
        <f>HYPERLINK("https://ibp.a2mac1.com/costing(costing:projects/details/8191/component/5315443)","Mechanics")</f>
        <v>Mechanics</v>
      </c>
      <c r="B79">
        <v>5315443</v>
      </c>
      <c r="D79">
        <v>0</v>
      </c>
      <c r="E79">
        <v>0.70</v>
      </c>
      <c r="H79">
        <v>1</v>
      </c>
      <c r="I79">
        <v>200000</v>
      </c>
      <c r="J79" t="s">
        <v>136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575</v>
      </c>
      <c r="Q79">
        <v>0</v>
      </c>
      <c r="R79">
        <v>0</v>
      </c>
      <c r="S79">
        <v>0.6873830091387898</v>
      </c>
      <c r="U79">
        <v>5381539</v>
      </c>
    </row>
    <row r="80" spans="1:24" ht="12.75">
      <c r="A80" s="2" t="str">
        <f>HYPERLINK("https://ibp.a2mac1.com/costing(costing:projects/details/8191/component/5315390)","Screw &gt; Torx socket head cap screw with flange")</f>
        <v>Screw &gt; Torx socket head cap screw with flange</v>
      </c>
      <c r="B80">
        <v>5315390</v>
      </c>
      <c r="D80">
        <v>0</v>
      </c>
      <c r="E80">
        <v>0</v>
      </c>
      <c r="H80">
        <v>2</v>
      </c>
      <c r="I80">
        <v>400000</v>
      </c>
      <c r="J80" t="s">
        <v>79</v>
      </c>
      <c r="K80">
        <v>16</v>
      </c>
      <c r="L80">
        <v>4</v>
      </c>
      <c r="M80">
        <v>5</v>
      </c>
      <c r="O80">
        <v>0.0025</v>
      </c>
      <c r="Q80">
        <v>0</v>
      </c>
      <c r="R80">
        <v>0</v>
      </c>
      <c r="S80">
        <v>0</v>
      </c>
      <c r="T80">
        <v>5381427</v>
      </c>
    </row>
    <row r="81" spans="1:24" ht="12.75">
      <c r="A81" s="2" t="str">
        <f>HYPERLINK("https://ibp.a2mac1.com/costing(costing:projects/details/8191/component/5315391)","Rivet &gt; Head rivet")</f>
        <v>Rivet &gt; Head rivet</v>
      </c>
      <c r="B81">
        <v>5315391</v>
      </c>
      <c r="D81">
        <v>0</v>
      </c>
      <c r="E81">
        <v>0</v>
      </c>
      <c r="H81">
        <v>2</v>
      </c>
      <c r="I81">
        <v>400000</v>
      </c>
      <c r="J81" t="s">
        <v>79</v>
      </c>
      <c r="K81">
        <v>13</v>
      </c>
      <c r="L81">
        <v>17</v>
      </c>
      <c r="M81">
        <v>6</v>
      </c>
      <c r="O81">
        <v>0.00050000000000000001</v>
      </c>
      <c r="Q81">
        <v>0</v>
      </c>
      <c r="R81">
        <v>0</v>
      </c>
      <c r="S81">
        <v>0</v>
      </c>
      <c r="T81">
        <v>5381427</v>
      </c>
    </row>
    <row r="82" spans="1:24" ht="12.75">
      <c r="A82" s="2" t="str">
        <f>HYPERLINK("https://ibp.a2mac1.com/costing(costing:projects/details/8191/component/5315392)","Electronics")</f>
        <v>Electronics</v>
      </c>
      <c r="B82">
        <v>5315392</v>
      </c>
      <c r="D82">
        <v>0</v>
      </c>
      <c r="E82">
        <v>18.288709999999998</v>
      </c>
      <c r="H82">
        <v>1</v>
      </c>
      <c r="I82">
        <v>200000</v>
      </c>
      <c r="J82" t="s">
        <v>136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573</v>
      </c>
      <c r="Q82">
        <v>0</v>
      </c>
      <c r="R82">
        <v>0</v>
      </c>
      <c r="S82">
        <v>17.162576949329203</v>
      </c>
      <c r="U82">
        <v>5381428</v>
      </c>
    </row>
    <row r="83" spans="1:24" ht="12.75">
      <c r="A83" s="2" t="str">
        <f>HYPERLINK("https://ibp.a2mac1.com/costing(costing:projects/details/8191/component/5315393)","Mechanics")</f>
        <v>Mechanics</v>
      </c>
      <c r="B83">
        <v>5315393</v>
      </c>
      <c r="D83">
        <v>0</v>
      </c>
      <c r="E83">
        <v>9.2827599999999997</v>
      </c>
      <c r="H83">
        <v>1</v>
      </c>
      <c r="I83">
        <v>200000</v>
      </c>
      <c r="J83" t="s">
        <v>136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575</v>
      </c>
      <c r="Q83">
        <v>0</v>
      </c>
      <c r="R83">
        <v>0</v>
      </c>
      <c r="S83">
        <v>9.1154450027331322</v>
      </c>
      <c r="U83">
        <v>5381428</v>
      </c>
    </row>
    <row r="84" spans="1:24" ht="12.75">
      <c r="A84" s="2" t="str">
        <f>HYPERLINK("https://ibp.a2mac1.com/costing(costing:projects/details/8191/component/5315336)","Screw &gt; Torx socket head cap screw with flange")</f>
        <v>Screw &gt; Torx socket head cap screw with flange</v>
      </c>
      <c r="B84">
        <v>5315336</v>
      </c>
      <c r="D84">
        <v>0</v>
      </c>
      <c r="E84">
        <v>0</v>
      </c>
      <c r="H84">
        <v>3</v>
      </c>
      <c r="I84">
        <v>600000</v>
      </c>
      <c r="J84" t="s">
        <v>79</v>
      </c>
      <c r="K84">
        <v>16</v>
      </c>
      <c r="L84">
        <v>4</v>
      </c>
      <c r="M84">
        <v>5</v>
      </c>
      <c r="O84">
        <v>0.0040000000000000001</v>
      </c>
      <c r="Q84">
        <v>0</v>
      </c>
      <c r="R84">
        <v>0</v>
      </c>
      <c r="S84">
        <v>0</v>
      </c>
      <c r="T84">
        <v>5381316</v>
      </c>
    </row>
    <row r="85" spans="1:24" ht="12.75">
      <c r="A85" s="2" t="str">
        <f>HYPERLINK("https://ibp.a2mac1.com/costing(costing:projects/details/8191/component/5315394)","Electronics")</f>
        <v>Electronics</v>
      </c>
      <c r="B85">
        <v>5315394</v>
      </c>
      <c r="D85">
        <v>0</v>
      </c>
      <c r="E85">
        <v>47.899430000000002</v>
      </c>
      <c r="H85">
        <v>1</v>
      </c>
      <c r="I85">
        <v>200000</v>
      </c>
      <c r="J85" t="s">
        <v>136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573</v>
      </c>
      <c r="Q85">
        <v>0</v>
      </c>
      <c r="R85">
        <v>0</v>
      </c>
      <c r="S85">
        <v>44.950007584132926</v>
      </c>
      <c r="U85">
        <v>5381471</v>
      </c>
    </row>
    <row r="86" spans="1:24" ht="12.75">
      <c r="A86" s="2" t="str">
        <f>HYPERLINK("https://ibp.a2mac1.com/costing(costing:projects/details/8191/component/5315395)","Mechanics")</f>
        <v>Mechanics</v>
      </c>
      <c r="B86">
        <v>5315395</v>
      </c>
      <c r="D86">
        <v>0</v>
      </c>
      <c r="E86">
        <v>24.304970000000001</v>
      </c>
      <c r="H86">
        <v>1</v>
      </c>
      <c r="I86">
        <v>200000</v>
      </c>
      <c r="J86" t="s">
        <v>136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575</v>
      </c>
      <c r="Q86">
        <v>0</v>
      </c>
      <c r="R86">
        <v>0</v>
      </c>
      <c r="S86">
        <v>23.866890593754306</v>
      </c>
      <c r="U86">
        <v>5381471</v>
      </c>
    </row>
    <row r="87" spans="1:24" ht="12.75">
      <c r="A87" s="2" t="str">
        <f>HYPERLINK("https://ibp.a2mac1.com/costing(costing:projects/details/8191/component/5315396)","Mechanics")</f>
        <v>Mechanics</v>
      </c>
      <c r="B87">
        <v>5315396</v>
      </c>
      <c r="D87">
        <v>0</v>
      </c>
      <c r="E87">
        <v>6.0716299999999999</v>
      </c>
      <c r="H87">
        <v>1</v>
      </c>
      <c r="I87">
        <v>400000</v>
      </c>
      <c r="J87" t="s">
        <v>79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575</v>
      </c>
      <c r="Q87">
        <v>0</v>
      </c>
      <c r="R87">
        <v>0</v>
      </c>
      <c r="S87">
        <v>5.8314034740790266</v>
      </c>
      <c r="T87">
        <v>5381472</v>
      </c>
    </row>
    <row r="88" spans="1:24" ht="12.75">
      <c r="A88" s="2" t="str">
        <f>HYPERLINK("https://ibp.a2mac1.com/costing(costing:projects/details/8191/component/5315397)","Electronics")</f>
        <v>Electronics</v>
      </c>
      <c r="B88">
        <v>5315397</v>
      </c>
      <c r="D88">
        <v>0</v>
      </c>
      <c r="E88">
        <v>11.977169999999999</v>
      </c>
      <c r="H88">
        <v>1</v>
      </c>
      <c r="I88">
        <v>400000</v>
      </c>
      <c r="J88" t="s">
        <v>79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573</v>
      </c>
      <c r="Q88">
        <v>0</v>
      </c>
      <c r="R88">
        <v>0</v>
      </c>
      <c r="S88">
        <v>10.670294058230967</v>
      </c>
      <c r="T88">
        <v>5381472</v>
      </c>
    </row>
    <row r="89" spans="1:24" ht="12.75">
      <c r="A89" s="2" t="str">
        <f>HYPERLINK("https://ibp.a2mac1.com/costing(costing:projects/details/8191/component/5315337)","Nut &gt; Hexagonal nut with collar")</f>
        <v>Nut &gt; Hexagonal nut with collar</v>
      </c>
      <c r="B89">
        <v>5315337</v>
      </c>
      <c r="D89">
        <v>0</v>
      </c>
      <c r="E89">
        <v>0</v>
      </c>
      <c r="H89">
        <v>6</v>
      </c>
      <c r="I89">
        <v>1200000</v>
      </c>
      <c r="J89" t="s">
        <v>79</v>
      </c>
      <c r="K89">
        <v>8</v>
      </c>
      <c r="L89">
        <v>13</v>
      </c>
      <c r="M89">
        <v>6</v>
      </c>
      <c r="O89">
        <v>0.002</v>
      </c>
      <c r="Q89">
        <v>0</v>
      </c>
      <c r="R89">
        <v>0</v>
      </c>
      <c r="S89">
        <v>0</v>
      </c>
      <c r="T89">
        <v>5381318</v>
      </c>
    </row>
    <row r="90" spans="1:24" ht="12.75">
      <c r="A90" s="2" t="str">
        <f>HYPERLINK("https://ibp.a2mac1.com/costing(costing:projects/details/8191/component/5315338)","Screw &gt; Hexagon screw with flange")</f>
        <v>Screw &gt; Hexagon screw with flange</v>
      </c>
      <c r="B90">
        <v>5315338</v>
      </c>
      <c r="D90">
        <v>0</v>
      </c>
      <c r="E90">
        <v>0</v>
      </c>
      <c r="H90">
        <v>4</v>
      </c>
      <c r="I90">
        <v>800000</v>
      </c>
      <c r="J90" t="s">
        <v>79</v>
      </c>
      <c r="K90">
        <v>35</v>
      </c>
      <c r="L90">
        <v>16</v>
      </c>
      <c r="M90">
        <v>10</v>
      </c>
      <c r="O90">
        <v>0.035999999999999997</v>
      </c>
      <c r="Q90">
        <v>0</v>
      </c>
      <c r="R90">
        <v>0</v>
      </c>
      <c r="S90">
        <v>0</v>
      </c>
      <c r="T90">
        <v>5381319</v>
      </c>
    </row>
    <row r="91" spans="1:24" ht="12.75">
      <c r="A91" s="2" t="str">
        <f>HYPERLINK("https://ibp.a2mac1.com/costing(costing:projects/details/8191/component/5315339)","Screw &gt; Torx socket head cap screw with flange")</f>
        <v>Screw &gt; Torx socket head cap screw with flange</v>
      </c>
      <c r="B91">
        <v>5315339</v>
      </c>
      <c r="D91">
        <v>0</v>
      </c>
      <c r="E91">
        <v>0</v>
      </c>
      <c r="H91">
        <v>4</v>
      </c>
      <c r="I91">
        <v>800000</v>
      </c>
      <c r="J91" t="s">
        <v>79</v>
      </c>
      <c r="K91">
        <v>16</v>
      </c>
      <c r="L91">
        <v>4</v>
      </c>
      <c r="M91">
        <v>5</v>
      </c>
      <c r="O91">
        <v>0.0037000000000000002</v>
      </c>
      <c r="Q91">
        <v>0</v>
      </c>
      <c r="R91">
        <v>0</v>
      </c>
      <c r="S91">
        <v>0</v>
      </c>
      <c r="T91">
        <v>5381319</v>
      </c>
    </row>
    <row r="92" spans="1:24" ht="12.75">
      <c r="A92" s="2" t="str">
        <f>HYPERLINK("https://ibp.a2mac1.com/costing(costing:projects/details/8191/component/5315398)","Mechanics")</f>
        <v>Mechanics</v>
      </c>
      <c r="B92">
        <v>5315398</v>
      </c>
      <c r="D92">
        <v>0</v>
      </c>
      <c r="E92">
        <v>1.9838899999999999</v>
      </c>
      <c r="H92">
        <v>1</v>
      </c>
      <c r="I92">
        <v>200000</v>
      </c>
      <c r="J92" t="s">
        <v>136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575</v>
      </c>
      <c r="Q92">
        <v>0</v>
      </c>
      <c r="R92">
        <v>0</v>
      </c>
      <c r="S92">
        <v>1.948131825714791</v>
      </c>
      <c r="U92">
        <v>5381477</v>
      </c>
    </row>
    <row r="93" spans="1:24" ht="12.75">
      <c r="A93" s="2" t="str">
        <f>HYPERLINK("https://ibp.a2mac1.com/costing(costing:projects/details/8191/component/5315399)","Electronics")</f>
        <v>Electronics</v>
      </c>
      <c r="B93">
        <v>5315399</v>
      </c>
      <c r="D93">
        <v>0</v>
      </c>
      <c r="E93">
        <v>3.9216500000000001</v>
      </c>
      <c r="H93">
        <v>1</v>
      </c>
      <c r="I93">
        <v>200000</v>
      </c>
      <c r="J93" t="s">
        <v>136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573</v>
      </c>
      <c r="Q93">
        <v>0</v>
      </c>
      <c r="R93">
        <v>0</v>
      </c>
      <c r="S93">
        <v>3.6801731720464086</v>
      </c>
      <c r="U93">
        <v>5381477</v>
      </c>
    </row>
    <row r="94" spans="1:24" ht="12.75">
      <c r="A94" s="2" t="str">
        <f>HYPERLINK("https://ibp.a2mac1.com/costing(costing:projects/details/8191/component/5315340)","Tube/cluster support &gt; Tube/cluster strap support in hole")</f>
        <v>Tube/cluster support &gt; Tube/cluster strap support in hole</v>
      </c>
      <c r="B94">
        <v>5315340</v>
      </c>
      <c r="D94">
        <v>0</v>
      </c>
      <c r="E94">
        <v>0</v>
      </c>
      <c r="H94">
        <v>1</v>
      </c>
      <c r="I94">
        <v>200000</v>
      </c>
      <c r="J94" t="s">
        <v>79</v>
      </c>
      <c r="M94">
        <v>5</v>
      </c>
      <c r="O94">
        <v>0.001</v>
      </c>
      <c r="Q94">
        <v>0</v>
      </c>
      <c r="R94">
        <v>0</v>
      </c>
      <c r="S94">
        <v>0</v>
      </c>
      <c r="T94">
        <v>5381320</v>
      </c>
    </row>
    <row r="95" spans="1:24" ht="12.75">
      <c r="A95" s="2" t="str">
        <f>HYPERLINK("https://ibp.a2mac1.com/costing(costing:projects/details/8191/component/5315400)","Electronics")</f>
        <v>Electronics</v>
      </c>
      <c r="B95">
        <v>5315400</v>
      </c>
      <c r="D95">
        <v>0</v>
      </c>
      <c r="E95">
        <v>9.07</v>
      </c>
      <c r="F95" t="s">
        <v>1395</v>
      </c>
      <c r="H95">
        <v>1</v>
      </c>
      <c r="I95">
        <v>200000</v>
      </c>
      <c r="J95" t="s">
        <v>79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1396</v>
      </c>
      <c r="Q95">
        <v>0</v>
      </c>
      <c r="R95">
        <v>0</v>
      </c>
      <c r="S95">
        <v>8.5115119070954641</v>
      </c>
      <c r="T95">
        <v>5381479</v>
      </c>
    </row>
    <row r="96" spans="1:24" ht="12.75">
      <c r="A96" s="2" t="str">
        <f>HYPERLINK("https://ibp.a2mac1.com/costing(costing:projects/details/8191/component/5315401)","Mechanics")</f>
        <v>Mechanics</v>
      </c>
      <c r="B96">
        <v>5315401</v>
      </c>
      <c r="D96">
        <v>0</v>
      </c>
      <c r="E96">
        <v>4.91</v>
      </c>
      <c r="F96" t="s">
        <v>1397</v>
      </c>
      <c r="H96">
        <v>1</v>
      </c>
      <c r="I96">
        <v>200000</v>
      </c>
      <c r="J96" t="s">
        <v>79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1398</v>
      </c>
      <c r="Q96">
        <v>0</v>
      </c>
      <c r="R96">
        <v>0</v>
      </c>
      <c r="S96">
        <v>4.8215008212449399</v>
      </c>
      <c r="T96">
        <v>5381479</v>
      </c>
    </row>
    <row r="97" spans="1:24" ht="12.75">
      <c r="A97" s="2" t="str">
        <f>HYPERLINK("https://ibp.a2mac1.com/costing(costing:projects/details/8191/component/5315569)","Mechanics")</f>
        <v>Mechanics</v>
      </c>
      <c r="B97">
        <v>5315569</v>
      </c>
      <c r="D97">
        <v>0</v>
      </c>
      <c r="E97">
        <v>1.2918400000000001</v>
      </c>
      <c r="H97">
        <v>1</v>
      </c>
      <c r="I97">
        <v>200000</v>
      </c>
      <c r="J97" t="s">
        <v>79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575</v>
      </c>
      <c r="Q97">
        <v>0</v>
      </c>
      <c r="R97">
        <v>0</v>
      </c>
      <c r="S97">
        <v>1.2685555236083632</v>
      </c>
      <c r="T97">
        <v>5381769</v>
      </c>
    </row>
    <row r="98" spans="1:24" ht="12.75">
      <c r="A98" s="2" t="str">
        <f>HYPERLINK("https://ibp.a2mac1.com/costing(costing:projects/details/8191/component/5315570)","Electronics")</f>
        <v>Electronics</v>
      </c>
      <c r="B98">
        <v>5315570</v>
      </c>
      <c r="D98">
        <v>0</v>
      </c>
      <c r="E98">
        <v>4.3368799999999998</v>
      </c>
      <c r="H98">
        <v>1</v>
      </c>
      <c r="I98">
        <v>200000</v>
      </c>
      <c r="J98" t="s">
        <v>79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573</v>
      </c>
      <c r="Q98">
        <v>0</v>
      </c>
      <c r="R98">
        <v>0</v>
      </c>
      <c r="S98">
        <v>4.0698352546465459</v>
      </c>
      <c r="T98">
        <v>5381769</v>
      </c>
    </row>
    <row r="99" spans="1:24" ht="12.75">
      <c r="A99" s="2" t="str">
        <f>HYPERLINK("https://ibp.a2mac1.com/costing(costing:projects/details/8191/component/5315549)","Screw &gt; Hexagon screw with flange")</f>
        <v>Screw &gt; Hexagon screw with flange</v>
      </c>
      <c r="B99">
        <v>5315549</v>
      </c>
      <c r="D99">
        <v>0</v>
      </c>
      <c r="E99">
        <v>0</v>
      </c>
      <c r="H99">
        <v>1</v>
      </c>
      <c r="I99">
        <v>200000</v>
      </c>
      <c r="J99" t="s">
        <v>79</v>
      </c>
      <c r="K99">
        <v>35</v>
      </c>
      <c r="L99">
        <v>13</v>
      </c>
      <c r="M99">
        <v>8</v>
      </c>
      <c r="O99">
        <v>0.021000000000000001</v>
      </c>
      <c r="Q99">
        <v>0</v>
      </c>
      <c r="R99">
        <v>0</v>
      </c>
      <c r="S99">
        <v>0</v>
      </c>
      <c r="T99">
        <v>5381712</v>
      </c>
    </row>
    <row r="100" spans="1:24" ht="12.75">
      <c r="A100" s="2" t="str">
        <f>HYPERLINK("https://ibp.a2mac1.com/costing(costing:projects/details/8191/component/5315550)","Screw &gt; Hexagon screw with flange")</f>
        <v>Screw &gt; Hexagon screw with flange</v>
      </c>
      <c r="B100">
        <v>5315550</v>
      </c>
      <c r="D100">
        <v>0</v>
      </c>
      <c r="E100">
        <v>0</v>
      </c>
      <c r="H100">
        <v>3</v>
      </c>
      <c r="I100">
        <v>600000</v>
      </c>
      <c r="J100" t="s">
        <v>79</v>
      </c>
      <c r="K100">
        <v>20</v>
      </c>
      <c r="L100">
        <v>10</v>
      </c>
      <c r="M100">
        <v>6</v>
      </c>
      <c r="O100">
        <v>0.0086999999999999994</v>
      </c>
      <c r="Q100">
        <v>0</v>
      </c>
      <c r="R100">
        <v>0</v>
      </c>
      <c r="S100">
        <v>0</v>
      </c>
      <c r="T100">
        <v>5381712</v>
      </c>
    </row>
    <row r="101" spans="1:24" ht="12.75">
      <c r="A101" s="2" t="str">
        <f>HYPERLINK("https://ibp.a2mac1.com/costing(costing:projects/details/8191/component/5315571)","Copper")</f>
        <v>Copper</v>
      </c>
      <c r="B101">
        <v>5315571</v>
      </c>
      <c r="D101">
        <v>0</v>
      </c>
      <c r="E101">
        <v>23.954329999999999</v>
      </c>
      <c r="H101">
        <v>1</v>
      </c>
      <c r="I101">
        <v>200000</v>
      </c>
      <c r="J101" t="s">
        <v>79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23.954329999999999</v>
      </c>
      <c r="T101">
        <v>5381772</v>
      </c>
    </row>
    <row r="102" spans="1:24" ht="12.75">
      <c r="A102" s="2" t="str">
        <f>HYPERLINK("https://ibp.a2mac1.com/costing(costing:projects/details/8191/component/5315572)","Material")</f>
        <v>Material</v>
      </c>
      <c r="B102">
        <v>5315572</v>
      </c>
      <c r="D102">
        <v>0</v>
      </c>
      <c r="E102">
        <v>118.46136</v>
      </c>
      <c r="F102" t="s">
        <v>1641</v>
      </c>
      <c r="H102">
        <v>1</v>
      </c>
      <c r="I102">
        <v>200000</v>
      </c>
      <c r="J102" t="s">
        <v>79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1642</v>
      </c>
      <c r="Q102">
        <v>0</v>
      </c>
      <c r="R102">
        <v>0</v>
      </c>
      <c r="S102">
        <v>116.34559216475085</v>
      </c>
      <c r="T102">
        <v>5381772</v>
      </c>
    </row>
    <row r="103" spans="1:24" ht="12.75">
      <c r="A103" s="2" t="str">
        <f>HYPERLINK("https://ibp.a2mac1.com/costing(costing:projects/details/8191/component/5315573)","Material")</f>
        <v>Material</v>
      </c>
      <c r="B103">
        <v>5315573</v>
      </c>
      <c r="D103">
        <v>0</v>
      </c>
      <c r="E103">
        <v>23.30</v>
      </c>
      <c r="F103" t="s">
        <v>1641</v>
      </c>
      <c r="H103">
        <v>1</v>
      </c>
      <c r="I103">
        <v>200000</v>
      </c>
      <c r="J103" t="s">
        <v>79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1642</v>
      </c>
      <c r="Q103">
        <v>0</v>
      </c>
      <c r="R103">
        <v>0</v>
      </c>
      <c r="S103">
        <v>22.883852569637011</v>
      </c>
      <c r="T103">
        <v>5381773</v>
      </c>
    </row>
    <row r="104" spans="1:24" ht="12.75">
      <c r="A104" s="2" t="str">
        <f>HYPERLINK("https://ibp.a2mac1.com/costing(costing:projects/details/8191/component/5315574)","Copper")</f>
        <v>Copper</v>
      </c>
      <c r="B104">
        <v>5315574</v>
      </c>
      <c r="D104">
        <v>0</v>
      </c>
      <c r="E104">
        <v>12.90</v>
      </c>
      <c r="H104">
        <v>1</v>
      </c>
      <c r="I104">
        <v>200000</v>
      </c>
      <c r="J104" t="s">
        <v>79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12.90</v>
      </c>
      <c r="T104">
        <v>5381773</v>
      </c>
    </row>
    <row r="105" spans="1:24" ht="12.75">
      <c r="A105" s="2" t="str">
        <f>HYPERLINK("https://ibp.a2mac1.com/costing(costing:projects/details/8191/component/5315575)","Material")</f>
        <v>Material</v>
      </c>
      <c r="B105">
        <v>5315575</v>
      </c>
      <c r="D105">
        <v>0</v>
      </c>
      <c r="E105">
        <v>34.731929999999998</v>
      </c>
      <c r="F105" t="s">
        <v>1641</v>
      </c>
      <c r="H105">
        <v>1</v>
      </c>
      <c r="I105">
        <v>200000</v>
      </c>
      <c r="J105" t="s">
        <v>79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1642</v>
      </c>
      <c r="Q105">
        <v>0</v>
      </c>
      <c r="R105">
        <v>0</v>
      </c>
      <c r="S105">
        <v>34.111603672916431</v>
      </c>
      <c r="T105">
        <v>5381774</v>
      </c>
    </row>
    <row r="106" spans="1:24" ht="12.75">
      <c r="A106" s="2" t="str">
        <f>HYPERLINK("https://ibp.a2mac1.com/costing(costing:projects/details/8191/component/5315576)","Copper")</f>
        <v>Copper</v>
      </c>
      <c r="B106">
        <v>5315576</v>
      </c>
      <c r="D106">
        <v>0</v>
      </c>
      <c r="E106">
        <v>16.840009999999999</v>
      </c>
      <c r="H106">
        <v>1</v>
      </c>
      <c r="I106">
        <v>200000</v>
      </c>
      <c r="J106" t="s">
        <v>79</v>
      </c>
      <c r="K106">
        <v>0</v>
      </c>
      <c r="L106">
        <v>0</v>
      </c>
      <c r="M106">
        <v>0</v>
      </c>
      <c r="N106">
        <v>0</v>
      </c>
      <c r="O106">
        <v>0</v>
      </c>
      <c r="Q106">
        <v>0</v>
      </c>
      <c r="R106">
        <v>0</v>
      </c>
      <c r="S106">
        <v>16.840009999999999</v>
      </c>
      <c r="T106">
        <v>5381774</v>
      </c>
    </row>
    <row r="107" spans="1:24" ht="12.75">
      <c r="A107" s="2" t="str">
        <f>HYPERLINK("https://ibp.a2mac1.com/costing(costing:projects/details/8191/component/5315551)","Tube/cluster support &gt; Tube/cluster clipped support in hole")</f>
        <v>Tube/cluster support &gt; Tube/cluster clipped support in hole</v>
      </c>
      <c r="B107">
        <v>5315551</v>
      </c>
      <c r="D107">
        <v>0</v>
      </c>
      <c r="E107">
        <v>0</v>
      </c>
      <c r="H107">
        <v>1</v>
      </c>
      <c r="I107">
        <v>200000</v>
      </c>
      <c r="J107" t="s">
        <v>79</v>
      </c>
      <c r="K107">
        <v>5</v>
      </c>
      <c r="L107">
        <v>5</v>
      </c>
      <c r="O107">
        <v>0.002</v>
      </c>
      <c r="Q107">
        <v>0</v>
      </c>
      <c r="R107">
        <v>0</v>
      </c>
      <c r="S107">
        <v>0</v>
      </c>
      <c r="T107">
        <v>5381713</v>
      </c>
    </row>
    <row r="108" spans="1:24" ht="12.75">
      <c r="A108" s="2" t="str">
        <f>HYPERLINK("https://ibp.a2mac1.com/costing(costing:projects/details/8191/component/5315552)","Tube/cluster support &gt; Tube/cluster beribboned support in hole")</f>
        <v>Tube/cluster support &gt; Tube/cluster beribboned support in hole</v>
      </c>
      <c r="B108">
        <v>5315552</v>
      </c>
      <c r="D108">
        <v>0</v>
      </c>
      <c r="E108">
        <v>0</v>
      </c>
      <c r="H108">
        <v>1</v>
      </c>
      <c r="I108">
        <v>200000</v>
      </c>
      <c r="J108" t="s">
        <v>79</v>
      </c>
      <c r="K108">
        <v>6</v>
      </c>
      <c r="L108">
        <v>10</v>
      </c>
      <c r="M108">
        <v>4</v>
      </c>
      <c r="O108">
        <v>0.001</v>
      </c>
      <c r="Q108">
        <v>0</v>
      </c>
      <c r="R108">
        <v>0</v>
      </c>
      <c r="S108">
        <v>0</v>
      </c>
      <c r="T108">
        <v>5381713</v>
      </c>
    </row>
    <row r="109" spans="1:24" ht="12.75">
      <c r="A109" s="2" t="str">
        <f>HYPERLINK("https://ibp.a2mac1.com/costing(costing:projects/details/8191/component/5315553)","Tube/cluster support &gt; Tube/cluster strap support in hole")</f>
        <v>Tube/cluster support &gt; Tube/cluster strap support in hole</v>
      </c>
      <c r="B109">
        <v>5315553</v>
      </c>
      <c r="D109">
        <v>0</v>
      </c>
      <c r="E109">
        <v>0</v>
      </c>
      <c r="H109">
        <v>1</v>
      </c>
      <c r="I109">
        <v>200000</v>
      </c>
      <c r="J109" t="s">
        <v>79</v>
      </c>
      <c r="K109">
        <v>7</v>
      </c>
      <c r="L109">
        <v>7</v>
      </c>
      <c r="M109">
        <v>9</v>
      </c>
      <c r="O109">
        <v>0.001</v>
      </c>
      <c r="Q109">
        <v>0</v>
      </c>
      <c r="R109">
        <v>0</v>
      </c>
      <c r="S109">
        <v>0</v>
      </c>
      <c r="T109">
        <v>5381713</v>
      </c>
    </row>
    <row r="110" spans="1:24" ht="12.75">
      <c r="A110" s="2" t="str">
        <f>HYPERLINK("https://ibp.a2mac1.com/costing(costing:projects/details/8191/component/5315554)","Screw &gt; Torx socket head cap screw")</f>
        <v>Screw &gt; Torx socket head cap screw</v>
      </c>
      <c r="B110">
        <v>5315554</v>
      </c>
      <c r="D110">
        <v>0</v>
      </c>
      <c r="E110">
        <v>0</v>
      </c>
      <c r="H110">
        <v>1</v>
      </c>
      <c r="I110">
        <v>200000</v>
      </c>
      <c r="J110" t="s">
        <v>79</v>
      </c>
      <c r="K110">
        <v>8</v>
      </c>
      <c r="L110">
        <v>3</v>
      </c>
      <c r="M110">
        <v>3</v>
      </c>
      <c r="O110">
        <v>0.001</v>
      </c>
      <c r="Q110">
        <v>0</v>
      </c>
      <c r="R110">
        <v>0</v>
      </c>
      <c r="S110">
        <v>0</v>
      </c>
      <c r="T110">
        <v>5381713</v>
      </c>
    </row>
    <row r="111" spans="1:24" ht="12.75">
      <c r="A111" s="2" t="str">
        <f>HYPERLINK("https://ibp.a2mac1.com/costing(costing:projects/details/8191/component/5315555)","Tube/cluster support &gt; Tube/cluster beribboned support in hole")</f>
        <v>Tube/cluster support &gt; Tube/cluster beribboned support in hole</v>
      </c>
      <c r="B111">
        <v>5315555</v>
      </c>
      <c r="D111">
        <v>0</v>
      </c>
      <c r="E111">
        <v>0</v>
      </c>
      <c r="H111">
        <v>1</v>
      </c>
      <c r="I111">
        <v>200000</v>
      </c>
      <c r="J111" t="s">
        <v>79</v>
      </c>
      <c r="K111">
        <v>6</v>
      </c>
      <c r="L111">
        <v>12</v>
      </c>
      <c r="M111">
        <v>10</v>
      </c>
      <c r="O111">
        <v>0.002</v>
      </c>
      <c r="Q111">
        <v>0</v>
      </c>
      <c r="R111">
        <v>0</v>
      </c>
      <c r="S111">
        <v>0</v>
      </c>
      <c r="T111">
        <v>5381713</v>
      </c>
    </row>
    <row r="112" spans="1:24" ht="12.75">
      <c r="A112" s="2" t="str">
        <f>HYPERLINK("https://ibp.a2mac1.com/costing(costing:projects/details/8191/component/5315556)","Tube/cluster support &gt; Tube/cluster beribboned support in hole")</f>
        <v>Tube/cluster support &gt; Tube/cluster beribboned support in hole</v>
      </c>
      <c r="B112">
        <v>5315556</v>
      </c>
      <c r="D112">
        <v>0</v>
      </c>
      <c r="E112">
        <v>0</v>
      </c>
      <c r="H112">
        <v>1</v>
      </c>
      <c r="I112">
        <v>200000</v>
      </c>
      <c r="J112" t="s">
        <v>79</v>
      </c>
      <c r="K112">
        <v>7</v>
      </c>
      <c r="L112">
        <v>7</v>
      </c>
      <c r="M112">
        <v>9</v>
      </c>
      <c r="O112">
        <v>0.002</v>
      </c>
      <c r="Q112">
        <v>0</v>
      </c>
      <c r="R112">
        <v>0</v>
      </c>
      <c r="S112">
        <v>0</v>
      </c>
      <c r="T112">
        <v>5381713</v>
      </c>
    </row>
    <row r="113" spans="1:24" ht="12.75">
      <c r="A113" s="2" t="str">
        <f>HYPERLINK("https://ibp.a2mac1.com/costing(costing:projects/details/8191/component/5315557)","Tube/cluster support &gt; Tube/cluster beribboned support in hole")</f>
        <v>Tube/cluster support &gt; Tube/cluster beribboned support in hole</v>
      </c>
      <c r="B113">
        <v>5315557</v>
      </c>
      <c r="D113">
        <v>0</v>
      </c>
      <c r="E113">
        <v>0</v>
      </c>
      <c r="H113">
        <v>1</v>
      </c>
      <c r="I113">
        <v>200000</v>
      </c>
      <c r="J113" t="s">
        <v>79</v>
      </c>
      <c r="K113">
        <v>7</v>
      </c>
      <c r="L113">
        <v>7</v>
      </c>
      <c r="M113">
        <v>17</v>
      </c>
      <c r="O113">
        <v>0.001</v>
      </c>
      <c r="Q113">
        <v>0</v>
      </c>
      <c r="R113">
        <v>0</v>
      </c>
      <c r="S113">
        <v>0</v>
      </c>
      <c r="T113">
        <v>5381713</v>
      </c>
    </row>
    <row r="114" spans="1:24" ht="12.75">
      <c r="A114" s="2" t="str">
        <f>HYPERLINK("https://ibp.a2mac1.com/costing(costing:projects/details/8191/component/5315558)","Tube/cluster support &gt; Tube/cluster beribboned support in hole")</f>
        <v>Tube/cluster support &gt; Tube/cluster beribboned support in hole</v>
      </c>
      <c r="B114">
        <v>5315558</v>
      </c>
      <c r="D114">
        <v>0</v>
      </c>
      <c r="E114">
        <v>0</v>
      </c>
      <c r="H114">
        <v>53</v>
      </c>
      <c r="I114">
        <v>10600000</v>
      </c>
      <c r="J114" t="s">
        <v>79</v>
      </c>
      <c r="K114">
        <v>6</v>
      </c>
      <c r="L114">
        <v>6</v>
      </c>
      <c r="O114">
        <v>0</v>
      </c>
      <c r="Q114">
        <v>0</v>
      </c>
      <c r="R114">
        <v>0</v>
      </c>
      <c r="S114">
        <v>0</v>
      </c>
      <c r="T114">
        <v>5381713</v>
      </c>
    </row>
    <row r="115" spans="1:24" ht="12.75">
      <c r="A115" s="2" t="str">
        <f>HYPERLINK("https://ibp.a2mac1.com/costing(costing:projects/details/8191/component/5315601)","Mechanics")</f>
        <v>Mechanics</v>
      </c>
      <c r="B115">
        <v>5315601</v>
      </c>
      <c r="D115">
        <v>0</v>
      </c>
      <c r="E115">
        <v>13.70269</v>
      </c>
      <c r="H115">
        <v>1</v>
      </c>
      <c r="I115">
        <v>200000</v>
      </c>
      <c r="J115" t="s">
        <v>136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575</v>
      </c>
      <c r="Q115">
        <v>0</v>
      </c>
      <c r="R115">
        <v>0</v>
      </c>
      <c r="S115">
        <v>13.455708979280006</v>
      </c>
      <c r="U115">
        <v>5381816</v>
      </c>
    </row>
    <row r="116" spans="1:24" ht="12.75">
      <c r="A116" s="2" t="str">
        <f>HYPERLINK("https://ibp.a2mac1.com/costing(costing:projects/details/8191/component/5315602)","Electronics")</f>
        <v>Electronics</v>
      </c>
      <c r="B116">
        <v>5315602</v>
      </c>
      <c r="D116">
        <v>0</v>
      </c>
      <c r="E116">
        <v>26.999369999999999</v>
      </c>
      <c r="H116">
        <v>1</v>
      </c>
      <c r="I116">
        <v>200000</v>
      </c>
      <c r="J116" t="s">
        <v>136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573</v>
      </c>
      <c r="Q116">
        <v>0</v>
      </c>
      <c r="R116">
        <v>0</v>
      </c>
      <c r="S116">
        <v>25.336875329556346</v>
      </c>
      <c r="U116">
        <v>5381816</v>
      </c>
    </row>
    <row r="117" spans="1:24" ht="12.75">
      <c r="A117" s="2" t="str">
        <f>HYPERLINK("https://ibp.a2mac1.com/costing(costing:projects/details/8191/component/5315577)","Screw &gt; Torx socket head cap screw with flange")</f>
        <v>Screw &gt; Torx socket head cap screw with flange</v>
      </c>
      <c r="B117">
        <v>5315577</v>
      </c>
      <c r="D117">
        <v>0</v>
      </c>
      <c r="E117">
        <v>0</v>
      </c>
      <c r="H117">
        <v>1</v>
      </c>
      <c r="I117">
        <v>200000</v>
      </c>
      <c r="J117" t="s">
        <v>79</v>
      </c>
      <c r="K117">
        <v>20</v>
      </c>
      <c r="L117">
        <v>5</v>
      </c>
      <c r="M117">
        <v>6</v>
      </c>
      <c r="O117">
        <v>0.0089999999999999993</v>
      </c>
      <c r="Q117">
        <v>0</v>
      </c>
      <c r="R117">
        <v>0</v>
      </c>
      <c r="S117">
        <v>0</v>
      </c>
      <c r="T117">
        <v>5381786</v>
      </c>
    </row>
    <row r="118" spans="1:24" ht="12.75">
      <c r="A118" s="2" t="str">
        <f>HYPERLINK("https://ibp.a2mac1.com/costing(costing:projects/details/8191/component/5315603)","Electronics")</f>
        <v>Electronics</v>
      </c>
      <c r="B118">
        <v>5315603</v>
      </c>
      <c r="D118">
        <v>0</v>
      </c>
      <c r="E118">
        <v>4.3553300000000004</v>
      </c>
      <c r="H118">
        <v>1</v>
      </c>
      <c r="I118">
        <v>200000</v>
      </c>
      <c r="J118" t="s">
        <v>136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573</v>
      </c>
      <c r="Q118">
        <v>0</v>
      </c>
      <c r="R118">
        <v>0</v>
      </c>
      <c r="S118">
        <v>4.0871491901135704</v>
      </c>
      <c r="U118">
        <v>5381818</v>
      </c>
    </row>
    <row r="119" spans="1:24" ht="12.75">
      <c r="A119" s="2" t="str">
        <f>HYPERLINK("https://ibp.a2mac1.com/costing(costing:projects/details/8191/component/5315604)","Mechanics")</f>
        <v>Mechanics</v>
      </c>
      <c r="B119">
        <v>5315604</v>
      </c>
      <c r="D119">
        <v>0</v>
      </c>
      <c r="E119">
        <v>2.2053500000000001</v>
      </c>
      <c r="H119">
        <v>1</v>
      </c>
      <c r="I119">
        <v>200000</v>
      </c>
      <c r="J119" t="s">
        <v>136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575</v>
      </c>
      <c r="Q119">
        <v>0</v>
      </c>
      <c r="R119">
        <v>0</v>
      </c>
      <c r="S119">
        <v>2.1656001702917576</v>
      </c>
      <c r="U119">
        <v>5381818</v>
      </c>
    </row>
    <row r="120" spans="1:24" ht="12.75">
      <c r="A120" s="2" t="str">
        <f>HYPERLINK("https://ibp.a2mac1.com/costing(costing:projects/details/8191/component/5315605)","Mechanics")</f>
        <v>Mechanics</v>
      </c>
      <c r="B120">
        <v>5315605</v>
      </c>
      <c r="D120">
        <v>0</v>
      </c>
      <c r="E120">
        <v>33.799970000000002</v>
      </c>
      <c r="H120">
        <v>1</v>
      </c>
      <c r="I120">
        <v>200000</v>
      </c>
      <c r="J120" t="s">
        <v>136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575</v>
      </c>
      <c r="Q120">
        <v>0</v>
      </c>
      <c r="R120">
        <v>0</v>
      </c>
      <c r="S120">
        <v>33.190750124858319</v>
      </c>
      <c r="U120">
        <v>5381819</v>
      </c>
    </row>
    <row r="121" spans="1:24" ht="12.75">
      <c r="A121" s="2" t="str">
        <f>HYPERLINK("https://ibp.a2mac1.com/costing(costing:projects/details/8191/component/5315606)","Electronics")</f>
        <v>Electronics</v>
      </c>
      <c r="B121">
        <v>5315606</v>
      </c>
      <c r="D121">
        <v>0</v>
      </c>
      <c r="E121">
        <v>66.631060000000005</v>
      </c>
      <c r="H121">
        <v>1</v>
      </c>
      <c r="I121">
        <v>200000</v>
      </c>
      <c r="J121" t="s">
        <v>136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573</v>
      </c>
      <c r="Q121">
        <v>0</v>
      </c>
      <c r="R121">
        <v>0</v>
      </c>
      <c r="S121">
        <v>62.528231595633102</v>
      </c>
      <c r="U121">
        <v>5381819</v>
      </c>
    </row>
    <row r="122" spans="1:24" ht="12.75">
      <c r="A122" s="2" t="str">
        <f>HYPERLINK("https://ibp.a2mac1.com/costing(costing:projects/details/8191/component/5315578)","Other fastener &gt; Grommet")</f>
        <v>Other fastener &gt; Grommet</v>
      </c>
      <c r="B122">
        <v>5315578</v>
      </c>
      <c r="D122">
        <v>0</v>
      </c>
      <c r="E122">
        <v>0</v>
      </c>
      <c r="H122">
        <v>3</v>
      </c>
      <c r="I122">
        <v>600000</v>
      </c>
      <c r="J122" t="s">
        <v>79</v>
      </c>
      <c r="K122">
        <v>10</v>
      </c>
      <c r="L122">
        <v>15</v>
      </c>
      <c r="M122">
        <v>6</v>
      </c>
      <c r="O122">
        <v>0.001</v>
      </c>
      <c r="Q122">
        <v>0</v>
      </c>
      <c r="R122">
        <v>0</v>
      </c>
      <c r="S122">
        <v>0</v>
      </c>
      <c r="T122">
        <v>5381788</v>
      </c>
    </row>
    <row r="123" spans="1:24" ht="12.75">
      <c r="A123" s="2" t="str">
        <f>HYPERLINK("https://ibp.a2mac1.com/costing(costing:projects/details/8191/component/5315607)","Mechanics")</f>
        <v>Mechanics</v>
      </c>
      <c r="B123">
        <v>5315607</v>
      </c>
      <c r="D123">
        <v>0</v>
      </c>
      <c r="E123">
        <v>0.68283000000000005</v>
      </c>
      <c r="H123">
        <v>1</v>
      </c>
      <c r="I123">
        <v>200000</v>
      </c>
      <c r="J123" t="s">
        <v>136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575</v>
      </c>
      <c r="Q123">
        <v>0</v>
      </c>
      <c r="R123">
        <v>0</v>
      </c>
      <c r="S123">
        <v>0.67052248590034269</v>
      </c>
      <c r="U123">
        <v>5381822</v>
      </c>
    </row>
    <row r="124" spans="1:24" ht="12.75">
      <c r="A124" s="2" t="str">
        <f>HYPERLINK("https://ibp.a2mac1.com/costing(costing:projects/details/8191/component/5315608)","Electronics")</f>
        <v>Electronics</v>
      </c>
      <c r="B124">
        <v>5315608</v>
      </c>
      <c r="D124">
        <v>0</v>
      </c>
      <c r="E124">
        <v>9.9932700000000008</v>
      </c>
      <c r="H124">
        <v>1</v>
      </c>
      <c r="I124">
        <v>200000</v>
      </c>
      <c r="J124" t="s">
        <v>136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573</v>
      </c>
      <c r="Q124">
        <v>0</v>
      </c>
      <c r="R124">
        <v>0</v>
      </c>
      <c r="S124">
        <v>9.3779312674553346</v>
      </c>
      <c r="U124">
        <v>5381822</v>
      </c>
    </row>
    <row r="125" spans="1:24" ht="12.75">
      <c r="A125" s="2" t="str">
        <f>HYPERLINK("https://ibp.a2mac1.com/costing(costing:projects/details/8191/component/5315609)","Electronics")</f>
        <v>Electronics</v>
      </c>
      <c r="B125">
        <v>5315609</v>
      </c>
      <c r="D125">
        <v>0</v>
      </c>
      <c r="E125">
        <v>9.1443499999999993</v>
      </c>
      <c r="H125">
        <v>1</v>
      </c>
      <c r="I125">
        <v>200000</v>
      </c>
      <c r="J125" t="s">
        <v>136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573</v>
      </c>
      <c r="Q125">
        <v>0</v>
      </c>
      <c r="R125">
        <v>0</v>
      </c>
      <c r="S125">
        <v>8.5812837825411687</v>
      </c>
      <c r="U125">
        <v>5381823</v>
      </c>
    </row>
    <row r="126" spans="1:24" ht="12.75">
      <c r="A126" s="2" t="str">
        <f>HYPERLINK("https://ibp.a2mac1.com/costing(costing:projects/details/8191/component/5315610)","Mechanics")</f>
        <v>Mechanics</v>
      </c>
      <c r="B126">
        <v>5315610</v>
      </c>
      <c r="D126">
        <v>0</v>
      </c>
      <c r="E126">
        <v>4.6413799999999998</v>
      </c>
      <c r="H126">
        <v>1</v>
      </c>
      <c r="I126">
        <v>200000</v>
      </c>
      <c r="J126" t="s">
        <v>136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575</v>
      </c>
      <c r="Q126">
        <v>0</v>
      </c>
      <c r="R126">
        <v>0</v>
      </c>
      <c r="S126">
        <v>4.5577225013665661</v>
      </c>
      <c r="U126">
        <v>5381823</v>
      </c>
    </row>
    <row r="127" spans="1:24" ht="12.75">
      <c r="A127" s="2" t="str">
        <f>HYPERLINK("https://ibp.a2mac1.com/costing(costing:projects/details/8191/component/5315559)","Other fastener &gt; Snap Tooling")</f>
        <v>Other fastener &gt; Snap Tooling</v>
      </c>
      <c r="B127">
        <v>5315559</v>
      </c>
      <c r="D127">
        <v>0</v>
      </c>
      <c r="E127">
        <v>0</v>
      </c>
      <c r="H127">
        <v>2</v>
      </c>
      <c r="I127">
        <v>400000</v>
      </c>
      <c r="J127" t="s">
        <v>79</v>
      </c>
      <c r="O127">
        <v>0.00050000000000000001</v>
      </c>
      <c r="Q127">
        <v>0</v>
      </c>
      <c r="R127">
        <v>0</v>
      </c>
      <c r="S127">
        <v>0</v>
      </c>
      <c r="T127">
        <v>5381714</v>
      </c>
    </row>
    <row r="128" spans="1:24" ht="12.75">
      <c r="A128" s="2" t="str">
        <f>HYPERLINK("https://ibp.a2mac1.com/costing(costing:projects/details/8191/component/5315560)","Screw &gt; Hexagon screw with flange")</f>
        <v>Screw &gt; Hexagon screw with flange</v>
      </c>
      <c r="B128">
        <v>5315560</v>
      </c>
      <c r="D128">
        <v>0</v>
      </c>
      <c r="E128">
        <v>0</v>
      </c>
      <c r="H128">
        <v>1</v>
      </c>
      <c r="I128">
        <v>200000</v>
      </c>
      <c r="J128" t="s">
        <v>79</v>
      </c>
      <c r="K128">
        <v>25</v>
      </c>
      <c r="L128">
        <v>13</v>
      </c>
      <c r="M128">
        <v>8</v>
      </c>
      <c r="O128">
        <v>0.017000000000000001</v>
      </c>
      <c r="Q128">
        <v>0</v>
      </c>
      <c r="R128">
        <v>0</v>
      </c>
      <c r="S128">
        <v>0</v>
      </c>
      <c r="T128">
        <v>5381715</v>
      </c>
    </row>
    <row r="129" spans="1:24" ht="12.75">
      <c r="A129" s="2" t="str">
        <f>HYPERLINK("https://ibp.a2mac1.com/costing(costing:projects/details/8191/component/5315579)","Screw &gt; Hexagon screw with flange")</f>
        <v>Screw &gt; Hexagon screw with flange</v>
      </c>
      <c r="B129">
        <v>5315579</v>
      </c>
      <c r="D129">
        <v>0</v>
      </c>
      <c r="E129">
        <v>0</v>
      </c>
      <c r="H129">
        <v>2</v>
      </c>
      <c r="I129">
        <v>400000</v>
      </c>
      <c r="J129" t="s">
        <v>79</v>
      </c>
      <c r="K129">
        <v>20</v>
      </c>
      <c r="L129">
        <v>10</v>
      </c>
      <c r="M129">
        <v>6</v>
      </c>
      <c r="O129">
        <v>0.0080000000000000002</v>
      </c>
      <c r="Q129">
        <v>0</v>
      </c>
      <c r="R129">
        <v>0</v>
      </c>
      <c r="S129">
        <v>0</v>
      </c>
      <c r="T129">
        <v>5381792</v>
      </c>
    </row>
    <row r="130" spans="1:24" ht="12.75">
      <c r="A130" s="2" t="str">
        <f>HYPERLINK("https://ibp.a2mac1.com/costing(costing:projects/details/8191/component/5315580)","Electronics")</f>
        <v>Electronics</v>
      </c>
      <c r="B130">
        <v>5315580</v>
      </c>
      <c r="D130">
        <v>0</v>
      </c>
      <c r="E130">
        <v>5.8501700000000003</v>
      </c>
      <c r="H130">
        <v>1</v>
      </c>
      <c r="I130">
        <v>200000</v>
      </c>
      <c r="J130" t="s">
        <v>79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573</v>
      </c>
      <c r="Q130">
        <v>0</v>
      </c>
      <c r="R130">
        <v>0</v>
      </c>
      <c r="S130">
        <v>5.4899439485703052</v>
      </c>
      <c r="T130">
        <v>5381792</v>
      </c>
    </row>
    <row r="131" spans="1:24" ht="12.75">
      <c r="A131" s="2" t="str">
        <f>HYPERLINK("https://ibp.a2mac1.com/costing(costing:projects/details/8191/component/5315581)","Mechanics")</f>
        <v>Mechanics</v>
      </c>
      <c r="B131">
        <v>5315581</v>
      </c>
      <c r="D131">
        <v>0</v>
      </c>
      <c r="E131">
        <v>1.7532099999999999</v>
      </c>
      <c r="H131">
        <v>1</v>
      </c>
      <c r="I131">
        <v>200000</v>
      </c>
      <c r="J131" t="s">
        <v>79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575</v>
      </c>
      <c r="Q131">
        <v>0</v>
      </c>
      <c r="R131">
        <v>0</v>
      </c>
      <c r="S131">
        <v>1.7216096649317396</v>
      </c>
      <c r="T131">
        <v>5381792</v>
      </c>
    </row>
    <row r="132" spans="1:24" ht="12.75">
      <c r="A132" s="2" t="str">
        <f>HYPERLINK("https://ibp.a2mac1.com/costing(costing:projects/details/8191/component/5315582)","Electronics")</f>
        <v>Electronics</v>
      </c>
      <c r="B132">
        <v>5315582</v>
      </c>
      <c r="D132">
        <v>0</v>
      </c>
      <c r="E132">
        <v>3.9216500000000001</v>
      </c>
      <c r="H132">
        <v>1</v>
      </c>
      <c r="I132">
        <v>200000</v>
      </c>
      <c r="J132" t="s">
        <v>79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573</v>
      </c>
      <c r="Q132">
        <v>0</v>
      </c>
      <c r="R132">
        <v>0</v>
      </c>
      <c r="S132">
        <v>3.6801731720464086</v>
      </c>
      <c r="T132">
        <v>5381793</v>
      </c>
    </row>
    <row r="133" spans="1:24" ht="12.75">
      <c r="A133" s="2" t="str">
        <f>HYPERLINK("https://ibp.a2mac1.com/costing(costing:projects/details/8191/component/5315583)","Mechanics")</f>
        <v>Mechanics</v>
      </c>
      <c r="B133">
        <v>5315583</v>
      </c>
      <c r="D133">
        <v>0</v>
      </c>
      <c r="E133">
        <v>1.9838899999999999</v>
      </c>
      <c r="H133">
        <v>1</v>
      </c>
      <c r="I133">
        <v>200000</v>
      </c>
      <c r="J133" t="s">
        <v>79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575</v>
      </c>
      <c r="Q133">
        <v>0</v>
      </c>
      <c r="R133">
        <v>0</v>
      </c>
      <c r="S133">
        <v>1.948131825714791</v>
      </c>
      <c r="T133">
        <v>5381793</v>
      </c>
    </row>
    <row r="134" spans="1:24" ht="12.75">
      <c r="A134" s="2" t="str">
        <f>HYPERLINK("https://ibp.a2mac1.com/costing(costing:projects/details/8191/component/5315561)","Screw &gt; Hexagon screw with flange")</f>
        <v>Screw &gt; Hexagon screw with flange</v>
      </c>
      <c r="B134">
        <v>5315561</v>
      </c>
      <c r="D134">
        <v>0</v>
      </c>
      <c r="E134">
        <v>0</v>
      </c>
      <c r="H134">
        <v>1</v>
      </c>
      <c r="I134">
        <v>200000</v>
      </c>
      <c r="J134" t="s">
        <v>79</v>
      </c>
      <c r="K134">
        <v>10</v>
      </c>
      <c r="L134">
        <v>7</v>
      </c>
      <c r="M134">
        <v>5</v>
      </c>
      <c r="O134">
        <v>0.0030000000000000001</v>
      </c>
      <c r="Q134">
        <v>0</v>
      </c>
      <c r="R134">
        <v>0</v>
      </c>
      <c r="S134">
        <v>0</v>
      </c>
      <c r="T134">
        <v>5381717</v>
      </c>
    </row>
    <row r="135" spans="1:24" ht="12.75">
      <c r="A135" s="2" t="str">
        <f>HYPERLINK("https://ibp.a2mac1.com/costing(costing:projects/details/8191/component/5315562)","Nut &gt; Hexagonal nut with collar")</f>
        <v>Nut &gt; Hexagonal nut with collar</v>
      </c>
      <c r="B135">
        <v>5315562</v>
      </c>
      <c r="D135">
        <v>0</v>
      </c>
      <c r="E135">
        <v>0</v>
      </c>
      <c r="H135">
        <v>1</v>
      </c>
      <c r="I135">
        <v>200000</v>
      </c>
      <c r="J135" t="s">
        <v>79</v>
      </c>
      <c r="K135">
        <v>6</v>
      </c>
      <c r="L135">
        <v>10</v>
      </c>
      <c r="M135">
        <v>6</v>
      </c>
      <c r="O135">
        <v>0.0030000000000000001</v>
      </c>
      <c r="Q135">
        <v>0</v>
      </c>
      <c r="R135">
        <v>0</v>
      </c>
      <c r="S135">
        <v>0</v>
      </c>
      <c r="T135">
        <v>5381717</v>
      </c>
    </row>
    <row r="136" spans="1:24" ht="12.75">
      <c r="A136" s="2" t="str">
        <f>HYPERLINK("https://ibp.a2mac1.com/costing(costing:projects/details/8191/component/5315584)","Screw &gt; Torx socket head cap screw with flange")</f>
        <v>Screw &gt; Torx socket head cap screw with flange</v>
      </c>
      <c r="B136">
        <v>5315584</v>
      </c>
      <c r="D136">
        <v>0</v>
      </c>
      <c r="E136">
        <v>0</v>
      </c>
      <c r="H136">
        <v>2</v>
      </c>
      <c r="I136">
        <v>400000</v>
      </c>
      <c r="J136" t="s">
        <v>79</v>
      </c>
      <c r="K136">
        <v>14</v>
      </c>
      <c r="L136">
        <v>5</v>
      </c>
      <c r="M136">
        <v>6</v>
      </c>
      <c r="O136">
        <v>0.0070000000000000001</v>
      </c>
      <c r="Q136">
        <v>0</v>
      </c>
      <c r="R136">
        <v>0</v>
      </c>
      <c r="S136">
        <v>0</v>
      </c>
      <c r="T136">
        <v>5381813</v>
      </c>
    </row>
    <row r="137" spans="1:24" ht="12.75">
      <c r="A137" s="2" t="str">
        <f>HYPERLINK("https://ibp.a2mac1.com/costing(costing:projects/details/8191/component/5315585)","Screw &gt; Hexagon screw with flange")</f>
        <v>Screw &gt; Hexagon screw with flange</v>
      </c>
      <c r="B137">
        <v>5315585</v>
      </c>
      <c r="D137">
        <v>0</v>
      </c>
      <c r="E137">
        <v>0</v>
      </c>
      <c r="H137">
        <v>1</v>
      </c>
      <c r="I137">
        <v>200000</v>
      </c>
      <c r="J137" t="s">
        <v>79</v>
      </c>
      <c r="K137">
        <v>25</v>
      </c>
      <c r="L137">
        <v>13</v>
      </c>
      <c r="M137">
        <v>8</v>
      </c>
      <c r="O137">
        <v>0.02</v>
      </c>
      <c r="Q137">
        <v>0</v>
      </c>
      <c r="R137">
        <v>0</v>
      </c>
      <c r="S137">
        <v>0</v>
      </c>
      <c r="T137">
        <v>5381813</v>
      </c>
    </row>
    <row r="138" spans="1:24" ht="12.75">
      <c r="A138" s="2" t="str">
        <f>HYPERLINK("https://ibp.a2mac1.com/costing(costing:projects/details/8191/component/5315563)","Nut &gt; Hexagonal nut with collar")</f>
        <v>Nut &gt; Hexagonal nut with collar</v>
      </c>
      <c r="B138">
        <v>5315563</v>
      </c>
      <c r="D138">
        <v>0</v>
      </c>
      <c r="E138">
        <v>0</v>
      </c>
      <c r="H138">
        <v>1</v>
      </c>
      <c r="I138">
        <v>200000</v>
      </c>
      <c r="J138" t="s">
        <v>79</v>
      </c>
      <c r="K138">
        <v>6</v>
      </c>
      <c r="L138">
        <v>10</v>
      </c>
      <c r="M138">
        <v>6</v>
      </c>
      <c r="O138">
        <v>0.0030000000000000001</v>
      </c>
      <c r="Q138">
        <v>0</v>
      </c>
      <c r="R138">
        <v>0</v>
      </c>
      <c r="S138">
        <v>0</v>
      </c>
      <c r="T138">
        <v>5381718</v>
      </c>
    </row>
    <row r="139" spans="1:24" ht="12.75">
      <c r="A139" s="2" t="str">
        <f>HYPERLINK("https://ibp.a2mac1.com/costing(costing:projects/details/8191/component/5315564)","Nut &gt; Hexagonal nut with collar")</f>
        <v>Nut &gt; Hexagonal nut with collar</v>
      </c>
      <c r="B139">
        <v>5315564</v>
      </c>
      <c r="D139">
        <v>0</v>
      </c>
      <c r="E139">
        <v>0</v>
      </c>
      <c r="H139">
        <v>2</v>
      </c>
      <c r="I139">
        <v>400000</v>
      </c>
      <c r="J139" t="s">
        <v>79</v>
      </c>
      <c r="K139">
        <v>6</v>
      </c>
      <c r="L139">
        <v>10</v>
      </c>
      <c r="M139">
        <v>6</v>
      </c>
      <c r="O139">
        <v>0.0030000000000000001</v>
      </c>
      <c r="Q139">
        <v>0</v>
      </c>
      <c r="R139">
        <v>0</v>
      </c>
      <c r="S139">
        <v>0</v>
      </c>
      <c r="T139">
        <v>5381718</v>
      </c>
    </row>
    <row r="140" spans="1:24" ht="12.75">
      <c r="A140" s="2" t="str">
        <f>HYPERLINK("https://ibp.a2mac1.com/costing(costing:projects/details/8191/component/5316573)","Bushing Steel Small")</f>
        <v>Bushing Steel Small</v>
      </c>
      <c r="B140">
        <v>5316573</v>
      </c>
      <c r="C140">
        <v>6971883</v>
      </c>
      <c r="D140">
        <v>0</v>
      </c>
      <c r="E140">
        <v>0.05</v>
      </c>
      <c r="F140" t="s">
        <v>2057</v>
      </c>
      <c r="H140">
        <v>6</v>
      </c>
      <c r="I140">
        <v>1200000</v>
      </c>
      <c r="J140" t="s">
        <v>136</v>
      </c>
      <c r="Q140">
        <v>0</v>
      </c>
      <c r="R140">
        <v>0</v>
      </c>
      <c r="S140">
        <v>0.30151800000000001</v>
      </c>
    </row>
    <row r="141" spans="1:24" ht="12.75">
      <c r="A141" s="2" t="str">
        <f>HYPERLINK("https://ibp.a2mac1.com/costing(costing:projects/details/8191/component/5316523)","Electronics")</f>
        <v>Electronics</v>
      </c>
      <c r="B141">
        <v>5316523</v>
      </c>
      <c r="D141">
        <v>0</v>
      </c>
      <c r="E141">
        <v>5.2227100000000002</v>
      </c>
      <c r="H141">
        <v>1</v>
      </c>
      <c r="I141">
        <v>200000</v>
      </c>
      <c r="J141" t="s">
        <v>136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573</v>
      </c>
      <c r="Q141">
        <v>0</v>
      </c>
      <c r="R141">
        <v>0</v>
      </c>
      <c r="S141">
        <v>4.9011199947416264</v>
      </c>
      <c r="U141">
        <v>5382889</v>
      </c>
    </row>
    <row r="142" spans="1:24" ht="12.75">
      <c r="A142" s="2" t="str">
        <f>HYPERLINK("https://ibp.a2mac1.com/costing(costing:projects/details/8191/component/5316524)","Mechanics")</f>
        <v>Mechanics</v>
      </c>
      <c r="B142">
        <v>5316524</v>
      </c>
      <c r="D142">
        <v>0</v>
      </c>
      <c r="E142">
        <v>2.6482600000000001</v>
      </c>
      <c r="H142">
        <v>1</v>
      </c>
      <c r="I142">
        <v>200000</v>
      </c>
      <c r="J142" t="s">
        <v>136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575</v>
      </c>
      <c r="Q142">
        <v>0</v>
      </c>
      <c r="R142">
        <v>0</v>
      </c>
      <c r="S142">
        <v>2.6005270396884166</v>
      </c>
      <c r="U142">
        <v>5382889</v>
      </c>
    </row>
    <row r="143" spans="1:24" ht="12.75">
      <c r="A143" s="2" t="str">
        <f>HYPERLINK("https://ibp.a2mac1.com/costing(costing:projects/details/8191/component/5316521)","Electronics")</f>
        <v>Electronics</v>
      </c>
      <c r="B143">
        <v>5316521</v>
      </c>
      <c r="D143">
        <v>0</v>
      </c>
      <c r="E143">
        <v>8.27698</v>
      </c>
      <c r="H143">
        <v>1</v>
      </c>
      <c r="I143">
        <v>200000</v>
      </c>
      <c r="J143" t="s">
        <v>136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573</v>
      </c>
      <c r="Q143">
        <v>0</v>
      </c>
      <c r="R143">
        <v>0</v>
      </c>
      <c r="S143">
        <v>7.7673223621599785</v>
      </c>
      <c r="U143">
        <v>5382807</v>
      </c>
    </row>
    <row r="144" spans="1:24" ht="12.75">
      <c r="A144" s="2" t="str">
        <f>HYPERLINK("https://ibp.a2mac1.com/costing(costing:projects/details/8191/component/5316522)","Mechanics")</f>
        <v>Mechanics</v>
      </c>
      <c r="B144">
        <v>5316522</v>
      </c>
      <c r="D144">
        <v>0</v>
      </c>
      <c r="E144">
        <v>4.1984700000000004</v>
      </c>
      <c r="H144">
        <v>1</v>
      </c>
      <c r="I144">
        <v>200000</v>
      </c>
      <c r="J144" t="s">
        <v>136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575</v>
      </c>
      <c r="Q144">
        <v>0</v>
      </c>
      <c r="R144">
        <v>0</v>
      </c>
      <c r="S144">
        <v>4.1227956319699075</v>
      </c>
      <c r="U144">
        <v>5382807</v>
      </c>
    </row>
    <row r="145" spans="1:24" ht="12.75">
      <c r="A145" s="2" t="str">
        <f>HYPERLINK("https://ibp.a2mac1.com/costing(costing:projects/details/8191/component/5316843)","Spacer / bushing / washer; steel; &gt;5g")</f>
        <v>Spacer / bushing / washer; steel; &gt;5g</v>
      </c>
      <c r="B145">
        <v>5316843</v>
      </c>
      <c r="D145">
        <v>0.047</v>
      </c>
      <c r="E145">
        <v>0.075929999999999997</v>
      </c>
      <c r="F145" t="s">
        <v>2728</v>
      </c>
      <c r="H145">
        <v>1</v>
      </c>
      <c r="I145">
        <v>200000</v>
      </c>
      <c r="J145" t="s">
        <v>136</v>
      </c>
      <c r="K145">
        <v>0</v>
      </c>
      <c r="L145">
        <v>0</v>
      </c>
      <c r="M145">
        <v>0</v>
      </c>
      <c r="N145">
        <v>0</v>
      </c>
      <c r="O145">
        <v>0.01</v>
      </c>
      <c r="Q145">
        <v>0</v>
      </c>
      <c r="R145">
        <v>0.047</v>
      </c>
      <c r="S145">
        <v>0.075929999999999997</v>
      </c>
      <c r="U145">
        <v>5383885</v>
      </c>
    </row>
    <row r="146" spans="1:24" ht="12.75">
      <c r="A146" s="2" t="str">
        <f>HYPERLINK("https://ibp.a2mac1.com/costing(costing:projects/details/8191/component/5316844)","Spacer / bushing / washer; steel; &gt;5g")</f>
        <v>Spacer / bushing / washer; steel; &gt;5g</v>
      </c>
      <c r="B146">
        <v>5316844</v>
      </c>
      <c r="D146">
        <v>0.047</v>
      </c>
      <c r="E146">
        <v>0.075929999999999997</v>
      </c>
      <c r="F146" t="s">
        <v>2728</v>
      </c>
      <c r="H146">
        <v>1</v>
      </c>
      <c r="I146">
        <v>200000</v>
      </c>
      <c r="J146" t="s">
        <v>136</v>
      </c>
      <c r="K146">
        <v>0</v>
      </c>
      <c r="L146">
        <v>0</v>
      </c>
      <c r="M146">
        <v>0</v>
      </c>
      <c r="N146">
        <v>0</v>
      </c>
      <c r="O146">
        <v>0.01</v>
      </c>
      <c r="Q146">
        <v>0</v>
      </c>
      <c r="R146">
        <v>0.047</v>
      </c>
      <c r="S146">
        <v>0.075929999999999997</v>
      </c>
      <c r="U146">
        <v>5383886</v>
      </c>
    </row>
    <row r="147" spans="1:24" ht="12.75">
      <c r="A147" s="2" t="str">
        <f>HYPERLINK("https://ibp.a2mac1.com/costing(costing:projects/details/8191/component/5316647)","Screw &gt; 12 point socket head cap screw")</f>
        <v>Screw &gt; 12 point socket head cap screw</v>
      </c>
      <c r="B147">
        <v>5316647</v>
      </c>
      <c r="D147">
        <v>0</v>
      </c>
      <c r="E147">
        <v>0.02</v>
      </c>
      <c r="H147">
        <v>1</v>
      </c>
      <c r="I147">
        <v>200000</v>
      </c>
      <c r="J147" t="s">
        <v>79</v>
      </c>
      <c r="K147">
        <v>22</v>
      </c>
      <c r="L147">
        <v>10</v>
      </c>
      <c r="M147">
        <v>8</v>
      </c>
      <c r="O147">
        <v>0.010999999999999999</v>
      </c>
      <c r="Q147">
        <v>0</v>
      </c>
      <c r="R147">
        <v>0</v>
      </c>
      <c r="S147">
        <v>0.02</v>
      </c>
      <c r="T147">
        <v>5383628</v>
      </c>
    </row>
    <row r="148" spans="1:24" ht="12.75">
      <c r="A148" s="2" t="str">
        <f>HYPERLINK("https://ibp.a2mac1.com/costing(costing:projects/details/8191/component/5316648)","Screw &gt; Various shape screw with flange")</f>
        <v>Screw &gt; Various shape screw with flange</v>
      </c>
      <c r="B148">
        <v>5316648</v>
      </c>
      <c r="D148">
        <v>0</v>
      </c>
      <c r="E148">
        <v>0.02</v>
      </c>
      <c r="H148">
        <v>1</v>
      </c>
      <c r="I148">
        <v>200000</v>
      </c>
      <c r="J148" t="s">
        <v>79</v>
      </c>
      <c r="K148">
        <v>12</v>
      </c>
      <c r="L148">
        <v>4</v>
      </c>
      <c r="M148">
        <v>4</v>
      </c>
      <c r="O148">
        <v>0.002</v>
      </c>
      <c r="Q148">
        <v>0</v>
      </c>
      <c r="R148">
        <v>0</v>
      </c>
      <c r="S148">
        <v>0.02</v>
      </c>
      <c r="T148">
        <v>5383628</v>
      </c>
    </row>
    <row r="149" spans="1:24" ht="12.75">
      <c r="A149" s="2" t="str">
        <f>HYPERLINK("https://ibp.a2mac1.com/costing(costing:projects/details/8191/component/5316840)","Recliners")</f>
        <v>Recliners</v>
      </c>
      <c r="B149">
        <v>5316840</v>
      </c>
      <c r="C149">
        <v>6972113</v>
      </c>
      <c r="D149">
        <v>2.3502399999999999</v>
      </c>
      <c r="E149">
        <v>6</v>
      </c>
      <c r="H149">
        <v>1</v>
      </c>
      <c r="I149">
        <v>200000</v>
      </c>
      <c r="J149" t="s">
        <v>136</v>
      </c>
      <c r="K149">
        <v>0</v>
      </c>
      <c r="L149">
        <v>0</v>
      </c>
      <c r="M149">
        <v>0</v>
      </c>
      <c r="N149">
        <v>0</v>
      </c>
      <c r="Q149">
        <v>0</v>
      </c>
      <c r="R149">
        <v>2.3621322143999999</v>
      </c>
      <c r="S149">
        <v>6.0303599999999999</v>
      </c>
    </row>
    <row r="150" spans="1:24" ht="12.75">
      <c r="A150" s="2" t="str">
        <f>HYPERLINK("https://ibp.a2mac1.com/costing(costing:projects/details/8191/component/5316552)","Other fastener &gt; Hog ring")</f>
        <v>Other fastener &gt; Hog ring</v>
      </c>
      <c r="B150">
        <v>5316552</v>
      </c>
      <c r="D150">
        <v>0</v>
      </c>
      <c r="E150">
        <v>0.001</v>
      </c>
      <c r="H150">
        <v>15</v>
      </c>
      <c r="I150">
        <v>3000000</v>
      </c>
      <c r="J150" t="s">
        <v>79</v>
      </c>
      <c r="M150">
        <v>2</v>
      </c>
      <c r="O150">
        <v>0.00069999999999999999</v>
      </c>
      <c r="Q150">
        <v>0</v>
      </c>
      <c r="R150">
        <v>0</v>
      </c>
      <c r="S150">
        <v>0.015</v>
      </c>
      <c r="T150">
        <v>5383531</v>
      </c>
    </row>
    <row r="151" spans="1:24" ht="12.75">
      <c r="A151" s="2" t="str">
        <f>HYPERLINK("https://ibp.a2mac1.com/costing(costing:projects/details/8191/component/5316553)","Screw &gt; Hexagon socket head cap screw")</f>
        <v>Screw &gt; Hexagon socket head cap screw</v>
      </c>
      <c r="B151">
        <v>5316553</v>
      </c>
      <c r="D151">
        <v>0</v>
      </c>
      <c r="E151">
        <v>0.02</v>
      </c>
      <c r="H151">
        <v>4</v>
      </c>
      <c r="I151">
        <v>800000</v>
      </c>
      <c r="J151" t="s">
        <v>79</v>
      </c>
      <c r="K151">
        <v>16</v>
      </c>
      <c r="L151">
        <v>6</v>
      </c>
      <c r="M151">
        <v>10</v>
      </c>
      <c r="O151">
        <v>0.019</v>
      </c>
      <c r="Q151">
        <v>0</v>
      </c>
      <c r="R151">
        <v>0</v>
      </c>
      <c r="S151">
        <v>0.08</v>
      </c>
      <c r="T151">
        <v>5383531</v>
      </c>
    </row>
    <row r="152" spans="1:24" ht="12.75">
      <c r="A152" s="2" t="str">
        <f>HYPERLINK("https://ibp.a2mac1.com/costing(costing:projects/details/8191/component/5316649)","Rivet &gt; Push-in rivet")</f>
        <v>Rivet &gt; Push-in rivet</v>
      </c>
      <c r="B152">
        <v>5316649</v>
      </c>
      <c r="D152">
        <v>0</v>
      </c>
      <c r="E152">
        <v>0.02</v>
      </c>
      <c r="H152">
        <v>1</v>
      </c>
      <c r="I152">
        <v>200000</v>
      </c>
      <c r="J152" t="s">
        <v>79</v>
      </c>
      <c r="L152">
        <v>12</v>
      </c>
      <c r="M152">
        <v>10</v>
      </c>
      <c r="O152">
        <v>0.001</v>
      </c>
      <c r="Q152">
        <v>0</v>
      </c>
      <c r="R152">
        <v>0</v>
      </c>
      <c r="S152">
        <v>0.02</v>
      </c>
      <c r="T152">
        <v>5383635</v>
      </c>
    </row>
    <row r="153" spans="1:24" ht="12.75">
      <c r="A153" s="2" t="str">
        <f>HYPERLINK("https://ibp.a2mac1.com/costing(costing:projects/details/8191/component/5316650)","Screw &gt; Torx socket head cap screw with flange")</f>
        <v>Screw &gt; Torx socket head cap screw with flange</v>
      </c>
      <c r="B153">
        <v>5316650</v>
      </c>
      <c r="D153">
        <v>0</v>
      </c>
      <c r="E153">
        <v>0.02</v>
      </c>
      <c r="H153">
        <v>2</v>
      </c>
      <c r="I153">
        <v>400000</v>
      </c>
      <c r="J153" t="s">
        <v>79</v>
      </c>
      <c r="K153">
        <v>11</v>
      </c>
      <c r="L153">
        <v>4</v>
      </c>
      <c r="M153">
        <v>6</v>
      </c>
      <c r="O153">
        <v>0.0054999999999999997</v>
      </c>
      <c r="Q153">
        <v>0</v>
      </c>
      <c r="R153">
        <v>0</v>
      </c>
      <c r="S153">
        <v>0.04</v>
      </c>
      <c r="T153">
        <v>5383635</v>
      </c>
    </row>
    <row r="154" spans="1:24" ht="12.75">
      <c r="A154" s="2" t="str">
        <f>HYPERLINK("https://ibp.a2mac1.com/costing(costing:projects/details/8191/component/5316651)","Rivet &gt; Push-in rivet")</f>
        <v>Rivet &gt; Push-in rivet</v>
      </c>
      <c r="B154">
        <v>5316651</v>
      </c>
      <c r="D154">
        <v>0</v>
      </c>
      <c r="E154">
        <v>0.02</v>
      </c>
      <c r="H154">
        <v>1</v>
      </c>
      <c r="I154">
        <v>200000</v>
      </c>
      <c r="J154" t="s">
        <v>79</v>
      </c>
      <c r="L154">
        <v>11</v>
      </c>
      <c r="M154">
        <v>10</v>
      </c>
      <c r="O154">
        <v>0.001</v>
      </c>
      <c r="Q154">
        <v>0</v>
      </c>
      <c r="R154">
        <v>0</v>
      </c>
      <c r="S154">
        <v>0.02</v>
      </c>
      <c r="T154">
        <v>5383635</v>
      </c>
    </row>
    <row r="155" spans="1:24" ht="12.75">
      <c r="A155" s="2" t="str">
        <f>HYPERLINK("https://ibp.a2mac1.com/costing(costing:projects/details/8191/component/5316554)","Screw &gt; Torx socket head cap screw")</f>
        <v>Screw &gt; Torx socket head cap screw</v>
      </c>
      <c r="B155">
        <v>5316554</v>
      </c>
      <c r="D155">
        <v>0</v>
      </c>
      <c r="E155">
        <v>0.02</v>
      </c>
      <c r="H155">
        <v>4</v>
      </c>
      <c r="I155">
        <v>800000</v>
      </c>
      <c r="J155" t="s">
        <v>79</v>
      </c>
      <c r="K155">
        <v>14</v>
      </c>
      <c r="L155">
        <v>6</v>
      </c>
      <c r="M155">
        <v>8</v>
      </c>
      <c r="O155">
        <v>0.0143</v>
      </c>
      <c r="Q155">
        <v>0</v>
      </c>
      <c r="R155">
        <v>0</v>
      </c>
      <c r="S155">
        <v>0.08</v>
      </c>
      <c r="T155">
        <v>5383532</v>
      </c>
    </row>
    <row r="156" spans="1:24" ht="12.75">
      <c r="A156" s="2" t="str">
        <f>HYPERLINK("https://ibp.a2mac1.com/costing(costing:projects/details/8191/component/5316555)","Screw &gt; Torx socket head cap screw with flange")</f>
        <v>Screw &gt; Torx socket head cap screw with flange</v>
      </c>
      <c r="B156">
        <v>5316555</v>
      </c>
      <c r="D156">
        <v>0</v>
      </c>
      <c r="E156">
        <v>0.02</v>
      </c>
      <c r="H156">
        <v>2</v>
      </c>
      <c r="I156">
        <v>400000</v>
      </c>
      <c r="J156" t="s">
        <v>79</v>
      </c>
      <c r="K156">
        <v>12</v>
      </c>
      <c r="L156">
        <v>6</v>
      </c>
      <c r="M156">
        <v>6</v>
      </c>
      <c r="O156">
        <v>0.0054999999999999997</v>
      </c>
      <c r="Q156">
        <v>0</v>
      </c>
      <c r="R156">
        <v>0</v>
      </c>
      <c r="S156">
        <v>0.04</v>
      </c>
      <c r="T156">
        <v>5383532</v>
      </c>
    </row>
    <row r="157" spans="1:24" ht="12.75">
      <c r="A157" s="2" t="str">
        <f>HYPERLINK("https://ibp.a2mac1.com/costing(costing:projects/details/8191/component/5316855)","Screw &gt; Torx socket head cap screw with flange")</f>
        <v>Screw &gt; Torx socket head cap screw with flange</v>
      </c>
      <c r="B157">
        <v>5316855</v>
      </c>
      <c r="D157">
        <v>0</v>
      </c>
      <c r="E157">
        <v>0.05</v>
      </c>
      <c r="F157" t="s">
        <v>704</v>
      </c>
      <c r="H157">
        <v>1</v>
      </c>
      <c r="I157">
        <v>200000</v>
      </c>
      <c r="J157" t="s">
        <v>136</v>
      </c>
      <c r="K157">
        <v>12</v>
      </c>
      <c r="L157">
        <v>5</v>
      </c>
      <c r="M157">
        <v>6</v>
      </c>
      <c r="O157">
        <v>0.0060000000000000001</v>
      </c>
      <c r="Q157">
        <v>0</v>
      </c>
      <c r="R157">
        <v>0</v>
      </c>
      <c r="S157">
        <v>0.05</v>
      </c>
      <c r="U157">
        <v>5383896</v>
      </c>
    </row>
    <row r="158" spans="1:24" ht="12.75">
      <c r="A158" s="2" t="str">
        <f>HYPERLINK("https://ibp.a2mac1.com/costing(costing:projects/details/8191/component/5316652)","Nut &gt; Hexagonal nut with collar")</f>
        <v>Nut &gt; Hexagonal nut with collar</v>
      </c>
      <c r="B158">
        <v>5316652</v>
      </c>
      <c r="D158">
        <v>0</v>
      </c>
      <c r="E158">
        <v>0.03</v>
      </c>
      <c r="F158" t="s">
        <v>704</v>
      </c>
      <c r="H158">
        <v>2</v>
      </c>
      <c r="I158">
        <v>400000</v>
      </c>
      <c r="J158" t="s">
        <v>79</v>
      </c>
      <c r="K158">
        <v>6</v>
      </c>
      <c r="L158">
        <v>3</v>
      </c>
      <c r="M158">
        <v>5</v>
      </c>
      <c r="O158">
        <v>0.002</v>
      </c>
      <c r="Q158">
        <v>0</v>
      </c>
      <c r="R158">
        <v>0</v>
      </c>
      <c r="S158">
        <v>0.06</v>
      </c>
      <c r="T158">
        <v>5383640</v>
      </c>
    </row>
    <row r="159" spans="1:24" ht="12.75">
      <c r="A159" s="2" t="str">
        <f>HYPERLINK("https://ibp.a2mac1.com/costing(costing:projects/details/8191/component/5316653)","Other fastener &gt; Attachment")</f>
        <v>Other fastener &gt; Attachment</v>
      </c>
      <c r="B159">
        <v>5316653</v>
      </c>
      <c r="D159">
        <v>0</v>
      </c>
      <c r="E159">
        <v>0.03</v>
      </c>
      <c r="F159" t="s">
        <v>733</v>
      </c>
      <c r="H159">
        <v>2</v>
      </c>
      <c r="I159">
        <v>400000</v>
      </c>
      <c r="J159" t="s">
        <v>79</v>
      </c>
      <c r="K159">
        <v>13</v>
      </c>
      <c r="L159">
        <v>18</v>
      </c>
      <c r="M159">
        <v>27</v>
      </c>
      <c r="O159">
        <v>0.0030000000000000001</v>
      </c>
      <c r="Q159">
        <v>0</v>
      </c>
      <c r="R159">
        <v>0</v>
      </c>
      <c r="S159">
        <v>0.06</v>
      </c>
      <c r="T159">
        <v>5383640</v>
      </c>
    </row>
    <row r="160" spans="1:24" ht="12.75">
      <c r="A160" s="2" t="str">
        <f>HYPERLINK("https://ibp.a2mac1.com/costing(costing:projects/details/8191/component/5316857)","Screw &gt; Torx socket head cap screw with flange")</f>
        <v>Screw &gt; Torx socket head cap screw with flange</v>
      </c>
      <c r="B160">
        <v>5316857</v>
      </c>
      <c r="D160">
        <v>0</v>
      </c>
      <c r="E160">
        <v>0.02</v>
      </c>
      <c r="H160">
        <v>2</v>
      </c>
      <c r="I160">
        <v>400000</v>
      </c>
      <c r="J160" t="s">
        <v>79</v>
      </c>
      <c r="K160">
        <v>35</v>
      </c>
      <c r="L160">
        <v>6</v>
      </c>
      <c r="M160">
        <v>10</v>
      </c>
      <c r="O160">
        <v>0.021999999999999999</v>
      </c>
      <c r="Q160">
        <v>0</v>
      </c>
      <c r="R160">
        <v>0</v>
      </c>
      <c r="S160">
        <v>0.04</v>
      </c>
      <c r="T160">
        <v>5383904</v>
      </c>
    </row>
    <row r="161" spans="1:24" ht="12.75">
      <c r="A161" s="2" t="str">
        <f>HYPERLINK("https://ibp.a2mac1.com/costing(costing:projects/details/8191/component/5316858)","Screw &gt; Hexagon socket head cap screw with flange")</f>
        <v>Screw &gt; Hexagon socket head cap screw with flange</v>
      </c>
      <c r="B161">
        <v>5316858</v>
      </c>
      <c r="D161">
        <v>0</v>
      </c>
      <c r="E161">
        <v>0.02</v>
      </c>
      <c r="H161">
        <v>2</v>
      </c>
      <c r="I161">
        <v>400000</v>
      </c>
      <c r="J161" t="s">
        <v>79</v>
      </c>
      <c r="K161">
        <v>35</v>
      </c>
      <c r="L161">
        <v>6</v>
      </c>
      <c r="M161">
        <v>10</v>
      </c>
      <c r="O161">
        <v>0.021999999999999999</v>
      </c>
      <c r="Q161">
        <v>0</v>
      </c>
      <c r="R161">
        <v>0</v>
      </c>
      <c r="S161">
        <v>0.04</v>
      </c>
      <c r="T161">
        <v>5383904</v>
      </c>
    </row>
    <row r="162" spans="1:24" ht="12.75">
      <c r="A162" s="2" t="str">
        <f>HYPERLINK("https://ibp.a2mac1.com/costing(costing:projects/details/8191/component/5316856)","Screw M3x75")</f>
        <v>Screw M3x75</v>
      </c>
      <c r="B162">
        <v>5316856</v>
      </c>
      <c r="D162">
        <v>0.42032000000000003</v>
      </c>
      <c r="E162">
        <v>0.25019999999999998</v>
      </c>
      <c r="F162" t="s">
        <v>2906</v>
      </c>
      <c r="H162">
        <v>1</v>
      </c>
      <c r="I162">
        <v>200000</v>
      </c>
      <c r="J162" t="s">
        <v>136</v>
      </c>
      <c r="K162">
        <v>0</v>
      </c>
      <c r="L162">
        <v>0</v>
      </c>
      <c r="M162">
        <v>0</v>
      </c>
      <c r="N162">
        <v>0</v>
      </c>
      <c r="O162">
        <v>0.089419999999999999</v>
      </c>
      <c r="Q162">
        <v>0</v>
      </c>
      <c r="R162">
        <v>0.42032000000000003</v>
      </c>
      <c r="S162">
        <v>0.25019999999999998</v>
      </c>
      <c r="U162">
        <v>5383901</v>
      </c>
    </row>
    <row r="163" spans="1:24" ht="12.75">
      <c r="A163" s="2" t="str">
        <f>HYPERLINK("https://ibp.a2mac1.com/costing(costing:projects/details/8191/component/5316658)","Screw &gt; Torx socket head cap screw")</f>
        <v>Screw &gt; Torx socket head cap screw</v>
      </c>
      <c r="B163">
        <v>5316658</v>
      </c>
      <c r="D163">
        <v>0</v>
      </c>
      <c r="E163">
        <v>0.02</v>
      </c>
      <c r="H163">
        <v>2</v>
      </c>
      <c r="I163">
        <v>400000</v>
      </c>
      <c r="J163" t="s">
        <v>79</v>
      </c>
      <c r="K163">
        <v>18</v>
      </c>
      <c r="L163">
        <v>3</v>
      </c>
      <c r="M163">
        <v>5</v>
      </c>
      <c r="O163">
        <v>0.002</v>
      </c>
      <c r="Q163">
        <v>0</v>
      </c>
      <c r="R163">
        <v>0</v>
      </c>
      <c r="S163">
        <v>0.04</v>
      </c>
      <c r="T163">
        <v>5383644</v>
      </c>
    </row>
    <row r="164" spans="1:24" ht="12.75">
      <c r="A164" s="2" t="str">
        <f>HYPERLINK("https://ibp.a2mac1.com/costing(costing:projects/details/8191/component/5316659)","Screw &gt; Hexagon socket head cap screw")</f>
        <v>Screw &gt; Hexagon socket head cap screw</v>
      </c>
      <c r="B164">
        <v>5316659</v>
      </c>
      <c r="D164">
        <v>0</v>
      </c>
      <c r="E164">
        <v>0.02</v>
      </c>
      <c r="H164">
        <v>4</v>
      </c>
      <c r="I164">
        <v>800000</v>
      </c>
      <c r="J164" t="s">
        <v>79</v>
      </c>
      <c r="K164">
        <v>12</v>
      </c>
      <c r="L164">
        <v>6</v>
      </c>
      <c r="M164">
        <v>8</v>
      </c>
      <c r="O164">
        <v>0.0103</v>
      </c>
      <c r="Q164">
        <v>0</v>
      </c>
      <c r="R164">
        <v>0</v>
      </c>
      <c r="S164">
        <v>0.08</v>
      </c>
      <c r="T164">
        <v>5383644</v>
      </c>
    </row>
    <row r="165" spans="1:24" ht="12.75">
      <c r="A165" s="2" t="str">
        <f>HYPERLINK("https://ibp.a2mac1.com/costing(costing:projects/details/8191/component/5316859)","Screw &gt; Torx socket head cap screw")</f>
        <v>Screw &gt; Torx socket head cap screw</v>
      </c>
      <c r="B165">
        <v>5316859</v>
      </c>
      <c r="D165">
        <v>0</v>
      </c>
      <c r="E165">
        <v>0.02</v>
      </c>
      <c r="H165">
        <v>2</v>
      </c>
      <c r="I165">
        <v>400000</v>
      </c>
      <c r="J165" t="s">
        <v>79</v>
      </c>
      <c r="K165">
        <v>8</v>
      </c>
      <c r="L165">
        <v>6</v>
      </c>
      <c r="M165">
        <v>6</v>
      </c>
      <c r="O165">
        <v>0.0040000000000000001</v>
      </c>
      <c r="Q165">
        <v>0</v>
      </c>
      <c r="R165">
        <v>0</v>
      </c>
      <c r="S165">
        <v>0.04</v>
      </c>
      <c r="T165">
        <v>5383906</v>
      </c>
    </row>
    <row r="166" spans="1:24" ht="12.75">
      <c r="A166" s="2" t="str">
        <f>HYPERLINK("https://ibp.a2mac1.com/costing(costing:projects/details/8191/component/5316860)","Screw &gt; Torx socket head cap screw")</f>
        <v>Screw &gt; Torx socket head cap screw</v>
      </c>
      <c r="B166">
        <v>5316860</v>
      </c>
      <c r="D166">
        <v>0</v>
      </c>
      <c r="E166">
        <v>0.02</v>
      </c>
      <c r="H166">
        <v>1</v>
      </c>
      <c r="I166">
        <v>200000</v>
      </c>
      <c r="J166" t="s">
        <v>79</v>
      </c>
      <c r="K166">
        <v>17</v>
      </c>
      <c r="L166">
        <v>4</v>
      </c>
      <c r="M166">
        <v>5</v>
      </c>
      <c r="O166">
        <v>0.002</v>
      </c>
      <c r="Q166">
        <v>0</v>
      </c>
      <c r="R166">
        <v>0</v>
      </c>
      <c r="S166">
        <v>0.02</v>
      </c>
      <c r="T166">
        <v>5383907</v>
      </c>
    </row>
    <row r="167" spans="1:24" ht="12.75">
      <c r="A167" s="2" t="str">
        <f>HYPERLINK("https://ibp.a2mac1.com/costing(costing:projects/details/8191/component/5316861)","Nut &gt; Hexagonal nut with collar")</f>
        <v>Nut &gt; Hexagonal nut with collar</v>
      </c>
      <c r="B167">
        <v>5316861</v>
      </c>
      <c r="D167">
        <v>0</v>
      </c>
      <c r="E167">
        <v>0.02</v>
      </c>
      <c r="H167">
        <v>1</v>
      </c>
      <c r="I167">
        <v>200000</v>
      </c>
      <c r="J167" t="s">
        <v>79</v>
      </c>
      <c r="K167">
        <v>8</v>
      </c>
      <c r="L167">
        <v>13</v>
      </c>
      <c r="M167">
        <v>8</v>
      </c>
      <c r="O167">
        <v>0.0070000000000000001</v>
      </c>
      <c r="Q167">
        <v>0</v>
      </c>
      <c r="R167">
        <v>0</v>
      </c>
      <c r="S167">
        <v>0.02</v>
      </c>
      <c r="T167">
        <v>5383907</v>
      </c>
    </row>
    <row r="168" spans="1:24" ht="12.75">
      <c r="A168" s="2" t="str">
        <f>HYPERLINK("https://ibp.a2mac1.com/costing(costing:projects/details/8191/component/5316660)","Spacer/Axle &gt; Axle")</f>
        <v>Spacer/Axle &gt; Axle</v>
      </c>
      <c r="B168">
        <v>5316660</v>
      </c>
      <c r="D168">
        <v>0</v>
      </c>
      <c r="E168">
        <v>0.02</v>
      </c>
      <c r="H168">
        <v>1</v>
      </c>
      <c r="I168">
        <v>200000</v>
      </c>
      <c r="J168" t="s">
        <v>79</v>
      </c>
      <c r="K168">
        <v>20</v>
      </c>
      <c r="L168">
        <v>20</v>
      </c>
      <c r="M168">
        <v>11</v>
      </c>
      <c r="O168">
        <v>0.002</v>
      </c>
      <c r="Q168">
        <v>0</v>
      </c>
      <c r="R168">
        <v>0</v>
      </c>
      <c r="S168">
        <v>0.02</v>
      </c>
      <c r="T168">
        <v>5383645</v>
      </c>
    </row>
    <row r="169" spans="1:24" ht="12.75">
      <c r="A169" s="2" t="str">
        <f>HYPERLINK("https://ibp.a2mac1.com/costing(costing:projects/details/8191/component/5316862)","Screw &gt; 12 point socket head cap screw")</f>
        <v>Screw &gt; 12 point socket head cap screw</v>
      </c>
      <c r="B169">
        <v>5316862</v>
      </c>
      <c r="D169">
        <v>0</v>
      </c>
      <c r="E169">
        <v>0.02</v>
      </c>
      <c r="H169">
        <v>1</v>
      </c>
      <c r="I169">
        <v>200000</v>
      </c>
      <c r="J169" t="s">
        <v>79</v>
      </c>
      <c r="K169">
        <v>24</v>
      </c>
      <c r="L169">
        <v>8</v>
      </c>
      <c r="M169">
        <v>7</v>
      </c>
      <c r="O169">
        <v>0.012</v>
      </c>
      <c r="Q169">
        <v>0</v>
      </c>
      <c r="R169">
        <v>0</v>
      </c>
      <c r="S169">
        <v>0.02</v>
      </c>
      <c r="T169">
        <v>5383909</v>
      </c>
    </row>
    <row r="170" spans="1:24" ht="12.75">
      <c r="A170" s="2" t="str">
        <f>HYPERLINK("https://ibp.a2mac1.com/costing(costing:projects/details/8191/component/5316661)","Screw &gt; Torx socket head cap screw")</f>
        <v>Screw &gt; Torx socket head cap screw</v>
      </c>
      <c r="B170">
        <v>5316661</v>
      </c>
      <c r="D170">
        <v>0</v>
      </c>
      <c r="E170">
        <v>0.02</v>
      </c>
      <c r="H170">
        <v>1</v>
      </c>
      <c r="I170">
        <v>200000</v>
      </c>
      <c r="J170" t="s">
        <v>79</v>
      </c>
      <c r="K170">
        <v>40</v>
      </c>
      <c r="L170">
        <v>5</v>
      </c>
      <c r="M170">
        <v>6</v>
      </c>
      <c r="O170">
        <v>0.01</v>
      </c>
      <c r="Q170">
        <v>0</v>
      </c>
      <c r="R170">
        <v>0</v>
      </c>
      <c r="S170">
        <v>0.02</v>
      </c>
      <c r="T170">
        <v>5383646</v>
      </c>
    </row>
    <row r="171" spans="1:24" ht="12.75">
      <c r="A171" s="2" t="str">
        <f>HYPERLINK("https://ibp.a2mac1.com/costing(costing:projects/details/8191/component/5316865)","Screw &gt; Torx socket head cap screw with flange")</f>
        <v>Screw &gt; Torx socket head cap screw with flange</v>
      </c>
      <c r="B171">
        <v>5316865</v>
      </c>
      <c r="D171">
        <v>0</v>
      </c>
      <c r="E171">
        <v>0.02</v>
      </c>
      <c r="H171">
        <v>1</v>
      </c>
      <c r="I171">
        <v>200000</v>
      </c>
      <c r="J171" t="s">
        <v>79</v>
      </c>
      <c r="K171">
        <v>12</v>
      </c>
      <c r="L171">
        <v>5</v>
      </c>
      <c r="M171">
        <v>6</v>
      </c>
      <c r="O171">
        <v>0.0060000000000000001</v>
      </c>
      <c r="Q171">
        <v>0</v>
      </c>
      <c r="R171">
        <v>0</v>
      </c>
      <c r="S171">
        <v>0.02</v>
      </c>
      <c r="T171">
        <v>5383913</v>
      </c>
    </row>
    <row r="172" spans="1:24" ht="12.75">
      <c r="A172" s="2" t="str">
        <f>HYPERLINK("https://ibp.a2mac1.com/costing(costing:projects/details/8191/component/5316863)","Electronics")</f>
        <v>Electronics</v>
      </c>
      <c r="B172">
        <v>5316863</v>
      </c>
      <c r="D172">
        <v>0</v>
      </c>
      <c r="E172">
        <v>4.3553300000000004</v>
      </c>
      <c r="H172">
        <v>1</v>
      </c>
      <c r="I172">
        <v>200000</v>
      </c>
      <c r="J172" t="s">
        <v>136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573</v>
      </c>
      <c r="Q172">
        <v>0</v>
      </c>
      <c r="R172">
        <v>0</v>
      </c>
      <c r="S172">
        <v>4.0871491901135704</v>
      </c>
      <c r="U172">
        <v>5383912</v>
      </c>
    </row>
    <row r="173" spans="1:24" ht="12.75">
      <c r="A173" s="2" t="str">
        <f>HYPERLINK("https://ibp.a2mac1.com/costing(costing:projects/details/8191/component/5316864)","Mechanics")</f>
        <v>Mechanics</v>
      </c>
      <c r="B173">
        <v>5316864</v>
      </c>
      <c r="D173">
        <v>0</v>
      </c>
      <c r="E173">
        <v>2.2053500000000001</v>
      </c>
      <c r="H173">
        <v>1</v>
      </c>
      <c r="I173">
        <v>200000</v>
      </c>
      <c r="J173" t="s">
        <v>136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575</v>
      </c>
      <c r="Q173">
        <v>0</v>
      </c>
      <c r="R173">
        <v>0</v>
      </c>
      <c r="S173">
        <v>2.1656001702917576</v>
      </c>
      <c r="U173">
        <v>5383912</v>
      </c>
    </row>
    <row r="174" spans="1:24" ht="12.75">
      <c r="A174" s="2" t="str">
        <f>HYPERLINK("https://ibp.a2mac1.com/costing(costing:projects/details/8191/component/5316662)","Screw &gt; Torx socket head cap screw with flange")</f>
        <v>Screw &gt; Torx socket head cap screw with flange</v>
      </c>
      <c r="B174">
        <v>5316662</v>
      </c>
      <c r="D174">
        <v>0</v>
      </c>
      <c r="E174">
        <v>0.02</v>
      </c>
      <c r="H174">
        <v>2</v>
      </c>
      <c r="I174">
        <v>400000</v>
      </c>
      <c r="J174" t="s">
        <v>79</v>
      </c>
      <c r="K174">
        <v>412</v>
      </c>
      <c r="L174">
        <v>4</v>
      </c>
      <c r="M174">
        <v>4</v>
      </c>
      <c r="O174">
        <v>0.001</v>
      </c>
      <c r="Q174">
        <v>0</v>
      </c>
      <c r="R174">
        <v>0</v>
      </c>
      <c r="S174">
        <v>0.04</v>
      </c>
      <c r="T174">
        <v>5383647</v>
      </c>
    </row>
    <row r="175" spans="1:24" ht="12.75">
      <c r="A175" s="2" t="str">
        <f>HYPERLINK("https://ibp.a2mac1.com/costing(costing:projects/details/8191/component/5316663)","Screw &gt; Torx socket head cap screw with flange")</f>
        <v>Screw &gt; Torx socket head cap screw with flange</v>
      </c>
      <c r="B175">
        <v>5316663</v>
      </c>
      <c r="D175">
        <v>0</v>
      </c>
      <c r="E175">
        <v>0.02</v>
      </c>
      <c r="H175">
        <v>1</v>
      </c>
      <c r="I175">
        <v>200000</v>
      </c>
      <c r="J175" t="s">
        <v>79</v>
      </c>
      <c r="K175">
        <v>12</v>
      </c>
      <c r="L175">
        <v>4</v>
      </c>
      <c r="M175">
        <v>3</v>
      </c>
      <c r="O175">
        <v>0.002</v>
      </c>
      <c r="Q175">
        <v>0</v>
      </c>
      <c r="R175">
        <v>0</v>
      </c>
      <c r="S175">
        <v>0.02</v>
      </c>
      <c r="T175">
        <v>5383647</v>
      </c>
    </row>
    <row r="176" spans="1:24" ht="12.75">
      <c r="A176" s="2" t="str">
        <f>HYPERLINK("https://ibp.a2mac1.com/costing(costing:projects/details/8191/component/5316654)","Mechanics")</f>
        <v>Mechanics</v>
      </c>
      <c r="B176">
        <v>5316654</v>
      </c>
      <c r="D176">
        <v>0</v>
      </c>
      <c r="E176">
        <v>0.46137</v>
      </c>
      <c r="H176">
        <v>1</v>
      </c>
      <c r="I176">
        <v>200000</v>
      </c>
      <c r="J176" t="s">
        <v>136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575</v>
      </c>
      <c r="Q176">
        <v>0</v>
      </c>
      <c r="R176">
        <v>0</v>
      </c>
      <c r="S176">
        <v>0.4530541413233764</v>
      </c>
      <c r="U176">
        <v>5383641</v>
      </c>
    </row>
    <row r="177" spans="1:24" ht="12.75">
      <c r="A177" s="2" t="str">
        <f>HYPERLINK("https://ibp.a2mac1.com/costing(costing:projects/details/8191/component/5316655)","Electronics")</f>
        <v>Electronics</v>
      </c>
      <c r="B177">
        <v>5316655</v>
      </c>
      <c r="D177">
        <v>0</v>
      </c>
      <c r="E177">
        <v>3.6448200000000002</v>
      </c>
      <c r="H177">
        <v>1</v>
      </c>
      <c r="I177">
        <v>200000</v>
      </c>
      <c r="J177" t="s">
        <v>136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573</v>
      </c>
      <c r="Q177">
        <v>0</v>
      </c>
      <c r="R177">
        <v>0</v>
      </c>
      <c r="S177">
        <v>3.4203890660661176</v>
      </c>
      <c r="U177">
        <v>5383641</v>
      </c>
    </row>
    <row r="178" spans="1:24" ht="12.75">
      <c r="A178" s="2" t="str">
        <f>HYPERLINK("https://ibp.a2mac1.com/costing(costing:projects/details/8191/component/5316656)","Electronics")</f>
        <v>Electronics</v>
      </c>
      <c r="B178">
        <v>5316656</v>
      </c>
      <c r="D178">
        <v>0</v>
      </c>
      <c r="E178">
        <v>6.3115399999999999</v>
      </c>
      <c r="H178">
        <v>1</v>
      </c>
      <c r="I178">
        <v>200000</v>
      </c>
      <c r="J178" t="s">
        <v>136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573</v>
      </c>
      <c r="Q178">
        <v>0</v>
      </c>
      <c r="R178">
        <v>0</v>
      </c>
      <c r="S178">
        <v>5.9229049462083019</v>
      </c>
      <c r="U178">
        <v>5383642</v>
      </c>
    </row>
    <row r="179" spans="1:24" ht="12.75">
      <c r="A179" s="2" t="str">
        <f>HYPERLINK("https://ibp.a2mac1.com/costing(costing:projects/details/8191/component/5316657)","Mechanics")</f>
        <v>Mechanics</v>
      </c>
      <c r="B179">
        <v>5316657</v>
      </c>
      <c r="D179">
        <v>0</v>
      </c>
      <c r="E179">
        <v>3.2019099999999998</v>
      </c>
      <c r="H179">
        <v>1</v>
      </c>
      <c r="I179">
        <v>200000</v>
      </c>
      <c r="J179" t="s">
        <v>136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575</v>
      </c>
      <c r="Q179">
        <v>0</v>
      </c>
      <c r="R179">
        <v>0</v>
      </c>
      <c r="S179">
        <v>3.1441979011308323</v>
      </c>
      <c r="U179">
        <v>5383642</v>
      </c>
    </row>
    <row r="180" spans="1:24" ht="12.75">
      <c r="A180" s="2" t="str">
        <f>HYPERLINK("https://ibp.a2mac1.com/costing(costing:projects/details/8191/component/5316556)","Screw &gt; Torx socket head cap screw with flange")</f>
        <v>Screw &gt; Torx socket head cap screw with flange</v>
      </c>
      <c r="B180">
        <v>5316556</v>
      </c>
      <c r="D180">
        <v>0</v>
      </c>
      <c r="E180">
        <v>0.02</v>
      </c>
      <c r="H180">
        <v>3</v>
      </c>
      <c r="I180">
        <v>600000</v>
      </c>
      <c r="J180" t="s">
        <v>79</v>
      </c>
      <c r="K180">
        <v>5</v>
      </c>
      <c r="L180">
        <v>4</v>
      </c>
      <c r="M180">
        <v>3</v>
      </c>
      <c r="O180">
        <v>0.0012999999999999999</v>
      </c>
      <c r="Q180">
        <v>0</v>
      </c>
      <c r="R180">
        <v>0</v>
      </c>
      <c r="S180">
        <v>0.06</v>
      </c>
      <c r="T180">
        <v>5383534</v>
      </c>
    </row>
    <row r="181" spans="1:24" ht="12.75">
      <c r="A181" s="2" t="str">
        <f>HYPERLINK("https://ibp.a2mac1.com/costing(costing:projects/details/8191/component/5316550)","Copper")</f>
        <v>Copper</v>
      </c>
      <c r="B181">
        <v>5316550</v>
      </c>
      <c r="D181">
        <v>0</v>
      </c>
      <c r="E181">
        <v>2.6574900000000001</v>
      </c>
      <c r="H181">
        <v>1</v>
      </c>
      <c r="I181">
        <v>200000</v>
      </c>
      <c r="J181" t="s">
        <v>136</v>
      </c>
      <c r="K181">
        <v>0</v>
      </c>
      <c r="L181">
        <v>0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2.6574900000000001</v>
      </c>
      <c r="U181">
        <v>5383527</v>
      </c>
    </row>
    <row r="182" spans="1:24" ht="12.75">
      <c r="A182" s="2" t="str">
        <f>HYPERLINK("https://ibp.a2mac1.com/costing(costing:projects/details/8191/component/5316551)","Material")</f>
        <v>Material</v>
      </c>
      <c r="B182">
        <v>5316551</v>
      </c>
      <c r="D182">
        <v>0</v>
      </c>
      <c r="E182">
        <v>11.02674</v>
      </c>
      <c r="F182" t="s">
        <v>1641</v>
      </c>
      <c r="H182">
        <v>1</v>
      </c>
      <c r="I182">
        <v>200000</v>
      </c>
      <c r="J182" t="s">
        <v>136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1642</v>
      </c>
      <c r="Q182">
        <v>0</v>
      </c>
      <c r="R182">
        <v>0</v>
      </c>
      <c r="S182">
        <v>10.829797960674645</v>
      </c>
      <c r="U182">
        <v>5383527</v>
      </c>
    </row>
    <row r="183" spans="1:24" ht="12.75">
      <c r="A183" s="2" t="str">
        <f>HYPERLINK("https://ibp.a2mac1.com/costing(costing:projects/details/8191/component/5316534)","Screw &gt; Torx socket head cap screw with flange")</f>
        <v>Screw &gt; Torx socket head cap screw with flange</v>
      </c>
      <c r="B183">
        <v>5316534</v>
      </c>
      <c r="D183">
        <v>0</v>
      </c>
      <c r="E183">
        <v>0.02</v>
      </c>
      <c r="H183">
        <v>1</v>
      </c>
      <c r="I183">
        <v>200000</v>
      </c>
      <c r="J183" t="s">
        <v>79</v>
      </c>
      <c r="K183">
        <v>20</v>
      </c>
      <c r="L183">
        <v>4</v>
      </c>
      <c r="M183">
        <v>4</v>
      </c>
      <c r="O183">
        <v>0.002</v>
      </c>
      <c r="Q183">
        <v>0</v>
      </c>
      <c r="R183">
        <v>0</v>
      </c>
      <c r="S183">
        <v>0.02</v>
      </c>
      <c r="T183">
        <v>5383399</v>
      </c>
    </row>
    <row r="184" spans="1:24" ht="12.75">
      <c r="A184" s="2" t="str">
        <f>HYPERLINK("https://ibp.a2mac1.com/costing(costing:projects/details/8191/component/5316535)","Tube/cluster support &gt; Tube/cluster beribboned support in hole")</f>
        <v>Tube/cluster support &gt; Tube/cluster beribboned support in hole</v>
      </c>
      <c r="B184">
        <v>5316535</v>
      </c>
      <c r="D184">
        <v>0</v>
      </c>
      <c r="E184">
        <v>0.02</v>
      </c>
      <c r="H184">
        <v>4</v>
      </c>
      <c r="I184">
        <v>800000</v>
      </c>
      <c r="J184" t="s">
        <v>79</v>
      </c>
      <c r="O184">
        <v>0.00029999999999999997</v>
      </c>
      <c r="Q184">
        <v>0</v>
      </c>
      <c r="R184">
        <v>0</v>
      </c>
      <c r="S184">
        <v>0.08</v>
      </c>
      <c r="T184">
        <v>5383399</v>
      </c>
    </row>
    <row r="185" spans="1:24" ht="12.75">
      <c r="A185" s="2" t="str">
        <f>HYPERLINK("https://ibp.a2mac1.com/costing(costing:projects/details/8191/component/5316876)","Spacer / bushing / washer; steel; &gt;5g")</f>
        <v>Spacer / bushing / washer; steel; &gt;5g</v>
      </c>
      <c r="B185">
        <v>5316876</v>
      </c>
      <c r="D185">
        <v>0.047</v>
      </c>
      <c r="E185">
        <v>0.075929999999999997</v>
      </c>
      <c r="F185" t="s">
        <v>2728</v>
      </c>
      <c r="H185">
        <v>1</v>
      </c>
      <c r="I185">
        <v>200000</v>
      </c>
      <c r="J185" t="s">
        <v>136</v>
      </c>
      <c r="K185">
        <v>0</v>
      </c>
      <c r="L185">
        <v>0</v>
      </c>
      <c r="M185">
        <v>0</v>
      </c>
      <c r="N185">
        <v>0</v>
      </c>
      <c r="O185">
        <v>0.01</v>
      </c>
      <c r="Q185">
        <v>0</v>
      </c>
      <c r="R185">
        <v>0.047</v>
      </c>
      <c r="S185">
        <v>0.075929999999999997</v>
      </c>
      <c r="U185">
        <v>5383919</v>
      </c>
    </row>
    <row r="186" spans="1:24" ht="12.75">
      <c r="A186" s="2" t="str">
        <f>HYPERLINK("https://ibp.a2mac1.com/costing(costing:projects/details/8191/component/5316877)","Spacer / bushing / washer; steel; &gt;5g")</f>
        <v>Spacer / bushing / washer; steel; &gt;5g</v>
      </c>
      <c r="B186">
        <v>5316877</v>
      </c>
      <c r="D186">
        <v>0.047</v>
      </c>
      <c r="E186">
        <v>0.075929999999999997</v>
      </c>
      <c r="F186" t="s">
        <v>2728</v>
      </c>
      <c r="H186">
        <v>1</v>
      </c>
      <c r="I186">
        <v>200000</v>
      </c>
      <c r="J186" t="s">
        <v>136</v>
      </c>
      <c r="K186">
        <v>0</v>
      </c>
      <c r="L186">
        <v>0</v>
      </c>
      <c r="M186">
        <v>0</v>
      </c>
      <c r="N186">
        <v>0</v>
      </c>
      <c r="O186">
        <v>0.01</v>
      </c>
      <c r="Q186">
        <v>0</v>
      </c>
      <c r="R186">
        <v>0.047</v>
      </c>
      <c r="S186">
        <v>0.075929999999999997</v>
      </c>
      <c r="U186">
        <v>5383920</v>
      </c>
    </row>
    <row r="187" spans="1:24" ht="12.75">
      <c r="A187" s="2" t="str">
        <f>HYPERLINK("https://ibp.a2mac1.com/costing(costing:projects/details/8191/component/5316664)","Screw &gt; 12 point socket head cap screw")</f>
        <v>Screw &gt; 12 point socket head cap screw</v>
      </c>
      <c r="B187">
        <v>5316664</v>
      </c>
      <c r="D187">
        <v>0</v>
      </c>
      <c r="E187">
        <v>0.02</v>
      </c>
      <c r="H187">
        <v>1</v>
      </c>
      <c r="I187">
        <v>200000</v>
      </c>
      <c r="J187" t="s">
        <v>79</v>
      </c>
      <c r="K187">
        <v>22</v>
      </c>
      <c r="L187">
        <v>10</v>
      </c>
      <c r="M187">
        <v>8</v>
      </c>
      <c r="O187">
        <v>0.010999999999999999</v>
      </c>
      <c r="Q187">
        <v>0</v>
      </c>
      <c r="R187">
        <v>0</v>
      </c>
      <c r="S187">
        <v>0.02</v>
      </c>
      <c r="T187">
        <v>5383658</v>
      </c>
    </row>
    <row r="188" spans="1:24" ht="12.75">
      <c r="A188" s="2" t="str">
        <f>HYPERLINK("https://ibp.a2mac1.com/costing(costing:projects/details/8191/component/5316665)","Screw &gt; Various shape screw with flange")</f>
        <v>Screw &gt; Various shape screw with flange</v>
      </c>
      <c r="B188">
        <v>5316665</v>
      </c>
      <c r="D188">
        <v>0</v>
      </c>
      <c r="E188">
        <v>0.02</v>
      </c>
      <c r="H188">
        <v>1</v>
      </c>
      <c r="I188">
        <v>200000</v>
      </c>
      <c r="J188" t="s">
        <v>79</v>
      </c>
      <c r="K188">
        <v>12</v>
      </c>
      <c r="L188">
        <v>4</v>
      </c>
      <c r="M188">
        <v>4</v>
      </c>
      <c r="O188">
        <v>0.002</v>
      </c>
      <c r="Q188">
        <v>0</v>
      </c>
      <c r="R188">
        <v>0</v>
      </c>
      <c r="S188">
        <v>0.02</v>
      </c>
      <c r="T188">
        <v>5383658</v>
      </c>
    </row>
    <row r="189" spans="1:24" ht="12.75">
      <c r="A189" s="2" t="str">
        <f>HYPERLINK("https://ibp.a2mac1.com/costing(costing:projects/details/8191/component/5316871)","Recliners")</f>
        <v>Recliners</v>
      </c>
      <c r="B189">
        <v>5316871</v>
      </c>
      <c r="C189">
        <v>6972128</v>
      </c>
      <c r="D189">
        <v>2.3502399999999999</v>
      </c>
      <c r="E189">
        <v>6</v>
      </c>
      <c r="H189">
        <v>1</v>
      </c>
      <c r="I189">
        <v>200000</v>
      </c>
      <c r="J189" t="s">
        <v>136</v>
      </c>
      <c r="K189">
        <v>0</v>
      </c>
      <c r="L189">
        <v>0</v>
      </c>
      <c r="M189">
        <v>0</v>
      </c>
      <c r="N189">
        <v>0</v>
      </c>
      <c r="Q189">
        <v>0</v>
      </c>
      <c r="R189">
        <v>2.3621322143999999</v>
      </c>
      <c r="S189">
        <v>6.0303599999999999</v>
      </c>
    </row>
    <row r="190" spans="1:24" ht="12.75">
      <c r="A190" s="2" t="str">
        <f>HYPERLINK("https://ibp.a2mac1.com/costing(costing:projects/details/8191/component/5316559)","Other fastener &gt; Hog ring")</f>
        <v>Other fastener &gt; Hog ring</v>
      </c>
      <c r="B190">
        <v>5316559</v>
      </c>
      <c r="D190">
        <v>0</v>
      </c>
      <c r="E190">
        <v>0.001</v>
      </c>
      <c r="H190">
        <v>15</v>
      </c>
      <c r="I190">
        <v>3000000</v>
      </c>
      <c r="J190" t="s">
        <v>79</v>
      </c>
      <c r="M190">
        <v>2</v>
      </c>
      <c r="O190">
        <v>0.00069999999999999999</v>
      </c>
      <c r="Q190">
        <v>0</v>
      </c>
      <c r="R190">
        <v>0</v>
      </c>
      <c r="S190">
        <v>0.015</v>
      </c>
      <c r="T190">
        <v>5383538</v>
      </c>
    </row>
    <row r="191" spans="1:24" ht="12.75">
      <c r="A191" s="2" t="str">
        <f>HYPERLINK("https://ibp.a2mac1.com/costing(costing:projects/details/8191/component/5316560)","Screw &gt; Torx socket head cap screw")</f>
        <v>Screw &gt; Torx socket head cap screw</v>
      </c>
      <c r="B191">
        <v>5316560</v>
      </c>
      <c r="D191">
        <v>0</v>
      </c>
      <c r="E191">
        <v>0.02</v>
      </c>
      <c r="H191">
        <v>4</v>
      </c>
      <c r="I191">
        <v>800000</v>
      </c>
      <c r="J191" t="s">
        <v>79</v>
      </c>
      <c r="K191">
        <v>16</v>
      </c>
      <c r="L191">
        <v>9</v>
      </c>
      <c r="M191">
        <v>10</v>
      </c>
      <c r="O191">
        <v>0.019</v>
      </c>
      <c r="Q191">
        <v>0</v>
      </c>
      <c r="R191">
        <v>0</v>
      </c>
      <c r="S191">
        <v>0.08</v>
      </c>
      <c r="T191">
        <v>5383538</v>
      </c>
    </row>
    <row r="192" spans="1:24" ht="12.75">
      <c r="A192" s="2" t="str">
        <f>HYPERLINK("https://ibp.a2mac1.com/costing(costing:projects/details/8191/component/5316666)","Rivet &gt; Push-in rivet")</f>
        <v>Rivet &gt; Push-in rivet</v>
      </c>
      <c r="B192">
        <v>5316666</v>
      </c>
      <c r="D192">
        <v>0</v>
      </c>
      <c r="E192">
        <v>0.02</v>
      </c>
      <c r="H192">
        <v>1</v>
      </c>
      <c r="I192">
        <v>200000</v>
      </c>
      <c r="J192" t="s">
        <v>79</v>
      </c>
      <c r="L192">
        <v>12</v>
      </c>
      <c r="M192">
        <v>10</v>
      </c>
      <c r="O192">
        <v>0.001</v>
      </c>
      <c r="Q192">
        <v>0</v>
      </c>
      <c r="R192">
        <v>0</v>
      </c>
      <c r="S192">
        <v>0.02</v>
      </c>
      <c r="T192">
        <v>5383661</v>
      </c>
    </row>
    <row r="193" spans="1:24" ht="12.75">
      <c r="A193" s="2" t="str">
        <f>HYPERLINK("https://ibp.a2mac1.com/costing(costing:projects/details/8191/component/5316667)","Rivet &gt; Push-in rivet")</f>
        <v>Rivet &gt; Push-in rivet</v>
      </c>
      <c r="B193">
        <v>5316667</v>
      </c>
      <c r="D193">
        <v>0</v>
      </c>
      <c r="E193">
        <v>0.02</v>
      </c>
      <c r="H193">
        <v>1</v>
      </c>
      <c r="I193">
        <v>200000</v>
      </c>
      <c r="J193" t="s">
        <v>79</v>
      </c>
      <c r="L193">
        <v>12</v>
      </c>
      <c r="M193">
        <v>10</v>
      </c>
      <c r="O193">
        <v>0.001</v>
      </c>
      <c r="Q193">
        <v>0</v>
      </c>
      <c r="R193">
        <v>0</v>
      </c>
      <c r="S193">
        <v>0.02</v>
      </c>
      <c r="T193">
        <v>5383661</v>
      </c>
    </row>
    <row r="194" spans="1:24" ht="12.75">
      <c r="A194" s="2" t="str">
        <f>HYPERLINK("https://ibp.a2mac1.com/costing(costing:projects/details/8191/component/5316668)","Screw &gt; Torx socket head cap screw with flange")</f>
        <v>Screw &gt; Torx socket head cap screw with flange</v>
      </c>
      <c r="B194">
        <v>5316668</v>
      </c>
      <c r="D194">
        <v>0</v>
      </c>
      <c r="E194">
        <v>0.02</v>
      </c>
      <c r="H194">
        <v>2</v>
      </c>
      <c r="I194">
        <v>400000</v>
      </c>
      <c r="J194" t="s">
        <v>79</v>
      </c>
      <c r="K194">
        <v>12</v>
      </c>
      <c r="L194">
        <v>6</v>
      </c>
      <c r="M194">
        <v>6</v>
      </c>
      <c r="O194">
        <v>0.0054999999999999997</v>
      </c>
      <c r="Q194">
        <v>0</v>
      </c>
      <c r="R194">
        <v>0</v>
      </c>
      <c r="S194">
        <v>0.04</v>
      </c>
      <c r="T194">
        <v>5383661</v>
      </c>
    </row>
    <row r="195" spans="1:24" ht="12.75">
      <c r="A195" s="2" t="str">
        <f>HYPERLINK("https://ibp.a2mac1.com/costing(costing:projects/details/8191/component/5316561)","Other fastener &gt; Hog ring")</f>
        <v>Other fastener &gt; Hog ring</v>
      </c>
      <c r="B195">
        <v>5316561</v>
      </c>
      <c r="D195">
        <v>0</v>
      </c>
      <c r="E195">
        <v>0.001</v>
      </c>
      <c r="H195">
        <v>14</v>
      </c>
      <c r="I195">
        <v>2800000</v>
      </c>
      <c r="J195" t="s">
        <v>79</v>
      </c>
      <c r="M195">
        <v>2</v>
      </c>
      <c r="O195">
        <v>0.00069999999999999999</v>
      </c>
      <c r="Q195">
        <v>0</v>
      </c>
      <c r="R195">
        <v>0</v>
      </c>
      <c r="S195">
        <v>0.014</v>
      </c>
      <c r="T195">
        <v>5383539</v>
      </c>
    </row>
    <row r="196" spans="1:24" ht="12.75">
      <c r="A196" s="2" t="str">
        <f>HYPERLINK("https://ibp.a2mac1.com/costing(costing:projects/details/8191/component/5316562)","Screw &gt; Torx socket head cap screw")</f>
        <v>Screw &gt; Torx socket head cap screw</v>
      </c>
      <c r="B196">
        <v>5316562</v>
      </c>
      <c r="D196">
        <v>0</v>
      </c>
      <c r="E196">
        <v>0.02</v>
      </c>
      <c r="H196">
        <v>4</v>
      </c>
      <c r="I196">
        <v>800000</v>
      </c>
      <c r="J196" t="s">
        <v>79</v>
      </c>
      <c r="K196">
        <v>14</v>
      </c>
      <c r="L196">
        <v>6</v>
      </c>
      <c r="M196">
        <v>8</v>
      </c>
      <c r="O196">
        <v>0.0143</v>
      </c>
      <c r="Q196">
        <v>0</v>
      </c>
      <c r="R196">
        <v>0</v>
      </c>
      <c r="S196">
        <v>0.08</v>
      </c>
      <c r="T196">
        <v>5383539</v>
      </c>
    </row>
    <row r="197" spans="1:24" ht="12.75">
      <c r="A197" s="2" t="str">
        <f>HYPERLINK("https://ibp.a2mac1.com/costing(costing:projects/details/8191/component/5316563)","Other fastener &gt; Attachment")</f>
        <v>Other fastener &gt; Attachment</v>
      </c>
      <c r="B197">
        <v>5316563</v>
      </c>
      <c r="D197">
        <v>0</v>
      </c>
      <c r="E197">
        <v>0.02</v>
      </c>
      <c r="H197">
        <v>2</v>
      </c>
      <c r="I197">
        <v>400000</v>
      </c>
      <c r="J197" t="s">
        <v>79</v>
      </c>
      <c r="K197">
        <v>30</v>
      </c>
      <c r="L197">
        <v>8</v>
      </c>
      <c r="M197">
        <v>52</v>
      </c>
      <c r="O197">
        <v>0.0060000000000000001</v>
      </c>
      <c r="Q197">
        <v>0</v>
      </c>
      <c r="R197">
        <v>0</v>
      </c>
      <c r="S197">
        <v>0.04</v>
      </c>
      <c r="T197">
        <v>5383539</v>
      </c>
    </row>
    <row r="198" spans="1:24" ht="12.75">
      <c r="A198" s="2" t="str">
        <f>HYPERLINK("https://ibp.a2mac1.com/costing(costing:projects/details/8191/component/5316669)","Screw &gt; Torx socket head cap screw with flange")</f>
        <v>Screw &gt; Torx socket head cap screw with flange</v>
      </c>
      <c r="B198">
        <v>5316669</v>
      </c>
      <c r="D198">
        <v>0</v>
      </c>
      <c r="E198">
        <v>0</v>
      </c>
      <c r="H198">
        <v>1</v>
      </c>
      <c r="I198">
        <v>200000</v>
      </c>
      <c r="J198" t="s">
        <v>79</v>
      </c>
      <c r="K198">
        <v>20</v>
      </c>
      <c r="L198">
        <v>4</v>
      </c>
      <c r="M198">
        <v>4</v>
      </c>
      <c r="O198">
        <v>0.002</v>
      </c>
      <c r="Q198">
        <v>0</v>
      </c>
      <c r="R198">
        <v>0</v>
      </c>
      <c r="S198">
        <v>0</v>
      </c>
      <c r="T198">
        <v>5383668</v>
      </c>
    </row>
    <row r="199" spans="1:24" ht="12.75">
      <c r="A199" s="2" t="str">
        <f>HYPERLINK("https://ibp.a2mac1.com/costing(costing:projects/details/8191/component/5316670)","Screw &gt; Torx socket head cap screw with flange")</f>
        <v>Screw &gt; Torx socket head cap screw with flange</v>
      </c>
      <c r="B199">
        <v>5316670</v>
      </c>
      <c r="D199">
        <v>0</v>
      </c>
      <c r="E199">
        <v>0.05</v>
      </c>
      <c r="F199" t="s">
        <v>704</v>
      </c>
      <c r="H199">
        <v>1</v>
      </c>
      <c r="I199">
        <v>200000</v>
      </c>
      <c r="J199" t="s">
        <v>136</v>
      </c>
      <c r="K199">
        <v>12</v>
      </c>
      <c r="L199">
        <v>5</v>
      </c>
      <c r="M199">
        <v>6</v>
      </c>
      <c r="O199">
        <v>0.0060000000000000001</v>
      </c>
      <c r="Q199">
        <v>0</v>
      </c>
      <c r="R199">
        <v>0</v>
      </c>
      <c r="S199">
        <v>0.05</v>
      </c>
      <c r="U199">
        <v>5383669</v>
      </c>
    </row>
    <row r="200" spans="1:24" ht="12.75">
      <c r="A200" s="2" t="str">
        <f>HYPERLINK("https://ibp.a2mac1.com/costing(costing:projects/details/8191/component/5316898)","Screw &gt; 12 point socket head cap screw with flange")</f>
        <v>Screw &gt; 12 point socket head cap screw with flange</v>
      </c>
      <c r="B200">
        <v>5316898</v>
      </c>
      <c r="D200">
        <v>0</v>
      </c>
      <c r="E200">
        <v>0.02</v>
      </c>
      <c r="H200">
        <v>2</v>
      </c>
      <c r="I200">
        <v>400000</v>
      </c>
      <c r="J200" t="s">
        <v>79</v>
      </c>
      <c r="K200">
        <v>35</v>
      </c>
      <c r="L200">
        <v>9</v>
      </c>
      <c r="M200">
        <v>10</v>
      </c>
      <c r="O200">
        <v>0.021999999999999999</v>
      </c>
      <c r="Q200">
        <v>0</v>
      </c>
      <c r="R200">
        <v>0</v>
      </c>
      <c r="S200">
        <v>0.04</v>
      </c>
      <c r="T200">
        <v>5383938</v>
      </c>
    </row>
    <row r="201" spans="1:24" ht="12.75">
      <c r="A201" s="2" t="str">
        <f>HYPERLINK("https://ibp.a2mac1.com/costing(costing:projects/details/8191/component/5316899)","Screw &gt; 12 point socket head cap screw with flange")</f>
        <v>Screw &gt; 12 point socket head cap screw with flange</v>
      </c>
      <c r="B201">
        <v>5316899</v>
      </c>
      <c r="D201">
        <v>0</v>
      </c>
      <c r="E201">
        <v>0.02</v>
      </c>
      <c r="H201">
        <v>2</v>
      </c>
      <c r="I201">
        <v>400000</v>
      </c>
      <c r="J201" t="s">
        <v>79</v>
      </c>
      <c r="K201">
        <v>35</v>
      </c>
      <c r="L201">
        <v>9</v>
      </c>
      <c r="M201">
        <v>10</v>
      </c>
      <c r="O201">
        <v>0.021999999999999999</v>
      </c>
      <c r="Q201">
        <v>0</v>
      </c>
      <c r="R201">
        <v>0</v>
      </c>
      <c r="S201">
        <v>0.04</v>
      </c>
      <c r="T201">
        <v>5383938</v>
      </c>
    </row>
    <row r="202" spans="1:24" ht="12.75">
      <c r="A202" s="2" t="str">
        <f>HYPERLINK("https://ibp.a2mac1.com/costing(costing:projects/details/8191/component/5316675)","Screw &gt; Torx socket head cap screw")</f>
        <v>Screw &gt; Torx socket head cap screw</v>
      </c>
      <c r="B202">
        <v>5316675</v>
      </c>
      <c r="D202">
        <v>0</v>
      </c>
      <c r="E202">
        <v>0.02</v>
      </c>
      <c r="H202">
        <v>2</v>
      </c>
      <c r="I202">
        <v>400000</v>
      </c>
      <c r="J202" t="s">
        <v>79</v>
      </c>
      <c r="K202">
        <v>18</v>
      </c>
      <c r="L202">
        <v>3</v>
      </c>
      <c r="M202">
        <v>5</v>
      </c>
      <c r="O202">
        <v>0.002</v>
      </c>
      <c r="Q202">
        <v>0</v>
      </c>
      <c r="R202">
        <v>0</v>
      </c>
      <c r="S202">
        <v>0.04</v>
      </c>
      <c r="T202">
        <v>5383674</v>
      </c>
    </row>
    <row r="203" spans="1:24" ht="12.75">
      <c r="A203" s="2" t="str">
        <f>HYPERLINK("https://ibp.a2mac1.com/costing(costing:projects/details/8191/component/5316676)","Screw &gt; Torx socket head cap screw")</f>
        <v>Screw &gt; Torx socket head cap screw</v>
      </c>
      <c r="B203">
        <v>5316676</v>
      </c>
      <c r="D203">
        <v>0</v>
      </c>
      <c r="E203">
        <v>0.02</v>
      </c>
      <c r="H203">
        <v>4</v>
      </c>
      <c r="I203">
        <v>800000</v>
      </c>
      <c r="J203" t="s">
        <v>79</v>
      </c>
      <c r="K203">
        <v>12</v>
      </c>
      <c r="L203">
        <v>6</v>
      </c>
      <c r="M203">
        <v>8</v>
      </c>
      <c r="O203">
        <v>0.0103</v>
      </c>
      <c r="Q203">
        <v>0</v>
      </c>
      <c r="R203">
        <v>0</v>
      </c>
      <c r="S203">
        <v>0.08</v>
      </c>
      <c r="T203">
        <v>5383674</v>
      </c>
    </row>
    <row r="204" spans="1:24" ht="12.75">
      <c r="A204" s="2" t="str">
        <f>HYPERLINK("https://ibp.a2mac1.com/costing(costing:projects/details/8191/component/5316900)","Screw &gt; Torx socket head cap screw")</f>
        <v>Screw &gt; Torx socket head cap screw</v>
      </c>
      <c r="B204">
        <v>5316900</v>
      </c>
      <c r="D204">
        <v>0</v>
      </c>
      <c r="E204">
        <v>0.02</v>
      </c>
      <c r="H204">
        <v>2</v>
      </c>
      <c r="I204">
        <v>400000</v>
      </c>
      <c r="J204" t="s">
        <v>79</v>
      </c>
      <c r="K204">
        <v>8</v>
      </c>
      <c r="L204">
        <v>6</v>
      </c>
      <c r="M204">
        <v>6</v>
      </c>
      <c r="O204">
        <v>0.0044999999999999997</v>
      </c>
      <c r="Q204">
        <v>0</v>
      </c>
      <c r="R204">
        <v>0</v>
      </c>
      <c r="S204">
        <v>0.04</v>
      </c>
      <c r="T204">
        <v>5383940</v>
      </c>
    </row>
    <row r="205" spans="1:24" ht="12.75">
      <c r="A205" s="2" t="str">
        <f>HYPERLINK("https://ibp.a2mac1.com/costing(costing:projects/details/8191/component/5316901)","Screw &gt; Torx socket head cap screw")</f>
        <v>Screw &gt; Torx socket head cap screw</v>
      </c>
      <c r="B205">
        <v>5316901</v>
      </c>
      <c r="D205">
        <v>0</v>
      </c>
      <c r="E205">
        <v>0.02</v>
      </c>
      <c r="H205">
        <v>3</v>
      </c>
      <c r="I205">
        <v>600000</v>
      </c>
      <c r="J205" t="s">
        <v>79</v>
      </c>
      <c r="K205">
        <v>17</v>
      </c>
      <c r="L205">
        <v>4</v>
      </c>
      <c r="M205">
        <v>5</v>
      </c>
      <c r="O205">
        <v>0.0030000000000000001</v>
      </c>
      <c r="Q205">
        <v>0</v>
      </c>
      <c r="R205">
        <v>0</v>
      </c>
      <c r="S205">
        <v>0.06</v>
      </c>
      <c r="T205">
        <v>5383941</v>
      </c>
    </row>
    <row r="206" spans="1:24" ht="12.75">
      <c r="A206" s="2" t="str">
        <f>HYPERLINK("https://ibp.a2mac1.com/costing(costing:projects/details/8191/component/5316902)","Nut &gt; Hexagonal nut with collar")</f>
        <v>Nut &gt; Hexagonal nut with collar</v>
      </c>
      <c r="B206">
        <v>5316902</v>
      </c>
      <c r="D206">
        <v>0</v>
      </c>
      <c r="E206">
        <v>0.02</v>
      </c>
      <c r="H206">
        <v>1</v>
      </c>
      <c r="I206">
        <v>200000</v>
      </c>
      <c r="J206" t="s">
        <v>79</v>
      </c>
      <c r="K206">
        <v>8</v>
      </c>
      <c r="L206">
        <v>13</v>
      </c>
      <c r="M206">
        <v>8</v>
      </c>
      <c r="O206">
        <v>0.0070000000000000001</v>
      </c>
      <c r="Q206">
        <v>0</v>
      </c>
      <c r="R206">
        <v>0</v>
      </c>
      <c r="S206">
        <v>0.02</v>
      </c>
      <c r="T206">
        <v>5383941</v>
      </c>
    </row>
    <row r="207" spans="1:24" ht="12.75">
      <c r="A207" s="2" t="str">
        <f>HYPERLINK("https://ibp.a2mac1.com/costing(costing:projects/details/8191/component/5316677)","Spacer/Axle &gt; Flange")</f>
        <v>Spacer/Axle &gt; Flange</v>
      </c>
      <c r="B207">
        <v>5316677</v>
      </c>
      <c r="D207">
        <v>0</v>
      </c>
      <c r="E207">
        <v>0.02</v>
      </c>
      <c r="H207">
        <v>1</v>
      </c>
      <c r="I207">
        <v>200000</v>
      </c>
      <c r="J207" t="s">
        <v>79</v>
      </c>
      <c r="K207">
        <v>20</v>
      </c>
      <c r="L207">
        <v>20</v>
      </c>
      <c r="M207">
        <v>12</v>
      </c>
      <c r="O207">
        <v>0.001</v>
      </c>
      <c r="Q207">
        <v>0</v>
      </c>
      <c r="R207">
        <v>0</v>
      </c>
      <c r="S207">
        <v>0.02</v>
      </c>
      <c r="T207">
        <v>5383675</v>
      </c>
    </row>
    <row r="208" spans="1:24" ht="12.75">
      <c r="A208" s="2" t="str">
        <f>HYPERLINK("https://ibp.a2mac1.com/costing(costing:projects/details/8191/component/5316903)","Screw &gt; Torx socket head cap screw")</f>
        <v>Screw &gt; Torx socket head cap screw</v>
      </c>
      <c r="B208">
        <v>5316903</v>
      </c>
      <c r="D208">
        <v>0</v>
      </c>
      <c r="E208">
        <v>0.02</v>
      </c>
      <c r="H208">
        <v>1</v>
      </c>
      <c r="I208">
        <v>200000</v>
      </c>
      <c r="J208" t="s">
        <v>79</v>
      </c>
      <c r="K208">
        <v>24</v>
      </c>
      <c r="L208">
        <v>6</v>
      </c>
      <c r="M208">
        <v>7</v>
      </c>
      <c r="O208">
        <v>0.012</v>
      </c>
      <c r="Q208">
        <v>0</v>
      </c>
      <c r="R208">
        <v>0</v>
      </c>
      <c r="S208">
        <v>0.02</v>
      </c>
      <c r="T208">
        <v>5383943</v>
      </c>
    </row>
    <row r="209" spans="1:24" ht="12.75">
      <c r="A209" s="2" t="str">
        <f>HYPERLINK("https://ibp.a2mac1.com/costing(costing:projects/details/8191/component/5316678)","Screw &gt; Torx socket head cap screw")</f>
        <v>Screw &gt; Torx socket head cap screw</v>
      </c>
      <c r="B209">
        <v>5316678</v>
      </c>
      <c r="D209">
        <v>0</v>
      </c>
      <c r="E209">
        <v>0.02</v>
      </c>
      <c r="H209">
        <v>1</v>
      </c>
      <c r="I209">
        <v>200000</v>
      </c>
      <c r="J209" t="s">
        <v>79</v>
      </c>
      <c r="K209">
        <v>40</v>
      </c>
      <c r="L209">
        <v>6</v>
      </c>
      <c r="M209">
        <v>6</v>
      </c>
      <c r="O209">
        <v>0.01</v>
      </c>
      <c r="Q209">
        <v>0</v>
      </c>
      <c r="R209">
        <v>0</v>
      </c>
      <c r="S209">
        <v>0.02</v>
      </c>
      <c r="T209">
        <v>5383676</v>
      </c>
    </row>
    <row r="210" spans="1:24" ht="12.75">
      <c r="A210" s="2" t="str">
        <f>HYPERLINK("https://ibp.a2mac1.com/costing(costing:projects/details/8191/component/5316906)","Screw &gt; Torx socket head cap screw with flange")</f>
        <v>Screw &gt; Torx socket head cap screw with flange</v>
      </c>
      <c r="B210">
        <v>5316906</v>
      </c>
      <c r="D210">
        <v>0</v>
      </c>
      <c r="E210">
        <v>0.02</v>
      </c>
      <c r="H210">
        <v>1</v>
      </c>
      <c r="I210">
        <v>200000</v>
      </c>
      <c r="J210" t="s">
        <v>79</v>
      </c>
      <c r="K210">
        <v>12</v>
      </c>
      <c r="L210">
        <v>6</v>
      </c>
      <c r="M210">
        <v>6</v>
      </c>
      <c r="O210">
        <v>0.0060000000000000001</v>
      </c>
      <c r="Q210">
        <v>0</v>
      </c>
      <c r="R210">
        <v>0</v>
      </c>
      <c r="S210">
        <v>0.02</v>
      </c>
      <c r="T210">
        <v>5383947</v>
      </c>
    </row>
    <row r="211" spans="1:24" ht="12.75">
      <c r="A211" s="2" t="str">
        <f>HYPERLINK("https://ibp.a2mac1.com/costing(costing:projects/details/8191/component/5316904)","Electronics")</f>
        <v>Electronics</v>
      </c>
      <c r="B211">
        <v>5316904</v>
      </c>
      <c r="D211">
        <v>0</v>
      </c>
      <c r="E211">
        <v>4.3553300000000004</v>
      </c>
      <c r="H211">
        <v>1</v>
      </c>
      <c r="I211">
        <v>200000</v>
      </c>
      <c r="J211" t="s">
        <v>136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573</v>
      </c>
      <c r="Q211">
        <v>0</v>
      </c>
      <c r="R211">
        <v>0</v>
      </c>
      <c r="S211">
        <v>4.0871491901135704</v>
      </c>
      <c r="U211">
        <v>5383946</v>
      </c>
    </row>
    <row r="212" spans="1:24" ht="12.75">
      <c r="A212" s="2" t="str">
        <f>HYPERLINK("https://ibp.a2mac1.com/costing(costing:projects/details/8191/component/5316905)","Mechanics")</f>
        <v>Mechanics</v>
      </c>
      <c r="B212">
        <v>5316905</v>
      </c>
      <c r="D212">
        <v>0</v>
      </c>
      <c r="E212">
        <v>2.2053500000000001</v>
      </c>
      <c r="H212">
        <v>1</v>
      </c>
      <c r="I212">
        <v>200000</v>
      </c>
      <c r="J212" t="s">
        <v>136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575</v>
      </c>
      <c r="Q212">
        <v>0</v>
      </c>
      <c r="R212">
        <v>0</v>
      </c>
      <c r="S212">
        <v>2.1656001702917576</v>
      </c>
      <c r="U212">
        <v>5383946</v>
      </c>
    </row>
    <row r="213" spans="1:24" ht="12.75">
      <c r="A213" s="2" t="str">
        <f>HYPERLINK("https://ibp.a2mac1.com/costing(costing:projects/details/8191/component/5316679)","Screw &gt; Torx socket head cap screw with flange")</f>
        <v>Screw &gt; Torx socket head cap screw with flange</v>
      </c>
      <c r="B213">
        <v>5316679</v>
      </c>
      <c r="D213">
        <v>0</v>
      </c>
      <c r="E213">
        <v>0.02</v>
      </c>
      <c r="H213">
        <v>2</v>
      </c>
      <c r="I213">
        <v>400000</v>
      </c>
      <c r="J213" t="s">
        <v>79</v>
      </c>
      <c r="K213">
        <v>11</v>
      </c>
      <c r="L213">
        <v>4</v>
      </c>
      <c r="M213">
        <v>4</v>
      </c>
      <c r="O213">
        <v>0.0015</v>
      </c>
      <c r="Q213">
        <v>0</v>
      </c>
      <c r="R213">
        <v>0</v>
      </c>
      <c r="S213">
        <v>0.04</v>
      </c>
      <c r="T213">
        <v>5383677</v>
      </c>
    </row>
    <row r="214" spans="1:24" ht="12.75">
      <c r="A214" s="2" t="str">
        <f>HYPERLINK("https://ibp.a2mac1.com/costing(costing:projects/details/8191/component/5316680)","Screw &gt; Torx socket head cap screw with flange")</f>
        <v>Screw &gt; Torx socket head cap screw with flange</v>
      </c>
      <c r="B214">
        <v>5316680</v>
      </c>
      <c r="D214">
        <v>0</v>
      </c>
      <c r="E214">
        <v>0.02</v>
      </c>
      <c r="H214">
        <v>1</v>
      </c>
      <c r="I214">
        <v>200000</v>
      </c>
      <c r="J214" t="s">
        <v>79</v>
      </c>
      <c r="K214">
        <v>10</v>
      </c>
      <c r="L214">
        <v>4</v>
      </c>
      <c r="M214">
        <v>4</v>
      </c>
      <c r="O214">
        <v>0.001</v>
      </c>
      <c r="Q214">
        <v>0</v>
      </c>
      <c r="R214">
        <v>0</v>
      </c>
      <c r="S214">
        <v>0.02</v>
      </c>
      <c r="T214">
        <v>5383677</v>
      </c>
    </row>
    <row r="215" spans="1:24" ht="12.75">
      <c r="A215" s="2" t="str">
        <f>HYPERLINK("https://ibp.a2mac1.com/costing(costing:projects/details/8191/component/5316671)","Mechanics")</f>
        <v>Mechanics</v>
      </c>
      <c r="B215">
        <v>5316671</v>
      </c>
      <c r="D215">
        <v>0</v>
      </c>
      <c r="E215">
        <v>0.46137</v>
      </c>
      <c r="H215">
        <v>1</v>
      </c>
      <c r="I215">
        <v>200000</v>
      </c>
      <c r="J215" t="s">
        <v>136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575</v>
      </c>
      <c r="Q215">
        <v>0</v>
      </c>
      <c r="R215">
        <v>0</v>
      </c>
      <c r="S215">
        <v>0.4530541413233764</v>
      </c>
      <c r="U215">
        <v>5383672</v>
      </c>
    </row>
    <row r="216" spans="1:24" ht="12.75">
      <c r="A216" s="2" t="str">
        <f>HYPERLINK("https://ibp.a2mac1.com/costing(costing:projects/details/8191/component/5316672)","Electronics")</f>
        <v>Electronics</v>
      </c>
      <c r="B216">
        <v>5316672</v>
      </c>
      <c r="D216">
        <v>0</v>
      </c>
      <c r="E216">
        <v>3.6448200000000002</v>
      </c>
      <c r="H216">
        <v>1</v>
      </c>
      <c r="I216">
        <v>200000</v>
      </c>
      <c r="J216" t="s">
        <v>136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573</v>
      </c>
      <c r="Q216">
        <v>0</v>
      </c>
      <c r="R216">
        <v>0</v>
      </c>
      <c r="S216">
        <v>3.4203890660661176</v>
      </c>
      <c r="U216">
        <v>5383672</v>
      </c>
    </row>
    <row r="217" spans="1:24" ht="12.75">
      <c r="A217" s="2" t="str">
        <f>HYPERLINK("https://ibp.a2mac1.com/costing(costing:projects/details/8191/component/5316673)","Mechanics")</f>
        <v>Mechanics</v>
      </c>
      <c r="B217">
        <v>5316673</v>
      </c>
      <c r="D217">
        <v>0</v>
      </c>
      <c r="E217">
        <v>2.85127</v>
      </c>
      <c r="H217">
        <v>1</v>
      </c>
      <c r="I217">
        <v>200000</v>
      </c>
      <c r="J217" t="s">
        <v>136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575</v>
      </c>
      <c r="Q217">
        <v>0</v>
      </c>
      <c r="R217">
        <v>0</v>
      </c>
      <c r="S217">
        <v>2.799877932095939</v>
      </c>
      <c r="U217">
        <v>5383673</v>
      </c>
    </row>
    <row r="218" spans="1:24" ht="12.75">
      <c r="A218" s="2" t="str">
        <f>HYPERLINK("https://ibp.a2mac1.com/costing(costing:projects/details/8191/component/5316674)","Electronics")</f>
        <v>Electronics</v>
      </c>
      <c r="B218">
        <v>5316674</v>
      </c>
      <c r="D218">
        <v>0</v>
      </c>
      <c r="E218">
        <v>6.5330000000000004</v>
      </c>
      <c r="H218">
        <v>1</v>
      </c>
      <c r="I218">
        <v>200000</v>
      </c>
      <c r="J218" t="s">
        <v>136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573</v>
      </c>
      <c r="Q218">
        <v>0</v>
      </c>
      <c r="R218">
        <v>0</v>
      </c>
      <c r="S218">
        <v>6.1307284772937889</v>
      </c>
      <c r="U218">
        <v>5383673</v>
      </c>
    </row>
    <row r="219" spans="1:24" ht="12.75">
      <c r="A219" s="2" t="str">
        <f>HYPERLINK("https://ibp.a2mac1.com/costing(costing:projects/details/8191/component/5316681)","Electronics")</f>
        <v>Electronics</v>
      </c>
      <c r="B219">
        <v>5316681</v>
      </c>
      <c r="D219">
        <v>0</v>
      </c>
      <c r="E219">
        <v>6.3115399999999999</v>
      </c>
      <c r="H219">
        <v>1</v>
      </c>
      <c r="I219">
        <v>200000</v>
      </c>
      <c r="J219" t="s">
        <v>136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573</v>
      </c>
      <c r="Q219">
        <v>0</v>
      </c>
      <c r="R219">
        <v>0</v>
      </c>
      <c r="S219">
        <v>5.9229049462083019</v>
      </c>
      <c r="U219">
        <v>5383678</v>
      </c>
    </row>
    <row r="220" spans="1:24" ht="12.75">
      <c r="A220" s="2" t="str">
        <f>HYPERLINK("https://ibp.a2mac1.com/costing(costing:projects/details/8191/component/5316682)","Mechanics")</f>
        <v>Mechanics</v>
      </c>
      <c r="B220">
        <v>5316682</v>
      </c>
      <c r="D220">
        <v>0</v>
      </c>
      <c r="E220">
        <v>3.2019099999999998</v>
      </c>
      <c r="H220">
        <v>1</v>
      </c>
      <c r="I220">
        <v>200000</v>
      </c>
      <c r="J220" t="s">
        <v>136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575</v>
      </c>
      <c r="Q220">
        <v>0</v>
      </c>
      <c r="R220">
        <v>0</v>
      </c>
      <c r="S220">
        <v>3.1441979011308323</v>
      </c>
      <c r="U220">
        <v>5383678</v>
      </c>
    </row>
    <row r="221" spans="1:24" ht="12.75">
      <c r="A221" s="2" t="str">
        <f>HYPERLINK("https://ibp.a2mac1.com/costing(costing:projects/details/8191/component/5316564)","Screw &gt; Torx socket head cap screw with flange")</f>
        <v>Screw &gt; Torx socket head cap screw with flange</v>
      </c>
      <c r="B221">
        <v>5316564</v>
      </c>
      <c r="D221">
        <v>0</v>
      </c>
      <c r="E221">
        <v>0.02</v>
      </c>
      <c r="H221">
        <v>3</v>
      </c>
      <c r="I221">
        <v>600000</v>
      </c>
      <c r="J221" t="s">
        <v>79</v>
      </c>
      <c r="K221">
        <v>12</v>
      </c>
      <c r="L221">
        <v>4</v>
      </c>
      <c r="M221">
        <v>3</v>
      </c>
      <c r="O221">
        <v>0.0012999999999999999</v>
      </c>
      <c r="Q221">
        <v>0</v>
      </c>
      <c r="R221">
        <v>0</v>
      </c>
      <c r="S221">
        <v>0.06</v>
      </c>
      <c r="T221">
        <v>5383541</v>
      </c>
    </row>
    <row r="222" spans="1:24" ht="12.75">
      <c r="A222" s="2" t="str">
        <f>HYPERLINK("https://ibp.a2mac1.com/costing(costing:projects/details/8191/component/5316557)","Material")</f>
        <v>Material</v>
      </c>
      <c r="B222">
        <v>5316557</v>
      </c>
      <c r="D222">
        <v>0</v>
      </c>
      <c r="E222">
        <v>9.1443499999999993</v>
      </c>
      <c r="F222" t="s">
        <v>1641</v>
      </c>
      <c r="H222">
        <v>1</v>
      </c>
      <c r="I222">
        <v>200000</v>
      </c>
      <c r="J222" t="s">
        <v>136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1642</v>
      </c>
      <c r="Q222">
        <v>0</v>
      </c>
      <c r="R222">
        <v>0</v>
      </c>
      <c r="S222">
        <v>8.9810282079467889</v>
      </c>
      <c r="U222">
        <v>5383537</v>
      </c>
    </row>
    <row r="223" spans="1:24" ht="12.75">
      <c r="A223" s="2" t="str">
        <f>HYPERLINK("https://ibp.a2mac1.com/costing(costing:projects/details/8191/component/5316558)","Copper")</f>
        <v>Copper</v>
      </c>
      <c r="B223">
        <v>5316558</v>
      </c>
      <c r="D223">
        <v>0</v>
      </c>
      <c r="E223">
        <v>2.6667200000000002</v>
      </c>
      <c r="H223">
        <v>1</v>
      </c>
      <c r="I223">
        <v>200000</v>
      </c>
      <c r="J223" t="s">
        <v>136</v>
      </c>
      <c r="K223">
        <v>0</v>
      </c>
      <c r="L223">
        <v>0</v>
      </c>
      <c r="M223">
        <v>0</v>
      </c>
      <c r="N223">
        <v>0</v>
      </c>
      <c r="O223">
        <v>0</v>
      </c>
      <c r="Q223">
        <v>0</v>
      </c>
      <c r="R223">
        <v>0</v>
      </c>
      <c r="S223">
        <v>2.6667200000000002</v>
      </c>
      <c r="U223">
        <v>5383537</v>
      </c>
    </row>
    <row r="224" spans="1:24" ht="12.75">
      <c r="A224" s="2" t="str">
        <f>HYPERLINK("https://ibp.a2mac1.com/costing(costing:projects/details/8191/component/5316536)","Tube/cluster support &gt; Tube/cluster strap support in hole")</f>
        <v>Tube/cluster support &gt; Tube/cluster strap support in hole</v>
      </c>
      <c r="B224">
        <v>5316536</v>
      </c>
      <c r="D224">
        <v>0</v>
      </c>
      <c r="E224">
        <v>0.02</v>
      </c>
      <c r="H224">
        <v>8</v>
      </c>
      <c r="I224">
        <v>1600000</v>
      </c>
      <c r="J224" t="s">
        <v>79</v>
      </c>
      <c r="K224">
        <v>6</v>
      </c>
      <c r="L224">
        <v>6</v>
      </c>
      <c r="O224">
        <v>0.0001</v>
      </c>
      <c r="Q224">
        <v>0</v>
      </c>
      <c r="R224">
        <v>0</v>
      </c>
      <c r="S224">
        <v>0.16</v>
      </c>
      <c r="T224">
        <v>5383400</v>
      </c>
    </row>
    <row r="225" spans="1:24" ht="12.75">
      <c r="A225" s="2" t="str">
        <f>HYPERLINK("https://ibp.a2mac1.com/costing(costing:projects/details/8191/component/5316684)","Pin clip &gt; Elastic pin")</f>
        <v>Pin clip &gt; Elastic pin</v>
      </c>
      <c r="B225">
        <v>5316684</v>
      </c>
      <c r="D225">
        <v>0</v>
      </c>
      <c r="E225">
        <v>0.02</v>
      </c>
      <c r="H225">
        <v>2</v>
      </c>
      <c r="I225">
        <v>400000</v>
      </c>
      <c r="J225" t="s">
        <v>79</v>
      </c>
      <c r="L225">
        <v>26</v>
      </c>
      <c r="M225">
        <v>3</v>
      </c>
      <c r="O225">
        <v>0.001</v>
      </c>
      <c r="Q225">
        <v>0</v>
      </c>
      <c r="R225">
        <v>0</v>
      </c>
      <c r="S225">
        <v>0.04</v>
      </c>
      <c r="T225">
        <v>5383686</v>
      </c>
    </row>
    <row r="226" spans="1:24" ht="12.75">
      <c r="A226" s="2" t="str">
        <f>HYPERLINK("https://ibp.a2mac1.com/costing(costing:projects/details/8191/component/5316913)","Screw &gt; 12 point socket head cap screw")</f>
        <v>Screw &gt; 12 point socket head cap screw</v>
      </c>
      <c r="B226">
        <v>5316913</v>
      </c>
      <c r="D226">
        <v>0</v>
      </c>
      <c r="E226">
        <v>0.02</v>
      </c>
      <c r="H226">
        <v>2</v>
      </c>
      <c r="I226">
        <v>400000</v>
      </c>
      <c r="J226" t="s">
        <v>79</v>
      </c>
      <c r="K226">
        <v>32</v>
      </c>
      <c r="L226">
        <v>9</v>
      </c>
      <c r="M226">
        <v>8</v>
      </c>
      <c r="O226">
        <v>0.0175</v>
      </c>
      <c r="Q226">
        <v>0</v>
      </c>
      <c r="R226">
        <v>0</v>
      </c>
      <c r="S226">
        <v>0.04</v>
      </c>
      <c r="T226">
        <v>5383957</v>
      </c>
    </row>
    <row r="227" spans="1:24" ht="12.75">
      <c r="A227" s="2" t="str">
        <f>HYPERLINK("https://ibp.a2mac1.com/costing(costing:projects/details/8191/component/5316685)","Tube/cluster support &gt; Tube/cluster beribboned support in hole")</f>
        <v>Tube/cluster support &gt; Tube/cluster beribboned support in hole</v>
      </c>
      <c r="B227">
        <v>5316685</v>
      </c>
      <c r="D227">
        <v>0</v>
      </c>
      <c r="E227">
        <v>0.02</v>
      </c>
      <c r="H227">
        <v>1</v>
      </c>
      <c r="I227">
        <v>200000</v>
      </c>
      <c r="J227" t="s">
        <v>79</v>
      </c>
      <c r="K227">
        <v>7</v>
      </c>
      <c r="L227">
        <v>7</v>
      </c>
      <c r="O227">
        <v>0.001</v>
      </c>
      <c r="Q227">
        <v>0</v>
      </c>
      <c r="R227">
        <v>0</v>
      </c>
      <c r="S227">
        <v>0.02</v>
      </c>
      <c r="T227">
        <v>5383687</v>
      </c>
    </row>
    <row r="228" spans="1:24" ht="12.75">
      <c r="A228" s="2" t="str">
        <f>HYPERLINK("https://ibp.a2mac1.com/costing(costing:projects/details/8191/component/5316686)","Spacer/Axle &gt; Flange")</f>
        <v>Spacer/Axle &gt; Flange</v>
      </c>
      <c r="B228">
        <v>5316686</v>
      </c>
      <c r="D228">
        <v>0</v>
      </c>
      <c r="E228">
        <v>0.02</v>
      </c>
      <c r="H228">
        <v>1</v>
      </c>
      <c r="I228">
        <v>200000</v>
      </c>
      <c r="J228" t="s">
        <v>79</v>
      </c>
      <c r="K228">
        <v>25</v>
      </c>
      <c r="L228">
        <v>15</v>
      </c>
      <c r="M228">
        <v>13</v>
      </c>
      <c r="O228">
        <v>0.001</v>
      </c>
      <c r="Q228">
        <v>0</v>
      </c>
      <c r="R228">
        <v>0</v>
      </c>
      <c r="S228">
        <v>0.02</v>
      </c>
      <c r="T228">
        <v>5383687</v>
      </c>
    </row>
    <row r="229" spans="1:24" ht="12.75">
      <c r="A229" s="2" t="str">
        <f>HYPERLINK("https://ibp.a2mac1.com/costing(costing:projects/details/8191/component/5316914)","Pin clip &gt; Elastic pin")</f>
        <v>Pin clip &gt; Elastic pin</v>
      </c>
      <c r="B229">
        <v>5316914</v>
      </c>
      <c r="D229">
        <v>0</v>
      </c>
      <c r="E229">
        <v>0.02</v>
      </c>
      <c r="H229">
        <v>2</v>
      </c>
      <c r="I229">
        <v>400000</v>
      </c>
      <c r="J229" t="s">
        <v>79</v>
      </c>
      <c r="L229">
        <v>26</v>
      </c>
      <c r="M229">
        <v>3</v>
      </c>
      <c r="O229">
        <v>0.001</v>
      </c>
      <c r="Q229">
        <v>0</v>
      </c>
      <c r="R229">
        <v>0</v>
      </c>
      <c r="S229">
        <v>0.04</v>
      </c>
      <c r="T229">
        <v>5383958</v>
      </c>
    </row>
    <row r="230" spans="1:24" ht="12.75">
      <c r="A230" s="2" t="str">
        <f>HYPERLINK("https://ibp.a2mac1.com/costing(costing:projects/details/8191/component/5316915)","Pin clip &gt; Elastic pin")</f>
        <v>Pin clip &gt; Elastic pin</v>
      </c>
      <c r="B230">
        <v>5316915</v>
      </c>
      <c r="D230">
        <v>0</v>
      </c>
      <c r="E230">
        <v>0.02</v>
      </c>
      <c r="H230">
        <v>2</v>
      </c>
      <c r="I230">
        <v>400000</v>
      </c>
      <c r="J230" t="s">
        <v>79</v>
      </c>
      <c r="L230">
        <v>26</v>
      </c>
      <c r="M230">
        <v>3</v>
      </c>
      <c r="O230">
        <v>0.001</v>
      </c>
      <c r="Q230">
        <v>0</v>
      </c>
      <c r="R230">
        <v>0</v>
      </c>
      <c r="S230">
        <v>0.04</v>
      </c>
      <c r="T230">
        <v>5383959</v>
      </c>
    </row>
    <row r="231" spans="1:24" ht="12.75">
      <c r="A231" s="2" t="str">
        <f>HYPERLINK("https://ibp.a2mac1.com/costing(costing:projects/details/8191/component/5316916)","Screw &gt; 12 point socket head cap screw")</f>
        <v>Screw &gt; 12 point socket head cap screw</v>
      </c>
      <c r="B231">
        <v>5316916</v>
      </c>
      <c r="D231">
        <v>0</v>
      </c>
      <c r="E231">
        <v>0.02</v>
      </c>
      <c r="H231">
        <v>2</v>
      </c>
      <c r="I231">
        <v>400000</v>
      </c>
      <c r="J231" t="s">
        <v>79</v>
      </c>
      <c r="K231">
        <v>32</v>
      </c>
      <c r="L231">
        <v>9</v>
      </c>
      <c r="M231">
        <v>8</v>
      </c>
      <c r="O231">
        <v>0.0175</v>
      </c>
      <c r="Q231">
        <v>0</v>
      </c>
      <c r="R231">
        <v>0</v>
      </c>
      <c r="S231">
        <v>0.04</v>
      </c>
      <c r="T231">
        <v>5383966</v>
      </c>
    </row>
    <row r="232" spans="1:24" ht="12.75">
      <c r="A232" s="2" t="str">
        <f>HYPERLINK("https://ibp.a2mac1.com/costing(costing:projects/details/8191/component/5316917)","Other fastener &gt; Attachment")</f>
        <v>Other fastener &gt; Attachment</v>
      </c>
      <c r="B232">
        <v>5316917</v>
      </c>
      <c r="D232">
        <v>0</v>
      </c>
      <c r="E232">
        <v>0.02</v>
      </c>
      <c r="H232">
        <v>2</v>
      </c>
      <c r="I232">
        <v>400000</v>
      </c>
      <c r="J232" t="s">
        <v>79</v>
      </c>
      <c r="K232">
        <v>12</v>
      </c>
      <c r="L232">
        <v>11</v>
      </c>
      <c r="M232">
        <v>17</v>
      </c>
      <c r="O232">
        <v>0.00050000000000000001</v>
      </c>
      <c r="Q232">
        <v>0</v>
      </c>
      <c r="R232">
        <v>0</v>
      </c>
      <c r="S232">
        <v>0.04</v>
      </c>
      <c r="T232">
        <v>5383968</v>
      </c>
    </row>
    <row r="233" spans="1:24" ht="12.75">
      <c r="A233" s="2" t="str">
        <f>HYPERLINK("https://ibp.a2mac1.com/costing(costing:projects/details/8191/component/5316918)","Other fastener &gt; Snap Tooling")</f>
        <v>Other fastener &gt; Snap Tooling</v>
      </c>
      <c r="B233">
        <v>5316918</v>
      </c>
      <c r="D233">
        <v>0</v>
      </c>
      <c r="E233">
        <v>0.02</v>
      </c>
      <c r="H233">
        <v>4</v>
      </c>
      <c r="I233">
        <v>800000</v>
      </c>
      <c r="J233" t="s">
        <v>79</v>
      </c>
      <c r="O233">
        <v>0.00050000000000000001</v>
      </c>
      <c r="Q233">
        <v>0</v>
      </c>
      <c r="R233">
        <v>0</v>
      </c>
      <c r="S233">
        <v>0.08</v>
      </c>
      <c r="T233">
        <v>5383968</v>
      </c>
    </row>
    <row r="234" spans="1:24" ht="12.75">
      <c r="A234" s="2" t="str">
        <f>HYPERLINK("https://ibp.a2mac1.com/costing(costing:projects/details/8191/component/5316919)","Screw &gt; Torx socket head cap screw with flange")</f>
        <v>Screw &gt; Torx socket head cap screw with flange</v>
      </c>
      <c r="B234">
        <v>5316919</v>
      </c>
      <c r="D234">
        <v>0</v>
      </c>
      <c r="E234">
        <v>0.02</v>
      </c>
      <c r="H234">
        <v>2</v>
      </c>
      <c r="I234">
        <v>400000</v>
      </c>
      <c r="J234" t="s">
        <v>79</v>
      </c>
      <c r="K234">
        <v>20</v>
      </c>
      <c r="L234">
        <v>6</v>
      </c>
      <c r="M234">
        <v>6</v>
      </c>
      <c r="O234">
        <v>0.0070000000000000001</v>
      </c>
      <c r="Q234">
        <v>0</v>
      </c>
      <c r="R234">
        <v>0</v>
      </c>
      <c r="S234">
        <v>0.04</v>
      </c>
      <c r="T234">
        <v>5383968</v>
      </c>
    </row>
    <row r="235" spans="1:24" ht="12.75">
      <c r="A235" s="2" t="str">
        <f>HYPERLINK("https://ibp.a2mac1.com/costing(costing:projects/details/8191/component/5316920)","Other fastener &gt; Snap Tooling")</f>
        <v>Other fastener &gt; Snap Tooling</v>
      </c>
      <c r="B235">
        <v>5316920</v>
      </c>
      <c r="D235">
        <v>0</v>
      </c>
      <c r="E235">
        <v>0.02</v>
      </c>
      <c r="H235">
        <v>2</v>
      </c>
      <c r="I235">
        <v>400000</v>
      </c>
      <c r="J235" t="s">
        <v>79</v>
      </c>
      <c r="O235">
        <v>0.00050000000000000001</v>
      </c>
      <c r="Q235">
        <v>0</v>
      </c>
      <c r="R235">
        <v>0</v>
      </c>
      <c r="S235">
        <v>0.04</v>
      </c>
      <c r="T235">
        <v>5383968</v>
      </c>
    </row>
    <row r="236" spans="1:24" ht="12.75">
      <c r="A236" s="2" t="str">
        <f>HYPERLINK("https://ibp.a2mac1.com/costing(costing:projects/details/8191/component/5316921)","N.A &gt; Staple")</f>
        <v>N.A &gt; Staple</v>
      </c>
      <c r="B236">
        <v>5316921</v>
      </c>
      <c r="D236">
        <v>0</v>
      </c>
      <c r="E236">
        <v>0.001</v>
      </c>
      <c r="H236">
        <v>4</v>
      </c>
      <c r="I236">
        <v>800000</v>
      </c>
      <c r="J236" t="s">
        <v>79</v>
      </c>
      <c r="K236">
        <v>9</v>
      </c>
      <c r="L236">
        <v>6</v>
      </c>
      <c r="M236">
        <v>1</v>
      </c>
      <c r="O236">
        <v>0.00029999999999999997</v>
      </c>
      <c r="Q236">
        <v>0</v>
      </c>
      <c r="R236">
        <v>0</v>
      </c>
      <c r="S236">
        <v>0.0040000000000000001</v>
      </c>
      <c r="T236">
        <v>5383969</v>
      </c>
    </row>
    <row r="237" spans="1:24" ht="12.75">
      <c r="A237" s="2" t="str">
        <f>HYPERLINK("https://ibp.a2mac1.com/costing(costing:projects/details/8191/component/5316922)","Screw &gt; Torx socket head cap screw")</f>
        <v>Screw &gt; Torx socket head cap screw</v>
      </c>
      <c r="B237">
        <v>5316922</v>
      </c>
      <c r="D237">
        <v>0</v>
      </c>
      <c r="E237">
        <v>0.02</v>
      </c>
      <c r="H237">
        <v>2</v>
      </c>
      <c r="I237">
        <v>400000</v>
      </c>
      <c r="J237" t="s">
        <v>79</v>
      </c>
      <c r="K237">
        <v>17</v>
      </c>
      <c r="L237">
        <v>4</v>
      </c>
      <c r="M237">
        <v>6</v>
      </c>
      <c r="O237">
        <v>0.0044999999999999997</v>
      </c>
      <c r="Q237">
        <v>0</v>
      </c>
      <c r="R237">
        <v>0</v>
      </c>
      <c r="S237">
        <v>0.04</v>
      </c>
      <c r="T237">
        <v>5383969</v>
      </c>
    </row>
    <row r="238" spans="1:24" ht="12.75">
      <c r="A238" s="2" t="str">
        <f>HYPERLINK("https://ibp.a2mac1.com/costing(costing:projects/details/8191/component/5316923)","N.A &gt; Staple")</f>
        <v>N.A &gt; Staple</v>
      </c>
      <c r="B238">
        <v>5316923</v>
      </c>
      <c r="D238">
        <v>0</v>
      </c>
      <c r="E238">
        <v>0.001</v>
      </c>
      <c r="H238">
        <v>4</v>
      </c>
      <c r="I238">
        <v>800000</v>
      </c>
      <c r="J238" t="s">
        <v>79</v>
      </c>
      <c r="K238">
        <v>9</v>
      </c>
      <c r="L238">
        <v>6</v>
      </c>
      <c r="M238">
        <v>1</v>
      </c>
      <c r="O238">
        <v>0.00029999999999999997</v>
      </c>
      <c r="Q238">
        <v>0</v>
      </c>
      <c r="R238">
        <v>0</v>
      </c>
      <c r="S238">
        <v>0.0040000000000000001</v>
      </c>
      <c r="T238">
        <v>5383970</v>
      </c>
    </row>
    <row r="239" spans="1:24" ht="12.75">
      <c r="A239" s="2" t="str">
        <f>HYPERLINK("https://ibp.a2mac1.com/costing(costing:projects/details/8191/component/5316687)","Other fastener &gt; Hog ring")</f>
        <v>Other fastener &gt; Hog ring</v>
      </c>
      <c r="B239">
        <v>5316687</v>
      </c>
      <c r="D239">
        <v>0</v>
      </c>
      <c r="E239">
        <v>0.001</v>
      </c>
      <c r="H239">
        <v>11</v>
      </c>
      <c r="I239">
        <v>2200000</v>
      </c>
      <c r="J239" t="s">
        <v>79</v>
      </c>
      <c r="M239">
        <v>2</v>
      </c>
      <c r="O239">
        <v>0.00069999999999999999</v>
      </c>
      <c r="Q239">
        <v>0</v>
      </c>
      <c r="R239">
        <v>0</v>
      </c>
      <c r="S239">
        <v>0.010999999999999999</v>
      </c>
      <c r="T239">
        <v>5383689</v>
      </c>
    </row>
    <row r="240" spans="1:24" ht="12.75">
      <c r="A240" s="2" t="str">
        <f>HYPERLINK("https://ibp.a2mac1.com/costing(costing:projects/details/8191/component/5316704)","Spacer/Axle &gt; Flange")</f>
        <v>Spacer/Axle &gt; Flange</v>
      </c>
      <c r="B240">
        <v>5316704</v>
      </c>
      <c r="D240">
        <v>0</v>
      </c>
      <c r="E240">
        <v>0.02</v>
      </c>
      <c r="H240">
        <v>1</v>
      </c>
      <c r="I240">
        <v>200000</v>
      </c>
      <c r="J240" t="s">
        <v>79</v>
      </c>
      <c r="K240">
        <v>32</v>
      </c>
      <c r="L240">
        <v>30</v>
      </c>
      <c r="M240">
        <v>4</v>
      </c>
      <c r="O240">
        <v>0.0040000000000000001</v>
      </c>
      <c r="Q240">
        <v>0</v>
      </c>
      <c r="R240">
        <v>0</v>
      </c>
      <c r="S240">
        <v>0.02</v>
      </c>
      <c r="T240">
        <v>5383689</v>
      </c>
    </row>
    <row r="241" spans="1:24" ht="12.75">
      <c r="A241" s="2" t="str">
        <f>HYPERLINK("https://ibp.a2mac1.com/costing(costing:projects/details/8191/component/5316707)","Screw &gt; Torx socket head cap screw with flange")</f>
        <v>Screw &gt; Torx socket head cap screw with flange</v>
      </c>
      <c r="B241">
        <v>5316707</v>
      </c>
      <c r="D241">
        <v>0</v>
      </c>
      <c r="E241">
        <v>0.02</v>
      </c>
      <c r="H241">
        <v>1</v>
      </c>
      <c r="I241">
        <v>200000</v>
      </c>
      <c r="J241" t="s">
        <v>79</v>
      </c>
      <c r="K241">
        <v>20</v>
      </c>
      <c r="L241">
        <v>6</v>
      </c>
      <c r="M241">
        <v>6</v>
      </c>
      <c r="O241">
        <v>0.0070000000000000001</v>
      </c>
      <c r="Q241">
        <v>0</v>
      </c>
      <c r="R241">
        <v>0</v>
      </c>
      <c r="S241">
        <v>0.02</v>
      </c>
      <c r="T241">
        <v>5383689</v>
      </c>
    </row>
    <row r="242" spans="1:24" ht="12.75">
      <c r="A242" s="2" t="str">
        <f>HYPERLINK("https://ibp.a2mac1.com/costing(costing:projects/details/8191/component/5316565)","Screw &gt; Hexagon screw with flange")</f>
        <v>Screw &gt; Hexagon screw with flange</v>
      </c>
      <c r="B242">
        <v>5316565</v>
      </c>
      <c r="D242">
        <v>0</v>
      </c>
      <c r="E242">
        <v>0.02</v>
      </c>
      <c r="H242">
        <v>10</v>
      </c>
      <c r="I242">
        <v>2000000</v>
      </c>
      <c r="J242" t="s">
        <v>79</v>
      </c>
      <c r="K242">
        <v>16</v>
      </c>
      <c r="L242">
        <v>10</v>
      </c>
      <c r="M242">
        <v>6</v>
      </c>
      <c r="O242">
        <v>0.0097000000000000003</v>
      </c>
      <c r="Q242">
        <v>0</v>
      </c>
      <c r="R242">
        <v>0</v>
      </c>
      <c r="S242">
        <v>0.20</v>
      </c>
      <c r="T242">
        <v>5383548</v>
      </c>
    </row>
    <row r="243" spans="1:24" ht="12.75">
      <c r="A243" s="2" t="str">
        <f>HYPERLINK("https://ibp.a2mac1.com/costing(costing:projects/details/8191/component/5316566)","Other fastener &gt; Hog ring")</f>
        <v>Other fastener &gt; Hog ring</v>
      </c>
      <c r="B243">
        <v>5316566</v>
      </c>
      <c r="D243">
        <v>0</v>
      </c>
      <c r="E243">
        <v>0.001</v>
      </c>
      <c r="H243">
        <v>56</v>
      </c>
      <c r="I243">
        <v>11200000</v>
      </c>
      <c r="J243" t="s">
        <v>79</v>
      </c>
      <c r="M243">
        <v>2</v>
      </c>
      <c r="O243">
        <v>0.00080000000000000004</v>
      </c>
      <c r="Q243">
        <v>0</v>
      </c>
      <c r="R243">
        <v>0</v>
      </c>
      <c r="S243">
        <v>0.056000000000000001</v>
      </c>
      <c r="T243">
        <v>5383548</v>
      </c>
    </row>
    <row r="244" spans="1:24" ht="12.75">
      <c r="A244" s="2" t="str">
        <f>HYPERLINK("https://ibp.a2mac1.com/costing(costing:projects/details/8191/component/5316567)","Other fastener &gt; Attachment")</f>
        <v>Other fastener &gt; Attachment</v>
      </c>
      <c r="B244">
        <v>5316567</v>
      </c>
      <c r="D244">
        <v>0</v>
      </c>
      <c r="E244">
        <v>0.02</v>
      </c>
      <c r="H244">
        <v>2</v>
      </c>
      <c r="I244">
        <v>400000</v>
      </c>
      <c r="J244" t="s">
        <v>79</v>
      </c>
      <c r="K244">
        <v>41</v>
      </c>
      <c r="L244">
        <v>24</v>
      </c>
      <c r="M244">
        <v>41</v>
      </c>
      <c r="O244">
        <v>0.0085000000000000006</v>
      </c>
      <c r="Q244">
        <v>0</v>
      </c>
      <c r="R244">
        <v>0</v>
      </c>
      <c r="S244">
        <v>0.04</v>
      </c>
      <c r="T244">
        <v>5383548</v>
      </c>
    </row>
    <row r="245" spans="1:24" ht="12.75">
      <c r="A245" s="2" t="str">
        <f>HYPERLINK("https://ibp.a2mac1.com/costing(costing:projects/details/8191/component/5317746)","Nut &gt; Hexagonal nut with collar")</f>
        <v>Nut &gt; Hexagonal nut with collar</v>
      </c>
      <c r="B245">
        <v>5317746</v>
      </c>
      <c r="D245">
        <v>0</v>
      </c>
      <c r="E245">
        <v>0</v>
      </c>
      <c r="H245">
        <v>2</v>
      </c>
      <c r="I245">
        <v>400000</v>
      </c>
      <c r="J245" t="s">
        <v>79</v>
      </c>
      <c r="K245">
        <v>9</v>
      </c>
      <c r="L245">
        <v>13</v>
      </c>
      <c r="M245">
        <v>7</v>
      </c>
      <c r="O245">
        <v>0.0115</v>
      </c>
      <c r="Q245">
        <v>0</v>
      </c>
      <c r="R245">
        <v>0</v>
      </c>
      <c r="S245">
        <v>0</v>
      </c>
      <c r="T245">
        <v>5384802</v>
      </c>
    </row>
    <row r="246" spans="1:24" ht="12.75">
      <c r="A246" s="2" t="str">
        <f>HYPERLINK("https://ibp.a2mac1.com/costing(costing:projects/details/8191/component/5317747)","Screw &gt; Torx socket head cap screw with flange")</f>
        <v>Screw &gt; Torx socket head cap screw with flange</v>
      </c>
      <c r="B246">
        <v>5317747</v>
      </c>
      <c r="D246">
        <v>0</v>
      </c>
      <c r="E246">
        <v>0</v>
      </c>
      <c r="H246">
        <v>4</v>
      </c>
      <c r="I246">
        <v>800000</v>
      </c>
      <c r="J246" t="s">
        <v>79</v>
      </c>
      <c r="K246">
        <v>20</v>
      </c>
      <c r="L246">
        <v>5</v>
      </c>
      <c r="M246">
        <v>6</v>
      </c>
      <c r="O246">
        <v>0.0085000000000000006</v>
      </c>
      <c r="Q246">
        <v>0</v>
      </c>
      <c r="R246">
        <v>0</v>
      </c>
      <c r="S246">
        <v>0</v>
      </c>
      <c r="T246">
        <v>5384802</v>
      </c>
    </row>
    <row r="247" spans="1:24" ht="12.75">
      <c r="A247" s="2" t="str">
        <f>HYPERLINK("https://ibp.a2mac1.com/costing(costing:projects/details/8191/component/5317748)","Screw &gt; Hexagon screw with captive washer")</f>
        <v>Screw &gt; Hexagon screw with captive washer</v>
      </c>
      <c r="B247">
        <v>5317748</v>
      </c>
      <c r="D247">
        <v>0</v>
      </c>
      <c r="E247">
        <v>0</v>
      </c>
      <c r="H247">
        <v>2</v>
      </c>
      <c r="I247">
        <v>400000</v>
      </c>
      <c r="J247" t="s">
        <v>79</v>
      </c>
      <c r="K247">
        <v>18</v>
      </c>
      <c r="L247">
        <v>8</v>
      </c>
      <c r="M247">
        <v>5</v>
      </c>
      <c r="O247">
        <v>0.0054999999999999997</v>
      </c>
      <c r="Q247">
        <v>0</v>
      </c>
      <c r="R247">
        <v>0</v>
      </c>
      <c r="S247">
        <v>0</v>
      </c>
      <c r="T247">
        <v>5384802</v>
      </c>
    </row>
    <row r="248" spans="1:24" ht="12.75">
      <c r="A248" s="2" t="str">
        <f>HYPERLINK("https://ibp.a2mac1.com/costing(costing:projects/details/8191/component/5317749)","Spacer/Axle &gt; Axle")</f>
        <v>Spacer/Axle &gt; Axle</v>
      </c>
      <c r="B248">
        <v>5317749</v>
      </c>
      <c r="D248">
        <v>0</v>
      </c>
      <c r="E248">
        <v>0</v>
      </c>
      <c r="H248">
        <v>1</v>
      </c>
      <c r="I248">
        <v>200000</v>
      </c>
      <c r="J248" t="s">
        <v>79</v>
      </c>
      <c r="K248">
        <v>10</v>
      </c>
      <c r="L248">
        <v>4</v>
      </c>
      <c r="M248">
        <v>8</v>
      </c>
      <c r="O248">
        <v>0.001</v>
      </c>
      <c r="Q248">
        <v>0</v>
      </c>
      <c r="R248">
        <v>0</v>
      </c>
      <c r="S248">
        <v>0</v>
      </c>
      <c r="T248">
        <v>5384802</v>
      </c>
    </row>
    <row r="249" spans="1:24" ht="12.75">
      <c r="A249" s="2" t="str">
        <f>HYPERLINK("https://ibp.a2mac1.com/costing(costing:projects/details/8191/component/5317750)","Nut &gt; Pinching nut for metric screw")</f>
        <v>Nut &gt; Pinching nut for metric screw</v>
      </c>
      <c r="B249">
        <v>5317750</v>
      </c>
      <c r="D249">
        <v>0</v>
      </c>
      <c r="E249">
        <v>0</v>
      </c>
      <c r="H249">
        <v>2</v>
      </c>
      <c r="I249">
        <v>400000</v>
      </c>
      <c r="J249" t="s">
        <v>79</v>
      </c>
      <c r="K249">
        <v>2</v>
      </c>
      <c r="L249">
        <v>4</v>
      </c>
      <c r="M249">
        <v>8</v>
      </c>
      <c r="O249">
        <v>0.0030000000000000001</v>
      </c>
      <c r="Q249">
        <v>0</v>
      </c>
      <c r="R249">
        <v>0</v>
      </c>
      <c r="S249">
        <v>0</v>
      </c>
      <c r="T249">
        <v>5384802</v>
      </c>
    </row>
    <row r="250" spans="1:24" ht="12.75">
      <c r="A250" s="2" t="str">
        <f>HYPERLINK("https://ibp.a2mac1.com/costing(costing:projects/details/8191/component/5317773)","Panel holder &gt; Clips in rectangular hole")</f>
        <v>Panel holder &gt; Clips in rectangular hole</v>
      </c>
      <c r="B250">
        <v>5317773</v>
      </c>
      <c r="D250">
        <v>0</v>
      </c>
      <c r="E250">
        <v>0</v>
      </c>
      <c r="H250">
        <v>11</v>
      </c>
      <c r="I250">
        <v>2200000</v>
      </c>
      <c r="J250" t="s">
        <v>79</v>
      </c>
      <c r="K250">
        <v>2</v>
      </c>
      <c r="L250">
        <v>15</v>
      </c>
      <c r="M250">
        <v>10</v>
      </c>
      <c r="O250">
        <v>0.0016000000000000001</v>
      </c>
      <c r="Q250">
        <v>0</v>
      </c>
      <c r="R250">
        <v>0</v>
      </c>
      <c r="S250">
        <v>0</v>
      </c>
      <c r="T250">
        <v>5384860</v>
      </c>
    </row>
    <row r="251" spans="1:24" ht="12.75">
      <c r="A251" s="2" t="str">
        <f>HYPERLINK("https://ibp.a2mac1.com/costing(costing:projects/details/8191/component/5317774)","Screw &gt; Torx socket head cap screw with flange")</f>
        <v>Screw &gt; Torx socket head cap screw with flange</v>
      </c>
      <c r="B251">
        <v>5317774</v>
      </c>
      <c r="D251">
        <v>0</v>
      </c>
      <c r="E251">
        <v>0</v>
      </c>
      <c r="H251">
        <v>3</v>
      </c>
      <c r="I251">
        <v>600000</v>
      </c>
      <c r="J251" t="s">
        <v>79</v>
      </c>
      <c r="K251">
        <v>16</v>
      </c>
      <c r="L251">
        <v>4</v>
      </c>
      <c r="M251">
        <v>4</v>
      </c>
      <c r="O251">
        <v>0.0023</v>
      </c>
      <c r="Q251">
        <v>0</v>
      </c>
      <c r="R251">
        <v>0</v>
      </c>
      <c r="S251">
        <v>0</v>
      </c>
      <c r="T251">
        <v>5384860</v>
      </c>
    </row>
    <row r="252" spans="1:24" ht="12.75">
      <c r="A252" s="2" t="str">
        <f>HYPERLINK("https://ibp.a2mac1.com/costing(costing:projects/details/8191/component/5317775)","Panel holder &gt; Clips in rectangular hole")</f>
        <v>Panel holder &gt; Clips in rectangular hole</v>
      </c>
      <c r="B252">
        <v>5317775</v>
      </c>
      <c r="D252">
        <v>0</v>
      </c>
      <c r="E252">
        <v>0</v>
      </c>
      <c r="H252">
        <v>1</v>
      </c>
      <c r="I252">
        <v>200000</v>
      </c>
      <c r="J252" t="s">
        <v>79</v>
      </c>
      <c r="K252">
        <v>2</v>
      </c>
      <c r="L252">
        <v>15</v>
      </c>
      <c r="M252">
        <v>10</v>
      </c>
      <c r="O252">
        <v>0.001</v>
      </c>
      <c r="Q252">
        <v>0</v>
      </c>
      <c r="R252">
        <v>0</v>
      </c>
      <c r="S252">
        <v>0</v>
      </c>
      <c r="T252">
        <v>5384860</v>
      </c>
    </row>
    <row r="253" spans="1:24" ht="12.75">
      <c r="A253" s="2" t="str">
        <f>HYPERLINK("https://ibp.a2mac1.com/costing(costing:projects/details/8191/component/5317776)","Rivet &gt; Head rivet")</f>
        <v>Rivet &gt; Head rivet</v>
      </c>
      <c r="B253">
        <v>5317776</v>
      </c>
      <c r="D253">
        <v>0</v>
      </c>
      <c r="E253">
        <v>0</v>
      </c>
      <c r="H253">
        <v>3</v>
      </c>
      <c r="I253">
        <v>600000</v>
      </c>
      <c r="J253" t="s">
        <v>79</v>
      </c>
      <c r="K253">
        <v>19</v>
      </c>
      <c r="L253">
        <v>22</v>
      </c>
      <c r="M253">
        <v>9</v>
      </c>
      <c r="O253">
        <v>0.0012999999999999999</v>
      </c>
      <c r="Q253">
        <v>0</v>
      </c>
      <c r="R253">
        <v>0</v>
      </c>
      <c r="S253">
        <v>0</v>
      </c>
      <c r="T253">
        <v>5384860</v>
      </c>
    </row>
    <row r="254" spans="1:24" ht="12.75">
      <c r="A254" s="2" t="str">
        <f>HYPERLINK("https://ibp.a2mac1.com/costing(costing:projects/details/8191/component/5317777)","Nut &gt; Pinching nut for metal sheet screw")</f>
        <v>Nut &gt; Pinching nut for metal sheet screw</v>
      </c>
      <c r="B254">
        <v>5317777</v>
      </c>
      <c r="D254">
        <v>0</v>
      </c>
      <c r="E254">
        <v>0</v>
      </c>
      <c r="H254">
        <v>2</v>
      </c>
      <c r="I254">
        <v>400000</v>
      </c>
      <c r="J254" t="s">
        <v>79</v>
      </c>
      <c r="K254">
        <v>2</v>
      </c>
      <c r="L254">
        <v>4</v>
      </c>
      <c r="M254">
        <v>7</v>
      </c>
      <c r="O254">
        <v>0.0015</v>
      </c>
      <c r="Q254">
        <v>0</v>
      </c>
      <c r="R254">
        <v>0</v>
      </c>
      <c r="S254">
        <v>0</v>
      </c>
      <c r="T254">
        <v>5384861</v>
      </c>
    </row>
    <row r="255" spans="1:24" ht="12.75">
      <c r="A255" s="2" t="str">
        <f>HYPERLINK("https://ibp.a2mac1.com/costing(costing:projects/details/8191/component/5317778)","Screw &gt; Torx socket head cap screw with flange")</f>
        <v>Screw &gt; Torx socket head cap screw with flange</v>
      </c>
      <c r="B255">
        <v>5317778</v>
      </c>
      <c r="D255">
        <v>0</v>
      </c>
      <c r="E255">
        <v>0</v>
      </c>
      <c r="H255">
        <v>2</v>
      </c>
      <c r="I255">
        <v>400000</v>
      </c>
      <c r="J255" t="s">
        <v>79</v>
      </c>
      <c r="K255">
        <v>16</v>
      </c>
      <c r="L255">
        <v>4</v>
      </c>
      <c r="M255">
        <v>4</v>
      </c>
      <c r="O255">
        <v>0.0025</v>
      </c>
      <c r="Q255">
        <v>0</v>
      </c>
      <c r="R255">
        <v>0</v>
      </c>
      <c r="S255">
        <v>0</v>
      </c>
      <c r="T255">
        <v>5384862</v>
      </c>
    </row>
    <row r="256" spans="1:24" ht="12.75">
      <c r="A256" s="2" t="str">
        <f>HYPERLINK("https://ibp.a2mac1.com/costing(costing:projects/details/8191/component/5317751)","Other fastener &gt; Snap Tooling")</f>
        <v>Other fastener &gt; Snap Tooling</v>
      </c>
      <c r="B256">
        <v>5317751</v>
      </c>
      <c r="D256">
        <v>0</v>
      </c>
      <c r="E256">
        <v>0</v>
      </c>
      <c r="H256">
        <v>12</v>
      </c>
      <c r="I256">
        <v>2400000</v>
      </c>
      <c r="J256" t="s">
        <v>79</v>
      </c>
      <c r="O256">
        <v>0.0001</v>
      </c>
      <c r="Q256">
        <v>0</v>
      </c>
      <c r="R256">
        <v>0</v>
      </c>
      <c r="S256">
        <v>0</v>
      </c>
      <c r="T256">
        <v>5384803</v>
      </c>
    </row>
    <row r="257" spans="1:24" ht="12.75">
      <c r="A257" s="2" t="str">
        <f>HYPERLINK("https://ibp.a2mac1.com/costing(costing:projects/details/8191/component/5317752)","Panel holder &gt; Clips in rectangular hole")</f>
        <v>Panel holder &gt; Clips in rectangular hole</v>
      </c>
      <c r="B257">
        <v>5317752</v>
      </c>
      <c r="D257">
        <v>0</v>
      </c>
      <c r="E257">
        <v>0</v>
      </c>
      <c r="H257">
        <v>4</v>
      </c>
      <c r="I257">
        <v>800000</v>
      </c>
      <c r="J257" t="s">
        <v>79</v>
      </c>
      <c r="K257">
        <v>2</v>
      </c>
      <c r="L257">
        <v>15</v>
      </c>
      <c r="M257">
        <v>10</v>
      </c>
      <c r="O257">
        <v>0.0018</v>
      </c>
      <c r="Q257">
        <v>0</v>
      </c>
      <c r="R257">
        <v>0</v>
      </c>
      <c r="S257">
        <v>0</v>
      </c>
      <c r="T257">
        <v>5384803</v>
      </c>
    </row>
    <row r="258" spans="1:24" ht="12.75">
      <c r="A258" s="2" t="str">
        <f>HYPERLINK("https://ibp.a2mac1.com/costing(costing:projects/details/8191/component/5317753)","Panel holder &gt; Clips in rectangular hole")</f>
        <v>Panel holder &gt; Clips in rectangular hole</v>
      </c>
      <c r="B258">
        <v>5317753</v>
      </c>
      <c r="D258">
        <v>0</v>
      </c>
      <c r="E258">
        <v>0</v>
      </c>
      <c r="H258">
        <v>4</v>
      </c>
      <c r="I258">
        <v>800000</v>
      </c>
      <c r="J258" t="s">
        <v>79</v>
      </c>
      <c r="K258">
        <v>2</v>
      </c>
      <c r="L258">
        <v>15</v>
      </c>
      <c r="M258">
        <v>10</v>
      </c>
      <c r="O258">
        <v>0.0015</v>
      </c>
      <c r="Q258">
        <v>0</v>
      </c>
      <c r="R258">
        <v>0</v>
      </c>
      <c r="S258">
        <v>0</v>
      </c>
      <c r="T258">
        <v>5384803</v>
      </c>
    </row>
    <row r="259" spans="1:24" ht="12.75">
      <c r="A259" s="2" t="str">
        <f>HYPERLINK("https://ibp.a2mac1.com/costing(costing:projects/details/8191/component/5317779)","Other fastener &gt; Snap Tooling")</f>
        <v>Other fastener &gt; Snap Tooling</v>
      </c>
      <c r="B259">
        <v>5317779</v>
      </c>
      <c r="D259">
        <v>0</v>
      </c>
      <c r="E259">
        <v>0</v>
      </c>
      <c r="H259">
        <v>4</v>
      </c>
      <c r="I259">
        <v>800000</v>
      </c>
      <c r="J259" t="s">
        <v>79</v>
      </c>
      <c r="O259">
        <v>0.00029999999999999997</v>
      </c>
      <c r="Q259">
        <v>0</v>
      </c>
      <c r="R259">
        <v>0</v>
      </c>
      <c r="S259">
        <v>0</v>
      </c>
      <c r="T259">
        <v>5384863</v>
      </c>
    </row>
    <row r="260" spans="1:24" ht="12.75">
      <c r="A260" s="2" t="str">
        <f>HYPERLINK("https://ibp.a2mac1.com/costing(costing:projects/details/8191/component/5317780)","Other fastener &gt; Snap Tooling")</f>
        <v>Other fastener &gt; Snap Tooling</v>
      </c>
      <c r="B260">
        <v>5317780</v>
      </c>
      <c r="D260">
        <v>0</v>
      </c>
      <c r="E260">
        <v>0</v>
      </c>
      <c r="H260">
        <v>23</v>
      </c>
      <c r="I260">
        <v>4600000</v>
      </c>
      <c r="J260" t="s">
        <v>79</v>
      </c>
      <c r="O260">
        <v>0</v>
      </c>
      <c r="Q260">
        <v>0</v>
      </c>
      <c r="R260">
        <v>0</v>
      </c>
      <c r="S260">
        <v>0</v>
      </c>
      <c r="T260">
        <v>5384864</v>
      </c>
    </row>
    <row r="261" spans="1:24" ht="12.75">
      <c r="A261" s="2" t="str">
        <f>HYPERLINK("https://ibp.a2mac1.com/costing(costing:projects/details/8191/component/5317853)","Electronics")</f>
        <v>Electronics</v>
      </c>
      <c r="B261">
        <v>5317853</v>
      </c>
      <c r="D261">
        <v>0</v>
      </c>
      <c r="E261">
        <v>30.921019999999999</v>
      </c>
      <c r="H261">
        <v>1</v>
      </c>
      <c r="I261">
        <v>200000</v>
      </c>
      <c r="J261" t="s">
        <v>136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573</v>
      </c>
      <c r="Q261">
        <v>0</v>
      </c>
      <c r="R261">
        <v>0</v>
      </c>
      <c r="S261">
        <v>29.017048501602751</v>
      </c>
      <c r="U261">
        <v>5384973</v>
      </c>
    </row>
    <row r="262" spans="1:24" ht="12.75">
      <c r="A262" s="2" t="str">
        <f>HYPERLINK("https://ibp.a2mac1.com/costing(costing:projects/details/8191/component/5317854)","Mechanics")</f>
        <v>Mechanics</v>
      </c>
      <c r="B262">
        <v>5317854</v>
      </c>
      <c r="D262">
        <v>0</v>
      </c>
      <c r="E262">
        <v>15.686579999999999</v>
      </c>
      <c r="H262">
        <v>1</v>
      </c>
      <c r="I262">
        <v>200000</v>
      </c>
      <c r="J262" t="s">
        <v>136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575</v>
      </c>
      <c r="Q262">
        <v>0</v>
      </c>
      <c r="R262">
        <v>0</v>
      </c>
      <c r="S262">
        <v>15.403840804994797</v>
      </c>
      <c r="U262">
        <v>5384973</v>
      </c>
    </row>
    <row r="263" spans="1:24" ht="12.75">
      <c r="A263" s="2" t="str">
        <f>HYPERLINK("https://ibp.a2mac1.com/costing(costing:projects/details/8191/component/5317855)","Electronics")</f>
        <v>Electronics</v>
      </c>
      <c r="B263">
        <v>5317855</v>
      </c>
      <c r="D263">
        <v>0</v>
      </c>
      <c r="E263">
        <v>139.78587999999999</v>
      </c>
      <c r="H263">
        <v>1</v>
      </c>
      <c r="I263">
        <v>200000</v>
      </c>
      <c r="J263" t="s">
        <v>136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573</v>
      </c>
      <c r="Q263">
        <v>0</v>
      </c>
      <c r="R263">
        <v>0</v>
      </c>
      <c r="S263">
        <v>131.17852062445618</v>
      </c>
      <c r="U263">
        <v>5384975</v>
      </c>
    </row>
    <row r="264" spans="1:24" ht="12.75">
      <c r="A264" s="2" t="str">
        <f>HYPERLINK("https://ibp.a2mac1.com/costing(costing:projects/details/8191/component/5317856)","Mechanics")</f>
        <v>Mechanics</v>
      </c>
      <c r="B264">
        <v>5317856</v>
      </c>
      <c r="D264">
        <v>0</v>
      </c>
      <c r="E264">
        <v>30.441189999999999</v>
      </c>
      <c r="H264">
        <v>1</v>
      </c>
      <c r="I264">
        <v>200000</v>
      </c>
      <c r="J264" t="s">
        <v>136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575</v>
      </c>
      <c r="Q264">
        <v>0</v>
      </c>
      <c r="R264">
        <v>0</v>
      </c>
      <c r="S264">
        <v>29.892509691379484</v>
      </c>
      <c r="U264">
        <v>5384975</v>
      </c>
    </row>
    <row r="265" spans="1:24" ht="12.75">
      <c r="A265" s="2" t="str">
        <f>HYPERLINK("https://ibp.a2mac1.com/costing(costing:projects/details/8191/component/5317857)","Electronics")</f>
        <v>Electronics</v>
      </c>
      <c r="B265">
        <v>5317857</v>
      </c>
      <c r="D265">
        <v>0</v>
      </c>
      <c r="E265">
        <v>63.143099999999997</v>
      </c>
      <c r="H265">
        <v>1</v>
      </c>
      <c r="I265">
        <v>200000</v>
      </c>
      <c r="J265" t="s">
        <v>136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573</v>
      </c>
      <c r="Q265">
        <v>0</v>
      </c>
      <c r="R265">
        <v>0</v>
      </c>
      <c r="S265">
        <v>59.255043825900721</v>
      </c>
      <c r="U265">
        <v>5384977</v>
      </c>
    </row>
    <row r="266" spans="1:24" ht="12.75">
      <c r="A266" s="2" t="str">
        <f>HYPERLINK("https://ibp.a2mac1.com/costing(costing:projects/details/8191/component/5317858)","Mechanics")</f>
        <v>Mechanics</v>
      </c>
      <c r="B266">
        <v>5317858</v>
      </c>
      <c r="D266">
        <v>0</v>
      </c>
      <c r="E266">
        <v>32.037529999999997</v>
      </c>
      <c r="H266">
        <v>1</v>
      </c>
      <c r="I266">
        <v>200000</v>
      </c>
      <c r="J266" t="s">
        <v>136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575</v>
      </c>
      <c r="Q266">
        <v>0</v>
      </c>
      <c r="R266">
        <v>0</v>
      </c>
      <c r="S266">
        <v>31.46007682396322</v>
      </c>
      <c r="U266">
        <v>5384977</v>
      </c>
    </row>
    <row r="267" spans="1:24" ht="12.75">
      <c r="A267" s="2" t="str">
        <f>HYPERLINK("https://ibp.a2mac1.com/costing(costing:projects/details/8191/component/5317781)","Screw &gt; Torx socket head cap screw with flange")</f>
        <v>Screw &gt; Torx socket head cap screw with flange</v>
      </c>
      <c r="B267">
        <v>5317781</v>
      </c>
      <c r="D267">
        <v>0</v>
      </c>
      <c r="E267">
        <v>0</v>
      </c>
      <c r="H267">
        <v>2</v>
      </c>
      <c r="I267">
        <v>400000</v>
      </c>
      <c r="J267" t="s">
        <v>79</v>
      </c>
      <c r="K267">
        <v>10</v>
      </c>
      <c r="L267">
        <v>4</v>
      </c>
      <c r="M267">
        <v>5</v>
      </c>
      <c r="O267">
        <v>0.0030000000000000001</v>
      </c>
      <c r="Q267">
        <v>0</v>
      </c>
      <c r="R267">
        <v>0</v>
      </c>
      <c r="S267">
        <v>0</v>
      </c>
      <c r="T267">
        <v>5384868</v>
      </c>
    </row>
    <row r="268" spans="1:24" ht="12.75">
      <c r="A268" s="2" t="str">
        <f>HYPERLINK("https://ibp.a2mac1.com/costing(costing:projects/details/8191/component/5317782)","Screw &gt; Torx socket head cap screw with flange")</f>
        <v>Screw &gt; Torx socket head cap screw with flange</v>
      </c>
      <c r="B268">
        <v>5317782</v>
      </c>
      <c r="D268">
        <v>0</v>
      </c>
      <c r="E268">
        <v>0</v>
      </c>
      <c r="H268">
        <v>2</v>
      </c>
      <c r="I268">
        <v>400000</v>
      </c>
      <c r="J268" t="s">
        <v>79</v>
      </c>
      <c r="K268">
        <v>5</v>
      </c>
      <c r="L268">
        <v>2</v>
      </c>
      <c r="M268">
        <v>3</v>
      </c>
      <c r="O268">
        <v>0.00050000000000000001</v>
      </c>
      <c r="Q268">
        <v>0</v>
      </c>
      <c r="R268">
        <v>0</v>
      </c>
      <c r="S268">
        <v>0</v>
      </c>
      <c r="T268">
        <v>5384868</v>
      </c>
    </row>
    <row r="269" spans="1:24" ht="12.75">
      <c r="A269" s="2" t="str">
        <f>HYPERLINK("https://ibp.a2mac1.com/costing(costing:projects/details/8191/component/5317783)","Screw &gt; Torx socket head cap screw with flange")</f>
        <v>Screw &gt; Torx socket head cap screw with flange</v>
      </c>
      <c r="B269">
        <v>5317783</v>
      </c>
      <c r="D269">
        <v>0</v>
      </c>
      <c r="E269">
        <v>0</v>
      </c>
      <c r="H269">
        <v>4</v>
      </c>
      <c r="I269">
        <v>800000</v>
      </c>
      <c r="J269" t="s">
        <v>79</v>
      </c>
      <c r="K269">
        <v>8</v>
      </c>
      <c r="L269">
        <v>2</v>
      </c>
      <c r="M269">
        <v>2</v>
      </c>
      <c r="O269">
        <v>0.00050000000000000001</v>
      </c>
      <c r="Q269">
        <v>0</v>
      </c>
      <c r="R269">
        <v>0</v>
      </c>
      <c r="S269">
        <v>0</v>
      </c>
      <c r="T269">
        <v>5384868</v>
      </c>
    </row>
    <row r="270" spans="1:24" ht="12.75">
      <c r="A270" s="2" t="str">
        <f>HYPERLINK("https://ibp.a2mac1.com/costing(costing:projects/details/8191/component/5317784)","Panel holder &gt; Clips in rectangular hole")</f>
        <v>Panel holder &gt; Clips in rectangular hole</v>
      </c>
      <c r="B270">
        <v>5317784</v>
      </c>
      <c r="D270">
        <v>0</v>
      </c>
      <c r="E270">
        <v>0</v>
      </c>
      <c r="H270">
        <v>3</v>
      </c>
      <c r="I270">
        <v>600000</v>
      </c>
      <c r="J270" t="s">
        <v>79</v>
      </c>
      <c r="K270">
        <v>2</v>
      </c>
      <c r="L270">
        <v>15</v>
      </c>
      <c r="M270">
        <v>10</v>
      </c>
      <c r="O270">
        <v>0.0016999999999999999</v>
      </c>
      <c r="Q270">
        <v>0</v>
      </c>
      <c r="R270">
        <v>0</v>
      </c>
      <c r="S270">
        <v>0</v>
      </c>
      <c r="T270">
        <v>5384868</v>
      </c>
    </row>
    <row r="271" spans="1:24" ht="12.75">
      <c r="A271" s="2" t="str">
        <f>HYPERLINK("https://ibp.a2mac1.com/costing(costing:projects/details/8191/component/5317785)","Other fastener &gt; Snap Tooling")</f>
        <v>Other fastener &gt; Snap Tooling</v>
      </c>
      <c r="B271">
        <v>5317785</v>
      </c>
      <c r="D271">
        <v>0</v>
      </c>
      <c r="E271">
        <v>0</v>
      </c>
      <c r="H271">
        <v>12</v>
      </c>
      <c r="I271">
        <v>2400000</v>
      </c>
      <c r="J271" t="s">
        <v>79</v>
      </c>
      <c r="O271">
        <v>0.0001</v>
      </c>
      <c r="Q271">
        <v>0</v>
      </c>
      <c r="R271">
        <v>0</v>
      </c>
      <c r="S271">
        <v>0</v>
      </c>
      <c r="T271">
        <v>5384871</v>
      </c>
    </row>
    <row r="272" spans="1:24" ht="12.75">
      <c r="A272" s="2" t="str">
        <f>HYPERLINK("https://ibp.a2mac1.com/costing(costing:projects/details/8191/component/5317786)","Other fastener &gt; Snap Tooling")</f>
        <v>Other fastener &gt; Snap Tooling</v>
      </c>
      <c r="B272">
        <v>5317786</v>
      </c>
      <c r="D272">
        <v>0</v>
      </c>
      <c r="E272">
        <v>0</v>
      </c>
      <c r="H272">
        <v>3</v>
      </c>
      <c r="I272">
        <v>600000</v>
      </c>
      <c r="J272" t="s">
        <v>79</v>
      </c>
      <c r="O272">
        <v>0.00029999999999999997</v>
      </c>
      <c r="Q272">
        <v>0</v>
      </c>
      <c r="R272">
        <v>0</v>
      </c>
      <c r="S272">
        <v>0</v>
      </c>
      <c r="T272">
        <v>5384871</v>
      </c>
    </row>
    <row r="273" spans="1:24" ht="12.75">
      <c r="A273" s="2" t="str">
        <f>HYPERLINK("https://ibp.a2mac1.com/costing(costing:projects/details/8191/component/5317859)","Mechanics")</f>
        <v>Mechanics</v>
      </c>
      <c r="B273">
        <v>5317859</v>
      </c>
      <c r="D273">
        <v>0</v>
      </c>
      <c r="E273">
        <v>1.32875</v>
      </c>
      <c r="H273">
        <v>1</v>
      </c>
      <c r="I273">
        <v>200000</v>
      </c>
      <c r="J273" t="s">
        <v>136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575</v>
      </c>
      <c r="Q273">
        <v>0</v>
      </c>
      <c r="R273">
        <v>0</v>
      </c>
      <c r="S273">
        <v>1.3048002477045244</v>
      </c>
      <c r="U273">
        <v>5384993</v>
      </c>
    </row>
    <row r="274" spans="1:24" ht="12.75">
      <c r="A274" s="2" t="str">
        <f>HYPERLINK("https://ibp.a2mac1.com/costing(costing:projects/details/8191/component/5317860)","Electronics")</f>
        <v>Electronics</v>
      </c>
      <c r="B274">
        <v>5317860</v>
      </c>
      <c r="D274">
        <v>0</v>
      </c>
      <c r="E274">
        <v>2.6113499999999998</v>
      </c>
      <c r="H274">
        <v>1</v>
      </c>
      <c r="I274">
        <v>200000</v>
      </c>
      <c r="J274" t="s">
        <v>136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573</v>
      </c>
      <c r="Q274">
        <v>0</v>
      </c>
      <c r="R274">
        <v>0</v>
      </c>
      <c r="S274">
        <v>2.4505553052473803</v>
      </c>
      <c r="U274">
        <v>5384993</v>
      </c>
    </row>
    <row r="275" spans="1:24" ht="12.75">
      <c r="A275" s="2" t="str">
        <f>HYPERLINK("https://ibp.a2mac1.com/costing(costing:projects/details/8191/component/5317861)","Electronics")</f>
        <v>Electronics</v>
      </c>
      <c r="B275">
        <v>5317861</v>
      </c>
      <c r="D275">
        <v>0</v>
      </c>
      <c r="E275">
        <v>2.6113499999999998</v>
      </c>
      <c r="H275">
        <v>1</v>
      </c>
      <c r="I275">
        <v>200000</v>
      </c>
      <c r="J275" t="s">
        <v>136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573</v>
      </c>
      <c r="Q275">
        <v>0</v>
      </c>
      <c r="R275">
        <v>0</v>
      </c>
      <c r="S275">
        <v>2.4505553052473803</v>
      </c>
      <c r="U275">
        <v>5384994</v>
      </c>
    </row>
    <row r="276" spans="1:24" ht="12.75">
      <c r="A276" s="2" t="str">
        <f>HYPERLINK("https://ibp.a2mac1.com/costing(costing:projects/details/8191/component/5317862)","Mechanics")</f>
        <v>Mechanics</v>
      </c>
      <c r="B276">
        <v>5317862</v>
      </c>
      <c r="D276">
        <v>0</v>
      </c>
      <c r="E276">
        <v>1.32875</v>
      </c>
      <c r="H276">
        <v>1</v>
      </c>
      <c r="I276">
        <v>200000</v>
      </c>
      <c r="J276" t="s">
        <v>136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575</v>
      </c>
      <c r="Q276">
        <v>0</v>
      </c>
      <c r="R276">
        <v>0</v>
      </c>
      <c r="S276">
        <v>1.3048002477045244</v>
      </c>
      <c r="U276">
        <v>5384994</v>
      </c>
    </row>
    <row r="277" spans="1:24" ht="12.75">
      <c r="A277" s="2" t="str">
        <f>HYPERLINK("https://ibp.a2mac1.com/costing(costing:projects/details/8191/component/5317863)","Electronics")</f>
        <v>Electronics</v>
      </c>
      <c r="B277">
        <v>5317863</v>
      </c>
      <c r="D277">
        <v>0</v>
      </c>
      <c r="E277">
        <v>2.6113499999999998</v>
      </c>
      <c r="H277">
        <v>1</v>
      </c>
      <c r="I277">
        <v>200000</v>
      </c>
      <c r="J277" t="s">
        <v>136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573</v>
      </c>
      <c r="Q277">
        <v>0</v>
      </c>
      <c r="R277">
        <v>0</v>
      </c>
      <c r="S277">
        <v>2.4505553052473803</v>
      </c>
      <c r="U277">
        <v>5384995</v>
      </c>
    </row>
    <row r="278" spans="1:24" ht="12.75">
      <c r="A278" s="2" t="str">
        <f>HYPERLINK("https://ibp.a2mac1.com/costing(costing:projects/details/8191/component/5317864)","Mechanics")</f>
        <v>Mechanics</v>
      </c>
      <c r="B278">
        <v>5317864</v>
      </c>
      <c r="D278">
        <v>0</v>
      </c>
      <c r="E278">
        <v>1.32875</v>
      </c>
      <c r="H278">
        <v>1</v>
      </c>
      <c r="I278">
        <v>200000</v>
      </c>
      <c r="J278" t="s">
        <v>136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575</v>
      </c>
      <c r="Q278">
        <v>0</v>
      </c>
      <c r="R278">
        <v>0</v>
      </c>
      <c r="S278">
        <v>1.3048002477045244</v>
      </c>
      <c r="U278">
        <v>5384995</v>
      </c>
    </row>
    <row r="279" spans="1:24" ht="12.75">
      <c r="A279" s="2" t="str">
        <f>HYPERLINK("https://ibp.a2mac1.com/costing(costing:projects/details/8191/component/5317787)","Other fastener &gt; Snap Tooling")</f>
        <v>Other fastener &gt; Snap Tooling</v>
      </c>
      <c r="B279">
        <v>5317787</v>
      </c>
      <c r="D279">
        <v>0</v>
      </c>
      <c r="E279">
        <v>0</v>
      </c>
      <c r="H279">
        <v>21</v>
      </c>
      <c r="I279">
        <v>4200000</v>
      </c>
      <c r="J279" t="s">
        <v>79</v>
      </c>
      <c r="O279">
        <v>0</v>
      </c>
      <c r="Q279">
        <v>0</v>
      </c>
      <c r="R279">
        <v>0</v>
      </c>
      <c r="S279">
        <v>0</v>
      </c>
      <c r="T279">
        <v>5384872</v>
      </c>
    </row>
    <row r="280" spans="1:24" ht="12.75">
      <c r="A280" s="2" t="str">
        <f>HYPERLINK("https://ibp.a2mac1.com/costing(costing:projects/details/8191/component/5317788)","Other fastener &gt; Snap Tooling")</f>
        <v>Other fastener &gt; Snap Tooling</v>
      </c>
      <c r="B280">
        <v>5317788</v>
      </c>
      <c r="D280">
        <v>0</v>
      </c>
      <c r="E280">
        <v>0</v>
      </c>
      <c r="H280">
        <v>21</v>
      </c>
      <c r="I280">
        <v>4200000</v>
      </c>
      <c r="J280" t="s">
        <v>79</v>
      </c>
      <c r="O280">
        <v>0</v>
      </c>
      <c r="Q280">
        <v>0</v>
      </c>
      <c r="R280">
        <v>0</v>
      </c>
      <c r="S280">
        <v>0</v>
      </c>
      <c r="T280">
        <v>5384872</v>
      </c>
    </row>
    <row r="281" spans="1:24" ht="12.75">
      <c r="A281" s="2" t="str">
        <f>HYPERLINK("https://ibp.a2mac1.com/costing(costing:projects/details/8191/component/5317789)","Panel holder &gt; Clips in rectangular hole")</f>
        <v>Panel holder &gt; Clips in rectangular hole</v>
      </c>
      <c r="B281">
        <v>5317789</v>
      </c>
      <c r="D281">
        <v>0</v>
      </c>
      <c r="E281">
        <v>0</v>
      </c>
      <c r="H281">
        <v>9</v>
      </c>
      <c r="I281">
        <v>1800000</v>
      </c>
      <c r="J281" t="s">
        <v>79</v>
      </c>
      <c r="K281">
        <v>2</v>
      </c>
      <c r="L281">
        <v>15</v>
      </c>
      <c r="M281">
        <v>10</v>
      </c>
      <c r="O281">
        <v>0.0016999999999999999</v>
      </c>
      <c r="Q281">
        <v>0</v>
      </c>
      <c r="R281">
        <v>0</v>
      </c>
      <c r="S281">
        <v>0</v>
      </c>
      <c r="T281">
        <v>5384872</v>
      </c>
    </row>
    <row r="282" spans="1:24" ht="12.75">
      <c r="A282" s="2" t="str">
        <f>HYPERLINK("https://ibp.a2mac1.com/costing(costing:projects/details/8191/component/5317865)","Screw &gt; Torx socket head cap screw with flange")</f>
        <v>Screw &gt; Torx socket head cap screw with flange</v>
      </c>
      <c r="B282">
        <v>5317865</v>
      </c>
      <c r="D282">
        <v>0</v>
      </c>
      <c r="E282">
        <v>0</v>
      </c>
      <c r="H282">
        <v>1</v>
      </c>
      <c r="I282">
        <v>200000</v>
      </c>
      <c r="J282" t="s">
        <v>79</v>
      </c>
      <c r="K282">
        <v>12</v>
      </c>
      <c r="L282">
        <v>3</v>
      </c>
      <c r="M282">
        <v>4</v>
      </c>
      <c r="O282">
        <v>0.001</v>
      </c>
      <c r="Q282">
        <v>0</v>
      </c>
      <c r="R282">
        <v>0</v>
      </c>
      <c r="S282">
        <v>0</v>
      </c>
      <c r="T282">
        <v>5385005</v>
      </c>
    </row>
    <row r="283" spans="1:24" ht="12.75">
      <c r="A283" s="2" t="str">
        <f>HYPERLINK("https://ibp.a2mac1.com/costing(costing:projects/details/8191/component/5317790)","Pin clip &gt; Taper pin")</f>
        <v>Pin clip &gt; Taper pin</v>
      </c>
      <c r="B283">
        <v>5317790</v>
      </c>
      <c r="D283">
        <v>0</v>
      </c>
      <c r="E283">
        <v>0</v>
      </c>
      <c r="H283">
        <v>2</v>
      </c>
      <c r="I283">
        <v>400000</v>
      </c>
      <c r="J283" t="s">
        <v>79</v>
      </c>
      <c r="L283">
        <v>79</v>
      </c>
      <c r="M283">
        <v>20</v>
      </c>
      <c r="O283">
        <v>0.0035000000000000001</v>
      </c>
      <c r="Q283">
        <v>0</v>
      </c>
      <c r="R283">
        <v>0</v>
      </c>
      <c r="S283">
        <v>0</v>
      </c>
      <c r="T283">
        <v>5384873</v>
      </c>
    </row>
    <row r="284" spans="1:24" ht="12.75">
      <c r="A284" s="2" t="str">
        <f>HYPERLINK("https://ibp.a2mac1.com/costing(costing:projects/details/8191/component/5317791)","Screw &gt; Torx socket head cap screw with flange")</f>
        <v>Screw &gt; Torx socket head cap screw with flange</v>
      </c>
      <c r="B284">
        <v>5317791</v>
      </c>
      <c r="D284">
        <v>0</v>
      </c>
      <c r="E284">
        <v>0</v>
      </c>
      <c r="H284">
        <v>3</v>
      </c>
      <c r="I284">
        <v>600000</v>
      </c>
      <c r="J284" t="s">
        <v>79</v>
      </c>
      <c r="K284">
        <v>16</v>
      </c>
      <c r="L284">
        <v>4</v>
      </c>
      <c r="M284">
        <v>4</v>
      </c>
      <c r="O284">
        <v>0.0023</v>
      </c>
      <c r="Q284">
        <v>0</v>
      </c>
      <c r="R284">
        <v>0</v>
      </c>
      <c r="S284">
        <v>0</v>
      </c>
      <c r="T284">
        <v>5384873</v>
      </c>
    </row>
    <row r="285" spans="1:24" ht="12.75">
      <c r="A285" s="2" t="str">
        <f>HYPERLINK("https://ibp.a2mac1.com/costing(costing:projects/details/8191/component/5317792)","Screw &gt; Torx socket head cap screw with flange")</f>
        <v>Screw &gt; Torx socket head cap screw with flange</v>
      </c>
      <c r="B285">
        <v>5317792</v>
      </c>
      <c r="D285">
        <v>0</v>
      </c>
      <c r="E285">
        <v>0</v>
      </c>
      <c r="H285">
        <v>4</v>
      </c>
      <c r="I285">
        <v>800000</v>
      </c>
      <c r="J285" t="s">
        <v>79</v>
      </c>
      <c r="K285">
        <v>16</v>
      </c>
      <c r="L285">
        <v>3</v>
      </c>
      <c r="M285">
        <v>4</v>
      </c>
      <c r="O285">
        <v>0.0022000000000000001</v>
      </c>
      <c r="Q285">
        <v>0</v>
      </c>
      <c r="R285">
        <v>0</v>
      </c>
      <c r="S285">
        <v>0</v>
      </c>
      <c r="T285">
        <v>5384873</v>
      </c>
    </row>
    <row r="286" spans="1:24" ht="12.75">
      <c r="A286" s="2" t="str">
        <f>HYPERLINK("https://ibp.a2mac1.com/costing(costing:projects/details/8191/component/5317793)","Panel holder &gt; Clips for panel side")</f>
        <v>Panel holder &gt; Clips for panel side</v>
      </c>
      <c r="B286">
        <v>5317793</v>
      </c>
      <c r="D286">
        <v>0</v>
      </c>
      <c r="E286">
        <v>0</v>
      </c>
      <c r="H286">
        <v>8</v>
      </c>
      <c r="I286">
        <v>1600000</v>
      </c>
      <c r="J286" t="s">
        <v>79</v>
      </c>
      <c r="L286">
        <v>2</v>
      </c>
      <c r="M286">
        <v>8</v>
      </c>
      <c r="O286">
        <v>0.00089999999999999998</v>
      </c>
      <c r="Q286">
        <v>0</v>
      </c>
      <c r="R286">
        <v>0</v>
      </c>
      <c r="S286">
        <v>0</v>
      </c>
      <c r="T286">
        <v>5384874</v>
      </c>
    </row>
    <row r="287" spans="1:24" ht="12.75">
      <c r="A287" s="2" t="str">
        <f>HYPERLINK("https://ibp.a2mac1.com/costing(costing:projects/details/8191/component/5317794)","Panel holder &gt; Clips for panel side")</f>
        <v>Panel holder &gt; Clips for panel side</v>
      </c>
      <c r="B287">
        <v>5317794</v>
      </c>
      <c r="D287">
        <v>0</v>
      </c>
      <c r="E287">
        <v>0</v>
      </c>
      <c r="H287">
        <v>4</v>
      </c>
      <c r="I287">
        <v>800000</v>
      </c>
      <c r="J287" t="s">
        <v>79</v>
      </c>
      <c r="L287">
        <v>2</v>
      </c>
      <c r="M287">
        <v>8</v>
      </c>
      <c r="O287">
        <v>0.001</v>
      </c>
      <c r="Q287">
        <v>0</v>
      </c>
      <c r="R287">
        <v>0</v>
      </c>
      <c r="S287">
        <v>0</v>
      </c>
      <c r="T287">
        <v>5384875</v>
      </c>
    </row>
    <row r="288" spans="1:24" ht="12.75">
      <c r="A288" s="2" t="str">
        <f>HYPERLINK("https://ibp.a2mac1.com/costing(costing:projects/details/8191/component/5317795)","Other fastener &gt; Snap Tooling")</f>
        <v>Other fastener &gt; Snap Tooling</v>
      </c>
      <c r="B288">
        <v>5317795</v>
      </c>
      <c r="D288">
        <v>0</v>
      </c>
      <c r="E288">
        <v>0</v>
      </c>
      <c r="H288">
        <v>7</v>
      </c>
      <c r="I288">
        <v>1400000</v>
      </c>
      <c r="J288" t="s">
        <v>79</v>
      </c>
      <c r="O288">
        <v>0.0001</v>
      </c>
      <c r="Q288">
        <v>0</v>
      </c>
      <c r="R288">
        <v>0</v>
      </c>
      <c r="S288">
        <v>0</v>
      </c>
      <c r="T288">
        <v>5384875</v>
      </c>
    </row>
    <row r="289" spans="1:24" ht="12.75">
      <c r="A289" s="2" t="str">
        <f>HYPERLINK("https://ibp.a2mac1.com/costing(costing:projects/details/8191/component/5317796)","Panel holder &gt; Clips for panel side")</f>
        <v>Panel holder &gt; Clips for panel side</v>
      </c>
      <c r="B289">
        <v>5317796</v>
      </c>
      <c r="D289">
        <v>0</v>
      </c>
      <c r="E289">
        <v>0</v>
      </c>
      <c r="H289">
        <v>4</v>
      </c>
      <c r="I289">
        <v>800000</v>
      </c>
      <c r="J289" t="s">
        <v>79</v>
      </c>
      <c r="L289">
        <v>2</v>
      </c>
      <c r="M289">
        <v>8</v>
      </c>
      <c r="O289">
        <v>0.001</v>
      </c>
      <c r="Q289">
        <v>0</v>
      </c>
      <c r="R289">
        <v>0</v>
      </c>
      <c r="S289">
        <v>0</v>
      </c>
      <c r="T289">
        <v>5384876</v>
      </c>
    </row>
    <row r="290" spans="1:24" ht="12.75">
      <c r="A290" s="2" t="str">
        <f>HYPERLINK("https://ibp.a2mac1.com/costing(costing:projects/details/8191/component/5317797)","Other fastener &gt; Snap Tooling")</f>
        <v>Other fastener &gt; Snap Tooling</v>
      </c>
      <c r="B290">
        <v>5317797</v>
      </c>
      <c r="D290">
        <v>0</v>
      </c>
      <c r="E290">
        <v>0</v>
      </c>
      <c r="H290">
        <v>7</v>
      </c>
      <c r="I290">
        <v>1400000</v>
      </c>
      <c r="J290" t="s">
        <v>79</v>
      </c>
      <c r="O290">
        <v>0.0001</v>
      </c>
      <c r="Q290">
        <v>0</v>
      </c>
      <c r="R290">
        <v>0</v>
      </c>
      <c r="S290">
        <v>0</v>
      </c>
      <c r="T290">
        <v>5384876</v>
      </c>
    </row>
    <row r="291" spans="1:24" ht="12.75">
      <c r="A291" s="2" t="str">
        <f>HYPERLINK("https://ibp.a2mac1.com/costing(costing:projects/details/8191/component/5317798)","Other fastener &gt; Snap Tooling")</f>
        <v>Other fastener &gt; Snap Tooling</v>
      </c>
      <c r="B291">
        <v>5317798</v>
      </c>
      <c r="D291">
        <v>0</v>
      </c>
      <c r="E291">
        <v>0</v>
      </c>
      <c r="H291">
        <v>3</v>
      </c>
      <c r="I291">
        <v>600000</v>
      </c>
      <c r="J291" t="s">
        <v>79</v>
      </c>
      <c r="O291">
        <v>0.00029999999999999997</v>
      </c>
      <c r="Q291">
        <v>0</v>
      </c>
      <c r="R291">
        <v>0</v>
      </c>
      <c r="S291">
        <v>0</v>
      </c>
      <c r="T291">
        <v>5384878</v>
      </c>
    </row>
    <row r="292" spans="1:24" ht="12.75">
      <c r="A292" s="2" t="str">
        <f>HYPERLINK("https://ibp.a2mac1.com/costing(costing:projects/details/8191/component/5317754)","Nut &gt; Pinching nut for metal sheet screw")</f>
        <v>Nut &gt; Pinching nut for metal sheet screw</v>
      </c>
      <c r="B292">
        <v>5317754</v>
      </c>
      <c r="D292">
        <v>0</v>
      </c>
      <c r="E292">
        <v>0</v>
      </c>
      <c r="H292">
        <v>3</v>
      </c>
      <c r="I292">
        <v>600000</v>
      </c>
      <c r="J292" t="s">
        <v>79</v>
      </c>
      <c r="K292">
        <v>2</v>
      </c>
      <c r="L292">
        <v>4</v>
      </c>
      <c r="M292">
        <v>7</v>
      </c>
      <c r="O292">
        <v>0.0012999999999999999</v>
      </c>
      <c r="Q292">
        <v>0</v>
      </c>
      <c r="R292">
        <v>0</v>
      </c>
      <c r="S292">
        <v>0</v>
      </c>
      <c r="T292">
        <v>5384808</v>
      </c>
    </row>
    <row r="293" spans="1:24" ht="12.75">
      <c r="A293" s="2" t="str">
        <f>HYPERLINK("https://ibp.a2mac1.com/costing(costing:projects/details/8191/component/5317755)","Panel holder &gt; Clips in rectangular hole")</f>
        <v>Panel holder &gt; Clips in rectangular hole</v>
      </c>
      <c r="B293">
        <v>5317755</v>
      </c>
      <c r="D293">
        <v>0</v>
      </c>
      <c r="E293">
        <v>0</v>
      </c>
      <c r="H293">
        <v>2</v>
      </c>
      <c r="I293">
        <v>400000</v>
      </c>
      <c r="J293" t="s">
        <v>79</v>
      </c>
      <c r="K293">
        <v>2</v>
      </c>
      <c r="L293">
        <v>15</v>
      </c>
      <c r="M293">
        <v>10</v>
      </c>
      <c r="O293">
        <v>0.0015</v>
      </c>
      <c r="Q293">
        <v>0</v>
      </c>
      <c r="R293">
        <v>0</v>
      </c>
      <c r="S293">
        <v>0</v>
      </c>
      <c r="T293">
        <v>5384809</v>
      </c>
    </row>
    <row r="294" spans="1:24" ht="12.75">
      <c r="A294" s="2" t="str">
        <f>HYPERLINK("https://ibp.a2mac1.com/costing(costing:projects/details/8191/component/5317739)","Screw &gt; Torx socket head cap screw with flange")</f>
        <v>Screw &gt; Torx socket head cap screw with flange</v>
      </c>
      <c r="B294">
        <v>5317739</v>
      </c>
      <c r="D294">
        <v>0</v>
      </c>
      <c r="E294">
        <v>0</v>
      </c>
      <c r="H294">
        <v>12</v>
      </c>
      <c r="I294">
        <v>2400000</v>
      </c>
      <c r="J294" t="s">
        <v>79</v>
      </c>
      <c r="K294">
        <v>16</v>
      </c>
      <c r="L294">
        <v>4</v>
      </c>
      <c r="M294">
        <v>4</v>
      </c>
      <c r="O294">
        <v>0.0022000000000000001</v>
      </c>
      <c r="Q294">
        <v>0</v>
      </c>
      <c r="R294">
        <v>0</v>
      </c>
      <c r="S294">
        <v>0</v>
      </c>
      <c r="T294">
        <v>5384795</v>
      </c>
    </row>
    <row r="295" spans="1:24" ht="12.75">
      <c r="A295" s="2" t="str">
        <f>HYPERLINK("https://ibp.a2mac1.com/costing(costing:projects/details/8191/component/5317756)","Washer &gt; Lock interior washer")</f>
        <v>Washer &gt; Lock interior washer</v>
      </c>
      <c r="B295">
        <v>5317756</v>
      </c>
      <c r="D295">
        <v>0</v>
      </c>
      <c r="E295">
        <v>0</v>
      </c>
      <c r="H295">
        <v>1</v>
      </c>
      <c r="I295">
        <v>200000</v>
      </c>
      <c r="J295" t="s">
        <v>79</v>
      </c>
      <c r="K295">
        <v>3</v>
      </c>
      <c r="L295">
        <v>30</v>
      </c>
      <c r="M295">
        <v>4</v>
      </c>
      <c r="O295">
        <v>0.002</v>
      </c>
      <c r="Q295">
        <v>0</v>
      </c>
      <c r="R295">
        <v>0</v>
      </c>
      <c r="S295">
        <v>0</v>
      </c>
      <c r="T295">
        <v>5384827</v>
      </c>
    </row>
    <row r="296" spans="1:24" ht="12.75">
      <c r="A296" s="2" t="str">
        <f>HYPERLINK("https://ibp.a2mac1.com/costing(costing:projects/details/8191/component/5317757)","Rivet &gt; Head rivet")</f>
        <v>Rivet &gt; Head rivet</v>
      </c>
      <c r="B296">
        <v>5317757</v>
      </c>
      <c r="D296">
        <v>0</v>
      </c>
      <c r="E296">
        <v>0</v>
      </c>
      <c r="H296">
        <v>1</v>
      </c>
      <c r="I296">
        <v>200000</v>
      </c>
      <c r="J296" t="s">
        <v>79</v>
      </c>
      <c r="K296">
        <v>14</v>
      </c>
      <c r="L296">
        <v>15</v>
      </c>
      <c r="M296">
        <v>8</v>
      </c>
      <c r="O296">
        <v>0.001</v>
      </c>
      <c r="Q296">
        <v>0</v>
      </c>
      <c r="R296">
        <v>0</v>
      </c>
      <c r="S296">
        <v>0</v>
      </c>
      <c r="T296">
        <v>5384829</v>
      </c>
    </row>
    <row r="297" spans="1:24" ht="12.75">
      <c r="A297" s="2" t="str">
        <f>HYPERLINK("https://ibp.a2mac1.com/costing(costing:projects/details/8191/component/5317740)","Washer &gt; Lock interior washer")</f>
        <v>Washer &gt; Lock interior washer</v>
      </c>
      <c r="B297">
        <v>5317740</v>
      </c>
      <c r="D297">
        <v>0</v>
      </c>
      <c r="E297">
        <v>0.018450000000000001</v>
      </c>
      <c r="H297">
        <v>3</v>
      </c>
      <c r="I297">
        <v>600000</v>
      </c>
      <c r="J297" t="s">
        <v>79</v>
      </c>
      <c r="K297">
        <v>2</v>
      </c>
      <c r="L297">
        <v>29</v>
      </c>
      <c r="M297">
        <v>5</v>
      </c>
      <c r="O297">
        <v>0.002</v>
      </c>
      <c r="Q297">
        <v>0</v>
      </c>
      <c r="R297">
        <v>0</v>
      </c>
      <c r="S297">
        <v>0.055350000000000003</v>
      </c>
      <c r="T297">
        <v>5384796</v>
      </c>
    </row>
    <row r="298" spans="1:24" ht="12.75">
      <c r="A298" s="2" t="str">
        <f>HYPERLINK("https://ibp.a2mac1.com/costing(costing:projects/details/8191/component/5317741)","Other fastener &gt; Grommet")</f>
        <v>Other fastener &gt; Grommet</v>
      </c>
      <c r="B298">
        <v>5317741</v>
      </c>
      <c r="D298">
        <v>0</v>
      </c>
      <c r="E298">
        <v>0.018450000000000001</v>
      </c>
      <c r="H298">
        <v>1</v>
      </c>
      <c r="I298">
        <v>200000</v>
      </c>
      <c r="J298" t="s">
        <v>79</v>
      </c>
      <c r="K298">
        <v>18</v>
      </c>
      <c r="L298">
        <v>12</v>
      </c>
      <c r="M298">
        <v>8</v>
      </c>
      <c r="O298">
        <v>0.001</v>
      </c>
      <c r="Q298">
        <v>0</v>
      </c>
      <c r="R298">
        <v>0</v>
      </c>
      <c r="S298">
        <v>0.018450000000000001</v>
      </c>
      <c r="T298">
        <v>5384796</v>
      </c>
    </row>
    <row r="299" spans="1:24" ht="12.75">
      <c r="A299" s="2" t="str">
        <f>HYPERLINK("https://ibp.a2mac1.com/costing(costing:projects/details/8191/component/5317742)","Other fastener &gt; Colson")</f>
        <v>Other fastener &gt; Colson</v>
      </c>
      <c r="B299">
        <v>5317742</v>
      </c>
      <c r="D299">
        <v>0</v>
      </c>
      <c r="E299">
        <v>0.018450000000000001</v>
      </c>
      <c r="H299">
        <v>12</v>
      </c>
      <c r="I299">
        <v>2400000</v>
      </c>
      <c r="J299" t="s">
        <v>79</v>
      </c>
      <c r="O299">
        <v>0.0001</v>
      </c>
      <c r="Q299">
        <v>0</v>
      </c>
      <c r="R299">
        <v>0</v>
      </c>
      <c r="S299">
        <v>0.22140000000000001</v>
      </c>
      <c r="T299">
        <v>5384796</v>
      </c>
    </row>
    <row r="300" spans="1:24" ht="12.75">
      <c r="A300" s="2" t="str">
        <f>HYPERLINK("https://ibp.a2mac1.com/costing(costing:projects/details/8191/component/5317743)","Washer &gt; Lock interior washer")</f>
        <v>Washer &gt; Lock interior washer</v>
      </c>
      <c r="B300">
        <v>5317743</v>
      </c>
      <c r="D300">
        <v>0</v>
      </c>
      <c r="E300">
        <v>0.018450000000000001</v>
      </c>
      <c r="H300">
        <v>9</v>
      </c>
      <c r="I300">
        <v>1800000</v>
      </c>
      <c r="J300" t="s">
        <v>79</v>
      </c>
      <c r="K300">
        <v>1</v>
      </c>
      <c r="L300">
        <v>30</v>
      </c>
      <c r="M300">
        <v>3</v>
      </c>
      <c r="O300">
        <v>0.0019</v>
      </c>
      <c r="Q300">
        <v>0</v>
      </c>
      <c r="R300">
        <v>0</v>
      </c>
      <c r="S300">
        <v>0.16605</v>
      </c>
      <c r="T300">
        <v>5384796</v>
      </c>
    </row>
    <row r="301" spans="1:24" ht="12.75">
      <c r="A301" s="2" t="str">
        <f>HYPERLINK("https://ibp.a2mac1.com/costing(costing:projects/details/8191/component/5317758)","Spacer/Axle &gt; Anti-buckling bush")</f>
        <v>Spacer/Axle &gt; Anti-buckling bush</v>
      </c>
      <c r="B301">
        <v>5317758</v>
      </c>
      <c r="D301">
        <v>0</v>
      </c>
      <c r="E301">
        <v>0</v>
      </c>
      <c r="H301">
        <v>4</v>
      </c>
      <c r="I301">
        <v>800000</v>
      </c>
      <c r="J301" t="s">
        <v>79</v>
      </c>
      <c r="K301">
        <v>5</v>
      </c>
      <c r="L301">
        <v>9</v>
      </c>
      <c r="M301">
        <v>17</v>
      </c>
      <c r="O301">
        <v>0.0012999999999999999</v>
      </c>
      <c r="Q301">
        <v>0</v>
      </c>
      <c r="R301">
        <v>0</v>
      </c>
      <c r="S301">
        <v>0</v>
      </c>
      <c r="T301">
        <v>5384834</v>
      </c>
    </row>
    <row r="302" spans="1:24" ht="12.75">
      <c r="A302" s="2" t="str">
        <f>HYPERLINK("https://ibp.a2mac1.com/costing(costing:projects/details/8191/component/5317759)","Panel holder &gt; Clips in rectangular hole")</f>
        <v>Panel holder &gt; Clips in rectangular hole</v>
      </c>
      <c r="B302">
        <v>5317759</v>
      </c>
      <c r="D302">
        <v>0</v>
      </c>
      <c r="E302">
        <v>0</v>
      </c>
      <c r="H302">
        <v>10</v>
      </c>
      <c r="I302">
        <v>2000000</v>
      </c>
      <c r="J302" t="s">
        <v>79</v>
      </c>
      <c r="K302">
        <v>3</v>
      </c>
      <c r="L302">
        <v>16</v>
      </c>
      <c r="M302">
        <v>9</v>
      </c>
      <c r="O302">
        <v>0.0016999999999999999</v>
      </c>
      <c r="Q302">
        <v>0</v>
      </c>
      <c r="R302">
        <v>0</v>
      </c>
      <c r="S302">
        <v>0</v>
      </c>
      <c r="T302">
        <v>5384834</v>
      </c>
    </row>
    <row r="303" spans="1:24" ht="12.75">
      <c r="A303" s="2" t="str">
        <f>HYPERLINK("https://ibp.a2mac1.com/costing(costing:projects/details/8191/component/5317818)","Panel holder &gt; Clips in rectangular hole")</f>
        <v>Panel holder &gt; Clips in rectangular hole</v>
      </c>
      <c r="B303">
        <v>5317818</v>
      </c>
      <c r="D303">
        <v>0</v>
      </c>
      <c r="E303">
        <v>0</v>
      </c>
      <c r="H303">
        <v>9</v>
      </c>
      <c r="I303">
        <v>1800000</v>
      </c>
      <c r="J303" t="s">
        <v>79</v>
      </c>
      <c r="K303">
        <v>3</v>
      </c>
      <c r="L303">
        <v>15</v>
      </c>
      <c r="M303">
        <v>9</v>
      </c>
      <c r="O303">
        <v>0.0016999999999999999</v>
      </c>
      <c r="Q303">
        <v>0</v>
      </c>
      <c r="R303">
        <v>0</v>
      </c>
      <c r="S303">
        <v>0</v>
      </c>
      <c r="T303">
        <v>5384906</v>
      </c>
    </row>
    <row r="304" spans="1:24" ht="12.75">
      <c r="A304" s="2" t="str">
        <f>HYPERLINK("https://ibp.a2mac1.com/costing(costing:projects/details/8191/component/5317819)","Panel holder &gt; Clips in rectangular hole")</f>
        <v>Panel holder &gt; Clips in rectangular hole</v>
      </c>
      <c r="B304">
        <v>5317819</v>
      </c>
      <c r="D304">
        <v>0</v>
      </c>
      <c r="E304">
        <v>0</v>
      </c>
      <c r="H304">
        <v>9</v>
      </c>
      <c r="I304">
        <v>1800000</v>
      </c>
      <c r="J304" t="s">
        <v>79</v>
      </c>
      <c r="K304">
        <v>3</v>
      </c>
      <c r="L304">
        <v>15</v>
      </c>
      <c r="M304">
        <v>9</v>
      </c>
      <c r="O304">
        <v>0.0018</v>
      </c>
      <c r="Q304">
        <v>0</v>
      </c>
      <c r="R304">
        <v>0</v>
      </c>
      <c r="S304">
        <v>0</v>
      </c>
      <c r="T304">
        <v>5384907</v>
      </c>
    </row>
    <row r="305" spans="1:24" ht="12.75">
      <c r="A305" s="2" t="str">
        <f>HYPERLINK("https://ibp.a2mac1.com/costing(costing:projects/details/8191/component/5317760)","Screw &gt; Hexagon screw with flange")</f>
        <v>Screw &gt; Hexagon screw with flange</v>
      </c>
      <c r="B305">
        <v>5317760</v>
      </c>
      <c r="D305">
        <v>0</v>
      </c>
      <c r="E305">
        <v>0</v>
      </c>
      <c r="H305">
        <v>4</v>
      </c>
      <c r="I305">
        <v>800000</v>
      </c>
      <c r="J305" t="s">
        <v>79</v>
      </c>
      <c r="K305">
        <v>20</v>
      </c>
      <c r="L305">
        <v>10</v>
      </c>
      <c r="M305">
        <v>6</v>
      </c>
      <c r="O305">
        <v>0.0088000000000000005</v>
      </c>
      <c r="Q305">
        <v>0</v>
      </c>
      <c r="R305">
        <v>0</v>
      </c>
      <c r="S305">
        <v>0</v>
      </c>
      <c r="T305">
        <v>5384836</v>
      </c>
    </row>
    <row r="306" spans="1:24" ht="12.75">
      <c r="A306" s="2" t="str">
        <f>HYPERLINK("https://ibp.a2mac1.com/costing(costing:projects/details/8191/component/5317761)","Nut &gt; Pinching nut for metric screw")</f>
        <v>Nut &gt; Pinching nut for metric screw</v>
      </c>
      <c r="B306">
        <v>5317761</v>
      </c>
      <c r="D306">
        <v>0</v>
      </c>
      <c r="E306">
        <v>0</v>
      </c>
      <c r="H306">
        <v>4</v>
      </c>
      <c r="I306">
        <v>800000</v>
      </c>
      <c r="J306" t="s">
        <v>79</v>
      </c>
      <c r="K306">
        <v>6</v>
      </c>
      <c r="L306">
        <v>6</v>
      </c>
      <c r="M306">
        <v>19</v>
      </c>
      <c r="O306">
        <v>0.0035000000000000001</v>
      </c>
      <c r="Q306">
        <v>0</v>
      </c>
      <c r="R306">
        <v>0</v>
      </c>
      <c r="S306">
        <v>0</v>
      </c>
      <c r="T306">
        <v>5384836</v>
      </c>
    </row>
    <row r="307" spans="1:24" ht="12.75">
      <c r="A307" s="2" t="str">
        <f>HYPERLINK("https://ibp.a2mac1.com/costing(costing:projects/details/8191/component/5317894)","Electronics")</f>
        <v>Electronics</v>
      </c>
      <c r="B307">
        <v>5317894</v>
      </c>
      <c r="D307">
        <v>0</v>
      </c>
      <c r="E307">
        <v>10.92</v>
      </c>
      <c r="F307" t="s">
        <v>1395</v>
      </c>
      <c r="H307">
        <v>1</v>
      </c>
      <c r="I307">
        <v>200000</v>
      </c>
      <c r="J307" t="s">
        <v>79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1396</v>
      </c>
      <c r="Q307">
        <v>0</v>
      </c>
      <c r="R307">
        <v>0</v>
      </c>
      <c r="S307">
        <v>10.247597577230701</v>
      </c>
      <c r="T307">
        <v>5385040</v>
      </c>
    </row>
    <row r="308" spans="1:24" ht="12.75">
      <c r="A308" s="2" t="str">
        <f>HYPERLINK("https://ibp.a2mac1.com/costing(costing:projects/details/8191/component/5317895)","Mechanics")</f>
        <v>Mechanics</v>
      </c>
      <c r="B308">
        <v>5317895</v>
      </c>
      <c r="D308">
        <v>0</v>
      </c>
      <c r="E308">
        <v>2</v>
      </c>
      <c r="F308" t="s">
        <v>1397</v>
      </c>
      <c r="H308">
        <v>1</v>
      </c>
      <c r="I308">
        <v>200000</v>
      </c>
      <c r="J308" t="s">
        <v>79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1398</v>
      </c>
      <c r="Q308">
        <v>0</v>
      </c>
      <c r="R308">
        <v>0</v>
      </c>
      <c r="S308">
        <v>1.9639514546822567</v>
      </c>
      <c r="T308">
        <v>5385040</v>
      </c>
    </row>
    <row r="309" spans="1:24" ht="12.75">
      <c r="A309" s="2" t="str">
        <f>HYPERLINK("https://ibp.a2mac1.com/costing(costing:projects/details/8191/component/5317762)","Panel holder &gt; Clips in rectangular hole")</f>
        <v>Panel holder &gt; Clips in rectangular hole</v>
      </c>
      <c r="B309">
        <v>5317762</v>
      </c>
      <c r="D309">
        <v>0</v>
      </c>
      <c r="E309">
        <v>0</v>
      </c>
      <c r="H309">
        <v>2</v>
      </c>
      <c r="I309">
        <v>400000</v>
      </c>
      <c r="J309" t="s">
        <v>79</v>
      </c>
      <c r="K309">
        <v>3</v>
      </c>
      <c r="L309">
        <v>15</v>
      </c>
      <c r="M309">
        <v>9</v>
      </c>
      <c r="O309">
        <v>0.0015</v>
      </c>
      <c r="Q309">
        <v>0</v>
      </c>
      <c r="R309">
        <v>0</v>
      </c>
      <c r="S309">
        <v>0</v>
      </c>
      <c r="T309">
        <v>5384838</v>
      </c>
    </row>
    <row r="310" spans="1:24" ht="12.75">
      <c r="A310" s="2" t="str">
        <f>HYPERLINK("https://ibp.a2mac1.com/costing(costing:projects/details/8191/component/5317763)","Screw &gt; Torx socket head cap screw with flange")</f>
        <v>Screw &gt; Torx socket head cap screw with flange</v>
      </c>
      <c r="B310">
        <v>5317763</v>
      </c>
      <c r="D310">
        <v>0</v>
      </c>
      <c r="E310">
        <v>0</v>
      </c>
      <c r="H310">
        <v>1</v>
      </c>
      <c r="I310">
        <v>200000</v>
      </c>
      <c r="J310" t="s">
        <v>79</v>
      </c>
      <c r="K310">
        <v>8</v>
      </c>
      <c r="L310">
        <v>3</v>
      </c>
      <c r="M310">
        <v>4</v>
      </c>
      <c r="O310">
        <v>0.001</v>
      </c>
      <c r="Q310">
        <v>0</v>
      </c>
      <c r="R310">
        <v>0</v>
      </c>
      <c r="S310">
        <v>0</v>
      </c>
      <c r="T310">
        <v>5384838</v>
      </c>
    </row>
    <row r="311" spans="1:24" ht="12.75">
      <c r="A311" s="2" t="str">
        <f>HYPERLINK("https://ibp.a2mac1.com/costing(costing:projects/details/8191/component/5317764)","Panel holder &gt; Clips in rectangular hole")</f>
        <v>Panel holder &gt; Clips in rectangular hole</v>
      </c>
      <c r="B311">
        <v>5317764</v>
      </c>
      <c r="D311">
        <v>0</v>
      </c>
      <c r="E311">
        <v>0</v>
      </c>
      <c r="H311">
        <v>4</v>
      </c>
      <c r="I311">
        <v>800000</v>
      </c>
      <c r="J311" t="s">
        <v>79</v>
      </c>
      <c r="K311">
        <v>3</v>
      </c>
      <c r="L311">
        <v>16</v>
      </c>
      <c r="M311">
        <v>9</v>
      </c>
      <c r="O311">
        <v>0.0018</v>
      </c>
      <c r="Q311">
        <v>0</v>
      </c>
      <c r="R311">
        <v>0</v>
      </c>
      <c r="S311">
        <v>0</v>
      </c>
      <c r="T311">
        <v>5384839</v>
      </c>
    </row>
    <row r="312" spans="1:24" ht="12.75">
      <c r="A312" s="2" t="str">
        <f>HYPERLINK("https://ibp.a2mac1.com/costing(costing:projects/details/8191/component/5317765)","Panel holder &gt; Clips in rectangular hole")</f>
        <v>Panel holder &gt; Clips in rectangular hole</v>
      </c>
      <c r="B312">
        <v>5317765</v>
      </c>
      <c r="D312">
        <v>0</v>
      </c>
      <c r="E312">
        <v>0</v>
      </c>
      <c r="H312">
        <v>6</v>
      </c>
      <c r="I312">
        <v>1200000</v>
      </c>
      <c r="J312" t="s">
        <v>79</v>
      </c>
      <c r="K312">
        <v>3</v>
      </c>
      <c r="L312">
        <v>16</v>
      </c>
      <c r="M312">
        <v>4</v>
      </c>
      <c r="O312">
        <v>0.00029999999999999997</v>
      </c>
      <c r="Q312">
        <v>0</v>
      </c>
      <c r="R312">
        <v>0</v>
      </c>
      <c r="S312">
        <v>0</v>
      </c>
      <c r="T312">
        <v>5384839</v>
      </c>
    </row>
    <row r="313" spans="1:24" ht="12.75">
      <c r="A313" s="2" t="str">
        <f>HYPERLINK("https://ibp.a2mac1.com/costing(costing:projects/details/8191/component/5317820)","Panel holder &gt; Clips in rectangular hole")</f>
        <v>Panel holder &gt; Clips in rectangular hole</v>
      </c>
      <c r="B313">
        <v>5317820</v>
      </c>
      <c r="D313">
        <v>0</v>
      </c>
      <c r="E313">
        <v>0</v>
      </c>
      <c r="H313">
        <v>8</v>
      </c>
      <c r="I313">
        <v>1600000</v>
      </c>
      <c r="J313" t="s">
        <v>79</v>
      </c>
      <c r="K313">
        <v>3</v>
      </c>
      <c r="L313">
        <v>14</v>
      </c>
      <c r="M313">
        <v>9</v>
      </c>
      <c r="O313">
        <v>0.0016000000000000001</v>
      </c>
      <c r="Q313">
        <v>0</v>
      </c>
      <c r="R313">
        <v>0</v>
      </c>
      <c r="S313">
        <v>0</v>
      </c>
      <c r="T313">
        <v>5384928</v>
      </c>
    </row>
    <row r="314" spans="1:24" ht="12.75">
      <c r="A314" s="2" t="str">
        <f>HYPERLINK("https://ibp.a2mac1.com/costing(costing:projects/details/8191/component/5317744)","Panel holder &gt; Clips in rectangular hole")</f>
        <v>Panel holder &gt; Clips in rectangular hole</v>
      </c>
      <c r="B314">
        <v>5317744</v>
      </c>
      <c r="D314">
        <v>0</v>
      </c>
      <c r="E314">
        <v>0</v>
      </c>
      <c r="H314">
        <v>6</v>
      </c>
      <c r="I314">
        <v>1200000</v>
      </c>
      <c r="J314" t="s">
        <v>79</v>
      </c>
      <c r="K314">
        <v>3</v>
      </c>
      <c r="L314">
        <v>15</v>
      </c>
      <c r="M314">
        <v>9</v>
      </c>
      <c r="O314">
        <v>0.0015</v>
      </c>
      <c r="Q314">
        <v>0</v>
      </c>
      <c r="R314">
        <v>0</v>
      </c>
      <c r="S314">
        <v>0</v>
      </c>
      <c r="T314">
        <v>5384797</v>
      </c>
    </row>
    <row r="315" spans="1:24" ht="12.75">
      <c r="A315" s="2" t="str">
        <f>HYPERLINK("https://ibp.a2mac1.com/costing(costing:projects/details/8191/component/5317745)","Panel holder &gt; Clips in rectangular hole")</f>
        <v>Panel holder &gt; Clips in rectangular hole</v>
      </c>
      <c r="B315">
        <v>5317745</v>
      </c>
      <c r="D315">
        <v>0</v>
      </c>
      <c r="E315">
        <v>0</v>
      </c>
      <c r="H315">
        <v>2</v>
      </c>
      <c r="I315">
        <v>400000</v>
      </c>
      <c r="J315" t="s">
        <v>79</v>
      </c>
      <c r="K315">
        <v>3</v>
      </c>
      <c r="L315">
        <v>16</v>
      </c>
      <c r="M315">
        <v>8</v>
      </c>
      <c r="O315">
        <v>0.0015</v>
      </c>
      <c r="Q315">
        <v>0</v>
      </c>
      <c r="R315">
        <v>0</v>
      </c>
      <c r="S315">
        <v>0</v>
      </c>
      <c r="T315">
        <v>5384797</v>
      </c>
    </row>
    <row r="316" spans="1:24" ht="12.75">
      <c r="A316" s="2" t="str">
        <f>HYPERLINK("https://ibp.a2mac1.com/costing(costing:projects/details/8191/component/5317821)","Nut &gt; Clipping nut for metal sheet screw")</f>
        <v>Nut &gt; Clipping nut for metal sheet screw</v>
      </c>
      <c r="B316">
        <v>5317821</v>
      </c>
      <c r="D316">
        <v>0</v>
      </c>
      <c r="E316">
        <v>0.018450000000000001</v>
      </c>
      <c r="H316">
        <v>1</v>
      </c>
      <c r="I316">
        <v>200000</v>
      </c>
      <c r="J316" t="s">
        <v>79</v>
      </c>
      <c r="K316">
        <v>15</v>
      </c>
      <c r="L316">
        <v>4</v>
      </c>
      <c r="M316">
        <v>10</v>
      </c>
      <c r="O316">
        <v>0.0060000000000000001</v>
      </c>
      <c r="Q316">
        <v>0</v>
      </c>
      <c r="R316">
        <v>0</v>
      </c>
      <c r="S316">
        <v>0.018450000000000001</v>
      </c>
      <c r="T316">
        <v>5384930</v>
      </c>
    </row>
    <row r="317" spans="1:24" ht="12.75">
      <c r="A317" s="2" t="str">
        <f>HYPERLINK("https://ibp.a2mac1.com/costing(costing:projects/details/8191/component/5317822)","Nut &gt; Clipping nut for metal sheet screw")</f>
        <v>Nut &gt; Clipping nut for metal sheet screw</v>
      </c>
      <c r="B317">
        <v>5317822</v>
      </c>
      <c r="D317">
        <v>0</v>
      </c>
      <c r="E317">
        <v>0.018450000000000001</v>
      </c>
      <c r="H317">
        <v>2</v>
      </c>
      <c r="I317">
        <v>400000</v>
      </c>
      <c r="J317" t="s">
        <v>79</v>
      </c>
      <c r="K317">
        <v>15</v>
      </c>
      <c r="L317">
        <v>4</v>
      </c>
      <c r="M317">
        <v>10</v>
      </c>
      <c r="O317">
        <v>0.0030000000000000001</v>
      </c>
      <c r="Q317">
        <v>0</v>
      </c>
      <c r="R317">
        <v>0</v>
      </c>
      <c r="S317">
        <v>0.036900000000000002</v>
      </c>
      <c r="T317">
        <v>5384930</v>
      </c>
    </row>
    <row r="318" spans="1:24" ht="12.75">
      <c r="A318" s="2" t="str">
        <f>HYPERLINK("https://ibp.a2mac1.com/costing(costing:projects/details/8191/component/5317917)","Mechanics")</f>
        <v>Mechanics</v>
      </c>
      <c r="B318">
        <v>5317917</v>
      </c>
      <c r="D318">
        <v>0</v>
      </c>
      <c r="E318">
        <v>4.9735699999999996</v>
      </c>
      <c r="H318">
        <v>1</v>
      </c>
      <c r="I318">
        <v>200000</v>
      </c>
      <c r="J318" t="s">
        <v>136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575</v>
      </c>
      <c r="Q318">
        <v>0</v>
      </c>
      <c r="R318">
        <v>0</v>
      </c>
      <c r="S318">
        <v>4.8839250182320155</v>
      </c>
      <c r="U318">
        <v>5385049</v>
      </c>
    </row>
    <row r="319" spans="1:24" ht="12.75">
      <c r="A319" s="2" t="str">
        <f>HYPERLINK("https://ibp.a2mac1.com/costing(costing:projects/details/8191/component/5317918)","Electronics")</f>
        <v>Electronics</v>
      </c>
      <c r="B319">
        <v>5317918</v>
      </c>
      <c r="D319">
        <v>0</v>
      </c>
      <c r="E319">
        <v>9.7995000000000001</v>
      </c>
      <c r="H319">
        <v>1</v>
      </c>
      <c r="I319">
        <v>200000</v>
      </c>
      <c r="J319" t="s">
        <v>136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573</v>
      </c>
      <c r="Q319">
        <v>0</v>
      </c>
      <c r="R319">
        <v>0</v>
      </c>
      <c r="S319">
        <v>9.1960927159406829</v>
      </c>
      <c r="U319">
        <v>5385049</v>
      </c>
    </row>
    <row r="320" spans="1:24" ht="12.75">
      <c r="A320" s="2" t="str">
        <f>HYPERLINK("https://ibp.a2mac1.com/costing(costing:projects/details/8191/component/5317823)","Panel holder &gt; Clips in rectangular hole")</f>
        <v>Panel holder &gt; Clips in rectangular hole</v>
      </c>
      <c r="B320">
        <v>5317823</v>
      </c>
      <c r="D320">
        <v>0</v>
      </c>
      <c r="E320">
        <v>0</v>
      </c>
      <c r="H320">
        <v>1</v>
      </c>
      <c r="I320">
        <v>200000</v>
      </c>
      <c r="J320" t="s">
        <v>79</v>
      </c>
      <c r="K320">
        <v>2</v>
      </c>
      <c r="L320">
        <v>8</v>
      </c>
      <c r="M320">
        <v>7</v>
      </c>
      <c r="O320">
        <v>0.001</v>
      </c>
      <c r="Q320">
        <v>0</v>
      </c>
      <c r="R320">
        <v>0</v>
      </c>
      <c r="S320">
        <v>0</v>
      </c>
      <c r="T320">
        <v>5384931</v>
      </c>
    </row>
    <row r="321" spans="1:24" ht="12.75">
      <c r="A321" s="2" t="str">
        <f>HYPERLINK("https://ibp.a2mac1.com/costing(costing:projects/details/8191/component/5317824)","Other fastener &gt; Attachment")</f>
        <v>Other fastener &gt; Attachment</v>
      </c>
      <c r="B321">
        <v>5317824</v>
      </c>
      <c r="D321">
        <v>0</v>
      </c>
      <c r="E321">
        <v>0</v>
      </c>
      <c r="H321">
        <v>2</v>
      </c>
      <c r="I321">
        <v>400000</v>
      </c>
      <c r="J321" t="s">
        <v>79</v>
      </c>
      <c r="K321">
        <v>47</v>
      </c>
      <c r="L321">
        <v>9</v>
      </c>
      <c r="M321">
        <v>42</v>
      </c>
      <c r="O321">
        <v>0.0040000000000000001</v>
      </c>
      <c r="Q321">
        <v>0</v>
      </c>
      <c r="R321">
        <v>0</v>
      </c>
      <c r="S321">
        <v>0</v>
      </c>
      <c r="T321">
        <v>5384931</v>
      </c>
    </row>
    <row r="322" spans="1:24" ht="12.75">
      <c r="A322" s="2" t="str">
        <f>HYPERLINK("https://ibp.a2mac1.com/costing(costing:projects/details/8191/component/5317920)","Panel holder &gt; Clips in rectangular hole")</f>
        <v>Panel holder &gt; Clips in rectangular hole</v>
      </c>
      <c r="B322">
        <v>5317920</v>
      </c>
      <c r="E322">
        <v>0</v>
      </c>
      <c r="F322" t="s">
        <v>704</v>
      </c>
      <c r="H322">
        <v>0</v>
      </c>
      <c r="I322">
        <v>400000</v>
      </c>
      <c r="J322" t="s">
        <v>136</v>
      </c>
      <c r="K322">
        <v>2</v>
      </c>
      <c r="L322">
        <v>13</v>
      </c>
      <c r="M322">
        <v>11</v>
      </c>
      <c r="O322">
        <v>0.0047000000000000002</v>
      </c>
      <c r="Q322">
        <v>0</v>
      </c>
      <c r="R322">
        <v>0</v>
      </c>
      <c r="S322">
        <v>0</v>
      </c>
      <c r="U322">
        <v>5385057</v>
      </c>
    </row>
    <row r="323" spans="1:24" ht="12.75">
      <c r="A323" s="2" t="str">
        <f>HYPERLINK("https://ibp.a2mac1.com/costing(costing:projects/details/8191/component/5317921)","Other fastener &gt; Attachment")</f>
        <v>Other fastener &gt; Attachment</v>
      </c>
      <c r="B323">
        <v>5317921</v>
      </c>
      <c r="E323">
        <v>0</v>
      </c>
      <c r="F323" t="s">
        <v>733</v>
      </c>
      <c r="H323">
        <v>0</v>
      </c>
      <c r="I323">
        <v>400000</v>
      </c>
      <c r="J323" t="s">
        <v>136</v>
      </c>
      <c r="K323">
        <v>19</v>
      </c>
      <c r="L323">
        <v>16</v>
      </c>
      <c r="M323">
        <v>30</v>
      </c>
      <c r="O323">
        <v>0.0022000000000000001</v>
      </c>
      <c r="Q323">
        <v>0</v>
      </c>
      <c r="R323">
        <v>0</v>
      </c>
      <c r="S323">
        <v>0</v>
      </c>
      <c r="U323">
        <v>5385057</v>
      </c>
    </row>
    <row r="324" spans="1:24" ht="12.75">
      <c r="A324" s="2" t="str">
        <f>HYPERLINK("https://ibp.a2mac1.com/costing(costing:projects/details/8191/component/5317922)","Fasteners")</f>
        <v>Fasteners</v>
      </c>
      <c r="B324">
        <v>5317922</v>
      </c>
      <c r="D324">
        <v>0</v>
      </c>
      <c r="E324">
        <v>0.07</v>
      </c>
      <c r="H324">
        <v>1</v>
      </c>
      <c r="I324">
        <v>400000</v>
      </c>
      <c r="J324" t="s">
        <v>136</v>
      </c>
      <c r="K324">
        <v>0</v>
      </c>
      <c r="L324">
        <v>0</v>
      </c>
      <c r="M324">
        <v>0</v>
      </c>
      <c r="N324">
        <v>0</v>
      </c>
      <c r="Q324">
        <v>0</v>
      </c>
      <c r="R324">
        <v>0</v>
      </c>
      <c r="S324">
        <v>0.07</v>
      </c>
      <c r="U324">
        <v>5385057</v>
      </c>
    </row>
    <row r="325" spans="1:24" ht="12.75">
      <c r="A325" s="2" t="str">
        <f>HYPERLINK("https://ibp.a2mac1.com/costing(costing:projects/details/8191/component/5317923)","Other fastener &gt; Attachment")</f>
        <v>Other fastener &gt; Attachment</v>
      </c>
      <c r="B325">
        <v>5317923</v>
      </c>
      <c r="E325">
        <v>0</v>
      </c>
      <c r="F325" t="s">
        <v>733</v>
      </c>
      <c r="H325">
        <v>0</v>
      </c>
      <c r="I325">
        <v>400000</v>
      </c>
      <c r="J325" t="s">
        <v>136</v>
      </c>
      <c r="K325">
        <v>19</v>
      </c>
      <c r="L325">
        <v>14</v>
      </c>
      <c r="M325">
        <v>30</v>
      </c>
      <c r="O325">
        <v>0.0022000000000000001</v>
      </c>
      <c r="Q325">
        <v>0</v>
      </c>
      <c r="R325">
        <v>0</v>
      </c>
      <c r="S325">
        <v>0</v>
      </c>
      <c r="U325">
        <v>5385058</v>
      </c>
    </row>
    <row r="326" spans="1:24" ht="12.75">
      <c r="A326" s="2" t="str">
        <f>HYPERLINK("https://ibp.a2mac1.com/costing(costing:projects/details/8191/component/5317924)","Panel holder &gt; Clips in rectangular hole")</f>
        <v>Panel holder &gt; Clips in rectangular hole</v>
      </c>
      <c r="B326">
        <v>5317924</v>
      </c>
      <c r="E326">
        <v>0</v>
      </c>
      <c r="F326" t="s">
        <v>704</v>
      </c>
      <c r="H326">
        <v>0</v>
      </c>
      <c r="I326">
        <v>400000</v>
      </c>
      <c r="J326" t="s">
        <v>136</v>
      </c>
      <c r="K326">
        <v>2</v>
      </c>
      <c r="L326">
        <v>13</v>
      </c>
      <c r="M326">
        <v>12</v>
      </c>
      <c r="O326">
        <v>0.0044999999999999997</v>
      </c>
      <c r="Q326">
        <v>0</v>
      </c>
      <c r="R326">
        <v>0</v>
      </c>
      <c r="S326">
        <v>0</v>
      </c>
      <c r="U326">
        <v>5385058</v>
      </c>
    </row>
    <row r="327" spans="1:24" ht="12.75">
      <c r="A327" s="2" t="str">
        <f>HYPERLINK("https://ibp.a2mac1.com/costing(costing:projects/details/8191/component/5317925)","Fasteners")</f>
        <v>Fasteners</v>
      </c>
      <c r="B327">
        <v>5317925</v>
      </c>
      <c r="D327">
        <v>0</v>
      </c>
      <c r="E327">
        <v>0.0675</v>
      </c>
      <c r="H327">
        <v>1</v>
      </c>
      <c r="I327">
        <v>400000</v>
      </c>
      <c r="J327" t="s">
        <v>136</v>
      </c>
      <c r="K327">
        <v>0</v>
      </c>
      <c r="L327">
        <v>0</v>
      </c>
      <c r="M327">
        <v>0</v>
      </c>
      <c r="N327">
        <v>0</v>
      </c>
      <c r="Q327">
        <v>0</v>
      </c>
      <c r="R327">
        <v>0</v>
      </c>
      <c r="S327">
        <v>0.0675</v>
      </c>
      <c r="U327">
        <v>5385058</v>
      </c>
    </row>
    <row r="328" spans="1:24" ht="12.75">
      <c r="A328" s="2" t="str">
        <f>HYPERLINK("https://ibp.a2mac1.com/costing(costing:projects/details/8191/component/5317825)","Other fastener &gt; Snap Tooling")</f>
        <v>Other fastener &gt; Snap Tooling</v>
      </c>
      <c r="B328">
        <v>5317825</v>
      </c>
      <c r="E328">
        <v>0</v>
      </c>
      <c r="F328" t="s">
        <v>733</v>
      </c>
      <c r="H328">
        <v>0</v>
      </c>
      <c r="I328">
        <v>400000</v>
      </c>
      <c r="J328" t="s">
        <v>136</v>
      </c>
      <c r="O328">
        <v>0.00029999999999999997</v>
      </c>
      <c r="Q328">
        <v>0</v>
      </c>
      <c r="R328">
        <v>0</v>
      </c>
      <c r="S328">
        <v>0</v>
      </c>
      <c r="U328">
        <v>5384933</v>
      </c>
    </row>
    <row r="329" spans="1:24" ht="12.75">
      <c r="A329" s="2" t="str">
        <f>HYPERLINK("https://ibp.a2mac1.com/costing(costing:projects/details/8191/component/5317766)","Other fastener &gt; Snap Tooling")</f>
        <v>Other fastener &gt; Snap Tooling</v>
      </c>
      <c r="B329">
        <v>5317766</v>
      </c>
      <c r="D329">
        <v>0</v>
      </c>
      <c r="E329">
        <v>0.018450000000000001</v>
      </c>
      <c r="H329">
        <v>4</v>
      </c>
      <c r="I329">
        <v>800000</v>
      </c>
      <c r="J329" t="s">
        <v>79</v>
      </c>
      <c r="O329">
        <v>0.00029999999999999997</v>
      </c>
      <c r="Q329">
        <v>0</v>
      </c>
      <c r="R329">
        <v>0</v>
      </c>
      <c r="S329">
        <v>0.073800000000000004</v>
      </c>
      <c r="T329">
        <v>5384842</v>
      </c>
    </row>
    <row r="330" spans="1:24" ht="12.75">
      <c r="A330" s="2" t="str">
        <f>HYPERLINK("https://ibp.a2mac1.com/costing(costing:projects/details/8191/component/5317926)","Panel holder &gt; Clips in rectangular hole")</f>
        <v>Panel holder &gt; Clips in rectangular hole</v>
      </c>
      <c r="B330">
        <v>5317926</v>
      </c>
      <c r="D330">
        <v>0</v>
      </c>
      <c r="E330">
        <v>0</v>
      </c>
      <c r="H330">
        <v>3</v>
      </c>
      <c r="I330">
        <v>600000</v>
      </c>
      <c r="J330" t="s">
        <v>79</v>
      </c>
      <c r="K330">
        <v>2</v>
      </c>
      <c r="L330">
        <v>20</v>
      </c>
      <c r="M330">
        <v>5</v>
      </c>
      <c r="O330">
        <v>0.00029999999999999997</v>
      </c>
      <c r="Q330">
        <v>0</v>
      </c>
      <c r="R330">
        <v>0</v>
      </c>
      <c r="S330">
        <v>0</v>
      </c>
      <c r="T330">
        <v>5385067</v>
      </c>
    </row>
    <row r="331" spans="1:24" ht="12.75">
      <c r="A331" s="2" t="str">
        <f>HYPERLINK("https://ibp.a2mac1.com/costing(costing:projects/details/8191/component/5317826)","Panel holder &gt; Clips in rectangular hole")</f>
        <v>Panel holder &gt; Clips in rectangular hole</v>
      </c>
      <c r="B331">
        <v>5317826</v>
      </c>
      <c r="D331">
        <v>0</v>
      </c>
      <c r="E331">
        <v>0</v>
      </c>
      <c r="H331">
        <v>2</v>
      </c>
      <c r="I331">
        <v>400000</v>
      </c>
      <c r="J331" t="s">
        <v>79</v>
      </c>
      <c r="K331">
        <v>2</v>
      </c>
      <c r="L331">
        <v>29</v>
      </c>
      <c r="M331">
        <v>5</v>
      </c>
      <c r="O331">
        <v>0.0025</v>
      </c>
      <c r="Q331">
        <v>0</v>
      </c>
      <c r="R331">
        <v>0</v>
      </c>
      <c r="S331">
        <v>0</v>
      </c>
      <c r="T331">
        <v>5384935</v>
      </c>
    </row>
    <row r="332" spans="1:24" ht="12.75">
      <c r="A332" s="2" t="str">
        <f>HYPERLINK("https://ibp.a2mac1.com/costing(costing:projects/details/8191/component/5317827)","Rivet &gt; Head rivet")</f>
        <v>Rivet &gt; Head rivet</v>
      </c>
      <c r="B332">
        <v>5317827</v>
      </c>
      <c r="D332">
        <v>0</v>
      </c>
      <c r="E332">
        <v>0</v>
      </c>
      <c r="H332">
        <v>1</v>
      </c>
      <c r="I332">
        <v>200000</v>
      </c>
      <c r="J332" t="s">
        <v>79</v>
      </c>
      <c r="K332">
        <v>11</v>
      </c>
      <c r="L332">
        <v>15</v>
      </c>
      <c r="M332">
        <v>8</v>
      </c>
      <c r="O332">
        <v>0.001</v>
      </c>
      <c r="Q332">
        <v>0</v>
      </c>
      <c r="R332">
        <v>0</v>
      </c>
      <c r="S332">
        <v>0</v>
      </c>
      <c r="T332">
        <v>5384935</v>
      </c>
    </row>
    <row r="333" spans="1:24" ht="12.75">
      <c r="A333" s="2" t="str">
        <f>HYPERLINK("https://ibp.a2mac1.com/costing(costing:projects/details/8191/component/5317828)","Panel holder &gt; Clips in rectangular hole")</f>
        <v>Panel holder &gt; Clips in rectangular hole</v>
      </c>
      <c r="B333">
        <v>5317828</v>
      </c>
      <c r="D333">
        <v>0</v>
      </c>
      <c r="E333">
        <v>0</v>
      </c>
      <c r="H333">
        <v>2</v>
      </c>
      <c r="I333">
        <v>400000</v>
      </c>
      <c r="J333" t="s">
        <v>79</v>
      </c>
      <c r="K333">
        <v>2</v>
      </c>
      <c r="L333">
        <v>18</v>
      </c>
      <c r="M333">
        <v>5</v>
      </c>
      <c r="O333">
        <v>0.001</v>
      </c>
      <c r="Q333">
        <v>0</v>
      </c>
      <c r="R333">
        <v>0</v>
      </c>
      <c r="S333">
        <v>0</v>
      </c>
      <c r="T333">
        <v>5384935</v>
      </c>
    </row>
    <row r="334" spans="1:24" ht="12.75">
      <c r="A334" s="2" t="str">
        <f>HYPERLINK("https://ibp.a2mac1.com/costing(costing:projects/details/8191/component/5317829)","Panel holder &gt; Clips in rectangular hole")</f>
        <v>Panel holder &gt; Clips in rectangular hole</v>
      </c>
      <c r="B334">
        <v>5317829</v>
      </c>
      <c r="D334">
        <v>0</v>
      </c>
      <c r="E334">
        <v>0</v>
      </c>
      <c r="H334">
        <v>4</v>
      </c>
      <c r="I334">
        <v>800000</v>
      </c>
      <c r="J334" t="s">
        <v>79</v>
      </c>
      <c r="K334">
        <v>2</v>
      </c>
      <c r="L334">
        <v>14</v>
      </c>
      <c r="M334">
        <v>5</v>
      </c>
      <c r="O334">
        <v>0.001</v>
      </c>
      <c r="Q334">
        <v>0</v>
      </c>
      <c r="R334">
        <v>0</v>
      </c>
      <c r="S334">
        <v>0</v>
      </c>
      <c r="T334">
        <v>5384935</v>
      </c>
    </row>
    <row r="335" spans="1:24" ht="12.75">
      <c r="A335" s="2" t="str">
        <f>HYPERLINK("https://ibp.a2mac1.com/costing(costing:projects/details/8191/component/5317830)","Panel holder &gt; Clips in round hole")</f>
        <v>Panel holder &gt; Clips in round hole</v>
      </c>
      <c r="B335">
        <v>5317830</v>
      </c>
      <c r="D335">
        <v>0</v>
      </c>
      <c r="E335">
        <v>0</v>
      </c>
      <c r="H335">
        <v>2</v>
      </c>
      <c r="I335">
        <v>400000</v>
      </c>
      <c r="J335" t="s">
        <v>79</v>
      </c>
      <c r="K335">
        <v>8</v>
      </c>
      <c r="L335">
        <v>19</v>
      </c>
      <c r="M335">
        <v>8</v>
      </c>
      <c r="O335">
        <v>0.001</v>
      </c>
      <c r="Q335">
        <v>0</v>
      </c>
      <c r="R335">
        <v>0</v>
      </c>
      <c r="S335">
        <v>0</v>
      </c>
      <c r="T335">
        <v>5384935</v>
      </c>
    </row>
    <row r="336" spans="1:24" ht="12.75">
      <c r="A336" s="2" t="str">
        <f>HYPERLINK("https://ibp.a2mac1.com/costing(costing:projects/details/8191/component/5317831)","Panel holder &gt; Clips in rectangular hole")</f>
        <v>Panel holder &gt; Clips in rectangular hole</v>
      </c>
      <c r="B336">
        <v>5317831</v>
      </c>
      <c r="D336">
        <v>0</v>
      </c>
      <c r="E336">
        <v>0</v>
      </c>
      <c r="H336">
        <v>1</v>
      </c>
      <c r="I336">
        <v>200000</v>
      </c>
      <c r="J336" t="s">
        <v>79</v>
      </c>
      <c r="K336">
        <v>2</v>
      </c>
      <c r="L336">
        <v>24</v>
      </c>
      <c r="M336">
        <v>7</v>
      </c>
      <c r="O336">
        <v>0.0060000000000000001</v>
      </c>
      <c r="Q336">
        <v>0</v>
      </c>
      <c r="R336">
        <v>0</v>
      </c>
      <c r="S336">
        <v>0</v>
      </c>
      <c r="T336">
        <v>5384935</v>
      </c>
    </row>
    <row r="337" spans="1:24" ht="12.75">
      <c r="A337" s="2" t="str">
        <f>HYPERLINK("https://ibp.a2mac1.com/costing(costing:projects/details/8191/component/5317927)","Panel holder &gt; Clips in rectangular hole")</f>
        <v>Panel holder &gt; Clips in rectangular hole</v>
      </c>
      <c r="B337">
        <v>5317927</v>
      </c>
      <c r="D337">
        <v>0</v>
      </c>
      <c r="E337">
        <v>0</v>
      </c>
      <c r="H337">
        <v>3</v>
      </c>
      <c r="I337">
        <v>600000</v>
      </c>
      <c r="J337" t="s">
        <v>79</v>
      </c>
      <c r="K337">
        <v>2</v>
      </c>
      <c r="L337">
        <v>20</v>
      </c>
      <c r="M337">
        <v>5</v>
      </c>
      <c r="O337">
        <v>0.00069999999999999999</v>
      </c>
      <c r="Q337">
        <v>0</v>
      </c>
      <c r="R337">
        <v>0</v>
      </c>
      <c r="S337">
        <v>0</v>
      </c>
      <c r="T337">
        <v>5385076</v>
      </c>
    </row>
    <row r="338" spans="1:24" ht="12.75">
      <c r="A338" s="2" t="str">
        <f>HYPERLINK("https://ibp.a2mac1.com/costing(costing:projects/details/8191/component/5317832)","Panel holder &gt; Clips in rectangular hole")</f>
        <v>Panel holder &gt; Clips in rectangular hole</v>
      </c>
      <c r="B338">
        <v>5317832</v>
      </c>
      <c r="D338">
        <v>0</v>
      </c>
      <c r="E338">
        <v>0</v>
      </c>
      <c r="H338">
        <v>2</v>
      </c>
      <c r="I338">
        <v>400000</v>
      </c>
      <c r="J338" t="s">
        <v>79</v>
      </c>
      <c r="K338">
        <v>2</v>
      </c>
      <c r="L338">
        <v>29</v>
      </c>
      <c r="M338">
        <v>5</v>
      </c>
      <c r="O338">
        <v>0.0030000000000000001</v>
      </c>
      <c r="Q338">
        <v>0</v>
      </c>
      <c r="R338">
        <v>0</v>
      </c>
      <c r="S338">
        <v>0</v>
      </c>
      <c r="T338">
        <v>5384936</v>
      </c>
    </row>
    <row r="339" spans="1:24" ht="12.75">
      <c r="A339" s="2" t="str">
        <f>HYPERLINK("https://ibp.a2mac1.com/costing(costing:projects/details/8191/component/5317833)","Panel holder &gt; Clips in rectangular hole")</f>
        <v>Panel holder &gt; Clips in rectangular hole</v>
      </c>
      <c r="B339">
        <v>5317833</v>
      </c>
      <c r="D339">
        <v>0</v>
      </c>
      <c r="E339">
        <v>0</v>
      </c>
      <c r="H339">
        <v>1</v>
      </c>
      <c r="I339">
        <v>200000</v>
      </c>
      <c r="J339" t="s">
        <v>79</v>
      </c>
      <c r="K339">
        <v>2</v>
      </c>
      <c r="L339">
        <v>16</v>
      </c>
      <c r="M339">
        <v>5</v>
      </c>
      <c r="O339">
        <v>0.001</v>
      </c>
      <c r="Q339">
        <v>0</v>
      </c>
      <c r="R339">
        <v>0</v>
      </c>
      <c r="S339">
        <v>0</v>
      </c>
      <c r="T339">
        <v>5384936</v>
      </c>
    </row>
    <row r="340" spans="1:24" ht="12.75">
      <c r="A340" s="2" t="str">
        <f>HYPERLINK("https://ibp.a2mac1.com/costing(costing:projects/details/8191/component/5317834)","Panel holder &gt; Clips in rectangular hole")</f>
        <v>Panel holder &gt; Clips in rectangular hole</v>
      </c>
      <c r="B340">
        <v>5317834</v>
      </c>
      <c r="D340">
        <v>0</v>
      </c>
      <c r="E340">
        <v>0</v>
      </c>
      <c r="H340">
        <v>2</v>
      </c>
      <c r="I340">
        <v>400000</v>
      </c>
      <c r="J340" t="s">
        <v>79</v>
      </c>
      <c r="K340">
        <v>2</v>
      </c>
      <c r="L340">
        <v>18</v>
      </c>
      <c r="M340">
        <v>5</v>
      </c>
      <c r="O340">
        <v>0.001</v>
      </c>
      <c r="Q340">
        <v>0</v>
      </c>
      <c r="R340">
        <v>0</v>
      </c>
      <c r="S340">
        <v>0</v>
      </c>
      <c r="T340">
        <v>5384936</v>
      </c>
    </row>
    <row r="341" spans="1:24" ht="12.75">
      <c r="A341" s="2" t="str">
        <f>HYPERLINK("https://ibp.a2mac1.com/costing(costing:projects/details/8191/component/5317835)","Panel holder &gt; Clips in rectangular hole")</f>
        <v>Panel holder &gt; Clips in rectangular hole</v>
      </c>
      <c r="B341">
        <v>5317835</v>
      </c>
      <c r="D341">
        <v>0</v>
      </c>
      <c r="E341">
        <v>0</v>
      </c>
      <c r="H341">
        <v>4</v>
      </c>
      <c r="I341">
        <v>800000</v>
      </c>
      <c r="J341" t="s">
        <v>79</v>
      </c>
      <c r="K341">
        <v>2</v>
      </c>
      <c r="L341">
        <v>14</v>
      </c>
      <c r="M341">
        <v>5</v>
      </c>
      <c r="O341">
        <v>0.001</v>
      </c>
      <c r="Q341">
        <v>0</v>
      </c>
      <c r="R341">
        <v>0</v>
      </c>
      <c r="S341">
        <v>0</v>
      </c>
      <c r="T341">
        <v>5384936</v>
      </c>
    </row>
    <row r="342" spans="1:24" ht="12.75">
      <c r="A342" s="2" t="str">
        <f>HYPERLINK("https://ibp.a2mac1.com/costing(costing:projects/details/8191/component/5317836)","Panel holder &gt; Clips in round hole")</f>
        <v>Panel holder &gt; Clips in round hole</v>
      </c>
      <c r="B342">
        <v>5317836</v>
      </c>
      <c r="D342">
        <v>0</v>
      </c>
      <c r="E342">
        <v>0</v>
      </c>
      <c r="H342">
        <v>2</v>
      </c>
      <c r="I342">
        <v>400000</v>
      </c>
      <c r="J342" t="s">
        <v>79</v>
      </c>
      <c r="K342">
        <v>8</v>
      </c>
      <c r="L342">
        <v>19</v>
      </c>
      <c r="M342">
        <v>8</v>
      </c>
      <c r="O342">
        <v>0.00050000000000000001</v>
      </c>
      <c r="Q342">
        <v>0</v>
      </c>
      <c r="R342">
        <v>0</v>
      </c>
      <c r="S342">
        <v>0</v>
      </c>
      <c r="T342">
        <v>5384936</v>
      </c>
    </row>
    <row r="343" spans="1:24" ht="12.75">
      <c r="A343" s="2" t="str">
        <f>HYPERLINK("https://ibp.a2mac1.com/costing(costing:projects/details/8191/component/5317837)","Panel holder &gt; Clips in rectangular hole")</f>
        <v>Panel holder &gt; Clips in rectangular hole</v>
      </c>
      <c r="B343">
        <v>5317837</v>
      </c>
      <c r="D343">
        <v>0</v>
      </c>
      <c r="E343">
        <v>0</v>
      </c>
      <c r="H343">
        <v>3</v>
      </c>
      <c r="I343">
        <v>600000</v>
      </c>
      <c r="J343" t="s">
        <v>79</v>
      </c>
      <c r="K343">
        <v>2</v>
      </c>
      <c r="L343">
        <v>13</v>
      </c>
      <c r="M343">
        <v>8</v>
      </c>
      <c r="O343">
        <v>0.001</v>
      </c>
      <c r="Q343">
        <v>0</v>
      </c>
      <c r="R343">
        <v>0</v>
      </c>
      <c r="S343">
        <v>0</v>
      </c>
      <c r="T343">
        <v>5384936</v>
      </c>
    </row>
    <row r="344" spans="1:24" ht="12.75">
      <c r="A344" s="2" t="str">
        <f>HYPERLINK("https://ibp.a2mac1.com/costing(costing:projects/details/8191/component/5317928)","Panel holder &gt; Clips in rectangular hole")</f>
        <v>Panel holder &gt; Clips in rectangular hole</v>
      </c>
      <c r="B344">
        <v>5317928</v>
      </c>
      <c r="D344">
        <v>0</v>
      </c>
      <c r="E344">
        <v>0</v>
      </c>
      <c r="H344">
        <v>3</v>
      </c>
      <c r="I344">
        <v>600000</v>
      </c>
      <c r="J344" t="s">
        <v>79</v>
      </c>
      <c r="K344">
        <v>2</v>
      </c>
      <c r="L344">
        <v>18</v>
      </c>
      <c r="M344">
        <v>5</v>
      </c>
      <c r="O344">
        <v>0.001</v>
      </c>
      <c r="Q344">
        <v>0</v>
      </c>
      <c r="R344">
        <v>0</v>
      </c>
      <c r="S344">
        <v>0</v>
      </c>
      <c r="T344">
        <v>5385078</v>
      </c>
    </row>
    <row r="345" spans="1:24" ht="12.75">
      <c r="A345" s="2" t="str">
        <f>HYPERLINK("https://ibp.a2mac1.com/costing(costing:projects/details/8191/component/5317929)","Other fastener &gt; Snap Tooling")</f>
        <v>Other fastener &gt; Snap Tooling</v>
      </c>
      <c r="B345">
        <v>5317929</v>
      </c>
      <c r="D345">
        <v>0</v>
      </c>
      <c r="E345">
        <v>0</v>
      </c>
      <c r="H345">
        <v>9</v>
      </c>
      <c r="I345">
        <v>1800000</v>
      </c>
      <c r="J345" t="s">
        <v>79</v>
      </c>
      <c r="O345">
        <v>0.0001</v>
      </c>
      <c r="Q345">
        <v>0</v>
      </c>
      <c r="R345">
        <v>0</v>
      </c>
      <c r="S345">
        <v>0</v>
      </c>
      <c r="T345">
        <v>5385078</v>
      </c>
    </row>
    <row r="346" spans="1:24" ht="12.75">
      <c r="A346" s="2" t="str">
        <f>HYPERLINK("https://ibp.a2mac1.com/costing(costing:projects/details/8191/component/5317930)","Other fastener &gt; Snap Tooling")</f>
        <v>Other fastener &gt; Snap Tooling</v>
      </c>
      <c r="B346">
        <v>5317930</v>
      </c>
      <c r="D346">
        <v>0</v>
      </c>
      <c r="E346">
        <v>0</v>
      </c>
      <c r="H346">
        <v>8</v>
      </c>
      <c r="I346">
        <v>1600000</v>
      </c>
      <c r="J346" t="s">
        <v>79</v>
      </c>
      <c r="O346">
        <v>0.0001</v>
      </c>
      <c r="Q346">
        <v>0</v>
      </c>
      <c r="R346">
        <v>0</v>
      </c>
      <c r="S346">
        <v>0</v>
      </c>
      <c r="T346">
        <v>5385079</v>
      </c>
    </row>
    <row r="347" spans="1:24" ht="12.75">
      <c r="A347" s="2" t="str">
        <f>HYPERLINK("https://ibp.a2mac1.com/costing(costing:projects/details/8191/component/5317931)","Screw &gt; Torx socket head cap screw with flange")</f>
        <v>Screw &gt; Torx socket head cap screw with flange</v>
      </c>
      <c r="B347">
        <v>5317931</v>
      </c>
      <c r="D347">
        <v>0</v>
      </c>
      <c r="E347">
        <v>0</v>
      </c>
      <c r="H347">
        <v>1</v>
      </c>
      <c r="I347">
        <v>200000</v>
      </c>
      <c r="J347" t="s">
        <v>79</v>
      </c>
      <c r="K347">
        <v>16</v>
      </c>
      <c r="L347">
        <v>4</v>
      </c>
      <c r="M347">
        <v>5</v>
      </c>
      <c r="O347">
        <v>0.0030000000000000001</v>
      </c>
      <c r="Q347">
        <v>0</v>
      </c>
      <c r="R347">
        <v>0</v>
      </c>
      <c r="S347">
        <v>0</v>
      </c>
      <c r="T347">
        <v>5385079</v>
      </c>
    </row>
    <row r="348" spans="1:24" ht="12.75">
      <c r="A348" s="2" t="str">
        <f>HYPERLINK("https://ibp.a2mac1.com/costing(costing:projects/details/8191/component/5317838)","Panel holder &gt; Clips in rectangular hole")</f>
        <v>Panel holder &gt; Clips in rectangular hole</v>
      </c>
      <c r="B348">
        <v>5317838</v>
      </c>
      <c r="D348">
        <v>0</v>
      </c>
      <c r="E348">
        <v>0</v>
      </c>
      <c r="H348">
        <v>6</v>
      </c>
      <c r="I348">
        <v>1200000</v>
      </c>
      <c r="J348" t="s">
        <v>79</v>
      </c>
      <c r="K348">
        <v>2</v>
      </c>
      <c r="L348">
        <v>5</v>
      </c>
      <c r="M348">
        <v>20</v>
      </c>
      <c r="O348">
        <v>0.00080000000000000004</v>
      </c>
      <c r="Q348">
        <v>0</v>
      </c>
      <c r="R348">
        <v>0</v>
      </c>
      <c r="S348">
        <v>0</v>
      </c>
      <c r="T348">
        <v>5384937</v>
      </c>
    </row>
    <row r="349" spans="1:24" ht="12.75">
      <c r="A349" s="2" t="str">
        <f>HYPERLINK("https://ibp.a2mac1.com/costing(costing:projects/details/8191/component/5317839)","Electronics")</f>
        <v>Electronics</v>
      </c>
      <c r="B349">
        <v>5317839</v>
      </c>
      <c r="D349">
        <v>0</v>
      </c>
      <c r="E349">
        <v>4.65984</v>
      </c>
      <c r="H349">
        <v>1</v>
      </c>
      <c r="I349">
        <v>200000</v>
      </c>
      <c r="J349" t="s">
        <v>136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573</v>
      </c>
      <c r="Q349">
        <v>0</v>
      </c>
      <c r="R349">
        <v>0</v>
      </c>
      <c r="S349">
        <v>4.3729088914178309</v>
      </c>
      <c r="U349">
        <v>5384938</v>
      </c>
    </row>
    <row r="350" spans="1:24" ht="12.75">
      <c r="A350" s="2" t="str">
        <f>HYPERLINK("https://ibp.a2mac1.com/costing(costing:projects/details/8191/component/5317840)","Mechanics")</f>
        <v>Mechanics</v>
      </c>
      <c r="B350">
        <v>5317840</v>
      </c>
      <c r="D350">
        <v>0</v>
      </c>
      <c r="E350">
        <v>2.3622100000000001</v>
      </c>
      <c r="H350">
        <v>1</v>
      </c>
      <c r="I350">
        <v>200000</v>
      </c>
      <c r="J350" t="s">
        <v>136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575</v>
      </c>
      <c r="Q350">
        <v>0</v>
      </c>
      <c r="R350">
        <v>0</v>
      </c>
      <c r="S350">
        <v>2.319632882882487</v>
      </c>
      <c r="U350">
        <v>5384938</v>
      </c>
    </row>
    <row r="351" spans="1:24" ht="12.75">
      <c r="A351" s="2" t="str">
        <f>HYPERLINK("https://ibp.a2mac1.com/costing(costing:projects/details/8191/component/5317767)","Screw &gt; Torx socket head cap screw")</f>
        <v>Screw &gt; Torx socket head cap screw</v>
      </c>
      <c r="B351">
        <v>5317767</v>
      </c>
      <c r="D351">
        <v>0</v>
      </c>
      <c r="E351">
        <v>0</v>
      </c>
      <c r="H351">
        <v>2</v>
      </c>
      <c r="I351">
        <v>400000</v>
      </c>
      <c r="J351" t="s">
        <v>79</v>
      </c>
      <c r="K351">
        <v>7</v>
      </c>
      <c r="L351">
        <v>3</v>
      </c>
      <c r="M351">
        <v>3</v>
      </c>
      <c r="O351">
        <v>0.00050000000000000001</v>
      </c>
      <c r="Q351">
        <v>0</v>
      </c>
      <c r="R351">
        <v>0</v>
      </c>
      <c r="S351">
        <v>0</v>
      </c>
      <c r="T351">
        <v>5384844</v>
      </c>
    </row>
    <row r="352" spans="1:24" ht="12.75">
      <c r="A352" s="2" t="str">
        <f>HYPERLINK("https://ibp.a2mac1.com/costing(costing:projects/details/8191/component/5317841)","Other fastener &gt; Insert")</f>
        <v>Other fastener &gt; Insert</v>
      </c>
      <c r="B352">
        <v>5317841</v>
      </c>
      <c r="D352">
        <v>0</v>
      </c>
      <c r="E352">
        <v>0.018450000000000001</v>
      </c>
      <c r="H352">
        <v>2</v>
      </c>
      <c r="I352">
        <v>400000</v>
      </c>
      <c r="J352" t="s">
        <v>136</v>
      </c>
      <c r="K352">
        <v>11</v>
      </c>
      <c r="L352">
        <v>20</v>
      </c>
      <c r="M352">
        <v>30</v>
      </c>
      <c r="O352">
        <v>0.0040000000000000001</v>
      </c>
      <c r="Q352">
        <v>0</v>
      </c>
      <c r="R352">
        <v>0</v>
      </c>
      <c r="S352">
        <v>0.036900000000000002</v>
      </c>
      <c r="U352">
        <v>5384942</v>
      </c>
    </row>
    <row r="353" spans="1:24" ht="12.75">
      <c r="A353" s="2" t="str">
        <f>HYPERLINK("https://ibp.a2mac1.com/costing(costing:projects/details/8191/component/5318054)","Fasteners")</f>
        <v>Fasteners</v>
      </c>
      <c r="B353">
        <v>5318054</v>
      </c>
      <c r="D353">
        <v>0</v>
      </c>
      <c r="E353">
        <v>0</v>
      </c>
      <c r="H353">
        <v>1</v>
      </c>
      <c r="I353">
        <v>200000</v>
      </c>
      <c r="J353" t="s">
        <v>136</v>
      </c>
      <c r="K353">
        <v>0</v>
      </c>
      <c r="L353">
        <v>0</v>
      </c>
      <c r="M353">
        <v>0</v>
      </c>
      <c r="N353">
        <v>0</v>
      </c>
      <c r="Q353">
        <v>0</v>
      </c>
      <c r="R353">
        <v>0</v>
      </c>
      <c r="S353">
        <v>0</v>
      </c>
      <c r="U353">
        <v>5385115</v>
      </c>
    </row>
    <row r="354" spans="1:24" ht="12.75">
      <c r="A354" s="2" t="str">
        <f>HYPERLINK("https://ibp.a2mac1.com/costing(costing:projects/details/8191/component/5318055)","Fasteners")</f>
        <v>Fasteners</v>
      </c>
      <c r="B354">
        <v>5318055</v>
      </c>
      <c r="D354">
        <v>0</v>
      </c>
      <c r="E354">
        <v>0</v>
      </c>
      <c r="H354">
        <v>1</v>
      </c>
      <c r="I354">
        <v>200000</v>
      </c>
      <c r="J354" t="s">
        <v>136</v>
      </c>
      <c r="K354">
        <v>0</v>
      </c>
      <c r="L354">
        <v>0</v>
      </c>
      <c r="M354">
        <v>0</v>
      </c>
      <c r="N354">
        <v>0</v>
      </c>
      <c r="Q354">
        <v>0</v>
      </c>
      <c r="R354">
        <v>0</v>
      </c>
      <c r="S354">
        <v>0</v>
      </c>
      <c r="U354">
        <v>5385116</v>
      </c>
    </row>
    <row r="355" spans="1:24" ht="12.75">
      <c r="A355" s="2" t="str">
        <f>HYPERLINK("https://ibp.a2mac1.com/costing(costing:projects/details/8191/component/5318056)","Fasteners")</f>
        <v>Fasteners</v>
      </c>
      <c r="B355">
        <v>5318056</v>
      </c>
      <c r="D355">
        <v>0</v>
      </c>
      <c r="E355">
        <v>0</v>
      </c>
      <c r="H355">
        <v>1</v>
      </c>
      <c r="I355">
        <v>200000</v>
      </c>
      <c r="J355" t="s">
        <v>136</v>
      </c>
      <c r="K355">
        <v>0</v>
      </c>
      <c r="L355">
        <v>0</v>
      </c>
      <c r="M355">
        <v>0</v>
      </c>
      <c r="N355">
        <v>0</v>
      </c>
      <c r="Q355">
        <v>0</v>
      </c>
      <c r="R355">
        <v>0</v>
      </c>
      <c r="S355">
        <v>0</v>
      </c>
      <c r="U355">
        <v>5385117</v>
      </c>
    </row>
    <row r="356" spans="1:24" ht="12.75">
      <c r="A356" s="2" t="str">
        <f>HYPERLINK("https://ibp.a2mac1.com/costing(costing:projects/details/8191/component/5318057)","Fasteners")</f>
        <v>Fasteners</v>
      </c>
      <c r="B356">
        <v>5318057</v>
      </c>
      <c r="D356">
        <v>0</v>
      </c>
      <c r="E356">
        <v>0</v>
      </c>
      <c r="H356">
        <v>1</v>
      </c>
      <c r="I356">
        <v>200000</v>
      </c>
      <c r="J356" t="s">
        <v>136</v>
      </c>
      <c r="K356">
        <v>0</v>
      </c>
      <c r="L356">
        <v>0</v>
      </c>
      <c r="M356">
        <v>0</v>
      </c>
      <c r="N356">
        <v>0</v>
      </c>
      <c r="Q356">
        <v>0</v>
      </c>
      <c r="R356">
        <v>0</v>
      </c>
      <c r="S356">
        <v>0</v>
      </c>
      <c r="U356">
        <v>5385118</v>
      </c>
    </row>
    <row r="357" spans="1:24" ht="12.75">
      <c r="A357" s="2" t="str">
        <f>HYPERLINK("https://ibp.a2mac1.com/costing(costing:projects/details/8191/component/5317936)","Covers/pads")</f>
        <v>Covers/pads</v>
      </c>
      <c r="B357">
        <v>5317936</v>
      </c>
      <c r="D357">
        <v>0.42631000000000002</v>
      </c>
      <c r="E357">
        <v>0.50</v>
      </c>
      <c r="H357">
        <v>1</v>
      </c>
      <c r="I357">
        <v>200000</v>
      </c>
      <c r="J357" t="s">
        <v>136</v>
      </c>
      <c r="K357">
        <v>0</v>
      </c>
      <c r="L357">
        <v>0</v>
      </c>
      <c r="M357">
        <v>0</v>
      </c>
      <c r="N357">
        <v>0</v>
      </c>
      <c r="Q357">
        <v>0</v>
      </c>
      <c r="R357">
        <v>0.42631000000000002</v>
      </c>
      <c r="S357">
        <v>0.50</v>
      </c>
      <c r="U357">
        <v>5385082</v>
      </c>
    </row>
    <row r="358" spans="1:24" ht="12.75">
      <c r="A358" s="2" t="str">
        <f>HYPERLINK("https://ibp.a2mac1.com/costing(costing:projects/details/8191/component/5317937)","Labels")</f>
        <v>Labels</v>
      </c>
      <c r="B358">
        <v>5317937</v>
      </c>
      <c r="D358">
        <v>0.013650000000000001</v>
      </c>
      <c r="E358">
        <v>0.10</v>
      </c>
      <c r="H358">
        <v>1</v>
      </c>
      <c r="I358">
        <v>200000</v>
      </c>
      <c r="J358" t="s">
        <v>136</v>
      </c>
      <c r="K358">
        <v>0</v>
      </c>
      <c r="L358">
        <v>0</v>
      </c>
      <c r="M358">
        <v>0</v>
      </c>
      <c r="N358">
        <v>0</v>
      </c>
      <c r="Q358">
        <v>0</v>
      </c>
      <c r="R358">
        <v>0.013650000000000001</v>
      </c>
      <c r="S358">
        <v>0.10</v>
      </c>
      <c r="U358">
        <v>5385082</v>
      </c>
    </row>
    <row r="359" spans="1:24" ht="12.75">
      <c r="A359" s="2" t="str">
        <f>HYPERLINK("https://ibp.a2mac1.com/costing(costing:projects/details/8191/component/5318059)","Screw &gt; Torx socket head cap screw with flange")</f>
        <v>Screw &gt; Torx socket head cap screw with flange</v>
      </c>
      <c r="B359">
        <v>5318059</v>
      </c>
      <c r="D359">
        <v>0</v>
      </c>
      <c r="E359">
        <v>0.03</v>
      </c>
      <c r="F359" t="s">
        <v>704</v>
      </c>
      <c r="H359">
        <v>3</v>
      </c>
      <c r="I359">
        <v>600000</v>
      </c>
      <c r="J359" t="s">
        <v>136</v>
      </c>
      <c r="K359">
        <v>20</v>
      </c>
      <c r="L359">
        <v>5</v>
      </c>
      <c r="M359">
        <v>6</v>
      </c>
      <c r="O359">
        <v>0.0067000000000000002</v>
      </c>
      <c r="Q359">
        <v>0</v>
      </c>
      <c r="R359">
        <v>0</v>
      </c>
      <c r="S359">
        <v>0.09</v>
      </c>
      <c r="U359">
        <v>5385120</v>
      </c>
    </row>
    <row r="360" spans="1:24" ht="12.75">
      <c r="A360" s="2" t="str">
        <f>HYPERLINK("https://ibp.a2mac1.com/costing(costing:projects/details/8191/component/5318060)","Screw &gt; Torx socket head cap screw with flange")</f>
        <v>Screw &gt; Torx socket head cap screw with flange</v>
      </c>
      <c r="B360">
        <v>5318060</v>
      </c>
      <c r="D360">
        <v>0</v>
      </c>
      <c r="E360">
        <v>0.03</v>
      </c>
      <c r="F360" t="s">
        <v>704</v>
      </c>
      <c r="H360">
        <v>3</v>
      </c>
      <c r="I360">
        <v>600000</v>
      </c>
      <c r="J360" t="s">
        <v>136</v>
      </c>
      <c r="K360">
        <v>20</v>
      </c>
      <c r="L360">
        <v>5</v>
      </c>
      <c r="M360">
        <v>6</v>
      </c>
      <c r="O360">
        <v>0.0070000000000000001</v>
      </c>
      <c r="Q360">
        <v>0</v>
      </c>
      <c r="R360">
        <v>0</v>
      </c>
      <c r="S360">
        <v>0.09</v>
      </c>
      <c r="U360">
        <v>5385121</v>
      </c>
    </row>
    <row r="361" spans="1:24" ht="12.75">
      <c r="A361" s="2" t="str">
        <f>HYPERLINK("https://ibp.a2mac1.com/costing(costing:projects/details/8191/component/5317938)","Screw &gt; Torx socket head cap screw with flange")</f>
        <v>Screw &gt; Torx socket head cap screw with flange</v>
      </c>
      <c r="B361">
        <v>5317938</v>
      </c>
      <c r="D361">
        <v>0</v>
      </c>
      <c r="E361">
        <v>0</v>
      </c>
      <c r="H361">
        <v>3</v>
      </c>
      <c r="I361">
        <v>600000</v>
      </c>
      <c r="J361" t="s">
        <v>79</v>
      </c>
      <c r="K361">
        <v>20</v>
      </c>
      <c r="L361">
        <v>5</v>
      </c>
      <c r="M361">
        <v>6</v>
      </c>
      <c r="O361">
        <v>0.0067000000000000002</v>
      </c>
      <c r="Q361">
        <v>0</v>
      </c>
      <c r="R361">
        <v>0</v>
      </c>
      <c r="S361">
        <v>0</v>
      </c>
      <c r="T361">
        <v>5385085</v>
      </c>
    </row>
    <row r="362" spans="1:24" ht="12.75">
      <c r="A362" s="2" t="str">
        <f>HYPERLINK("https://ibp.a2mac1.com/costing(costing:projects/details/8191/component/5317939)","Screw &gt; Torx socket head cap screw with flange")</f>
        <v>Screw &gt; Torx socket head cap screw with flange</v>
      </c>
      <c r="B362">
        <v>5317939</v>
      </c>
      <c r="D362">
        <v>0</v>
      </c>
      <c r="E362">
        <v>0</v>
      </c>
      <c r="H362">
        <v>3</v>
      </c>
      <c r="I362">
        <v>600000</v>
      </c>
      <c r="J362" t="s">
        <v>79</v>
      </c>
      <c r="K362">
        <v>20</v>
      </c>
      <c r="L362">
        <v>5</v>
      </c>
      <c r="M362">
        <v>6</v>
      </c>
      <c r="O362">
        <v>0.0070000000000000001</v>
      </c>
      <c r="Q362">
        <v>0</v>
      </c>
      <c r="R362">
        <v>0</v>
      </c>
      <c r="S362">
        <v>0</v>
      </c>
      <c r="T362">
        <v>5385085</v>
      </c>
    </row>
    <row r="363" spans="1:24" ht="12.75">
      <c r="A363" s="2" t="str">
        <f>HYPERLINK("https://ibp.a2mac1.com/costing(costing:projects/details/8191/component/5317842)","Other fastener &gt; Snap Tooling")</f>
        <v>Other fastener &gt; Snap Tooling</v>
      </c>
      <c r="B363">
        <v>5317842</v>
      </c>
      <c r="D363">
        <v>0</v>
      </c>
      <c r="E363">
        <v>0</v>
      </c>
      <c r="H363">
        <v>6</v>
      </c>
      <c r="I363">
        <v>1200000</v>
      </c>
      <c r="J363" t="s">
        <v>79</v>
      </c>
      <c r="O363">
        <v>0.00020000000000000001</v>
      </c>
      <c r="Q363">
        <v>0</v>
      </c>
      <c r="R363">
        <v>0</v>
      </c>
      <c r="S363">
        <v>0</v>
      </c>
      <c r="T363">
        <v>5384945</v>
      </c>
    </row>
    <row r="364" spans="1:24" ht="12.75">
      <c r="A364" s="2" t="str">
        <f>HYPERLINK("https://ibp.a2mac1.com/costing(costing:projects/details/8191/component/5317843)","Fasteners")</f>
        <v>Fasteners</v>
      </c>
      <c r="B364">
        <v>5317843</v>
      </c>
      <c r="D364">
        <v>0</v>
      </c>
      <c r="E364">
        <v>0.095</v>
      </c>
      <c r="H364">
        <v>1</v>
      </c>
      <c r="I364">
        <v>200000</v>
      </c>
      <c r="J364" t="s">
        <v>136</v>
      </c>
      <c r="K364">
        <v>0</v>
      </c>
      <c r="L364">
        <v>0</v>
      </c>
      <c r="M364">
        <v>0</v>
      </c>
      <c r="N364">
        <v>0</v>
      </c>
      <c r="Q364">
        <v>0</v>
      </c>
      <c r="R364">
        <v>0</v>
      </c>
      <c r="S364">
        <v>0.095</v>
      </c>
      <c r="U364">
        <v>5384950</v>
      </c>
    </row>
    <row r="365" spans="1:24" ht="12.75">
      <c r="A365" s="2" t="str">
        <f>HYPERLINK("https://ibp.a2mac1.com/costing(costing:projects/details/8191/component/5319548)","Screw &gt; Torx socket head cap screw")</f>
        <v>Screw &gt; Torx socket head cap screw</v>
      </c>
      <c r="B365">
        <v>5319548</v>
      </c>
      <c r="D365">
        <v>0</v>
      </c>
      <c r="E365">
        <v>0.0092300000000000004</v>
      </c>
      <c r="H365">
        <v>2</v>
      </c>
      <c r="I365">
        <v>400000</v>
      </c>
      <c r="J365" t="s">
        <v>79</v>
      </c>
      <c r="K365">
        <v>18</v>
      </c>
      <c r="L365">
        <v>5</v>
      </c>
      <c r="M365">
        <v>6</v>
      </c>
      <c r="O365">
        <v>0.0064999999999999997</v>
      </c>
      <c r="Q365">
        <v>0</v>
      </c>
      <c r="R365">
        <v>0</v>
      </c>
      <c r="S365">
        <v>0.018460000000000001</v>
      </c>
      <c r="T365">
        <v>5388355</v>
      </c>
    </row>
    <row r="366" spans="1:24" ht="12.75">
      <c r="A366" s="2" t="str">
        <f>HYPERLINK("https://ibp.a2mac1.com/costing(costing:projects/details/8191/component/5319453)","Panel holder &gt; Clips in round hole")</f>
        <v>Panel holder &gt; Clips in round hole</v>
      </c>
      <c r="B366">
        <v>5319453</v>
      </c>
      <c r="D366">
        <v>0</v>
      </c>
      <c r="E366">
        <v>0.0092300000000000004</v>
      </c>
      <c r="H366">
        <v>4</v>
      </c>
      <c r="I366">
        <v>800000</v>
      </c>
      <c r="J366" t="s">
        <v>79</v>
      </c>
      <c r="K366">
        <v>8</v>
      </c>
      <c r="L366">
        <v>19</v>
      </c>
      <c r="M366">
        <v>5</v>
      </c>
      <c r="O366">
        <v>0.002</v>
      </c>
      <c r="Q366">
        <v>0</v>
      </c>
      <c r="R366">
        <v>0</v>
      </c>
      <c r="S366">
        <v>0.036920000000000001</v>
      </c>
      <c r="T366">
        <v>5388173</v>
      </c>
    </row>
    <row r="367" spans="1:24" ht="12.75">
      <c r="A367" s="2" t="str">
        <f>HYPERLINK("https://ibp.a2mac1.com/costing(costing:projects/details/8191/component/5319454)","Other fastener &gt; Snap Tooling")</f>
        <v>Other fastener &gt; Snap Tooling</v>
      </c>
      <c r="B367">
        <v>5319454</v>
      </c>
      <c r="D367">
        <v>0</v>
      </c>
      <c r="E367">
        <v>0.0092300000000000004</v>
      </c>
      <c r="H367">
        <v>34</v>
      </c>
      <c r="I367">
        <v>6800000</v>
      </c>
      <c r="J367" t="s">
        <v>79</v>
      </c>
      <c r="O367">
        <v>0.0001</v>
      </c>
      <c r="Q367">
        <v>0</v>
      </c>
      <c r="R367">
        <v>0</v>
      </c>
      <c r="S367">
        <v>0.31381999999999999</v>
      </c>
      <c r="T367">
        <v>5388173</v>
      </c>
    </row>
    <row r="368" spans="1:24" ht="12.75">
      <c r="A368" s="2" t="str">
        <f>HYPERLINK("https://ibp.a2mac1.com/costing(costing:projects/details/8191/component/5319455)","Other fastener &gt; Snap Tooling")</f>
        <v>Other fastener &gt; Snap Tooling</v>
      </c>
      <c r="B368">
        <v>5319455</v>
      </c>
      <c r="D368">
        <v>0</v>
      </c>
      <c r="E368">
        <v>0.0092300000000000004</v>
      </c>
      <c r="H368">
        <v>27</v>
      </c>
      <c r="I368">
        <v>5400000</v>
      </c>
      <c r="J368" t="s">
        <v>79</v>
      </c>
      <c r="O368">
        <v>0.0001</v>
      </c>
      <c r="Q368">
        <v>0</v>
      </c>
      <c r="R368">
        <v>0</v>
      </c>
      <c r="S368">
        <v>0.24920999999999999</v>
      </c>
      <c r="T368">
        <v>5388173</v>
      </c>
    </row>
    <row r="369" spans="1:24" ht="12.75">
      <c r="A369" s="2" t="str">
        <f>HYPERLINK("https://ibp.a2mac1.com/costing(costing:projects/details/8191/component/5319456)","Other fastener &gt; Snap Tooling")</f>
        <v>Other fastener &gt; Snap Tooling</v>
      </c>
      <c r="B369">
        <v>5319456</v>
      </c>
      <c r="D369">
        <v>0</v>
      </c>
      <c r="E369">
        <v>0.0092300000000000004</v>
      </c>
      <c r="H369">
        <v>33</v>
      </c>
      <c r="I369">
        <v>6600000</v>
      </c>
      <c r="J369" t="s">
        <v>79</v>
      </c>
      <c r="O369">
        <v>0.00020000000000000001</v>
      </c>
      <c r="Q369">
        <v>0</v>
      </c>
      <c r="R369">
        <v>0</v>
      </c>
      <c r="S369">
        <v>0.30459000000000003</v>
      </c>
      <c r="T369">
        <v>5388173</v>
      </c>
    </row>
    <row r="370" spans="1:24" ht="12.75">
      <c r="A370" s="2" t="str">
        <f>HYPERLINK("https://ibp.a2mac1.com/costing(costing:projects/details/8191/component/5319757)","Pin clip &gt; Dowel pin")</f>
        <v>Pin clip &gt; Dowel pin</v>
      </c>
      <c r="B370">
        <v>5319757</v>
      </c>
      <c r="D370">
        <v>0</v>
      </c>
      <c r="E370">
        <v>0.0092300000000000004</v>
      </c>
      <c r="H370">
        <v>1</v>
      </c>
      <c r="I370">
        <v>200000</v>
      </c>
      <c r="J370" t="s">
        <v>79</v>
      </c>
      <c r="L370">
        <v>35</v>
      </c>
      <c r="M370">
        <v>6</v>
      </c>
      <c r="O370">
        <v>0.001</v>
      </c>
      <c r="Q370">
        <v>0</v>
      </c>
      <c r="R370">
        <v>0</v>
      </c>
      <c r="S370">
        <v>0.0092300000000000004</v>
      </c>
      <c r="T370">
        <v>5388747</v>
      </c>
    </row>
    <row r="371" spans="1:24" ht="12.75">
      <c r="A371" s="2" t="str">
        <f>HYPERLINK("https://ibp.a2mac1.com/costing(costing:projects/details/8191/component/5319758)","Other fastener &gt; Snap Tooling")</f>
        <v>Other fastener &gt; Snap Tooling</v>
      </c>
      <c r="B371">
        <v>5319758</v>
      </c>
      <c r="D371">
        <v>0</v>
      </c>
      <c r="E371">
        <v>0.0092300000000000004</v>
      </c>
      <c r="H371">
        <v>11</v>
      </c>
      <c r="I371">
        <v>2200000</v>
      </c>
      <c r="J371" t="s">
        <v>79</v>
      </c>
      <c r="O371">
        <v>0.00020000000000000001</v>
      </c>
      <c r="Q371">
        <v>0</v>
      </c>
      <c r="R371">
        <v>0</v>
      </c>
      <c r="S371">
        <v>0.10153</v>
      </c>
      <c r="T371">
        <v>5388747</v>
      </c>
    </row>
    <row r="372" spans="1:24" ht="12.75">
      <c r="A372" s="2" t="str">
        <f>HYPERLINK("https://ibp.a2mac1.com/costing(costing:projects/details/8191/component/5319759)","Pin clip &gt; Dowel pin")</f>
        <v>Pin clip &gt; Dowel pin</v>
      </c>
      <c r="B372">
        <v>5319759</v>
      </c>
      <c r="D372">
        <v>0</v>
      </c>
      <c r="E372">
        <v>0.0092300000000000004</v>
      </c>
      <c r="H372">
        <v>1</v>
      </c>
      <c r="I372">
        <v>200000</v>
      </c>
      <c r="J372" t="s">
        <v>79</v>
      </c>
      <c r="L372">
        <v>126</v>
      </c>
      <c r="M372">
        <v>4</v>
      </c>
      <c r="O372">
        <v>0.012</v>
      </c>
      <c r="Q372">
        <v>0</v>
      </c>
      <c r="R372">
        <v>0</v>
      </c>
      <c r="S372">
        <v>0.0092300000000000004</v>
      </c>
      <c r="T372">
        <v>5388755</v>
      </c>
    </row>
    <row r="373" spans="1:24" ht="12.75">
      <c r="A373" s="2" t="str">
        <f>HYPERLINK("https://ibp.a2mac1.com/costing(costing:projects/details/8191/component/5319760)","Other fastener &gt; Attachment")</f>
        <v>Other fastener &gt; Attachment</v>
      </c>
      <c r="B373">
        <v>5319760</v>
      </c>
      <c r="D373">
        <v>0</v>
      </c>
      <c r="E373">
        <v>0.0092300000000000004</v>
      </c>
      <c r="H373">
        <v>1</v>
      </c>
      <c r="I373">
        <v>200000</v>
      </c>
      <c r="J373" t="s">
        <v>79</v>
      </c>
      <c r="K373">
        <v>7</v>
      </c>
      <c r="L373">
        <v>18</v>
      </c>
      <c r="M373">
        <v>128</v>
      </c>
      <c r="O373">
        <v>0.016</v>
      </c>
      <c r="Q373">
        <v>0</v>
      </c>
      <c r="R373">
        <v>0</v>
      </c>
      <c r="S373">
        <v>0.0092300000000000004</v>
      </c>
      <c r="T373">
        <v>5388755</v>
      </c>
    </row>
    <row r="374" spans="1:24" ht="12.75">
      <c r="A374" s="2" t="str">
        <f>HYPERLINK("https://ibp.a2mac1.com/costing(costing:projects/details/8191/component/5319551)","Screw &gt; 12 point socket head cap screw [2]")</f>
        <v>Screw &gt; 12 point socket head cap screw [2]</v>
      </c>
      <c r="B374">
        <v>5319551</v>
      </c>
      <c r="D374">
        <v>0</v>
      </c>
      <c r="E374">
        <v>0.0092300000000000004</v>
      </c>
      <c r="H374">
        <v>2</v>
      </c>
      <c r="I374">
        <v>400000</v>
      </c>
      <c r="J374" t="s">
        <v>79</v>
      </c>
      <c r="K374">
        <v>18</v>
      </c>
      <c r="L374">
        <v>8</v>
      </c>
      <c r="M374">
        <v>8</v>
      </c>
      <c r="O374">
        <v>0.0089999999999999993</v>
      </c>
      <c r="Q374">
        <v>0</v>
      </c>
      <c r="R374">
        <v>0</v>
      </c>
      <c r="S374">
        <v>0.018460000000000001</v>
      </c>
      <c r="T374">
        <v>5388364</v>
      </c>
    </row>
    <row r="375" spans="1:24" ht="12.75">
      <c r="A375" s="2" t="str">
        <f>HYPERLINK("https://ibp.a2mac1.com/costing(costing:projects/details/8191/component/5319552)","Screw &gt; Torx socket head cap screw")</f>
        <v>Screw &gt; Torx socket head cap screw</v>
      </c>
      <c r="B375">
        <v>5319552</v>
      </c>
      <c r="D375">
        <v>0</v>
      </c>
      <c r="E375">
        <v>0.0092300000000000004</v>
      </c>
      <c r="H375">
        <v>1</v>
      </c>
      <c r="I375">
        <v>200000</v>
      </c>
      <c r="J375" t="s">
        <v>79</v>
      </c>
      <c r="K375">
        <v>37</v>
      </c>
      <c r="L375">
        <v>5</v>
      </c>
      <c r="M375">
        <v>8</v>
      </c>
      <c r="O375">
        <v>0.016</v>
      </c>
      <c r="Q375">
        <v>0</v>
      </c>
      <c r="R375">
        <v>0</v>
      </c>
      <c r="S375">
        <v>0.0092300000000000004</v>
      </c>
      <c r="T375">
        <v>5388364</v>
      </c>
    </row>
    <row r="376" spans="1:24" ht="12.75">
      <c r="A376" s="2" t="str">
        <f>HYPERLINK("https://ibp.a2mac1.com/costing(costing:projects/details/8191/component/5319553)","Screw &gt; 12 point socket head cap screw")</f>
        <v>Screw &gt; 12 point socket head cap screw</v>
      </c>
      <c r="B376">
        <v>5319553</v>
      </c>
      <c r="D376">
        <v>0</v>
      </c>
      <c r="E376">
        <v>0.0092300000000000004</v>
      </c>
      <c r="H376">
        <v>2</v>
      </c>
      <c r="I376">
        <v>400000</v>
      </c>
      <c r="J376" t="s">
        <v>79</v>
      </c>
      <c r="K376">
        <v>16</v>
      </c>
      <c r="L376">
        <v>6</v>
      </c>
      <c r="M376">
        <v>7</v>
      </c>
      <c r="O376">
        <v>0.01</v>
      </c>
      <c r="Q376">
        <v>0</v>
      </c>
      <c r="R376">
        <v>0</v>
      </c>
      <c r="S376">
        <v>0.018460000000000001</v>
      </c>
      <c r="T376">
        <v>5388364</v>
      </c>
    </row>
    <row r="377" spans="1:24" ht="12.75">
      <c r="A377" s="2" t="str">
        <f>HYPERLINK("https://ibp.a2mac1.com/costing(costing:projects/details/8191/component/5319549)","Mechanics")</f>
        <v>Mechanics</v>
      </c>
      <c r="B377">
        <v>5319549</v>
      </c>
      <c r="D377">
        <v>0</v>
      </c>
      <c r="E377">
        <v>1.5502</v>
      </c>
      <c r="H377">
        <v>1</v>
      </c>
      <c r="I377">
        <v>200000</v>
      </c>
      <c r="J377" t="s">
        <v>136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575</v>
      </c>
      <c r="Q377">
        <v>0</v>
      </c>
      <c r="R377">
        <v>0</v>
      </c>
      <c r="S377">
        <v>1.5222587725242172</v>
      </c>
      <c r="U377">
        <v>5388356</v>
      </c>
    </row>
    <row r="378" spans="1:24" ht="12.75">
      <c r="A378" s="2" t="str">
        <f>HYPERLINK("https://ibp.a2mac1.com/costing(costing:projects/details/8191/component/5319550)","Electronics")</f>
        <v>Electronics</v>
      </c>
      <c r="B378">
        <v>5319550</v>
      </c>
      <c r="D378">
        <v>0</v>
      </c>
      <c r="E378">
        <v>3.0450400000000002</v>
      </c>
      <c r="H378">
        <v>1</v>
      </c>
      <c r="I378">
        <v>200000</v>
      </c>
      <c r="J378" t="s">
        <v>136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573</v>
      </c>
      <c r="Q378">
        <v>0</v>
      </c>
      <c r="R378">
        <v>0</v>
      </c>
      <c r="S378">
        <v>2.8575407075614079</v>
      </c>
      <c r="U378">
        <v>5388356</v>
      </c>
    </row>
    <row r="379" spans="1:24" ht="12.75">
      <c r="A379" s="2" t="str">
        <f>HYPERLINK("https://ibp.a2mac1.com/costing(costing:projects/details/8191/component/5319770)","Screw &gt; Hexagon screw with flange")</f>
        <v>Screw &gt; Hexagon screw with flange</v>
      </c>
      <c r="B379">
        <v>5319770</v>
      </c>
      <c r="D379">
        <v>0</v>
      </c>
      <c r="E379">
        <v>0.0092300000000000004</v>
      </c>
      <c r="H379">
        <v>1</v>
      </c>
      <c r="I379">
        <v>200000</v>
      </c>
      <c r="J379" t="s">
        <v>79</v>
      </c>
      <c r="K379">
        <v>22</v>
      </c>
      <c r="L379">
        <v>13</v>
      </c>
      <c r="M379">
        <v>8</v>
      </c>
      <c r="O379">
        <v>0.017999999999999999</v>
      </c>
      <c r="Q379">
        <v>0</v>
      </c>
      <c r="R379">
        <v>0</v>
      </c>
      <c r="S379">
        <v>0.0092300000000000004</v>
      </c>
      <c r="T379">
        <v>5388760</v>
      </c>
    </row>
    <row r="380" spans="1:24" ht="12.75">
      <c r="A380" s="2" t="str">
        <f>HYPERLINK("https://ibp.a2mac1.com/costing(costing:projects/details/8191/component/5319771)","Screw &gt; Torx socket head cap screw")</f>
        <v>Screw &gt; Torx socket head cap screw</v>
      </c>
      <c r="B380">
        <v>5319771</v>
      </c>
      <c r="D380">
        <v>0</v>
      </c>
      <c r="E380">
        <v>0.0092300000000000004</v>
      </c>
      <c r="H380">
        <v>1</v>
      </c>
      <c r="I380">
        <v>200000</v>
      </c>
      <c r="J380" t="s">
        <v>79</v>
      </c>
      <c r="K380">
        <v>6</v>
      </c>
      <c r="L380">
        <v>7</v>
      </c>
      <c r="M380">
        <v>8</v>
      </c>
      <c r="O380">
        <v>0.0040000000000000001</v>
      </c>
      <c r="Q380">
        <v>0</v>
      </c>
      <c r="R380">
        <v>0</v>
      </c>
      <c r="S380">
        <v>0.0092300000000000004</v>
      </c>
      <c r="T380">
        <v>5388760</v>
      </c>
    </row>
    <row r="381" spans="1:24" ht="12.75">
      <c r="A381" s="2" t="str">
        <f>HYPERLINK("https://ibp.a2mac1.com/costing(costing:projects/details/8191/component/5319772)","Screw &gt; 12 point flange screw with flange")</f>
        <v>Screw &gt; 12 point flange screw with flange</v>
      </c>
      <c r="B381">
        <v>5319772</v>
      </c>
      <c r="D381">
        <v>0</v>
      </c>
      <c r="E381">
        <v>0.0092300000000000004</v>
      </c>
      <c r="H381">
        <v>1</v>
      </c>
      <c r="I381">
        <v>200000</v>
      </c>
      <c r="J381" t="s">
        <v>79</v>
      </c>
      <c r="K381">
        <v>24</v>
      </c>
      <c r="L381">
        <v>10</v>
      </c>
      <c r="M381">
        <v>8</v>
      </c>
      <c r="O381">
        <v>0.017999999999999999</v>
      </c>
      <c r="Q381">
        <v>0</v>
      </c>
      <c r="R381">
        <v>0</v>
      </c>
      <c r="S381">
        <v>0.0092300000000000004</v>
      </c>
      <c r="T381">
        <v>5388763</v>
      </c>
    </row>
    <row r="382" spans="1:24" ht="12.75">
      <c r="A382" s="2" t="str">
        <f>HYPERLINK("https://ibp.a2mac1.com/costing(costing:projects/details/8191/component/5319773)","Screw &gt; Torx socket head cap screw")</f>
        <v>Screw &gt; Torx socket head cap screw</v>
      </c>
      <c r="B382">
        <v>5319773</v>
      </c>
      <c r="D382">
        <v>0</v>
      </c>
      <c r="E382">
        <v>0.0092300000000000004</v>
      </c>
      <c r="H382">
        <v>1</v>
      </c>
      <c r="I382">
        <v>200000</v>
      </c>
      <c r="J382" t="s">
        <v>79</v>
      </c>
      <c r="K382">
        <v>6</v>
      </c>
      <c r="L382">
        <v>7</v>
      </c>
      <c r="M382">
        <v>8</v>
      </c>
      <c r="O382">
        <v>0.0040000000000000001</v>
      </c>
      <c r="Q382">
        <v>0</v>
      </c>
      <c r="R382">
        <v>0</v>
      </c>
      <c r="S382">
        <v>0.0092300000000000004</v>
      </c>
      <c r="T382">
        <v>5388763</v>
      </c>
    </row>
    <row r="383" spans="1:24" ht="12.75">
      <c r="A383" s="2" t="str">
        <f>HYPERLINK("https://ibp.a2mac1.com/costing(costing:projects/details/8191/component/5319554)","Screw &gt; Torx socket head cap screw with flange")</f>
        <v>Screw &gt; Torx socket head cap screw with flange</v>
      </c>
      <c r="B383">
        <v>5319554</v>
      </c>
      <c r="D383">
        <v>0</v>
      </c>
      <c r="E383">
        <v>0.0092300000000000004</v>
      </c>
      <c r="H383">
        <v>2</v>
      </c>
      <c r="I383">
        <v>400000</v>
      </c>
      <c r="J383" t="s">
        <v>79</v>
      </c>
      <c r="K383">
        <v>11</v>
      </c>
      <c r="L383">
        <v>5</v>
      </c>
      <c r="M383">
        <v>6</v>
      </c>
      <c r="O383">
        <v>0.0054999999999999997</v>
      </c>
      <c r="Q383">
        <v>0</v>
      </c>
      <c r="R383">
        <v>0</v>
      </c>
      <c r="S383">
        <v>0.018460000000000001</v>
      </c>
      <c r="T383">
        <v>5388376</v>
      </c>
    </row>
    <row r="384" spans="1:24" ht="12.75">
      <c r="A384" s="2" t="str">
        <f>HYPERLINK("https://ibp.a2mac1.com/costing(costing:projects/details/8191/component/5319555)","Mechanics")</f>
        <v>Mechanics</v>
      </c>
      <c r="B384">
        <v>5319555</v>
      </c>
      <c r="D384">
        <v>0</v>
      </c>
      <c r="E384">
        <v>2.5375399999999999</v>
      </c>
      <c r="H384">
        <v>1</v>
      </c>
      <c r="I384">
        <v>200000</v>
      </c>
      <c r="J384" t="s">
        <v>79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575</v>
      </c>
      <c r="Q384">
        <v>0</v>
      </c>
      <c r="R384">
        <v>0</v>
      </c>
      <c r="S384">
        <v>2.491802687157207</v>
      </c>
      <c r="T384">
        <v>5388382</v>
      </c>
    </row>
    <row r="385" spans="1:24" ht="12.75">
      <c r="A385" s="2" t="str">
        <f>HYPERLINK("https://ibp.a2mac1.com/costing(costing:projects/details/8191/component/5319556)","Electronics")</f>
        <v>Electronics</v>
      </c>
      <c r="B385">
        <v>5319556</v>
      </c>
      <c r="D385">
        <v>0</v>
      </c>
      <c r="E385">
        <v>5.0104800000000003</v>
      </c>
      <c r="H385">
        <v>1</v>
      </c>
      <c r="I385">
        <v>200000</v>
      </c>
      <c r="J385" t="s">
        <v>79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573</v>
      </c>
      <c r="Q385">
        <v>0</v>
      </c>
      <c r="R385">
        <v>0</v>
      </c>
      <c r="S385">
        <v>4.7019581235130845</v>
      </c>
      <c r="T385">
        <v>5388382</v>
      </c>
    </row>
    <row r="386" spans="1:24" ht="12.75">
      <c r="A386" s="2" t="str">
        <f>HYPERLINK("https://ibp.a2mac1.com/costing(costing:projects/details/8191/component/5319557)","Tube/cluster support &gt; Tube/cluster beribboned support in hole")</f>
        <v>Tube/cluster support &gt; Tube/cluster beribboned support in hole</v>
      </c>
      <c r="B386">
        <v>5319557</v>
      </c>
      <c r="D386">
        <v>0</v>
      </c>
      <c r="E386">
        <v>0.0092300000000000004</v>
      </c>
      <c r="H386">
        <v>1</v>
      </c>
      <c r="I386">
        <v>200000</v>
      </c>
      <c r="J386" t="s">
        <v>79</v>
      </c>
      <c r="K386">
        <v>6</v>
      </c>
      <c r="L386">
        <v>10</v>
      </c>
      <c r="M386">
        <v>8</v>
      </c>
      <c r="O386">
        <v>0.001</v>
      </c>
      <c r="Q386">
        <v>0</v>
      </c>
      <c r="R386">
        <v>0</v>
      </c>
      <c r="S386">
        <v>0.0092300000000000004</v>
      </c>
      <c r="T386">
        <v>5388388</v>
      </c>
    </row>
    <row r="387" spans="1:24" ht="12.75">
      <c r="A387" s="2" t="str">
        <f>HYPERLINK("https://ibp.a2mac1.com/costing(costing:projects/details/8191/component/5319558)","Tube/cluster support &gt; Tube/cluster strap support between tube/cluster")</f>
        <v>Tube/cluster support &gt; Tube/cluster strap support between tube/cluster</v>
      </c>
      <c r="B387">
        <v>5319558</v>
      </c>
      <c r="D387">
        <v>0</v>
      </c>
      <c r="E387">
        <v>0.0092300000000000004</v>
      </c>
      <c r="H387">
        <v>2</v>
      </c>
      <c r="I387">
        <v>400000</v>
      </c>
      <c r="J387" t="s">
        <v>79</v>
      </c>
      <c r="L387">
        <v>4</v>
      </c>
      <c r="M387">
        <v>5</v>
      </c>
      <c r="O387">
        <v>0.001</v>
      </c>
      <c r="Q387">
        <v>0</v>
      </c>
      <c r="R387">
        <v>0</v>
      </c>
      <c r="S387">
        <v>0.018460000000000001</v>
      </c>
      <c r="T387">
        <v>5388388</v>
      </c>
    </row>
    <row r="388" spans="1:24" ht="12.75">
      <c r="A388" s="2" t="str">
        <f>HYPERLINK("https://ibp.a2mac1.com/costing(costing:projects/details/8191/component/5319559)","Panel holder &gt; Clips in round hole")</f>
        <v>Panel holder &gt; Clips in round hole</v>
      </c>
      <c r="B388">
        <v>5319559</v>
      </c>
      <c r="D388">
        <v>0</v>
      </c>
      <c r="E388">
        <v>0.0092300000000000004</v>
      </c>
      <c r="H388">
        <v>5</v>
      </c>
      <c r="I388">
        <v>1000000</v>
      </c>
      <c r="J388" t="s">
        <v>79</v>
      </c>
      <c r="K388">
        <v>9</v>
      </c>
      <c r="L388">
        <v>16</v>
      </c>
      <c r="M388">
        <v>9</v>
      </c>
      <c r="O388">
        <v>0.0014</v>
      </c>
      <c r="Q388">
        <v>0</v>
      </c>
      <c r="R388">
        <v>0</v>
      </c>
      <c r="S388">
        <v>0.046149999999999997</v>
      </c>
      <c r="T388">
        <v>5388393</v>
      </c>
    </row>
    <row r="389" spans="1:24" ht="12.75">
      <c r="A389" s="2" t="str">
        <f>HYPERLINK("https://ibp.a2mac1.com/costing(costing:projects/details/8191/component/5319560)","Rivet &gt; Screw rivet")</f>
        <v>Rivet &gt; Screw rivet</v>
      </c>
      <c r="B389">
        <v>5319560</v>
      </c>
      <c r="D389">
        <v>0</v>
      </c>
      <c r="E389">
        <v>0.0092300000000000004</v>
      </c>
      <c r="H389">
        <v>2</v>
      </c>
      <c r="I389">
        <v>400000</v>
      </c>
      <c r="J389" t="s">
        <v>79</v>
      </c>
      <c r="K389">
        <v>14</v>
      </c>
      <c r="L389">
        <v>9</v>
      </c>
      <c r="M389">
        <v>7</v>
      </c>
      <c r="O389">
        <v>0.001</v>
      </c>
      <c r="Q389">
        <v>0</v>
      </c>
      <c r="R389">
        <v>0</v>
      </c>
      <c r="S389">
        <v>0.018460000000000001</v>
      </c>
      <c r="T389">
        <v>5388393</v>
      </c>
    </row>
    <row r="390" spans="1:24" ht="12.75">
      <c r="A390" s="2" t="str">
        <f>HYPERLINK("https://ibp.a2mac1.com/costing(costing:projects/details/8191/component/5319779)","Screw &gt; 12 point socket head cap screw with flange")</f>
        <v>Screw &gt; 12 point socket head cap screw with flange</v>
      </c>
      <c r="B390">
        <v>5319779</v>
      </c>
      <c r="D390">
        <v>0</v>
      </c>
      <c r="E390">
        <v>0.0092300000000000004</v>
      </c>
      <c r="H390">
        <v>1</v>
      </c>
      <c r="I390">
        <v>200000</v>
      </c>
      <c r="J390" t="s">
        <v>79</v>
      </c>
      <c r="K390">
        <v>32</v>
      </c>
      <c r="L390">
        <v>10</v>
      </c>
      <c r="M390">
        <v>8</v>
      </c>
      <c r="O390">
        <v>0.021000000000000001</v>
      </c>
      <c r="Q390">
        <v>0</v>
      </c>
      <c r="R390">
        <v>0</v>
      </c>
      <c r="S390">
        <v>0.0092300000000000004</v>
      </c>
      <c r="T390">
        <v>5388785</v>
      </c>
    </row>
    <row r="391" spans="1:24" ht="12.75">
      <c r="A391" s="2" t="str">
        <f>HYPERLINK("https://ibp.a2mac1.com/costing(costing:projects/details/8191/component/5319780)","Screw &gt; Torx socket head cap screw")</f>
        <v>Screw &gt; Torx socket head cap screw</v>
      </c>
      <c r="B391">
        <v>5319780</v>
      </c>
      <c r="D391">
        <v>0</v>
      </c>
      <c r="E391">
        <v>0.0092300000000000004</v>
      </c>
      <c r="H391">
        <v>1</v>
      </c>
      <c r="I391">
        <v>200000</v>
      </c>
      <c r="J391" t="s">
        <v>79</v>
      </c>
      <c r="K391">
        <v>29</v>
      </c>
      <c r="L391">
        <v>3</v>
      </c>
      <c r="M391">
        <v>3</v>
      </c>
      <c r="O391">
        <v>0.002</v>
      </c>
      <c r="Q391">
        <v>0</v>
      </c>
      <c r="R391">
        <v>0</v>
      </c>
      <c r="S391">
        <v>0.0092300000000000004</v>
      </c>
      <c r="T391">
        <v>5388785</v>
      </c>
    </row>
    <row r="392" spans="1:24" ht="12.75">
      <c r="A392" s="2" t="str">
        <f>HYPERLINK("https://ibp.a2mac1.com/costing(costing:projects/details/8191/component/5319781)","Washer &gt; Plate washer")</f>
        <v>Washer &gt; Plate washer</v>
      </c>
      <c r="B392">
        <v>5319781</v>
      </c>
      <c r="D392">
        <v>0</v>
      </c>
      <c r="E392">
        <v>0.0092300000000000004</v>
      </c>
      <c r="H392">
        <v>1</v>
      </c>
      <c r="I392">
        <v>200000</v>
      </c>
      <c r="J392" t="s">
        <v>79</v>
      </c>
      <c r="K392">
        <v>17</v>
      </c>
      <c r="L392">
        <v>32</v>
      </c>
      <c r="M392">
        <v>18</v>
      </c>
      <c r="O392">
        <v>0.0040000000000000001</v>
      </c>
      <c r="Q392">
        <v>0</v>
      </c>
      <c r="R392">
        <v>0</v>
      </c>
      <c r="S392">
        <v>0.0092300000000000004</v>
      </c>
      <c r="T392">
        <v>5388785</v>
      </c>
    </row>
    <row r="393" spans="1:24" ht="12.75">
      <c r="A393" s="2" t="str">
        <f>HYPERLINK("https://ibp.a2mac1.com/costing(costing:projects/details/8191/component/5319782)","Tube/cluster support &gt; Tube/cluster strap support in hole")</f>
        <v>Tube/cluster support &gt; Tube/cluster strap support in hole</v>
      </c>
      <c r="B393">
        <v>5319782</v>
      </c>
      <c r="D393">
        <v>0</v>
      </c>
      <c r="E393">
        <v>0.0092300000000000004</v>
      </c>
      <c r="H393">
        <v>2</v>
      </c>
      <c r="I393">
        <v>400000</v>
      </c>
      <c r="J393" t="s">
        <v>79</v>
      </c>
      <c r="K393">
        <v>8</v>
      </c>
      <c r="L393">
        <v>8</v>
      </c>
      <c r="M393">
        <v>5</v>
      </c>
      <c r="O393">
        <v>0.00050000000000000001</v>
      </c>
      <c r="Q393">
        <v>0</v>
      </c>
      <c r="R393">
        <v>0</v>
      </c>
      <c r="S393">
        <v>0.018460000000000001</v>
      </c>
      <c r="T393">
        <v>5388785</v>
      </c>
    </row>
    <row r="394" spans="1:24" ht="12.75">
      <c r="A394" s="2" t="str">
        <f>HYPERLINK("https://ibp.a2mac1.com/costing(costing:projects/details/8191/component/5319783)","Screw &gt; Torx socket head cap screw")</f>
        <v>Screw &gt; Torx socket head cap screw</v>
      </c>
      <c r="B394">
        <v>5319783</v>
      </c>
      <c r="D394">
        <v>0</v>
      </c>
      <c r="E394">
        <v>0.0092300000000000004</v>
      </c>
      <c r="H394">
        <v>2</v>
      </c>
      <c r="I394">
        <v>400000</v>
      </c>
      <c r="J394" t="s">
        <v>79</v>
      </c>
      <c r="K394">
        <v>16</v>
      </c>
      <c r="L394">
        <v>4</v>
      </c>
      <c r="M394">
        <v>4</v>
      </c>
      <c r="O394">
        <v>0.002</v>
      </c>
      <c r="Q394">
        <v>0</v>
      </c>
      <c r="R394">
        <v>0</v>
      </c>
      <c r="S394">
        <v>0.018460000000000001</v>
      </c>
      <c r="T394">
        <v>5388785</v>
      </c>
    </row>
    <row r="395" spans="1:24" ht="12.75">
      <c r="A395" s="2" t="str">
        <f>HYPERLINK("https://ibp.a2mac1.com/costing(costing:projects/details/8191/component/5319784)","Screw &gt; Torx socket head cap screw")</f>
        <v>Screw &gt; Torx socket head cap screw</v>
      </c>
      <c r="B395">
        <v>5319784</v>
      </c>
      <c r="D395">
        <v>0</v>
      </c>
      <c r="E395">
        <v>0.0092300000000000004</v>
      </c>
      <c r="H395">
        <v>2</v>
      </c>
      <c r="I395">
        <v>400000</v>
      </c>
      <c r="J395" t="s">
        <v>79</v>
      </c>
      <c r="K395">
        <v>16</v>
      </c>
      <c r="L395">
        <v>4</v>
      </c>
      <c r="M395">
        <v>4</v>
      </c>
      <c r="O395">
        <v>0.0030000000000000001</v>
      </c>
      <c r="Q395">
        <v>0</v>
      </c>
      <c r="R395">
        <v>0</v>
      </c>
      <c r="S395">
        <v>0.018460000000000001</v>
      </c>
      <c r="T395">
        <v>5388785</v>
      </c>
    </row>
    <row r="396" spans="1:24" ht="12.75">
      <c r="A396" s="2" t="str">
        <f>HYPERLINK("https://ibp.a2mac1.com/costing(costing:projects/details/8191/component/5319785)","Screw &gt; Torx socket head cap screw")</f>
        <v>Screw &gt; Torx socket head cap screw</v>
      </c>
      <c r="B396">
        <v>5319785</v>
      </c>
      <c r="D396">
        <v>0</v>
      </c>
      <c r="E396">
        <v>0.0092300000000000004</v>
      </c>
      <c r="H396">
        <v>1</v>
      </c>
      <c r="I396">
        <v>200000</v>
      </c>
      <c r="J396" t="s">
        <v>79</v>
      </c>
      <c r="K396">
        <v>16</v>
      </c>
      <c r="L396">
        <v>4</v>
      </c>
      <c r="M396">
        <v>4</v>
      </c>
      <c r="O396">
        <v>0.002</v>
      </c>
      <c r="Q396">
        <v>0</v>
      </c>
      <c r="R396">
        <v>0</v>
      </c>
      <c r="S396">
        <v>0.0092300000000000004</v>
      </c>
      <c r="T396">
        <v>5388785</v>
      </c>
    </row>
    <row r="397" spans="1:24" ht="12.75">
      <c r="A397" s="2" t="str">
        <f>HYPERLINK("https://ibp.a2mac1.com/costing(costing:projects/details/8191/component/5319786)","Screw &gt; Torx socket head cap screw")</f>
        <v>Screw &gt; Torx socket head cap screw</v>
      </c>
      <c r="B397">
        <v>5319786</v>
      </c>
      <c r="D397">
        <v>0</v>
      </c>
      <c r="E397">
        <v>0.0092300000000000004</v>
      </c>
      <c r="H397">
        <v>2</v>
      </c>
      <c r="I397">
        <v>400000</v>
      </c>
      <c r="J397" t="s">
        <v>79</v>
      </c>
      <c r="K397">
        <v>12</v>
      </c>
      <c r="L397">
        <v>4</v>
      </c>
      <c r="M397">
        <v>4</v>
      </c>
      <c r="O397">
        <v>0.0015</v>
      </c>
      <c r="Q397">
        <v>0</v>
      </c>
      <c r="R397">
        <v>0</v>
      </c>
      <c r="S397">
        <v>0.018460000000000001</v>
      </c>
      <c r="T397">
        <v>5388785</v>
      </c>
    </row>
    <row r="398" spans="1:24" ht="12.75">
      <c r="A398" s="2" t="str">
        <f>HYPERLINK("https://ibp.a2mac1.com/costing(costing:projects/details/8191/component/5319787)","Screw &gt; Torx socket head cap screw")</f>
        <v>Screw &gt; Torx socket head cap screw</v>
      </c>
      <c r="B398">
        <v>5319787</v>
      </c>
      <c r="D398">
        <v>0</v>
      </c>
      <c r="E398">
        <v>0.0092300000000000004</v>
      </c>
      <c r="H398">
        <v>4</v>
      </c>
      <c r="I398">
        <v>800000</v>
      </c>
      <c r="J398" t="s">
        <v>79</v>
      </c>
      <c r="K398">
        <v>16</v>
      </c>
      <c r="L398">
        <v>3</v>
      </c>
      <c r="M398">
        <v>3</v>
      </c>
      <c r="O398">
        <v>0.00080000000000000004</v>
      </c>
      <c r="Q398">
        <v>0</v>
      </c>
      <c r="R398">
        <v>0</v>
      </c>
      <c r="S398">
        <v>0.036920000000000001</v>
      </c>
      <c r="T398">
        <v>5388785</v>
      </c>
    </row>
    <row r="399" spans="1:24" ht="12.75">
      <c r="A399" s="2" t="str">
        <f>HYPERLINK("https://ibp.a2mac1.com/costing(costing:projects/details/8191/component/5319561)","Panel holder &gt; Clips for panel side")</f>
        <v>Panel holder &gt; Clips for panel side</v>
      </c>
      <c r="B399">
        <v>5319561</v>
      </c>
      <c r="D399">
        <v>0</v>
      </c>
      <c r="E399">
        <v>0.0092300000000000004</v>
      </c>
      <c r="H399">
        <v>4</v>
      </c>
      <c r="I399">
        <v>800000</v>
      </c>
      <c r="J399" t="s">
        <v>79</v>
      </c>
      <c r="L399">
        <v>9</v>
      </c>
      <c r="M399">
        <v>13</v>
      </c>
      <c r="O399">
        <v>0.001</v>
      </c>
      <c r="Q399">
        <v>0</v>
      </c>
      <c r="R399">
        <v>0</v>
      </c>
      <c r="S399">
        <v>0.036920000000000001</v>
      </c>
      <c r="T399">
        <v>5388399</v>
      </c>
    </row>
    <row r="400" spans="1:24" ht="12.75">
      <c r="A400" s="2" t="str">
        <f>HYPERLINK("https://ibp.a2mac1.com/costing(costing:projects/details/8191/component/5319457)","Screw &gt; Torx socket head cap screw with flange")</f>
        <v>Screw &gt; Torx socket head cap screw with flange</v>
      </c>
      <c r="B400">
        <v>5319457</v>
      </c>
      <c r="D400">
        <v>0</v>
      </c>
      <c r="E400">
        <v>0.0092300000000000004</v>
      </c>
      <c r="H400">
        <v>2</v>
      </c>
      <c r="I400">
        <v>400000</v>
      </c>
      <c r="J400" t="s">
        <v>79</v>
      </c>
      <c r="K400">
        <v>34</v>
      </c>
      <c r="L400">
        <v>8</v>
      </c>
      <c r="M400">
        <v>10</v>
      </c>
      <c r="O400">
        <v>0.028000000000000001</v>
      </c>
      <c r="Q400">
        <v>0</v>
      </c>
      <c r="R400">
        <v>0</v>
      </c>
      <c r="S400">
        <v>0.018460000000000001</v>
      </c>
      <c r="T400">
        <v>5388183</v>
      </c>
    </row>
    <row r="401" spans="1:24" ht="12.75">
      <c r="A401" s="2" t="str">
        <f>HYPERLINK("https://ibp.a2mac1.com/costing(costing:projects/details/8191/component/5319458)","Hole plug &gt; Round hole")</f>
        <v>Hole plug &gt; Round hole</v>
      </c>
      <c r="B401">
        <v>5319458</v>
      </c>
      <c r="D401">
        <v>0</v>
      </c>
      <c r="E401">
        <v>0.0092300000000000004</v>
      </c>
      <c r="H401">
        <v>1</v>
      </c>
      <c r="I401">
        <v>200000</v>
      </c>
      <c r="J401" t="s">
        <v>79</v>
      </c>
      <c r="K401">
        <v>9</v>
      </c>
      <c r="M401">
        <v>11</v>
      </c>
      <c r="O401">
        <v>0.001</v>
      </c>
      <c r="Q401">
        <v>0</v>
      </c>
      <c r="R401">
        <v>0</v>
      </c>
      <c r="S401">
        <v>0.0092300000000000004</v>
      </c>
      <c r="T401">
        <v>5388183</v>
      </c>
    </row>
    <row r="402" spans="1:24" ht="12.75">
      <c r="A402" s="2" t="str">
        <f>HYPERLINK("https://ibp.a2mac1.com/costing(costing:projects/details/8191/component/5319562)","Screw &gt; Torx socket head cap screw")</f>
        <v>Screw &gt; Torx socket head cap screw</v>
      </c>
      <c r="B402">
        <v>5319562</v>
      </c>
      <c r="D402">
        <v>0</v>
      </c>
      <c r="E402">
        <v>0</v>
      </c>
      <c r="H402">
        <v>2</v>
      </c>
      <c r="I402">
        <v>400000</v>
      </c>
      <c r="J402" t="s">
        <v>79</v>
      </c>
      <c r="K402">
        <v>18</v>
      </c>
      <c r="L402">
        <v>4</v>
      </c>
      <c r="M402">
        <v>6</v>
      </c>
      <c r="O402">
        <v>0.0064999999999999997</v>
      </c>
      <c r="Q402">
        <v>0</v>
      </c>
      <c r="R402">
        <v>0</v>
      </c>
      <c r="S402">
        <v>0</v>
      </c>
      <c r="T402">
        <v>5388411</v>
      </c>
    </row>
    <row r="403" spans="1:24" ht="12.75">
      <c r="A403" s="2" t="str">
        <f>HYPERLINK("https://ibp.a2mac1.com/costing(costing:projects/details/8191/component/5319459)","Panel holder &gt; Clips in round hole")</f>
        <v>Panel holder &gt; Clips in round hole</v>
      </c>
      <c r="B403">
        <v>5319459</v>
      </c>
      <c r="D403">
        <v>0</v>
      </c>
      <c r="E403">
        <v>0</v>
      </c>
      <c r="H403">
        <v>3</v>
      </c>
      <c r="I403">
        <v>600000</v>
      </c>
      <c r="J403" t="s">
        <v>79</v>
      </c>
      <c r="K403">
        <v>8</v>
      </c>
      <c r="L403">
        <v>20</v>
      </c>
      <c r="M403">
        <v>3</v>
      </c>
      <c r="O403">
        <v>0.002</v>
      </c>
      <c r="Q403">
        <v>0</v>
      </c>
      <c r="R403">
        <v>0</v>
      </c>
      <c r="S403">
        <v>0</v>
      </c>
      <c r="T403">
        <v>5388186</v>
      </c>
    </row>
    <row r="404" spans="1:24" ht="12.75">
      <c r="A404" s="2" t="str">
        <f>HYPERLINK("https://ibp.a2mac1.com/costing(costing:projects/details/8191/component/5319460)","Other fastener &gt; Snap Tooling")</f>
        <v>Other fastener &gt; Snap Tooling</v>
      </c>
      <c r="B404">
        <v>5319460</v>
      </c>
      <c r="D404">
        <v>0</v>
      </c>
      <c r="E404">
        <v>0</v>
      </c>
      <c r="H404">
        <v>30</v>
      </c>
      <c r="I404">
        <v>6000000</v>
      </c>
      <c r="J404" t="s">
        <v>79</v>
      </c>
      <c r="O404">
        <v>0</v>
      </c>
      <c r="Q404">
        <v>0</v>
      </c>
      <c r="R404">
        <v>0</v>
      </c>
      <c r="S404">
        <v>0</v>
      </c>
      <c r="T404">
        <v>5388186</v>
      </c>
    </row>
    <row r="405" spans="1:24" ht="12.75">
      <c r="A405" s="2" t="str">
        <f>HYPERLINK("https://ibp.a2mac1.com/costing(costing:projects/details/8191/component/5319461)","Panel holder &gt; Clips for panel side")</f>
        <v>Panel holder &gt; Clips for panel side</v>
      </c>
      <c r="B405">
        <v>5319461</v>
      </c>
      <c r="D405">
        <v>0</v>
      </c>
      <c r="E405">
        <v>0</v>
      </c>
      <c r="H405">
        <v>4</v>
      </c>
      <c r="I405">
        <v>800000</v>
      </c>
      <c r="J405" t="s">
        <v>79</v>
      </c>
      <c r="L405">
        <v>9</v>
      </c>
      <c r="M405">
        <v>12</v>
      </c>
      <c r="O405">
        <v>0.001</v>
      </c>
      <c r="Q405">
        <v>0</v>
      </c>
      <c r="R405">
        <v>0</v>
      </c>
      <c r="S405">
        <v>0</v>
      </c>
      <c r="T405">
        <v>5388186</v>
      </c>
    </row>
    <row r="406" spans="1:24" ht="12.75">
      <c r="A406" s="2" t="str">
        <f>HYPERLINK("https://ibp.a2mac1.com/costing(costing:projects/details/8191/component/5319462)","Other fastener &gt; Snap Tooling")</f>
        <v>Other fastener &gt; Snap Tooling</v>
      </c>
      <c r="B406">
        <v>5319462</v>
      </c>
      <c r="D406">
        <v>0</v>
      </c>
      <c r="E406">
        <v>0</v>
      </c>
      <c r="H406">
        <v>17</v>
      </c>
      <c r="I406">
        <v>3400000</v>
      </c>
      <c r="J406" t="s">
        <v>79</v>
      </c>
      <c r="O406">
        <v>0.0001</v>
      </c>
      <c r="Q406">
        <v>0</v>
      </c>
      <c r="R406">
        <v>0</v>
      </c>
      <c r="S406">
        <v>0</v>
      </c>
      <c r="T406">
        <v>5388186</v>
      </c>
    </row>
    <row r="407" spans="1:24" ht="12.75">
      <c r="A407" s="2" t="str">
        <f>HYPERLINK("https://ibp.a2mac1.com/costing(costing:projects/details/8191/component/5319463)","Panel holder &gt; Clips in round hole")</f>
        <v>Panel holder &gt; Clips in round hole</v>
      </c>
      <c r="B407">
        <v>5319463</v>
      </c>
      <c r="D407">
        <v>0</v>
      </c>
      <c r="E407">
        <v>0</v>
      </c>
      <c r="H407">
        <v>1</v>
      </c>
      <c r="I407">
        <v>200000</v>
      </c>
      <c r="J407" t="s">
        <v>79</v>
      </c>
      <c r="K407">
        <v>8</v>
      </c>
      <c r="L407">
        <v>20</v>
      </c>
      <c r="M407">
        <v>3</v>
      </c>
      <c r="O407">
        <v>0.002</v>
      </c>
      <c r="Q407">
        <v>0</v>
      </c>
      <c r="R407">
        <v>0</v>
      </c>
      <c r="S407">
        <v>0</v>
      </c>
      <c r="T407">
        <v>5388186</v>
      </c>
    </row>
    <row r="408" spans="1:24" ht="12.75">
      <c r="A408" s="2" t="str">
        <f>HYPERLINK("https://ibp.a2mac1.com/costing(costing:projects/details/8191/component/5319795)","Pin clip &gt; Taper pin")</f>
        <v>Pin clip &gt; Taper pin</v>
      </c>
      <c r="B408">
        <v>5319795</v>
      </c>
      <c r="D408">
        <v>0</v>
      </c>
      <c r="E408">
        <v>0.0092300000000000004</v>
      </c>
      <c r="H408">
        <v>1</v>
      </c>
      <c r="I408">
        <v>200000</v>
      </c>
      <c r="J408" t="s">
        <v>79</v>
      </c>
      <c r="L408">
        <v>37</v>
      </c>
      <c r="M408">
        <v>7</v>
      </c>
      <c r="O408">
        <v>0.001</v>
      </c>
      <c r="Q408">
        <v>0</v>
      </c>
      <c r="R408">
        <v>0</v>
      </c>
      <c r="S408">
        <v>0.0092300000000000004</v>
      </c>
      <c r="T408">
        <v>5388797</v>
      </c>
    </row>
    <row r="409" spans="1:24" ht="12.75">
      <c r="A409" s="2" t="str">
        <f>HYPERLINK("https://ibp.a2mac1.com/costing(costing:projects/details/8191/component/5319796)","Other fastener &gt; Snap Tooling")</f>
        <v>Other fastener &gt; Snap Tooling</v>
      </c>
      <c r="B409">
        <v>5319796</v>
      </c>
      <c r="D409">
        <v>0</v>
      </c>
      <c r="E409">
        <v>0.0092300000000000004</v>
      </c>
      <c r="H409">
        <v>7</v>
      </c>
      <c r="I409">
        <v>1400000</v>
      </c>
      <c r="J409" t="s">
        <v>79</v>
      </c>
      <c r="O409">
        <v>0.0001</v>
      </c>
      <c r="Q409">
        <v>0</v>
      </c>
      <c r="R409">
        <v>0</v>
      </c>
      <c r="S409">
        <v>0.064610000000000001</v>
      </c>
      <c r="T409">
        <v>5388797</v>
      </c>
    </row>
    <row r="410" spans="1:24" ht="12.75">
      <c r="A410" s="2" t="str">
        <f>HYPERLINK("https://ibp.a2mac1.com/costing(costing:projects/details/8191/component/5319797)","Pin clip &gt; Taper pin")</f>
        <v>Pin clip &gt; Taper pin</v>
      </c>
      <c r="B410">
        <v>5319797</v>
      </c>
      <c r="D410">
        <v>0</v>
      </c>
      <c r="E410">
        <v>0.10</v>
      </c>
      <c r="H410">
        <v>1</v>
      </c>
      <c r="I410">
        <v>200000</v>
      </c>
      <c r="J410" t="s">
        <v>79</v>
      </c>
      <c r="L410">
        <v>126</v>
      </c>
      <c r="M410">
        <v>4</v>
      </c>
      <c r="O410">
        <v>0.012</v>
      </c>
      <c r="Q410">
        <v>0</v>
      </c>
      <c r="R410">
        <v>0</v>
      </c>
      <c r="S410">
        <v>0.10</v>
      </c>
      <c r="T410">
        <v>5388805</v>
      </c>
    </row>
    <row r="411" spans="1:24" ht="12.75">
      <c r="A411" s="2" t="str">
        <f>HYPERLINK("https://ibp.a2mac1.com/costing(costing:projects/details/8191/component/5319798)","Other fastener &gt; Attachment")</f>
        <v>Other fastener &gt; Attachment</v>
      </c>
      <c r="B411">
        <v>5319798</v>
      </c>
      <c r="D411">
        <v>0</v>
      </c>
      <c r="E411">
        <v>0.20</v>
      </c>
      <c r="H411">
        <v>1</v>
      </c>
      <c r="I411">
        <v>200000</v>
      </c>
      <c r="J411" t="s">
        <v>79</v>
      </c>
      <c r="K411">
        <v>19</v>
      </c>
      <c r="L411">
        <v>7</v>
      </c>
      <c r="M411">
        <v>124</v>
      </c>
      <c r="O411">
        <v>0.017000000000000001</v>
      </c>
      <c r="Q411">
        <v>0</v>
      </c>
      <c r="R411">
        <v>0</v>
      </c>
      <c r="S411">
        <v>0.20</v>
      </c>
      <c r="T411">
        <v>5388805</v>
      </c>
    </row>
    <row r="412" spans="1:24" ht="12.75">
      <c r="A412" s="2" t="str">
        <f>HYPERLINK("https://ibp.a2mac1.com/costing(costing:projects/details/8191/component/5319565)","Screw &gt; 12 point socket head cap screw")</f>
        <v>Screw &gt; 12 point socket head cap screw</v>
      </c>
      <c r="B412">
        <v>5319565</v>
      </c>
      <c r="D412">
        <v>0</v>
      </c>
      <c r="E412">
        <v>0.0092300000000000004</v>
      </c>
      <c r="H412">
        <v>2</v>
      </c>
      <c r="I412">
        <v>400000</v>
      </c>
      <c r="J412" t="s">
        <v>79</v>
      </c>
      <c r="K412">
        <v>15</v>
      </c>
      <c r="L412">
        <v>6</v>
      </c>
      <c r="M412">
        <v>8</v>
      </c>
      <c r="O412">
        <v>0.0094999999999999998</v>
      </c>
      <c r="Q412">
        <v>0</v>
      </c>
      <c r="R412">
        <v>0</v>
      </c>
      <c r="S412">
        <v>0.018460000000000001</v>
      </c>
      <c r="T412">
        <v>5388416</v>
      </c>
    </row>
    <row r="413" spans="1:24" ht="12.75">
      <c r="A413" s="2" t="str">
        <f>HYPERLINK("https://ibp.a2mac1.com/costing(costing:projects/details/8191/component/5319566)","Screw &gt; 12 point socket head cap screw")</f>
        <v>Screw &gt; 12 point socket head cap screw</v>
      </c>
      <c r="B413">
        <v>5319566</v>
      </c>
      <c r="D413">
        <v>0</v>
      </c>
      <c r="E413">
        <v>0.0092300000000000004</v>
      </c>
      <c r="H413">
        <v>2</v>
      </c>
      <c r="I413">
        <v>400000</v>
      </c>
      <c r="J413" t="s">
        <v>79</v>
      </c>
      <c r="K413">
        <v>18</v>
      </c>
      <c r="L413">
        <v>8</v>
      </c>
      <c r="M413">
        <v>8</v>
      </c>
      <c r="O413">
        <v>0.0089999999999999993</v>
      </c>
      <c r="Q413">
        <v>0</v>
      </c>
      <c r="R413">
        <v>0</v>
      </c>
      <c r="S413">
        <v>0.018460000000000001</v>
      </c>
      <c r="T413">
        <v>5388416</v>
      </c>
    </row>
    <row r="414" spans="1:24" ht="12.75">
      <c r="A414" s="2" t="str">
        <f>HYPERLINK("https://ibp.a2mac1.com/costing(costing:projects/details/8191/component/5319563)","Electronics")</f>
        <v>Electronics</v>
      </c>
      <c r="B414">
        <v>5319563</v>
      </c>
      <c r="D414">
        <v>0</v>
      </c>
      <c r="E414">
        <v>3.0450400000000002</v>
      </c>
      <c r="H414">
        <v>1</v>
      </c>
      <c r="I414">
        <v>200000</v>
      </c>
      <c r="J414" t="s">
        <v>136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573</v>
      </c>
      <c r="Q414">
        <v>0</v>
      </c>
      <c r="R414">
        <v>0</v>
      </c>
      <c r="S414">
        <v>2.8575407075614079</v>
      </c>
      <c r="U414">
        <v>5388412</v>
      </c>
    </row>
    <row r="415" spans="1:24" ht="12.75">
      <c r="A415" s="2" t="str">
        <f>HYPERLINK("https://ibp.a2mac1.com/costing(costing:projects/details/8191/component/5319564)","Mechanics")</f>
        <v>Mechanics</v>
      </c>
      <c r="B415">
        <v>5319564</v>
      </c>
      <c r="D415">
        <v>0</v>
      </c>
      <c r="E415">
        <v>1.5502</v>
      </c>
      <c r="H415">
        <v>1</v>
      </c>
      <c r="I415">
        <v>200000</v>
      </c>
      <c r="J415" t="s">
        <v>136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575</v>
      </c>
      <c r="Q415">
        <v>0</v>
      </c>
      <c r="R415">
        <v>0</v>
      </c>
      <c r="S415">
        <v>1.5222587725242172</v>
      </c>
      <c r="U415">
        <v>5388412</v>
      </c>
    </row>
    <row r="416" spans="1:24" ht="12.75">
      <c r="A416" s="2" t="str">
        <f>HYPERLINK("https://ibp.a2mac1.com/costing(costing:projects/details/8191/component/5319567)","Spacer/Axle &gt; Ring")</f>
        <v>Spacer/Axle &gt; Ring</v>
      </c>
      <c r="B416">
        <v>5319567</v>
      </c>
      <c r="D416">
        <v>0</v>
      </c>
      <c r="E416">
        <v>0.0092300000000000004</v>
      </c>
      <c r="H416">
        <v>1</v>
      </c>
      <c r="I416">
        <v>200000</v>
      </c>
      <c r="J416" t="s">
        <v>79</v>
      </c>
      <c r="L416">
        <v>14</v>
      </c>
      <c r="M416">
        <v>8</v>
      </c>
      <c r="O416">
        <v>0.001</v>
      </c>
      <c r="Q416">
        <v>0</v>
      </c>
      <c r="R416">
        <v>0</v>
      </c>
      <c r="S416">
        <v>0.0092300000000000004</v>
      </c>
      <c r="T416">
        <v>5388421</v>
      </c>
    </row>
    <row r="417" spans="1:24" ht="12.75">
      <c r="A417" s="2" t="str">
        <f>HYPERLINK("https://ibp.a2mac1.com/costing(costing:projects/details/8191/component/5319568)","Screw &gt; Torx socket head cap screw with captive washer")</f>
        <v>Screw &gt; Torx socket head cap screw with captive washer</v>
      </c>
      <c r="B417">
        <v>5319568</v>
      </c>
      <c r="D417">
        <v>0</v>
      </c>
      <c r="E417">
        <v>0.0092300000000000004</v>
      </c>
      <c r="H417">
        <v>1</v>
      </c>
      <c r="I417">
        <v>200000</v>
      </c>
      <c r="J417" t="s">
        <v>79</v>
      </c>
      <c r="K417">
        <v>15</v>
      </c>
      <c r="L417">
        <v>5</v>
      </c>
      <c r="M417">
        <v>6</v>
      </c>
      <c r="O417">
        <v>0.0080000000000000002</v>
      </c>
      <c r="Q417">
        <v>0</v>
      </c>
      <c r="R417">
        <v>0</v>
      </c>
      <c r="S417">
        <v>0.0092300000000000004</v>
      </c>
      <c r="T417">
        <v>5388421</v>
      </c>
    </row>
    <row r="418" spans="1:24" ht="12.75">
      <c r="A418" s="2" t="str">
        <f>HYPERLINK("https://ibp.a2mac1.com/costing(costing:projects/details/8191/component/5319569)","Panel holder &gt; Clips in rectangular hole")</f>
        <v>Panel holder &gt; Clips in rectangular hole</v>
      </c>
      <c r="B418">
        <v>5319569</v>
      </c>
      <c r="D418">
        <v>0</v>
      </c>
      <c r="E418">
        <v>0.0092300000000000004</v>
      </c>
      <c r="H418">
        <v>8</v>
      </c>
      <c r="I418">
        <v>1600000</v>
      </c>
      <c r="J418" t="s">
        <v>79</v>
      </c>
      <c r="K418">
        <v>2</v>
      </c>
      <c r="L418">
        <v>27</v>
      </c>
      <c r="M418">
        <v>14</v>
      </c>
      <c r="O418">
        <v>0.0044999999999999997</v>
      </c>
      <c r="Q418">
        <v>0</v>
      </c>
      <c r="R418">
        <v>0</v>
      </c>
      <c r="S418">
        <v>0.073840000000000003</v>
      </c>
      <c r="T418">
        <v>5388421</v>
      </c>
    </row>
    <row r="419" spans="1:24" ht="12.75">
      <c r="A419" s="2" t="str">
        <f>HYPERLINK("https://ibp.a2mac1.com/costing(costing:projects/details/8191/component/5319570)","Screw &gt; Torx socket head cap screw with flange")</f>
        <v>Screw &gt; Torx socket head cap screw with flange</v>
      </c>
      <c r="B419">
        <v>5319570</v>
      </c>
      <c r="D419">
        <v>0</v>
      </c>
      <c r="E419">
        <v>0.0092300000000000004</v>
      </c>
      <c r="H419">
        <v>3</v>
      </c>
      <c r="I419">
        <v>600000</v>
      </c>
      <c r="J419" t="s">
        <v>79</v>
      </c>
      <c r="K419">
        <v>22</v>
      </c>
      <c r="L419">
        <v>4</v>
      </c>
      <c r="M419">
        <v>5</v>
      </c>
      <c r="O419">
        <v>0.0033</v>
      </c>
      <c r="Q419">
        <v>0</v>
      </c>
      <c r="R419">
        <v>0</v>
      </c>
      <c r="S419">
        <v>0.027689999999999999</v>
      </c>
      <c r="T419">
        <v>5388421</v>
      </c>
    </row>
    <row r="420" spans="1:24" ht="12.75">
      <c r="A420" s="2" t="str">
        <f>HYPERLINK("https://ibp.a2mac1.com/costing(costing:projects/details/8191/component/5319807)","Screw &gt; Hexagon screw with flange")</f>
        <v>Screw &gt; Hexagon screw with flange</v>
      </c>
      <c r="B420">
        <v>5319807</v>
      </c>
      <c r="D420">
        <v>0</v>
      </c>
      <c r="E420">
        <v>0.0092300000000000004</v>
      </c>
      <c r="H420">
        <v>1</v>
      </c>
      <c r="I420">
        <v>200000</v>
      </c>
      <c r="J420" t="s">
        <v>79</v>
      </c>
      <c r="K420">
        <v>22</v>
      </c>
      <c r="L420">
        <v>13</v>
      </c>
      <c r="M420">
        <v>8</v>
      </c>
      <c r="O420">
        <v>0.017999999999999999</v>
      </c>
      <c r="Q420">
        <v>0</v>
      </c>
      <c r="R420">
        <v>0</v>
      </c>
      <c r="S420">
        <v>0.0092300000000000004</v>
      </c>
      <c r="T420">
        <v>5388811</v>
      </c>
    </row>
    <row r="421" spans="1:24" ht="12.75">
      <c r="A421" s="2" t="str">
        <f>HYPERLINK("https://ibp.a2mac1.com/costing(costing:projects/details/8191/component/5319808)","Screw &gt; Torx screw")</f>
        <v>Screw &gt; Torx screw</v>
      </c>
      <c r="B421">
        <v>5319808</v>
      </c>
      <c r="D421">
        <v>0</v>
      </c>
      <c r="E421">
        <v>0.0092300000000000004</v>
      </c>
      <c r="H421">
        <v>1</v>
      </c>
      <c r="I421">
        <v>200000</v>
      </c>
      <c r="J421" t="s">
        <v>79</v>
      </c>
      <c r="K421">
        <v>9</v>
      </c>
      <c r="L421">
        <v>7</v>
      </c>
      <c r="M421">
        <v>8</v>
      </c>
      <c r="O421">
        <v>0.0040000000000000001</v>
      </c>
      <c r="Q421">
        <v>0</v>
      </c>
      <c r="R421">
        <v>0</v>
      </c>
      <c r="S421">
        <v>0.0092300000000000004</v>
      </c>
      <c r="T421">
        <v>5388811</v>
      </c>
    </row>
    <row r="422" spans="1:24" ht="12.75">
      <c r="A422" s="2" t="str">
        <f>HYPERLINK("https://ibp.a2mac1.com/costing(costing:projects/details/8191/component/5319809)","Screw &gt; 12 point socket head cap screw with flange")</f>
        <v>Screw &gt; 12 point socket head cap screw with flange</v>
      </c>
      <c r="B422">
        <v>5319809</v>
      </c>
      <c r="D422">
        <v>0</v>
      </c>
      <c r="E422">
        <v>0.0092300000000000004</v>
      </c>
      <c r="H422">
        <v>1</v>
      </c>
      <c r="I422">
        <v>200000</v>
      </c>
      <c r="J422" t="s">
        <v>79</v>
      </c>
      <c r="K422">
        <v>25</v>
      </c>
      <c r="L422">
        <v>10</v>
      </c>
      <c r="M422">
        <v>8</v>
      </c>
      <c r="O422">
        <v>0.019</v>
      </c>
      <c r="Q422">
        <v>0</v>
      </c>
      <c r="R422">
        <v>0</v>
      </c>
      <c r="S422">
        <v>0.0092300000000000004</v>
      </c>
      <c r="T422">
        <v>5388814</v>
      </c>
    </row>
    <row r="423" spans="1:24" ht="12.75">
      <c r="A423" s="2" t="str">
        <f>HYPERLINK("https://ibp.a2mac1.com/costing(costing:projects/details/8191/component/5319810)","Screw &gt; Torx screw")</f>
        <v>Screw &gt; Torx screw</v>
      </c>
      <c r="B423">
        <v>5319810</v>
      </c>
      <c r="D423">
        <v>0</v>
      </c>
      <c r="E423">
        <v>0.0092300000000000004</v>
      </c>
      <c r="H423">
        <v>1</v>
      </c>
      <c r="I423">
        <v>200000</v>
      </c>
      <c r="J423" t="s">
        <v>79</v>
      </c>
      <c r="L423">
        <v>7</v>
      </c>
      <c r="O423">
        <v>0.0030000000000000001</v>
      </c>
      <c r="Q423">
        <v>0</v>
      </c>
      <c r="R423">
        <v>0</v>
      </c>
      <c r="S423">
        <v>0.0092300000000000004</v>
      </c>
      <c r="T423">
        <v>5388814</v>
      </c>
    </row>
    <row r="424" spans="1:24" ht="12.75">
      <c r="A424" s="2" t="str">
        <f>HYPERLINK("https://ibp.a2mac1.com/costing(costing:projects/details/8191/component/5319571)","Screw &gt; Torx socket head cap screw with captive washer")</f>
        <v>Screw &gt; Torx socket head cap screw with captive washer</v>
      </c>
      <c r="B424">
        <v>5319571</v>
      </c>
      <c r="D424">
        <v>0</v>
      </c>
      <c r="E424">
        <v>0.03</v>
      </c>
      <c r="H424">
        <v>1</v>
      </c>
      <c r="I424">
        <v>200000</v>
      </c>
      <c r="J424" t="s">
        <v>79</v>
      </c>
      <c r="K424">
        <v>24</v>
      </c>
      <c r="L424">
        <v>6</v>
      </c>
      <c r="M424">
        <v>8</v>
      </c>
      <c r="O424">
        <v>0.015</v>
      </c>
      <c r="Q424">
        <v>0</v>
      </c>
      <c r="R424">
        <v>0</v>
      </c>
      <c r="S424">
        <v>0.03</v>
      </c>
      <c r="T424">
        <v>5388438</v>
      </c>
    </row>
    <row r="425" spans="1:24" ht="12.75">
      <c r="A425" s="2" t="str">
        <f>HYPERLINK("https://ibp.a2mac1.com/costing(costing:projects/details/8191/component/5319572)","Electronics")</f>
        <v>Electronics</v>
      </c>
      <c r="B425">
        <v>5319572</v>
      </c>
      <c r="D425">
        <v>0</v>
      </c>
      <c r="E425">
        <v>5.0104800000000003</v>
      </c>
      <c r="H425">
        <v>1</v>
      </c>
      <c r="I425">
        <v>200000</v>
      </c>
      <c r="J425" t="s">
        <v>79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573</v>
      </c>
      <c r="Q425">
        <v>0</v>
      </c>
      <c r="R425">
        <v>0</v>
      </c>
      <c r="S425">
        <v>4.7019581235130845</v>
      </c>
      <c r="T425">
        <v>5388446</v>
      </c>
    </row>
    <row r="426" spans="1:24" ht="12.75">
      <c r="A426" s="2" t="str">
        <f>HYPERLINK("https://ibp.a2mac1.com/costing(costing:projects/details/8191/component/5319573)","Mechanics")</f>
        <v>Mechanics</v>
      </c>
      <c r="B426">
        <v>5319573</v>
      </c>
      <c r="D426">
        <v>0</v>
      </c>
      <c r="E426">
        <v>2.5190800000000002</v>
      </c>
      <c r="H426">
        <v>1</v>
      </c>
      <c r="I426">
        <v>200000</v>
      </c>
      <c r="J426" t="s">
        <v>79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575</v>
      </c>
      <c r="Q426">
        <v>0</v>
      </c>
      <c r="R426">
        <v>0</v>
      </c>
      <c r="S426">
        <v>2.4736754152304896</v>
      </c>
      <c r="T426">
        <v>5388446</v>
      </c>
    </row>
    <row r="427" spans="1:24" ht="12.75">
      <c r="A427" s="2" t="str">
        <f>HYPERLINK("https://ibp.a2mac1.com/costing(costing:projects/details/8191/component/5319574)","Tube/cluster support &gt; Tube/cluster beribboned support on board side")</f>
        <v>Tube/cluster support &gt; Tube/cluster beribboned support on board side</v>
      </c>
      <c r="B427">
        <v>5319574</v>
      </c>
      <c r="D427">
        <v>0</v>
      </c>
      <c r="E427">
        <v>0.0092300000000000004</v>
      </c>
      <c r="H427">
        <v>1</v>
      </c>
      <c r="I427">
        <v>200000</v>
      </c>
      <c r="J427" t="s">
        <v>79</v>
      </c>
      <c r="K427">
        <v>3</v>
      </c>
      <c r="L427">
        <v>10</v>
      </c>
      <c r="O427">
        <v>0.001</v>
      </c>
      <c r="Q427">
        <v>0</v>
      </c>
      <c r="R427">
        <v>0</v>
      </c>
      <c r="S427">
        <v>0.0092300000000000004</v>
      </c>
      <c r="T427">
        <v>5388447</v>
      </c>
    </row>
    <row r="428" spans="1:24" ht="12.75">
      <c r="A428" s="2" t="str">
        <f>HYPERLINK("https://ibp.a2mac1.com/costing(costing:projects/details/8191/component/5319575)","Tube/cluster support &gt; Tube/cluster beribboned support in hole")</f>
        <v>Tube/cluster support &gt; Tube/cluster beribboned support in hole</v>
      </c>
      <c r="B428">
        <v>5319575</v>
      </c>
      <c r="D428">
        <v>0</v>
      </c>
      <c r="E428">
        <v>0.0092300000000000004</v>
      </c>
      <c r="H428">
        <v>1</v>
      </c>
      <c r="I428">
        <v>200000</v>
      </c>
      <c r="J428" t="s">
        <v>79</v>
      </c>
      <c r="K428">
        <v>7</v>
      </c>
      <c r="L428">
        <v>11</v>
      </c>
      <c r="O428">
        <v>0.001</v>
      </c>
      <c r="Q428">
        <v>0</v>
      </c>
      <c r="R428">
        <v>0</v>
      </c>
      <c r="S428">
        <v>0.0092300000000000004</v>
      </c>
      <c r="T428">
        <v>5388447</v>
      </c>
    </row>
    <row r="429" spans="1:24" ht="12.75">
      <c r="A429" s="2" t="str">
        <f>HYPERLINK("https://ibp.a2mac1.com/costing(costing:projects/details/8191/component/5319576)","Panel holder &gt; Clips in round hole")</f>
        <v>Panel holder &gt; Clips in round hole</v>
      </c>
      <c r="B429">
        <v>5319576</v>
      </c>
      <c r="D429">
        <v>0</v>
      </c>
      <c r="E429">
        <v>0.0092300000000000004</v>
      </c>
      <c r="H429">
        <v>3</v>
      </c>
      <c r="I429">
        <v>600000</v>
      </c>
      <c r="J429" t="s">
        <v>79</v>
      </c>
      <c r="K429">
        <v>8</v>
      </c>
      <c r="L429">
        <v>16</v>
      </c>
      <c r="M429">
        <v>4</v>
      </c>
      <c r="O429">
        <v>0.0012999999999999999</v>
      </c>
      <c r="Q429">
        <v>0</v>
      </c>
      <c r="R429">
        <v>0</v>
      </c>
      <c r="S429">
        <v>0.027689999999999999</v>
      </c>
      <c r="T429">
        <v>5388450</v>
      </c>
    </row>
    <row r="430" spans="1:24" ht="12.75">
      <c r="A430" s="2" t="str">
        <f>HYPERLINK("https://ibp.a2mac1.com/costing(costing:projects/details/8191/component/5319577)","Rivet &gt; Screw rivet")</f>
        <v>Rivet &gt; Screw rivet</v>
      </c>
      <c r="B430">
        <v>5319577</v>
      </c>
      <c r="D430">
        <v>0</v>
      </c>
      <c r="E430">
        <v>0.0092300000000000004</v>
      </c>
      <c r="H430">
        <v>2</v>
      </c>
      <c r="I430">
        <v>400000</v>
      </c>
      <c r="J430" t="s">
        <v>79</v>
      </c>
      <c r="K430">
        <v>14</v>
      </c>
      <c r="L430">
        <v>11</v>
      </c>
      <c r="M430">
        <v>7</v>
      </c>
      <c r="O430">
        <v>0.001</v>
      </c>
      <c r="Q430">
        <v>0</v>
      </c>
      <c r="R430">
        <v>0</v>
      </c>
      <c r="S430">
        <v>0.018460000000000001</v>
      </c>
      <c r="T430">
        <v>5388450</v>
      </c>
    </row>
    <row r="431" spans="1:24" ht="12.75">
      <c r="A431" s="2" t="str">
        <f>HYPERLINK("https://ibp.a2mac1.com/costing(costing:projects/details/8191/component/5319464)","Screw &gt; Torx socket head cap screw with flange")</f>
        <v>Screw &gt; Torx socket head cap screw with flange</v>
      </c>
      <c r="B431">
        <v>5319464</v>
      </c>
      <c r="D431">
        <v>0</v>
      </c>
      <c r="E431">
        <v>0.0092300000000000004</v>
      </c>
      <c r="H431">
        <v>2</v>
      </c>
      <c r="I431">
        <v>400000</v>
      </c>
      <c r="J431" t="s">
        <v>79</v>
      </c>
      <c r="K431">
        <v>34</v>
      </c>
      <c r="L431">
        <v>8</v>
      </c>
      <c r="M431">
        <v>10</v>
      </c>
      <c r="O431">
        <v>0.0275</v>
      </c>
      <c r="Q431">
        <v>0</v>
      </c>
      <c r="R431">
        <v>0</v>
      </c>
      <c r="S431">
        <v>0.018460000000000001</v>
      </c>
      <c r="T431">
        <v>5388195</v>
      </c>
    </row>
    <row r="432" spans="1:24" ht="12.75">
      <c r="A432" s="2" t="str">
        <f>HYPERLINK("https://ibp.a2mac1.com/costing(costing:projects/details/8191/component/5319465)","Hole plug &gt; Round hole")</f>
        <v>Hole plug &gt; Round hole</v>
      </c>
      <c r="B432">
        <v>5319465</v>
      </c>
      <c r="D432">
        <v>0</v>
      </c>
      <c r="E432">
        <v>0.0092300000000000004</v>
      </c>
      <c r="H432">
        <v>3</v>
      </c>
      <c r="I432">
        <v>600000</v>
      </c>
      <c r="J432" t="s">
        <v>79</v>
      </c>
      <c r="K432">
        <v>6</v>
      </c>
      <c r="M432">
        <v>31</v>
      </c>
      <c r="O432">
        <v>0.0016999999999999999</v>
      </c>
      <c r="Q432">
        <v>0</v>
      </c>
      <c r="R432">
        <v>0</v>
      </c>
      <c r="S432">
        <v>0.027689999999999999</v>
      </c>
      <c r="T432">
        <v>5388195</v>
      </c>
    </row>
    <row r="433" spans="1:24" ht="12.75">
      <c r="A433" s="2" t="str">
        <f>HYPERLINK("https://ibp.a2mac1.com/costing(costing:projects/details/8191/component/5319578)","Screw &gt; 12 point socket head cap screw with flange")</f>
        <v>Screw &gt; 12 point socket head cap screw with flange</v>
      </c>
      <c r="B433">
        <v>5319578</v>
      </c>
      <c r="D433">
        <v>0</v>
      </c>
      <c r="E433">
        <v>0.018450000000000001</v>
      </c>
      <c r="H433">
        <v>4</v>
      </c>
      <c r="I433">
        <v>800000</v>
      </c>
      <c r="J433" t="s">
        <v>79</v>
      </c>
      <c r="K433">
        <v>22</v>
      </c>
      <c r="L433">
        <v>10</v>
      </c>
      <c r="M433">
        <v>8</v>
      </c>
      <c r="O433">
        <v>0.016</v>
      </c>
      <c r="Q433">
        <v>0</v>
      </c>
      <c r="R433">
        <v>0</v>
      </c>
      <c r="S433">
        <v>0.073800000000000004</v>
      </c>
      <c r="T433">
        <v>5388454</v>
      </c>
    </row>
    <row r="434" spans="1:24" ht="12.75">
      <c r="A434" s="2" t="str">
        <f>HYPERLINK("https://ibp.a2mac1.com/costing(costing:projects/details/8191/component/5319579)","Screw &gt; Torx socket head cap screw with captive washer")</f>
        <v>Screw &gt; Torx socket head cap screw with captive washer</v>
      </c>
      <c r="B434">
        <v>5319579</v>
      </c>
      <c r="D434">
        <v>0</v>
      </c>
      <c r="E434">
        <v>0.018450000000000001</v>
      </c>
      <c r="H434">
        <v>2</v>
      </c>
      <c r="I434">
        <v>400000</v>
      </c>
      <c r="J434" t="s">
        <v>79</v>
      </c>
      <c r="K434">
        <v>62</v>
      </c>
      <c r="L434">
        <v>5</v>
      </c>
      <c r="M434">
        <v>6</v>
      </c>
      <c r="O434">
        <v>0.014500000000000001</v>
      </c>
      <c r="Q434">
        <v>0</v>
      </c>
      <c r="R434">
        <v>0</v>
      </c>
      <c r="S434">
        <v>0.036900000000000002</v>
      </c>
      <c r="T434">
        <v>5388465</v>
      </c>
    </row>
    <row r="435" spans="1:24" ht="12.75">
      <c r="A435" s="2" t="str">
        <f>HYPERLINK("https://ibp.a2mac1.com/costing(costing:projects/details/8191/component/5319580)","Screw &gt; Torx socket head cap screw with captive washer")</f>
        <v>Screw &gt; Torx socket head cap screw with captive washer</v>
      </c>
      <c r="B435">
        <v>5319580</v>
      </c>
      <c r="D435">
        <v>0</v>
      </c>
      <c r="E435">
        <v>0.018450000000000001</v>
      </c>
      <c r="H435">
        <v>1</v>
      </c>
      <c r="I435">
        <v>200000</v>
      </c>
      <c r="J435" t="s">
        <v>79</v>
      </c>
      <c r="K435">
        <v>11</v>
      </c>
      <c r="L435">
        <v>4</v>
      </c>
      <c r="M435">
        <v>4</v>
      </c>
      <c r="O435">
        <v>0.001</v>
      </c>
      <c r="Q435">
        <v>0</v>
      </c>
      <c r="R435">
        <v>0</v>
      </c>
      <c r="S435">
        <v>0.018450000000000001</v>
      </c>
      <c r="T435">
        <v>5388465</v>
      </c>
    </row>
    <row r="436" spans="1:24" ht="12.75">
      <c r="A436" s="2" t="str">
        <f>HYPERLINK("https://ibp.a2mac1.com/costing(costing:projects/details/8191/component/5319584)","Nut &gt; Clipping nut for soft materials screw")</f>
        <v>Nut &gt; Clipping nut for soft materials screw</v>
      </c>
      <c r="B436">
        <v>5319584</v>
      </c>
      <c r="D436">
        <v>0</v>
      </c>
      <c r="E436">
        <v>0.018450000000000001</v>
      </c>
      <c r="H436">
        <v>1</v>
      </c>
      <c r="I436">
        <v>200000</v>
      </c>
      <c r="J436" t="s">
        <v>79</v>
      </c>
      <c r="K436">
        <v>17</v>
      </c>
      <c r="L436">
        <v>5</v>
      </c>
      <c r="M436">
        <v>8</v>
      </c>
      <c r="O436">
        <v>0.001</v>
      </c>
      <c r="Q436">
        <v>0</v>
      </c>
      <c r="R436">
        <v>0</v>
      </c>
      <c r="S436">
        <v>0.018450000000000001</v>
      </c>
      <c r="T436">
        <v>5388465</v>
      </c>
    </row>
    <row r="437" spans="1:24" ht="12.75">
      <c r="A437" s="2" t="str">
        <f>HYPERLINK("https://ibp.a2mac1.com/costing(costing:projects/details/8191/component/5319585)","Nut &gt; Hexagonal nut with collar")</f>
        <v>Nut &gt; Hexagonal nut with collar</v>
      </c>
      <c r="B437">
        <v>5319585</v>
      </c>
      <c r="D437">
        <v>0</v>
      </c>
      <c r="E437">
        <v>0.018450000000000001</v>
      </c>
      <c r="H437">
        <v>2</v>
      </c>
      <c r="I437">
        <v>400000</v>
      </c>
      <c r="J437" t="s">
        <v>79</v>
      </c>
      <c r="K437">
        <v>6</v>
      </c>
      <c r="L437">
        <v>10</v>
      </c>
      <c r="M437">
        <v>5</v>
      </c>
      <c r="O437">
        <v>0.0035000000000000001</v>
      </c>
      <c r="Q437">
        <v>0</v>
      </c>
      <c r="R437">
        <v>0</v>
      </c>
      <c r="S437">
        <v>0.036900000000000002</v>
      </c>
      <c r="T437">
        <v>5388465</v>
      </c>
    </row>
    <row r="438" spans="1:24" ht="12.75">
      <c r="A438" s="2" t="str">
        <f>HYPERLINK("https://ibp.a2mac1.com/costing(costing:projects/details/8191/component/5319586)","Other fastener &gt; Spring")</f>
        <v>Other fastener &gt; Spring</v>
      </c>
      <c r="B438">
        <v>5319586</v>
      </c>
      <c r="D438">
        <v>0</v>
      </c>
      <c r="E438">
        <v>0.018450000000000001</v>
      </c>
      <c r="H438">
        <v>2</v>
      </c>
      <c r="I438">
        <v>400000</v>
      </c>
      <c r="J438" t="s">
        <v>79</v>
      </c>
      <c r="K438">
        <v>1</v>
      </c>
      <c r="L438">
        <v>36</v>
      </c>
      <c r="M438">
        <v>11</v>
      </c>
      <c r="O438">
        <v>0.0025</v>
      </c>
      <c r="Q438">
        <v>0</v>
      </c>
      <c r="R438">
        <v>0</v>
      </c>
      <c r="S438">
        <v>0.036900000000000002</v>
      </c>
      <c r="T438">
        <v>5388465</v>
      </c>
    </row>
    <row r="439" spans="1:24" ht="12.75">
      <c r="A439" s="2" t="str">
        <f>HYPERLINK("https://ibp.a2mac1.com/costing(costing:projects/details/8191/component/5319587)","Screw &gt; Torx socket head cap screw with flange")</f>
        <v>Screw &gt; Torx socket head cap screw with flange</v>
      </c>
      <c r="B439">
        <v>5319587</v>
      </c>
      <c r="D439">
        <v>0</v>
      </c>
      <c r="E439">
        <v>0.0092300000000000004</v>
      </c>
      <c r="H439">
        <v>1</v>
      </c>
      <c r="I439">
        <v>200000</v>
      </c>
      <c r="J439" t="s">
        <v>79</v>
      </c>
      <c r="K439">
        <v>16</v>
      </c>
      <c r="L439">
        <v>4</v>
      </c>
      <c r="M439">
        <v>5</v>
      </c>
      <c r="O439">
        <v>0.0040000000000000001</v>
      </c>
      <c r="Q439">
        <v>0</v>
      </c>
      <c r="R439">
        <v>0</v>
      </c>
      <c r="S439">
        <v>0.0092300000000000004</v>
      </c>
      <c r="T439">
        <v>5388473</v>
      </c>
    </row>
    <row r="440" spans="1:24" ht="12.75">
      <c r="A440" s="2" t="str">
        <f>HYPERLINK("https://ibp.a2mac1.com/costing(costing:projects/details/8191/component/5319588)","Spacer/Axle &gt; Flange")</f>
        <v>Spacer/Axle &gt; Flange</v>
      </c>
      <c r="B440">
        <v>5319588</v>
      </c>
      <c r="D440">
        <v>0</v>
      </c>
      <c r="E440">
        <v>0.0092300000000000004</v>
      </c>
      <c r="H440">
        <v>1</v>
      </c>
      <c r="I440">
        <v>200000</v>
      </c>
      <c r="J440" t="s">
        <v>79</v>
      </c>
      <c r="K440">
        <v>21</v>
      </c>
      <c r="L440">
        <v>5</v>
      </c>
      <c r="M440">
        <v>14</v>
      </c>
      <c r="O440">
        <v>0.0030000000000000001</v>
      </c>
      <c r="Q440">
        <v>0</v>
      </c>
      <c r="R440">
        <v>0</v>
      </c>
      <c r="S440">
        <v>0.0092300000000000004</v>
      </c>
      <c r="T440">
        <v>5388473</v>
      </c>
    </row>
    <row r="441" spans="1:24" ht="12.75">
      <c r="A441" s="2" t="str">
        <f>HYPERLINK("https://ibp.a2mac1.com/costing(costing:projects/details/8191/component/5319466)","Nut &gt; Hexagonal nut with collar")</f>
        <v>Nut &gt; Hexagonal nut with collar</v>
      </c>
      <c r="B441">
        <v>5319466</v>
      </c>
      <c r="D441">
        <v>0</v>
      </c>
      <c r="E441">
        <v>0.018450000000000001</v>
      </c>
      <c r="H441">
        <v>4</v>
      </c>
      <c r="I441">
        <v>800000</v>
      </c>
      <c r="J441" t="s">
        <v>79</v>
      </c>
      <c r="K441">
        <v>8</v>
      </c>
      <c r="L441">
        <v>13</v>
      </c>
      <c r="M441">
        <v>7</v>
      </c>
      <c r="O441">
        <v>0.0091999999999999998</v>
      </c>
      <c r="Q441">
        <v>0</v>
      </c>
      <c r="R441">
        <v>0</v>
      </c>
      <c r="S441">
        <v>0.073800000000000004</v>
      </c>
      <c r="T441">
        <v>5388204</v>
      </c>
    </row>
    <row r="442" spans="1:24" ht="12.75">
      <c r="A442" s="2" t="str">
        <f>HYPERLINK("https://ibp.a2mac1.com/costing(costing:projects/details/8191/component/5319467)","Other fastener &gt; Grommet")</f>
        <v>Other fastener &gt; Grommet</v>
      </c>
      <c r="B442">
        <v>5319467</v>
      </c>
      <c r="D442">
        <v>0</v>
      </c>
      <c r="E442">
        <v>0.018450000000000001</v>
      </c>
      <c r="H442">
        <v>1</v>
      </c>
      <c r="I442">
        <v>200000</v>
      </c>
      <c r="J442" t="s">
        <v>79</v>
      </c>
      <c r="K442">
        <v>13</v>
      </c>
      <c r="L442">
        <v>25</v>
      </c>
      <c r="M442">
        <v>8</v>
      </c>
      <c r="O442">
        <v>0.0040000000000000001</v>
      </c>
      <c r="Q442">
        <v>0</v>
      </c>
      <c r="R442">
        <v>0</v>
      </c>
      <c r="S442">
        <v>0.018450000000000001</v>
      </c>
      <c r="T442">
        <v>5388204</v>
      </c>
    </row>
    <row r="443" spans="1:24" ht="12.75">
      <c r="A443" s="2" t="str">
        <f>HYPERLINK("https://ibp.a2mac1.com/costing(costing:projects/details/8191/component/5319468)","Hole plug &gt; Round hole")</f>
        <v>Hole plug &gt; Round hole</v>
      </c>
      <c r="B443">
        <v>5319468</v>
      </c>
      <c r="D443">
        <v>0</v>
      </c>
      <c r="E443">
        <v>0.018450000000000001</v>
      </c>
      <c r="H443">
        <v>1</v>
      </c>
      <c r="I443">
        <v>200000</v>
      </c>
      <c r="J443" t="s">
        <v>79</v>
      </c>
      <c r="K443">
        <v>9</v>
      </c>
      <c r="M443">
        <v>29</v>
      </c>
      <c r="O443">
        <v>0.001</v>
      </c>
      <c r="Q443">
        <v>0</v>
      </c>
      <c r="R443">
        <v>0</v>
      </c>
      <c r="S443">
        <v>0.018450000000000001</v>
      </c>
      <c r="T443">
        <v>5388204</v>
      </c>
    </row>
    <row r="444" spans="1:24" ht="12.75">
      <c r="A444" s="2" t="str">
        <f>HYPERLINK("https://ibp.a2mac1.com/costing(costing:projects/details/8191/component/5319593)","Screw &gt; Torx socket head cap screw with flange")</f>
        <v>Screw &gt; Torx socket head cap screw with flange</v>
      </c>
      <c r="B444">
        <v>5319593</v>
      </c>
      <c r="D444">
        <v>0</v>
      </c>
      <c r="E444">
        <v>0.018450000000000001</v>
      </c>
      <c r="H444">
        <v>2</v>
      </c>
      <c r="I444">
        <v>400000</v>
      </c>
      <c r="J444" t="s">
        <v>79</v>
      </c>
      <c r="K444">
        <v>16</v>
      </c>
      <c r="L444">
        <v>4</v>
      </c>
      <c r="M444">
        <v>4</v>
      </c>
      <c r="O444">
        <v>0.0025</v>
      </c>
      <c r="Q444">
        <v>0</v>
      </c>
      <c r="R444">
        <v>0</v>
      </c>
      <c r="S444">
        <v>0.036900000000000002</v>
      </c>
      <c r="T444">
        <v>5388484</v>
      </c>
    </row>
    <row r="445" spans="1:24" ht="12.75">
      <c r="A445" s="2" t="str">
        <f>HYPERLINK("https://ibp.a2mac1.com/costing(costing:projects/details/8191/component/5319594)","Panel holder &gt; Clips in rectangular hole")</f>
        <v>Panel holder &gt; Clips in rectangular hole</v>
      </c>
      <c r="B445">
        <v>5319594</v>
      </c>
      <c r="D445">
        <v>0</v>
      </c>
      <c r="E445">
        <v>0.018450000000000001</v>
      </c>
      <c r="H445">
        <v>11</v>
      </c>
      <c r="I445">
        <v>2200000</v>
      </c>
      <c r="J445" t="s">
        <v>79</v>
      </c>
      <c r="K445">
        <v>2</v>
      </c>
      <c r="L445">
        <v>19</v>
      </c>
      <c r="M445">
        <v>5</v>
      </c>
      <c r="O445">
        <v>0.00080000000000000004</v>
      </c>
      <c r="Q445">
        <v>0</v>
      </c>
      <c r="R445">
        <v>0</v>
      </c>
      <c r="S445">
        <v>0.20294999999999999</v>
      </c>
      <c r="T445">
        <v>5388484</v>
      </c>
    </row>
    <row r="446" spans="1:24" ht="12.75">
      <c r="A446" s="2" t="str">
        <f>HYPERLINK("https://ibp.a2mac1.com/costing(costing:projects/details/8191/component/5319595)","Panel holder &gt; Clips in rectangular hole")</f>
        <v>Panel holder &gt; Clips in rectangular hole</v>
      </c>
      <c r="B446">
        <v>5319595</v>
      </c>
      <c r="D446">
        <v>0</v>
      </c>
      <c r="E446">
        <v>0.018450000000000001</v>
      </c>
      <c r="H446">
        <v>2</v>
      </c>
      <c r="I446">
        <v>400000</v>
      </c>
      <c r="J446" t="s">
        <v>79</v>
      </c>
      <c r="K446">
        <v>2</v>
      </c>
      <c r="L446">
        <v>19</v>
      </c>
      <c r="M446">
        <v>5</v>
      </c>
      <c r="O446">
        <v>0.001</v>
      </c>
      <c r="Q446">
        <v>0</v>
      </c>
      <c r="R446">
        <v>0</v>
      </c>
      <c r="S446">
        <v>0.036900000000000002</v>
      </c>
      <c r="T446">
        <v>5388484</v>
      </c>
    </row>
    <row r="447" spans="1:24" ht="12.75">
      <c r="A447" s="2" t="str">
        <f>HYPERLINK("https://ibp.a2mac1.com/costing(costing:projects/details/8191/component/5319596)","Panel holder &gt; Clips in rectangular hole")</f>
        <v>Panel holder &gt; Clips in rectangular hole</v>
      </c>
      <c r="B447">
        <v>5319596</v>
      </c>
      <c r="D447">
        <v>0</v>
      </c>
      <c r="E447">
        <v>0.018450000000000001</v>
      </c>
      <c r="H447">
        <v>1</v>
      </c>
      <c r="I447">
        <v>200000</v>
      </c>
      <c r="J447" t="s">
        <v>79</v>
      </c>
      <c r="K447">
        <v>2</v>
      </c>
      <c r="L447">
        <v>22</v>
      </c>
      <c r="M447">
        <v>9</v>
      </c>
      <c r="O447">
        <v>0.001</v>
      </c>
      <c r="Q447">
        <v>0</v>
      </c>
      <c r="R447">
        <v>0</v>
      </c>
      <c r="S447">
        <v>0.018450000000000001</v>
      </c>
      <c r="T447">
        <v>5388484</v>
      </c>
    </row>
    <row r="448" spans="1:24" ht="12.75">
      <c r="A448" s="2" t="str">
        <f>HYPERLINK("https://ibp.a2mac1.com/costing(costing:projects/details/8191/component/5319597)","Nut &gt; Hexagonal nut with captive washer")</f>
        <v>Nut &gt; Hexagonal nut with captive washer</v>
      </c>
      <c r="B448">
        <v>5319597</v>
      </c>
      <c r="D448">
        <v>0</v>
      </c>
      <c r="E448">
        <v>0.018450000000000001</v>
      </c>
      <c r="H448">
        <v>2</v>
      </c>
      <c r="I448">
        <v>400000</v>
      </c>
      <c r="J448" t="s">
        <v>79</v>
      </c>
      <c r="K448">
        <v>10</v>
      </c>
      <c r="L448">
        <v>13</v>
      </c>
      <c r="M448">
        <v>8</v>
      </c>
      <c r="O448">
        <v>0.014</v>
      </c>
      <c r="Q448">
        <v>0</v>
      </c>
      <c r="R448">
        <v>0</v>
      </c>
      <c r="S448">
        <v>0.036900000000000002</v>
      </c>
      <c r="T448">
        <v>5388487</v>
      </c>
    </row>
    <row r="449" spans="1:24" ht="12.75">
      <c r="A449" s="2" t="str">
        <f>HYPERLINK("https://ibp.a2mac1.com/costing(costing:projects/details/8191/component/5319598)","Panel holder &gt; Clips in round hole")</f>
        <v>Panel holder &gt; Clips in round hole</v>
      </c>
      <c r="B449">
        <v>5319598</v>
      </c>
      <c r="D449">
        <v>0</v>
      </c>
      <c r="E449">
        <v>0.018450000000000001</v>
      </c>
      <c r="H449">
        <v>8</v>
      </c>
      <c r="I449">
        <v>1600000</v>
      </c>
      <c r="J449" t="s">
        <v>79</v>
      </c>
      <c r="K449">
        <v>5</v>
      </c>
      <c r="L449">
        <v>11</v>
      </c>
      <c r="M449">
        <v>6</v>
      </c>
      <c r="O449">
        <v>0.00040000000000000002</v>
      </c>
      <c r="Q449">
        <v>0</v>
      </c>
      <c r="R449">
        <v>0</v>
      </c>
      <c r="S449">
        <v>0.14760000000000001</v>
      </c>
      <c r="T449">
        <v>5388491</v>
      </c>
    </row>
    <row r="450" spans="1:24" ht="12.75">
      <c r="A450" s="2" t="str">
        <f>HYPERLINK("https://ibp.a2mac1.com/costing(costing:projects/details/8191/component/5319599)","Tube/cluster support &gt; Tube/cluster beribboned support in hole")</f>
        <v>Tube/cluster support &gt; Tube/cluster beribboned support in hole</v>
      </c>
      <c r="B450">
        <v>5319599</v>
      </c>
      <c r="D450">
        <v>0</v>
      </c>
      <c r="E450">
        <v>0.018450000000000001</v>
      </c>
      <c r="H450">
        <v>5</v>
      </c>
      <c r="I450">
        <v>1000000</v>
      </c>
      <c r="J450" t="s">
        <v>79</v>
      </c>
      <c r="K450">
        <v>6</v>
      </c>
      <c r="L450">
        <v>6</v>
      </c>
      <c r="O450">
        <v>0.00020000000000000001</v>
      </c>
      <c r="Q450">
        <v>0</v>
      </c>
      <c r="R450">
        <v>0</v>
      </c>
      <c r="S450">
        <v>0.092249999999999999</v>
      </c>
      <c r="T450">
        <v>5388495</v>
      </c>
    </row>
    <row r="451" spans="1:24" ht="12.75">
      <c r="A451" s="2" t="str">
        <f>HYPERLINK("https://ibp.a2mac1.com/costing(costing:projects/details/8191/component/5319851)","Screw &gt; Torx socket head cap screw with flange")</f>
        <v>Screw &gt; Torx socket head cap screw with flange</v>
      </c>
      <c r="B451">
        <v>5319851</v>
      </c>
      <c r="D451">
        <v>0</v>
      </c>
      <c r="E451">
        <v>0.10</v>
      </c>
      <c r="H451">
        <v>4</v>
      </c>
      <c r="I451">
        <v>800000</v>
      </c>
      <c r="J451" t="s">
        <v>79</v>
      </c>
      <c r="K451">
        <v>16</v>
      </c>
      <c r="L451">
        <v>4</v>
      </c>
      <c r="M451">
        <v>5</v>
      </c>
      <c r="O451">
        <v>0.0040000000000000001</v>
      </c>
      <c r="Q451">
        <v>0</v>
      </c>
      <c r="R451">
        <v>0</v>
      </c>
      <c r="S451">
        <v>0.40</v>
      </c>
      <c r="T451">
        <v>5388831</v>
      </c>
    </row>
    <row r="452" spans="1:24" ht="12.75">
      <c r="A452" s="2" t="str">
        <f>HYPERLINK("https://ibp.a2mac1.com/costing(costing:projects/details/8191/component/5319852)","Nut &gt; Hexagonal nut with collar")</f>
        <v>Nut &gt; Hexagonal nut with collar</v>
      </c>
      <c r="B452">
        <v>5319852</v>
      </c>
      <c r="D452">
        <v>0</v>
      </c>
      <c r="E452">
        <v>0.05</v>
      </c>
      <c r="H452">
        <v>2</v>
      </c>
      <c r="I452">
        <v>400000</v>
      </c>
      <c r="J452" t="s">
        <v>79</v>
      </c>
      <c r="K452">
        <v>8</v>
      </c>
      <c r="L452">
        <v>14</v>
      </c>
      <c r="M452">
        <v>8</v>
      </c>
      <c r="O452">
        <v>0.0070000000000000001</v>
      </c>
      <c r="Q452">
        <v>0</v>
      </c>
      <c r="R452">
        <v>0</v>
      </c>
      <c r="S452">
        <v>0.10</v>
      </c>
      <c r="T452">
        <v>5388834</v>
      </c>
    </row>
    <row r="453" spans="1:24" ht="12.75">
      <c r="A453" s="2" t="str">
        <f>HYPERLINK("https://ibp.a2mac1.com/costing(costing:projects/details/8191/component/5319853)","Nut &gt; Hexagonal nut with captive washer")</f>
        <v>Nut &gt; Hexagonal nut with captive washer</v>
      </c>
      <c r="B453">
        <v>5319853</v>
      </c>
      <c r="D453">
        <v>0</v>
      </c>
      <c r="E453">
        <v>0.05</v>
      </c>
      <c r="H453">
        <v>2</v>
      </c>
      <c r="I453">
        <v>400000</v>
      </c>
      <c r="J453" t="s">
        <v>79</v>
      </c>
      <c r="K453">
        <v>10</v>
      </c>
      <c r="L453">
        <v>13</v>
      </c>
      <c r="M453">
        <v>8</v>
      </c>
      <c r="O453">
        <v>0.014</v>
      </c>
      <c r="Q453">
        <v>0</v>
      </c>
      <c r="R453">
        <v>0</v>
      </c>
      <c r="S453">
        <v>0.10</v>
      </c>
      <c r="T453">
        <v>5388836</v>
      </c>
    </row>
    <row r="454" spans="1:24" ht="12.75">
      <c r="A454" s="2" t="str">
        <f>HYPERLINK("https://ibp.a2mac1.com/costing(costing:projects/details/8191/component/5319854)","Spacer/Axle &gt; Ring")</f>
        <v>Spacer/Axle &gt; Ring</v>
      </c>
      <c r="B454">
        <v>5319854</v>
      </c>
      <c r="D454">
        <v>0</v>
      </c>
      <c r="E454">
        <v>0.018450000000000001</v>
      </c>
      <c r="H454">
        <v>2</v>
      </c>
      <c r="I454">
        <v>400000</v>
      </c>
      <c r="J454" t="s">
        <v>79</v>
      </c>
      <c r="L454">
        <v>5</v>
      </c>
      <c r="M454">
        <v>9</v>
      </c>
      <c r="O454">
        <v>0.00050000000000000001</v>
      </c>
      <c r="Q454">
        <v>0</v>
      </c>
      <c r="R454">
        <v>0</v>
      </c>
      <c r="S454">
        <v>0.036900000000000002</v>
      </c>
      <c r="T454">
        <v>5388838</v>
      </c>
    </row>
    <row r="455" spans="1:24" ht="12.75">
      <c r="A455" s="2" t="str">
        <f>HYPERLINK("https://ibp.a2mac1.com/costing(costing:projects/details/8191/component/5319600)","Panel holder &gt; Clips in round hole")</f>
        <v>Panel holder &gt; Clips in round hole</v>
      </c>
      <c r="B455">
        <v>5319600</v>
      </c>
      <c r="D455">
        <v>0</v>
      </c>
      <c r="E455">
        <v>0.018450000000000001</v>
      </c>
      <c r="H455">
        <v>3</v>
      </c>
      <c r="I455">
        <v>600000</v>
      </c>
      <c r="J455" t="s">
        <v>79</v>
      </c>
      <c r="K455">
        <v>9</v>
      </c>
      <c r="L455">
        <v>15</v>
      </c>
      <c r="M455">
        <v>6</v>
      </c>
      <c r="O455">
        <v>0.0037000000000000002</v>
      </c>
      <c r="Q455">
        <v>0</v>
      </c>
      <c r="R455">
        <v>0</v>
      </c>
      <c r="S455">
        <v>0.055350000000000003</v>
      </c>
      <c r="T455">
        <v>5388502</v>
      </c>
    </row>
    <row r="456" spans="1:24" ht="12.75">
      <c r="A456" s="2" t="str">
        <f>HYPERLINK("https://ibp.a2mac1.com/costing(costing:projects/details/8191/component/5319601)","Pin clip &gt; Axle pin")</f>
        <v>Pin clip &gt; Axle pin</v>
      </c>
      <c r="B456">
        <v>5319601</v>
      </c>
      <c r="D456">
        <v>0</v>
      </c>
      <c r="E456">
        <v>0.018450000000000001</v>
      </c>
      <c r="H456">
        <v>2</v>
      </c>
      <c r="I456">
        <v>400000</v>
      </c>
      <c r="J456" t="s">
        <v>79</v>
      </c>
      <c r="K456">
        <v>17</v>
      </c>
      <c r="L456">
        <v>10</v>
      </c>
      <c r="M456">
        <v>19</v>
      </c>
      <c r="O456">
        <v>0.0015</v>
      </c>
      <c r="Q456">
        <v>0</v>
      </c>
      <c r="R456">
        <v>0</v>
      </c>
      <c r="S456">
        <v>0.036900000000000002</v>
      </c>
      <c r="T456">
        <v>5388506</v>
      </c>
    </row>
    <row r="457" spans="1:24" ht="12.75">
      <c r="A457" s="2" t="str">
        <f>HYPERLINK("https://ibp.a2mac1.com/costing(costing:projects/details/8191/component/5319602)","Screw &gt; 12 point socket head cap screw")</f>
        <v>Screw &gt; 12 point socket head cap screw</v>
      </c>
      <c r="B457">
        <v>5319602</v>
      </c>
      <c r="D457">
        <v>0</v>
      </c>
      <c r="E457">
        <v>0.018450000000000001</v>
      </c>
      <c r="H457">
        <v>4</v>
      </c>
      <c r="I457">
        <v>800000</v>
      </c>
      <c r="J457" t="s">
        <v>79</v>
      </c>
      <c r="K457">
        <v>28</v>
      </c>
      <c r="L457">
        <v>7</v>
      </c>
      <c r="M457">
        <v>8</v>
      </c>
      <c r="O457">
        <v>0.0155</v>
      </c>
      <c r="Q457">
        <v>0</v>
      </c>
      <c r="R457">
        <v>0</v>
      </c>
      <c r="S457">
        <v>0.073800000000000004</v>
      </c>
      <c r="T457">
        <v>5388506</v>
      </c>
    </row>
    <row r="458" spans="1:24" ht="12.75">
      <c r="A458" s="2" t="str">
        <f>HYPERLINK("https://ibp.a2mac1.com/costing(costing:projects/details/8191/component/5319603)","Spacer/Axle &gt; Anti-buckling bush")</f>
        <v>Spacer/Axle &gt; Anti-buckling bush</v>
      </c>
      <c r="B458">
        <v>5319603</v>
      </c>
      <c r="D458">
        <v>0</v>
      </c>
      <c r="E458">
        <v>0.018450000000000001</v>
      </c>
      <c r="H458">
        <v>2</v>
      </c>
      <c r="I458">
        <v>400000</v>
      </c>
      <c r="J458" t="s">
        <v>79</v>
      </c>
      <c r="K458">
        <v>9</v>
      </c>
      <c r="L458">
        <v>10</v>
      </c>
      <c r="M458">
        <v>21</v>
      </c>
      <c r="O458">
        <v>0.0040000000000000001</v>
      </c>
      <c r="Q458">
        <v>0</v>
      </c>
      <c r="R458">
        <v>0</v>
      </c>
      <c r="S458">
        <v>0.036900000000000002</v>
      </c>
      <c r="T458">
        <v>5388512</v>
      </c>
    </row>
    <row r="459" spans="1:24" ht="12.75">
      <c r="A459" s="2" t="str">
        <f>HYPERLINK("https://ibp.a2mac1.com/costing(costing:projects/details/8191/component/5319604)","Screw &gt; Torx socket head cap screw")</f>
        <v>Screw &gt; Torx socket head cap screw</v>
      </c>
      <c r="B459">
        <v>5319604</v>
      </c>
      <c r="D459">
        <v>0</v>
      </c>
      <c r="E459">
        <v>0.018450000000000001</v>
      </c>
      <c r="H459">
        <v>2</v>
      </c>
      <c r="I459">
        <v>400000</v>
      </c>
      <c r="J459" t="s">
        <v>79</v>
      </c>
      <c r="K459">
        <v>16</v>
      </c>
      <c r="L459">
        <v>5</v>
      </c>
      <c r="M459">
        <v>6</v>
      </c>
      <c r="O459">
        <v>0.0054999999999999997</v>
      </c>
      <c r="Q459">
        <v>0</v>
      </c>
      <c r="R459">
        <v>0</v>
      </c>
      <c r="S459">
        <v>0.036900000000000002</v>
      </c>
      <c r="T459">
        <v>5388514</v>
      </c>
    </row>
    <row r="460" spans="1:24" ht="12.75">
      <c r="A460" s="2" t="str">
        <f>HYPERLINK("https://ibp.a2mac1.com/costing(costing:projects/details/8191/component/5319605)","Panel holder &gt; Clips in rectangular hole")</f>
        <v>Panel holder &gt; Clips in rectangular hole</v>
      </c>
      <c r="B460">
        <v>5319605</v>
      </c>
      <c r="D460">
        <v>0</v>
      </c>
      <c r="E460">
        <v>0.018450000000000001</v>
      </c>
      <c r="H460">
        <v>6</v>
      </c>
      <c r="I460">
        <v>1200000</v>
      </c>
      <c r="J460" t="s">
        <v>79</v>
      </c>
      <c r="K460">
        <v>2</v>
      </c>
      <c r="L460">
        <v>28</v>
      </c>
      <c r="M460">
        <v>6</v>
      </c>
      <c r="O460">
        <v>0.00069999999999999999</v>
      </c>
      <c r="Q460">
        <v>0</v>
      </c>
      <c r="R460">
        <v>0</v>
      </c>
      <c r="S460">
        <v>0.11070000000000001</v>
      </c>
      <c r="T460">
        <v>5388517</v>
      </c>
    </row>
    <row r="461" spans="1:24" ht="12.75">
      <c r="A461" s="2" t="str">
        <f>HYPERLINK("https://ibp.a2mac1.com/costing(costing:projects/details/8191/component/5319469)","Screw &gt; Torx socket head cap screw with flange")</f>
        <v>Screw &gt; Torx socket head cap screw with flange</v>
      </c>
      <c r="B461">
        <v>5319469</v>
      </c>
      <c r="D461">
        <v>0</v>
      </c>
      <c r="E461">
        <v>0.03</v>
      </c>
      <c r="H461">
        <v>2</v>
      </c>
      <c r="I461">
        <v>400000</v>
      </c>
      <c r="J461" t="s">
        <v>79</v>
      </c>
      <c r="K461">
        <v>16</v>
      </c>
      <c r="L461">
        <v>4</v>
      </c>
      <c r="M461">
        <v>4</v>
      </c>
      <c r="O461">
        <v>0.0015</v>
      </c>
      <c r="Q461">
        <v>0</v>
      </c>
      <c r="R461">
        <v>0</v>
      </c>
      <c r="S461">
        <v>0.06</v>
      </c>
      <c r="T461">
        <v>5388226</v>
      </c>
    </row>
    <row r="462" spans="1:24" ht="12.75">
      <c r="A462" s="2" t="str">
        <f>HYPERLINK("https://ibp.a2mac1.com/costing(costing:projects/details/8191/component/5319470)","Screw &gt; Torx socket head cap screw with flange")</f>
        <v>Screw &gt; Torx socket head cap screw with flange</v>
      </c>
      <c r="B462">
        <v>5319470</v>
      </c>
      <c r="D462">
        <v>0</v>
      </c>
      <c r="E462">
        <v>0.03</v>
      </c>
      <c r="H462">
        <v>2</v>
      </c>
      <c r="I462">
        <v>400000</v>
      </c>
      <c r="J462" t="s">
        <v>79</v>
      </c>
      <c r="K462">
        <v>16</v>
      </c>
      <c r="L462">
        <v>4</v>
      </c>
      <c r="M462">
        <v>4</v>
      </c>
      <c r="O462">
        <v>0.0015</v>
      </c>
      <c r="Q462">
        <v>0</v>
      </c>
      <c r="R462">
        <v>0</v>
      </c>
      <c r="S462">
        <v>0.06</v>
      </c>
      <c r="T462">
        <v>5388226</v>
      </c>
    </row>
    <row r="463" spans="1:24" ht="12.75">
      <c r="A463" s="2" t="str">
        <f>HYPERLINK("https://ibp.a2mac1.com/costing(costing:projects/details/8191/component/5319471)","Spacer/Axle &gt; Axle")</f>
        <v>Spacer/Axle &gt; Axle</v>
      </c>
      <c r="B463">
        <v>5319471</v>
      </c>
      <c r="D463">
        <v>0</v>
      </c>
      <c r="E463">
        <v>0.02</v>
      </c>
      <c r="H463">
        <v>1</v>
      </c>
      <c r="I463">
        <v>200000</v>
      </c>
      <c r="J463" t="s">
        <v>79</v>
      </c>
      <c r="K463">
        <v>7</v>
      </c>
      <c r="L463">
        <v>71</v>
      </c>
      <c r="M463">
        <v>5</v>
      </c>
      <c r="O463">
        <v>0.002</v>
      </c>
      <c r="Q463">
        <v>0</v>
      </c>
      <c r="R463">
        <v>0</v>
      </c>
      <c r="S463">
        <v>0.02</v>
      </c>
      <c r="T463">
        <v>5388226</v>
      </c>
    </row>
    <row r="464" spans="1:24" ht="12.75">
      <c r="A464" s="2" t="str">
        <f>HYPERLINK("https://ibp.a2mac1.com/costing(costing:projects/details/8191/component/5319472)","Screw &gt; Torx screw")</f>
        <v>Screw &gt; Torx screw</v>
      </c>
      <c r="B464">
        <v>5319472</v>
      </c>
      <c r="D464">
        <v>0</v>
      </c>
      <c r="E464">
        <v>0.02</v>
      </c>
      <c r="H464">
        <v>4</v>
      </c>
      <c r="I464">
        <v>800000</v>
      </c>
      <c r="J464" t="s">
        <v>79</v>
      </c>
      <c r="K464">
        <v>25</v>
      </c>
      <c r="L464">
        <v>5</v>
      </c>
      <c r="M464">
        <v>6</v>
      </c>
      <c r="O464">
        <v>0.0070000000000000001</v>
      </c>
      <c r="Q464">
        <v>0</v>
      </c>
      <c r="R464">
        <v>0</v>
      </c>
      <c r="S464">
        <v>0.08</v>
      </c>
      <c r="T464">
        <v>5388226</v>
      </c>
    </row>
    <row r="465" spans="1:24" ht="12.75">
      <c r="A465" s="2" t="str">
        <f>HYPERLINK("https://ibp.a2mac1.com/costing(costing:projects/details/8191/component/5319473)","Screw &gt; Hexagon screw with flange")</f>
        <v>Screw &gt; Hexagon screw with flange</v>
      </c>
      <c r="B465">
        <v>5319473</v>
      </c>
      <c r="D465">
        <v>0</v>
      </c>
      <c r="E465">
        <v>0.03</v>
      </c>
      <c r="H465">
        <v>4</v>
      </c>
      <c r="I465">
        <v>800000</v>
      </c>
      <c r="J465" t="s">
        <v>79</v>
      </c>
      <c r="K465">
        <v>20</v>
      </c>
      <c r="L465">
        <v>5</v>
      </c>
      <c r="M465">
        <v>6</v>
      </c>
      <c r="O465">
        <v>0.0088000000000000005</v>
      </c>
      <c r="Q465">
        <v>0</v>
      </c>
      <c r="R465">
        <v>0</v>
      </c>
      <c r="S465">
        <v>0.12</v>
      </c>
      <c r="T465">
        <v>5388226</v>
      </c>
    </row>
    <row r="466" spans="1:24" ht="12.75">
      <c r="A466" s="2" t="str">
        <f>HYPERLINK("https://ibp.a2mac1.com/costing(costing:projects/details/8191/component/5319614)","Screw &gt; Torx socket head cap screw")</f>
        <v>Screw &gt; Torx socket head cap screw</v>
      </c>
      <c r="B466">
        <v>5319614</v>
      </c>
      <c r="D466">
        <v>0</v>
      </c>
      <c r="E466">
        <v>0.0092300000000000004</v>
      </c>
      <c r="H466">
        <v>2</v>
      </c>
      <c r="I466">
        <v>400000</v>
      </c>
      <c r="J466" t="s">
        <v>79</v>
      </c>
      <c r="K466">
        <v>18</v>
      </c>
      <c r="L466">
        <v>5</v>
      </c>
      <c r="M466">
        <v>6</v>
      </c>
      <c r="O466">
        <v>0.0064999999999999997</v>
      </c>
      <c r="Q466">
        <v>0</v>
      </c>
      <c r="R466">
        <v>0</v>
      </c>
      <c r="S466">
        <v>0.018460000000000001</v>
      </c>
      <c r="T466">
        <v>5388528</v>
      </c>
    </row>
    <row r="467" spans="1:24" ht="12.75">
      <c r="A467" s="2" t="str">
        <f>HYPERLINK("https://ibp.a2mac1.com/costing(costing:projects/details/8191/component/5319474)","Panel holder &gt; Clips in round hole")</f>
        <v>Panel holder &gt; Clips in round hole</v>
      </c>
      <c r="B467">
        <v>5319474</v>
      </c>
      <c r="D467">
        <v>0</v>
      </c>
      <c r="E467">
        <v>0.0092300000000000004</v>
      </c>
      <c r="H467">
        <v>4</v>
      </c>
      <c r="I467">
        <v>800000</v>
      </c>
      <c r="J467" t="s">
        <v>79</v>
      </c>
      <c r="K467">
        <v>8</v>
      </c>
      <c r="L467">
        <v>19</v>
      </c>
      <c r="M467">
        <v>5</v>
      </c>
      <c r="O467">
        <v>0.002</v>
      </c>
      <c r="Q467">
        <v>0</v>
      </c>
      <c r="R467">
        <v>0</v>
      </c>
      <c r="S467">
        <v>0.036920000000000001</v>
      </c>
      <c r="T467">
        <v>5388229</v>
      </c>
    </row>
    <row r="468" spans="1:24" ht="12.75">
      <c r="A468" s="2" t="str">
        <f>HYPERLINK("https://ibp.a2mac1.com/costing(costing:projects/details/8191/component/5319475)","Other fastener &gt; Snap Tooling")</f>
        <v>Other fastener &gt; Snap Tooling</v>
      </c>
      <c r="B468">
        <v>5319475</v>
      </c>
      <c r="D468">
        <v>0</v>
      </c>
      <c r="E468">
        <v>0.0092300000000000004</v>
      </c>
      <c r="H468">
        <v>34</v>
      </c>
      <c r="I468">
        <v>6800000</v>
      </c>
      <c r="J468" t="s">
        <v>79</v>
      </c>
      <c r="O468">
        <v>0.0001</v>
      </c>
      <c r="Q468">
        <v>0</v>
      </c>
      <c r="R468">
        <v>0</v>
      </c>
      <c r="S468">
        <v>0.31381999999999999</v>
      </c>
      <c r="T468">
        <v>5388229</v>
      </c>
    </row>
    <row r="469" spans="1:24" ht="12.75">
      <c r="A469" s="2" t="str">
        <f>HYPERLINK("https://ibp.a2mac1.com/costing(costing:projects/details/8191/component/5319476)","Other fastener &gt; Snap Tooling")</f>
        <v>Other fastener &gt; Snap Tooling</v>
      </c>
      <c r="B469">
        <v>5319476</v>
      </c>
      <c r="D469">
        <v>0</v>
      </c>
      <c r="E469">
        <v>0.0092300000000000004</v>
      </c>
      <c r="H469">
        <v>27</v>
      </c>
      <c r="I469">
        <v>5400000</v>
      </c>
      <c r="J469" t="s">
        <v>79</v>
      </c>
      <c r="O469">
        <v>0.0001</v>
      </c>
      <c r="Q469">
        <v>0</v>
      </c>
      <c r="R469">
        <v>0</v>
      </c>
      <c r="S469">
        <v>0.24920999999999999</v>
      </c>
      <c r="T469">
        <v>5388229</v>
      </c>
    </row>
    <row r="470" spans="1:24" ht="12.75">
      <c r="A470" s="2" t="str">
        <f>HYPERLINK("https://ibp.a2mac1.com/costing(costing:projects/details/8191/component/5319477)","Other fastener &gt; Snap Tooling")</f>
        <v>Other fastener &gt; Snap Tooling</v>
      </c>
      <c r="B470">
        <v>5319477</v>
      </c>
      <c r="D470">
        <v>0</v>
      </c>
      <c r="E470">
        <v>0.0092300000000000004</v>
      </c>
      <c r="H470">
        <v>33</v>
      </c>
      <c r="I470">
        <v>6600000</v>
      </c>
      <c r="J470" t="s">
        <v>79</v>
      </c>
      <c r="O470">
        <v>0.00020000000000000001</v>
      </c>
      <c r="Q470">
        <v>0</v>
      </c>
      <c r="R470">
        <v>0</v>
      </c>
      <c r="S470">
        <v>0.30459000000000003</v>
      </c>
      <c r="T470">
        <v>5388229</v>
      </c>
    </row>
    <row r="471" spans="1:24" ht="12.75">
      <c r="A471" s="2" t="str">
        <f>HYPERLINK("https://ibp.a2mac1.com/costing(costing:projects/details/8191/component/5319883)","Pin clip &gt; Dowel pin")</f>
        <v>Pin clip &gt; Dowel pin</v>
      </c>
      <c r="B471">
        <v>5319883</v>
      </c>
      <c r="D471">
        <v>0</v>
      </c>
      <c r="E471">
        <v>0.0092300000000000004</v>
      </c>
      <c r="H471">
        <v>1</v>
      </c>
      <c r="I471">
        <v>200000</v>
      </c>
      <c r="J471" t="s">
        <v>79</v>
      </c>
      <c r="L471">
        <v>35</v>
      </c>
      <c r="M471">
        <v>6</v>
      </c>
      <c r="O471">
        <v>0.001</v>
      </c>
      <c r="Q471">
        <v>0</v>
      </c>
      <c r="R471">
        <v>0</v>
      </c>
      <c r="S471">
        <v>0.0092300000000000004</v>
      </c>
      <c r="T471">
        <v>5388854</v>
      </c>
    </row>
    <row r="472" spans="1:24" ht="12.75">
      <c r="A472" s="2" t="str">
        <f>HYPERLINK("https://ibp.a2mac1.com/costing(costing:projects/details/8191/component/5319884)","Other fastener &gt; Snap Tooling")</f>
        <v>Other fastener &gt; Snap Tooling</v>
      </c>
      <c r="B472">
        <v>5319884</v>
      </c>
      <c r="D472">
        <v>0</v>
      </c>
      <c r="E472">
        <v>0.0092300000000000004</v>
      </c>
      <c r="H472">
        <v>11</v>
      </c>
      <c r="I472">
        <v>2200000</v>
      </c>
      <c r="J472" t="s">
        <v>79</v>
      </c>
      <c r="O472">
        <v>0.00020000000000000001</v>
      </c>
      <c r="Q472">
        <v>0</v>
      </c>
      <c r="R472">
        <v>0</v>
      </c>
      <c r="S472">
        <v>0.10153</v>
      </c>
      <c r="T472">
        <v>5388854</v>
      </c>
    </row>
    <row r="473" spans="1:24" ht="12.75">
      <c r="A473" s="2" t="str">
        <f>HYPERLINK("https://ibp.a2mac1.com/costing(costing:projects/details/8191/component/5319885)","Pin clip &gt; Dowel pin")</f>
        <v>Pin clip &gt; Dowel pin</v>
      </c>
      <c r="B473">
        <v>5319885</v>
      </c>
      <c r="D473">
        <v>0</v>
      </c>
      <c r="E473">
        <v>0.0092300000000000004</v>
      </c>
      <c r="H473">
        <v>1</v>
      </c>
      <c r="I473">
        <v>200000</v>
      </c>
      <c r="J473" t="s">
        <v>79</v>
      </c>
      <c r="L473">
        <v>126</v>
      </c>
      <c r="M473">
        <v>4</v>
      </c>
      <c r="O473">
        <v>0.012</v>
      </c>
      <c r="Q473">
        <v>0</v>
      </c>
      <c r="R473">
        <v>0</v>
      </c>
      <c r="S473">
        <v>0.0092300000000000004</v>
      </c>
      <c r="T473">
        <v>5388862</v>
      </c>
    </row>
    <row r="474" spans="1:24" ht="12.75">
      <c r="A474" s="2" t="str">
        <f>HYPERLINK("https://ibp.a2mac1.com/costing(costing:projects/details/8191/component/5319886)","Other fastener &gt; Attachment")</f>
        <v>Other fastener &gt; Attachment</v>
      </c>
      <c r="B474">
        <v>5319886</v>
      </c>
      <c r="D474">
        <v>0</v>
      </c>
      <c r="E474">
        <v>0.0092300000000000004</v>
      </c>
      <c r="H474">
        <v>1</v>
      </c>
      <c r="I474">
        <v>200000</v>
      </c>
      <c r="J474" t="s">
        <v>79</v>
      </c>
      <c r="K474">
        <v>7</v>
      </c>
      <c r="L474">
        <v>18</v>
      </c>
      <c r="M474">
        <v>128</v>
      </c>
      <c r="O474">
        <v>0.016</v>
      </c>
      <c r="Q474">
        <v>0</v>
      </c>
      <c r="R474">
        <v>0</v>
      </c>
      <c r="S474">
        <v>0.0092300000000000004</v>
      </c>
      <c r="T474">
        <v>5388862</v>
      </c>
    </row>
    <row r="475" spans="1:24" ht="12.75">
      <c r="A475" s="2" t="str">
        <f>HYPERLINK("https://ibp.a2mac1.com/costing(costing:projects/details/8191/component/5319617)","Screw &gt; 12 point socket head cap screw [2]")</f>
        <v>Screw &gt; 12 point socket head cap screw [2]</v>
      </c>
      <c r="B475">
        <v>5319617</v>
      </c>
      <c r="D475">
        <v>0</v>
      </c>
      <c r="E475">
        <v>0.0092300000000000004</v>
      </c>
      <c r="H475">
        <v>2</v>
      </c>
      <c r="I475">
        <v>400000</v>
      </c>
      <c r="J475" t="s">
        <v>79</v>
      </c>
      <c r="K475">
        <v>18</v>
      </c>
      <c r="L475">
        <v>8</v>
      </c>
      <c r="M475">
        <v>8</v>
      </c>
      <c r="O475">
        <v>0.0089999999999999993</v>
      </c>
      <c r="Q475">
        <v>0</v>
      </c>
      <c r="R475">
        <v>0</v>
      </c>
      <c r="S475">
        <v>0.018460000000000001</v>
      </c>
      <c r="T475">
        <v>5388537</v>
      </c>
    </row>
    <row r="476" spans="1:24" ht="12.75">
      <c r="A476" s="2" t="str">
        <f>HYPERLINK("https://ibp.a2mac1.com/costing(costing:projects/details/8191/component/5319618)","Screw &gt; Torx socket head cap screw")</f>
        <v>Screw &gt; Torx socket head cap screw</v>
      </c>
      <c r="B476">
        <v>5319618</v>
      </c>
      <c r="D476">
        <v>0</v>
      </c>
      <c r="E476">
        <v>0.0092300000000000004</v>
      </c>
      <c r="H476">
        <v>1</v>
      </c>
      <c r="I476">
        <v>200000</v>
      </c>
      <c r="J476" t="s">
        <v>79</v>
      </c>
      <c r="K476">
        <v>37</v>
      </c>
      <c r="L476">
        <v>5</v>
      </c>
      <c r="M476">
        <v>8</v>
      </c>
      <c r="O476">
        <v>0.016</v>
      </c>
      <c r="Q476">
        <v>0</v>
      </c>
      <c r="R476">
        <v>0</v>
      </c>
      <c r="S476">
        <v>0.0092300000000000004</v>
      </c>
      <c r="T476">
        <v>5388537</v>
      </c>
    </row>
    <row r="477" spans="1:24" ht="12.75">
      <c r="A477" s="2" t="str">
        <f>HYPERLINK("https://ibp.a2mac1.com/costing(costing:projects/details/8191/component/5319619)","Screw &gt; 12 point socket head cap screw")</f>
        <v>Screw &gt; 12 point socket head cap screw</v>
      </c>
      <c r="B477">
        <v>5319619</v>
      </c>
      <c r="D477">
        <v>0</v>
      </c>
      <c r="E477">
        <v>0.0092300000000000004</v>
      </c>
      <c r="H477">
        <v>2</v>
      </c>
      <c r="I477">
        <v>400000</v>
      </c>
      <c r="J477" t="s">
        <v>79</v>
      </c>
      <c r="K477">
        <v>16</v>
      </c>
      <c r="L477">
        <v>6</v>
      </c>
      <c r="M477">
        <v>7</v>
      </c>
      <c r="O477">
        <v>0.01</v>
      </c>
      <c r="Q477">
        <v>0</v>
      </c>
      <c r="R477">
        <v>0</v>
      </c>
      <c r="S477">
        <v>0.018460000000000001</v>
      </c>
      <c r="T477">
        <v>5388537</v>
      </c>
    </row>
    <row r="478" spans="1:24" ht="12.75">
      <c r="A478" s="2" t="str">
        <f>HYPERLINK("https://ibp.a2mac1.com/costing(costing:projects/details/8191/component/5319615)","Electronics")</f>
        <v>Electronics</v>
      </c>
      <c r="B478">
        <v>5319615</v>
      </c>
      <c r="D478">
        <v>0</v>
      </c>
      <c r="E478">
        <v>3.0450400000000002</v>
      </c>
      <c r="H478">
        <v>1</v>
      </c>
      <c r="I478">
        <v>200000</v>
      </c>
      <c r="J478" t="s">
        <v>136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573</v>
      </c>
      <c r="Q478">
        <v>0</v>
      </c>
      <c r="R478">
        <v>0</v>
      </c>
      <c r="S478">
        <v>2.8575407075614079</v>
      </c>
      <c r="U478">
        <v>5388529</v>
      </c>
    </row>
    <row r="479" spans="1:24" ht="12.75">
      <c r="A479" s="2" t="str">
        <f>HYPERLINK("https://ibp.a2mac1.com/costing(costing:projects/details/8191/component/5319616)","Mechanics")</f>
        <v>Mechanics</v>
      </c>
      <c r="B479">
        <v>5319616</v>
      </c>
      <c r="D479">
        <v>0</v>
      </c>
      <c r="E479">
        <v>1.5502</v>
      </c>
      <c r="H479">
        <v>1</v>
      </c>
      <c r="I479">
        <v>200000</v>
      </c>
      <c r="J479" t="s">
        <v>136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575</v>
      </c>
      <c r="Q479">
        <v>0</v>
      </c>
      <c r="R479">
        <v>0</v>
      </c>
      <c r="S479">
        <v>1.5222587725242172</v>
      </c>
      <c r="U479">
        <v>5388529</v>
      </c>
    </row>
    <row r="480" spans="1:24" ht="12.75">
      <c r="A480" s="2" t="str">
        <f>HYPERLINK("https://ibp.a2mac1.com/costing(costing:projects/details/8191/component/5319896)","Screw &gt; Hexagon screw with flange")</f>
        <v>Screw &gt; Hexagon screw with flange</v>
      </c>
      <c r="B480">
        <v>5319896</v>
      </c>
      <c r="D480">
        <v>0</v>
      </c>
      <c r="E480">
        <v>0.0092300000000000004</v>
      </c>
      <c r="H480">
        <v>1</v>
      </c>
      <c r="I480">
        <v>200000</v>
      </c>
      <c r="J480" t="s">
        <v>79</v>
      </c>
      <c r="K480">
        <v>22</v>
      </c>
      <c r="L480">
        <v>13</v>
      </c>
      <c r="M480">
        <v>8</v>
      </c>
      <c r="O480">
        <v>0.017999999999999999</v>
      </c>
      <c r="Q480">
        <v>0</v>
      </c>
      <c r="R480">
        <v>0</v>
      </c>
      <c r="S480">
        <v>0.0092300000000000004</v>
      </c>
      <c r="T480">
        <v>5388867</v>
      </c>
    </row>
    <row r="481" spans="1:24" ht="12.75">
      <c r="A481" s="2" t="str">
        <f>HYPERLINK("https://ibp.a2mac1.com/costing(costing:projects/details/8191/component/5319897)","Screw &gt; Torx socket head cap screw")</f>
        <v>Screw &gt; Torx socket head cap screw</v>
      </c>
      <c r="B481">
        <v>5319897</v>
      </c>
      <c r="D481">
        <v>0</v>
      </c>
      <c r="E481">
        <v>0.0092300000000000004</v>
      </c>
      <c r="H481">
        <v>1</v>
      </c>
      <c r="I481">
        <v>200000</v>
      </c>
      <c r="J481" t="s">
        <v>79</v>
      </c>
      <c r="K481">
        <v>6</v>
      </c>
      <c r="L481">
        <v>7</v>
      </c>
      <c r="M481">
        <v>8</v>
      </c>
      <c r="O481">
        <v>0.0040000000000000001</v>
      </c>
      <c r="Q481">
        <v>0</v>
      </c>
      <c r="R481">
        <v>0</v>
      </c>
      <c r="S481">
        <v>0.0092300000000000004</v>
      </c>
      <c r="T481">
        <v>5388867</v>
      </c>
    </row>
    <row r="482" spans="1:24" ht="12.75">
      <c r="A482" s="2" t="str">
        <f>HYPERLINK("https://ibp.a2mac1.com/costing(costing:projects/details/8191/component/5319898)","Screw &gt; 12 point flange screw with flange")</f>
        <v>Screw &gt; 12 point flange screw with flange</v>
      </c>
      <c r="B482">
        <v>5319898</v>
      </c>
      <c r="D482">
        <v>0</v>
      </c>
      <c r="E482">
        <v>0.0092300000000000004</v>
      </c>
      <c r="H482">
        <v>1</v>
      </c>
      <c r="I482">
        <v>200000</v>
      </c>
      <c r="J482" t="s">
        <v>79</v>
      </c>
      <c r="K482">
        <v>24</v>
      </c>
      <c r="L482">
        <v>10</v>
      </c>
      <c r="M482">
        <v>8</v>
      </c>
      <c r="O482">
        <v>0.017999999999999999</v>
      </c>
      <c r="Q482">
        <v>0</v>
      </c>
      <c r="R482">
        <v>0</v>
      </c>
      <c r="S482">
        <v>0.0092300000000000004</v>
      </c>
      <c r="T482">
        <v>5388870</v>
      </c>
    </row>
    <row r="483" spans="1:24" ht="12.75">
      <c r="A483" s="2" t="str">
        <f>HYPERLINK("https://ibp.a2mac1.com/costing(costing:projects/details/8191/component/5319899)","Screw &gt; Torx socket head cap screw")</f>
        <v>Screw &gt; Torx socket head cap screw</v>
      </c>
      <c r="B483">
        <v>5319899</v>
      </c>
      <c r="D483">
        <v>0</v>
      </c>
      <c r="E483">
        <v>0.0092300000000000004</v>
      </c>
      <c r="H483">
        <v>1</v>
      </c>
      <c r="I483">
        <v>200000</v>
      </c>
      <c r="J483" t="s">
        <v>79</v>
      </c>
      <c r="K483">
        <v>6</v>
      </c>
      <c r="L483">
        <v>7</v>
      </c>
      <c r="M483">
        <v>8</v>
      </c>
      <c r="O483">
        <v>0.0040000000000000001</v>
      </c>
      <c r="Q483">
        <v>0</v>
      </c>
      <c r="R483">
        <v>0</v>
      </c>
      <c r="S483">
        <v>0.0092300000000000004</v>
      </c>
      <c r="T483">
        <v>5388870</v>
      </c>
    </row>
    <row r="484" spans="1:24" ht="12.75">
      <c r="A484" s="2" t="str">
        <f>HYPERLINK("https://ibp.a2mac1.com/costing(costing:projects/details/8191/component/5319620)","Screw &gt; Torx socket head cap screw with flange")</f>
        <v>Screw &gt; Torx socket head cap screw with flange</v>
      </c>
      <c r="B484">
        <v>5319620</v>
      </c>
      <c r="D484">
        <v>0</v>
      </c>
      <c r="E484">
        <v>0.0092300000000000004</v>
      </c>
      <c r="H484">
        <v>2</v>
      </c>
      <c r="I484">
        <v>400000</v>
      </c>
      <c r="J484" t="s">
        <v>79</v>
      </c>
      <c r="K484">
        <v>11</v>
      </c>
      <c r="L484">
        <v>5</v>
      </c>
      <c r="M484">
        <v>6</v>
      </c>
      <c r="O484">
        <v>0.0054999999999999997</v>
      </c>
      <c r="Q484">
        <v>0</v>
      </c>
      <c r="R484">
        <v>0</v>
      </c>
      <c r="S484">
        <v>0.018460000000000001</v>
      </c>
      <c r="T484">
        <v>5388549</v>
      </c>
    </row>
    <row r="485" spans="1:24" ht="12.75">
      <c r="A485" s="2" t="str">
        <f>HYPERLINK("https://ibp.a2mac1.com/costing(costing:projects/details/8191/component/5319621)","Mechanics")</f>
        <v>Mechanics</v>
      </c>
      <c r="B485">
        <v>5319621</v>
      </c>
      <c r="D485">
        <v>0</v>
      </c>
      <c r="E485">
        <v>2.5375399999999999</v>
      </c>
      <c r="H485">
        <v>1</v>
      </c>
      <c r="I485">
        <v>200000</v>
      </c>
      <c r="J485" t="s">
        <v>79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575</v>
      </c>
      <c r="Q485">
        <v>0</v>
      </c>
      <c r="R485">
        <v>0</v>
      </c>
      <c r="S485">
        <v>2.491802687157207</v>
      </c>
      <c r="T485">
        <v>5388555</v>
      </c>
    </row>
    <row r="486" spans="1:24" ht="12.75">
      <c r="A486" s="2" t="str">
        <f>HYPERLINK("https://ibp.a2mac1.com/costing(costing:projects/details/8191/component/5319622)","Electronics")</f>
        <v>Electronics</v>
      </c>
      <c r="B486">
        <v>5319622</v>
      </c>
      <c r="D486">
        <v>0</v>
      </c>
      <c r="E486">
        <v>5.0104800000000003</v>
      </c>
      <c r="H486">
        <v>1</v>
      </c>
      <c r="I486">
        <v>200000</v>
      </c>
      <c r="J486" t="s">
        <v>79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573</v>
      </c>
      <c r="Q486">
        <v>0</v>
      </c>
      <c r="R486">
        <v>0</v>
      </c>
      <c r="S486">
        <v>4.7019581235130845</v>
      </c>
      <c r="T486">
        <v>5388555</v>
      </c>
    </row>
    <row r="487" spans="1:24" ht="12.75">
      <c r="A487" s="2" t="str">
        <f>HYPERLINK("https://ibp.a2mac1.com/costing(costing:projects/details/8191/component/5319623)","Tube/cluster support &gt; Tube/cluster beribboned support in hole")</f>
        <v>Tube/cluster support &gt; Tube/cluster beribboned support in hole</v>
      </c>
      <c r="B487">
        <v>5319623</v>
      </c>
      <c r="D487">
        <v>0</v>
      </c>
      <c r="E487">
        <v>0.0092300000000000004</v>
      </c>
      <c r="H487">
        <v>1</v>
      </c>
      <c r="I487">
        <v>200000</v>
      </c>
      <c r="J487" t="s">
        <v>79</v>
      </c>
      <c r="K487">
        <v>6</v>
      </c>
      <c r="L487">
        <v>10</v>
      </c>
      <c r="M487">
        <v>8</v>
      </c>
      <c r="O487">
        <v>0.001</v>
      </c>
      <c r="Q487">
        <v>0</v>
      </c>
      <c r="R487">
        <v>0</v>
      </c>
      <c r="S487">
        <v>0.0092300000000000004</v>
      </c>
      <c r="T487">
        <v>5388558</v>
      </c>
    </row>
    <row r="488" spans="1:24" ht="12.75">
      <c r="A488" s="2" t="str">
        <f>HYPERLINK("https://ibp.a2mac1.com/costing(costing:projects/details/8191/component/5319624)","Tube/cluster support &gt; Tube/cluster strap support between tube/cluster")</f>
        <v>Tube/cluster support &gt; Tube/cluster strap support between tube/cluster</v>
      </c>
      <c r="B488">
        <v>5319624</v>
      </c>
      <c r="D488">
        <v>0</v>
      </c>
      <c r="E488">
        <v>0.0092300000000000004</v>
      </c>
      <c r="H488">
        <v>2</v>
      </c>
      <c r="I488">
        <v>400000</v>
      </c>
      <c r="J488" t="s">
        <v>79</v>
      </c>
      <c r="L488">
        <v>4</v>
      </c>
      <c r="M488">
        <v>5</v>
      </c>
      <c r="O488">
        <v>0.001</v>
      </c>
      <c r="Q488">
        <v>0</v>
      </c>
      <c r="R488">
        <v>0</v>
      </c>
      <c r="S488">
        <v>0.018460000000000001</v>
      </c>
      <c r="T488">
        <v>5388558</v>
      </c>
    </row>
    <row r="489" spans="1:24" ht="12.75">
      <c r="A489" s="2" t="str">
        <f>HYPERLINK("https://ibp.a2mac1.com/costing(costing:projects/details/8191/component/5319625)","Panel holder &gt; Clips in round hole")</f>
        <v>Panel holder &gt; Clips in round hole</v>
      </c>
      <c r="B489">
        <v>5319625</v>
      </c>
      <c r="D489">
        <v>0</v>
      </c>
      <c r="E489">
        <v>0.0092300000000000004</v>
      </c>
      <c r="H489">
        <v>5</v>
      </c>
      <c r="I489">
        <v>1000000</v>
      </c>
      <c r="J489" t="s">
        <v>79</v>
      </c>
      <c r="K489">
        <v>9</v>
      </c>
      <c r="L489">
        <v>16</v>
      </c>
      <c r="M489">
        <v>9</v>
      </c>
      <c r="O489">
        <v>0.0014</v>
      </c>
      <c r="Q489">
        <v>0</v>
      </c>
      <c r="R489">
        <v>0</v>
      </c>
      <c r="S489">
        <v>0.046149999999999997</v>
      </c>
      <c r="T489">
        <v>5388563</v>
      </c>
    </row>
    <row r="490" spans="1:24" ht="12.75">
      <c r="A490" s="2" t="str">
        <f>HYPERLINK("https://ibp.a2mac1.com/costing(costing:projects/details/8191/component/5319628)","Rivet &gt; Screw rivet")</f>
        <v>Rivet &gt; Screw rivet</v>
      </c>
      <c r="B490">
        <v>5319628</v>
      </c>
      <c r="D490">
        <v>0</v>
      </c>
      <c r="E490">
        <v>0.0092300000000000004</v>
      </c>
      <c r="H490">
        <v>2</v>
      </c>
      <c r="I490">
        <v>400000</v>
      </c>
      <c r="J490" t="s">
        <v>79</v>
      </c>
      <c r="K490">
        <v>14</v>
      </c>
      <c r="L490">
        <v>9</v>
      </c>
      <c r="M490">
        <v>7</v>
      </c>
      <c r="O490">
        <v>0.001</v>
      </c>
      <c r="Q490">
        <v>0</v>
      </c>
      <c r="R490">
        <v>0</v>
      </c>
      <c r="S490">
        <v>0.018460000000000001</v>
      </c>
      <c r="T490">
        <v>5388563</v>
      </c>
    </row>
    <row r="491" spans="1:24" ht="12.75">
      <c r="A491" s="2" t="str">
        <f>HYPERLINK("https://ibp.a2mac1.com/costing(costing:projects/details/8191/component/5319905)","Screw &gt; 12 point socket head cap screw with flange")</f>
        <v>Screw &gt; 12 point socket head cap screw with flange</v>
      </c>
      <c r="B491">
        <v>5319905</v>
      </c>
      <c r="D491">
        <v>0</v>
      </c>
      <c r="E491">
        <v>0.0092300000000000004</v>
      </c>
      <c r="H491">
        <v>1</v>
      </c>
      <c r="I491">
        <v>200000</v>
      </c>
      <c r="J491" t="s">
        <v>79</v>
      </c>
      <c r="K491">
        <v>32</v>
      </c>
      <c r="L491">
        <v>10</v>
      </c>
      <c r="M491">
        <v>8</v>
      </c>
      <c r="O491">
        <v>0.021000000000000001</v>
      </c>
      <c r="Q491">
        <v>0</v>
      </c>
      <c r="R491">
        <v>0</v>
      </c>
      <c r="S491">
        <v>0.0092300000000000004</v>
      </c>
      <c r="T491">
        <v>5388893</v>
      </c>
    </row>
    <row r="492" spans="1:24" ht="12.75">
      <c r="A492" s="2" t="str">
        <f>HYPERLINK("https://ibp.a2mac1.com/costing(costing:projects/details/8191/component/5319906)","Screw &gt; Torx socket head cap screw")</f>
        <v>Screw &gt; Torx socket head cap screw</v>
      </c>
      <c r="B492">
        <v>5319906</v>
      </c>
      <c r="D492">
        <v>0</v>
      </c>
      <c r="E492">
        <v>0.0092300000000000004</v>
      </c>
      <c r="H492">
        <v>1</v>
      </c>
      <c r="I492">
        <v>200000</v>
      </c>
      <c r="J492" t="s">
        <v>79</v>
      </c>
      <c r="K492">
        <v>29</v>
      </c>
      <c r="L492">
        <v>3</v>
      </c>
      <c r="M492">
        <v>3</v>
      </c>
      <c r="O492">
        <v>0.002</v>
      </c>
      <c r="Q492">
        <v>0</v>
      </c>
      <c r="R492">
        <v>0</v>
      </c>
      <c r="S492">
        <v>0.0092300000000000004</v>
      </c>
      <c r="T492">
        <v>5388893</v>
      </c>
    </row>
    <row r="493" spans="1:24" ht="12.75">
      <c r="A493" s="2" t="str">
        <f>HYPERLINK("https://ibp.a2mac1.com/costing(costing:projects/details/8191/component/5319907)","Washer &gt; Plate washer")</f>
        <v>Washer &gt; Plate washer</v>
      </c>
      <c r="B493">
        <v>5319907</v>
      </c>
      <c r="D493">
        <v>0</v>
      </c>
      <c r="E493">
        <v>0.0092300000000000004</v>
      </c>
      <c r="H493">
        <v>1</v>
      </c>
      <c r="I493">
        <v>200000</v>
      </c>
      <c r="J493" t="s">
        <v>79</v>
      </c>
      <c r="K493">
        <v>17</v>
      </c>
      <c r="L493">
        <v>32</v>
      </c>
      <c r="M493">
        <v>18</v>
      </c>
      <c r="O493">
        <v>0.0040000000000000001</v>
      </c>
      <c r="Q493">
        <v>0</v>
      </c>
      <c r="R493">
        <v>0</v>
      </c>
      <c r="S493">
        <v>0.0092300000000000004</v>
      </c>
      <c r="T493">
        <v>5388893</v>
      </c>
    </row>
    <row r="494" spans="1:24" ht="12.75">
      <c r="A494" s="2" t="str">
        <f>HYPERLINK("https://ibp.a2mac1.com/costing(costing:projects/details/8191/component/5319908)","Tube/cluster support &gt; Tube/cluster strap support in hole")</f>
        <v>Tube/cluster support &gt; Tube/cluster strap support in hole</v>
      </c>
      <c r="B494">
        <v>5319908</v>
      </c>
      <c r="D494">
        <v>0</v>
      </c>
      <c r="E494">
        <v>0.0092300000000000004</v>
      </c>
      <c r="H494">
        <v>2</v>
      </c>
      <c r="I494">
        <v>400000</v>
      </c>
      <c r="J494" t="s">
        <v>79</v>
      </c>
      <c r="K494">
        <v>8</v>
      </c>
      <c r="L494">
        <v>8</v>
      </c>
      <c r="M494">
        <v>5</v>
      </c>
      <c r="O494">
        <v>0.00050000000000000001</v>
      </c>
      <c r="Q494">
        <v>0</v>
      </c>
      <c r="R494">
        <v>0</v>
      </c>
      <c r="S494">
        <v>0.018460000000000001</v>
      </c>
      <c r="T494">
        <v>5388893</v>
      </c>
    </row>
    <row r="495" spans="1:24" ht="12.75">
      <c r="A495" s="2" t="str">
        <f>HYPERLINK("https://ibp.a2mac1.com/costing(costing:projects/details/8191/component/5319909)","Screw &gt; Torx socket head cap screw")</f>
        <v>Screw &gt; Torx socket head cap screw</v>
      </c>
      <c r="B495">
        <v>5319909</v>
      </c>
      <c r="D495">
        <v>0</v>
      </c>
      <c r="E495">
        <v>0.0092300000000000004</v>
      </c>
      <c r="H495">
        <v>2</v>
      </c>
      <c r="I495">
        <v>400000</v>
      </c>
      <c r="J495" t="s">
        <v>79</v>
      </c>
      <c r="K495">
        <v>16</v>
      </c>
      <c r="L495">
        <v>4</v>
      </c>
      <c r="M495">
        <v>4</v>
      </c>
      <c r="O495">
        <v>0.002</v>
      </c>
      <c r="Q495">
        <v>0</v>
      </c>
      <c r="R495">
        <v>0</v>
      </c>
      <c r="S495">
        <v>0.018460000000000001</v>
      </c>
      <c r="T495">
        <v>5388893</v>
      </c>
    </row>
    <row r="496" spans="1:24" ht="12.75">
      <c r="A496" s="2" t="str">
        <f>HYPERLINK("https://ibp.a2mac1.com/costing(costing:projects/details/8191/component/5319910)","Screw &gt; Torx socket head cap screw")</f>
        <v>Screw &gt; Torx socket head cap screw</v>
      </c>
      <c r="B496">
        <v>5319910</v>
      </c>
      <c r="D496">
        <v>0</v>
      </c>
      <c r="E496">
        <v>0.0092300000000000004</v>
      </c>
      <c r="H496">
        <v>2</v>
      </c>
      <c r="I496">
        <v>400000</v>
      </c>
      <c r="J496" t="s">
        <v>79</v>
      </c>
      <c r="K496">
        <v>16</v>
      </c>
      <c r="L496">
        <v>4</v>
      </c>
      <c r="M496">
        <v>4</v>
      </c>
      <c r="O496">
        <v>0.0030000000000000001</v>
      </c>
      <c r="Q496">
        <v>0</v>
      </c>
      <c r="R496">
        <v>0</v>
      </c>
      <c r="S496">
        <v>0.018460000000000001</v>
      </c>
      <c r="T496">
        <v>5388893</v>
      </c>
    </row>
    <row r="497" spans="1:24" ht="12.75">
      <c r="A497" s="2" t="str">
        <f>HYPERLINK("https://ibp.a2mac1.com/costing(costing:projects/details/8191/component/5319911)","Screw &gt; Torx socket head cap screw")</f>
        <v>Screw &gt; Torx socket head cap screw</v>
      </c>
      <c r="B497">
        <v>5319911</v>
      </c>
      <c r="D497">
        <v>0</v>
      </c>
      <c r="E497">
        <v>0.0092300000000000004</v>
      </c>
      <c r="H497">
        <v>1</v>
      </c>
      <c r="I497">
        <v>200000</v>
      </c>
      <c r="J497" t="s">
        <v>79</v>
      </c>
      <c r="K497">
        <v>16</v>
      </c>
      <c r="L497">
        <v>4</v>
      </c>
      <c r="M497">
        <v>4</v>
      </c>
      <c r="O497">
        <v>0.002</v>
      </c>
      <c r="Q497">
        <v>0</v>
      </c>
      <c r="R497">
        <v>0</v>
      </c>
      <c r="S497">
        <v>0.0092300000000000004</v>
      </c>
      <c r="T497">
        <v>5388893</v>
      </c>
    </row>
    <row r="498" spans="1:24" ht="12.75">
      <c r="A498" s="2" t="str">
        <f>HYPERLINK("https://ibp.a2mac1.com/costing(costing:projects/details/8191/component/5319912)","Screw &gt; Torx socket head cap screw")</f>
        <v>Screw &gt; Torx socket head cap screw</v>
      </c>
      <c r="B498">
        <v>5319912</v>
      </c>
      <c r="D498">
        <v>0</v>
      </c>
      <c r="E498">
        <v>0.0092300000000000004</v>
      </c>
      <c r="H498">
        <v>2</v>
      </c>
      <c r="I498">
        <v>400000</v>
      </c>
      <c r="J498" t="s">
        <v>79</v>
      </c>
      <c r="K498">
        <v>12</v>
      </c>
      <c r="L498">
        <v>4</v>
      </c>
      <c r="M498">
        <v>4</v>
      </c>
      <c r="O498">
        <v>0.0015</v>
      </c>
      <c r="Q498">
        <v>0</v>
      </c>
      <c r="R498">
        <v>0</v>
      </c>
      <c r="S498">
        <v>0.018460000000000001</v>
      </c>
      <c r="T498">
        <v>5388893</v>
      </c>
    </row>
    <row r="499" spans="1:24" ht="12.75">
      <c r="A499" s="2" t="str">
        <f>HYPERLINK("https://ibp.a2mac1.com/costing(costing:projects/details/8191/component/5319913)","Screw &gt; Torx socket head cap screw")</f>
        <v>Screw &gt; Torx socket head cap screw</v>
      </c>
      <c r="B499">
        <v>5319913</v>
      </c>
      <c r="D499">
        <v>0</v>
      </c>
      <c r="E499">
        <v>0.0092300000000000004</v>
      </c>
      <c r="H499">
        <v>4</v>
      </c>
      <c r="I499">
        <v>800000</v>
      </c>
      <c r="J499" t="s">
        <v>79</v>
      </c>
      <c r="K499">
        <v>16</v>
      </c>
      <c r="L499">
        <v>3</v>
      </c>
      <c r="M499">
        <v>3</v>
      </c>
      <c r="O499">
        <v>0.00080000000000000004</v>
      </c>
      <c r="Q499">
        <v>0</v>
      </c>
      <c r="R499">
        <v>0</v>
      </c>
      <c r="S499">
        <v>0.036920000000000001</v>
      </c>
      <c r="T499">
        <v>5388893</v>
      </c>
    </row>
    <row r="500" spans="1:24" ht="12.75">
      <c r="A500" s="2" t="str">
        <f>HYPERLINK("https://ibp.a2mac1.com/costing(costing:projects/details/8191/component/5319629)","Panel holder &gt; Clips for panel side")</f>
        <v>Panel holder &gt; Clips for panel side</v>
      </c>
      <c r="B500">
        <v>5319629</v>
      </c>
      <c r="D500">
        <v>0</v>
      </c>
      <c r="E500">
        <v>0.0092300000000000004</v>
      </c>
      <c r="H500">
        <v>4</v>
      </c>
      <c r="I500">
        <v>800000</v>
      </c>
      <c r="J500" t="s">
        <v>79</v>
      </c>
      <c r="L500">
        <v>9</v>
      </c>
      <c r="M500">
        <v>13</v>
      </c>
      <c r="O500">
        <v>0.001</v>
      </c>
      <c r="Q500">
        <v>0</v>
      </c>
      <c r="R500">
        <v>0</v>
      </c>
      <c r="S500">
        <v>0.036920000000000001</v>
      </c>
      <c r="T500">
        <v>5388569</v>
      </c>
    </row>
    <row r="501" spans="1:24" ht="12.75">
      <c r="A501" s="2" t="str">
        <f>HYPERLINK("https://ibp.a2mac1.com/costing(costing:projects/details/8191/component/5319478)","Screw &gt; Torx socket head cap screw with flange")</f>
        <v>Screw &gt; Torx socket head cap screw with flange</v>
      </c>
      <c r="B501">
        <v>5319478</v>
      </c>
      <c r="D501">
        <v>0</v>
      </c>
      <c r="E501">
        <v>0.0092300000000000004</v>
      </c>
      <c r="H501">
        <v>2</v>
      </c>
      <c r="I501">
        <v>400000</v>
      </c>
      <c r="J501" t="s">
        <v>79</v>
      </c>
      <c r="K501">
        <v>34</v>
      </c>
      <c r="L501">
        <v>8</v>
      </c>
      <c r="M501">
        <v>10</v>
      </c>
      <c r="O501">
        <v>0.028000000000000001</v>
      </c>
      <c r="Q501">
        <v>0</v>
      </c>
      <c r="R501">
        <v>0</v>
      </c>
      <c r="S501">
        <v>0.018460000000000001</v>
      </c>
      <c r="T501">
        <v>5388239</v>
      </c>
    </row>
    <row r="502" spans="1:24" ht="12.75">
      <c r="A502" s="2" t="str">
        <f>HYPERLINK("https://ibp.a2mac1.com/costing(costing:projects/details/8191/component/5319479)","Hole plug &gt; Round hole")</f>
        <v>Hole plug &gt; Round hole</v>
      </c>
      <c r="B502">
        <v>5319479</v>
      </c>
      <c r="D502">
        <v>0</v>
      </c>
      <c r="E502">
        <v>0.0092300000000000004</v>
      </c>
      <c r="H502">
        <v>1</v>
      </c>
      <c r="I502">
        <v>200000</v>
      </c>
      <c r="J502" t="s">
        <v>79</v>
      </c>
      <c r="K502">
        <v>9</v>
      </c>
      <c r="M502">
        <v>11</v>
      </c>
      <c r="O502">
        <v>0.001</v>
      </c>
      <c r="Q502">
        <v>0</v>
      </c>
      <c r="R502">
        <v>0</v>
      </c>
      <c r="S502">
        <v>0.0092300000000000004</v>
      </c>
      <c r="T502">
        <v>5388239</v>
      </c>
    </row>
    <row r="503" spans="1:24" ht="12.75">
      <c r="A503" s="2" t="str">
        <f>HYPERLINK("https://ibp.a2mac1.com/costing(costing:projects/details/8191/component/5319630)","Screw &gt; Torx socket head cap screw")</f>
        <v>Screw &gt; Torx socket head cap screw</v>
      </c>
      <c r="B503">
        <v>5319630</v>
      </c>
      <c r="D503">
        <v>0</v>
      </c>
      <c r="E503">
        <v>0</v>
      </c>
      <c r="H503">
        <v>2</v>
      </c>
      <c r="I503">
        <v>400000</v>
      </c>
      <c r="J503" t="s">
        <v>79</v>
      </c>
      <c r="K503">
        <v>18</v>
      </c>
      <c r="L503">
        <v>4</v>
      </c>
      <c r="M503">
        <v>6</v>
      </c>
      <c r="O503">
        <v>0.0064999999999999997</v>
      </c>
      <c r="Q503">
        <v>0</v>
      </c>
      <c r="R503">
        <v>0</v>
      </c>
      <c r="S503">
        <v>0</v>
      </c>
      <c r="T503">
        <v>5388581</v>
      </c>
    </row>
    <row r="504" spans="1:24" ht="12.75">
      <c r="A504" s="2" t="str">
        <f>HYPERLINK("https://ibp.a2mac1.com/costing(costing:projects/details/8191/component/5319480)","Panel holder &gt; Clips in round hole")</f>
        <v>Panel holder &gt; Clips in round hole</v>
      </c>
      <c r="B504">
        <v>5319480</v>
      </c>
      <c r="D504">
        <v>0</v>
      </c>
      <c r="E504">
        <v>0</v>
      </c>
      <c r="H504">
        <v>3</v>
      </c>
      <c r="I504">
        <v>600000</v>
      </c>
      <c r="J504" t="s">
        <v>79</v>
      </c>
      <c r="K504">
        <v>8</v>
      </c>
      <c r="L504">
        <v>20</v>
      </c>
      <c r="M504">
        <v>3</v>
      </c>
      <c r="O504">
        <v>0.002</v>
      </c>
      <c r="Q504">
        <v>0</v>
      </c>
      <c r="R504">
        <v>0</v>
      </c>
      <c r="S504">
        <v>0</v>
      </c>
      <c r="T504">
        <v>5388242</v>
      </c>
    </row>
    <row r="505" spans="1:24" ht="12.75">
      <c r="A505" s="2" t="str">
        <f>HYPERLINK("https://ibp.a2mac1.com/costing(costing:projects/details/8191/component/5319481)","Other fastener &gt; Snap Tooling")</f>
        <v>Other fastener &gt; Snap Tooling</v>
      </c>
      <c r="B505">
        <v>5319481</v>
      </c>
      <c r="D505">
        <v>0</v>
      </c>
      <c r="E505">
        <v>0</v>
      </c>
      <c r="H505">
        <v>30</v>
      </c>
      <c r="I505">
        <v>6000000</v>
      </c>
      <c r="J505" t="s">
        <v>79</v>
      </c>
      <c r="O505">
        <v>0</v>
      </c>
      <c r="Q505">
        <v>0</v>
      </c>
      <c r="R505">
        <v>0</v>
      </c>
      <c r="S505">
        <v>0</v>
      </c>
      <c r="T505">
        <v>5388242</v>
      </c>
    </row>
    <row r="506" spans="1:24" ht="12.75">
      <c r="A506" s="2" t="str">
        <f>HYPERLINK("https://ibp.a2mac1.com/costing(costing:projects/details/8191/component/5319482)","Panel holder &gt; Clips for panel side")</f>
        <v>Panel holder &gt; Clips for panel side</v>
      </c>
      <c r="B506">
        <v>5319482</v>
      </c>
      <c r="D506">
        <v>0</v>
      </c>
      <c r="E506">
        <v>0</v>
      </c>
      <c r="H506">
        <v>4</v>
      </c>
      <c r="I506">
        <v>800000</v>
      </c>
      <c r="J506" t="s">
        <v>79</v>
      </c>
      <c r="L506">
        <v>9</v>
      </c>
      <c r="M506">
        <v>12</v>
      </c>
      <c r="O506">
        <v>0.001</v>
      </c>
      <c r="Q506">
        <v>0</v>
      </c>
      <c r="R506">
        <v>0</v>
      </c>
      <c r="S506">
        <v>0</v>
      </c>
      <c r="T506">
        <v>5388242</v>
      </c>
    </row>
    <row r="507" spans="1:24" ht="12.75">
      <c r="A507" s="2" t="str">
        <f>HYPERLINK("https://ibp.a2mac1.com/costing(costing:projects/details/8191/component/5319483)","Other fastener &gt; Snap Tooling")</f>
        <v>Other fastener &gt; Snap Tooling</v>
      </c>
      <c r="B507">
        <v>5319483</v>
      </c>
      <c r="D507">
        <v>0</v>
      </c>
      <c r="E507">
        <v>0</v>
      </c>
      <c r="H507">
        <v>17</v>
      </c>
      <c r="I507">
        <v>3400000</v>
      </c>
      <c r="J507" t="s">
        <v>79</v>
      </c>
      <c r="O507">
        <v>0.0001</v>
      </c>
      <c r="Q507">
        <v>0</v>
      </c>
      <c r="R507">
        <v>0</v>
      </c>
      <c r="S507">
        <v>0</v>
      </c>
      <c r="T507">
        <v>5388242</v>
      </c>
    </row>
    <row r="508" spans="1:24" ht="12.75">
      <c r="A508" s="2" t="str">
        <f>HYPERLINK("https://ibp.a2mac1.com/costing(costing:projects/details/8191/component/5319484)","Panel holder &gt; Clips in round hole")</f>
        <v>Panel holder &gt; Clips in round hole</v>
      </c>
      <c r="B508">
        <v>5319484</v>
      </c>
      <c r="D508">
        <v>0</v>
      </c>
      <c r="E508">
        <v>0</v>
      </c>
      <c r="H508">
        <v>1</v>
      </c>
      <c r="I508">
        <v>200000</v>
      </c>
      <c r="J508" t="s">
        <v>79</v>
      </c>
      <c r="K508">
        <v>8</v>
      </c>
      <c r="L508">
        <v>20</v>
      </c>
      <c r="M508">
        <v>3</v>
      </c>
      <c r="O508">
        <v>0.002</v>
      </c>
      <c r="Q508">
        <v>0</v>
      </c>
      <c r="R508">
        <v>0</v>
      </c>
      <c r="S508">
        <v>0</v>
      </c>
      <c r="T508">
        <v>5388242</v>
      </c>
    </row>
    <row r="509" spans="1:24" ht="12.75">
      <c r="A509" s="2" t="str">
        <f>HYPERLINK("https://ibp.a2mac1.com/costing(costing:projects/details/8191/component/5319921)","Pin clip &gt; Taper pin")</f>
        <v>Pin clip &gt; Taper pin</v>
      </c>
      <c r="B509">
        <v>5319921</v>
      </c>
      <c r="D509">
        <v>0</v>
      </c>
      <c r="E509">
        <v>0.0092300000000000004</v>
      </c>
      <c r="H509">
        <v>1</v>
      </c>
      <c r="I509">
        <v>200000</v>
      </c>
      <c r="J509" t="s">
        <v>79</v>
      </c>
      <c r="L509">
        <v>37</v>
      </c>
      <c r="M509">
        <v>7</v>
      </c>
      <c r="O509">
        <v>0.001</v>
      </c>
      <c r="Q509">
        <v>0</v>
      </c>
      <c r="R509">
        <v>0</v>
      </c>
      <c r="S509">
        <v>0.0092300000000000004</v>
      </c>
      <c r="T509">
        <v>5388905</v>
      </c>
    </row>
    <row r="510" spans="1:24" ht="12.75">
      <c r="A510" s="2" t="str">
        <f>HYPERLINK("https://ibp.a2mac1.com/costing(costing:projects/details/8191/component/5319922)","Other fastener &gt; Snap Tooling")</f>
        <v>Other fastener &gt; Snap Tooling</v>
      </c>
      <c r="B510">
        <v>5319922</v>
      </c>
      <c r="D510">
        <v>0</v>
      </c>
      <c r="E510">
        <v>0.0092300000000000004</v>
      </c>
      <c r="H510">
        <v>7</v>
      </c>
      <c r="I510">
        <v>1400000</v>
      </c>
      <c r="J510" t="s">
        <v>79</v>
      </c>
      <c r="O510">
        <v>0.0001</v>
      </c>
      <c r="Q510">
        <v>0</v>
      </c>
      <c r="R510">
        <v>0</v>
      </c>
      <c r="S510">
        <v>0.064610000000000001</v>
      </c>
      <c r="T510">
        <v>5388905</v>
      </c>
    </row>
    <row r="511" spans="1:24" ht="12.75">
      <c r="A511" s="2" t="str">
        <f>HYPERLINK("https://ibp.a2mac1.com/costing(costing:projects/details/8191/component/5319923)","Pin clip &gt; Taper pin")</f>
        <v>Pin clip &gt; Taper pin</v>
      </c>
      <c r="B511">
        <v>5319923</v>
      </c>
      <c r="D511">
        <v>0</v>
      </c>
      <c r="E511">
        <v>0.10</v>
      </c>
      <c r="H511">
        <v>1</v>
      </c>
      <c r="I511">
        <v>200000</v>
      </c>
      <c r="J511" t="s">
        <v>79</v>
      </c>
      <c r="L511">
        <v>126</v>
      </c>
      <c r="M511">
        <v>4</v>
      </c>
      <c r="O511">
        <v>0.012</v>
      </c>
      <c r="Q511">
        <v>0</v>
      </c>
      <c r="R511">
        <v>0</v>
      </c>
      <c r="S511">
        <v>0.10</v>
      </c>
      <c r="T511">
        <v>5388913</v>
      </c>
    </row>
    <row r="512" spans="1:24" ht="12.75">
      <c r="A512" s="2" t="str">
        <f>HYPERLINK("https://ibp.a2mac1.com/costing(costing:projects/details/8191/component/5319924)","Other fastener &gt; Attachment")</f>
        <v>Other fastener &gt; Attachment</v>
      </c>
      <c r="B512">
        <v>5319924</v>
      </c>
      <c r="D512">
        <v>0</v>
      </c>
      <c r="E512">
        <v>0.20</v>
      </c>
      <c r="H512">
        <v>1</v>
      </c>
      <c r="I512">
        <v>200000</v>
      </c>
      <c r="J512" t="s">
        <v>79</v>
      </c>
      <c r="K512">
        <v>19</v>
      </c>
      <c r="L512">
        <v>7</v>
      </c>
      <c r="M512">
        <v>124</v>
      </c>
      <c r="O512">
        <v>0.017000000000000001</v>
      </c>
      <c r="Q512">
        <v>0</v>
      </c>
      <c r="R512">
        <v>0</v>
      </c>
      <c r="S512">
        <v>0.20</v>
      </c>
      <c r="T512">
        <v>5388913</v>
      </c>
    </row>
    <row r="513" spans="1:24" ht="12.75">
      <c r="A513" s="2" t="str">
        <f>HYPERLINK("https://ibp.a2mac1.com/costing(costing:projects/details/8191/component/5319633)","Screw &gt; 12 point socket head cap screw")</f>
        <v>Screw &gt; 12 point socket head cap screw</v>
      </c>
      <c r="B513">
        <v>5319633</v>
      </c>
      <c r="D513">
        <v>0</v>
      </c>
      <c r="E513">
        <v>0.0092300000000000004</v>
      </c>
      <c r="H513">
        <v>2</v>
      </c>
      <c r="I513">
        <v>400000</v>
      </c>
      <c r="J513" t="s">
        <v>79</v>
      </c>
      <c r="K513">
        <v>15</v>
      </c>
      <c r="L513">
        <v>6</v>
      </c>
      <c r="M513">
        <v>8</v>
      </c>
      <c r="O513">
        <v>0.0094999999999999998</v>
      </c>
      <c r="Q513">
        <v>0</v>
      </c>
      <c r="R513">
        <v>0</v>
      </c>
      <c r="S513">
        <v>0.018460000000000001</v>
      </c>
      <c r="T513">
        <v>5388586</v>
      </c>
    </row>
    <row r="514" spans="1:24" ht="12.75">
      <c r="A514" s="2" t="str">
        <f>HYPERLINK("https://ibp.a2mac1.com/costing(costing:projects/details/8191/component/5319634)","Screw &gt; 12 point socket head cap screw")</f>
        <v>Screw &gt; 12 point socket head cap screw</v>
      </c>
      <c r="B514">
        <v>5319634</v>
      </c>
      <c r="D514">
        <v>0</v>
      </c>
      <c r="E514">
        <v>0.0092300000000000004</v>
      </c>
      <c r="H514">
        <v>2</v>
      </c>
      <c r="I514">
        <v>400000</v>
      </c>
      <c r="J514" t="s">
        <v>79</v>
      </c>
      <c r="K514">
        <v>18</v>
      </c>
      <c r="L514">
        <v>8</v>
      </c>
      <c r="M514">
        <v>8</v>
      </c>
      <c r="O514">
        <v>0.0089999999999999993</v>
      </c>
      <c r="Q514">
        <v>0</v>
      </c>
      <c r="R514">
        <v>0</v>
      </c>
      <c r="S514">
        <v>0.018460000000000001</v>
      </c>
      <c r="T514">
        <v>5388586</v>
      </c>
    </row>
    <row r="515" spans="1:24" ht="12.75">
      <c r="A515" s="2" t="str">
        <f>HYPERLINK("https://ibp.a2mac1.com/costing(costing:projects/details/8191/component/5319631)","Electronics")</f>
        <v>Electronics</v>
      </c>
      <c r="B515">
        <v>5319631</v>
      </c>
      <c r="D515">
        <v>0</v>
      </c>
      <c r="E515">
        <v>3.0450400000000002</v>
      </c>
      <c r="H515">
        <v>1</v>
      </c>
      <c r="I515">
        <v>200000</v>
      </c>
      <c r="J515" t="s">
        <v>136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573</v>
      </c>
      <c r="Q515">
        <v>0</v>
      </c>
      <c r="R515">
        <v>0</v>
      </c>
      <c r="S515">
        <v>2.8575407075614079</v>
      </c>
      <c r="U515">
        <v>5388582</v>
      </c>
    </row>
    <row r="516" spans="1:24" ht="12.75">
      <c r="A516" s="2" t="str">
        <f>HYPERLINK("https://ibp.a2mac1.com/costing(costing:projects/details/8191/component/5319632)","Mechanics")</f>
        <v>Mechanics</v>
      </c>
      <c r="B516">
        <v>5319632</v>
      </c>
      <c r="D516">
        <v>0</v>
      </c>
      <c r="E516">
        <v>1.5502</v>
      </c>
      <c r="H516">
        <v>1</v>
      </c>
      <c r="I516">
        <v>200000</v>
      </c>
      <c r="J516" t="s">
        <v>136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575</v>
      </c>
      <c r="Q516">
        <v>0</v>
      </c>
      <c r="R516">
        <v>0</v>
      </c>
      <c r="S516">
        <v>1.5222587725242172</v>
      </c>
      <c r="U516">
        <v>5388582</v>
      </c>
    </row>
    <row r="517" spans="1:24" ht="12.75">
      <c r="A517" s="2" t="str">
        <f>HYPERLINK("https://ibp.a2mac1.com/costing(costing:projects/details/8191/component/5319635)","Spacer/Axle &gt; Ring")</f>
        <v>Spacer/Axle &gt; Ring</v>
      </c>
      <c r="B517">
        <v>5319635</v>
      </c>
      <c r="D517">
        <v>0</v>
      </c>
      <c r="E517">
        <v>0.0092300000000000004</v>
      </c>
      <c r="H517">
        <v>1</v>
      </c>
      <c r="I517">
        <v>200000</v>
      </c>
      <c r="J517" t="s">
        <v>79</v>
      </c>
      <c r="L517">
        <v>14</v>
      </c>
      <c r="M517">
        <v>8</v>
      </c>
      <c r="O517">
        <v>0.001</v>
      </c>
      <c r="Q517">
        <v>0</v>
      </c>
      <c r="R517">
        <v>0</v>
      </c>
      <c r="S517">
        <v>0.0092300000000000004</v>
      </c>
      <c r="T517">
        <v>5388591</v>
      </c>
    </row>
    <row r="518" spans="1:24" ht="12.75">
      <c r="A518" s="2" t="str">
        <f>HYPERLINK("https://ibp.a2mac1.com/costing(costing:projects/details/8191/component/5319636)","Screw &gt; Torx socket head cap screw with captive washer")</f>
        <v>Screw &gt; Torx socket head cap screw with captive washer</v>
      </c>
      <c r="B518">
        <v>5319636</v>
      </c>
      <c r="D518">
        <v>0</v>
      </c>
      <c r="E518">
        <v>0.0092300000000000004</v>
      </c>
      <c r="H518">
        <v>1</v>
      </c>
      <c r="I518">
        <v>200000</v>
      </c>
      <c r="J518" t="s">
        <v>79</v>
      </c>
      <c r="K518">
        <v>15</v>
      </c>
      <c r="L518">
        <v>5</v>
      </c>
      <c r="M518">
        <v>6</v>
      </c>
      <c r="O518">
        <v>0.0080000000000000002</v>
      </c>
      <c r="Q518">
        <v>0</v>
      </c>
      <c r="R518">
        <v>0</v>
      </c>
      <c r="S518">
        <v>0.0092300000000000004</v>
      </c>
      <c r="T518">
        <v>5388591</v>
      </c>
    </row>
    <row r="519" spans="1:24" ht="12.75">
      <c r="A519" s="2" t="str">
        <f>HYPERLINK("https://ibp.a2mac1.com/costing(costing:projects/details/8191/component/5319637)","Panel holder &gt; Clips in rectangular hole")</f>
        <v>Panel holder &gt; Clips in rectangular hole</v>
      </c>
      <c r="B519">
        <v>5319637</v>
      </c>
      <c r="D519">
        <v>0</v>
      </c>
      <c r="E519">
        <v>0.0092300000000000004</v>
      </c>
      <c r="H519">
        <v>8</v>
      </c>
      <c r="I519">
        <v>1600000</v>
      </c>
      <c r="J519" t="s">
        <v>79</v>
      </c>
      <c r="K519">
        <v>2</v>
      </c>
      <c r="L519">
        <v>27</v>
      </c>
      <c r="M519">
        <v>14</v>
      </c>
      <c r="O519">
        <v>0.0044999999999999997</v>
      </c>
      <c r="Q519">
        <v>0</v>
      </c>
      <c r="R519">
        <v>0</v>
      </c>
      <c r="S519">
        <v>0.073840000000000003</v>
      </c>
      <c r="T519">
        <v>5388591</v>
      </c>
    </row>
    <row r="520" spans="1:24" ht="12.75">
      <c r="A520" s="2" t="str">
        <f>HYPERLINK("https://ibp.a2mac1.com/costing(costing:projects/details/8191/component/5319638)","Screw &gt; Torx socket head cap screw with flange")</f>
        <v>Screw &gt; Torx socket head cap screw with flange</v>
      </c>
      <c r="B520">
        <v>5319638</v>
      </c>
      <c r="D520">
        <v>0</v>
      </c>
      <c r="E520">
        <v>0.0092300000000000004</v>
      </c>
      <c r="H520">
        <v>3</v>
      </c>
      <c r="I520">
        <v>600000</v>
      </c>
      <c r="J520" t="s">
        <v>79</v>
      </c>
      <c r="K520">
        <v>22</v>
      </c>
      <c r="L520">
        <v>4</v>
      </c>
      <c r="M520">
        <v>5</v>
      </c>
      <c r="O520">
        <v>0.0033</v>
      </c>
      <c r="Q520">
        <v>0</v>
      </c>
      <c r="R520">
        <v>0</v>
      </c>
      <c r="S520">
        <v>0.027689999999999999</v>
      </c>
      <c r="T520">
        <v>5388591</v>
      </c>
    </row>
    <row r="521" spans="1:24" ht="12.75">
      <c r="A521" s="2" t="str">
        <f>HYPERLINK("https://ibp.a2mac1.com/costing(costing:projects/details/8191/component/5319933)","Screw &gt; Hexagon screw with flange")</f>
        <v>Screw &gt; Hexagon screw with flange</v>
      </c>
      <c r="B521">
        <v>5319933</v>
      </c>
      <c r="D521">
        <v>0</v>
      </c>
      <c r="E521">
        <v>0.0092300000000000004</v>
      </c>
      <c r="H521">
        <v>1</v>
      </c>
      <c r="I521">
        <v>200000</v>
      </c>
      <c r="J521" t="s">
        <v>79</v>
      </c>
      <c r="K521">
        <v>22</v>
      </c>
      <c r="L521">
        <v>13</v>
      </c>
      <c r="M521">
        <v>8</v>
      </c>
      <c r="O521">
        <v>0.017999999999999999</v>
      </c>
      <c r="Q521">
        <v>0</v>
      </c>
      <c r="R521">
        <v>0</v>
      </c>
      <c r="S521">
        <v>0.0092300000000000004</v>
      </c>
      <c r="T521">
        <v>5388919</v>
      </c>
    </row>
    <row r="522" spans="1:24" ht="12.75">
      <c r="A522" s="2" t="str">
        <f>HYPERLINK("https://ibp.a2mac1.com/costing(costing:projects/details/8191/component/5319941)","Screw &gt; Torx screw")</f>
        <v>Screw &gt; Torx screw</v>
      </c>
      <c r="B522">
        <v>5319941</v>
      </c>
      <c r="D522">
        <v>0</v>
      </c>
      <c r="E522">
        <v>0.0092300000000000004</v>
      </c>
      <c r="H522">
        <v>1</v>
      </c>
      <c r="I522">
        <v>200000</v>
      </c>
      <c r="J522" t="s">
        <v>79</v>
      </c>
      <c r="K522">
        <v>9</v>
      </c>
      <c r="L522">
        <v>7</v>
      </c>
      <c r="M522">
        <v>8</v>
      </c>
      <c r="O522">
        <v>0.0040000000000000001</v>
      </c>
      <c r="Q522">
        <v>0</v>
      </c>
      <c r="R522">
        <v>0</v>
      </c>
      <c r="S522">
        <v>0.0092300000000000004</v>
      </c>
      <c r="T522">
        <v>5388919</v>
      </c>
    </row>
    <row r="523" spans="1:24" ht="12.75">
      <c r="A523" s="2" t="str">
        <f>HYPERLINK("https://ibp.a2mac1.com/costing(costing:projects/details/8191/component/5319942)","Screw &gt; 12 point socket head cap screw with flange")</f>
        <v>Screw &gt; 12 point socket head cap screw with flange</v>
      </c>
      <c r="B523">
        <v>5319942</v>
      </c>
      <c r="D523">
        <v>0</v>
      </c>
      <c r="E523">
        <v>0.0092300000000000004</v>
      </c>
      <c r="H523">
        <v>1</v>
      </c>
      <c r="I523">
        <v>200000</v>
      </c>
      <c r="J523" t="s">
        <v>79</v>
      </c>
      <c r="K523">
        <v>25</v>
      </c>
      <c r="L523">
        <v>10</v>
      </c>
      <c r="M523">
        <v>8</v>
      </c>
      <c r="O523">
        <v>0.019</v>
      </c>
      <c r="Q523">
        <v>0</v>
      </c>
      <c r="R523">
        <v>0</v>
      </c>
      <c r="S523">
        <v>0.0092300000000000004</v>
      </c>
      <c r="T523">
        <v>5388922</v>
      </c>
    </row>
    <row r="524" spans="1:24" ht="12.75">
      <c r="A524" s="2" t="str">
        <f>HYPERLINK("https://ibp.a2mac1.com/costing(costing:projects/details/8191/component/5319943)","Screw &gt; Torx screw")</f>
        <v>Screw &gt; Torx screw</v>
      </c>
      <c r="B524">
        <v>5319943</v>
      </c>
      <c r="D524">
        <v>0</v>
      </c>
      <c r="E524">
        <v>0.0092300000000000004</v>
      </c>
      <c r="H524">
        <v>1</v>
      </c>
      <c r="I524">
        <v>200000</v>
      </c>
      <c r="J524" t="s">
        <v>79</v>
      </c>
      <c r="L524">
        <v>7</v>
      </c>
      <c r="O524">
        <v>0.0030000000000000001</v>
      </c>
      <c r="Q524">
        <v>0</v>
      </c>
      <c r="R524">
        <v>0</v>
      </c>
      <c r="S524">
        <v>0.0092300000000000004</v>
      </c>
      <c r="T524">
        <v>5388922</v>
      </c>
    </row>
    <row r="525" spans="1:24" ht="12.75">
      <c r="A525" s="2" t="str">
        <f>HYPERLINK("https://ibp.a2mac1.com/costing(costing:projects/details/8191/component/5319639)","Screw &gt; Torx socket head cap screw with captive washer")</f>
        <v>Screw &gt; Torx socket head cap screw with captive washer</v>
      </c>
      <c r="B525">
        <v>5319639</v>
      </c>
      <c r="D525">
        <v>0</v>
      </c>
      <c r="E525">
        <v>0.03</v>
      </c>
      <c r="H525">
        <v>1</v>
      </c>
      <c r="I525">
        <v>200000</v>
      </c>
      <c r="J525" t="s">
        <v>79</v>
      </c>
      <c r="K525">
        <v>24</v>
      </c>
      <c r="L525">
        <v>6</v>
      </c>
      <c r="M525">
        <v>8</v>
      </c>
      <c r="O525">
        <v>0.015</v>
      </c>
      <c r="Q525">
        <v>0</v>
      </c>
      <c r="R525">
        <v>0</v>
      </c>
      <c r="S525">
        <v>0.03</v>
      </c>
      <c r="T525">
        <v>5388599</v>
      </c>
    </row>
    <row r="526" spans="1:24" ht="12.75">
      <c r="A526" s="2" t="str">
        <f>HYPERLINK("https://ibp.a2mac1.com/costing(costing:projects/details/8191/component/5319640)","Electronics")</f>
        <v>Electronics</v>
      </c>
      <c r="B526">
        <v>5319640</v>
      </c>
      <c r="D526">
        <v>0</v>
      </c>
      <c r="E526">
        <v>5.0104800000000003</v>
      </c>
      <c r="H526">
        <v>1</v>
      </c>
      <c r="I526">
        <v>200000</v>
      </c>
      <c r="J526" t="s">
        <v>79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573</v>
      </c>
      <c r="Q526">
        <v>0</v>
      </c>
      <c r="R526">
        <v>0</v>
      </c>
      <c r="S526">
        <v>4.7019581235130845</v>
      </c>
      <c r="T526">
        <v>5388605</v>
      </c>
    </row>
    <row r="527" spans="1:24" ht="12.75">
      <c r="A527" s="2" t="str">
        <f>HYPERLINK("https://ibp.a2mac1.com/costing(costing:projects/details/8191/component/5319641)","Mechanics")</f>
        <v>Mechanics</v>
      </c>
      <c r="B527">
        <v>5319641</v>
      </c>
      <c r="D527">
        <v>0</v>
      </c>
      <c r="E527">
        <v>2.5190800000000002</v>
      </c>
      <c r="H527">
        <v>1</v>
      </c>
      <c r="I527">
        <v>200000</v>
      </c>
      <c r="J527" t="s">
        <v>79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575</v>
      </c>
      <c r="Q527">
        <v>0</v>
      </c>
      <c r="R527">
        <v>0</v>
      </c>
      <c r="S527">
        <v>2.4736754152304896</v>
      </c>
      <c r="T527">
        <v>5388605</v>
      </c>
    </row>
    <row r="528" spans="1:24" ht="12.75">
      <c r="A528" s="2" t="str">
        <f>HYPERLINK("https://ibp.a2mac1.com/costing(costing:projects/details/8191/component/5319642)","Tube/cluster support &gt; Tube/cluster beribboned support on board side")</f>
        <v>Tube/cluster support &gt; Tube/cluster beribboned support on board side</v>
      </c>
      <c r="B528">
        <v>5319642</v>
      </c>
      <c r="D528">
        <v>0</v>
      </c>
      <c r="E528">
        <v>0.0092300000000000004</v>
      </c>
      <c r="H528">
        <v>1</v>
      </c>
      <c r="I528">
        <v>200000</v>
      </c>
      <c r="J528" t="s">
        <v>79</v>
      </c>
      <c r="K528">
        <v>3</v>
      </c>
      <c r="L528">
        <v>10</v>
      </c>
      <c r="O528">
        <v>0.001</v>
      </c>
      <c r="Q528">
        <v>0</v>
      </c>
      <c r="R528">
        <v>0</v>
      </c>
      <c r="S528">
        <v>0.0092300000000000004</v>
      </c>
      <c r="T528">
        <v>5388606</v>
      </c>
    </row>
    <row r="529" spans="1:24" ht="12.75">
      <c r="A529" s="2" t="str">
        <f>HYPERLINK("https://ibp.a2mac1.com/costing(costing:projects/details/8191/component/5319643)","Tube/cluster support &gt; Tube/cluster beribboned support in hole")</f>
        <v>Tube/cluster support &gt; Tube/cluster beribboned support in hole</v>
      </c>
      <c r="B529">
        <v>5319643</v>
      </c>
      <c r="D529">
        <v>0</v>
      </c>
      <c r="E529">
        <v>0.0092300000000000004</v>
      </c>
      <c r="H529">
        <v>1</v>
      </c>
      <c r="I529">
        <v>200000</v>
      </c>
      <c r="J529" t="s">
        <v>79</v>
      </c>
      <c r="K529">
        <v>7</v>
      </c>
      <c r="L529">
        <v>11</v>
      </c>
      <c r="O529">
        <v>0.001</v>
      </c>
      <c r="Q529">
        <v>0</v>
      </c>
      <c r="R529">
        <v>0</v>
      </c>
      <c r="S529">
        <v>0.0092300000000000004</v>
      </c>
      <c r="T529">
        <v>5388606</v>
      </c>
    </row>
    <row r="530" spans="1:24" ht="12.75">
      <c r="A530" s="2" t="str">
        <f>HYPERLINK("https://ibp.a2mac1.com/costing(costing:projects/details/8191/component/5319644)","Panel holder &gt; Clips in round hole")</f>
        <v>Panel holder &gt; Clips in round hole</v>
      </c>
      <c r="B530">
        <v>5319644</v>
      </c>
      <c r="D530">
        <v>0</v>
      </c>
      <c r="E530">
        <v>0.0092300000000000004</v>
      </c>
      <c r="H530">
        <v>3</v>
      </c>
      <c r="I530">
        <v>600000</v>
      </c>
      <c r="J530" t="s">
        <v>79</v>
      </c>
      <c r="K530">
        <v>8</v>
      </c>
      <c r="L530">
        <v>16</v>
      </c>
      <c r="M530">
        <v>4</v>
      </c>
      <c r="O530">
        <v>0.0012999999999999999</v>
      </c>
      <c r="Q530">
        <v>0</v>
      </c>
      <c r="R530">
        <v>0</v>
      </c>
      <c r="S530">
        <v>0.027689999999999999</v>
      </c>
      <c r="T530">
        <v>5388609</v>
      </c>
    </row>
    <row r="531" spans="1:24" ht="12.75">
      <c r="A531" s="2" t="str">
        <f>HYPERLINK("https://ibp.a2mac1.com/costing(costing:projects/details/8191/component/5319645)","Rivet &gt; Screw rivet")</f>
        <v>Rivet &gt; Screw rivet</v>
      </c>
      <c r="B531">
        <v>5319645</v>
      </c>
      <c r="D531">
        <v>0</v>
      </c>
      <c r="E531">
        <v>0.0092300000000000004</v>
      </c>
      <c r="H531">
        <v>2</v>
      </c>
      <c r="I531">
        <v>400000</v>
      </c>
      <c r="J531" t="s">
        <v>79</v>
      </c>
      <c r="K531">
        <v>14</v>
      </c>
      <c r="L531">
        <v>11</v>
      </c>
      <c r="M531">
        <v>7</v>
      </c>
      <c r="O531">
        <v>0.001</v>
      </c>
      <c r="Q531">
        <v>0</v>
      </c>
      <c r="R531">
        <v>0</v>
      </c>
      <c r="S531">
        <v>0.018460000000000001</v>
      </c>
      <c r="T531">
        <v>5388609</v>
      </c>
    </row>
    <row r="532" spans="1:24" ht="12.75">
      <c r="A532" s="2" t="str">
        <f>HYPERLINK("https://ibp.a2mac1.com/costing(costing:projects/details/8191/component/5319485)","Screw &gt; Torx socket head cap screw with flange")</f>
        <v>Screw &gt; Torx socket head cap screw with flange</v>
      </c>
      <c r="B532">
        <v>5319485</v>
      </c>
      <c r="D532">
        <v>0</v>
      </c>
      <c r="E532">
        <v>0.0092300000000000004</v>
      </c>
      <c r="H532">
        <v>2</v>
      </c>
      <c r="I532">
        <v>400000</v>
      </c>
      <c r="J532" t="s">
        <v>79</v>
      </c>
      <c r="K532">
        <v>34</v>
      </c>
      <c r="L532">
        <v>8</v>
      </c>
      <c r="M532">
        <v>10</v>
      </c>
      <c r="O532">
        <v>0.0275</v>
      </c>
      <c r="Q532">
        <v>0</v>
      </c>
      <c r="R532">
        <v>0</v>
      </c>
      <c r="S532">
        <v>0.018460000000000001</v>
      </c>
      <c r="T532">
        <v>5388251</v>
      </c>
    </row>
    <row r="533" spans="1:24" ht="12.75">
      <c r="A533" s="2" t="str">
        <f>HYPERLINK("https://ibp.a2mac1.com/costing(costing:projects/details/8191/component/5319486)","Hole plug &gt; Round hole")</f>
        <v>Hole plug &gt; Round hole</v>
      </c>
      <c r="B533">
        <v>5319486</v>
      </c>
      <c r="D533">
        <v>0</v>
      </c>
      <c r="E533">
        <v>0.0092300000000000004</v>
      </c>
      <c r="H533">
        <v>3</v>
      </c>
      <c r="I533">
        <v>600000</v>
      </c>
      <c r="J533" t="s">
        <v>79</v>
      </c>
      <c r="K533">
        <v>6</v>
      </c>
      <c r="M533">
        <v>31</v>
      </c>
      <c r="O533">
        <v>0.0016999999999999999</v>
      </c>
      <c r="Q533">
        <v>0</v>
      </c>
      <c r="R533">
        <v>0</v>
      </c>
      <c r="S533">
        <v>0.027689999999999999</v>
      </c>
      <c r="T533">
        <v>5388251</v>
      </c>
    </row>
    <row r="534" spans="1:24" ht="12.75">
      <c r="A534" s="2" t="str">
        <f>HYPERLINK("https://ibp.a2mac1.com/costing(costing:projects/details/8191/component/5319646)","Steel Inserts")</f>
        <v>Steel Inserts</v>
      </c>
      <c r="B534">
        <v>5319646</v>
      </c>
      <c r="D534">
        <v>0</v>
      </c>
      <c r="E534">
        <v>0.05</v>
      </c>
      <c r="H534">
        <v>7</v>
      </c>
      <c r="I534">
        <v>1400000</v>
      </c>
      <c r="J534" t="s">
        <v>136</v>
      </c>
      <c r="K534">
        <v>0</v>
      </c>
      <c r="L534">
        <v>0</v>
      </c>
      <c r="M534">
        <v>0</v>
      </c>
      <c r="N534">
        <v>0</v>
      </c>
      <c r="O534">
        <v>0</v>
      </c>
      <c r="Q534">
        <v>0</v>
      </c>
      <c r="R534">
        <v>0</v>
      </c>
      <c r="S534">
        <v>0.35</v>
      </c>
      <c r="U534">
        <v>5388612</v>
      </c>
    </row>
    <row r="535" spans="1:24" ht="12.75">
      <c r="A535" s="2" t="str">
        <f>HYPERLINK("https://ibp.a2mac1.com/costing(costing:projects/details/8191/component/5319489)","Steel Inserts")</f>
        <v>Steel Inserts</v>
      </c>
      <c r="B535">
        <v>5319489</v>
      </c>
      <c r="D535">
        <v>0</v>
      </c>
      <c r="E535">
        <v>0.018360000000000001</v>
      </c>
      <c r="H535">
        <v>2</v>
      </c>
      <c r="I535">
        <v>800000</v>
      </c>
      <c r="J535" t="s">
        <v>136</v>
      </c>
      <c r="K535">
        <v>0</v>
      </c>
      <c r="L535">
        <v>0</v>
      </c>
      <c r="M535">
        <v>0</v>
      </c>
      <c r="N535">
        <v>0</v>
      </c>
      <c r="O535">
        <v>0</v>
      </c>
      <c r="Q535">
        <v>0</v>
      </c>
      <c r="R535">
        <v>0</v>
      </c>
      <c r="S535">
        <v>0.036720000000000003</v>
      </c>
      <c r="U535">
        <v>5388256</v>
      </c>
    </row>
    <row r="536" spans="1:24" ht="12.75">
      <c r="A536" s="2" t="str">
        <f>HYPERLINK("https://ibp.a2mac1.com/costing(costing:projects/details/8191/component/5319421)","Screw &gt; Hexagon socket head cap screw with captive washer")</f>
        <v>Screw &gt; Hexagon socket head cap screw with captive washer</v>
      </c>
      <c r="B536">
        <v>5319421</v>
      </c>
      <c r="D536">
        <v>0</v>
      </c>
      <c r="E536">
        <v>0</v>
      </c>
      <c r="H536">
        <v>4</v>
      </c>
      <c r="I536">
        <v>800000</v>
      </c>
      <c r="J536" t="s">
        <v>79</v>
      </c>
      <c r="K536">
        <v>23</v>
      </c>
      <c r="L536">
        <v>5</v>
      </c>
      <c r="M536">
        <v>6</v>
      </c>
      <c r="O536">
        <v>0.012</v>
      </c>
      <c r="Q536">
        <v>0</v>
      </c>
      <c r="R536">
        <v>0</v>
      </c>
      <c r="S536">
        <v>0</v>
      </c>
      <c r="T536">
        <v>5388142</v>
      </c>
    </row>
    <row r="537" spans="1:24" ht="12.75">
      <c r="A537" s="2" t="str">
        <f>HYPERLINK("https://ibp.a2mac1.com/costing(costing:projects/details/8191/component/5319422)","Screw &gt; Hexagon screw with flange and captive washer")</f>
        <v>Screw &gt; Hexagon screw with flange and captive washer</v>
      </c>
      <c r="B537">
        <v>5319422</v>
      </c>
      <c r="D537">
        <v>0</v>
      </c>
      <c r="E537">
        <v>0</v>
      </c>
      <c r="H537">
        <v>8</v>
      </c>
      <c r="I537">
        <v>1600000</v>
      </c>
      <c r="J537" t="s">
        <v>79</v>
      </c>
      <c r="K537">
        <v>22</v>
      </c>
      <c r="L537">
        <v>13</v>
      </c>
      <c r="M537">
        <v>8</v>
      </c>
      <c r="O537">
        <v>0.025700000000000001</v>
      </c>
      <c r="Q537">
        <v>0</v>
      </c>
      <c r="R537">
        <v>0</v>
      </c>
      <c r="S537">
        <v>0</v>
      </c>
      <c r="T537">
        <v>5388142</v>
      </c>
    </row>
    <row r="538" spans="1:24" ht="12.75">
      <c r="A538" s="2" t="str">
        <f>HYPERLINK("https://ibp.a2mac1.com/costing(costing:projects/details/8191/component/5319423)","Screw &gt; Hexagon screw with flange")</f>
        <v>Screw &gt; Hexagon screw with flange</v>
      </c>
      <c r="B538">
        <v>5319423</v>
      </c>
      <c r="D538">
        <v>0</v>
      </c>
      <c r="E538">
        <v>0</v>
      </c>
      <c r="H538">
        <v>6</v>
      </c>
      <c r="I538">
        <v>1200000</v>
      </c>
      <c r="J538" t="s">
        <v>79</v>
      </c>
      <c r="K538">
        <v>22</v>
      </c>
      <c r="L538">
        <v>13</v>
      </c>
      <c r="M538">
        <v>8</v>
      </c>
      <c r="O538">
        <v>0.0178</v>
      </c>
      <c r="Q538">
        <v>0</v>
      </c>
      <c r="R538">
        <v>0</v>
      </c>
      <c r="S538">
        <v>0</v>
      </c>
      <c r="T538">
        <v>5388142</v>
      </c>
    </row>
    <row r="539" spans="1:24" ht="12.75">
      <c r="A539" s="2" t="str">
        <f>HYPERLINK("https://ibp.a2mac1.com/costing(costing:projects/details/8191/component/5319424)","Screw &gt; 12 point socket head cap screw with flange")</f>
        <v>Screw &gt; 12 point socket head cap screw with flange</v>
      </c>
      <c r="B539">
        <v>5319424</v>
      </c>
      <c r="D539">
        <v>0</v>
      </c>
      <c r="E539">
        <v>0</v>
      </c>
      <c r="H539">
        <v>2</v>
      </c>
      <c r="I539">
        <v>400000</v>
      </c>
      <c r="J539" t="s">
        <v>79</v>
      </c>
      <c r="K539">
        <v>30</v>
      </c>
      <c r="L539">
        <v>10</v>
      </c>
      <c r="M539">
        <v>8</v>
      </c>
      <c r="O539">
        <v>0.017000000000000001</v>
      </c>
      <c r="Q539">
        <v>0</v>
      </c>
      <c r="R539">
        <v>0</v>
      </c>
      <c r="S539">
        <v>0</v>
      </c>
      <c r="T539">
        <v>5388142</v>
      </c>
    </row>
    <row r="540" spans="1:24" ht="12.75">
      <c r="A540" s="2" t="str">
        <f>HYPERLINK("https://ibp.a2mac1.com/costing(costing:projects/details/8191/component/5319425)","Other fastener &gt; Attachment")</f>
        <v>Other fastener &gt; Attachment</v>
      </c>
      <c r="B540">
        <v>5319425</v>
      </c>
      <c r="D540">
        <v>0</v>
      </c>
      <c r="E540">
        <v>0</v>
      </c>
      <c r="H540">
        <v>2</v>
      </c>
      <c r="I540">
        <v>400000</v>
      </c>
      <c r="J540" t="s">
        <v>79</v>
      </c>
      <c r="K540">
        <v>23</v>
      </c>
      <c r="L540">
        <v>14</v>
      </c>
      <c r="M540">
        <v>28</v>
      </c>
      <c r="O540">
        <v>0.0025</v>
      </c>
      <c r="Q540">
        <v>0</v>
      </c>
      <c r="R540">
        <v>0</v>
      </c>
      <c r="S540">
        <v>0</v>
      </c>
      <c r="T540">
        <v>5388142</v>
      </c>
    </row>
    <row r="541" spans="1:24" ht="12.75">
      <c r="A541" s="2" t="str">
        <f>HYPERLINK("https://ibp.a2mac1.com/costing(costing:projects/details/8191/component/5319490)","Screw &gt; Torx socket head cap screw with flange")</f>
        <v>Screw &gt; Torx socket head cap screw with flange</v>
      </c>
      <c r="B541">
        <v>5319490</v>
      </c>
      <c r="D541">
        <v>0</v>
      </c>
      <c r="E541">
        <v>0</v>
      </c>
      <c r="H541">
        <v>4</v>
      </c>
      <c r="I541">
        <v>800000</v>
      </c>
      <c r="J541" t="s">
        <v>79</v>
      </c>
      <c r="K541">
        <v>16</v>
      </c>
      <c r="L541">
        <v>4</v>
      </c>
      <c r="M541">
        <v>5</v>
      </c>
      <c r="O541">
        <v>0.0040000000000000001</v>
      </c>
      <c r="Q541">
        <v>0</v>
      </c>
      <c r="R541">
        <v>0</v>
      </c>
      <c r="S541">
        <v>0</v>
      </c>
      <c r="T541">
        <v>5388260</v>
      </c>
    </row>
    <row r="542" spans="1:24" ht="12.75">
      <c r="A542" s="2" t="str">
        <f>HYPERLINK("https://ibp.a2mac1.com/costing(costing:projects/details/8191/component/5319491)","Screw &gt; Torx socket head cap screw with flange")</f>
        <v>Screw &gt; Torx socket head cap screw with flange</v>
      </c>
      <c r="B542">
        <v>5319491</v>
      </c>
      <c r="D542">
        <v>0</v>
      </c>
      <c r="E542">
        <v>0</v>
      </c>
      <c r="H542">
        <v>4</v>
      </c>
      <c r="I542">
        <v>800000</v>
      </c>
      <c r="J542" t="s">
        <v>79</v>
      </c>
      <c r="K542">
        <v>16</v>
      </c>
      <c r="L542">
        <v>4</v>
      </c>
      <c r="M542">
        <v>5</v>
      </c>
      <c r="O542">
        <v>0.0040000000000000001</v>
      </c>
      <c r="Q542">
        <v>0</v>
      </c>
      <c r="R542">
        <v>0</v>
      </c>
      <c r="S542">
        <v>0</v>
      </c>
      <c r="T542">
        <v>5388260</v>
      </c>
    </row>
    <row r="543" spans="1:24" ht="12.75">
      <c r="A543" s="2" t="str">
        <f>HYPERLINK("https://ibp.a2mac1.com/costing(costing:projects/details/8191/component/5319492)","Screw &gt; Torx socket head cap screw with flange")</f>
        <v>Screw &gt; Torx socket head cap screw with flange</v>
      </c>
      <c r="B543">
        <v>5319492</v>
      </c>
      <c r="D543">
        <v>0</v>
      </c>
      <c r="E543">
        <v>0</v>
      </c>
      <c r="H543">
        <v>6</v>
      </c>
      <c r="I543">
        <v>1200000</v>
      </c>
      <c r="J543" t="s">
        <v>79</v>
      </c>
      <c r="K543">
        <v>16</v>
      </c>
      <c r="L543">
        <v>4</v>
      </c>
      <c r="M543">
        <v>5</v>
      </c>
      <c r="O543">
        <v>0.0038</v>
      </c>
      <c r="Q543">
        <v>0</v>
      </c>
      <c r="R543">
        <v>0</v>
      </c>
      <c r="S543">
        <v>0</v>
      </c>
      <c r="T543">
        <v>5388261</v>
      </c>
    </row>
    <row r="544" spans="1:24" ht="12.75">
      <c r="A544" s="2" t="str">
        <f>HYPERLINK("https://ibp.a2mac1.com/costing(costing:projects/details/8191/component/5319426)","Screw &gt; Torx socket head cap screw with captive washer")</f>
        <v>Screw &gt; Torx socket head cap screw with captive washer</v>
      </c>
      <c r="B544">
        <v>5319426</v>
      </c>
      <c r="D544">
        <v>0</v>
      </c>
      <c r="E544">
        <v>0</v>
      </c>
      <c r="H544">
        <v>2</v>
      </c>
      <c r="I544">
        <v>400000</v>
      </c>
      <c r="J544" t="s">
        <v>79</v>
      </c>
      <c r="K544">
        <v>18</v>
      </c>
      <c r="L544">
        <v>5</v>
      </c>
      <c r="M544">
        <v>6</v>
      </c>
      <c r="O544">
        <v>0.016500000000000001</v>
      </c>
      <c r="Q544">
        <v>0</v>
      </c>
      <c r="R544">
        <v>0</v>
      </c>
      <c r="S544">
        <v>0</v>
      </c>
      <c r="T544">
        <v>5388143</v>
      </c>
    </row>
    <row r="545" spans="1:24" ht="12.75">
      <c r="A545" s="2" t="str">
        <f>HYPERLINK("https://ibp.a2mac1.com/costing(costing:projects/details/8191/component/5319427)","Nut &gt; Clipping nut for metal sheet screw")</f>
        <v>Nut &gt; Clipping nut for metal sheet screw</v>
      </c>
      <c r="B545">
        <v>5319427</v>
      </c>
      <c r="D545">
        <v>0</v>
      </c>
      <c r="E545">
        <v>0</v>
      </c>
      <c r="H545">
        <v>1</v>
      </c>
      <c r="I545">
        <v>200000</v>
      </c>
      <c r="J545" t="s">
        <v>79</v>
      </c>
      <c r="K545">
        <v>8</v>
      </c>
      <c r="L545">
        <v>5</v>
      </c>
      <c r="M545">
        <v>13</v>
      </c>
      <c r="O545">
        <v>0.001</v>
      </c>
      <c r="Q545">
        <v>0</v>
      </c>
      <c r="R545">
        <v>0</v>
      </c>
      <c r="S545">
        <v>0</v>
      </c>
      <c r="T545">
        <v>5388143</v>
      </c>
    </row>
    <row r="546" spans="1:24" ht="12.75">
      <c r="A546" s="2" t="str">
        <f>HYPERLINK("https://ibp.a2mac1.com/costing(costing:projects/details/8191/component/5319428)","Screw &gt; Hexagon screw with flange and captive washer")</f>
        <v>Screw &gt; Hexagon screw with flange and captive washer</v>
      </c>
      <c r="B546">
        <v>5319428</v>
      </c>
      <c r="D546">
        <v>0</v>
      </c>
      <c r="E546">
        <v>0</v>
      </c>
      <c r="H546">
        <v>1</v>
      </c>
      <c r="I546">
        <v>200000</v>
      </c>
      <c r="J546" t="s">
        <v>79</v>
      </c>
      <c r="K546">
        <v>32</v>
      </c>
      <c r="L546">
        <v>16</v>
      </c>
      <c r="M546">
        <v>10</v>
      </c>
      <c r="O546">
        <v>0.042000000000000003</v>
      </c>
      <c r="Q546">
        <v>0</v>
      </c>
      <c r="R546">
        <v>0</v>
      </c>
      <c r="S546">
        <v>0</v>
      </c>
      <c r="T546">
        <v>5388143</v>
      </c>
    </row>
    <row r="547" spans="1:24" ht="12.75">
      <c r="A547" s="2" t="str">
        <f>HYPERLINK("https://ibp.a2mac1.com/costing(costing:projects/details/8191/component/5319656)","Nut &gt; Clipping nut for soft materials screw")</f>
        <v>Nut &gt; Clipping nut for soft materials screw</v>
      </c>
      <c r="B547">
        <v>5319656</v>
      </c>
      <c r="D547">
        <v>0</v>
      </c>
      <c r="E547">
        <v>0</v>
      </c>
      <c r="H547">
        <v>6</v>
      </c>
      <c r="I547">
        <v>1200000</v>
      </c>
      <c r="J547" t="s">
        <v>79</v>
      </c>
      <c r="K547">
        <v>8</v>
      </c>
      <c r="L547">
        <v>5</v>
      </c>
      <c r="M547">
        <v>7</v>
      </c>
      <c r="O547">
        <v>0.00029999999999999997</v>
      </c>
      <c r="Q547">
        <v>0</v>
      </c>
      <c r="R547">
        <v>0</v>
      </c>
      <c r="S547">
        <v>0</v>
      </c>
      <c r="T547">
        <v>5388617</v>
      </c>
    </row>
    <row r="548" spans="1:24" ht="12.75">
      <c r="A548" s="2" t="str">
        <f>HYPERLINK("https://ibp.a2mac1.com/costing(costing:projects/details/8191/component/5319493)","Rivet &gt; Pop rivet")</f>
        <v>Rivet &gt; Pop rivet</v>
      </c>
      <c r="B548">
        <v>5319493</v>
      </c>
      <c r="D548">
        <v>0</v>
      </c>
      <c r="E548">
        <v>0</v>
      </c>
      <c r="H548">
        <v>10</v>
      </c>
      <c r="I548">
        <v>2000000</v>
      </c>
      <c r="J548" t="s">
        <v>79</v>
      </c>
      <c r="L548">
        <v>3</v>
      </c>
      <c r="M548">
        <v>5</v>
      </c>
      <c r="O548">
        <v>0.0001</v>
      </c>
      <c r="Q548">
        <v>0</v>
      </c>
      <c r="R548">
        <v>0</v>
      </c>
      <c r="S548">
        <v>0</v>
      </c>
      <c r="T548">
        <v>5388263</v>
      </c>
    </row>
    <row r="549" spans="1:24" ht="12.75">
      <c r="A549" s="2" t="str">
        <f>HYPERLINK("https://ibp.a2mac1.com/costing(costing:projects/details/8191/component/5319429)","Nut &gt; Hexagonal nut with collar")</f>
        <v>Nut &gt; Hexagonal nut with collar</v>
      </c>
      <c r="B549">
        <v>5319429</v>
      </c>
      <c r="D549">
        <v>0</v>
      </c>
      <c r="E549">
        <v>0.05</v>
      </c>
      <c r="H549">
        <v>2</v>
      </c>
      <c r="I549">
        <v>400000</v>
      </c>
      <c r="J549" t="s">
        <v>79</v>
      </c>
      <c r="K549">
        <v>6</v>
      </c>
      <c r="L549">
        <v>10</v>
      </c>
      <c r="M549">
        <v>6</v>
      </c>
      <c r="O549">
        <v>0.0035000000000000001</v>
      </c>
      <c r="Q549">
        <v>0</v>
      </c>
      <c r="R549">
        <v>0</v>
      </c>
      <c r="S549">
        <v>0.10</v>
      </c>
      <c r="T549">
        <v>5388146</v>
      </c>
    </row>
    <row r="550" spans="1:24" ht="12.75">
      <c r="A550" s="2" t="str">
        <f>HYPERLINK("https://ibp.a2mac1.com/costing(costing:projects/details/8191/component/5319430)","Panel holder &gt; Clips in round hole")</f>
        <v>Panel holder &gt; Clips in round hole</v>
      </c>
      <c r="B550">
        <v>5319430</v>
      </c>
      <c r="D550">
        <v>0</v>
      </c>
      <c r="E550">
        <v>0</v>
      </c>
      <c r="H550">
        <v>18</v>
      </c>
      <c r="I550">
        <v>3600000</v>
      </c>
      <c r="J550" t="s">
        <v>79</v>
      </c>
      <c r="K550">
        <v>10</v>
      </c>
      <c r="L550">
        <v>10</v>
      </c>
      <c r="M550">
        <v>7</v>
      </c>
      <c r="O550">
        <v>0.0016000000000000001</v>
      </c>
      <c r="Q550">
        <v>0</v>
      </c>
      <c r="R550">
        <v>0</v>
      </c>
      <c r="S550">
        <v>0</v>
      </c>
      <c r="T550">
        <v>5388147</v>
      </c>
    </row>
    <row r="551" spans="1:24" ht="12.75">
      <c r="A551" s="2" t="str">
        <f>HYPERLINK("https://ibp.a2mac1.com/costing(costing:projects/details/8191/component/5319431)","Other fastener &gt; Adhesive")</f>
        <v>Other fastener &gt; Adhesive</v>
      </c>
      <c r="B551">
        <v>5319431</v>
      </c>
      <c r="D551">
        <v>0</v>
      </c>
      <c r="E551">
        <v>0</v>
      </c>
      <c r="H551">
        <v>2</v>
      </c>
      <c r="I551">
        <v>400000</v>
      </c>
      <c r="J551" t="s">
        <v>79</v>
      </c>
      <c r="O551">
        <v>0.001</v>
      </c>
      <c r="Q551">
        <v>0</v>
      </c>
      <c r="R551">
        <v>0</v>
      </c>
      <c r="S551">
        <v>0</v>
      </c>
      <c r="T551">
        <v>5388148</v>
      </c>
    </row>
    <row r="552" spans="1:24" ht="12.75">
      <c r="A552" s="2" t="str">
        <f>HYPERLINK("https://ibp.a2mac1.com/costing(costing:projects/details/8191/component/5319432)","Panel holder &gt; Clips in round hole")</f>
        <v>Panel holder &gt; Clips in round hole</v>
      </c>
      <c r="B552">
        <v>5319432</v>
      </c>
      <c r="D552">
        <v>0</v>
      </c>
      <c r="E552">
        <v>0</v>
      </c>
      <c r="H552">
        <v>16</v>
      </c>
      <c r="I552">
        <v>3200000</v>
      </c>
      <c r="J552" t="s">
        <v>79</v>
      </c>
      <c r="K552">
        <v>7</v>
      </c>
      <c r="L552">
        <v>16</v>
      </c>
      <c r="M552">
        <v>7</v>
      </c>
      <c r="O552">
        <v>0.0012999999999999999</v>
      </c>
      <c r="Q552">
        <v>0</v>
      </c>
      <c r="R552">
        <v>0</v>
      </c>
      <c r="S552">
        <v>0</v>
      </c>
      <c r="T552">
        <v>5388148</v>
      </c>
    </row>
    <row r="553" spans="1:24" ht="12.75">
      <c r="A553" s="2" t="str">
        <f>HYPERLINK("https://ibp.a2mac1.com/costing(costing:projects/details/8191/component/5319433)","Panel holder &gt; Clips in round hole")</f>
        <v>Panel holder &gt; Clips in round hole</v>
      </c>
      <c r="B553">
        <v>5319433</v>
      </c>
      <c r="D553">
        <v>0</v>
      </c>
      <c r="E553">
        <v>0.05</v>
      </c>
      <c r="H553">
        <v>26</v>
      </c>
      <c r="I553">
        <v>5200000</v>
      </c>
      <c r="J553" t="s">
        <v>79</v>
      </c>
      <c r="K553">
        <v>8</v>
      </c>
      <c r="L553">
        <v>22</v>
      </c>
      <c r="M553">
        <v>6</v>
      </c>
      <c r="O553">
        <v>0.00069999999999999999</v>
      </c>
      <c r="Q553">
        <v>0</v>
      </c>
      <c r="R553">
        <v>0</v>
      </c>
      <c r="S553">
        <v>1.30</v>
      </c>
      <c r="T553">
        <v>5388149</v>
      </c>
    </row>
    <row r="554" spans="1:24" ht="12.75">
      <c r="A554" s="2" t="str">
        <f>HYPERLINK("https://ibp.a2mac1.com/costing(costing:projects/details/8191/component/5319434)","Hole plug &gt; Oval hole")</f>
        <v>Hole plug &gt; Oval hole</v>
      </c>
      <c r="B554">
        <v>5319434</v>
      </c>
      <c r="D554">
        <v>0</v>
      </c>
      <c r="E554">
        <v>0.001</v>
      </c>
      <c r="H554">
        <v>2</v>
      </c>
      <c r="I554">
        <v>400000</v>
      </c>
      <c r="J554" t="s">
        <v>79</v>
      </c>
      <c r="K554">
        <v>9</v>
      </c>
      <c r="L554">
        <v>32</v>
      </c>
      <c r="M554">
        <v>37</v>
      </c>
      <c r="O554">
        <v>0.0025</v>
      </c>
      <c r="Q554">
        <v>0</v>
      </c>
      <c r="R554">
        <v>0</v>
      </c>
      <c r="S554">
        <v>0.002</v>
      </c>
      <c r="T554">
        <v>5388151</v>
      </c>
    </row>
    <row r="555" spans="1:24" ht="12.75">
      <c r="A555" s="2" t="str">
        <f>HYPERLINK("https://ibp.a2mac1.com/costing(costing:projects/details/8191/component/5319435)","Hole plug &gt; Round hole")</f>
        <v>Hole plug &gt; Round hole</v>
      </c>
      <c r="B555">
        <v>5319435</v>
      </c>
      <c r="D555">
        <v>0</v>
      </c>
      <c r="E555">
        <v>0.001</v>
      </c>
      <c r="H555">
        <v>2</v>
      </c>
      <c r="I555">
        <v>400000</v>
      </c>
      <c r="J555" t="s">
        <v>79</v>
      </c>
      <c r="K555">
        <v>9</v>
      </c>
      <c r="M555">
        <v>44</v>
      </c>
      <c r="O555">
        <v>0.002</v>
      </c>
      <c r="Q555">
        <v>0</v>
      </c>
      <c r="R555">
        <v>0</v>
      </c>
      <c r="S555">
        <v>0.002</v>
      </c>
      <c r="T555">
        <v>5388151</v>
      </c>
    </row>
    <row r="556" spans="1:24" ht="12.75">
      <c r="A556" s="2" t="str">
        <f>HYPERLINK("https://ibp.a2mac1.com/costing(costing:projects/details/8191/component/5319436)","Hole plug &gt; Oval hole")</f>
        <v>Hole plug &gt; Oval hole</v>
      </c>
      <c r="B556">
        <v>5319436</v>
      </c>
      <c r="D556">
        <v>0</v>
      </c>
      <c r="E556">
        <v>0.001</v>
      </c>
      <c r="H556">
        <v>1</v>
      </c>
      <c r="I556">
        <v>200000</v>
      </c>
      <c r="J556" t="s">
        <v>79</v>
      </c>
      <c r="K556">
        <v>9</v>
      </c>
      <c r="L556">
        <v>36</v>
      </c>
      <c r="M556">
        <v>33</v>
      </c>
      <c r="O556">
        <v>0.0030000000000000001</v>
      </c>
      <c r="Q556">
        <v>0</v>
      </c>
      <c r="R556">
        <v>0</v>
      </c>
      <c r="S556">
        <v>0.001</v>
      </c>
      <c r="T556">
        <v>5388151</v>
      </c>
    </row>
    <row r="557" spans="1:24" ht="12.75">
      <c r="A557" s="2" t="str">
        <f>HYPERLINK("https://ibp.a2mac1.com/costing(costing:projects/details/8191/component/5319437)","Hole plug &gt; Oval hole")</f>
        <v>Hole plug &gt; Oval hole</v>
      </c>
      <c r="B557">
        <v>5319437</v>
      </c>
      <c r="D557">
        <v>0</v>
      </c>
      <c r="E557">
        <v>0.001</v>
      </c>
      <c r="H557">
        <v>4</v>
      </c>
      <c r="I557">
        <v>800000</v>
      </c>
      <c r="J557" t="s">
        <v>79</v>
      </c>
      <c r="K557">
        <v>1</v>
      </c>
      <c r="L557">
        <v>40</v>
      </c>
      <c r="M557">
        <v>40</v>
      </c>
      <c r="O557">
        <v>0.00029999999999999997</v>
      </c>
      <c r="Q557">
        <v>0</v>
      </c>
      <c r="R557">
        <v>0</v>
      </c>
      <c r="S557">
        <v>0.0040000000000000001</v>
      </c>
      <c r="T557">
        <v>5388151</v>
      </c>
    </row>
    <row r="558" spans="1:24" ht="12.75">
      <c r="A558" s="2" t="str">
        <f>HYPERLINK("https://ibp.a2mac1.com/costing(costing:projects/details/8191/component/5319438)","Hole plug &gt; Oval hole")</f>
        <v>Hole plug &gt; Oval hole</v>
      </c>
      <c r="B558">
        <v>5319438</v>
      </c>
      <c r="D558">
        <v>0</v>
      </c>
      <c r="E558">
        <v>0.001</v>
      </c>
      <c r="H558">
        <v>1</v>
      </c>
      <c r="I558">
        <v>200000</v>
      </c>
      <c r="J558" t="s">
        <v>79</v>
      </c>
      <c r="K558">
        <v>9</v>
      </c>
      <c r="L558">
        <v>35</v>
      </c>
      <c r="M558">
        <v>29</v>
      </c>
      <c r="O558">
        <v>0.002</v>
      </c>
      <c r="Q558">
        <v>0</v>
      </c>
      <c r="R558">
        <v>0</v>
      </c>
      <c r="S558">
        <v>0.001</v>
      </c>
      <c r="T558">
        <v>5388151</v>
      </c>
    </row>
    <row r="559" spans="1:24" ht="12.75">
      <c r="A559" s="2" t="str">
        <f>HYPERLINK("https://ibp.a2mac1.com/costing(costing:projects/details/8191/component/5319439)","Hole plug &gt; Oval hole")</f>
        <v>Hole plug &gt; Oval hole</v>
      </c>
      <c r="B559">
        <v>5319439</v>
      </c>
      <c r="D559">
        <v>0</v>
      </c>
      <c r="E559">
        <v>0.001</v>
      </c>
      <c r="H559">
        <v>13</v>
      </c>
      <c r="I559">
        <v>2600000</v>
      </c>
      <c r="J559" t="s">
        <v>79</v>
      </c>
      <c r="K559">
        <v>8</v>
      </c>
      <c r="L559">
        <v>52</v>
      </c>
      <c r="M559">
        <v>25</v>
      </c>
      <c r="O559">
        <v>0.0040000000000000001</v>
      </c>
      <c r="Q559">
        <v>0</v>
      </c>
      <c r="R559">
        <v>0</v>
      </c>
      <c r="S559">
        <v>0.012999999999999999</v>
      </c>
      <c r="T559">
        <v>5388151</v>
      </c>
    </row>
    <row r="560" spans="1:24" ht="12.75">
      <c r="A560" s="2" t="str">
        <f>HYPERLINK("https://ibp.a2mac1.com/costing(costing:projects/details/8191/component/5319440)","Hole plug &gt; Round hole")</f>
        <v>Hole plug &gt; Round hole</v>
      </c>
      <c r="B560">
        <v>5319440</v>
      </c>
      <c r="D560">
        <v>0</v>
      </c>
      <c r="E560">
        <v>0.001</v>
      </c>
      <c r="H560">
        <v>2</v>
      </c>
      <c r="I560">
        <v>400000</v>
      </c>
      <c r="J560" t="s">
        <v>79</v>
      </c>
      <c r="K560">
        <v>1</v>
      </c>
      <c r="M560">
        <v>19</v>
      </c>
      <c r="O560">
        <v>0.00050000000000000001</v>
      </c>
      <c r="Q560">
        <v>0</v>
      </c>
      <c r="R560">
        <v>0</v>
      </c>
      <c r="S560">
        <v>0.002</v>
      </c>
      <c r="T560">
        <v>5388151</v>
      </c>
    </row>
    <row r="561" spans="1:24" ht="12.75">
      <c r="A561" s="2" t="str">
        <f>HYPERLINK("https://ibp.a2mac1.com/costing(costing:projects/details/8191/component/5319441)","Hole plug &gt; Round hole")</f>
        <v>Hole plug &gt; Round hole</v>
      </c>
      <c r="B561">
        <v>5319441</v>
      </c>
      <c r="D561">
        <v>0</v>
      </c>
      <c r="E561">
        <v>0.001</v>
      </c>
      <c r="H561">
        <v>2</v>
      </c>
      <c r="I561">
        <v>400000</v>
      </c>
      <c r="J561" t="s">
        <v>79</v>
      </c>
      <c r="K561">
        <v>10</v>
      </c>
      <c r="M561">
        <v>32</v>
      </c>
      <c r="O561">
        <v>0.002</v>
      </c>
      <c r="Q561">
        <v>0</v>
      </c>
      <c r="R561">
        <v>0</v>
      </c>
      <c r="S561">
        <v>0.002</v>
      </c>
      <c r="T561">
        <v>5388151</v>
      </c>
    </row>
    <row r="562" spans="1:24" ht="12.75">
      <c r="A562" s="2" t="str">
        <f>HYPERLINK("https://ibp.a2mac1.com/costing(costing:projects/details/8191/component/5319442)","Hole plug &gt; Round hole")</f>
        <v>Hole plug &gt; Round hole</v>
      </c>
      <c r="B562">
        <v>5319442</v>
      </c>
      <c r="D562">
        <v>0</v>
      </c>
      <c r="E562">
        <v>0.001</v>
      </c>
      <c r="H562">
        <v>1</v>
      </c>
      <c r="I562">
        <v>200000</v>
      </c>
      <c r="J562" t="s">
        <v>79</v>
      </c>
      <c r="K562">
        <v>1</v>
      </c>
      <c r="M562">
        <v>20</v>
      </c>
      <c r="O562">
        <v>0.001</v>
      </c>
      <c r="Q562">
        <v>0</v>
      </c>
      <c r="R562">
        <v>0</v>
      </c>
      <c r="S562">
        <v>0.001</v>
      </c>
      <c r="T562">
        <v>5388151</v>
      </c>
    </row>
    <row r="563" spans="1:24" ht="12.75">
      <c r="A563" s="2" t="str">
        <f>HYPERLINK("https://ibp.a2mac1.com/costing(costing:projects/details/8191/component/5319443)","Hole plug &gt; Round hole")</f>
        <v>Hole plug &gt; Round hole</v>
      </c>
      <c r="B563">
        <v>5319443</v>
      </c>
      <c r="D563">
        <v>0</v>
      </c>
      <c r="E563">
        <v>0.001</v>
      </c>
      <c r="H563">
        <v>2</v>
      </c>
      <c r="I563">
        <v>400000</v>
      </c>
      <c r="J563" t="s">
        <v>79</v>
      </c>
      <c r="K563">
        <v>1</v>
      </c>
      <c r="M563">
        <v>61</v>
      </c>
      <c r="O563">
        <v>0.001</v>
      </c>
      <c r="Q563">
        <v>0</v>
      </c>
      <c r="R563">
        <v>0</v>
      </c>
      <c r="S563">
        <v>0.002</v>
      </c>
      <c r="T563">
        <v>5388151</v>
      </c>
    </row>
    <row r="564" spans="1:24" ht="12.75">
      <c r="A564" s="2" t="str">
        <f>HYPERLINK("https://ibp.a2mac1.com/costing(costing:projects/details/8191/component/5319444)","Stud &gt; Threaded screwed up dowel")</f>
        <v>Stud &gt; Threaded screwed up dowel</v>
      </c>
      <c r="B564">
        <v>5319444</v>
      </c>
      <c r="D564">
        <v>0</v>
      </c>
      <c r="E564">
        <v>0.05</v>
      </c>
      <c r="H564">
        <v>8</v>
      </c>
      <c r="I564">
        <v>1600000</v>
      </c>
      <c r="J564" t="s">
        <v>79</v>
      </c>
      <c r="K564">
        <v>49</v>
      </c>
      <c r="L564">
        <v>7</v>
      </c>
      <c r="M564">
        <v>6</v>
      </c>
      <c r="O564">
        <v>0.0123</v>
      </c>
      <c r="Q564">
        <v>0</v>
      </c>
      <c r="R564">
        <v>0</v>
      </c>
      <c r="S564">
        <v>0.40</v>
      </c>
      <c r="T564">
        <v>5388152</v>
      </c>
    </row>
    <row r="565" spans="1:24" ht="12.75">
      <c r="A565" s="2" t="str">
        <f>HYPERLINK("https://ibp.a2mac1.com/costing(costing:projects/details/8191/component/5319494)","Nut &gt; Hexagonal nut with collar")</f>
        <v>Nut &gt; Hexagonal nut with collar</v>
      </c>
      <c r="B565">
        <v>5319494</v>
      </c>
      <c r="D565">
        <v>0</v>
      </c>
      <c r="E565">
        <v>0</v>
      </c>
      <c r="H565">
        <v>13</v>
      </c>
      <c r="I565">
        <v>2600000</v>
      </c>
      <c r="J565" t="s">
        <v>79</v>
      </c>
      <c r="K565">
        <v>7</v>
      </c>
      <c r="L565">
        <v>10</v>
      </c>
      <c r="M565">
        <v>6</v>
      </c>
      <c r="O565">
        <v>0.0051999999999999998</v>
      </c>
      <c r="Q565">
        <v>0</v>
      </c>
      <c r="R565">
        <v>0</v>
      </c>
      <c r="S565">
        <v>0</v>
      </c>
      <c r="T565">
        <v>5388288</v>
      </c>
    </row>
    <row r="566" spans="1:24" ht="12.75">
      <c r="A566" s="2" t="str">
        <f>HYPERLINK("https://ibp.a2mac1.com/costing(costing:projects/details/8191/component/5319495)","Tube/cluster support &gt; Tube/cluster clipped support in hole")</f>
        <v>Tube/cluster support &gt; Tube/cluster clipped support in hole</v>
      </c>
      <c r="B566">
        <v>5319495</v>
      </c>
      <c r="D566">
        <v>0</v>
      </c>
      <c r="E566">
        <v>0</v>
      </c>
      <c r="H566">
        <v>10</v>
      </c>
      <c r="I566">
        <v>2000000</v>
      </c>
      <c r="J566" t="s">
        <v>79</v>
      </c>
      <c r="K566">
        <v>7</v>
      </c>
      <c r="L566">
        <v>7</v>
      </c>
      <c r="M566">
        <v>13</v>
      </c>
      <c r="O566">
        <v>0.001</v>
      </c>
      <c r="Q566">
        <v>0</v>
      </c>
      <c r="R566">
        <v>0</v>
      </c>
      <c r="S566">
        <v>0</v>
      </c>
      <c r="T566">
        <v>5388289</v>
      </c>
    </row>
    <row r="567" spans="1:24" ht="12.75">
      <c r="A567" s="2" t="str">
        <f>HYPERLINK("https://ibp.a2mac1.com/costing(costing:projects/details/8191/component/5319497)","Screw &gt; Torx socket head cap screw with flange")</f>
        <v>Screw &gt; Torx socket head cap screw with flange</v>
      </c>
      <c r="B567">
        <v>5319497</v>
      </c>
      <c r="D567">
        <v>0</v>
      </c>
      <c r="E567">
        <v>0.02</v>
      </c>
      <c r="H567">
        <v>2</v>
      </c>
      <c r="I567">
        <v>400000</v>
      </c>
      <c r="J567" t="s">
        <v>79</v>
      </c>
      <c r="K567">
        <v>18</v>
      </c>
      <c r="L567">
        <v>4</v>
      </c>
      <c r="M567">
        <v>5</v>
      </c>
      <c r="O567">
        <v>0.0040000000000000001</v>
      </c>
      <c r="Q567">
        <v>0</v>
      </c>
      <c r="R567">
        <v>0</v>
      </c>
      <c r="S567">
        <v>0.04</v>
      </c>
      <c r="T567">
        <v>5388301</v>
      </c>
    </row>
    <row r="568" spans="1:24" ht="12.75">
      <c r="A568" s="2" t="str">
        <f>HYPERLINK("https://ibp.a2mac1.com/costing(costing:projects/details/8191/component/5319498)","Screw &gt; Hexagon screw with captive washer")</f>
        <v>Screw &gt; Hexagon screw with captive washer</v>
      </c>
      <c r="B568">
        <v>5319498</v>
      </c>
      <c r="D568">
        <v>0</v>
      </c>
      <c r="E568">
        <v>0.03</v>
      </c>
      <c r="H568">
        <v>4</v>
      </c>
      <c r="I568">
        <v>800000</v>
      </c>
      <c r="J568" t="s">
        <v>79</v>
      </c>
      <c r="K568">
        <v>10</v>
      </c>
      <c r="L568">
        <v>10</v>
      </c>
      <c r="M568">
        <v>6</v>
      </c>
      <c r="O568">
        <v>0.0073000000000000001</v>
      </c>
      <c r="Q568">
        <v>0</v>
      </c>
      <c r="R568">
        <v>0</v>
      </c>
      <c r="S568">
        <v>0.12</v>
      </c>
      <c r="T568">
        <v>5388301</v>
      </c>
    </row>
    <row r="569" spans="1:24" ht="12.75">
      <c r="A569" s="2" t="str">
        <f>HYPERLINK("https://ibp.a2mac1.com/costing(costing:projects/details/8191/component/5319499)","Nut &gt; Pinching nut for metal sheet screw")</f>
        <v>Nut &gt; Pinching nut for metal sheet screw</v>
      </c>
      <c r="B569">
        <v>5319499</v>
      </c>
      <c r="D569">
        <v>0</v>
      </c>
      <c r="E569">
        <v>0.02</v>
      </c>
      <c r="H569">
        <v>2</v>
      </c>
      <c r="I569">
        <v>400000</v>
      </c>
      <c r="J569" t="s">
        <v>79</v>
      </c>
      <c r="K569">
        <v>3</v>
      </c>
      <c r="L569">
        <v>5</v>
      </c>
      <c r="M569">
        <v>7</v>
      </c>
      <c r="O569">
        <v>0.002</v>
      </c>
      <c r="Q569">
        <v>0</v>
      </c>
      <c r="R569">
        <v>0</v>
      </c>
      <c r="S569">
        <v>0.04</v>
      </c>
      <c r="T569">
        <v>5388301</v>
      </c>
    </row>
    <row r="570" spans="1:24" ht="12.75">
      <c r="A570" s="2" t="str">
        <f>HYPERLINK("https://ibp.a2mac1.com/costing(costing:projects/details/8191/component/5319500)","Screw &gt; Hexagon screw with captive washer")</f>
        <v>Screw &gt; Hexagon screw with captive washer</v>
      </c>
      <c r="B570">
        <v>5319500</v>
      </c>
      <c r="D570">
        <v>0</v>
      </c>
      <c r="E570">
        <v>0.03</v>
      </c>
      <c r="H570">
        <v>4</v>
      </c>
      <c r="I570">
        <v>800000</v>
      </c>
      <c r="J570" t="s">
        <v>79</v>
      </c>
      <c r="K570">
        <v>10</v>
      </c>
      <c r="L570">
        <v>10</v>
      </c>
      <c r="M570">
        <v>6</v>
      </c>
      <c r="O570">
        <v>0.0073000000000000001</v>
      </c>
      <c r="Q570">
        <v>0</v>
      </c>
      <c r="R570">
        <v>0</v>
      </c>
      <c r="S570">
        <v>0.12</v>
      </c>
      <c r="T570">
        <v>5388301</v>
      </c>
    </row>
    <row r="571" spans="1:24" ht="12.75">
      <c r="A571" s="2" t="str">
        <f>HYPERLINK("https://ibp.a2mac1.com/costing(costing:projects/details/8191/component/5319501)","Screw &gt; Hexagon screw with captive washer")</f>
        <v>Screw &gt; Hexagon screw with captive washer</v>
      </c>
      <c r="B571">
        <v>5319501</v>
      </c>
      <c r="D571">
        <v>0</v>
      </c>
      <c r="E571">
        <v>0.03</v>
      </c>
      <c r="H571">
        <v>2</v>
      </c>
      <c r="I571">
        <v>400000</v>
      </c>
      <c r="J571" t="s">
        <v>79</v>
      </c>
      <c r="K571">
        <v>10</v>
      </c>
      <c r="L571">
        <v>10</v>
      </c>
      <c r="M571">
        <v>6</v>
      </c>
      <c r="O571">
        <v>0.0075</v>
      </c>
      <c r="Q571">
        <v>0</v>
      </c>
      <c r="R571">
        <v>0</v>
      </c>
      <c r="S571">
        <v>0.06</v>
      </c>
      <c r="T571">
        <v>5388301</v>
      </c>
    </row>
    <row r="572" spans="1:24" ht="12.75">
      <c r="A572" s="2" t="str">
        <f>HYPERLINK("https://ibp.a2mac1.com/costing(costing:projects/details/8191/component/5319502)","Screw &gt; Torx socket head cap screw with flange")</f>
        <v>Screw &gt; Torx socket head cap screw with flange</v>
      </c>
      <c r="B572">
        <v>5319502</v>
      </c>
      <c r="D572">
        <v>0</v>
      </c>
      <c r="E572">
        <v>0.10</v>
      </c>
      <c r="H572">
        <v>2</v>
      </c>
      <c r="I572">
        <v>400000</v>
      </c>
      <c r="J572" t="s">
        <v>79</v>
      </c>
      <c r="K572">
        <v>16</v>
      </c>
      <c r="L572">
        <v>4</v>
      </c>
      <c r="M572">
        <v>5</v>
      </c>
      <c r="O572">
        <v>0.0040000000000000001</v>
      </c>
      <c r="Q572">
        <v>0</v>
      </c>
      <c r="R572">
        <v>0</v>
      </c>
      <c r="S572">
        <v>0.20</v>
      </c>
      <c r="T572">
        <v>5388303</v>
      </c>
    </row>
    <row r="573" spans="1:24" ht="12.75">
      <c r="A573" s="2" t="str">
        <f>HYPERLINK("https://ibp.a2mac1.com/costing(costing:projects/details/8191/component/5319685)","Screw &gt; Torx socket head cap screw with flange")</f>
        <v>Screw &gt; Torx socket head cap screw with flange</v>
      </c>
      <c r="B573">
        <v>5319685</v>
      </c>
      <c r="D573">
        <v>0</v>
      </c>
      <c r="E573">
        <v>0</v>
      </c>
      <c r="H573">
        <v>8</v>
      </c>
      <c r="I573">
        <v>1600000</v>
      </c>
      <c r="J573" t="s">
        <v>79</v>
      </c>
      <c r="K573">
        <v>16</v>
      </c>
      <c r="L573">
        <v>4</v>
      </c>
      <c r="M573">
        <v>5</v>
      </c>
      <c r="O573">
        <v>0.0040000000000000001</v>
      </c>
      <c r="Q573">
        <v>0</v>
      </c>
      <c r="R573">
        <v>0</v>
      </c>
      <c r="S573">
        <v>0</v>
      </c>
      <c r="T573">
        <v>5388648</v>
      </c>
    </row>
    <row r="574" spans="1:24" ht="12.75">
      <c r="A574" s="2" t="str">
        <f>HYPERLINK("https://ibp.a2mac1.com/costing(costing:projects/details/8191/component/5319683)","Copper")</f>
        <v>Copper</v>
      </c>
      <c r="B574">
        <v>5319683</v>
      </c>
      <c r="D574">
        <v>0</v>
      </c>
      <c r="E574">
        <v>0.82123999999999997</v>
      </c>
      <c r="H574">
        <v>1</v>
      </c>
      <c r="I574">
        <v>200000</v>
      </c>
      <c r="J574" t="s">
        <v>136</v>
      </c>
      <c r="K574">
        <v>0</v>
      </c>
      <c r="L574">
        <v>0</v>
      </c>
      <c r="M574">
        <v>0</v>
      </c>
      <c r="N574">
        <v>0</v>
      </c>
      <c r="O574">
        <v>0</v>
      </c>
      <c r="Q574">
        <v>0</v>
      </c>
      <c r="R574">
        <v>0</v>
      </c>
      <c r="S574">
        <v>0.82123999999999997</v>
      </c>
      <c r="U574">
        <v>5388641</v>
      </c>
    </row>
    <row r="575" spans="1:24" ht="12.75">
      <c r="A575" s="2" t="str">
        <f>HYPERLINK("https://ibp.a2mac1.com/costing(costing:projects/details/8191/component/5319684)","Material")</f>
        <v>Material</v>
      </c>
      <c r="B575">
        <v>5319684</v>
      </c>
      <c r="D575">
        <v>0</v>
      </c>
      <c r="E575">
        <v>6.6160500000000004</v>
      </c>
      <c r="F575" t="s">
        <v>1641</v>
      </c>
      <c r="H575">
        <v>1</v>
      </c>
      <c r="I575">
        <v>200000</v>
      </c>
      <c r="J575" t="s">
        <v>136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1642</v>
      </c>
      <c r="Q575">
        <v>0</v>
      </c>
      <c r="R575">
        <v>0</v>
      </c>
      <c r="S575">
        <v>6.4978846692423584</v>
      </c>
      <c r="U575">
        <v>5388641</v>
      </c>
    </row>
    <row r="576" spans="1:24" ht="12.75">
      <c r="A576" s="2" t="str">
        <f>HYPERLINK("https://ibp.a2mac1.com/costing(costing:projects/details/8191/component/5319503)","Screw &gt; Torx socket head cap screw with flange")</f>
        <v>Screw &gt; Torx socket head cap screw with flange</v>
      </c>
      <c r="B576">
        <v>5319503</v>
      </c>
      <c r="D576">
        <v>0</v>
      </c>
      <c r="E576">
        <v>0</v>
      </c>
      <c r="H576">
        <v>2</v>
      </c>
      <c r="I576">
        <v>400000</v>
      </c>
      <c r="J576" t="s">
        <v>79</v>
      </c>
      <c r="K576">
        <v>16</v>
      </c>
      <c r="L576">
        <v>4</v>
      </c>
      <c r="M576">
        <v>5</v>
      </c>
      <c r="O576">
        <v>0.0040000000000000001</v>
      </c>
      <c r="Q576">
        <v>0</v>
      </c>
      <c r="R576">
        <v>0</v>
      </c>
      <c r="S576">
        <v>0</v>
      </c>
      <c r="T576">
        <v>5388304</v>
      </c>
    </row>
    <row r="577" spans="1:24" ht="12.75">
      <c r="A577" s="2" t="str">
        <f>HYPERLINK("https://ibp.a2mac1.com/costing(costing:projects/details/8191/component/5319504)","Tube/cluster support &gt; Tube/cluster beribboned support on board side")</f>
        <v>Tube/cluster support &gt; Tube/cluster beribboned support on board side</v>
      </c>
      <c r="B577">
        <v>5319504</v>
      </c>
      <c r="D577">
        <v>0</v>
      </c>
      <c r="E577">
        <v>0</v>
      </c>
      <c r="H577">
        <v>7</v>
      </c>
      <c r="I577">
        <v>1400000</v>
      </c>
      <c r="J577" t="s">
        <v>79</v>
      </c>
      <c r="K577">
        <v>10</v>
      </c>
      <c r="L577">
        <v>4</v>
      </c>
      <c r="M577">
        <v>6</v>
      </c>
      <c r="O577">
        <v>0.00029999999999999997</v>
      </c>
      <c r="Q577">
        <v>0</v>
      </c>
      <c r="R577">
        <v>0</v>
      </c>
      <c r="S577">
        <v>0</v>
      </c>
      <c r="T577">
        <v>5388304</v>
      </c>
    </row>
    <row r="578" spans="1:24" ht="12.75">
      <c r="A578" s="2" t="str">
        <f>HYPERLINK("https://ibp.a2mac1.com/costing(costing:projects/details/8191/component/5319505)","Screw &gt; Torx socket head cap screw with flange")</f>
        <v>Screw &gt; Torx socket head cap screw with flange</v>
      </c>
      <c r="B578">
        <v>5319505</v>
      </c>
      <c r="D578">
        <v>0</v>
      </c>
      <c r="E578">
        <v>0</v>
      </c>
      <c r="H578">
        <v>2</v>
      </c>
      <c r="I578">
        <v>400000</v>
      </c>
      <c r="J578" t="s">
        <v>79</v>
      </c>
      <c r="K578">
        <v>16</v>
      </c>
      <c r="L578">
        <v>4</v>
      </c>
      <c r="M578">
        <v>5</v>
      </c>
      <c r="O578">
        <v>0.0040000000000000001</v>
      </c>
      <c r="Q578">
        <v>0</v>
      </c>
      <c r="R578">
        <v>0</v>
      </c>
      <c r="S578">
        <v>0</v>
      </c>
      <c r="T578">
        <v>5388304</v>
      </c>
    </row>
    <row r="579" spans="1:24" ht="12.75">
      <c r="A579" s="2" t="str">
        <f>HYPERLINK("https://ibp.a2mac1.com/costing(costing:projects/details/8191/component/5319506)","Panel holder &gt; Clips in round hole")</f>
        <v>Panel holder &gt; Clips in round hole</v>
      </c>
      <c r="B579">
        <v>5319506</v>
      </c>
      <c r="D579">
        <v>0</v>
      </c>
      <c r="E579">
        <v>0</v>
      </c>
      <c r="H579">
        <v>27</v>
      </c>
      <c r="I579">
        <v>5400000</v>
      </c>
      <c r="J579" t="s">
        <v>79</v>
      </c>
      <c r="K579">
        <v>5</v>
      </c>
      <c r="L579">
        <v>14</v>
      </c>
      <c r="M579">
        <v>4</v>
      </c>
      <c r="O579">
        <v>0.00029999999999999997</v>
      </c>
      <c r="Q579">
        <v>0</v>
      </c>
      <c r="R579">
        <v>0</v>
      </c>
      <c r="S579">
        <v>0</v>
      </c>
      <c r="T579">
        <v>5388304</v>
      </c>
    </row>
    <row r="580" spans="1:24" ht="12.75">
      <c r="A580" s="2" t="str">
        <f>HYPERLINK("https://ibp.a2mac1.com/costing(costing:projects/details/8191/component/5319686)","Other fastener &gt; Insert")</f>
        <v>Other fastener &gt; Insert</v>
      </c>
      <c r="B580">
        <v>5319686</v>
      </c>
      <c r="D580">
        <v>0</v>
      </c>
      <c r="E580">
        <v>0</v>
      </c>
      <c r="H580">
        <v>6</v>
      </c>
      <c r="I580">
        <v>1200000</v>
      </c>
      <c r="J580" t="s">
        <v>79</v>
      </c>
      <c r="K580">
        <v>12</v>
      </c>
      <c r="L580">
        <v>4</v>
      </c>
      <c r="M580">
        <v>17</v>
      </c>
      <c r="O580">
        <v>0.00080000000000000004</v>
      </c>
      <c r="Q580">
        <v>0</v>
      </c>
      <c r="R580">
        <v>0</v>
      </c>
      <c r="S580">
        <v>0</v>
      </c>
      <c r="T580">
        <v>5388649</v>
      </c>
    </row>
    <row r="581" spans="1:24" ht="12.75">
      <c r="A581" s="2" t="str">
        <f>HYPERLINK("https://ibp.a2mac1.com/costing(costing:projects/details/8191/component/5319687)","Panel holder &gt; Multifunction clips")</f>
        <v>Panel holder &gt; Multifunction clips</v>
      </c>
      <c r="B581">
        <v>5319687</v>
      </c>
      <c r="D581">
        <v>0</v>
      </c>
      <c r="E581">
        <v>0</v>
      </c>
      <c r="H581">
        <v>4</v>
      </c>
      <c r="I581">
        <v>800000</v>
      </c>
      <c r="J581" t="s">
        <v>79</v>
      </c>
      <c r="K581">
        <v>2</v>
      </c>
      <c r="L581">
        <v>6</v>
      </c>
      <c r="M581">
        <v>2</v>
      </c>
      <c r="O581">
        <v>0.0022000000000000001</v>
      </c>
      <c r="Q581">
        <v>0</v>
      </c>
      <c r="R581">
        <v>0</v>
      </c>
      <c r="S581">
        <v>0</v>
      </c>
      <c r="T581">
        <v>5388650</v>
      </c>
    </row>
    <row r="582" spans="1:24" ht="12.75">
      <c r="A582" s="2" t="str">
        <f>HYPERLINK("https://ibp.a2mac1.com/costing(costing:projects/details/8191/component/5319507)","Screw &gt; Hexagon screw with flange")</f>
        <v>Screw &gt; Hexagon screw with flange</v>
      </c>
      <c r="B582">
        <v>5319507</v>
      </c>
      <c r="D582">
        <v>0</v>
      </c>
      <c r="E582">
        <v>0</v>
      </c>
      <c r="H582">
        <v>8</v>
      </c>
      <c r="I582">
        <v>1600000</v>
      </c>
      <c r="J582" t="s">
        <v>79</v>
      </c>
      <c r="K582">
        <v>35</v>
      </c>
      <c r="L582">
        <v>16</v>
      </c>
      <c r="M582">
        <v>10</v>
      </c>
      <c r="O582">
        <v>0.041599999999999998</v>
      </c>
      <c r="Q582">
        <v>0</v>
      </c>
      <c r="R582">
        <v>0</v>
      </c>
      <c r="S582">
        <v>0</v>
      </c>
      <c r="T582">
        <v>5388307</v>
      </c>
    </row>
    <row r="583" spans="1:24" ht="12.75">
      <c r="A583" s="2" t="str">
        <f>HYPERLINK("https://ibp.a2mac1.com/costing(costing:projects/details/8191/component/5319508)","Nut &gt; Hexagonal nut with collar")</f>
        <v>Nut &gt; Hexagonal nut with collar</v>
      </c>
      <c r="B583">
        <v>5319508</v>
      </c>
      <c r="D583">
        <v>0</v>
      </c>
      <c r="E583">
        <v>0</v>
      </c>
      <c r="H583">
        <v>2</v>
      </c>
      <c r="I583">
        <v>400000</v>
      </c>
      <c r="J583" t="s">
        <v>79</v>
      </c>
      <c r="K583">
        <v>11</v>
      </c>
      <c r="L583">
        <v>10</v>
      </c>
      <c r="M583">
        <v>5</v>
      </c>
      <c r="O583">
        <v>0.002</v>
      </c>
      <c r="Q583">
        <v>0</v>
      </c>
      <c r="R583">
        <v>0</v>
      </c>
      <c r="S583">
        <v>0</v>
      </c>
      <c r="T583">
        <v>5388308</v>
      </c>
    </row>
    <row r="584" spans="1:24" ht="12.75">
      <c r="A584" s="2" t="str">
        <f>HYPERLINK("https://ibp.a2mac1.com/costing(costing:projects/details/8191/component/5319509)","Nut &gt; Hexagonal nut with collar")</f>
        <v>Nut &gt; Hexagonal nut with collar</v>
      </c>
      <c r="B584">
        <v>5319509</v>
      </c>
      <c r="D584">
        <v>0</v>
      </c>
      <c r="E584">
        <v>0</v>
      </c>
      <c r="H584">
        <v>2</v>
      </c>
      <c r="I584">
        <v>400000</v>
      </c>
      <c r="J584" t="s">
        <v>79</v>
      </c>
      <c r="K584">
        <v>11</v>
      </c>
      <c r="L584">
        <v>10</v>
      </c>
      <c r="M584">
        <v>5</v>
      </c>
      <c r="O584">
        <v>0.002</v>
      </c>
      <c r="Q584">
        <v>0</v>
      </c>
      <c r="R584">
        <v>0</v>
      </c>
      <c r="S584">
        <v>0</v>
      </c>
      <c r="T584">
        <v>5388308</v>
      </c>
    </row>
    <row r="585" spans="1:24" ht="12.75">
      <c r="A585" s="2" t="str">
        <f>HYPERLINK("https://ibp.a2mac1.com/costing(costing:projects/details/8191/component/5319510)","Nut &gt; Clipping nut for soft materials screw")</f>
        <v>Nut &gt; Clipping nut for soft materials screw</v>
      </c>
      <c r="B585">
        <v>5319510</v>
      </c>
      <c r="D585">
        <v>0</v>
      </c>
      <c r="E585">
        <v>0</v>
      </c>
      <c r="H585">
        <v>2</v>
      </c>
      <c r="I585">
        <v>400000</v>
      </c>
      <c r="J585" t="s">
        <v>79</v>
      </c>
      <c r="K585">
        <v>18</v>
      </c>
      <c r="L585">
        <v>5</v>
      </c>
      <c r="M585">
        <v>10</v>
      </c>
      <c r="O585">
        <v>0.0015</v>
      </c>
      <c r="Q585">
        <v>0</v>
      </c>
      <c r="R585">
        <v>0</v>
      </c>
      <c r="S585">
        <v>0</v>
      </c>
      <c r="T585">
        <v>5388310</v>
      </c>
    </row>
    <row r="586" spans="1:24" ht="12.75">
      <c r="A586" s="2" t="str">
        <f>HYPERLINK("https://ibp.a2mac1.com/costing(costing:projects/details/8191/component/5319511)","Nut &gt; Clipping nut for soft materials screw")</f>
        <v>Nut &gt; Clipping nut for soft materials screw</v>
      </c>
      <c r="B586">
        <v>5319511</v>
      </c>
      <c r="D586">
        <v>0</v>
      </c>
      <c r="E586">
        <v>0</v>
      </c>
      <c r="H586">
        <v>1</v>
      </c>
      <c r="I586">
        <v>200000</v>
      </c>
      <c r="J586" t="s">
        <v>79</v>
      </c>
      <c r="K586">
        <v>18</v>
      </c>
      <c r="L586">
        <v>5</v>
      </c>
      <c r="M586">
        <v>10</v>
      </c>
      <c r="O586">
        <v>0.002</v>
      </c>
      <c r="Q586">
        <v>0</v>
      </c>
      <c r="R586">
        <v>0</v>
      </c>
      <c r="S586">
        <v>0</v>
      </c>
      <c r="T586">
        <v>5388310</v>
      </c>
    </row>
    <row r="587" spans="1:24" ht="12.75">
      <c r="A587" s="2" t="str">
        <f>HYPERLINK("https://ibp.a2mac1.com/costing(costing:projects/details/8191/component/5319512)","Nut &gt; Clipping nut for soft materials screw")</f>
        <v>Nut &gt; Clipping nut for soft materials screw</v>
      </c>
      <c r="B587">
        <v>5319512</v>
      </c>
      <c r="D587">
        <v>0</v>
      </c>
      <c r="E587">
        <v>0</v>
      </c>
      <c r="H587">
        <v>2</v>
      </c>
      <c r="I587">
        <v>400000</v>
      </c>
      <c r="J587" t="s">
        <v>79</v>
      </c>
      <c r="K587">
        <v>17</v>
      </c>
      <c r="L587">
        <v>5</v>
      </c>
      <c r="M587">
        <v>8</v>
      </c>
      <c r="O587">
        <v>0.00050000000000000001</v>
      </c>
      <c r="Q587">
        <v>0</v>
      </c>
      <c r="R587">
        <v>0</v>
      </c>
      <c r="S587">
        <v>0</v>
      </c>
      <c r="T587">
        <v>5388310</v>
      </c>
    </row>
    <row r="588" spans="1:24" ht="12.75">
      <c r="A588" s="2" t="str">
        <f>HYPERLINK("https://ibp.a2mac1.com/costing(costing:projects/details/8191/component/5319513)","Other fastener &gt; Attachment")</f>
        <v>Other fastener &gt; Attachment</v>
      </c>
      <c r="B588">
        <v>5319513</v>
      </c>
      <c r="D588">
        <v>0</v>
      </c>
      <c r="E588">
        <v>0</v>
      </c>
      <c r="H588">
        <v>3</v>
      </c>
      <c r="I588">
        <v>600000</v>
      </c>
      <c r="J588" t="s">
        <v>79</v>
      </c>
      <c r="K588">
        <v>13</v>
      </c>
      <c r="L588">
        <v>13</v>
      </c>
      <c r="M588">
        <v>14</v>
      </c>
      <c r="O588">
        <v>0.00029999999999999997</v>
      </c>
      <c r="Q588">
        <v>0</v>
      </c>
      <c r="R588">
        <v>0</v>
      </c>
      <c r="S588">
        <v>0</v>
      </c>
      <c r="T588">
        <v>5388310</v>
      </c>
    </row>
    <row r="589" spans="1:24" ht="12.75">
      <c r="A589" s="2" t="str">
        <f>HYPERLINK("https://ibp.a2mac1.com/costing(costing:projects/details/8191/component/5319514)","Screw &gt; Torx socket head cap screw with flange")</f>
        <v>Screw &gt; Torx socket head cap screw with flange</v>
      </c>
      <c r="B589">
        <v>5319514</v>
      </c>
      <c r="D589">
        <v>0</v>
      </c>
      <c r="E589">
        <v>0</v>
      </c>
      <c r="H589">
        <v>4</v>
      </c>
      <c r="I589">
        <v>800000</v>
      </c>
      <c r="J589" t="s">
        <v>79</v>
      </c>
      <c r="K589">
        <v>16</v>
      </c>
      <c r="L589">
        <v>4</v>
      </c>
      <c r="M589">
        <v>5</v>
      </c>
      <c r="O589">
        <v>0.0040000000000000001</v>
      </c>
      <c r="Q589">
        <v>0</v>
      </c>
      <c r="R589">
        <v>0</v>
      </c>
      <c r="S589">
        <v>0</v>
      </c>
      <c r="T589">
        <v>5388311</v>
      </c>
    </row>
    <row r="590" spans="1:24" ht="12.75">
      <c r="A590" s="2" t="str">
        <f>HYPERLINK("https://ibp.a2mac1.com/costing(costing:projects/details/8191/component/5319515)","Screw &gt; Torx socket head cap screw with flange")</f>
        <v>Screw &gt; Torx socket head cap screw with flange</v>
      </c>
      <c r="B590">
        <v>5319515</v>
      </c>
      <c r="D590">
        <v>0</v>
      </c>
      <c r="E590">
        <v>0</v>
      </c>
      <c r="H590">
        <v>4</v>
      </c>
      <c r="I590">
        <v>800000</v>
      </c>
      <c r="J590" t="s">
        <v>79</v>
      </c>
      <c r="K590">
        <v>16</v>
      </c>
      <c r="L590">
        <v>4</v>
      </c>
      <c r="M590">
        <v>5</v>
      </c>
      <c r="O590">
        <v>0.0040000000000000001</v>
      </c>
      <c r="Q590">
        <v>0</v>
      </c>
      <c r="R590">
        <v>0</v>
      </c>
      <c r="S590">
        <v>0</v>
      </c>
      <c r="T590">
        <v>5388311</v>
      </c>
    </row>
    <row r="591" spans="1:24" ht="12.75">
      <c r="A591" s="2" t="str">
        <f>HYPERLINK("https://ibp.a2mac1.com/costing(costing:projects/details/8191/component/5319516)","Screw &gt; Torx socket head cap screw with flange")</f>
        <v>Screw &gt; Torx socket head cap screw with flange</v>
      </c>
      <c r="B591">
        <v>5319516</v>
      </c>
      <c r="D591">
        <v>0</v>
      </c>
      <c r="E591">
        <v>0</v>
      </c>
      <c r="H591">
        <v>2</v>
      </c>
      <c r="I591">
        <v>400000</v>
      </c>
      <c r="J591" t="s">
        <v>79</v>
      </c>
      <c r="K591">
        <v>16</v>
      </c>
      <c r="L591">
        <v>4</v>
      </c>
      <c r="M591">
        <v>5</v>
      </c>
      <c r="O591">
        <v>0.0040000000000000001</v>
      </c>
      <c r="Q591">
        <v>0</v>
      </c>
      <c r="R591">
        <v>0</v>
      </c>
      <c r="S591">
        <v>0</v>
      </c>
      <c r="T591">
        <v>5388311</v>
      </c>
    </row>
    <row r="592" spans="1:24" ht="12.75">
      <c r="A592" s="2" t="str">
        <f>HYPERLINK("https://ibp.a2mac1.com/costing(costing:projects/details/8191/component/5319517)","Screw &gt; Torx socket head cap screw with flange")</f>
        <v>Screw &gt; Torx socket head cap screw with flange</v>
      </c>
      <c r="B592">
        <v>5319517</v>
      </c>
      <c r="D592">
        <v>0</v>
      </c>
      <c r="E592">
        <v>0</v>
      </c>
      <c r="H592">
        <v>2</v>
      </c>
      <c r="I592">
        <v>400000</v>
      </c>
      <c r="J592" t="s">
        <v>79</v>
      </c>
      <c r="K592">
        <v>16</v>
      </c>
      <c r="L592">
        <v>4</v>
      </c>
      <c r="M592">
        <v>5</v>
      </c>
      <c r="O592">
        <v>0.0040000000000000001</v>
      </c>
      <c r="Q592">
        <v>0</v>
      </c>
      <c r="R592">
        <v>0</v>
      </c>
      <c r="S592">
        <v>0</v>
      </c>
      <c r="T592">
        <v>5388311</v>
      </c>
    </row>
    <row r="593" spans="1:24" ht="12.75">
      <c r="A593" s="2" t="str">
        <f>HYPERLINK("https://ibp.a2mac1.com/costing(costing:projects/details/8191/component/5319689)","Nut &gt; Clipping nut for metal sheet screw")</f>
        <v>Nut &gt; Clipping nut for metal sheet screw</v>
      </c>
      <c r="B593">
        <v>5319689</v>
      </c>
      <c r="D593">
        <v>0</v>
      </c>
      <c r="E593">
        <v>0</v>
      </c>
      <c r="H593">
        <v>3</v>
      </c>
      <c r="I593">
        <v>600000</v>
      </c>
      <c r="J593" t="s">
        <v>79</v>
      </c>
      <c r="K593">
        <v>17</v>
      </c>
      <c r="L593">
        <v>5</v>
      </c>
      <c r="M593">
        <v>8</v>
      </c>
      <c r="O593">
        <v>0.00069999999999999999</v>
      </c>
      <c r="Q593">
        <v>0</v>
      </c>
      <c r="R593">
        <v>0</v>
      </c>
      <c r="S593">
        <v>0</v>
      </c>
      <c r="T593">
        <v>5388668</v>
      </c>
    </row>
    <row r="594" spans="1:24" ht="12.75">
      <c r="A594" s="2" t="str">
        <f>HYPERLINK("https://ibp.a2mac1.com/costing(costing:projects/details/8191/component/5319690)","Screw &gt; Torx socket head cap screw with flange")</f>
        <v>Screw &gt; Torx socket head cap screw with flange</v>
      </c>
      <c r="B594">
        <v>5319690</v>
      </c>
      <c r="D594">
        <v>0</v>
      </c>
      <c r="E594">
        <v>0</v>
      </c>
      <c r="H594">
        <v>9</v>
      </c>
      <c r="I594">
        <v>1800000</v>
      </c>
      <c r="J594" t="s">
        <v>79</v>
      </c>
      <c r="K594">
        <v>16</v>
      </c>
      <c r="L594">
        <v>4</v>
      </c>
      <c r="M594">
        <v>5</v>
      </c>
      <c r="O594">
        <v>0.0038999999999999998</v>
      </c>
      <c r="Q594">
        <v>0</v>
      </c>
      <c r="R594">
        <v>0</v>
      </c>
      <c r="S594">
        <v>0</v>
      </c>
      <c r="T594">
        <v>5388669</v>
      </c>
    </row>
    <row r="595" spans="1:24" ht="12.75">
      <c r="A595" s="2" t="str">
        <f>HYPERLINK("https://ibp.a2mac1.com/costing(costing:projects/details/8191/component/5319518)","Nut &gt; Clipping nut for soft materials screw")</f>
        <v>Nut &gt; Clipping nut for soft materials screw</v>
      </c>
      <c r="B595">
        <v>5319518</v>
      </c>
      <c r="D595">
        <v>0</v>
      </c>
      <c r="E595">
        <v>0</v>
      </c>
      <c r="H595">
        <v>2</v>
      </c>
      <c r="I595">
        <v>400000</v>
      </c>
      <c r="J595" t="s">
        <v>79</v>
      </c>
      <c r="K595">
        <v>17</v>
      </c>
      <c r="L595">
        <v>5</v>
      </c>
      <c r="M595">
        <v>8</v>
      </c>
      <c r="O595">
        <v>0.001</v>
      </c>
      <c r="Q595">
        <v>0</v>
      </c>
      <c r="R595">
        <v>0</v>
      </c>
      <c r="S595">
        <v>0</v>
      </c>
      <c r="T595">
        <v>5388312</v>
      </c>
    </row>
    <row r="596" spans="1:24" ht="12.75">
      <c r="A596" s="2" t="str">
        <f>HYPERLINK("https://ibp.a2mac1.com/costing(costing:projects/details/8191/component/5319445)","Screw &gt; Hexagon screw with flange and captive washer")</f>
        <v>Screw &gt; Hexagon screw with flange and captive washer</v>
      </c>
      <c r="B596">
        <v>5319445</v>
      </c>
      <c r="D596">
        <v>0</v>
      </c>
      <c r="E596">
        <v>0.05</v>
      </c>
      <c r="H596">
        <v>4</v>
      </c>
      <c r="I596">
        <v>800000</v>
      </c>
      <c r="J596" t="s">
        <v>79</v>
      </c>
      <c r="K596">
        <v>37</v>
      </c>
      <c r="L596">
        <v>16</v>
      </c>
      <c r="M596">
        <v>10</v>
      </c>
      <c r="O596">
        <v>0.053199999999999997</v>
      </c>
      <c r="Q596">
        <v>0</v>
      </c>
      <c r="R596">
        <v>0</v>
      </c>
      <c r="S596">
        <v>0.20</v>
      </c>
      <c r="T596">
        <v>5388159</v>
      </c>
    </row>
    <row r="597" spans="1:24" ht="12.75">
      <c r="A597" s="2" t="str">
        <f>HYPERLINK("https://ibp.a2mac1.com/costing(costing:projects/details/8191/component/5319519)","Mechanics")</f>
        <v>Mechanics</v>
      </c>
      <c r="B597">
        <v>5319519</v>
      </c>
      <c r="D597">
        <v>0</v>
      </c>
      <c r="E597">
        <v>26.270409999999998</v>
      </c>
      <c r="H597">
        <v>1</v>
      </c>
      <c r="I597">
        <v>400000</v>
      </c>
      <c r="J597" t="s">
        <v>79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575</v>
      </c>
      <c r="Q597">
        <v>0</v>
      </c>
      <c r="R597">
        <v>0</v>
      </c>
      <c r="S597">
        <v>25.231010476508022</v>
      </c>
      <c r="T597">
        <v>5388313</v>
      </c>
    </row>
    <row r="598" spans="1:24" ht="12.75">
      <c r="A598" s="2" t="str">
        <f>HYPERLINK("https://ibp.a2mac1.com/costing(costing:projects/details/8191/component/5319520)","Electronics")</f>
        <v>Electronics</v>
      </c>
      <c r="B598">
        <v>5319520</v>
      </c>
      <c r="D598">
        <v>0</v>
      </c>
      <c r="E598">
        <v>67.664519999999996</v>
      </c>
      <c r="H598">
        <v>1</v>
      </c>
      <c r="I598">
        <v>400000</v>
      </c>
      <c r="J598" t="s">
        <v>79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573</v>
      </c>
      <c r="Q598">
        <v>0</v>
      </c>
      <c r="R598">
        <v>0</v>
      </c>
      <c r="S598">
        <v>60.281379132887849</v>
      </c>
      <c r="T598">
        <v>5388313</v>
      </c>
    </row>
    <row r="599" spans="1:24" ht="12.75">
      <c r="A599" s="2" t="str">
        <f>HYPERLINK("https://ibp.a2mac1.com/costing(costing:projects/details/8191/component/5319691)","Mechanics")</f>
        <v>Mechanics</v>
      </c>
      <c r="B599">
        <v>5319691</v>
      </c>
      <c r="D599">
        <v>0</v>
      </c>
      <c r="E599">
        <v>1.31029</v>
      </c>
      <c r="H599">
        <v>1</v>
      </c>
      <c r="I599">
        <v>400000</v>
      </c>
      <c r="J599" t="s">
        <v>136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575</v>
      </c>
      <c r="Q599">
        <v>0</v>
      </c>
      <c r="R599">
        <v>0</v>
      </c>
      <c r="S599">
        <v>1.2584478398800665</v>
      </c>
      <c r="U599">
        <v>5388671</v>
      </c>
    </row>
    <row r="600" spans="1:24" ht="12.75">
      <c r="A600" s="2" t="str">
        <f>HYPERLINK("https://ibp.a2mac1.com/costing(costing:projects/details/8191/component/5319692)","Electronics")</f>
        <v>Electronics</v>
      </c>
      <c r="B600">
        <v>5319692</v>
      </c>
      <c r="D600">
        <v>0</v>
      </c>
      <c r="E600">
        <v>14.671569999999999</v>
      </c>
      <c r="H600">
        <v>1</v>
      </c>
      <c r="I600">
        <v>400000</v>
      </c>
      <c r="J600" t="s">
        <v>136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573</v>
      </c>
      <c r="Q600">
        <v>0</v>
      </c>
      <c r="R600">
        <v>0</v>
      </c>
      <c r="S600">
        <v>13.070697518355313</v>
      </c>
      <c r="U600">
        <v>5388671</v>
      </c>
    </row>
    <row r="601" spans="1:24" ht="12.75">
      <c r="A601" s="2" t="str">
        <f>HYPERLINK("https://ibp.a2mac1.com/costing(costing:projects/details/8191/component/5319446)","Other fastener &gt; Insert")</f>
        <v>Other fastener &gt; Insert</v>
      </c>
      <c r="B601">
        <v>5319446</v>
      </c>
      <c r="D601">
        <v>0</v>
      </c>
      <c r="E601">
        <v>0</v>
      </c>
      <c r="H601">
        <v>2</v>
      </c>
      <c r="I601">
        <v>400000</v>
      </c>
      <c r="J601" t="s">
        <v>79</v>
      </c>
      <c r="K601">
        <v>21</v>
      </c>
      <c r="L601">
        <v>12</v>
      </c>
      <c r="M601">
        <v>9</v>
      </c>
      <c r="O601">
        <v>0.0030000000000000001</v>
      </c>
      <c r="Q601">
        <v>0</v>
      </c>
      <c r="R601">
        <v>0</v>
      </c>
      <c r="S601">
        <v>0</v>
      </c>
      <c r="T601">
        <v>5388162</v>
      </c>
    </row>
    <row r="602" spans="1:24" ht="12.75">
      <c r="A602" s="2" t="str">
        <f>HYPERLINK("https://ibp.a2mac1.com/costing(costing:projects/details/8191/component/5319521)","Electronics")</f>
        <v>Electronics</v>
      </c>
      <c r="B602">
        <v>5319521</v>
      </c>
      <c r="D602">
        <v>0</v>
      </c>
      <c r="E602">
        <v>17.06146</v>
      </c>
      <c r="H602">
        <v>1</v>
      </c>
      <c r="I602">
        <v>400000</v>
      </c>
      <c r="J602" t="s">
        <v>136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573</v>
      </c>
      <c r="Q602">
        <v>0</v>
      </c>
      <c r="R602">
        <v>0</v>
      </c>
      <c r="S602">
        <v>15.199817257561286</v>
      </c>
      <c r="U602">
        <v>5388317</v>
      </c>
    </row>
    <row r="603" spans="1:24" ht="12.75">
      <c r="A603" s="2" t="str">
        <f>HYPERLINK("https://ibp.a2mac1.com/costing(costing:projects/details/8191/component/5319522)","Mechanics")</f>
        <v>Mechanics</v>
      </c>
      <c r="B603">
        <v>5319522</v>
      </c>
      <c r="D603">
        <v>0</v>
      </c>
      <c r="E603">
        <v>7.6772</v>
      </c>
      <c r="H603">
        <v>1</v>
      </c>
      <c r="I603">
        <v>400000</v>
      </c>
      <c r="J603" t="s">
        <v>136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575</v>
      </c>
      <c r="Q603">
        <v>0</v>
      </c>
      <c r="R603">
        <v>0</v>
      </c>
      <c r="S603">
        <v>7.373448439908147</v>
      </c>
      <c r="U603">
        <v>5388317</v>
      </c>
    </row>
    <row r="604" spans="1:24" ht="12.75">
      <c r="A604" s="2" t="str">
        <f>HYPERLINK("https://ibp.a2mac1.com/costing(costing:projects/details/8191/component/5319523)","Electronics")</f>
        <v>Electronics</v>
      </c>
      <c r="B604">
        <v>5319523</v>
      </c>
      <c r="D604">
        <v>0</v>
      </c>
      <c r="E604">
        <v>6.68987</v>
      </c>
      <c r="H604">
        <v>1</v>
      </c>
      <c r="I604">
        <v>200000</v>
      </c>
      <c r="J604" t="s">
        <v>136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573</v>
      </c>
      <c r="Q604">
        <v>0</v>
      </c>
      <c r="R604">
        <v>0</v>
      </c>
      <c r="S604">
        <v>6.2779391578743908</v>
      </c>
      <c r="U604">
        <v>5388318</v>
      </c>
    </row>
    <row r="605" spans="1:24" ht="12.75">
      <c r="A605" s="2" t="str">
        <f>HYPERLINK("https://ibp.a2mac1.com/costing(costing:projects/details/8191/component/5319524)","Mechanics")</f>
        <v>Mechanics</v>
      </c>
      <c r="B605">
        <v>5319524</v>
      </c>
      <c r="D605">
        <v>0</v>
      </c>
      <c r="E605">
        <v>14.63466</v>
      </c>
      <c r="H605">
        <v>1</v>
      </c>
      <c r="I605">
        <v>200000</v>
      </c>
      <c r="J605" t="s">
        <v>136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575</v>
      </c>
      <c r="Q605">
        <v>0</v>
      </c>
      <c r="R605">
        <v>0</v>
      </c>
      <c r="S605">
        <v>14.370880897890117</v>
      </c>
      <c r="U605">
        <v>5388318</v>
      </c>
    </row>
    <row r="606" spans="1:24" ht="12.75">
      <c r="A606" s="2" t="str">
        <f>HYPERLINK("https://ibp.a2mac1.com/costing(costing:projects/details/8191/component/5319447)","Screw &gt; Torx socket head cap screw with flange")</f>
        <v>Screw &gt; Torx socket head cap screw with flange</v>
      </c>
      <c r="B606">
        <v>5319447</v>
      </c>
      <c r="D606">
        <v>0</v>
      </c>
      <c r="E606">
        <v>0</v>
      </c>
      <c r="H606">
        <v>2</v>
      </c>
      <c r="I606">
        <v>400000</v>
      </c>
      <c r="J606" t="s">
        <v>79</v>
      </c>
      <c r="K606">
        <v>13</v>
      </c>
      <c r="L606">
        <v>4</v>
      </c>
      <c r="M606">
        <v>6</v>
      </c>
      <c r="O606">
        <v>0.0015</v>
      </c>
      <c r="Q606">
        <v>0</v>
      </c>
      <c r="R606">
        <v>0</v>
      </c>
      <c r="S606">
        <v>0</v>
      </c>
      <c r="T606">
        <v>5388163</v>
      </c>
    </row>
    <row r="607" spans="1:24" ht="12.75">
      <c r="A607" s="2" t="str">
        <f>HYPERLINK("https://ibp.a2mac1.com/costing(costing:projects/details/8191/component/5319448)","Stud &gt; T head screwed dowel")</f>
        <v>Stud &gt; T head screwed dowel</v>
      </c>
      <c r="B607">
        <v>5319448</v>
      </c>
      <c r="D607">
        <v>0</v>
      </c>
      <c r="E607">
        <v>0</v>
      </c>
      <c r="H607">
        <v>4</v>
      </c>
      <c r="I607">
        <v>800000</v>
      </c>
      <c r="J607" t="s">
        <v>79</v>
      </c>
      <c r="K607">
        <v>6</v>
      </c>
      <c r="L607">
        <v>14</v>
      </c>
      <c r="M607">
        <v>12</v>
      </c>
      <c r="O607">
        <v>0.0067000000000000002</v>
      </c>
      <c r="Q607">
        <v>0</v>
      </c>
      <c r="R607">
        <v>0</v>
      </c>
      <c r="S607">
        <v>0</v>
      </c>
      <c r="T607">
        <v>5388163</v>
      </c>
    </row>
    <row r="608" spans="1:24" ht="12.75">
      <c r="A608" s="2" t="str">
        <f>HYPERLINK("https://ibp.a2mac1.com/costing(costing:projects/details/8191/component/5319525)","Electronics")</f>
        <v>Electronics</v>
      </c>
      <c r="B608">
        <v>5319525</v>
      </c>
      <c r="D608">
        <v>0</v>
      </c>
      <c r="E608">
        <v>2.8328099999999998</v>
      </c>
      <c r="H608">
        <v>1</v>
      </c>
      <c r="I608">
        <v>200000</v>
      </c>
      <c r="J608" t="s">
        <v>136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573</v>
      </c>
      <c r="Q608">
        <v>0</v>
      </c>
      <c r="R608">
        <v>0</v>
      </c>
      <c r="S608">
        <v>2.6583788363328664</v>
      </c>
      <c r="U608">
        <v>5388319</v>
      </c>
    </row>
    <row r="609" spans="1:24" ht="12.75">
      <c r="A609" s="2" t="str">
        <f>HYPERLINK("https://ibp.a2mac1.com/costing(costing:projects/details/8191/component/5319526)","Mechanics")</f>
        <v>Mechanics</v>
      </c>
      <c r="B609">
        <v>5319526</v>
      </c>
      <c r="D609">
        <v>0</v>
      </c>
      <c r="E609">
        <v>10.5746</v>
      </c>
      <c r="H609">
        <v>1</v>
      </c>
      <c r="I609">
        <v>200000</v>
      </c>
      <c r="J609" t="s">
        <v>136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575</v>
      </c>
      <c r="Q609">
        <v>0</v>
      </c>
      <c r="R609">
        <v>0</v>
      </c>
      <c r="S609">
        <v>10.384000526341495</v>
      </c>
      <c r="U609">
        <v>5388319</v>
      </c>
    </row>
    <row r="610" spans="1:24" ht="12.75">
      <c r="A610" s="2" t="str">
        <f>HYPERLINK("https://ibp.a2mac1.com/costing(costing:projects/details/8191/component/5319449)","Panel holder &gt; Clips in rectangular hole")</f>
        <v>Panel holder &gt; Clips in rectangular hole</v>
      </c>
      <c r="B610">
        <v>5319449</v>
      </c>
      <c r="D610">
        <v>0</v>
      </c>
      <c r="E610">
        <v>0</v>
      </c>
      <c r="H610">
        <v>2</v>
      </c>
      <c r="I610">
        <v>400000</v>
      </c>
      <c r="J610" t="s">
        <v>79</v>
      </c>
      <c r="K610">
        <v>2</v>
      </c>
      <c r="L610">
        <v>12</v>
      </c>
      <c r="M610">
        <v>7</v>
      </c>
      <c r="O610">
        <v>0.00050000000000000001</v>
      </c>
      <c r="Q610">
        <v>0</v>
      </c>
      <c r="R610">
        <v>0</v>
      </c>
      <c r="S610">
        <v>0</v>
      </c>
      <c r="T610">
        <v>5388164</v>
      </c>
    </row>
    <row r="611" spans="1:24" ht="12.75">
      <c r="A611" s="2" t="str">
        <f>HYPERLINK("https://ibp.a2mac1.com/costing(costing:projects/details/8191/component/5319527)","Electronics")</f>
        <v>Electronics</v>
      </c>
      <c r="B611">
        <v>5319527</v>
      </c>
      <c r="D611">
        <v>0</v>
      </c>
      <c r="E611">
        <v>1.17188</v>
      </c>
      <c r="H611">
        <v>1</v>
      </c>
      <c r="I611">
        <v>400000</v>
      </c>
      <c r="J611" t="s">
        <v>136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573</v>
      </c>
      <c r="Q611">
        <v>0</v>
      </c>
      <c r="R611">
        <v>0</v>
      </c>
      <c r="S611">
        <v>1.0440115821149492</v>
      </c>
      <c r="U611">
        <v>5388322</v>
      </c>
    </row>
    <row r="612" spans="1:24" ht="12.75">
      <c r="A612" s="2" t="str">
        <f>HYPERLINK("https://ibp.a2mac1.com/costing(costing:projects/details/8191/component/5319528)","Mechanics")</f>
        <v>Mechanics</v>
      </c>
      <c r="B612">
        <v>5319528</v>
      </c>
      <c r="D612">
        <v>0</v>
      </c>
      <c r="E612">
        <v>3.38646</v>
      </c>
      <c r="H612">
        <v>1</v>
      </c>
      <c r="I612">
        <v>400000</v>
      </c>
      <c r="J612" t="s">
        <v>136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575</v>
      </c>
      <c r="Q612">
        <v>0</v>
      </c>
      <c r="R612">
        <v>0</v>
      </c>
      <c r="S612">
        <v>3.2524733241040149</v>
      </c>
      <c r="U612">
        <v>5388322</v>
      </c>
    </row>
    <row r="613" spans="1:24" ht="12.75">
      <c r="A613" s="2" t="str">
        <f>HYPERLINK("https://ibp.a2mac1.com/costing(costing:projects/details/8191/component/5319529)","Screw &gt; Torx socket head cap screw")</f>
        <v>Screw &gt; Torx socket head cap screw</v>
      </c>
      <c r="B613">
        <v>5319529</v>
      </c>
      <c r="D613">
        <v>0</v>
      </c>
      <c r="E613">
        <v>0</v>
      </c>
      <c r="H613">
        <v>2</v>
      </c>
      <c r="I613">
        <v>400000</v>
      </c>
      <c r="J613" t="s">
        <v>79</v>
      </c>
      <c r="K613">
        <v>7</v>
      </c>
      <c r="L613">
        <v>4</v>
      </c>
      <c r="M613">
        <v>4</v>
      </c>
      <c r="O613">
        <v>0.001</v>
      </c>
      <c r="Q613">
        <v>0</v>
      </c>
      <c r="R613">
        <v>0</v>
      </c>
      <c r="S613">
        <v>0</v>
      </c>
      <c r="T613">
        <v>5388323</v>
      </c>
    </row>
    <row r="614" spans="1:24" ht="12.75">
      <c r="A614" s="2" t="str">
        <f>HYPERLINK("https://ibp.a2mac1.com/costing(costing:projects/details/8191/component/5319530)","Nut &gt; Hexagonal nut with collar")</f>
        <v>Nut &gt; Hexagonal nut with collar</v>
      </c>
      <c r="B614">
        <v>5319530</v>
      </c>
      <c r="D614">
        <v>0</v>
      </c>
      <c r="E614">
        <v>0</v>
      </c>
      <c r="H614">
        <v>2</v>
      </c>
      <c r="I614">
        <v>400000</v>
      </c>
      <c r="J614" t="s">
        <v>79</v>
      </c>
      <c r="K614">
        <v>9</v>
      </c>
      <c r="L614">
        <v>10</v>
      </c>
      <c r="M614">
        <v>5</v>
      </c>
      <c r="O614">
        <v>0.0040000000000000001</v>
      </c>
      <c r="Q614">
        <v>0</v>
      </c>
      <c r="R614">
        <v>0</v>
      </c>
      <c r="S614">
        <v>0</v>
      </c>
      <c r="T614">
        <v>5388323</v>
      </c>
    </row>
    <row r="615" spans="1:24" ht="12.75">
      <c r="A615" s="2" t="str">
        <f>HYPERLINK("https://ibp.a2mac1.com/costing(costing:projects/details/8191/component/5319531)","Nut &gt; Hexagonal nut with collar")</f>
        <v>Nut &gt; Hexagonal nut with collar</v>
      </c>
      <c r="B615">
        <v>5319531</v>
      </c>
      <c r="D615">
        <v>0</v>
      </c>
      <c r="E615">
        <v>0</v>
      </c>
      <c r="H615">
        <v>1</v>
      </c>
      <c r="I615">
        <v>200000</v>
      </c>
      <c r="J615" t="s">
        <v>79</v>
      </c>
      <c r="K615">
        <v>9</v>
      </c>
      <c r="L615">
        <v>10</v>
      </c>
      <c r="M615">
        <v>6</v>
      </c>
      <c r="O615">
        <v>0.0040000000000000001</v>
      </c>
      <c r="Q615">
        <v>0</v>
      </c>
      <c r="R615">
        <v>0</v>
      </c>
      <c r="S615">
        <v>0</v>
      </c>
      <c r="T615">
        <v>5388323</v>
      </c>
    </row>
    <row r="616" spans="1:24" ht="12.75">
      <c r="A616" s="2" t="str">
        <f>HYPERLINK("https://ibp.a2mac1.com/costing(costing:projects/details/8191/component/5319532)","Screw &gt; Torx socket head cap screw")</f>
        <v>Screw &gt; Torx socket head cap screw</v>
      </c>
      <c r="B616">
        <v>5319532</v>
      </c>
      <c r="D616">
        <v>0</v>
      </c>
      <c r="E616">
        <v>0</v>
      </c>
      <c r="H616">
        <v>2</v>
      </c>
      <c r="I616">
        <v>400000</v>
      </c>
      <c r="J616" t="s">
        <v>79</v>
      </c>
      <c r="K616">
        <v>8</v>
      </c>
      <c r="L616">
        <v>3</v>
      </c>
      <c r="M616">
        <v>4</v>
      </c>
      <c r="O616">
        <v>0.0015</v>
      </c>
      <c r="Q616">
        <v>0</v>
      </c>
      <c r="R616">
        <v>0</v>
      </c>
      <c r="S616">
        <v>0</v>
      </c>
      <c r="T616">
        <v>5388324</v>
      </c>
    </row>
    <row r="617" spans="1:24" ht="12.75">
      <c r="A617" s="2" t="str">
        <f>HYPERLINK("https://ibp.a2mac1.com/costing(costing:projects/details/8191/component/5319533)","Screw &gt; Torx socket head cap screw with flange")</f>
        <v>Screw &gt; Torx socket head cap screw with flange</v>
      </c>
      <c r="B617">
        <v>5319533</v>
      </c>
      <c r="D617">
        <v>0</v>
      </c>
      <c r="E617">
        <v>0</v>
      </c>
      <c r="H617">
        <v>1</v>
      </c>
      <c r="I617">
        <v>200000</v>
      </c>
      <c r="J617" t="s">
        <v>79</v>
      </c>
      <c r="K617">
        <v>18</v>
      </c>
      <c r="L617">
        <v>4</v>
      </c>
      <c r="M617">
        <v>5</v>
      </c>
      <c r="O617">
        <v>0.0040000000000000001</v>
      </c>
      <c r="Q617">
        <v>0</v>
      </c>
      <c r="R617">
        <v>0</v>
      </c>
      <c r="S617">
        <v>0</v>
      </c>
      <c r="T617">
        <v>5388324</v>
      </c>
    </row>
    <row r="618" spans="1:24" ht="12.75">
      <c r="A618" s="2" t="str">
        <f>HYPERLINK("https://ibp.a2mac1.com/costing(costing:projects/details/8191/component/5319695)","Nut &gt; Hexagonal nut with collar")</f>
        <v>Nut &gt; Hexagonal nut with collar</v>
      </c>
      <c r="B618">
        <v>5319695</v>
      </c>
      <c r="D618">
        <v>0</v>
      </c>
      <c r="E618">
        <v>0.03</v>
      </c>
      <c r="H618">
        <v>1</v>
      </c>
      <c r="I618">
        <v>200000</v>
      </c>
      <c r="J618" t="s">
        <v>79</v>
      </c>
      <c r="K618">
        <v>8</v>
      </c>
      <c r="L618">
        <v>13</v>
      </c>
      <c r="M618">
        <v>8</v>
      </c>
      <c r="O618">
        <v>0.0070000000000000001</v>
      </c>
      <c r="Q618">
        <v>0</v>
      </c>
      <c r="R618">
        <v>0</v>
      </c>
      <c r="S618">
        <v>0.03</v>
      </c>
      <c r="T618">
        <v>5388684</v>
      </c>
    </row>
    <row r="619" spans="1:24" ht="12.75">
      <c r="A619" s="2" t="str">
        <f>HYPERLINK("https://ibp.a2mac1.com/costing(costing:projects/details/8191/component/5319696)","Nut &gt; Hexagonal nut with collar")</f>
        <v>Nut &gt; Hexagonal nut with collar</v>
      </c>
      <c r="B619">
        <v>5319696</v>
      </c>
      <c r="D619">
        <v>0</v>
      </c>
      <c r="E619">
        <v>0.03</v>
      </c>
      <c r="H619">
        <v>1</v>
      </c>
      <c r="I619">
        <v>200000</v>
      </c>
      <c r="J619" t="s">
        <v>79</v>
      </c>
      <c r="K619">
        <v>8</v>
      </c>
      <c r="L619">
        <v>13</v>
      </c>
      <c r="M619">
        <v>8</v>
      </c>
      <c r="O619">
        <v>0.0070000000000000001</v>
      </c>
      <c r="Q619">
        <v>0</v>
      </c>
      <c r="R619">
        <v>0</v>
      </c>
      <c r="S619">
        <v>0.03</v>
      </c>
      <c r="T619">
        <v>5388684</v>
      </c>
    </row>
    <row r="620" spans="1:24" ht="12.75">
      <c r="A620" s="2" t="str">
        <f>HYPERLINK("https://ibp.a2mac1.com/costing(costing:projects/details/8191/component/5319536)","Nut &gt; Hexagonal nut with collar")</f>
        <v>Nut &gt; Hexagonal nut with collar</v>
      </c>
      <c r="B620">
        <v>5319536</v>
      </c>
      <c r="D620">
        <v>0</v>
      </c>
      <c r="E620">
        <v>0.03</v>
      </c>
      <c r="H620">
        <v>1</v>
      </c>
      <c r="I620">
        <v>200000</v>
      </c>
      <c r="J620" t="s">
        <v>79</v>
      </c>
      <c r="K620">
        <v>7</v>
      </c>
      <c r="L620">
        <v>13</v>
      </c>
      <c r="M620">
        <v>8</v>
      </c>
      <c r="O620">
        <v>0.0060000000000000001</v>
      </c>
      <c r="Q620">
        <v>0</v>
      </c>
      <c r="R620">
        <v>0</v>
      </c>
      <c r="S620">
        <v>0.03</v>
      </c>
      <c r="T620">
        <v>5388331</v>
      </c>
    </row>
    <row r="621" spans="1:24" ht="12.75">
      <c r="A621" s="2" t="str">
        <f>HYPERLINK("https://ibp.a2mac1.com/costing(costing:projects/details/8191/component/5319537)","Screw &gt; Hexagon screw with captive washer")</f>
        <v>Screw &gt; Hexagon screw with captive washer</v>
      </c>
      <c r="B621">
        <v>5319537</v>
      </c>
      <c r="D621">
        <v>0</v>
      </c>
      <c r="E621">
        <v>0.03</v>
      </c>
      <c r="H621">
        <v>2</v>
      </c>
      <c r="I621">
        <v>400000</v>
      </c>
      <c r="J621" t="s">
        <v>79</v>
      </c>
      <c r="K621">
        <v>29</v>
      </c>
      <c r="L621">
        <v>10</v>
      </c>
      <c r="M621">
        <v>6</v>
      </c>
      <c r="O621">
        <v>0.0115</v>
      </c>
      <c r="Q621">
        <v>0</v>
      </c>
      <c r="R621">
        <v>0</v>
      </c>
      <c r="S621">
        <v>0.06</v>
      </c>
      <c r="T621">
        <v>5388331</v>
      </c>
    </row>
    <row r="622" spans="1:24" ht="12.75">
      <c r="A622" s="2" t="str">
        <f>HYPERLINK("https://ibp.a2mac1.com/costing(costing:projects/details/8191/component/5319538)","Screw &gt; Hexagon screw with flange")</f>
        <v>Screw &gt; Hexagon screw with flange</v>
      </c>
      <c r="B622">
        <v>5319538</v>
      </c>
      <c r="D622">
        <v>0</v>
      </c>
      <c r="E622">
        <v>0.03</v>
      </c>
      <c r="H622">
        <v>2</v>
      </c>
      <c r="I622">
        <v>400000</v>
      </c>
      <c r="J622" t="s">
        <v>79</v>
      </c>
      <c r="K622">
        <v>20</v>
      </c>
      <c r="L622">
        <v>10</v>
      </c>
      <c r="M622">
        <v>6</v>
      </c>
      <c r="O622">
        <v>0.0080000000000000002</v>
      </c>
      <c r="Q622">
        <v>0</v>
      </c>
      <c r="R622">
        <v>0</v>
      </c>
      <c r="S622">
        <v>0.06</v>
      </c>
      <c r="T622">
        <v>5388331</v>
      </c>
    </row>
    <row r="623" spans="1:24" ht="12.75">
      <c r="A623" s="2" t="str">
        <f>HYPERLINK("https://ibp.a2mac1.com/costing(costing:projects/details/8191/component/5319539)","Screw &gt; Hexagon screw with captive washer")</f>
        <v>Screw &gt; Hexagon screw with captive washer</v>
      </c>
      <c r="B623">
        <v>5319539</v>
      </c>
      <c r="D623">
        <v>0</v>
      </c>
      <c r="E623">
        <v>0.03</v>
      </c>
      <c r="H623">
        <v>1</v>
      </c>
      <c r="I623">
        <v>200000</v>
      </c>
      <c r="J623" t="s">
        <v>79</v>
      </c>
      <c r="K623">
        <v>29</v>
      </c>
      <c r="L623">
        <v>10</v>
      </c>
      <c r="M623">
        <v>6</v>
      </c>
      <c r="O623">
        <v>0.012</v>
      </c>
      <c r="Q623">
        <v>0</v>
      </c>
      <c r="R623">
        <v>0</v>
      </c>
      <c r="S623">
        <v>0.03</v>
      </c>
      <c r="T623">
        <v>5388331</v>
      </c>
    </row>
    <row r="624" spans="1:24" ht="12.75">
      <c r="A624" s="2" t="str">
        <f>HYPERLINK("https://ibp.a2mac1.com/costing(costing:projects/details/8191/component/5319534)","Electronics")</f>
        <v>Electronics</v>
      </c>
      <c r="B624">
        <v>5319534</v>
      </c>
      <c r="D624">
        <v>0</v>
      </c>
      <c r="E624">
        <v>8.6183899999999998</v>
      </c>
      <c r="H624">
        <v>1</v>
      </c>
      <c r="I624">
        <v>200000</v>
      </c>
      <c r="J624" t="s">
        <v>136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573</v>
      </c>
      <c r="Q624">
        <v>0</v>
      </c>
      <c r="R624">
        <v>0</v>
      </c>
      <c r="S624">
        <v>8.0877099343982888</v>
      </c>
      <c r="U624">
        <v>5388325</v>
      </c>
    </row>
    <row r="625" spans="1:24" ht="12.75">
      <c r="A625" s="2" t="str">
        <f>HYPERLINK("https://ibp.a2mac1.com/costing(costing:projects/details/8191/component/5319535)","Mechanics")</f>
        <v>Mechanics</v>
      </c>
      <c r="B625">
        <v>5319535</v>
      </c>
      <c r="D625">
        <v>0</v>
      </c>
      <c r="E625">
        <v>4.3737899999999996</v>
      </c>
      <c r="H625">
        <v>1</v>
      </c>
      <c r="I625">
        <v>200000</v>
      </c>
      <c r="J625" t="s">
        <v>136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575</v>
      </c>
      <c r="Q625">
        <v>0</v>
      </c>
      <c r="R625">
        <v>0</v>
      </c>
      <c r="S625">
        <v>4.2949556164873535</v>
      </c>
      <c r="U625">
        <v>5388325</v>
      </c>
    </row>
    <row r="626" spans="1:24" ht="12.75">
      <c r="A626" s="2" t="str">
        <f>HYPERLINK("https://ibp.a2mac1.com/costing(costing:projects/details/8191/component/5319698)","Nut &gt; Hexagonal nut with collar")</f>
        <v>Nut &gt; Hexagonal nut with collar</v>
      </c>
      <c r="B626">
        <v>5319698</v>
      </c>
      <c r="D626">
        <v>0</v>
      </c>
      <c r="E626">
        <v>0.03</v>
      </c>
      <c r="H626">
        <v>1</v>
      </c>
      <c r="I626">
        <v>200000</v>
      </c>
      <c r="J626" t="s">
        <v>79</v>
      </c>
      <c r="K626">
        <v>8</v>
      </c>
      <c r="L626">
        <v>14</v>
      </c>
      <c r="M626">
        <v>7</v>
      </c>
      <c r="O626">
        <v>0.0070000000000000001</v>
      </c>
      <c r="Q626">
        <v>0</v>
      </c>
      <c r="R626">
        <v>0</v>
      </c>
      <c r="S626">
        <v>0.03</v>
      </c>
      <c r="T626">
        <v>5388688</v>
      </c>
    </row>
    <row r="627" spans="1:24" ht="12.75">
      <c r="A627" s="2" t="str">
        <f>HYPERLINK("https://ibp.a2mac1.com/costing(costing:projects/details/8191/component/5319542)","Panel holder &gt; Clips in round hole")</f>
        <v>Panel holder &gt; Clips in round hole</v>
      </c>
      <c r="B627">
        <v>5319542</v>
      </c>
      <c r="D627">
        <v>0</v>
      </c>
      <c r="E627">
        <v>0.05</v>
      </c>
      <c r="H627">
        <v>3</v>
      </c>
      <c r="I627">
        <v>600000</v>
      </c>
      <c r="J627" t="s">
        <v>79</v>
      </c>
      <c r="K627">
        <v>13</v>
      </c>
      <c r="L627">
        <v>38</v>
      </c>
      <c r="M627">
        <v>10</v>
      </c>
      <c r="O627">
        <v>0.0043</v>
      </c>
      <c r="Q627">
        <v>0</v>
      </c>
      <c r="R627">
        <v>0</v>
      </c>
      <c r="S627">
        <v>0.15</v>
      </c>
      <c r="T627">
        <v>5388336</v>
      </c>
    </row>
    <row r="628" spans="1:24" ht="12.75">
      <c r="A628" s="2" t="str">
        <f>HYPERLINK("https://ibp.a2mac1.com/costing(costing:projects/details/8191/component/5319540)","Electronics")</f>
        <v>Electronics</v>
      </c>
      <c r="B628">
        <v>5319540</v>
      </c>
      <c r="D628">
        <v>0</v>
      </c>
      <c r="E628">
        <v>3.9216500000000001</v>
      </c>
      <c r="H628">
        <v>1</v>
      </c>
      <c r="I628">
        <v>200000</v>
      </c>
      <c r="J628" t="s">
        <v>136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573</v>
      </c>
      <c r="Q628">
        <v>0</v>
      </c>
      <c r="R628">
        <v>0</v>
      </c>
      <c r="S628">
        <v>3.6801731720464086</v>
      </c>
      <c r="U628">
        <v>5388332</v>
      </c>
    </row>
    <row r="629" spans="1:24" ht="12.75">
      <c r="A629" s="2" t="str">
        <f>HYPERLINK("https://ibp.a2mac1.com/costing(costing:projects/details/8191/component/5319541)","Mechanics")</f>
        <v>Mechanics</v>
      </c>
      <c r="B629">
        <v>5319541</v>
      </c>
      <c r="D629">
        <v>0</v>
      </c>
      <c r="E629">
        <v>1.9838899999999999</v>
      </c>
      <c r="H629">
        <v>1</v>
      </c>
      <c r="I629">
        <v>200000</v>
      </c>
      <c r="J629" t="s">
        <v>136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575</v>
      </c>
      <c r="Q629">
        <v>0</v>
      </c>
      <c r="R629">
        <v>0</v>
      </c>
      <c r="S629">
        <v>1.948131825714791</v>
      </c>
      <c r="U629">
        <v>5388332</v>
      </c>
    </row>
    <row r="630" spans="1:24" ht="12.75">
      <c r="A630" s="2" t="str">
        <f>HYPERLINK("https://ibp.a2mac1.com/costing(costing:projects/details/8191/component/5319450)","Screw &gt; Hexagon screw with flange")</f>
        <v>Screw &gt; Hexagon screw with flange</v>
      </c>
      <c r="B630">
        <v>5319450</v>
      </c>
      <c r="D630">
        <v>0</v>
      </c>
      <c r="E630">
        <v>0</v>
      </c>
      <c r="H630">
        <v>3</v>
      </c>
      <c r="I630">
        <v>600000</v>
      </c>
      <c r="J630" t="s">
        <v>79</v>
      </c>
      <c r="K630">
        <v>25</v>
      </c>
      <c r="L630">
        <v>10</v>
      </c>
      <c r="M630">
        <v>6</v>
      </c>
      <c r="O630">
        <v>0.0123</v>
      </c>
      <c r="Q630">
        <v>0</v>
      </c>
      <c r="R630">
        <v>0</v>
      </c>
      <c r="S630">
        <v>0</v>
      </c>
      <c r="T630">
        <v>5388170</v>
      </c>
    </row>
    <row r="631" spans="1:24" ht="12.75">
      <c r="A631" s="2" t="str">
        <f>HYPERLINK("https://ibp.a2mac1.com/costing(costing:projects/details/8191/component/5319451)","Spacer/Axle &gt; Flange")</f>
        <v>Spacer/Axle &gt; Flange</v>
      </c>
      <c r="B631">
        <v>5319451</v>
      </c>
      <c r="D631">
        <v>0</v>
      </c>
      <c r="E631">
        <v>0</v>
      </c>
      <c r="H631">
        <v>1</v>
      </c>
      <c r="I631">
        <v>200000</v>
      </c>
      <c r="J631" t="s">
        <v>79</v>
      </c>
      <c r="K631">
        <v>17</v>
      </c>
      <c r="L631">
        <v>10</v>
      </c>
      <c r="M631">
        <v>11</v>
      </c>
      <c r="O631">
        <v>0.001</v>
      </c>
      <c r="Q631">
        <v>0</v>
      </c>
      <c r="R631">
        <v>0</v>
      </c>
      <c r="S631">
        <v>0</v>
      </c>
      <c r="T631">
        <v>5388170</v>
      </c>
    </row>
    <row r="632" spans="1:24" ht="12.75">
      <c r="A632" s="2" t="str">
        <f>HYPERLINK("https://ibp.a2mac1.com/costing(costing:projects/details/8191/component/5319452)","Screw &gt; Torx socket head cap screw")</f>
        <v>Screw &gt; Torx socket head cap screw</v>
      </c>
      <c r="B632">
        <v>5319452</v>
      </c>
      <c r="D632">
        <v>0</v>
      </c>
      <c r="E632">
        <v>0</v>
      </c>
      <c r="H632">
        <v>2</v>
      </c>
      <c r="I632">
        <v>400000</v>
      </c>
      <c r="J632" t="s">
        <v>79</v>
      </c>
      <c r="K632">
        <v>15</v>
      </c>
      <c r="L632">
        <v>3</v>
      </c>
      <c r="M632">
        <v>3</v>
      </c>
      <c r="O632">
        <v>0.00050000000000000001</v>
      </c>
      <c r="Q632">
        <v>0</v>
      </c>
      <c r="R632">
        <v>0</v>
      </c>
      <c r="S632">
        <v>0</v>
      </c>
      <c r="T632">
        <v>5388170</v>
      </c>
    </row>
  </sheetData>
  <mergeCells count="3">
    <mergeCell ref="A1:J2"/>
    <mergeCell ref="K1:Q2"/>
    <mergeCell ref="R1:X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d21d206-9df8-4382-b35c-be5e0c2625fa}">
  <dimension ref="A1:L4"/>
  <sheetViews>
    <sheetView workbookViewId="0" topLeftCell="A1"/>
  </sheetViews>
  <sheetFormatPr defaultRowHeight="12.75"/>
  <cols>
    <col min="1" max="1" width="6.57142857142857" customWidth="1"/>
    <col min="2" max="2" width="3.14285714285714" customWidth="1"/>
    <col min="3" max="3" width="17.1428571428571" customWidth="1"/>
    <col min="4" max="4" width="33.2857142857143" customWidth="1"/>
    <col min="5" max="5" width="8.71428571428571" customWidth="1"/>
    <col min="6" max="6" width="11.4285714285714" customWidth="1"/>
    <col min="7" max="7" width="19" customWidth="1"/>
    <col min="8" max="8" width="10.4285714285714" customWidth="1"/>
    <col min="9" max="9" width="31.8571428571429" customWidth="1"/>
    <col min="10" max="10" width="12" customWidth="1"/>
    <col min="11" max="11" width="14.2857142857143" customWidth="1"/>
    <col min="12" max="12" width="13.5714285714286" customWidth="1"/>
  </cols>
  <sheetData>
    <row r="1" spans="1:12" ht="12.75">
      <c r="A1" s="1" t="s">
        <v>7183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66</v>
      </c>
    </row>
    <row r="2" spans="1:12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2.75">
      <c r="A3" s="4" t="s">
        <v>4</v>
      </c>
      <c r="B3" s="4" t="s">
        <v>14</v>
      </c>
      <c r="C3" s="4" t="s">
        <v>101</v>
      </c>
      <c r="D3" s="4" t="s">
        <v>561</v>
      </c>
      <c r="E3" s="4" t="s">
        <v>562</v>
      </c>
      <c r="F3" s="4" t="s">
        <v>16</v>
      </c>
      <c r="G3" s="4" t="s">
        <v>563</v>
      </c>
      <c r="H3" s="4" t="s">
        <v>197</v>
      </c>
      <c r="I3" s="4" t="s">
        <v>54</v>
      </c>
      <c r="J3" s="4" t="s">
        <v>65</v>
      </c>
      <c r="K3" s="4" t="s">
        <v>72</v>
      </c>
      <c r="L3" s="4" t="s">
        <v>131</v>
      </c>
    </row>
    <row r="4" spans="1:12" ht="12.75">
      <c r="A4" s="2" t="str">
        <f>HYPERLINK("https://ibp.a2mac1.com/costing(costing:projects/details/8191/consumable/5319496)","Fasteners &amp; adhesives")</f>
        <v>Fasteners &amp; adhesives</v>
      </c>
      <c r="B4">
        <v>5319496</v>
      </c>
      <c r="C4">
        <v>6975274</v>
      </c>
      <c r="D4">
        <v>0</v>
      </c>
      <c r="E4">
        <v>38.73</v>
      </c>
      <c r="H4">
        <v>1</v>
      </c>
      <c r="I4">
        <v>200000</v>
      </c>
      <c r="J4" t="s">
        <v>136</v>
      </c>
    </row>
  </sheetData>
  <mergeCells count="2">
    <mergeCell ref="A1:K2"/>
    <mergeCell ref="L1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cc38c89-b10b-44d6-9a17-07c836a2d7b2}">
  <dimension ref="A1:C13"/>
  <sheetViews>
    <sheetView workbookViewId="0" topLeftCell="A1"/>
  </sheetViews>
  <sheetFormatPr defaultRowHeight="12.75"/>
  <sheetData>
    <row r="1" spans="1:3" ht="12.75">
      <c r="A1" s="4" t="s">
        <v>4</v>
      </c>
      <c r="B1" s="4" t="s">
        <v>7675</v>
      </c>
      <c r="C1" s="4" t="s">
        <v>7676</v>
      </c>
    </row>
    <row r="2" spans="1:3" ht="12.75">
      <c r="A2" t="s">
        <v>686</v>
      </c>
      <c r="B2">
        <v>0</v>
      </c>
      <c r="C2">
        <v>0</v>
      </c>
    </row>
    <row r="3" spans="1:3" ht="12.75">
      <c r="A3" t="s">
        <v>575</v>
      </c>
      <c r="B3">
        <v>-0.032000000000000001</v>
      </c>
      <c r="C3">
        <v>-0.0040000000000000001</v>
      </c>
    </row>
    <row r="4" spans="1:3" ht="12.75">
      <c r="A4" t="s">
        <v>1398</v>
      </c>
      <c r="B4">
        <v>-0.032000000000000001</v>
      </c>
      <c r="C4">
        <v>-0.0040000000000000001</v>
      </c>
    </row>
    <row r="5" spans="1:3" ht="12.75">
      <c r="A5" t="s">
        <v>7677</v>
      </c>
      <c r="B5">
        <v>-0.032000000000000001</v>
      </c>
      <c r="C5">
        <v>-0.0040000000000000001</v>
      </c>
    </row>
    <row r="6" spans="1:3" ht="12.75">
      <c r="A6" t="s">
        <v>7678</v>
      </c>
      <c r="B6">
        <v>-0.032000000000000001</v>
      </c>
      <c r="C6">
        <v>-0.0040000000000000001</v>
      </c>
    </row>
    <row r="7" spans="1:3" ht="12.75">
      <c r="A7" t="s">
        <v>7679</v>
      </c>
      <c r="B7">
        <v>-0.032000000000000001</v>
      </c>
      <c r="C7">
        <v>-0.0040000000000000001</v>
      </c>
    </row>
    <row r="8" spans="1:3" ht="12.75">
      <c r="A8" t="s">
        <v>573</v>
      </c>
      <c r="B8">
        <v>-0.075</v>
      </c>
      <c r="C8">
        <v>0.0115</v>
      </c>
    </row>
    <row r="9" spans="1:3" ht="12.75">
      <c r="A9" t="s">
        <v>1396</v>
      </c>
      <c r="B9">
        <v>-0.075</v>
      </c>
      <c r="C9">
        <v>0.0115</v>
      </c>
    </row>
    <row r="10" spans="1:3" ht="12.75">
      <c r="A10" t="s">
        <v>7680</v>
      </c>
      <c r="B10">
        <v>-0.075</v>
      </c>
      <c r="C10">
        <v>0.0115</v>
      </c>
    </row>
    <row r="11" spans="1:3" ht="12.75">
      <c r="A11" t="s">
        <v>7681</v>
      </c>
      <c r="B11">
        <v>-0.075</v>
      </c>
      <c r="C11">
        <v>0.0115</v>
      </c>
    </row>
    <row r="12" spans="1:3" ht="12.75">
      <c r="A12" t="s">
        <v>7682</v>
      </c>
      <c r="B12">
        <v>-0.075</v>
      </c>
      <c r="C12">
        <v>0.0115</v>
      </c>
    </row>
    <row r="13" spans="1:3" ht="12.75">
      <c r="A13" t="s">
        <v>1642</v>
      </c>
      <c r="B13">
        <v>-0.025999999999999999</v>
      </c>
      <c r="C13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17aaab-c487-456d-98a3-e3257ccb2d91}">
  <dimension ref="A1:F2"/>
  <sheetViews>
    <sheetView workbookViewId="0" topLeftCell="A1"/>
  </sheetViews>
  <sheetFormatPr defaultRowHeight="12.75"/>
  <cols>
    <col min="1" max="1" width="6.57142857142857" customWidth="1"/>
    <col min="2" max="2" width="14.4285714285714" customWidth="1"/>
    <col min="3" max="3" width="12" customWidth="1"/>
    <col min="4" max="4" width="6.57142857142857" customWidth="1"/>
    <col min="5" max="5" width="12.2857142857143" customWidth="1"/>
    <col min="6" max="6" width="13.5714285714286" customWidth="1"/>
  </cols>
  <sheetData>
    <row r="1" spans="1:6" ht="12.75">
      <c r="A1" s="4" t="s">
        <v>4</v>
      </c>
      <c r="B1" s="4" t="s">
        <v>7683</v>
      </c>
      <c r="C1" s="4" t="s">
        <v>7684</v>
      </c>
      <c r="D1" s="4" t="s">
        <v>7675</v>
      </c>
      <c r="E1" s="4" t="s">
        <v>7685</v>
      </c>
      <c r="F1" s="4" t="s">
        <v>7686</v>
      </c>
    </row>
    <row r="2" spans="1:6" ht="12.75">
      <c r="A2" t="s">
        <v>7687</v>
      </c>
      <c r="B2" t="s">
        <v>7688</v>
      </c>
      <c r="C2" t="s">
        <v>7689</v>
      </c>
      <c r="D2">
        <v>0.92274</v>
      </c>
      <c r="E2" t="s">
        <v>7690</v>
      </c>
      <c r="F2" t="s">
        <v>7691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f43f8b-e74c-4a70-8b7a-cdfdda3bc30f}">
  <dimension ref="A1:W2"/>
  <sheetViews>
    <sheetView workbookViewId="0" topLeftCell="A1"/>
  </sheetViews>
  <sheetFormatPr defaultRowHeight="12.75"/>
  <cols>
    <col min="1" max="1" width="6.57142857142857" customWidth="1"/>
    <col min="2" max="2" width="30.2857142857143" customWidth="1"/>
    <col min="3" max="3" width="16.7142857142857" customWidth="1"/>
    <col min="4" max="4" width="15.8571428571429" customWidth="1"/>
    <col min="5" max="5" width="17.4285714285714" customWidth="1"/>
    <col min="6" max="6" width="15.2857142857143" customWidth="1"/>
    <col min="7" max="7" width="18.1428571428571" customWidth="1"/>
    <col min="8" max="8" width="26.7142857142857" customWidth="1"/>
    <col min="9" max="9" width="45" customWidth="1"/>
    <col min="10" max="10" width="33.7142857142857" customWidth="1"/>
    <col min="11" max="11" width="32.8571428571429" customWidth="1"/>
    <col min="12" max="12" width="16" customWidth="1"/>
    <col min="13" max="13" width="20.5714285714286" customWidth="1"/>
    <col min="14" max="14" width="42" customWidth="1"/>
    <col min="15" max="15" width="23.7142857142857" customWidth="1"/>
    <col min="16" max="16" width="26.8571428571429" customWidth="1"/>
    <col min="17" max="17" width="23.5714285714286" customWidth="1"/>
    <col min="18" max="18" width="21.8571428571429" customWidth="1"/>
    <col min="19" max="19" width="25.8571428571429" customWidth="1"/>
    <col min="20" max="20" width="19.8571428571429" customWidth="1"/>
    <col min="21" max="21" width="20.8571428571429" customWidth="1"/>
    <col min="22" max="22" width="23.5714285714286" customWidth="1"/>
    <col min="23" max="23" width="5.42857142857143" customWidth="1"/>
  </cols>
  <sheetData>
    <row r="1" spans="1:23" ht="12.75">
      <c r="A1" s="4" t="s">
        <v>4</v>
      </c>
      <c r="B1" s="4" t="s">
        <v>7692</v>
      </c>
      <c r="C1" s="4" t="s">
        <v>7693</v>
      </c>
      <c r="D1" s="4" t="s">
        <v>7694</v>
      </c>
      <c r="E1" s="4" t="s">
        <v>7695</v>
      </c>
      <c r="F1" s="4" t="s">
        <v>7696</v>
      </c>
      <c r="G1" s="4" t="s">
        <v>7697</v>
      </c>
      <c r="H1" s="4" t="s">
        <v>7698</v>
      </c>
      <c r="I1" s="4" t="s">
        <v>7699</v>
      </c>
      <c r="J1" s="4" t="s">
        <v>7700</v>
      </c>
      <c r="K1" s="4" t="s">
        <v>7701</v>
      </c>
      <c r="L1" s="4" t="s">
        <v>7702</v>
      </c>
      <c r="M1" s="4" t="s">
        <v>7703</v>
      </c>
      <c r="N1" s="4" t="s">
        <v>7704</v>
      </c>
      <c r="O1" s="4" t="s">
        <v>7705</v>
      </c>
      <c r="P1" s="4" t="s">
        <v>7706</v>
      </c>
      <c r="Q1" s="4" t="s">
        <v>7707</v>
      </c>
      <c r="R1" s="4" t="s">
        <v>7708</v>
      </c>
      <c r="S1" s="4" t="s">
        <v>7709</v>
      </c>
      <c r="T1" s="4" t="s">
        <v>7710</v>
      </c>
      <c r="U1" s="4" t="s">
        <v>7711</v>
      </c>
      <c r="V1" s="4" t="s">
        <v>7712</v>
      </c>
      <c r="W1" s="4" t="s">
        <v>7666</v>
      </c>
    </row>
    <row r="2" spans="1:23" ht="12.75">
      <c r="A2" t="s">
        <v>78</v>
      </c>
      <c r="B2">
        <v>0.08</v>
      </c>
      <c r="C2">
        <v>0.49</v>
      </c>
      <c r="D2">
        <v>1.9575</v>
      </c>
      <c r="E2">
        <v>2</v>
      </c>
      <c r="F2">
        <v>3</v>
      </c>
      <c r="G2">
        <v>305</v>
      </c>
      <c r="H2">
        <v>3</v>
      </c>
      <c r="I2">
        <v>0</v>
      </c>
      <c r="J2">
        <v>0</v>
      </c>
      <c r="K2">
        <v>0</v>
      </c>
      <c r="L2">
        <v>0.02768</v>
      </c>
      <c r="M2">
        <v>18.902539999999998</v>
      </c>
      <c r="N2">
        <v>3.22878</v>
      </c>
      <c r="O2">
        <v>0.69188000000000005</v>
      </c>
      <c r="P2">
        <v>8.3596800000000009</v>
      </c>
      <c r="Q2">
        <v>12.56024</v>
      </c>
      <c r="R2">
        <v>15.738300000000001</v>
      </c>
      <c r="S2">
        <v>4.1314799999999998</v>
      </c>
      <c r="T2">
        <v>0.01</v>
      </c>
      <c r="U2">
        <v>1</v>
      </c>
      <c r="V2">
        <v>0.6525</v>
      </c>
      <c r="W2">
        <v>2025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25d474-d428-45ee-b527-712413494d23}">
  <dimension ref="A1:L3"/>
  <sheetViews>
    <sheetView workbookViewId="0" topLeftCell="A1"/>
  </sheetViews>
  <sheetFormatPr defaultRowHeight="12.75"/>
  <cols>
    <col min="1" max="1" width="6.57142857142857" customWidth="1"/>
    <col min="2" max="2" width="9.42857142857143" customWidth="1"/>
    <col min="3" max="3" width="13" customWidth="1"/>
    <col min="4" max="4" width="5.42857142857143" customWidth="1"/>
    <col min="5" max="5" width="25.5714285714286" customWidth="1"/>
    <col min="6" max="6" width="24.7142857142857" customWidth="1"/>
    <col min="7" max="7" width="14.2857142857143" customWidth="1"/>
    <col min="8" max="8" width="15.8571428571429" customWidth="1"/>
    <col min="9" max="9" width="19" customWidth="1"/>
    <col min="10" max="10" width="18.4285714285714" customWidth="1"/>
    <col min="11" max="11" width="13.7142857142857" customWidth="1"/>
    <col min="12" max="12" width="30.7142857142857" customWidth="1"/>
  </cols>
  <sheetData>
    <row r="1" spans="1:12" ht="12.75">
      <c r="A1" s="4" t="s">
        <v>4</v>
      </c>
      <c r="B1" s="4" t="s">
        <v>7713</v>
      </c>
      <c r="C1" s="4" t="s">
        <v>7714</v>
      </c>
      <c r="D1" s="4" t="s">
        <v>7666</v>
      </c>
      <c r="E1" s="4" t="s">
        <v>7715</v>
      </c>
      <c r="F1" s="4" t="s">
        <v>7716</v>
      </c>
      <c r="G1" s="4" t="s">
        <v>7717</v>
      </c>
      <c r="H1" s="4" t="s">
        <v>7718</v>
      </c>
      <c r="I1" s="4" t="s">
        <v>7719</v>
      </c>
      <c r="J1" s="4" t="s">
        <v>7720</v>
      </c>
      <c r="K1" s="4" t="s">
        <v>7721</v>
      </c>
      <c r="L1" s="4" t="s">
        <v>7722</v>
      </c>
    </row>
    <row r="2" spans="1:12" ht="12.75">
      <c r="A2" t="s">
        <v>7670</v>
      </c>
      <c r="B2" t="s">
        <v>7689</v>
      </c>
      <c r="C2">
        <v>200000</v>
      </c>
      <c r="D2">
        <v>2025</v>
      </c>
      <c r="E2">
        <v>12</v>
      </c>
      <c r="F2">
        <v>20</v>
      </c>
      <c r="G2">
        <v>8</v>
      </c>
      <c r="H2">
        <v>3</v>
      </c>
      <c r="I2" t="s">
        <v>78</v>
      </c>
      <c r="J2" t="s">
        <v>78</v>
      </c>
      <c r="K2" t="s">
        <v>92</v>
      </c>
      <c r="L2" t="s">
        <v>92</v>
      </c>
    </row>
    <row r="3" spans="1:12" ht="12.75">
      <c r="A3" t="s">
        <v>7723</v>
      </c>
      <c r="B3" t="s">
        <v>7688</v>
      </c>
      <c r="C3">
        <v>200000</v>
      </c>
      <c r="D3">
        <v>2025</v>
      </c>
      <c r="E3">
        <v>12</v>
      </c>
      <c r="F3">
        <v>20</v>
      </c>
      <c r="G3">
        <v>8</v>
      </c>
      <c r="H3">
        <v>3</v>
      </c>
      <c r="I3" t="s">
        <v>78</v>
      </c>
      <c r="J3" t="s">
        <v>78</v>
      </c>
      <c r="K3" t="s">
        <v>92</v>
      </c>
      <c r="L3" t="s">
        <v>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951379b-d292-463b-b8aa-913a36c1a5be}">
  <dimension ref="A1:M82"/>
  <sheetViews>
    <sheetView workbookViewId="0" topLeftCell="A1"/>
  </sheetViews>
  <sheetFormatPr defaultRowHeight="12.75"/>
  <cols>
    <col min="1" max="1" width="6.57142857142857" customWidth="1"/>
    <col min="2" max="2" width="16" customWidth="1"/>
    <col min="3" max="4" width="24.8571428571429" customWidth="1"/>
    <col min="5" max="5" width="26.5714285714286" customWidth="1"/>
    <col min="6" max="6" width="21" customWidth="1"/>
    <col min="7" max="7" width="20.8571428571429" customWidth="1"/>
    <col min="8" max="8" width="22.1428571428571" customWidth="1"/>
    <col min="9" max="9" width="23.1428571428571" customWidth="1"/>
    <col min="10" max="10" width="21.2857142857143" customWidth="1"/>
    <col min="11" max="11" width="18.8571428571429" customWidth="1"/>
    <col min="12" max="12" width="21.4285714285714" customWidth="1"/>
    <col min="13" max="13" width="14.5714285714286" customWidth="1"/>
  </cols>
  <sheetData>
    <row r="1" spans="1:13" ht="12.75">
      <c r="A1" s="4" t="s">
        <v>4</v>
      </c>
      <c r="B1" s="4" t="s">
        <v>7724</v>
      </c>
      <c r="C1" s="4" t="s">
        <v>7725</v>
      </c>
      <c r="D1" s="4" t="s">
        <v>7726</v>
      </c>
      <c r="E1" s="4" t="s">
        <v>7727</v>
      </c>
      <c r="F1" s="4" t="s">
        <v>7728</v>
      </c>
      <c r="G1" s="4" t="s">
        <v>7729</v>
      </c>
      <c r="H1" s="4" t="s">
        <v>7730</v>
      </c>
      <c r="I1" s="4" t="s">
        <v>7731</v>
      </c>
      <c r="J1" s="4" t="s">
        <v>7732</v>
      </c>
      <c r="K1" s="4" t="s">
        <v>7733</v>
      </c>
      <c r="L1" s="4" t="s">
        <v>7734</v>
      </c>
      <c r="M1" s="4" t="s">
        <v>7735</v>
      </c>
    </row>
    <row r="2" spans="1:13" ht="12.75">
      <c r="A2" t="s">
        <v>218</v>
      </c>
      <c r="B2" t="s">
        <v>7736</v>
      </c>
      <c r="C2">
        <v>3.50</v>
      </c>
      <c r="D2">
        <v>3.50</v>
      </c>
      <c r="E2">
        <v>20</v>
      </c>
      <c r="F2">
        <v>3.50</v>
      </c>
      <c r="G2">
        <v>12</v>
      </c>
      <c r="H2">
        <v>2</v>
      </c>
      <c r="I2">
        <v>0.50</v>
      </c>
      <c r="J2">
        <v>6</v>
      </c>
      <c r="K2">
        <v>6</v>
      </c>
      <c r="L2">
        <v>0.50</v>
      </c>
      <c r="M2" t="s">
        <v>7737</v>
      </c>
    </row>
    <row r="3" spans="1:13" ht="12.75">
      <c r="A3" t="s">
        <v>347</v>
      </c>
      <c r="B3" t="s">
        <v>7736</v>
      </c>
      <c r="C3">
        <v>3.50</v>
      </c>
      <c r="D3">
        <v>3.50</v>
      </c>
      <c r="E3">
        <v>20</v>
      </c>
      <c r="F3">
        <v>3.50</v>
      </c>
      <c r="G3">
        <v>12</v>
      </c>
      <c r="H3">
        <v>2</v>
      </c>
      <c r="I3">
        <v>0.50</v>
      </c>
      <c r="J3">
        <v>6</v>
      </c>
      <c r="K3">
        <v>6</v>
      </c>
      <c r="L3">
        <v>0.50</v>
      </c>
      <c r="M3" t="s">
        <v>27</v>
      </c>
    </row>
    <row r="4" spans="1:13" ht="12.75">
      <c r="A4" t="s">
        <v>7738</v>
      </c>
      <c r="B4" t="s">
        <v>7736</v>
      </c>
      <c r="C4">
        <v>3.50</v>
      </c>
      <c r="D4">
        <v>3.50</v>
      </c>
      <c r="E4">
        <v>20</v>
      </c>
      <c r="F4">
        <v>3.50</v>
      </c>
      <c r="G4">
        <v>0</v>
      </c>
      <c r="H4">
        <v>0</v>
      </c>
      <c r="I4">
        <v>0</v>
      </c>
      <c r="J4">
        <v>0</v>
      </c>
      <c r="K4">
        <v>0</v>
      </c>
      <c r="L4">
        <v>0.50</v>
      </c>
      <c r="M4" t="s">
        <v>7739</v>
      </c>
    </row>
    <row r="5" spans="1:13" ht="12.75">
      <c r="A5" t="s">
        <v>5771</v>
      </c>
      <c r="B5" t="s">
        <v>7736</v>
      </c>
      <c r="C5">
        <v>3.50</v>
      </c>
      <c r="D5">
        <v>3.50</v>
      </c>
      <c r="E5">
        <v>20</v>
      </c>
      <c r="F5">
        <v>3.50</v>
      </c>
      <c r="G5">
        <v>0</v>
      </c>
      <c r="H5">
        <v>0</v>
      </c>
      <c r="I5">
        <v>0</v>
      </c>
      <c r="J5">
        <v>0</v>
      </c>
      <c r="K5">
        <v>0</v>
      </c>
      <c r="L5">
        <v>0.50</v>
      </c>
      <c r="M5" t="s">
        <v>7739</v>
      </c>
    </row>
    <row r="6" spans="1:13" ht="12.75">
      <c r="A6" t="s">
        <v>3212</v>
      </c>
      <c r="B6" t="s">
        <v>7736</v>
      </c>
      <c r="C6">
        <v>3.50</v>
      </c>
      <c r="D6">
        <v>3.50</v>
      </c>
      <c r="E6">
        <v>20</v>
      </c>
      <c r="F6">
        <v>3.50</v>
      </c>
      <c r="G6">
        <v>12</v>
      </c>
      <c r="H6">
        <v>0</v>
      </c>
      <c r="I6">
        <v>0</v>
      </c>
      <c r="J6">
        <v>6</v>
      </c>
      <c r="K6">
        <v>6</v>
      </c>
      <c r="L6">
        <v>0.50</v>
      </c>
      <c r="M6" t="s">
        <v>7739</v>
      </c>
    </row>
    <row r="7" spans="1:13" ht="12.75">
      <c r="A7" t="s">
        <v>7740</v>
      </c>
      <c r="B7" t="s">
        <v>7736</v>
      </c>
      <c r="C7">
        <v>3.50</v>
      </c>
      <c r="D7">
        <v>3.50</v>
      </c>
      <c r="E7">
        <v>20</v>
      </c>
      <c r="F7">
        <v>3.50</v>
      </c>
      <c r="G7">
        <v>12</v>
      </c>
      <c r="H7">
        <v>0</v>
      </c>
      <c r="I7">
        <v>0</v>
      </c>
      <c r="J7">
        <v>6</v>
      </c>
      <c r="K7">
        <v>6</v>
      </c>
      <c r="L7">
        <v>0.50</v>
      </c>
      <c r="M7" t="s">
        <v>7739</v>
      </c>
    </row>
    <row r="8" spans="1:13" ht="12.75">
      <c r="A8" t="s">
        <v>7741</v>
      </c>
      <c r="B8" t="s">
        <v>7736</v>
      </c>
      <c r="C8">
        <v>3.50</v>
      </c>
      <c r="D8">
        <v>3.50</v>
      </c>
      <c r="E8">
        <v>20</v>
      </c>
      <c r="F8">
        <v>3.50</v>
      </c>
      <c r="G8">
        <v>12</v>
      </c>
      <c r="H8">
        <v>0</v>
      </c>
      <c r="I8">
        <v>0</v>
      </c>
      <c r="J8">
        <v>6</v>
      </c>
      <c r="K8">
        <v>6</v>
      </c>
      <c r="L8">
        <v>0.50</v>
      </c>
      <c r="M8" t="s">
        <v>7739</v>
      </c>
    </row>
    <row r="9" spans="1:13" ht="12.75">
      <c r="A9" t="s">
        <v>5673</v>
      </c>
      <c r="B9" t="s">
        <v>7736</v>
      </c>
      <c r="C9">
        <v>3.50</v>
      </c>
      <c r="D9">
        <v>3.50</v>
      </c>
      <c r="E9">
        <v>20</v>
      </c>
      <c r="F9">
        <v>3.50</v>
      </c>
      <c r="G9">
        <v>12</v>
      </c>
      <c r="H9">
        <v>0</v>
      </c>
      <c r="I9">
        <v>0</v>
      </c>
      <c r="J9">
        <v>6</v>
      </c>
      <c r="K9">
        <v>6</v>
      </c>
      <c r="L9">
        <v>0.50</v>
      </c>
      <c r="M9" t="s">
        <v>7739</v>
      </c>
    </row>
    <row r="10" spans="1:13" ht="12.75">
      <c r="A10" t="s">
        <v>686</v>
      </c>
      <c r="B10" t="s">
        <v>7736</v>
      </c>
      <c r="C10">
        <v>3.50</v>
      </c>
      <c r="D10">
        <v>3.50</v>
      </c>
      <c r="E10">
        <v>20</v>
      </c>
      <c r="F10">
        <v>3.50</v>
      </c>
      <c r="G10">
        <v>6</v>
      </c>
      <c r="H10">
        <v>0</v>
      </c>
      <c r="I10">
        <v>0</v>
      </c>
      <c r="J10">
        <v>4</v>
      </c>
      <c r="K10">
        <v>4</v>
      </c>
      <c r="L10">
        <v>0.50</v>
      </c>
      <c r="M10" t="s">
        <v>7739</v>
      </c>
    </row>
    <row r="11" spans="1:13" ht="12.75">
      <c r="A11" t="s">
        <v>223</v>
      </c>
      <c r="B11" t="s">
        <v>7736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7739</v>
      </c>
    </row>
    <row r="12" spans="1:13" ht="12.75">
      <c r="A12" t="s">
        <v>7742</v>
      </c>
      <c r="B12" t="s">
        <v>7736</v>
      </c>
      <c r="C12">
        <v>3.50</v>
      </c>
      <c r="D12">
        <v>3.50</v>
      </c>
      <c r="E12">
        <v>40</v>
      </c>
      <c r="F12">
        <v>3.50</v>
      </c>
      <c r="G12">
        <v>12</v>
      </c>
      <c r="H12">
        <v>0</v>
      </c>
      <c r="I12">
        <v>0</v>
      </c>
      <c r="J12">
        <v>10</v>
      </c>
      <c r="K12">
        <v>10</v>
      </c>
      <c r="L12">
        <v>23</v>
      </c>
      <c r="M12" t="s">
        <v>7739</v>
      </c>
    </row>
    <row r="13" spans="1:13" ht="12.75">
      <c r="A13" t="s">
        <v>1645</v>
      </c>
      <c r="B13" t="s">
        <v>7736</v>
      </c>
      <c r="C13">
        <v>3.50</v>
      </c>
      <c r="D13">
        <v>3.50</v>
      </c>
      <c r="E13">
        <v>40</v>
      </c>
      <c r="F13">
        <v>3.50</v>
      </c>
      <c r="G13">
        <v>10</v>
      </c>
      <c r="H13">
        <v>0</v>
      </c>
      <c r="I13">
        <v>0</v>
      </c>
      <c r="J13">
        <v>6</v>
      </c>
      <c r="K13">
        <v>6</v>
      </c>
      <c r="L13">
        <v>1</v>
      </c>
      <c r="M13" t="s">
        <v>7739</v>
      </c>
    </row>
    <row r="14" spans="1:13" ht="12.75">
      <c r="A14" t="s">
        <v>342</v>
      </c>
      <c r="B14" t="s">
        <v>7736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7739</v>
      </c>
    </row>
    <row r="15" spans="1:13" ht="12.75">
      <c r="A15" t="s">
        <v>1866</v>
      </c>
      <c r="B15" t="s">
        <v>7736</v>
      </c>
      <c r="C15">
        <v>3.50</v>
      </c>
      <c r="D15">
        <v>3.50</v>
      </c>
      <c r="E15">
        <v>40</v>
      </c>
      <c r="F15">
        <v>3.50</v>
      </c>
      <c r="G15">
        <v>12</v>
      </c>
      <c r="H15">
        <v>0</v>
      </c>
      <c r="I15">
        <v>0</v>
      </c>
      <c r="J15">
        <v>6</v>
      </c>
      <c r="K15">
        <v>6</v>
      </c>
      <c r="L15">
        <v>0.50</v>
      </c>
      <c r="M15" t="s">
        <v>7739</v>
      </c>
    </row>
    <row r="16" spans="1:13" ht="12.75">
      <c r="A16" t="s">
        <v>7743</v>
      </c>
      <c r="B16" t="s">
        <v>7736</v>
      </c>
      <c r="C16">
        <v>3.50</v>
      </c>
      <c r="D16">
        <v>3.50</v>
      </c>
      <c r="E16">
        <v>40</v>
      </c>
      <c r="F16">
        <v>3.50</v>
      </c>
      <c r="G16">
        <v>0</v>
      </c>
      <c r="H16">
        <v>0</v>
      </c>
      <c r="I16">
        <v>0</v>
      </c>
      <c r="J16">
        <v>0</v>
      </c>
      <c r="K16">
        <v>0</v>
      </c>
      <c r="L16">
        <v>0.50</v>
      </c>
      <c r="M16" t="s">
        <v>7739</v>
      </c>
    </row>
    <row r="17" spans="1:13" ht="12.75">
      <c r="A17" t="s">
        <v>1810</v>
      </c>
      <c r="B17" t="s">
        <v>7736</v>
      </c>
      <c r="C17">
        <v>4</v>
      </c>
      <c r="D17">
        <v>3.50</v>
      </c>
      <c r="E17">
        <v>60</v>
      </c>
      <c r="F17">
        <v>3.50</v>
      </c>
      <c r="G17">
        <v>25</v>
      </c>
      <c r="H17">
        <v>0</v>
      </c>
      <c r="I17">
        <v>0</v>
      </c>
      <c r="J17">
        <v>15</v>
      </c>
      <c r="K17">
        <v>15</v>
      </c>
      <c r="L17">
        <v>0.50</v>
      </c>
      <c r="M17" t="s">
        <v>7739</v>
      </c>
    </row>
    <row r="18" spans="1:13" ht="12.75">
      <c r="A18" t="s">
        <v>1802</v>
      </c>
      <c r="B18" t="s">
        <v>7736</v>
      </c>
      <c r="C18">
        <v>3</v>
      </c>
      <c r="D18">
        <v>3</v>
      </c>
      <c r="E18">
        <v>40</v>
      </c>
      <c r="F18">
        <v>4</v>
      </c>
      <c r="G18">
        <v>15</v>
      </c>
      <c r="H18">
        <v>0</v>
      </c>
      <c r="I18">
        <v>0</v>
      </c>
      <c r="J18">
        <v>12</v>
      </c>
      <c r="K18">
        <v>12</v>
      </c>
      <c r="L18">
        <v>10</v>
      </c>
      <c r="M18" t="s">
        <v>7739</v>
      </c>
    </row>
    <row r="19" spans="1:13" ht="12.75">
      <c r="A19" t="s">
        <v>7744</v>
      </c>
      <c r="B19" t="s">
        <v>7736</v>
      </c>
      <c r="C19">
        <v>0</v>
      </c>
      <c r="D19">
        <v>0</v>
      </c>
      <c r="E19">
        <v>0</v>
      </c>
      <c r="F19">
        <v>0.50</v>
      </c>
      <c r="G19">
        <v>0.50</v>
      </c>
      <c r="H19">
        <v>0</v>
      </c>
      <c r="I19">
        <v>0</v>
      </c>
      <c r="J19">
        <v>0</v>
      </c>
      <c r="K19">
        <v>0.50</v>
      </c>
      <c r="L19">
        <v>0.50</v>
      </c>
      <c r="M19" t="s">
        <v>7739</v>
      </c>
    </row>
    <row r="20" spans="1:13" ht="12.75">
      <c r="A20" t="s">
        <v>7745</v>
      </c>
      <c r="B20" t="s">
        <v>7736</v>
      </c>
      <c r="C20">
        <v>3.50</v>
      </c>
      <c r="D20">
        <v>3.50</v>
      </c>
      <c r="E20">
        <v>0</v>
      </c>
      <c r="F20">
        <v>3.50</v>
      </c>
      <c r="G20">
        <v>16</v>
      </c>
      <c r="H20">
        <v>0</v>
      </c>
      <c r="I20">
        <v>0</v>
      </c>
      <c r="J20">
        <v>6</v>
      </c>
      <c r="K20">
        <v>6</v>
      </c>
      <c r="L20">
        <v>0.50</v>
      </c>
      <c r="M20" t="s">
        <v>7739</v>
      </c>
    </row>
    <row r="21" spans="1:13" ht="12.75">
      <c r="A21" t="s">
        <v>7746</v>
      </c>
      <c r="B21" t="s">
        <v>7736</v>
      </c>
      <c r="C21">
        <v>3.50</v>
      </c>
      <c r="D21">
        <v>3.50</v>
      </c>
      <c r="E21">
        <v>40</v>
      </c>
      <c r="F21">
        <v>3.50</v>
      </c>
      <c r="G21">
        <v>12</v>
      </c>
      <c r="H21">
        <v>0</v>
      </c>
      <c r="I21">
        <v>0</v>
      </c>
      <c r="J21">
        <v>6</v>
      </c>
      <c r="K21">
        <v>6</v>
      </c>
      <c r="L21">
        <v>0.50</v>
      </c>
      <c r="M21" t="s">
        <v>7739</v>
      </c>
    </row>
    <row r="22" spans="1:13" ht="12.75">
      <c r="A22" t="s">
        <v>7747</v>
      </c>
      <c r="B22" t="s">
        <v>7736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7739</v>
      </c>
    </row>
    <row r="23" spans="1:13" ht="12.75">
      <c r="A23" t="s">
        <v>7748</v>
      </c>
      <c r="B23" t="s">
        <v>7736</v>
      </c>
      <c r="C23">
        <v>0</v>
      </c>
      <c r="D23">
        <v>0</v>
      </c>
      <c r="E23">
        <v>20</v>
      </c>
      <c r="F23">
        <v>0.50</v>
      </c>
      <c r="G23">
        <v>3</v>
      </c>
      <c r="H23">
        <v>0</v>
      </c>
      <c r="I23">
        <v>0</v>
      </c>
      <c r="J23">
        <v>0</v>
      </c>
      <c r="K23">
        <v>0.50</v>
      </c>
      <c r="L23">
        <v>0.50</v>
      </c>
      <c r="M23" t="s">
        <v>7739</v>
      </c>
    </row>
    <row r="24" spans="1:13" ht="12.75">
      <c r="A24" t="s">
        <v>7749</v>
      </c>
      <c r="B24" t="s">
        <v>7736</v>
      </c>
      <c r="C24">
        <v>3.50</v>
      </c>
      <c r="D24">
        <v>3.50</v>
      </c>
      <c r="E24">
        <v>40</v>
      </c>
      <c r="F24">
        <v>3.50</v>
      </c>
      <c r="G24">
        <v>12</v>
      </c>
      <c r="H24">
        <v>0</v>
      </c>
      <c r="I24">
        <v>0</v>
      </c>
      <c r="J24">
        <v>6</v>
      </c>
      <c r="K24">
        <v>6</v>
      </c>
      <c r="L24">
        <v>0.50</v>
      </c>
      <c r="M24" t="s">
        <v>7739</v>
      </c>
    </row>
    <row r="25" spans="1:13" ht="12.75">
      <c r="A25" t="s">
        <v>7750</v>
      </c>
      <c r="B25" t="s">
        <v>7736</v>
      </c>
      <c r="C25">
        <v>0</v>
      </c>
      <c r="D25">
        <v>0</v>
      </c>
      <c r="E25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7739</v>
      </c>
    </row>
    <row r="26" spans="1:13" ht="12.75">
      <c r="A26" t="s">
        <v>7751</v>
      </c>
      <c r="B26" t="s">
        <v>7736</v>
      </c>
      <c r="C26">
        <v>3.50</v>
      </c>
      <c r="D26">
        <v>3.50</v>
      </c>
      <c r="E26">
        <v>40</v>
      </c>
      <c r="F26">
        <v>3.50</v>
      </c>
      <c r="G26">
        <v>16</v>
      </c>
      <c r="H26">
        <v>0</v>
      </c>
      <c r="I26">
        <v>0</v>
      </c>
      <c r="J26">
        <v>6</v>
      </c>
      <c r="K26">
        <v>6</v>
      </c>
      <c r="L26">
        <v>0.50</v>
      </c>
      <c r="M26" t="s">
        <v>7739</v>
      </c>
    </row>
    <row r="27" spans="1:13" ht="12.75">
      <c r="A27" t="s">
        <v>6381</v>
      </c>
      <c r="B27" t="s">
        <v>7736</v>
      </c>
      <c r="C27">
        <v>3.50</v>
      </c>
      <c r="D27">
        <v>3.50</v>
      </c>
      <c r="E27">
        <v>20</v>
      </c>
      <c r="F27">
        <v>3.50</v>
      </c>
      <c r="G27">
        <v>0</v>
      </c>
      <c r="H27">
        <v>0</v>
      </c>
      <c r="I27">
        <v>0</v>
      </c>
      <c r="J27">
        <v>0</v>
      </c>
      <c r="K27">
        <v>0</v>
      </c>
      <c r="L27">
        <v>0.50</v>
      </c>
      <c r="M27" t="s">
        <v>7739</v>
      </c>
    </row>
    <row r="28" spans="1:13" ht="12.75">
      <c r="A28" t="s">
        <v>6355</v>
      </c>
      <c r="B28" t="s">
        <v>7736</v>
      </c>
      <c r="C28">
        <v>3.50</v>
      </c>
      <c r="D28">
        <v>3.50</v>
      </c>
      <c r="E28">
        <v>20</v>
      </c>
      <c r="F28">
        <v>3.50</v>
      </c>
      <c r="G28">
        <v>12</v>
      </c>
      <c r="H28">
        <v>0</v>
      </c>
      <c r="I28">
        <v>0</v>
      </c>
      <c r="J28">
        <v>6</v>
      </c>
      <c r="K28">
        <v>6</v>
      </c>
      <c r="L28">
        <v>0.50</v>
      </c>
      <c r="M28" t="s">
        <v>7739</v>
      </c>
    </row>
    <row r="29" spans="1:13" ht="12.75">
      <c r="A29" t="s">
        <v>7189</v>
      </c>
      <c r="B29" t="s">
        <v>7736</v>
      </c>
      <c r="C29">
        <v>3.50</v>
      </c>
      <c r="D29">
        <v>3.50</v>
      </c>
      <c r="E29">
        <v>20</v>
      </c>
      <c r="F29">
        <v>3.50</v>
      </c>
      <c r="G29">
        <v>0</v>
      </c>
      <c r="H29">
        <v>0</v>
      </c>
      <c r="I29">
        <v>0</v>
      </c>
      <c r="J29">
        <v>0</v>
      </c>
      <c r="K29">
        <v>0</v>
      </c>
      <c r="L29">
        <v>0.50</v>
      </c>
      <c r="M29" t="s">
        <v>7739</v>
      </c>
    </row>
    <row r="30" spans="1:13" ht="12.75">
      <c r="A30" t="s">
        <v>7752</v>
      </c>
      <c r="B30" t="s">
        <v>7736</v>
      </c>
      <c r="C30">
        <v>3.50</v>
      </c>
      <c r="D30">
        <v>3.50</v>
      </c>
      <c r="E30">
        <v>20</v>
      </c>
      <c r="F30">
        <v>3.50</v>
      </c>
      <c r="G30">
        <v>12</v>
      </c>
      <c r="H30">
        <v>0</v>
      </c>
      <c r="I30">
        <v>0</v>
      </c>
      <c r="J30">
        <v>6</v>
      </c>
      <c r="K30">
        <v>6</v>
      </c>
      <c r="L30">
        <v>0.50</v>
      </c>
      <c r="M30" t="s">
        <v>7739</v>
      </c>
    </row>
    <row r="31" spans="1:13" ht="12.75">
      <c r="A31" t="s">
        <v>7753</v>
      </c>
      <c r="B31" t="s">
        <v>7736</v>
      </c>
      <c r="C31">
        <v>3.50</v>
      </c>
      <c r="D31">
        <v>3.50</v>
      </c>
      <c r="E31">
        <v>20</v>
      </c>
      <c r="F31">
        <v>3.50</v>
      </c>
      <c r="G31">
        <v>0</v>
      </c>
      <c r="H31">
        <v>0</v>
      </c>
      <c r="I31">
        <v>0</v>
      </c>
      <c r="J31">
        <v>0</v>
      </c>
      <c r="K31">
        <v>0</v>
      </c>
      <c r="L31">
        <v>0.50</v>
      </c>
      <c r="M31" t="s">
        <v>7739</v>
      </c>
    </row>
    <row r="32" spans="1:13" ht="12.75">
      <c r="A32" t="s">
        <v>2290</v>
      </c>
      <c r="B32" t="s">
        <v>7736</v>
      </c>
      <c r="C32">
        <v>3.50</v>
      </c>
      <c r="D32">
        <v>3.50</v>
      </c>
      <c r="E32">
        <v>20</v>
      </c>
      <c r="F32">
        <v>3.50</v>
      </c>
      <c r="G32">
        <v>10</v>
      </c>
      <c r="H32">
        <v>0</v>
      </c>
      <c r="I32">
        <v>0</v>
      </c>
      <c r="J32">
        <v>6</v>
      </c>
      <c r="K32">
        <v>6</v>
      </c>
      <c r="L32">
        <v>0.50</v>
      </c>
      <c r="M32" t="s">
        <v>7739</v>
      </c>
    </row>
    <row r="33" spans="1:13" ht="12.75">
      <c r="A33" t="s">
        <v>7754</v>
      </c>
      <c r="B33" t="s">
        <v>7736</v>
      </c>
      <c r="C33">
        <v>3.50</v>
      </c>
      <c r="D33">
        <v>3.50</v>
      </c>
      <c r="E33">
        <v>20</v>
      </c>
      <c r="F33">
        <v>3.50</v>
      </c>
      <c r="G33">
        <v>16</v>
      </c>
      <c r="H33">
        <v>0</v>
      </c>
      <c r="I33">
        <v>0</v>
      </c>
      <c r="J33">
        <v>6</v>
      </c>
      <c r="K33">
        <v>3</v>
      </c>
      <c r="L33">
        <v>0.50</v>
      </c>
      <c r="M33" t="s">
        <v>7739</v>
      </c>
    </row>
    <row r="34" spans="1:13" ht="12.75">
      <c r="A34" t="s">
        <v>501</v>
      </c>
      <c r="B34" t="s">
        <v>7736</v>
      </c>
      <c r="C34">
        <v>3.50</v>
      </c>
      <c r="D34">
        <v>3.50</v>
      </c>
      <c r="E34">
        <v>20</v>
      </c>
      <c r="F34">
        <v>3.50</v>
      </c>
      <c r="G34">
        <v>12</v>
      </c>
      <c r="H34">
        <v>0</v>
      </c>
      <c r="I34">
        <v>0</v>
      </c>
      <c r="J34">
        <v>6</v>
      </c>
      <c r="K34">
        <v>6</v>
      </c>
      <c r="L34">
        <v>0.50</v>
      </c>
      <c r="M34" t="s">
        <v>7739</v>
      </c>
    </row>
    <row r="35" spans="1:13" ht="12.75">
      <c r="A35" t="s">
        <v>661</v>
      </c>
      <c r="B35" t="s">
        <v>7736</v>
      </c>
      <c r="C35">
        <v>3.50</v>
      </c>
      <c r="D35">
        <v>3.50</v>
      </c>
      <c r="E35">
        <v>20</v>
      </c>
      <c r="F35">
        <v>3.50</v>
      </c>
      <c r="G35">
        <v>12</v>
      </c>
      <c r="H35">
        <v>0</v>
      </c>
      <c r="I35">
        <v>0</v>
      </c>
      <c r="J35">
        <v>6</v>
      </c>
      <c r="K35">
        <v>6</v>
      </c>
      <c r="L35">
        <v>0.50</v>
      </c>
      <c r="M35" t="s">
        <v>7739</v>
      </c>
    </row>
    <row r="36" spans="1:13" ht="12.75">
      <c r="A36" t="s">
        <v>219</v>
      </c>
      <c r="B36" t="s">
        <v>7736</v>
      </c>
      <c r="C36">
        <v>3.50</v>
      </c>
      <c r="D36">
        <v>3.50</v>
      </c>
      <c r="E36">
        <v>40</v>
      </c>
      <c r="F36">
        <v>3.50</v>
      </c>
      <c r="G36">
        <v>12</v>
      </c>
      <c r="H36">
        <v>0</v>
      </c>
      <c r="I36">
        <v>0</v>
      </c>
      <c r="J36">
        <v>6</v>
      </c>
      <c r="K36">
        <v>6</v>
      </c>
      <c r="L36">
        <v>0.50</v>
      </c>
      <c r="M36" t="s">
        <v>7739</v>
      </c>
    </row>
    <row r="37" spans="1:13" ht="12.75">
      <c r="A37" t="s">
        <v>727</v>
      </c>
      <c r="B37" t="s">
        <v>7736</v>
      </c>
      <c r="C37">
        <v>3.50</v>
      </c>
      <c r="D37">
        <v>3.50</v>
      </c>
      <c r="E37">
        <v>20</v>
      </c>
      <c r="F37">
        <v>3.50</v>
      </c>
      <c r="G37">
        <v>12</v>
      </c>
      <c r="H37">
        <v>0</v>
      </c>
      <c r="I37">
        <v>0</v>
      </c>
      <c r="J37">
        <v>6</v>
      </c>
      <c r="K37">
        <v>6</v>
      </c>
      <c r="L37">
        <v>0.50</v>
      </c>
      <c r="M37" t="s">
        <v>7739</v>
      </c>
    </row>
    <row r="38" spans="1:13" ht="12.75">
      <c r="A38" t="s">
        <v>576</v>
      </c>
      <c r="B38" t="s">
        <v>7736</v>
      </c>
      <c r="C38">
        <v>3.50</v>
      </c>
      <c r="D38">
        <v>3.50</v>
      </c>
      <c r="E38">
        <v>40</v>
      </c>
      <c r="F38">
        <v>3.50</v>
      </c>
      <c r="G38">
        <v>12</v>
      </c>
      <c r="H38">
        <v>0</v>
      </c>
      <c r="I38">
        <v>0</v>
      </c>
      <c r="J38">
        <v>6</v>
      </c>
      <c r="K38">
        <v>6</v>
      </c>
      <c r="L38">
        <v>0.50</v>
      </c>
      <c r="M38" t="s">
        <v>7739</v>
      </c>
    </row>
    <row r="39" spans="1:13" ht="12.75">
      <c r="A39" t="s">
        <v>598</v>
      </c>
      <c r="B39" t="s">
        <v>7736</v>
      </c>
      <c r="C39">
        <v>3.50</v>
      </c>
      <c r="D39">
        <v>3.50</v>
      </c>
      <c r="E39">
        <v>20</v>
      </c>
      <c r="F39">
        <v>3.50</v>
      </c>
      <c r="G39">
        <v>12</v>
      </c>
      <c r="H39">
        <v>0</v>
      </c>
      <c r="I39">
        <v>0</v>
      </c>
      <c r="J39">
        <v>6</v>
      </c>
      <c r="K39">
        <v>6</v>
      </c>
      <c r="L39">
        <v>0.50</v>
      </c>
      <c r="M39" t="s">
        <v>7739</v>
      </c>
    </row>
    <row r="40" spans="1:13" ht="12.75">
      <c r="A40" t="s">
        <v>7755</v>
      </c>
      <c r="B40" t="s">
        <v>7736</v>
      </c>
      <c r="C40">
        <v>3.50</v>
      </c>
      <c r="D40">
        <v>3.50</v>
      </c>
      <c r="E40">
        <v>40</v>
      </c>
      <c r="F40">
        <v>3.50</v>
      </c>
      <c r="G40">
        <v>12</v>
      </c>
      <c r="H40">
        <v>0</v>
      </c>
      <c r="I40">
        <v>0</v>
      </c>
      <c r="J40">
        <v>6</v>
      </c>
      <c r="K40">
        <v>6</v>
      </c>
      <c r="L40">
        <v>0.50</v>
      </c>
      <c r="M40" t="s">
        <v>7739</v>
      </c>
    </row>
    <row r="41" spans="1:13" ht="12.75">
      <c r="A41" t="s">
        <v>7756</v>
      </c>
      <c r="B41" t="s">
        <v>7736</v>
      </c>
      <c r="C41">
        <v>3.50</v>
      </c>
      <c r="D41">
        <v>3.50</v>
      </c>
      <c r="E41">
        <v>20</v>
      </c>
      <c r="F41">
        <v>3.50</v>
      </c>
      <c r="G41">
        <v>30</v>
      </c>
      <c r="H41">
        <v>0</v>
      </c>
      <c r="I41">
        <v>0</v>
      </c>
      <c r="J41">
        <v>6</v>
      </c>
      <c r="K41">
        <v>6</v>
      </c>
      <c r="L41">
        <v>0.50</v>
      </c>
      <c r="M41" t="s">
        <v>7739</v>
      </c>
    </row>
    <row r="42" spans="1:13" ht="12.75">
      <c r="A42" t="s">
        <v>7757</v>
      </c>
      <c r="B42" t="s">
        <v>7736</v>
      </c>
      <c r="C42">
        <v>3.50</v>
      </c>
      <c r="D42">
        <v>3.50</v>
      </c>
      <c r="E42">
        <v>40</v>
      </c>
      <c r="F42">
        <v>3.50</v>
      </c>
      <c r="G42">
        <v>20</v>
      </c>
      <c r="H42">
        <v>0</v>
      </c>
      <c r="I42">
        <v>0</v>
      </c>
      <c r="J42">
        <v>6</v>
      </c>
      <c r="K42">
        <v>6</v>
      </c>
      <c r="L42">
        <v>0.50</v>
      </c>
      <c r="M42" t="s">
        <v>7739</v>
      </c>
    </row>
    <row r="43" spans="1:13" ht="12.75">
      <c r="A43" t="s">
        <v>7758</v>
      </c>
      <c r="B43" t="s">
        <v>7736</v>
      </c>
      <c r="C43">
        <v>3.50</v>
      </c>
      <c r="D43">
        <v>3.50</v>
      </c>
      <c r="E43">
        <v>40</v>
      </c>
      <c r="F43">
        <v>3.50</v>
      </c>
      <c r="G43">
        <v>17</v>
      </c>
      <c r="H43">
        <v>0</v>
      </c>
      <c r="I43">
        <v>0</v>
      </c>
      <c r="J43">
        <v>8</v>
      </c>
      <c r="K43">
        <v>8</v>
      </c>
      <c r="L43">
        <v>0.50</v>
      </c>
      <c r="M43" t="s">
        <v>7739</v>
      </c>
    </row>
    <row r="44" spans="1:13" ht="12.75">
      <c r="A44" t="s">
        <v>91</v>
      </c>
      <c r="B44" t="s">
        <v>7736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7739</v>
      </c>
    </row>
    <row r="45" spans="1:13" ht="12.75">
      <c r="A45" t="s">
        <v>825</v>
      </c>
      <c r="B45" t="s">
        <v>7736</v>
      </c>
      <c r="C45">
        <v>3.50</v>
      </c>
      <c r="D45">
        <v>3.50</v>
      </c>
      <c r="E45">
        <v>20</v>
      </c>
      <c r="F45">
        <v>3.50</v>
      </c>
      <c r="G45">
        <v>0</v>
      </c>
      <c r="H45">
        <v>0</v>
      </c>
      <c r="I45">
        <v>0</v>
      </c>
      <c r="J45">
        <v>0</v>
      </c>
      <c r="K45">
        <v>0</v>
      </c>
      <c r="L45">
        <v>0.50</v>
      </c>
      <c r="M45" t="s">
        <v>7739</v>
      </c>
    </row>
    <row r="46" spans="1:13" ht="12.75">
      <c r="A46" t="s">
        <v>75</v>
      </c>
      <c r="B46" t="s">
        <v>7736</v>
      </c>
      <c r="C46">
        <v>3.50</v>
      </c>
      <c r="D46">
        <v>3.50</v>
      </c>
      <c r="E46">
        <v>20</v>
      </c>
      <c r="F46">
        <v>3.50</v>
      </c>
      <c r="G46">
        <v>12</v>
      </c>
      <c r="H46">
        <v>0</v>
      </c>
      <c r="I46">
        <v>0</v>
      </c>
      <c r="J46">
        <v>6</v>
      </c>
      <c r="K46">
        <v>6</v>
      </c>
      <c r="L46">
        <v>0.50</v>
      </c>
      <c r="M46" t="s">
        <v>7739</v>
      </c>
    </row>
    <row r="47" spans="1:13" ht="12.75">
      <c r="A47" t="s">
        <v>1440</v>
      </c>
      <c r="B47" t="s">
        <v>7736</v>
      </c>
      <c r="C47">
        <v>3.50</v>
      </c>
      <c r="D47">
        <v>3.50</v>
      </c>
      <c r="E47">
        <v>40</v>
      </c>
      <c r="F47">
        <v>3.50</v>
      </c>
      <c r="G47">
        <v>0</v>
      </c>
      <c r="H47">
        <v>0</v>
      </c>
      <c r="I47">
        <v>0</v>
      </c>
      <c r="J47">
        <v>0</v>
      </c>
      <c r="K47">
        <v>0</v>
      </c>
      <c r="L47">
        <v>0.50</v>
      </c>
      <c r="M47" t="s">
        <v>7739</v>
      </c>
    </row>
    <row r="48" spans="1:13" ht="12.75">
      <c r="A48" t="s">
        <v>213</v>
      </c>
      <c r="B48" t="s">
        <v>7736</v>
      </c>
      <c r="C48">
        <v>3.50</v>
      </c>
      <c r="D48">
        <v>3.50</v>
      </c>
      <c r="E48">
        <v>40</v>
      </c>
      <c r="F48">
        <v>3.50</v>
      </c>
      <c r="G48">
        <v>12</v>
      </c>
      <c r="H48">
        <v>0</v>
      </c>
      <c r="I48">
        <v>0</v>
      </c>
      <c r="J48">
        <v>6</v>
      </c>
      <c r="K48">
        <v>6</v>
      </c>
      <c r="L48">
        <v>0.50</v>
      </c>
      <c r="M48" t="s">
        <v>7739</v>
      </c>
    </row>
    <row r="49" spans="1:13" ht="12.75">
      <c r="A49" t="s">
        <v>7759</v>
      </c>
      <c r="B49" t="s">
        <v>7736</v>
      </c>
      <c r="C49">
        <v>5</v>
      </c>
      <c r="D49">
        <v>5</v>
      </c>
      <c r="E49">
        <v>30</v>
      </c>
      <c r="F49">
        <v>5</v>
      </c>
      <c r="G49">
        <v>14</v>
      </c>
      <c r="H49">
        <v>0</v>
      </c>
      <c r="I49">
        <v>0</v>
      </c>
      <c r="J49">
        <v>6</v>
      </c>
      <c r="K49">
        <v>6</v>
      </c>
      <c r="L49">
        <v>0.50</v>
      </c>
      <c r="M49" t="s">
        <v>7739</v>
      </c>
    </row>
    <row r="50" spans="1:13" ht="12.75">
      <c r="A50" t="s">
        <v>7760</v>
      </c>
      <c r="B50" t="s">
        <v>7736</v>
      </c>
      <c r="C50">
        <v>3.50</v>
      </c>
      <c r="D50">
        <v>3.50</v>
      </c>
      <c r="E50">
        <v>40</v>
      </c>
      <c r="F50">
        <v>3.50</v>
      </c>
      <c r="G50">
        <v>25</v>
      </c>
      <c r="H50">
        <v>0</v>
      </c>
      <c r="I50">
        <v>0</v>
      </c>
      <c r="J50">
        <v>15</v>
      </c>
      <c r="K50">
        <v>15</v>
      </c>
      <c r="L50">
        <v>0.50</v>
      </c>
      <c r="M50" t="s">
        <v>7739</v>
      </c>
    </row>
    <row r="51" spans="1:13" ht="12.75">
      <c r="A51" t="s">
        <v>7761</v>
      </c>
      <c r="B51" t="s">
        <v>7736</v>
      </c>
      <c r="C51">
        <v>4</v>
      </c>
      <c r="D51">
        <v>4</v>
      </c>
      <c r="E51">
        <v>40</v>
      </c>
      <c r="F51">
        <v>4</v>
      </c>
      <c r="G51">
        <v>15</v>
      </c>
      <c r="H51">
        <v>0</v>
      </c>
      <c r="I51">
        <v>0</v>
      </c>
      <c r="J51">
        <v>10</v>
      </c>
      <c r="K51">
        <v>10</v>
      </c>
      <c r="L51">
        <v>10</v>
      </c>
      <c r="M51" t="s">
        <v>7739</v>
      </c>
    </row>
    <row r="52" spans="1:13" ht="12.75">
      <c r="A52" t="s">
        <v>7762</v>
      </c>
      <c r="B52" t="s">
        <v>7736</v>
      </c>
      <c r="C52">
        <v>0</v>
      </c>
      <c r="D52">
        <v>0</v>
      </c>
      <c r="E52">
        <v>40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7739</v>
      </c>
    </row>
    <row r="53" spans="1:13" ht="12.75">
      <c r="A53" t="s">
        <v>7763</v>
      </c>
      <c r="B53" t="s">
        <v>7736</v>
      </c>
      <c r="C53">
        <v>0</v>
      </c>
      <c r="D53">
        <v>0</v>
      </c>
      <c r="E53">
        <v>0</v>
      </c>
      <c r="F53">
        <v>0.50</v>
      </c>
      <c r="G53">
        <v>3</v>
      </c>
      <c r="H53">
        <v>0</v>
      </c>
      <c r="I53">
        <v>0</v>
      </c>
      <c r="J53">
        <v>0</v>
      </c>
      <c r="K53">
        <v>0.50</v>
      </c>
      <c r="L53">
        <v>0.50</v>
      </c>
      <c r="M53" t="s">
        <v>7739</v>
      </c>
    </row>
    <row r="54" spans="1:13" ht="12.75">
      <c r="A54" t="s">
        <v>7764</v>
      </c>
      <c r="B54" t="s">
        <v>7736</v>
      </c>
      <c r="C54">
        <v>0</v>
      </c>
      <c r="D54">
        <v>0</v>
      </c>
      <c r="E54">
        <v>0</v>
      </c>
      <c r="F54">
        <v>0.50</v>
      </c>
      <c r="G54">
        <v>0.50</v>
      </c>
      <c r="H54">
        <v>0</v>
      </c>
      <c r="I54">
        <v>0</v>
      </c>
      <c r="J54">
        <v>0</v>
      </c>
      <c r="K54">
        <v>0.50</v>
      </c>
      <c r="L54">
        <v>0.50</v>
      </c>
      <c r="M54" t="s">
        <v>7739</v>
      </c>
    </row>
    <row r="55" spans="1:13" ht="12.75">
      <c r="A55" t="s">
        <v>2496</v>
      </c>
      <c r="B55" t="s">
        <v>7736</v>
      </c>
      <c r="C55">
        <v>0</v>
      </c>
      <c r="D55">
        <v>0</v>
      </c>
      <c r="E55">
        <v>20</v>
      </c>
      <c r="F55">
        <v>0.50</v>
      </c>
      <c r="G55">
        <v>3</v>
      </c>
      <c r="H55">
        <v>0</v>
      </c>
      <c r="I55">
        <v>0</v>
      </c>
      <c r="J55">
        <v>0</v>
      </c>
      <c r="K55">
        <v>0.50</v>
      </c>
      <c r="L55">
        <v>0.50</v>
      </c>
      <c r="M55" t="s">
        <v>7739</v>
      </c>
    </row>
    <row r="56" spans="1:13" ht="12.75">
      <c r="A56" t="s">
        <v>2492</v>
      </c>
      <c r="B56" t="s">
        <v>7736</v>
      </c>
      <c r="C56">
        <v>0</v>
      </c>
      <c r="D56">
        <v>0</v>
      </c>
      <c r="E56">
        <v>20</v>
      </c>
      <c r="F56">
        <v>0.50</v>
      </c>
      <c r="G56">
        <v>11</v>
      </c>
      <c r="H56">
        <v>0</v>
      </c>
      <c r="I56">
        <v>0</v>
      </c>
      <c r="J56">
        <v>8</v>
      </c>
      <c r="K56">
        <v>8</v>
      </c>
      <c r="L56">
        <v>2.50</v>
      </c>
      <c r="M56" t="s">
        <v>7739</v>
      </c>
    </row>
    <row r="57" spans="1:13" ht="12.75">
      <c r="A57" t="s">
        <v>7765</v>
      </c>
      <c r="B57" t="s">
        <v>7736</v>
      </c>
      <c r="C57">
        <v>3.50</v>
      </c>
      <c r="D57">
        <v>3.50</v>
      </c>
      <c r="E57">
        <v>0</v>
      </c>
      <c r="F57">
        <v>3.50</v>
      </c>
      <c r="G57">
        <v>16</v>
      </c>
      <c r="H57">
        <v>0</v>
      </c>
      <c r="I57">
        <v>0</v>
      </c>
      <c r="J57">
        <v>6</v>
      </c>
      <c r="K57">
        <v>6</v>
      </c>
      <c r="L57">
        <v>0.50</v>
      </c>
      <c r="M57" t="s">
        <v>7739</v>
      </c>
    </row>
    <row r="58" spans="1:13" ht="12.75">
      <c r="A58" t="s">
        <v>2317</v>
      </c>
      <c r="B58" t="s">
        <v>7736</v>
      </c>
      <c r="C58">
        <v>3.50</v>
      </c>
      <c r="D58">
        <v>3.50</v>
      </c>
      <c r="E58">
        <v>40</v>
      </c>
      <c r="F58">
        <v>3.50</v>
      </c>
      <c r="G58">
        <v>16</v>
      </c>
      <c r="H58">
        <v>0</v>
      </c>
      <c r="I58">
        <v>0</v>
      </c>
      <c r="J58">
        <v>6</v>
      </c>
      <c r="K58">
        <v>6</v>
      </c>
      <c r="L58">
        <v>0.50</v>
      </c>
      <c r="M58" t="s">
        <v>7739</v>
      </c>
    </row>
    <row r="59" spans="1:13" ht="12.75">
      <c r="A59" t="s">
        <v>2335</v>
      </c>
      <c r="B59" t="s">
        <v>7736</v>
      </c>
      <c r="C59">
        <v>3.50</v>
      </c>
      <c r="D59">
        <v>3.50</v>
      </c>
      <c r="E59">
        <v>40</v>
      </c>
      <c r="F59">
        <v>3.50</v>
      </c>
      <c r="G59">
        <v>12</v>
      </c>
      <c r="H59">
        <v>0</v>
      </c>
      <c r="I59">
        <v>0</v>
      </c>
      <c r="J59">
        <v>6</v>
      </c>
      <c r="K59">
        <v>6</v>
      </c>
      <c r="L59">
        <v>0.50</v>
      </c>
      <c r="M59" t="s">
        <v>7739</v>
      </c>
    </row>
    <row r="60" spans="1:13" ht="12.75">
      <c r="A60" t="s">
        <v>2381</v>
      </c>
      <c r="B60" t="s">
        <v>7736</v>
      </c>
      <c r="C60">
        <v>3.50</v>
      </c>
      <c r="D60">
        <v>3.50</v>
      </c>
      <c r="E60">
        <v>40</v>
      </c>
      <c r="F60">
        <v>3.50</v>
      </c>
      <c r="G60">
        <v>12</v>
      </c>
      <c r="H60">
        <v>0</v>
      </c>
      <c r="I60">
        <v>0</v>
      </c>
      <c r="J60">
        <v>6</v>
      </c>
      <c r="K60">
        <v>6</v>
      </c>
      <c r="L60">
        <v>0.50</v>
      </c>
      <c r="M60" t="s">
        <v>7739</v>
      </c>
    </row>
    <row r="61" spans="1:13" ht="12.75">
      <c r="A61" t="s">
        <v>2435</v>
      </c>
      <c r="B61" t="s">
        <v>7736</v>
      </c>
      <c r="C61">
        <v>3.50</v>
      </c>
      <c r="D61">
        <v>3.50</v>
      </c>
      <c r="E61">
        <v>40</v>
      </c>
      <c r="F61">
        <v>3.50</v>
      </c>
      <c r="G61">
        <v>12</v>
      </c>
      <c r="H61">
        <v>0</v>
      </c>
      <c r="I61">
        <v>0</v>
      </c>
      <c r="J61">
        <v>6</v>
      </c>
      <c r="K61">
        <v>6</v>
      </c>
      <c r="L61">
        <v>0.50</v>
      </c>
      <c r="M61" t="s">
        <v>7739</v>
      </c>
    </row>
    <row r="62" spans="1:13" ht="12.75">
      <c r="A62" t="s">
        <v>2293</v>
      </c>
      <c r="B62" t="s">
        <v>7736</v>
      </c>
      <c r="C62">
        <v>3.50</v>
      </c>
      <c r="D62">
        <v>3.50</v>
      </c>
      <c r="E62">
        <v>20</v>
      </c>
      <c r="F62">
        <v>3.50</v>
      </c>
      <c r="G62">
        <v>12</v>
      </c>
      <c r="H62">
        <v>0</v>
      </c>
      <c r="I62">
        <v>0</v>
      </c>
      <c r="J62">
        <v>6</v>
      </c>
      <c r="K62">
        <v>6</v>
      </c>
      <c r="L62">
        <v>0.50</v>
      </c>
      <c r="M62" t="s">
        <v>7739</v>
      </c>
    </row>
    <row r="63" spans="1:13" ht="12.75">
      <c r="A63" t="s">
        <v>2323</v>
      </c>
      <c r="B63" t="s">
        <v>7736</v>
      </c>
      <c r="C63">
        <v>0</v>
      </c>
      <c r="D63">
        <v>0</v>
      </c>
      <c r="E63">
        <v>40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7739</v>
      </c>
    </row>
    <row r="64" spans="1:13" ht="12.75">
      <c r="A64" t="s">
        <v>7766</v>
      </c>
      <c r="B64" t="s">
        <v>7736</v>
      </c>
      <c r="C64">
        <v>0</v>
      </c>
      <c r="D64">
        <v>0</v>
      </c>
      <c r="E64">
        <v>0</v>
      </c>
      <c r="F64">
        <v>0.50</v>
      </c>
      <c r="G64">
        <v>3</v>
      </c>
      <c r="H64">
        <v>0</v>
      </c>
      <c r="I64">
        <v>0</v>
      </c>
      <c r="J64">
        <v>0</v>
      </c>
      <c r="K64">
        <v>0</v>
      </c>
      <c r="L64">
        <v>0.50</v>
      </c>
      <c r="M64" t="s">
        <v>7739</v>
      </c>
    </row>
    <row r="65" spans="1:13" ht="12.75">
      <c r="A65" t="s">
        <v>2497</v>
      </c>
      <c r="B65" t="s">
        <v>7736</v>
      </c>
      <c r="C65">
        <v>0</v>
      </c>
      <c r="D65">
        <v>0</v>
      </c>
      <c r="E65">
        <v>0</v>
      </c>
      <c r="F65">
        <v>0.50</v>
      </c>
      <c r="G65">
        <v>0.50</v>
      </c>
      <c r="H65">
        <v>0</v>
      </c>
      <c r="I65">
        <v>0</v>
      </c>
      <c r="J65">
        <v>0</v>
      </c>
      <c r="K65">
        <v>0</v>
      </c>
      <c r="L65">
        <v>0.50</v>
      </c>
      <c r="M65" t="s">
        <v>7739</v>
      </c>
    </row>
    <row r="66" spans="1:13" ht="12.75">
      <c r="A66" t="s">
        <v>7767</v>
      </c>
      <c r="B66" t="s">
        <v>7736</v>
      </c>
      <c r="C66">
        <v>0</v>
      </c>
      <c r="D66">
        <v>0</v>
      </c>
      <c r="E66">
        <v>20</v>
      </c>
      <c r="F66">
        <v>0.50</v>
      </c>
      <c r="G66">
        <v>3</v>
      </c>
      <c r="H66">
        <v>0</v>
      </c>
      <c r="I66">
        <v>0</v>
      </c>
      <c r="J66">
        <v>0</v>
      </c>
      <c r="K66">
        <v>0</v>
      </c>
      <c r="L66">
        <v>0.50</v>
      </c>
      <c r="M66" t="s">
        <v>7739</v>
      </c>
    </row>
    <row r="67" spans="1:13" ht="12.75">
      <c r="A67" t="s">
        <v>7768</v>
      </c>
      <c r="B67" t="s">
        <v>7736</v>
      </c>
      <c r="C67">
        <v>0</v>
      </c>
      <c r="D67">
        <v>0</v>
      </c>
      <c r="E67">
        <v>20</v>
      </c>
      <c r="F67">
        <v>0.50</v>
      </c>
      <c r="G67">
        <v>11</v>
      </c>
      <c r="H67">
        <v>0</v>
      </c>
      <c r="I67">
        <v>0</v>
      </c>
      <c r="J67">
        <v>0</v>
      </c>
      <c r="K67">
        <v>0</v>
      </c>
      <c r="L67">
        <v>2.50</v>
      </c>
      <c r="M67" t="s">
        <v>7739</v>
      </c>
    </row>
    <row r="68" spans="1:13" ht="12.75">
      <c r="A68" t="s">
        <v>2475</v>
      </c>
      <c r="B68" t="s">
        <v>7736</v>
      </c>
      <c r="C68">
        <v>3.50</v>
      </c>
      <c r="D68">
        <v>3.50</v>
      </c>
      <c r="E68">
        <v>0</v>
      </c>
      <c r="F68">
        <v>3.50</v>
      </c>
      <c r="G68">
        <v>0</v>
      </c>
      <c r="H68">
        <v>0</v>
      </c>
      <c r="I68">
        <v>0</v>
      </c>
      <c r="J68">
        <v>0</v>
      </c>
      <c r="K68">
        <v>0</v>
      </c>
      <c r="L68">
        <v>0.50</v>
      </c>
      <c r="M68" t="s">
        <v>7739</v>
      </c>
    </row>
    <row r="69" spans="1:13" ht="12.75">
      <c r="A69" t="s">
        <v>7769</v>
      </c>
      <c r="B69" t="s">
        <v>7736</v>
      </c>
      <c r="C69">
        <v>3.50</v>
      </c>
      <c r="D69">
        <v>3.50</v>
      </c>
      <c r="E69">
        <v>40</v>
      </c>
      <c r="F69">
        <v>3.50</v>
      </c>
      <c r="G69">
        <v>0</v>
      </c>
      <c r="H69">
        <v>0</v>
      </c>
      <c r="I69">
        <v>0</v>
      </c>
      <c r="J69">
        <v>0</v>
      </c>
      <c r="K69">
        <v>0</v>
      </c>
      <c r="L69">
        <v>0.50</v>
      </c>
      <c r="M69" t="s">
        <v>7739</v>
      </c>
    </row>
    <row r="70" spans="1:13" ht="12.75">
      <c r="A70" t="s">
        <v>7770</v>
      </c>
      <c r="B70" t="s">
        <v>7736</v>
      </c>
      <c r="C70">
        <v>3.50</v>
      </c>
      <c r="D70">
        <v>3.50</v>
      </c>
      <c r="E70">
        <v>40</v>
      </c>
      <c r="F70">
        <v>3.50</v>
      </c>
      <c r="G70">
        <v>0</v>
      </c>
      <c r="H70">
        <v>0</v>
      </c>
      <c r="I70">
        <v>0</v>
      </c>
      <c r="J70">
        <v>0</v>
      </c>
      <c r="K70">
        <v>0</v>
      </c>
      <c r="L70">
        <v>0.50</v>
      </c>
      <c r="M70" t="s">
        <v>7739</v>
      </c>
    </row>
    <row r="71" spans="1:13" ht="12.75">
      <c r="A71" t="s">
        <v>7771</v>
      </c>
      <c r="B71" t="s">
        <v>7736</v>
      </c>
      <c r="C71">
        <v>3.50</v>
      </c>
      <c r="D71">
        <v>3.50</v>
      </c>
      <c r="E71">
        <v>40</v>
      </c>
      <c r="F71">
        <v>3.50</v>
      </c>
      <c r="G71">
        <v>0</v>
      </c>
      <c r="H71">
        <v>0</v>
      </c>
      <c r="I71">
        <v>0</v>
      </c>
      <c r="J71">
        <v>0</v>
      </c>
      <c r="K71">
        <v>0</v>
      </c>
      <c r="L71">
        <v>0.50</v>
      </c>
      <c r="M71" t="s">
        <v>7739</v>
      </c>
    </row>
    <row r="72" spans="1:13" ht="12.75">
      <c r="A72" t="s">
        <v>7772</v>
      </c>
      <c r="B72" t="s">
        <v>7736</v>
      </c>
      <c r="C72">
        <v>3.50</v>
      </c>
      <c r="D72">
        <v>3.50</v>
      </c>
      <c r="E72">
        <v>40</v>
      </c>
      <c r="F72">
        <v>3.50</v>
      </c>
      <c r="G72">
        <v>0</v>
      </c>
      <c r="H72">
        <v>0</v>
      </c>
      <c r="I72">
        <v>0</v>
      </c>
      <c r="J72">
        <v>0</v>
      </c>
      <c r="K72">
        <v>0</v>
      </c>
      <c r="L72">
        <v>0.50</v>
      </c>
      <c r="M72" t="s">
        <v>7739</v>
      </c>
    </row>
    <row r="73" spans="1:13" ht="12.75">
      <c r="A73" t="s">
        <v>7773</v>
      </c>
      <c r="B73" t="s">
        <v>7736</v>
      </c>
      <c r="C73">
        <v>3.50</v>
      </c>
      <c r="D73">
        <v>3.50</v>
      </c>
      <c r="E73">
        <v>20</v>
      </c>
      <c r="F73">
        <v>3.50</v>
      </c>
      <c r="G73">
        <v>0</v>
      </c>
      <c r="H73">
        <v>0</v>
      </c>
      <c r="I73">
        <v>0</v>
      </c>
      <c r="J73">
        <v>0</v>
      </c>
      <c r="K73">
        <v>0</v>
      </c>
      <c r="L73">
        <v>0.50</v>
      </c>
      <c r="M73" t="s">
        <v>7739</v>
      </c>
    </row>
    <row r="74" spans="1:13" ht="12.75">
      <c r="A74" t="s">
        <v>4599</v>
      </c>
      <c r="B74" t="s">
        <v>7736</v>
      </c>
      <c r="C74">
        <v>3.50</v>
      </c>
      <c r="D74">
        <v>3.50</v>
      </c>
      <c r="E74">
        <v>20</v>
      </c>
      <c r="F74">
        <v>3.50</v>
      </c>
      <c r="G74">
        <v>0</v>
      </c>
      <c r="H74">
        <v>0</v>
      </c>
      <c r="I74">
        <v>0</v>
      </c>
      <c r="J74">
        <v>0</v>
      </c>
      <c r="K74">
        <v>0</v>
      </c>
      <c r="L74">
        <v>0.50</v>
      </c>
      <c r="M74" t="s">
        <v>7739</v>
      </c>
    </row>
    <row r="75" spans="1:13" ht="12.75">
      <c r="A75" t="s">
        <v>4605</v>
      </c>
      <c r="B75" t="s">
        <v>7736</v>
      </c>
      <c r="C75">
        <v>3.50</v>
      </c>
      <c r="D75">
        <v>3.50</v>
      </c>
      <c r="E75">
        <v>20</v>
      </c>
      <c r="F75">
        <v>3.50</v>
      </c>
      <c r="G75">
        <v>12</v>
      </c>
      <c r="H75">
        <v>0</v>
      </c>
      <c r="I75">
        <v>0</v>
      </c>
      <c r="J75">
        <v>6</v>
      </c>
      <c r="K75">
        <v>6</v>
      </c>
      <c r="L75">
        <v>0.50</v>
      </c>
      <c r="M75" t="s">
        <v>7739</v>
      </c>
    </row>
    <row r="76" spans="1:13" ht="12.75">
      <c r="A76" t="s">
        <v>4668</v>
      </c>
      <c r="B76" t="s">
        <v>7736</v>
      </c>
      <c r="C76">
        <v>3.50</v>
      </c>
      <c r="D76">
        <v>3.50</v>
      </c>
      <c r="E76">
        <v>20</v>
      </c>
      <c r="F76">
        <v>3.50</v>
      </c>
      <c r="G76">
        <v>0</v>
      </c>
      <c r="H76">
        <v>0</v>
      </c>
      <c r="I76">
        <v>0</v>
      </c>
      <c r="J76">
        <v>0</v>
      </c>
      <c r="K76">
        <v>0</v>
      </c>
      <c r="L76">
        <v>0.50</v>
      </c>
      <c r="M76" t="s">
        <v>7739</v>
      </c>
    </row>
    <row r="77" spans="1:13" ht="12.75">
      <c r="A77" t="s">
        <v>4765</v>
      </c>
      <c r="B77" t="s">
        <v>7736</v>
      </c>
      <c r="C77">
        <v>3.50</v>
      </c>
      <c r="D77">
        <v>3.50</v>
      </c>
      <c r="E77">
        <v>20</v>
      </c>
      <c r="F77">
        <v>3.50</v>
      </c>
      <c r="G77">
        <v>12</v>
      </c>
      <c r="H77">
        <v>0</v>
      </c>
      <c r="I77">
        <v>0</v>
      </c>
      <c r="J77">
        <v>6</v>
      </c>
      <c r="K77">
        <v>6</v>
      </c>
      <c r="L77">
        <v>0.50</v>
      </c>
      <c r="M77" t="s">
        <v>7739</v>
      </c>
    </row>
    <row r="78" spans="1:13" ht="12.75">
      <c r="A78" t="s">
        <v>6175</v>
      </c>
      <c r="B78" t="s">
        <v>7736</v>
      </c>
      <c r="C78">
        <v>3.50</v>
      </c>
      <c r="D78">
        <v>3.50</v>
      </c>
      <c r="E78">
        <v>20</v>
      </c>
      <c r="F78">
        <v>3.50</v>
      </c>
      <c r="G78">
        <v>0</v>
      </c>
      <c r="H78">
        <v>0</v>
      </c>
      <c r="I78">
        <v>0</v>
      </c>
      <c r="J78">
        <v>0</v>
      </c>
      <c r="K78">
        <v>0</v>
      </c>
      <c r="L78">
        <v>0.50</v>
      </c>
      <c r="M78" t="s">
        <v>7739</v>
      </c>
    </row>
    <row r="79" spans="1:13" ht="12.75">
      <c r="A79" t="s">
        <v>5825</v>
      </c>
      <c r="B79" t="s">
        <v>7736</v>
      </c>
      <c r="C79">
        <v>3.50</v>
      </c>
      <c r="D79">
        <v>3.50</v>
      </c>
      <c r="E79">
        <v>20</v>
      </c>
      <c r="F79">
        <v>3.50</v>
      </c>
      <c r="G79">
        <v>12</v>
      </c>
      <c r="H79">
        <v>0</v>
      </c>
      <c r="I79">
        <v>0</v>
      </c>
      <c r="J79">
        <v>6</v>
      </c>
      <c r="K79">
        <v>6</v>
      </c>
      <c r="L79">
        <v>0.50</v>
      </c>
      <c r="M79" t="s">
        <v>7739</v>
      </c>
    </row>
    <row r="80" spans="1:13" ht="12.75">
      <c r="A80" t="s">
        <v>7220</v>
      </c>
      <c r="B80" t="s">
        <v>7736</v>
      </c>
      <c r="C80">
        <v>3.50</v>
      </c>
      <c r="D80">
        <v>3.50</v>
      </c>
      <c r="E80">
        <v>20</v>
      </c>
      <c r="F80">
        <v>3.50</v>
      </c>
      <c r="G80">
        <v>0</v>
      </c>
      <c r="H80">
        <v>0</v>
      </c>
      <c r="I80">
        <v>0</v>
      </c>
      <c r="J80">
        <v>0</v>
      </c>
      <c r="K80">
        <v>0</v>
      </c>
      <c r="L80">
        <v>0.50</v>
      </c>
      <c r="M80" t="s">
        <v>7739</v>
      </c>
    </row>
    <row r="81" spans="1:13" ht="12.75">
      <c r="A81" t="s">
        <v>6181</v>
      </c>
      <c r="B81" t="s">
        <v>7736</v>
      </c>
      <c r="C81">
        <v>3.50</v>
      </c>
      <c r="D81">
        <v>3.50</v>
      </c>
      <c r="E81">
        <v>20</v>
      </c>
      <c r="F81">
        <v>3.50</v>
      </c>
      <c r="G81">
        <v>12</v>
      </c>
      <c r="H81">
        <v>0</v>
      </c>
      <c r="I81">
        <v>0</v>
      </c>
      <c r="J81">
        <v>6</v>
      </c>
      <c r="K81">
        <v>6</v>
      </c>
      <c r="L81">
        <v>0.50</v>
      </c>
      <c r="M81" t="s">
        <v>7739</v>
      </c>
    </row>
    <row r="82" spans="1:13" ht="12.75">
      <c r="A82" t="s">
        <v>7774</v>
      </c>
      <c r="B82" t="s">
        <v>7736</v>
      </c>
      <c r="C82">
        <v>0</v>
      </c>
      <c r="D82">
        <v>0</v>
      </c>
      <c r="E82">
        <v>20</v>
      </c>
      <c r="F82">
        <v>0.50</v>
      </c>
      <c r="G82">
        <v>11</v>
      </c>
      <c r="H82">
        <v>0</v>
      </c>
      <c r="I82">
        <v>0</v>
      </c>
      <c r="J82">
        <v>8</v>
      </c>
      <c r="K82">
        <v>8</v>
      </c>
      <c r="L82">
        <v>2.50</v>
      </c>
      <c r="M82" t="s">
        <v>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 summary</vt:lpstr>
      <vt:lpstr>Hierarchy</vt:lpstr>
      <vt:lpstr>Parts</vt:lpstr>
      <vt:lpstr>Assemblies</vt:lpstr>
      <vt:lpstr>Materials</vt:lpstr>
      <vt:lpstr>Equipments</vt:lpstr>
      <vt:lpstr>Processes</vt:lpstr>
      <vt:lpstr>Components</vt:lpstr>
      <vt:lpstr>Consumables</vt:lpstr>
      <vt:lpstr>Metrics</vt:lpstr>
      <vt:lpstr>Exchange Rates</vt:lpstr>
      <vt:lpstr>Countries</vt:lpstr>
      <vt:lpstr>Calculation Scenarios</vt:lpstr>
      <vt:lpstr>Overhead Settings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